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drawings/drawing6.xml" ContentType="application/vnd.openxmlformats-officedocument.drawing+xml"/>
  <Override PartName="/xl/ink/ink9.xml" ContentType="application/inkml+xml"/>
  <Override PartName="/xl/ink/ink10.xml" ContentType="application/inkml+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1.xml" ContentType="application/vnd.openxmlformats-officedocument.spreadsheetml.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6" Type="http://schemas.microsoft.com/office/2011/relationships/webextensiontaskpanes" Target="xl/webextensions/taskpanes.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mc:AlternateContent xmlns:mc="http://schemas.openxmlformats.org/markup-compatibility/2006">
    <mc:Choice Requires="x15">
      <x15ac:absPath xmlns:x15ac="http://schemas.microsoft.com/office/spreadsheetml/2010/11/ac" url="https://arup.sharepoint.com/teams/prj-30207500/Outgoing Library/SUMMER 2025 Consultation/"/>
    </mc:Choice>
  </mc:AlternateContent>
  <xr:revisionPtr revIDLastSave="0" documentId="8_{9FC7426F-E5C3-4A3A-A0E7-20C367C0418F}" xr6:coauthVersionLast="47" xr6:coauthVersionMax="47" xr10:uidLastSave="{00000000-0000-0000-0000-000000000000}"/>
  <workbookProtection workbookAlgorithmName="SHA-512" workbookHashValue="2W/jW9MB1UzV9lEs2CacKfAx/b6APGiQ7BpIfi9FmKRLKOTMrUDIwSeeaKK99Oig5Ch25G1wt2+kaMSasqfNKg==" workbookSaltValue="t7pQykIHWSJS11uYJfb1PQ==" workbookSpinCount="100000" lockStructure="1"/>
  <bookViews>
    <workbookView xWindow="-28470" yWindow="-390" windowWidth="27405" windowHeight="15570" tabRatio="816" xr2:uid="{D20D0522-ADD0-4CEE-AFAC-CBBDFADE1055}"/>
  </bookViews>
  <sheets>
    <sheet name="WELCOME" sheetId="119" r:id="rId1"/>
    <sheet name="HOW TO" sheetId="121" r:id="rId2"/>
    <sheet name="METHODOLOGY" sheetId="120" r:id="rId3"/>
    <sheet name="NCEM ALIGNMENT" sheetId="122" r:id="rId4"/>
    <sheet name="COMPANY INPUT" sheetId="108" r:id="rId5"/>
    <sheet name="CVF" sheetId="68" r:id="rId6"/>
    <sheet name="VALUATION" sheetId="69" r:id="rId7"/>
    <sheet name="CONFIG SPEC" sheetId="111" r:id="rId8"/>
    <sheet name="ODI RATES" sheetId="114" r:id="rId9"/>
    <sheet name="DOUBLE COUNTING MATRIX" sheetId="113" r:id="rId10"/>
    <sheet name="1" sheetId="41" r:id="rId11"/>
    <sheet name="2" sheetId="43" r:id="rId12"/>
    <sheet name="3" sheetId="72" r:id="rId13"/>
    <sheet name="4" sheetId="75" r:id="rId14"/>
    <sheet name="5" sheetId="76" r:id="rId15"/>
    <sheet name="6" sheetId="78" r:id="rId16"/>
    <sheet name="7" sheetId="88" r:id="rId17"/>
    <sheet name="9" sheetId="51" r:id="rId18"/>
    <sheet name="10" sheetId="50" r:id="rId19"/>
    <sheet name="11" sheetId="74" r:id="rId20"/>
    <sheet name="12" sheetId="80" r:id="rId21"/>
    <sheet name="13" sheetId="86" r:id="rId22"/>
    <sheet name="14" sheetId="84" r:id="rId23"/>
    <sheet name="15" sheetId="85" r:id="rId24"/>
    <sheet name="16" sheetId="59" r:id="rId25"/>
    <sheet name="17" sheetId="61" r:id="rId26"/>
    <sheet name="18" sheetId="97" r:id="rId27"/>
    <sheet name="19" sheetId="101" r:id="rId28"/>
    <sheet name="20" sheetId="103" r:id="rId29"/>
    <sheet name="23" sheetId="98" r:id="rId30"/>
    <sheet name="24" sheetId="104" r:id="rId31"/>
    <sheet name="25" sheetId="105" r:id="rId32"/>
    <sheet name="26" sheetId="109" r:id="rId33"/>
    <sheet name="27" sheetId="36" r:id="rId34"/>
    <sheet name="28" sheetId="54" r:id="rId35"/>
    <sheet name="29" sheetId="58" r:id="rId36"/>
    <sheet name="30" sheetId="56" r:id="rId37"/>
    <sheet name="31" sheetId="62" r:id="rId38"/>
    <sheet name="32" sheetId="45" r:id="rId39"/>
    <sheet name="33" sheetId="95" r:id="rId40"/>
    <sheet name="34" sheetId="44" r:id="rId41"/>
    <sheet name="35" sheetId="100" r:id="rId42"/>
    <sheet name="36" sheetId="96" r:id="rId43"/>
    <sheet name="38" sheetId="57" r:id="rId44"/>
    <sheet name="39" sheetId="47" r:id="rId45"/>
    <sheet name="40" sheetId="42" r:id="rId46"/>
    <sheet name="41" sheetId="107" r:id="rId47"/>
    <sheet name="42" sheetId="99" r:id="rId48"/>
    <sheet name="43" sheetId="48" r:id="rId49"/>
    <sheet name="44" sheetId="71" r:id="rId50"/>
    <sheet name="45" sheetId="73" r:id="rId51"/>
    <sheet name="REFERENCE" sheetId="30" r:id="rId52"/>
    <sheet name="Reviewed sources" sheetId="37" r:id="rId53"/>
    <sheet name="Value summary" sheetId="112" r:id="rId54"/>
    <sheet name="STANDARD DATA" sheetId="49" r:id="rId55"/>
    <sheet name="GDP Deflators" sheetId="31" r:id="rId56"/>
    <sheet name="Carbon values" sheetId="65" r:id="rId57"/>
    <sheet name="Company data" sheetId="87" r:id="rId58"/>
  </sheets>
  <definedNames>
    <definedName name="_xlnm._FilterDatabase" localSheetId="6" hidden="1">VALUATION!$A$9:$AA$9</definedName>
    <definedName name="Date" comment="{&quot;SkabelonDesign&quot;:{&quot;type&quot;:&quot;Text&quot;,&quot;binding&quot;:&quot;Doc.Prop.Date&quot;}}">#REF!</definedName>
    <definedName name="Job_Number_Initials" comment="{&quot;SkabelonDesign&quot;:{&quot;type&quot;:&quot;Text&quot;,&quot;binding&quot;:&quot;Doc.Prop.JobNo_Initials&quot;}}">#REF!</definedName>
    <definedName name="Job_Title" comment="{&quot;SkabelonDesign&quot;:{&quot;type&quot;:&quot;Text&quot;,&quot;binding&quot;:&quot;Doc.Prop.JobTitle&quo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08" l="1"/>
  <c r="D794" i="56"/>
  <c r="E49" i="69"/>
  <c r="E101" i="69"/>
  <c r="E102" i="69"/>
  <c r="E116" i="69"/>
  <c r="E175" i="69"/>
  <c r="E199" i="69"/>
  <c r="E248" i="69"/>
  <c r="G254" i="112" l="1"/>
  <c r="O254" i="112"/>
  <c r="G255" i="112"/>
  <c r="O255" i="112"/>
  <c r="G256" i="112"/>
  <c r="O256" i="112"/>
  <c r="G257" i="112"/>
  <c r="O257" i="112"/>
  <c r="G258" i="112"/>
  <c r="M258" i="112"/>
  <c r="O258" i="112"/>
  <c r="P258" i="112"/>
  <c r="G259" i="112"/>
  <c r="M259" i="112"/>
  <c r="O259" i="112"/>
  <c r="P259" i="112"/>
  <c r="G260" i="112"/>
  <c r="M260" i="112"/>
  <c r="O260" i="112"/>
  <c r="P260" i="112"/>
  <c r="C254" i="112"/>
  <c r="D254" i="112"/>
  <c r="E254" i="112"/>
  <c r="C255" i="112"/>
  <c r="D255" i="112"/>
  <c r="E255" i="112"/>
  <c r="C256" i="112"/>
  <c r="D256" i="112"/>
  <c r="E256" i="112"/>
  <c r="C257" i="112"/>
  <c r="D257" i="112"/>
  <c r="E257" i="112"/>
  <c r="C258" i="112"/>
  <c r="D258" i="112"/>
  <c r="E258" i="112"/>
  <c r="C259" i="112"/>
  <c r="D259" i="112"/>
  <c r="E259" i="112"/>
  <c r="C260" i="112"/>
  <c r="D260" i="112"/>
  <c r="E260" i="112"/>
  <c r="U1379" i="56"/>
  <c r="U257" i="112" s="1"/>
  <c r="V1379" i="56"/>
  <c r="V257" i="112" s="1"/>
  <c r="W1379" i="56"/>
  <c r="W257" i="112" s="1"/>
  <c r="T1379" i="56"/>
  <c r="T257" i="112" s="1"/>
  <c r="S1379" i="56"/>
  <c r="S257" i="112" s="1"/>
  <c r="R1379" i="56"/>
  <c r="R257" i="112" s="1"/>
  <c r="Q1379" i="56"/>
  <c r="Q257" i="112" s="1"/>
  <c r="P1379" i="56"/>
  <c r="P257" i="112" s="1"/>
  <c r="P1377" i="56"/>
  <c r="P255" i="112" s="1"/>
  <c r="P1378" i="56"/>
  <c r="P256" i="112" s="1"/>
  <c r="M1379" i="56"/>
  <c r="M257" i="112" s="1"/>
  <c r="I1379" i="56"/>
  <c r="I257" i="112" s="1"/>
  <c r="K1379" i="56"/>
  <c r="H1379" i="56"/>
  <c r="H257" i="112" s="1"/>
  <c r="F1379" i="56"/>
  <c r="F257" i="112" s="1"/>
  <c r="F1378" i="56"/>
  <c r="F256" i="112" s="1"/>
  <c r="D1351" i="56"/>
  <c r="C1365" i="56"/>
  <c r="E1351" i="56"/>
  <c r="D1352" i="56"/>
  <c r="E1352" i="56"/>
  <c r="D1353" i="56"/>
  <c r="E1353" i="56"/>
  <c r="D1354" i="56"/>
  <c r="E1354" i="56"/>
  <c r="D1355" i="56"/>
  <c r="E1355" i="56"/>
  <c r="D1356" i="56"/>
  <c r="E1356" i="56"/>
  <c r="E125" i="56"/>
  <c r="E189" i="56"/>
  <c r="E223" i="56"/>
  <c r="E432" i="56"/>
  <c r="E477" i="56"/>
  <c r="E519" i="56"/>
  <c r="E588" i="56"/>
  <c r="E648" i="56"/>
  <c r="E770" i="56"/>
  <c r="E854" i="56"/>
  <c r="E973" i="56"/>
  <c r="E1047" i="56"/>
  <c r="E1091" i="56"/>
  <c r="E1133" i="56"/>
  <c r="E1205" i="56"/>
  <c r="E1267" i="56"/>
  <c r="E1329" i="56"/>
  <c r="E769" i="56"/>
  <c r="R112" i="47"/>
  <c r="S112" i="47"/>
  <c r="T112" i="47"/>
  <c r="U112" i="47"/>
  <c r="V112" i="47"/>
  <c r="W112" i="47"/>
  <c r="R113" i="47"/>
  <c r="S113" i="47"/>
  <c r="T113" i="47"/>
  <c r="U113" i="47"/>
  <c r="V113" i="47"/>
  <c r="W113" i="47"/>
  <c r="Q113" i="47"/>
  <c r="Q112" i="47"/>
  <c r="P112" i="47"/>
  <c r="P113" i="47"/>
  <c r="M112" i="47"/>
  <c r="M113" i="47"/>
  <c r="I112" i="47"/>
  <c r="I113" i="47"/>
  <c r="H112" i="47"/>
  <c r="J112" i="47" s="1"/>
  <c r="H113" i="47"/>
  <c r="J113" i="47" s="1"/>
  <c r="F113" i="47"/>
  <c r="F112" i="47"/>
  <c r="E112" i="47"/>
  <c r="E113" i="47"/>
  <c r="D112" i="47"/>
  <c r="D113" i="47"/>
  <c r="D106" i="47"/>
  <c r="D107" i="47"/>
  <c r="D105" i="47"/>
  <c r="D1357" i="56" l="1"/>
  <c r="H1372" i="56" s="1"/>
  <c r="K257" i="112"/>
  <c r="J1379" i="56"/>
  <c r="J257" i="112" s="1"/>
  <c r="F1418" i="56" a="1"/>
  <c r="F1418" i="56" s="1"/>
  <c r="F1417" i="56" a="1"/>
  <c r="F1417" i="56" s="1"/>
  <c r="F1416" i="56" a="1"/>
  <c r="F1416" i="56" s="1"/>
  <c r="W1422" i="56"/>
  <c r="W258" i="112" s="1"/>
  <c r="W1423" i="56"/>
  <c r="W259" i="112" s="1"/>
  <c r="W1424" i="56"/>
  <c r="W260" i="112" s="1"/>
  <c r="R1422" i="56"/>
  <c r="R258" i="112" s="1"/>
  <c r="S1422" i="56"/>
  <c r="S258" i="112" s="1"/>
  <c r="T1422" i="56"/>
  <c r="T258" i="112" s="1"/>
  <c r="U1422" i="56"/>
  <c r="U258" i="112" s="1"/>
  <c r="V1422" i="56"/>
  <c r="V258" i="112" s="1"/>
  <c r="R1423" i="56"/>
  <c r="R259" i="112" s="1"/>
  <c r="S1423" i="56"/>
  <c r="S259" i="112" s="1"/>
  <c r="T1423" i="56"/>
  <c r="T259" i="112" s="1"/>
  <c r="U1423" i="56"/>
  <c r="U259" i="112" s="1"/>
  <c r="V1423" i="56"/>
  <c r="V259" i="112" s="1"/>
  <c r="R1424" i="56"/>
  <c r="R260" i="112" s="1"/>
  <c r="S1424" i="56"/>
  <c r="S260" i="112" s="1"/>
  <c r="T1424" i="56"/>
  <c r="T260" i="112" s="1"/>
  <c r="U1424" i="56"/>
  <c r="U260" i="112" s="1"/>
  <c r="V1424" i="56"/>
  <c r="V260" i="112" s="1"/>
  <c r="Q1423" i="56"/>
  <c r="Q259" i="112" s="1"/>
  <c r="Q1424" i="56"/>
  <c r="Q260" i="112" s="1"/>
  <c r="Q1422" i="56"/>
  <c r="Q258" i="112" s="1"/>
  <c r="F1423" i="56"/>
  <c r="F259" i="112" s="1"/>
  <c r="F1424" i="56"/>
  <c r="F260" i="112" s="1"/>
  <c r="F1422" i="56"/>
  <c r="F258" i="112" s="1"/>
  <c r="C1410" i="56"/>
  <c r="K1422" i="56" s="1"/>
  <c r="K258" i="112" s="1"/>
  <c r="E1397" i="56"/>
  <c r="H1422" i="56"/>
  <c r="I1422" i="56"/>
  <c r="I258" i="112" s="1"/>
  <c r="H1423" i="56"/>
  <c r="I1423" i="56"/>
  <c r="I259" i="112" s="1"/>
  <c r="H1424" i="56"/>
  <c r="I1424" i="56"/>
  <c r="I260" i="112" s="1"/>
  <c r="D1393" i="56"/>
  <c r="E1393" i="56"/>
  <c r="D1394" i="56"/>
  <c r="E1394" i="56"/>
  <c r="D1395" i="56"/>
  <c r="E1395" i="56"/>
  <c r="D1396" i="56"/>
  <c r="E1396" i="56"/>
  <c r="D1397" i="56"/>
  <c r="D1398" i="56"/>
  <c r="E1398" i="56"/>
  <c r="W302" i="85"/>
  <c r="W292" i="84"/>
  <c r="D62" i="41"/>
  <c r="E62" i="41"/>
  <c r="D63" i="41"/>
  <c r="E63" i="41"/>
  <c r="D64" i="41"/>
  <c r="E64" i="41"/>
  <c r="D65" i="41"/>
  <c r="E65" i="41"/>
  <c r="D66" i="41"/>
  <c r="E66" i="41"/>
  <c r="D67" i="41"/>
  <c r="E67" i="41"/>
  <c r="D149" i="73"/>
  <c r="E149" i="73"/>
  <c r="D150" i="73"/>
  <c r="E150" i="73"/>
  <c r="D151" i="73"/>
  <c r="E151" i="73"/>
  <c r="D152" i="73"/>
  <c r="E152" i="73"/>
  <c r="D153" i="73"/>
  <c r="E153" i="73"/>
  <c r="D154" i="73"/>
  <c r="E154" i="73"/>
  <c r="D82" i="73"/>
  <c r="E82" i="73"/>
  <c r="D83" i="73"/>
  <c r="E83" i="73"/>
  <c r="D84" i="73"/>
  <c r="E84" i="73"/>
  <c r="D85" i="73"/>
  <c r="E85" i="73"/>
  <c r="D86" i="73"/>
  <c r="E86" i="73"/>
  <c r="D87" i="73"/>
  <c r="E87" i="73"/>
  <c r="D33" i="73"/>
  <c r="E33" i="73"/>
  <c r="D34" i="73"/>
  <c r="E34" i="73"/>
  <c r="D35" i="73"/>
  <c r="E35" i="73"/>
  <c r="D36" i="73"/>
  <c r="E36" i="73"/>
  <c r="D37" i="73"/>
  <c r="E37" i="73"/>
  <c r="D38" i="73"/>
  <c r="E38" i="73"/>
  <c r="D36" i="71"/>
  <c r="E36" i="71"/>
  <c r="D37" i="71"/>
  <c r="E37" i="71"/>
  <c r="D38" i="71"/>
  <c r="E38" i="71"/>
  <c r="D39" i="71"/>
  <c r="E39" i="71"/>
  <c r="D40" i="71"/>
  <c r="E40" i="71"/>
  <c r="D41" i="71"/>
  <c r="E41" i="71"/>
  <c r="D38" i="48"/>
  <c r="E38" i="48"/>
  <c r="D39" i="48"/>
  <c r="E39" i="48"/>
  <c r="D40" i="48"/>
  <c r="E40" i="48"/>
  <c r="D41" i="48"/>
  <c r="E41" i="48"/>
  <c r="D42" i="48"/>
  <c r="E42" i="48"/>
  <c r="D43" i="48"/>
  <c r="E43" i="48"/>
  <c r="D383" i="99"/>
  <c r="E383" i="99"/>
  <c r="D384" i="99"/>
  <c r="E384" i="99"/>
  <c r="D385" i="99"/>
  <c r="E385" i="99"/>
  <c r="D386" i="99"/>
  <c r="E386" i="99"/>
  <c r="D387" i="99"/>
  <c r="E387" i="99"/>
  <c r="D388" i="99"/>
  <c r="E388" i="99"/>
  <c r="D304" i="99"/>
  <c r="E304" i="99"/>
  <c r="D305" i="99"/>
  <c r="E305" i="99"/>
  <c r="D306" i="99"/>
  <c r="E306" i="99"/>
  <c r="D307" i="99"/>
  <c r="E307" i="99"/>
  <c r="D308" i="99"/>
  <c r="E308" i="99"/>
  <c r="D309" i="99"/>
  <c r="E309" i="99"/>
  <c r="D215" i="99"/>
  <c r="E215" i="99"/>
  <c r="D216" i="99"/>
  <c r="E216" i="99"/>
  <c r="D217" i="99"/>
  <c r="E217" i="99"/>
  <c r="D218" i="99"/>
  <c r="E218" i="99"/>
  <c r="D219" i="99"/>
  <c r="E219" i="99"/>
  <c r="D220" i="99"/>
  <c r="E220" i="99"/>
  <c r="D29" i="99"/>
  <c r="E29" i="99"/>
  <c r="D30" i="99"/>
  <c r="E30" i="99"/>
  <c r="D31" i="99"/>
  <c r="E31" i="99"/>
  <c r="D32" i="99"/>
  <c r="E32" i="99"/>
  <c r="D33" i="99"/>
  <c r="E33" i="99"/>
  <c r="D34" i="99"/>
  <c r="E34" i="99"/>
  <c r="D400" i="107"/>
  <c r="E400" i="107"/>
  <c r="D401" i="107"/>
  <c r="E401" i="107"/>
  <c r="D402" i="107"/>
  <c r="E402" i="107"/>
  <c r="D403" i="107"/>
  <c r="E403" i="107"/>
  <c r="D404" i="107"/>
  <c r="E404" i="107"/>
  <c r="D405" i="107"/>
  <c r="E405" i="107"/>
  <c r="D43" i="107"/>
  <c r="E43" i="107"/>
  <c r="D44" i="107"/>
  <c r="E44" i="107"/>
  <c r="D45" i="107"/>
  <c r="E45" i="107"/>
  <c r="D46" i="107"/>
  <c r="E46" i="107"/>
  <c r="D47" i="107"/>
  <c r="E47" i="107"/>
  <c r="D48" i="107"/>
  <c r="E48" i="107"/>
  <c r="D125" i="42"/>
  <c r="E125" i="42"/>
  <c r="D126" i="42"/>
  <c r="E126" i="42"/>
  <c r="D127" i="42"/>
  <c r="E127" i="42"/>
  <c r="D128" i="42"/>
  <c r="E128" i="42"/>
  <c r="D129" i="42"/>
  <c r="E129" i="42"/>
  <c r="D130" i="42"/>
  <c r="E130" i="42"/>
  <c r="D93" i="42"/>
  <c r="E93" i="42"/>
  <c r="D94" i="42"/>
  <c r="E94" i="42"/>
  <c r="D95" i="42"/>
  <c r="E95" i="42"/>
  <c r="D96" i="42"/>
  <c r="E96" i="42"/>
  <c r="D97" i="42"/>
  <c r="E97" i="42"/>
  <c r="D98" i="42"/>
  <c r="E98" i="42"/>
  <c r="D59" i="42"/>
  <c r="E59" i="42"/>
  <c r="D60" i="42"/>
  <c r="E60" i="42"/>
  <c r="D61" i="42"/>
  <c r="E61" i="42"/>
  <c r="D62" i="42"/>
  <c r="E62" i="42"/>
  <c r="D63" i="42"/>
  <c r="E63" i="42"/>
  <c r="D64" i="42"/>
  <c r="E64" i="42"/>
  <c r="D39" i="42"/>
  <c r="E39" i="42"/>
  <c r="D40" i="42"/>
  <c r="E40" i="42"/>
  <c r="D41" i="42"/>
  <c r="E41" i="42"/>
  <c r="D42" i="42"/>
  <c r="E42" i="42"/>
  <c r="D43" i="42"/>
  <c r="E43" i="42"/>
  <c r="D44" i="42"/>
  <c r="E44" i="42"/>
  <c r="D161" i="47"/>
  <c r="E161" i="47"/>
  <c r="D162" i="47"/>
  <c r="E162" i="47"/>
  <c r="D163" i="47"/>
  <c r="E163" i="47"/>
  <c r="D164" i="47"/>
  <c r="E164" i="47"/>
  <c r="D165" i="47"/>
  <c r="E165" i="47"/>
  <c r="D166" i="47"/>
  <c r="E166" i="47"/>
  <c r="D127" i="47"/>
  <c r="E127" i="47"/>
  <c r="D128" i="47"/>
  <c r="E128" i="47"/>
  <c r="D129" i="47"/>
  <c r="E129" i="47"/>
  <c r="D130" i="47"/>
  <c r="E130" i="47"/>
  <c r="D131" i="47"/>
  <c r="E131" i="47"/>
  <c r="D132" i="47"/>
  <c r="E132" i="47"/>
  <c r="D91" i="47"/>
  <c r="E91" i="47"/>
  <c r="D92" i="47"/>
  <c r="E92" i="47"/>
  <c r="D93" i="47"/>
  <c r="E93" i="47"/>
  <c r="D94" i="47"/>
  <c r="E94" i="47"/>
  <c r="D95" i="47"/>
  <c r="E95" i="47"/>
  <c r="D96" i="47"/>
  <c r="E96" i="47"/>
  <c r="D59" i="47"/>
  <c r="E59" i="47"/>
  <c r="D60" i="47"/>
  <c r="E60" i="47"/>
  <c r="D61" i="47"/>
  <c r="E61" i="47"/>
  <c r="D62" i="47"/>
  <c r="E62" i="47"/>
  <c r="D63" i="47"/>
  <c r="E63" i="47"/>
  <c r="D64" i="47"/>
  <c r="E64" i="47"/>
  <c r="D100" i="57"/>
  <c r="E100" i="57"/>
  <c r="D101" i="57"/>
  <c r="E101" i="57"/>
  <c r="D102" i="57"/>
  <c r="E102" i="57"/>
  <c r="D103" i="57"/>
  <c r="E103" i="57"/>
  <c r="D104" i="57"/>
  <c r="E104" i="57"/>
  <c r="D105" i="57"/>
  <c r="E105" i="57"/>
  <c r="D66" i="57"/>
  <c r="E66" i="57"/>
  <c r="D67" i="57"/>
  <c r="E67" i="57"/>
  <c r="D68" i="57"/>
  <c r="E68" i="57"/>
  <c r="D69" i="57"/>
  <c r="E69" i="57"/>
  <c r="D70" i="57"/>
  <c r="E70" i="57"/>
  <c r="D71" i="57"/>
  <c r="E71" i="57"/>
  <c r="D28" i="57"/>
  <c r="E28" i="57"/>
  <c r="D29" i="57"/>
  <c r="E29" i="57"/>
  <c r="D30" i="57"/>
  <c r="E30" i="57"/>
  <c r="D31" i="57"/>
  <c r="E31" i="57"/>
  <c r="D32" i="57"/>
  <c r="E32" i="57"/>
  <c r="D33" i="57"/>
  <c r="E33" i="57"/>
  <c r="D86" i="96"/>
  <c r="E86" i="96"/>
  <c r="D87" i="96"/>
  <c r="E87" i="96"/>
  <c r="D88" i="96"/>
  <c r="E88" i="96"/>
  <c r="D89" i="96"/>
  <c r="E89" i="96"/>
  <c r="D90" i="96"/>
  <c r="E90" i="96"/>
  <c r="D91" i="96"/>
  <c r="E91" i="96"/>
  <c r="D29" i="96"/>
  <c r="E29" i="96"/>
  <c r="D30" i="96"/>
  <c r="E30" i="96"/>
  <c r="D31" i="96"/>
  <c r="E31" i="96"/>
  <c r="D32" i="96"/>
  <c r="E32" i="96"/>
  <c r="D33" i="96"/>
  <c r="E33" i="96"/>
  <c r="D34" i="96"/>
  <c r="E34" i="96"/>
  <c r="D54" i="100"/>
  <c r="E54" i="100"/>
  <c r="D55" i="100"/>
  <c r="E55" i="100"/>
  <c r="D56" i="100"/>
  <c r="E56" i="100"/>
  <c r="D57" i="100"/>
  <c r="E57" i="100"/>
  <c r="D58" i="100"/>
  <c r="E58" i="100"/>
  <c r="D59" i="100"/>
  <c r="E59" i="100"/>
  <c r="D28" i="100"/>
  <c r="E28" i="100"/>
  <c r="D29" i="100"/>
  <c r="E29" i="100"/>
  <c r="D30" i="100"/>
  <c r="E30" i="100"/>
  <c r="D31" i="100"/>
  <c r="E31" i="100"/>
  <c r="D32" i="100"/>
  <c r="E32" i="100"/>
  <c r="D33" i="100"/>
  <c r="E33" i="100"/>
  <c r="D126" i="44"/>
  <c r="E126" i="44"/>
  <c r="D127" i="44"/>
  <c r="E127" i="44"/>
  <c r="D128" i="44"/>
  <c r="E128" i="44"/>
  <c r="D129" i="44"/>
  <c r="E129" i="44"/>
  <c r="D130" i="44"/>
  <c r="E130" i="44"/>
  <c r="D131" i="44"/>
  <c r="E131" i="44"/>
  <c r="D27" i="44"/>
  <c r="E27" i="44"/>
  <c r="D28" i="44"/>
  <c r="E28" i="44"/>
  <c r="D29" i="44"/>
  <c r="E29" i="44"/>
  <c r="D30" i="44"/>
  <c r="E30" i="44"/>
  <c r="D31" i="44"/>
  <c r="E31" i="44"/>
  <c r="D32" i="44"/>
  <c r="E32" i="44"/>
  <c r="D28" i="95"/>
  <c r="E28" i="95"/>
  <c r="D29" i="95"/>
  <c r="E29" i="95"/>
  <c r="D30" i="95"/>
  <c r="E30" i="95"/>
  <c r="D31" i="95"/>
  <c r="E31" i="95"/>
  <c r="D32" i="95"/>
  <c r="E32" i="95"/>
  <c r="D33" i="95"/>
  <c r="E33" i="95"/>
  <c r="D76" i="45"/>
  <c r="E76" i="45"/>
  <c r="D77" i="45"/>
  <c r="E77" i="45"/>
  <c r="D78" i="45"/>
  <c r="E78" i="45"/>
  <c r="D79" i="45"/>
  <c r="E79" i="45"/>
  <c r="D80" i="45"/>
  <c r="E80" i="45"/>
  <c r="D81" i="45"/>
  <c r="E81" i="45"/>
  <c r="D29" i="45"/>
  <c r="E29" i="45"/>
  <c r="D30" i="45"/>
  <c r="E30" i="45"/>
  <c r="D31" i="45"/>
  <c r="E31" i="45"/>
  <c r="D32" i="45"/>
  <c r="E32" i="45"/>
  <c r="D33" i="45"/>
  <c r="E33" i="45"/>
  <c r="D34" i="45"/>
  <c r="E34" i="45"/>
  <c r="D28" i="62"/>
  <c r="E28" i="62"/>
  <c r="D29" i="62"/>
  <c r="E29" i="62"/>
  <c r="D30" i="62"/>
  <c r="E30" i="62"/>
  <c r="D31" i="62"/>
  <c r="E31" i="62"/>
  <c r="D32" i="62"/>
  <c r="E32" i="62"/>
  <c r="D33" i="62"/>
  <c r="E33" i="62"/>
  <c r="D1325" i="56"/>
  <c r="E1325" i="56"/>
  <c r="D1326" i="56"/>
  <c r="E1326" i="56"/>
  <c r="D1327" i="56"/>
  <c r="E1327" i="56"/>
  <c r="D1328" i="56"/>
  <c r="E1328" i="56"/>
  <c r="D1329" i="56"/>
  <c r="D1330" i="56"/>
  <c r="E1330" i="56"/>
  <c r="D1263" i="56"/>
  <c r="E1263" i="56"/>
  <c r="D1264" i="56"/>
  <c r="E1264" i="56"/>
  <c r="D1265" i="56"/>
  <c r="E1265" i="56"/>
  <c r="D1266" i="56"/>
  <c r="E1266" i="56"/>
  <c r="D1267" i="56"/>
  <c r="D1268" i="56"/>
  <c r="E1268" i="56"/>
  <c r="D1201" i="56"/>
  <c r="E1201" i="56"/>
  <c r="D1202" i="56"/>
  <c r="E1202" i="56"/>
  <c r="D1203" i="56"/>
  <c r="E1203" i="56"/>
  <c r="D1204" i="56"/>
  <c r="E1204" i="56"/>
  <c r="D1205" i="56"/>
  <c r="D1206" i="56"/>
  <c r="E1206" i="56"/>
  <c r="D1129" i="56"/>
  <c r="E1129" i="56"/>
  <c r="D1130" i="56"/>
  <c r="E1130" i="56"/>
  <c r="D1131" i="56"/>
  <c r="E1131" i="56"/>
  <c r="D1132" i="56"/>
  <c r="E1132" i="56"/>
  <c r="D1133" i="56"/>
  <c r="D1134" i="56"/>
  <c r="E1134" i="56"/>
  <c r="D1087" i="56"/>
  <c r="E1087" i="56"/>
  <c r="D1088" i="56"/>
  <c r="E1088" i="56"/>
  <c r="D1089" i="56"/>
  <c r="E1089" i="56"/>
  <c r="D1090" i="56"/>
  <c r="E1090" i="56"/>
  <c r="D1091" i="56"/>
  <c r="D1092" i="56"/>
  <c r="E1092" i="56"/>
  <c r="D1043" i="56"/>
  <c r="E1043" i="56"/>
  <c r="D1044" i="56"/>
  <c r="E1044" i="56"/>
  <c r="D1045" i="56"/>
  <c r="E1045" i="56"/>
  <c r="D1046" i="56"/>
  <c r="E1046" i="56"/>
  <c r="D1047" i="56"/>
  <c r="D1048" i="56"/>
  <c r="E1048" i="56"/>
  <c r="D969" i="56"/>
  <c r="E969" i="56"/>
  <c r="D970" i="56"/>
  <c r="E970" i="56"/>
  <c r="D971" i="56"/>
  <c r="E971" i="56"/>
  <c r="D972" i="56"/>
  <c r="E972" i="56"/>
  <c r="D973" i="56"/>
  <c r="D974" i="56"/>
  <c r="E974" i="56"/>
  <c r="D850" i="56"/>
  <c r="E850" i="56"/>
  <c r="D851" i="56"/>
  <c r="E851" i="56"/>
  <c r="D852" i="56"/>
  <c r="E852" i="56"/>
  <c r="D853" i="56"/>
  <c r="E853" i="56"/>
  <c r="D854" i="56"/>
  <c r="D855" i="56"/>
  <c r="E855" i="56"/>
  <c r="D766" i="56"/>
  <c r="E766" i="56"/>
  <c r="D767" i="56"/>
  <c r="E767" i="56"/>
  <c r="D768" i="56"/>
  <c r="E768" i="56"/>
  <c r="D769" i="56"/>
  <c r="D770" i="56"/>
  <c r="D771" i="56"/>
  <c r="E771" i="56"/>
  <c r="D644" i="56"/>
  <c r="E644" i="56"/>
  <c r="D645" i="56"/>
  <c r="E645" i="56"/>
  <c r="D646" i="56"/>
  <c r="E646" i="56"/>
  <c r="D647" i="56"/>
  <c r="E647" i="56"/>
  <c r="D648" i="56"/>
  <c r="D649" i="56"/>
  <c r="E649" i="56"/>
  <c r="D584" i="56"/>
  <c r="E584" i="56"/>
  <c r="D585" i="56"/>
  <c r="E585" i="56"/>
  <c r="D586" i="56"/>
  <c r="E586" i="56"/>
  <c r="D587" i="56"/>
  <c r="E587" i="56"/>
  <c r="D588" i="56"/>
  <c r="D589" i="56"/>
  <c r="E589" i="56"/>
  <c r="D515" i="56"/>
  <c r="E515" i="56"/>
  <c r="D516" i="56"/>
  <c r="E516" i="56"/>
  <c r="D517" i="56"/>
  <c r="E517" i="56"/>
  <c r="D518" i="56"/>
  <c r="E518" i="56"/>
  <c r="D519" i="56"/>
  <c r="D520" i="56"/>
  <c r="E520" i="56"/>
  <c r="D473" i="56"/>
  <c r="E473" i="56"/>
  <c r="D474" i="56"/>
  <c r="E474" i="56"/>
  <c r="D475" i="56"/>
  <c r="E475" i="56"/>
  <c r="D476" i="56"/>
  <c r="E476" i="56"/>
  <c r="D477" i="56"/>
  <c r="D478" i="56"/>
  <c r="E478" i="56"/>
  <c r="D428" i="56"/>
  <c r="E428" i="56"/>
  <c r="D429" i="56"/>
  <c r="E429" i="56"/>
  <c r="D430" i="56"/>
  <c r="E430" i="56"/>
  <c r="D431" i="56"/>
  <c r="E431" i="56"/>
  <c r="D432" i="56"/>
  <c r="D433" i="56"/>
  <c r="E433" i="56"/>
  <c r="D219" i="56"/>
  <c r="E219" i="56"/>
  <c r="D220" i="56"/>
  <c r="E220" i="56"/>
  <c r="D221" i="56"/>
  <c r="E221" i="56"/>
  <c r="D222" i="56"/>
  <c r="E222" i="56"/>
  <c r="D223" i="56"/>
  <c r="D224" i="56"/>
  <c r="E224" i="56"/>
  <c r="D185" i="56"/>
  <c r="E185" i="56"/>
  <c r="D186" i="56"/>
  <c r="E186" i="56"/>
  <c r="D187" i="56"/>
  <c r="E187" i="56"/>
  <c r="D188" i="56"/>
  <c r="E188" i="56"/>
  <c r="D189" i="56"/>
  <c r="D190" i="56"/>
  <c r="E190" i="56"/>
  <c r="D121" i="56"/>
  <c r="E121" i="56"/>
  <c r="D122" i="56"/>
  <c r="E122" i="56"/>
  <c r="D123" i="56"/>
  <c r="E123" i="56"/>
  <c r="D124" i="56"/>
  <c r="E124" i="56"/>
  <c r="D125" i="56"/>
  <c r="D126" i="56"/>
  <c r="E126" i="56"/>
  <c r="E81" i="56"/>
  <c r="E79" i="56"/>
  <c r="E78" i="56"/>
  <c r="E77" i="56"/>
  <c r="E76" i="56"/>
  <c r="E80" i="56"/>
  <c r="D76" i="56"/>
  <c r="D77" i="56"/>
  <c r="D78" i="56"/>
  <c r="D79" i="56"/>
  <c r="D80" i="56"/>
  <c r="D81" i="56"/>
  <c r="D44" i="58"/>
  <c r="E44" i="58"/>
  <c r="D45" i="58"/>
  <c r="E45" i="58"/>
  <c r="D46" i="58"/>
  <c r="E46" i="58"/>
  <c r="D47" i="58"/>
  <c r="E47" i="58"/>
  <c r="D48" i="58"/>
  <c r="E48" i="58"/>
  <c r="D49" i="58"/>
  <c r="E49" i="58"/>
  <c r="D163" i="58"/>
  <c r="E163" i="58"/>
  <c r="D164" i="58"/>
  <c r="E164" i="58"/>
  <c r="D165" i="58"/>
  <c r="E165" i="58"/>
  <c r="D166" i="58"/>
  <c r="E166" i="58"/>
  <c r="D167" i="58"/>
  <c r="E167" i="58"/>
  <c r="D168" i="58"/>
  <c r="E168" i="58"/>
  <c r="D74" i="58"/>
  <c r="E74" i="58"/>
  <c r="D75" i="58"/>
  <c r="E75" i="58"/>
  <c r="D76" i="58"/>
  <c r="E76" i="58"/>
  <c r="D77" i="58"/>
  <c r="E77" i="58"/>
  <c r="D78" i="58"/>
  <c r="E78" i="58"/>
  <c r="D79" i="58"/>
  <c r="E79" i="58"/>
  <c r="D255" i="54"/>
  <c r="E255" i="54"/>
  <c r="D256" i="54"/>
  <c r="E256" i="54"/>
  <c r="D257" i="54"/>
  <c r="E257" i="54"/>
  <c r="D258" i="54"/>
  <c r="E258" i="54"/>
  <c r="D259" i="54"/>
  <c r="E259" i="54"/>
  <c r="D260" i="54"/>
  <c r="E260" i="54"/>
  <c r="D213" i="54"/>
  <c r="E213" i="54"/>
  <c r="D214" i="54"/>
  <c r="E214" i="54"/>
  <c r="D215" i="54"/>
  <c r="E215" i="54"/>
  <c r="D216" i="54"/>
  <c r="E216" i="54"/>
  <c r="D217" i="54"/>
  <c r="E217" i="54"/>
  <c r="D218" i="54"/>
  <c r="E218" i="54"/>
  <c r="D157" i="54"/>
  <c r="E157" i="54"/>
  <c r="D158" i="54"/>
  <c r="E158" i="54"/>
  <c r="D159" i="54"/>
  <c r="E159" i="54"/>
  <c r="D160" i="54"/>
  <c r="E160" i="54"/>
  <c r="D161" i="54"/>
  <c r="E161" i="54"/>
  <c r="D162" i="54"/>
  <c r="E162" i="54"/>
  <c r="D98" i="54"/>
  <c r="E98" i="54"/>
  <c r="D99" i="54"/>
  <c r="E99" i="54"/>
  <c r="D100" i="54"/>
  <c r="E100" i="54"/>
  <c r="D101" i="54"/>
  <c r="E101" i="54"/>
  <c r="D102" i="54"/>
  <c r="E102" i="54"/>
  <c r="D103" i="54"/>
  <c r="E103" i="54"/>
  <c r="D57" i="54"/>
  <c r="E57" i="54"/>
  <c r="D58" i="54"/>
  <c r="E58" i="54"/>
  <c r="D59" i="54"/>
  <c r="E59" i="54"/>
  <c r="D60" i="54"/>
  <c r="E60" i="54"/>
  <c r="D61" i="54"/>
  <c r="E61" i="54"/>
  <c r="D62" i="54"/>
  <c r="E62" i="54"/>
  <c r="D32" i="54"/>
  <c r="E32" i="54"/>
  <c r="D33" i="54"/>
  <c r="E33" i="54"/>
  <c r="D34" i="54"/>
  <c r="E34" i="54"/>
  <c r="D35" i="54"/>
  <c r="E35" i="54"/>
  <c r="D36" i="54"/>
  <c r="E36" i="54"/>
  <c r="D37" i="54"/>
  <c r="E37" i="54"/>
  <c r="D37" i="36"/>
  <c r="E37" i="36"/>
  <c r="D38" i="36"/>
  <c r="E38" i="36"/>
  <c r="D39" i="36"/>
  <c r="E39" i="36"/>
  <c r="D40" i="36"/>
  <c r="E40" i="36"/>
  <c r="D41" i="36"/>
  <c r="E41" i="36"/>
  <c r="D42" i="36"/>
  <c r="E42" i="36"/>
  <c r="D29" i="109"/>
  <c r="E29" i="109"/>
  <c r="D30" i="109"/>
  <c r="E30" i="109"/>
  <c r="D31" i="109"/>
  <c r="E31" i="109"/>
  <c r="D32" i="109"/>
  <c r="E32" i="109"/>
  <c r="D33" i="109"/>
  <c r="E33" i="109"/>
  <c r="D34" i="109"/>
  <c r="E34" i="109"/>
  <c r="D143" i="104"/>
  <c r="E143" i="104"/>
  <c r="D144" i="104"/>
  <c r="E144" i="104"/>
  <c r="D145" i="104"/>
  <c r="E145" i="104"/>
  <c r="D146" i="104"/>
  <c r="E146" i="104"/>
  <c r="D147" i="104"/>
  <c r="E147" i="104"/>
  <c r="D148" i="104"/>
  <c r="E148" i="104"/>
  <c r="D80" i="104"/>
  <c r="E80" i="104"/>
  <c r="D81" i="104"/>
  <c r="E81" i="104"/>
  <c r="D82" i="104"/>
  <c r="E82" i="104"/>
  <c r="D83" i="104"/>
  <c r="E83" i="104"/>
  <c r="D84" i="104"/>
  <c r="E84" i="104"/>
  <c r="D85" i="104"/>
  <c r="E85" i="104"/>
  <c r="D50" i="104"/>
  <c r="E50" i="104"/>
  <c r="D51" i="104"/>
  <c r="E51" i="104"/>
  <c r="D52" i="104"/>
  <c r="E52" i="104"/>
  <c r="D53" i="104"/>
  <c r="E53" i="104"/>
  <c r="D54" i="104"/>
  <c r="E54" i="104"/>
  <c r="D55" i="104"/>
  <c r="E55" i="104"/>
  <c r="D29" i="104"/>
  <c r="E29" i="104"/>
  <c r="D30" i="104"/>
  <c r="E30" i="104"/>
  <c r="D31" i="104"/>
  <c r="E31" i="104"/>
  <c r="D32" i="104"/>
  <c r="E32" i="104"/>
  <c r="D33" i="104"/>
  <c r="E33" i="104"/>
  <c r="D34" i="104"/>
  <c r="E34" i="104"/>
  <c r="D132" i="98"/>
  <c r="E132" i="98"/>
  <c r="D133" i="98"/>
  <c r="E133" i="98"/>
  <c r="D134" i="98"/>
  <c r="E134" i="98"/>
  <c r="D135" i="98"/>
  <c r="E135" i="98"/>
  <c r="D136" i="98"/>
  <c r="E136" i="98"/>
  <c r="D137" i="98"/>
  <c r="E137" i="98"/>
  <c r="D73" i="98"/>
  <c r="E73" i="98"/>
  <c r="D74" i="98"/>
  <c r="E74" i="98"/>
  <c r="D75" i="98"/>
  <c r="E75" i="98"/>
  <c r="D76" i="98"/>
  <c r="E76" i="98"/>
  <c r="D77" i="98"/>
  <c r="E77" i="98"/>
  <c r="D78" i="98"/>
  <c r="E78" i="98"/>
  <c r="D37" i="98"/>
  <c r="E37" i="98"/>
  <c r="D38" i="98"/>
  <c r="E38" i="98"/>
  <c r="D39" i="98"/>
  <c r="E39" i="98"/>
  <c r="D40" i="98"/>
  <c r="E40" i="98"/>
  <c r="D41" i="98"/>
  <c r="E41" i="98"/>
  <c r="D42" i="98"/>
  <c r="E42" i="98"/>
  <c r="D386" i="61"/>
  <c r="E386" i="61"/>
  <c r="D387" i="61"/>
  <c r="E387" i="61"/>
  <c r="D388" i="61"/>
  <c r="E388" i="61"/>
  <c r="D389" i="61"/>
  <c r="E389" i="61"/>
  <c r="D390" i="61"/>
  <c r="E390" i="61"/>
  <c r="D391" i="61"/>
  <c r="E391" i="61"/>
  <c r="D295" i="61"/>
  <c r="E295" i="61"/>
  <c r="D296" i="61"/>
  <c r="E296" i="61"/>
  <c r="D297" i="61"/>
  <c r="E297" i="61"/>
  <c r="D298" i="61"/>
  <c r="E298" i="61"/>
  <c r="D299" i="61"/>
  <c r="E299" i="61"/>
  <c r="D300" i="61"/>
  <c r="E300" i="61"/>
  <c r="D241" i="61"/>
  <c r="E241" i="61"/>
  <c r="D242" i="61"/>
  <c r="E242" i="61"/>
  <c r="D243" i="61"/>
  <c r="E243" i="61"/>
  <c r="D244" i="61"/>
  <c r="E244" i="61"/>
  <c r="D245" i="61"/>
  <c r="E245" i="61"/>
  <c r="D246" i="61"/>
  <c r="E246" i="61"/>
  <c r="D202" i="61"/>
  <c r="E202" i="61"/>
  <c r="D203" i="61"/>
  <c r="E203" i="61"/>
  <c r="D204" i="61"/>
  <c r="E204" i="61"/>
  <c r="D205" i="61"/>
  <c r="E205" i="61"/>
  <c r="D206" i="61"/>
  <c r="E206" i="61"/>
  <c r="D207" i="61"/>
  <c r="E207" i="61"/>
  <c r="D113" i="61"/>
  <c r="E113" i="61"/>
  <c r="D114" i="61"/>
  <c r="E114" i="61"/>
  <c r="D115" i="61"/>
  <c r="E115" i="61"/>
  <c r="D116" i="61"/>
  <c r="E116" i="61"/>
  <c r="D117" i="61"/>
  <c r="E117" i="61"/>
  <c r="D118" i="61"/>
  <c r="E118" i="61"/>
  <c r="D89" i="61"/>
  <c r="E89" i="61"/>
  <c r="D90" i="61"/>
  <c r="E90" i="61"/>
  <c r="D91" i="61"/>
  <c r="E91" i="61"/>
  <c r="D92" i="61"/>
  <c r="E92" i="61"/>
  <c r="D93" i="61"/>
  <c r="E93" i="61"/>
  <c r="D94" i="61"/>
  <c r="E94" i="61"/>
  <c r="D28" i="61"/>
  <c r="E28" i="61"/>
  <c r="D29" i="61"/>
  <c r="E29" i="61"/>
  <c r="D30" i="61"/>
  <c r="E30" i="61"/>
  <c r="D31" i="61"/>
  <c r="E31" i="61"/>
  <c r="D32" i="61"/>
  <c r="E32" i="61"/>
  <c r="D33" i="61"/>
  <c r="E33" i="61"/>
  <c r="D384" i="59"/>
  <c r="E384" i="59"/>
  <c r="D385" i="59"/>
  <c r="E385" i="59"/>
  <c r="D386" i="59"/>
  <c r="E386" i="59"/>
  <c r="D387" i="59"/>
  <c r="E387" i="59"/>
  <c r="D388" i="59"/>
  <c r="E388" i="59"/>
  <c r="D389" i="59"/>
  <c r="E389" i="59"/>
  <c r="D293" i="59"/>
  <c r="E293" i="59"/>
  <c r="D294" i="59"/>
  <c r="E294" i="59"/>
  <c r="D295" i="59"/>
  <c r="E295" i="59"/>
  <c r="D296" i="59"/>
  <c r="E296" i="59"/>
  <c r="D297" i="59"/>
  <c r="E297" i="59"/>
  <c r="D298" i="59"/>
  <c r="E298" i="59"/>
  <c r="D240" i="59"/>
  <c r="E240" i="59"/>
  <c r="D241" i="59"/>
  <c r="E241" i="59"/>
  <c r="D242" i="59"/>
  <c r="E242" i="59"/>
  <c r="D243" i="59"/>
  <c r="E243" i="59"/>
  <c r="D244" i="59"/>
  <c r="E244" i="59"/>
  <c r="D245" i="59"/>
  <c r="E245" i="59"/>
  <c r="D202" i="59"/>
  <c r="E202" i="59"/>
  <c r="D203" i="59"/>
  <c r="E203" i="59"/>
  <c r="D204" i="59"/>
  <c r="E204" i="59"/>
  <c r="D205" i="59"/>
  <c r="E205" i="59"/>
  <c r="D206" i="59"/>
  <c r="E206" i="59"/>
  <c r="D207" i="59"/>
  <c r="E207" i="59"/>
  <c r="D113" i="59"/>
  <c r="E113" i="59"/>
  <c r="D114" i="59"/>
  <c r="E114" i="59"/>
  <c r="D115" i="59"/>
  <c r="E115" i="59"/>
  <c r="D116" i="59"/>
  <c r="E116" i="59"/>
  <c r="D117" i="59"/>
  <c r="E117" i="59"/>
  <c r="D118" i="59"/>
  <c r="E118" i="59"/>
  <c r="D88" i="59"/>
  <c r="E88" i="59"/>
  <c r="D89" i="59"/>
  <c r="E89" i="59"/>
  <c r="D90" i="59"/>
  <c r="E90" i="59"/>
  <c r="D91" i="59"/>
  <c r="E91" i="59"/>
  <c r="D92" i="59"/>
  <c r="E92" i="59"/>
  <c r="D93" i="59"/>
  <c r="E93" i="59"/>
  <c r="D28" i="59"/>
  <c r="E28" i="59"/>
  <c r="D29" i="59"/>
  <c r="E29" i="59"/>
  <c r="D30" i="59"/>
  <c r="E30" i="59"/>
  <c r="D31" i="59"/>
  <c r="E31" i="59"/>
  <c r="D32" i="59"/>
  <c r="E32" i="59"/>
  <c r="D33" i="59"/>
  <c r="E33" i="59"/>
  <c r="D240" i="85"/>
  <c r="E240" i="85"/>
  <c r="D241" i="85"/>
  <c r="E241" i="85"/>
  <c r="D242" i="85"/>
  <c r="E242" i="85"/>
  <c r="D243" i="85"/>
  <c r="E243" i="85"/>
  <c r="D244" i="85"/>
  <c r="E244" i="85"/>
  <c r="D245" i="85"/>
  <c r="E245" i="85"/>
  <c r="D175" i="85"/>
  <c r="E175" i="85"/>
  <c r="D176" i="85"/>
  <c r="E176" i="85"/>
  <c r="D177" i="85"/>
  <c r="E177" i="85"/>
  <c r="D178" i="85"/>
  <c r="E178" i="85"/>
  <c r="D179" i="85"/>
  <c r="E179" i="85"/>
  <c r="D180" i="85"/>
  <c r="E180" i="85"/>
  <c r="D111" i="85"/>
  <c r="E111" i="85"/>
  <c r="D112" i="85"/>
  <c r="E112" i="85"/>
  <c r="D113" i="85"/>
  <c r="E113" i="85"/>
  <c r="D114" i="85"/>
  <c r="E114" i="85"/>
  <c r="D115" i="85"/>
  <c r="E115" i="85"/>
  <c r="D116" i="85"/>
  <c r="E116" i="85"/>
  <c r="D31" i="85"/>
  <c r="E31" i="85"/>
  <c r="D32" i="85"/>
  <c r="E32" i="85"/>
  <c r="D33" i="85"/>
  <c r="E33" i="85"/>
  <c r="D34" i="85"/>
  <c r="E34" i="85"/>
  <c r="D35" i="85"/>
  <c r="E35" i="85"/>
  <c r="D36" i="85"/>
  <c r="E36" i="85"/>
  <c r="D242" i="84"/>
  <c r="E242" i="84"/>
  <c r="D243" i="84"/>
  <c r="E243" i="84"/>
  <c r="D244" i="84"/>
  <c r="E244" i="84"/>
  <c r="D245" i="84"/>
  <c r="E245" i="84"/>
  <c r="D246" i="84"/>
  <c r="E246" i="84"/>
  <c r="D247" i="84"/>
  <c r="E247" i="84"/>
  <c r="D177" i="84"/>
  <c r="E177" i="84"/>
  <c r="D178" i="84"/>
  <c r="E178" i="84"/>
  <c r="D179" i="84"/>
  <c r="E179" i="84"/>
  <c r="D180" i="84"/>
  <c r="E180" i="84"/>
  <c r="D181" i="84"/>
  <c r="E181" i="84"/>
  <c r="D182" i="84"/>
  <c r="E182" i="84"/>
  <c r="D113" i="84"/>
  <c r="E113" i="84"/>
  <c r="D114" i="84"/>
  <c r="E114" i="84"/>
  <c r="D115" i="84"/>
  <c r="E115" i="84"/>
  <c r="D116" i="84"/>
  <c r="E116" i="84"/>
  <c r="D117" i="84"/>
  <c r="E117" i="84"/>
  <c r="D118" i="84"/>
  <c r="E118" i="84"/>
  <c r="D32" i="84"/>
  <c r="E32" i="84"/>
  <c r="D33" i="84"/>
  <c r="E33" i="84"/>
  <c r="D34" i="84"/>
  <c r="E34" i="84"/>
  <c r="D35" i="84"/>
  <c r="E35" i="84"/>
  <c r="D36" i="84"/>
  <c r="E36" i="84"/>
  <c r="D37" i="84"/>
  <c r="E37" i="84"/>
  <c r="D47" i="80"/>
  <c r="E47" i="80"/>
  <c r="D48" i="80"/>
  <c r="E48" i="80"/>
  <c r="D49" i="80"/>
  <c r="E49" i="80"/>
  <c r="D50" i="80"/>
  <c r="E50" i="80"/>
  <c r="D51" i="80"/>
  <c r="E51" i="80"/>
  <c r="D52" i="80"/>
  <c r="E52" i="80"/>
  <c r="D27" i="80"/>
  <c r="E27" i="80"/>
  <c r="D28" i="80"/>
  <c r="E28" i="80"/>
  <c r="D29" i="80"/>
  <c r="E29" i="80"/>
  <c r="D30" i="80"/>
  <c r="E30" i="80"/>
  <c r="D31" i="80"/>
  <c r="E31" i="80"/>
  <c r="D32" i="80"/>
  <c r="E32" i="80"/>
  <c r="D66" i="74"/>
  <c r="E66" i="74"/>
  <c r="D67" i="74"/>
  <c r="E67" i="74"/>
  <c r="D68" i="74"/>
  <c r="E68" i="74"/>
  <c r="D69" i="74"/>
  <c r="E69" i="74"/>
  <c r="D70" i="74"/>
  <c r="E70" i="74"/>
  <c r="D71" i="74"/>
  <c r="E71" i="74"/>
  <c r="D27" i="74"/>
  <c r="E27" i="74"/>
  <c r="D28" i="74"/>
  <c r="E28" i="74"/>
  <c r="D29" i="74"/>
  <c r="E29" i="74"/>
  <c r="D30" i="74"/>
  <c r="E30" i="74"/>
  <c r="D31" i="74"/>
  <c r="E31" i="74"/>
  <c r="D32" i="74"/>
  <c r="E32" i="74"/>
  <c r="D135" i="50"/>
  <c r="E135" i="50"/>
  <c r="D136" i="50"/>
  <c r="E136" i="50"/>
  <c r="D137" i="50"/>
  <c r="E137" i="50"/>
  <c r="D138" i="50"/>
  <c r="E138" i="50"/>
  <c r="D139" i="50"/>
  <c r="E139" i="50"/>
  <c r="D140" i="50"/>
  <c r="E140" i="50"/>
  <c r="D77" i="50"/>
  <c r="E77" i="50"/>
  <c r="D78" i="50"/>
  <c r="E78" i="50"/>
  <c r="D79" i="50"/>
  <c r="E79" i="50"/>
  <c r="D80" i="50"/>
  <c r="E80" i="50"/>
  <c r="D81" i="50"/>
  <c r="E81" i="50"/>
  <c r="D82" i="50"/>
  <c r="E82" i="50"/>
  <c r="D30" i="50"/>
  <c r="E30" i="50"/>
  <c r="D31" i="50"/>
  <c r="E31" i="50"/>
  <c r="D32" i="50"/>
  <c r="E32" i="50"/>
  <c r="D33" i="50"/>
  <c r="E33" i="50"/>
  <c r="D34" i="50"/>
  <c r="E34" i="50"/>
  <c r="D35" i="50"/>
  <c r="E35" i="50"/>
  <c r="D55" i="51"/>
  <c r="E55" i="51"/>
  <c r="D56" i="51"/>
  <c r="E56" i="51"/>
  <c r="D57" i="51"/>
  <c r="E57" i="51"/>
  <c r="D58" i="51"/>
  <c r="E58" i="51"/>
  <c r="D59" i="51"/>
  <c r="E59" i="51"/>
  <c r="D60" i="51"/>
  <c r="E60" i="51"/>
  <c r="D91" i="88"/>
  <c r="E91" i="88"/>
  <c r="D92" i="88"/>
  <c r="E92" i="88"/>
  <c r="D93" i="88"/>
  <c r="E93" i="88"/>
  <c r="D94" i="88"/>
  <c r="E94" i="88"/>
  <c r="D95" i="88"/>
  <c r="E95" i="88"/>
  <c r="D96" i="88"/>
  <c r="E96" i="88"/>
  <c r="D52" i="88"/>
  <c r="E52" i="88"/>
  <c r="D53" i="88"/>
  <c r="E53" i="88"/>
  <c r="D54" i="88"/>
  <c r="E54" i="88"/>
  <c r="D55" i="88"/>
  <c r="E55" i="88"/>
  <c r="D56" i="88"/>
  <c r="E56" i="88"/>
  <c r="D57" i="88"/>
  <c r="E57" i="88"/>
  <c r="D26" i="88"/>
  <c r="E26" i="88"/>
  <c r="D27" i="88"/>
  <c r="E27" i="88"/>
  <c r="D28" i="88"/>
  <c r="E28" i="88"/>
  <c r="D29" i="88"/>
  <c r="E29" i="88"/>
  <c r="D30" i="88"/>
  <c r="E30" i="88"/>
  <c r="D31" i="88"/>
  <c r="E31" i="88"/>
  <c r="D43" i="78"/>
  <c r="E43" i="78"/>
  <c r="D44" i="78"/>
  <c r="E44" i="78"/>
  <c r="D45" i="78"/>
  <c r="E45" i="78"/>
  <c r="D46" i="78"/>
  <c r="E46" i="78"/>
  <c r="D47" i="78"/>
  <c r="E47" i="78"/>
  <c r="D48" i="78"/>
  <c r="E48" i="78"/>
  <c r="D45" i="76"/>
  <c r="E45" i="76"/>
  <c r="D46" i="76"/>
  <c r="E46" i="76"/>
  <c r="D47" i="76"/>
  <c r="E47" i="76"/>
  <c r="D48" i="76"/>
  <c r="E48" i="76"/>
  <c r="D49" i="76"/>
  <c r="E49" i="76"/>
  <c r="D50" i="76"/>
  <c r="E50" i="76"/>
  <c r="D41" i="75"/>
  <c r="E41" i="75"/>
  <c r="D42" i="75"/>
  <c r="E42" i="75"/>
  <c r="D43" i="75"/>
  <c r="E43" i="75"/>
  <c r="D44" i="75"/>
  <c r="E44" i="75"/>
  <c r="D45" i="75"/>
  <c r="E45" i="75"/>
  <c r="D46" i="75"/>
  <c r="E46" i="75"/>
  <c r="D131" i="72"/>
  <c r="E131" i="72"/>
  <c r="D132" i="72"/>
  <c r="E132" i="72"/>
  <c r="D133" i="72"/>
  <c r="E133" i="72"/>
  <c r="D134" i="72"/>
  <c r="E134" i="72"/>
  <c r="D135" i="72"/>
  <c r="E135" i="72"/>
  <c r="D136" i="72"/>
  <c r="E136" i="72"/>
  <c r="D108" i="72"/>
  <c r="E108" i="72"/>
  <c r="D109" i="72"/>
  <c r="E109" i="72"/>
  <c r="D110" i="72"/>
  <c r="E110" i="72"/>
  <c r="D111" i="72"/>
  <c r="E111" i="72"/>
  <c r="D112" i="72"/>
  <c r="E112" i="72"/>
  <c r="D113" i="72"/>
  <c r="E113" i="72"/>
  <c r="D45" i="72"/>
  <c r="E45" i="72"/>
  <c r="D46" i="72"/>
  <c r="E46" i="72"/>
  <c r="D47" i="72"/>
  <c r="E47" i="72"/>
  <c r="D48" i="72"/>
  <c r="E48" i="72"/>
  <c r="D49" i="72"/>
  <c r="E49" i="72"/>
  <c r="D50" i="72"/>
  <c r="E50" i="72"/>
  <c r="D224" i="43"/>
  <c r="E224" i="43"/>
  <c r="D225" i="43"/>
  <c r="E225" i="43"/>
  <c r="D226" i="43"/>
  <c r="E226" i="43"/>
  <c r="D227" i="43"/>
  <c r="E227" i="43"/>
  <c r="D228" i="43"/>
  <c r="E228" i="43"/>
  <c r="D229" i="43"/>
  <c r="E229" i="43"/>
  <c r="D186" i="43"/>
  <c r="E186" i="43"/>
  <c r="D187" i="43"/>
  <c r="E187" i="43"/>
  <c r="D188" i="43"/>
  <c r="E188" i="43"/>
  <c r="D189" i="43"/>
  <c r="E189" i="43"/>
  <c r="D190" i="43"/>
  <c r="E190" i="43"/>
  <c r="D191" i="43"/>
  <c r="E191" i="43"/>
  <c r="D161" i="43"/>
  <c r="E161" i="43"/>
  <c r="D162" i="43"/>
  <c r="E162" i="43"/>
  <c r="D163" i="43"/>
  <c r="E163" i="43"/>
  <c r="D164" i="43"/>
  <c r="E164" i="43"/>
  <c r="D165" i="43"/>
  <c r="E165" i="43"/>
  <c r="D166" i="43"/>
  <c r="E166" i="43"/>
  <c r="D105" i="43"/>
  <c r="E105" i="43"/>
  <c r="D106" i="43"/>
  <c r="E106" i="43"/>
  <c r="D107" i="43"/>
  <c r="E107" i="43"/>
  <c r="D108" i="43"/>
  <c r="E108" i="43"/>
  <c r="D109" i="43"/>
  <c r="E109" i="43"/>
  <c r="D110" i="43"/>
  <c r="E110" i="43"/>
  <c r="D56" i="43"/>
  <c r="E56" i="43"/>
  <c r="D57" i="43"/>
  <c r="E57" i="43"/>
  <c r="D58" i="43"/>
  <c r="E58" i="43"/>
  <c r="D59" i="43"/>
  <c r="E59" i="43"/>
  <c r="D60" i="43"/>
  <c r="E60" i="43"/>
  <c r="D61" i="43"/>
  <c r="E61" i="43"/>
  <c r="E107" i="41"/>
  <c r="E106" i="41"/>
  <c r="E105" i="41"/>
  <c r="E104" i="41"/>
  <c r="E103" i="41"/>
  <c r="E102" i="41"/>
  <c r="D103" i="41"/>
  <c r="D104" i="41"/>
  <c r="D105" i="41"/>
  <c r="D106" i="41"/>
  <c r="D107" i="41"/>
  <c r="D102" i="41"/>
  <c r="E36" i="56" a="1"/>
  <c r="E36" i="56" s="1"/>
  <c r="E37" i="56" a="1"/>
  <c r="E37" i="56" s="1"/>
  <c r="E38" i="56" a="1"/>
  <c r="E38" i="56" s="1"/>
  <c r="E41" i="56" a="1"/>
  <c r="E41" i="56" s="1"/>
  <c r="E40" i="56" a="1"/>
  <c r="E40" i="56" s="1"/>
  <c r="E39" i="56" a="1"/>
  <c r="E39" i="56" s="1"/>
  <c r="E32" i="56" a="1"/>
  <c r="E32" i="56" s="1"/>
  <c r="E31" i="56" a="1"/>
  <c r="E31" i="56" s="1"/>
  <c r="H11" i="36" a="1"/>
  <c r="H11" i="36" s="1"/>
  <c r="H12" i="36" a="1"/>
  <c r="H12" i="36" s="1"/>
  <c r="H13" i="36" a="1"/>
  <c r="H13" i="36" s="1"/>
  <c r="H14" i="36" a="1"/>
  <c r="H14" i="36" s="1"/>
  <c r="H15" i="36" a="1"/>
  <c r="H15" i="36" s="1"/>
  <c r="H16" i="36" a="1"/>
  <c r="H16" i="36" s="1"/>
  <c r="X128" i="69" s="1"/>
  <c r="H17" i="36" a="1"/>
  <c r="H17" i="36" s="1"/>
  <c r="X129" i="69" s="1"/>
  <c r="H18" i="36" a="1"/>
  <c r="H18" i="36" s="1"/>
  <c r="X130" i="69" s="1"/>
  <c r="H19" i="36" a="1"/>
  <c r="H19" i="36" s="1"/>
  <c r="X131" i="69" s="1"/>
  <c r="F11" i="36" a="1"/>
  <c r="F11" i="36" s="1"/>
  <c r="F12" i="36" a="1"/>
  <c r="F12" i="36" s="1"/>
  <c r="F13" i="36" a="1"/>
  <c r="F13" i="36" s="1"/>
  <c r="F14" i="36" a="1"/>
  <c r="F14" i="36" s="1"/>
  <c r="F15" i="36" a="1"/>
  <c r="F15" i="36" s="1"/>
  <c r="F16" i="36" a="1"/>
  <c r="F16" i="36" s="1"/>
  <c r="S128" i="69" s="1"/>
  <c r="F17" i="36" a="1"/>
  <c r="F17" i="36" s="1"/>
  <c r="S129" i="69" s="1"/>
  <c r="F18" i="36" a="1"/>
  <c r="F18" i="36" s="1"/>
  <c r="S130" i="69" s="1"/>
  <c r="F19" i="36" a="1"/>
  <c r="F19" i="36" s="1"/>
  <c r="S131" i="69" s="1"/>
  <c r="C339" i="112"/>
  <c r="D339" i="112"/>
  <c r="E339" i="112"/>
  <c r="F339" i="112"/>
  <c r="G339" i="112"/>
  <c r="I339" i="112"/>
  <c r="K339" i="112"/>
  <c r="M339" i="112"/>
  <c r="O339" i="112"/>
  <c r="P339" i="112"/>
  <c r="Q339" i="112"/>
  <c r="R339" i="112"/>
  <c r="S339" i="112"/>
  <c r="T339" i="112"/>
  <c r="U339" i="112"/>
  <c r="V339" i="112"/>
  <c r="W339" i="112"/>
  <c r="C340" i="112"/>
  <c r="D340" i="112"/>
  <c r="E340" i="112"/>
  <c r="F340" i="112"/>
  <c r="G340" i="112"/>
  <c r="I340" i="112"/>
  <c r="K340" i="112"/>
  <c r="M340" i="112"/>
  <c r="O340" i="112"/>
  <c r="P340" i="112"/>
  <c r="Q340" i="112"/>
  <c r="R340" i="112"/>
  <c r="S340" i="112"/>
  <c r="T340" i="112"/>
  <c r="U340" i="112"/>
  <c r="V340" i="112"/>
  <c r="W340" i="112"/>
  <c r="C341" i="112"/>
  <c r="D341" i="112"/>
  <c r="E341" i="112"/>
  <c r="F341" i="112"/>
  <c r="G341" i="112"/>
  <c r="I341" i="112"/>
  <c r="K341" i="112"/>
  <c r="M341" i="112"/>
  <c r="O341" i="112"/>
  <c r="P341" i="112"/>
  <c r="Q341" i="112"/>
  <c r="R341" i="112"/>
  <c r="S341" i="112"/>
  <c r="T341" i="112"/>
  <c r="U341" i="112"/>
  <c r="V341" i="112"/>
  <c r="W341" i="112"/>
  <c r="C342" i="112"/>
  <c r="D342" i="112"/>
  <c r="E342" i="112"/>
  <c r="F342" i="112"/>
  <c r="G342" i="112"/>
  <c r="I342" i="112"/>
  <c r="K342" i="112"/>
  <c r="M342" i="112"/>
  <c r="O342" i="112"/>
  <c r="P342" i="112"/>
  <c r="Q342" i="112"/>
  <c r="R342" i="112"/>
  <c r="S342" i="112"/>
  <c r="T342" i="112"/>
  <c r="U342" i="112"/>
  <c r="V342" i="112"/>
  <c r="W342" i="112"/>
  <c r="C343" i="112"/>
  <c r="D343" i="112"/>
  <c r="E343" i="112"/>
  <c r="F343" i="112"/>
  <c r="G343" i="112"/>
  <c r="I343" i="112"/>
  <c r="K343" i="112"/>
  <c r="M343" i="112"/>
  <c r="O343" i="112"/>
  <c r="P343" i="112"/>
  <c r="Q343" i="112"/>
  <c r="R343" i="112"/>
  <c r="S343" i="112"/>
  <c r="T343" i="112"/>
  <c r="U343" i="112"/>
  <c r="V343" i="112"/>
  <c r="W343" i="112"/>
  <c r="C344" i="112"/>
  <c r="D344" i="112"/>
  <c r="E344" i="112"/>
  <c r="F344" i="112"/>
  <c r="G344" i="112"/>
  <c r="I344" i="112"/>
  <c r="K344" i="112"/>
  <c r="M344" i="112"/>
  <c r="O344" i="112"/>
  <c r="P344" i="112"/>
  <c r="Q344" i="112"/>
  <c r="R344" i="112"/>
  <c r="S344" i="112"/>
  <c r="T344" i="112"/>
  <c r="U344" i="112"/>
  <c r="V344" i="112"/>
  <c r="W344" i="112"/>
  <c r="C345" i="112"/>
  <c r="D345" i="112"/>
  <c r="E345" i="112"/>
  <c r="F345" i="112"/>
  <c r="G345" i="112"/>
  <c r="H345" i="112"/>
  <c r="I345" i="112"/>
  <c r="J345" i="112"/>
  <c r="K345" i="112"/>
  <c r="M345" i="112"/>
  <c r="O345" i="112"/>
  <c r="P345" i="112"/>
  <c r="Q345" i="112"/>
  <c r="R345" i="112"/>
  <c r="S345" i="112"/>
  <c r="T345" i="112"/>
  <c r="U345" i="112"/>
  <c r="V345" i="112"/>
  <c r="W345" i="112"/>
  <c r="C346" i="112"/>
  <c r="D346" i="112"/>
  <c r="E346" i="112"/>
  <c r="F346" i="112"/>
  <c r="G346" i="112"/>
  <c r="I346" i="112"/>
  <c r="J346" i="112"/>
  <c r="K346" i="112"/>
  <c r="M346" i="112"/>
  <c r="O346" i="112"/>
  <c r="P346" i="112"/>
  <c r="Q346" i="112"/>
  <c r="R346" i="112"/>
  <c r="S346" i="112"/>
  <c r="T346" i="112"/>
  <c r="U346" i="112"/>
  <c r="V346" i="112"/>
  <c r="W346" i="112"/>
  <c r="C347" i="112"/>
  <c r="D347" i="112"/>
  <c r="E347" i="112"/>
  <c r="F347" i="112"/>
  <c r="G347" i="112"/>
  <c r="I347" i="112"/>
  <c r="K347" i="112"/>
  <c r="M347" i="112"/>
  <c r="O347" i="112"/>
  <c r="P347" i="112"/>
  <c r="Q347" i="112"/>
  <c r="R347" i="112"/>
  <c r="S347" i="112"/>
  <c r="T347" i="112"/>
  <c r="U347" i="112"/>
  <c r="V347" i="112"/>
  <c r="W347" i="112"/>
  <c r="C348" i="112"/>
  <c r="D348" i="112"/>
  <c r="E348" i="112"/>
  <c r="F348" i="112"/>
  <c r="G348" i="112"/>
  <c r="I348" i="112"/>
  <c r="K348" i="112"/>
  <c r="M348" i="112"/>
  <c r="O348" i="112"/>
  <c r="P348" i="112"/>
  <c r="Q348" i="112"/>
  <c r="R348" i="112"/>
  <c r="S348" i="112"/>
  <c r="T348" i="112"/>
  <c r="U348" i="112"/>
  <c r="V348" i="112"/>
  <c r="W348" i="112"/>
  <c r="C349" i="112"/>
  <c r="D349" i="112"/>
  <c r="E349" i="112"/>
  <c r="F349" i="112"/>
  <c r="G349" i="112"/>
  <c r="I349" i="112"/>
  <c r="K349" i="112"/>
  <c r="M349" i="112"/>
  <c r="O349" i="112"/>
  <c r="P349" i="112"/>
  <c r="Q349" i="112"/>
  <c r="R349" i="112"/>
  <c r="S349" i="112"/>
  <c r="T349" i="112"/>
  <c r="U349" i="112"/>
  <c r="V349" i="112"/>
  <c r="W349" i="112"/>
  <c r="C350" i="112"/>
  <c r="D350" i="112"/>
  <c r="E350" i="112"/>
  <c r="F350" i="112"/>
  <c r="G350" i="112"/>
  <c r="H350" i="112"/>
  <c r="I350" i="112"/>
  <c r="K350" i="112"/>
  <c r="M350" i="112"/>
  <c r="O350" i="112"/>
  <c r="P350" i="112"/>
  <c r="Q350" i="112"/>
  <c r="R350" i="112"/>
  <c r="S350" i="112"/>
  <c r="T350" i="112"/>
  <c r="U350" i="112"/>
  <c r="V350" i="112"/>
  <c r="W350" i="112"/>
  <c r="C351" i="112"/>
  <c r="D351" i="112"/>
  <c r="E351" i="112"/>
  <c r="F351" i="112"/>
  <c r="G351" i="112"/>
  <c r="I351" i="112"/>
  <c r="K351" i="112"/>
  <c r="M351" i="112"/>
  <c r="O351" i="112"/>
  <c r="P351" i="112"/>
  <c r="Q351" i="112"/>
  <c r="R351" i="112"/>
  <c r="S351" i="112"/>
  <c r="T351" i="112"/>
  <c r="U351" i="112"/>
  <c r="V351" i="112"/>
  <c r="W351" i="112"/>
  <c r="C352" i="112"/>
  <c r="D352" i="112"/>
  <c r="E352" i="112"/>
  <c r="F352" i="112"/>
  <c r="G352" i="112"/>
  <c r="I352" i="112"/>
  <c r="K352" i="112"/>
  <c r="M352" i="112"/>
  <c r="O352" i="112"/>
  <c r="P352" i="112"/>
  <c r="Q352" i="112"/>
  <c r="R352" i="112"/>
  <c r="S352" i="112"/>
  <c r="T352" i="112"/>
  <c r="U352" i="112"/>
  <c r="V352" i="112"/>
  <c r="W352" i="112"/>
  <c r="C353" i="112"/>
  <c r="D353" i="112"/>
  <c r="E353" i="112"/>
  <c r="F353" i="112"/>
  <c r="G353" i="112"/>
  <c r="H353" i="112"/>
  <c r="I353" i="112"/>
  <c r="K353" i="112"/>
  <c r="M353" i="112"/>
  <c r="O353" i="112"/>
  <c r="P353" i="112"/>
  <c r="Q353" i="112"/>
  <c r="R353" i="112"/>
  <c r="S353" i="112"/>
  <c r="T353" i="112"/>
  <c r="U353" i="112"/>
  <c r="V353" i="112"/>
  <c r="W353" i="112"/>
  <c r="H20" i="36" a="1"/>
  <c r="H20" i="36" s="1"/>
  <c r="X132" i="69" s="1"/>
  <c r="F20" i="36" a="1"/>
  <c r="F20" i="36" s="1"/>
  <c r="S132" i="69" s="1"/>
  <c r="D169" i="36"/>
  <c r="D168" i="36"/>
  <c r="D167" i="36"/>
  <c r="D166" i="36"/>
  <c r="D165" i="36"/>
  <c r="F104" i="36" a="1"/>
  <c r="F104" i="36" s="1"/>
  <c r="F105" i="36" a="1"/>
  <c r="F105" i="36" s="1"/>
  <c r="F106" i="36" a="1"/>
  <c r="F106" i="36" s="1"/>
  <c r="F107" i="36" a="1"/>
  <c r="F107" i="36" s="1"/>
  <c r="F108" i="36" a="1"/>
  <c r="F108" i="36" s="1"/>
  <c r="F109" i="36" a="1"/>
  <c r="F109" i="36" s="1"/>
  <c r="F110" i="36" a="1"/>
  <c r="F110" i="36" s="1"/>
  <c r="F111" i="36" a="1"/>
  <c r="F111" i="36" s="1"/>
  <c r="F112" i="36" a="1"/>
  <c r="F112" i="36" s="1"/>
  <c r="F113" i="36" a="1"/>
  <c r="F113" i="36" s="1"/>
  <c r="F114" i="36" a="1"/>
  <c r="F114" i="36" s="1"/>
  <c r="F115" i="36" a="1"/>
  <c r="F115" i="36" s="1"/>
  <c r="F116" i="36" a="1"/>
  <c r="F116" i="36" s="1"/>
  <c r="F117" i="36" a="1"/>
  <c r="F117" i="36" s="1"/>
  <c r="F103" i="36" a="1"/>
  <c r="F103" i="36" s="1"/>
  <c r="W150" i="36"/>
  <c r="V150" i="36"/>
  <c r="U150" i="36"/>
  <c r="T150" i="36"/>
  <c r="S150" i="36"/>
  <c r="R150" i="36"/>
  <c r="Q150" i="36"/>
  <c r="M150" i="36"/>
  <c r="I150" i="36"/>
  <c r="H150" i="36"/>
  <c r="J150" i="36" s="1"/>
  <c r="J353" i="112" s="1"/>
  <c r="F150" i="36"/>
  <c r="W149" i="36"/>
  <c r="V149" i="36"/>
  <c r="U149" i="36"/>
  <c r="T149" i="36"/>
  <c r="S149" i="36"/>
  <c r="R149" i="36"/>
  <c r="Q149" i="36"/>
  <c r="M149" i="36"/>
  <c r="I149" i="36"/>
  <c r="H149" i="36"/>
  <c r="J149" i="36" s="1"/>
  <c r="J352" i="112" s="1"/>
  <c r="F149" i="36"/>
  <c r="W148" i="36"/>
  <c r="V148" i="36"/>
  <c r="U148" i="36"/>
  <c r="T148" i="36"/>
  <c r="S148" i="36"/>
  <c r="R148" i="36"/>
  <c r="Q148" i="36"/>
  <c r="M148" i="36"/>
  <c r="I148" i="36"/>
  <c r="H148" i="36"/>
  <c r="J148" i="36" s="1"/>
  <c r="J351" i="112" s="1"/>
  <c r="F148" i="36"/>
  <c r="W147" i="36"/>
  <c r="V147" i="36"/>
  <c r="U147" i="36"/>
  <c r="T147" i="36"/>
  <c r="S147" i="36"/>
  <c r="R147" i="36"/>
  <c r="Q147" i="36"/>
  <c r="M147" i="36"/>
  <c r="I147" i="36"/>
  <c r="H147" i="36"/>
  <c r="J147" i="36" s="1"/>
  <c r="J350" i="112" s="1"/>
  <c r="F147" i="36"/>
  <c r="W146" i="36"/>
  <c r="V146" i="36"/>
  <c r="U146" i="36"/>
  <c r="T146" i="36"/>
  <c r="S146" i="36"/>
  <c r="R146" i="36"/>
  <c r="Q146" i="36"/>
  <c r="M146" i="36"/>
  <c r="I146" i="36"/>
  <c r="H146" i="36"/>
  <c r="J146" i="36" s="1"/>
  <c r="J349" i="112" s="1"/>
  <c r="F146" i="36"/>
  <c r="W145" i="36"/>
  <c r="V145" i="36"/>
  <c r="U145" i="36"/>
  <c r="T145" i="36"/>
  <c r="S145" i="36"/>
  <c r="R145" i="36"/>
  <c r="Q145" i="36"/>
  <c r="M145" i="36"/>
  <c r="I145" i="36"/>
  <c r="H145" i="36"/>
  <c r="J145" i="36" s="1"/>
  <c r="J348" i="112" s="1"/>
  <c r="F145" i="36"/>
  <c r="W144" i="36"/>
  <c r="V144" i="36"/>
  <c r="U144" i="36"/>
  <c r="T144" i="36"/>
  <c r="S144" i="36"/>
  <c r="R144" i="36"/>
  <c r="Q144" i="36"/>
  <c r="M144" i="36"/>
  <c r="I144" i="36"/>
  <c r="H144" i="36"/>
  <c r="J144" i="36" s="1"/>
  <c r="J347" i="112" s="1"/>
  <c r="F144" i="36"/>
  <c r="W143" i="36"/>
  <c r="V143" i="36"/>
  <c r="U143" i="36"/>
  <c r="T143" i="36"/>
  <c r="S143" i="36"/>
  <c r="R143" i="36"/>
  <c r="Q143" i="36"/>
  <c r="M143" i="36"/>
  <c r="I143" i="36"/>
  <c r="H143" i="36"/>
  <c r="J143" i="36" s="1"/>
  <c r="F143" i="36"/>
  <c r="W142" i="36"/>
  <c r="V142" i="36"/>
  <c r="U142" i="36"/>
  <c r="T142" i="36"/>
  <c r="S142" i="36"/>
  <c r="R142" i="36"/>
  <c r="Q142" i="36"/>
  <c r="M142" i="36"/>
  <c r="I142" i="36"/>
  <c r="H142" i="36"/>
  <c r="J142" i="36" s="1"/>
  <c r="F142" i="36"/>
  <c r="W141" i="36"/>
  <c r="V141" i="36"/>
  <c r="U141" i="36"/>
  <c r="T141" i="36"/>
  <c r="S141" i="36"/>
  <c r="R141" i="36"/>
  <c r="Q141" i="36"/>
  <c r="M141" i="36"/>
  <c r="I141" i="36"/>
  <c r="H141" i="36"/>
  <c r="J141" i="36" s="1"/>
  <c r="J344" i="112" s="1"/>
  <c r="F141" i="36"/>
  <c r="W140" i="36"/>
  <c r="V140" i="36"/>
  <c r="U140" i="36"/>
  <c r="T140" i="36"/>
  <c r="S140" i="36"/>
  <c r="R140" i="36"/>
  <c r="Q140" i="36"/>
  <c r="M140" i="36"/>
  <c r="I140" i="36"/>
  <c r="H140" i="36"/>
  <c r="J140" i="36" s="1"/>
  <c r="J343" i="112" s="1"/>
  <c r="F140" i="36"/>
  <c r="W139" i="36"/>
  <c r="V139" i="36"/>
  <c r="U139" i="36"/>
  <c r="T139" i="36"/>
  <c r="S139" i="36"/>
  <c r="R139" i="36"/>
  <c r="Q139" i="36"/>
  <c r="M139" i="36"/>
  <c r="I139" i="36"/>
  <c r="H139" i="36"/>
  <c r="J139" i="36" s="1"/>
  <c r="J342" i="112" s="1"/>
  <c r="F139" i="36"/>
  <c r="W138" i="36"/>
  <c r="V138" i="36"/>
  <c r="U138" i="36"/>
  <c r="T138" i="36"/>
  <c r="S138" i="36"/>
  <c r="R138" i="36"/>
  <c r="Q138" i="36"/>
  <c r="M138" i="36"/>
  <c r="I138" i="36"/>
  <c r="H138" i="36"/>
  <c r="J138" i="36" s="1"/>
  <c r="J341" i="112" s="1"/>
  <c r="F138" i="36"/>
  <c r="W137" i="36"/>
  <c r="V137" i="36"/>
  <c r="U137" i="36"/>
  <c r="T137" i="36"/>
  <c r="S137" i="36"/>
  <c r="R137" i="36"/>
  <c r="Q137" i="36"/>
  <c r="M137" i="36"/>
  <c r="I137" i="36"/>
  <c r="H137" i="36"/>
  <c r="J137" i="36" s="1"/>
  <c r="J340" i="112" s="1"/>
  <c r="F137" i="36"/>
  <c r="W136" i="36"/>
  <c r="V136" i="36"/>
  <c r="U136" i="36"/>
  <c r="T136" i="36"/>
  <c r="S136" i="36"/>
  <c r="R136" i="36"/>
  <c r="Q136" i="36"/>
  <c r="M136" i="36"/>
  <c r="I136" i="36"/>
  <c r="H136" i="36"/>
  <c r="J136" i="36" s="1"/>
  <c r="J339" i="112" s="1"/>
  <c r="F136" i="36"/>
  <c r="C81" i="36"/>
  <c r="C82" i="36"/>
  <c r="C80" i="36"/>
  <c r="D69" i="36"/>
  <c r="H69" i="36" s="1"/>
  <c r="K150" i="36" s="1"/>
  <c r="H68" i="36"/>
  <c r="K149" i="36" s="1"/>
  <c r="G68" i="36"/>
  <c r="K144" i="36" s="1"/>
  <c r="F68" i="36"/>
  <c r="K139" i="36" s="1"/>
  <c r="E68" i="36"/>
  <c r="H67" i="36"/>
  <c r="K148" i="36" s="1"/>
  <c r="G67" i="36"/>
  <c r="K143" i="36" s="1"/>
  <c r="F67" i="36"/>
  <c r="K138" i="36" s="1"/>
  <c r="E67" i="36"/>
  <c r="H66" i="36"/>
  <c r="K147" i="36" s="1"/>
  <c r="L147" i="36" s="1"/>
  <c r="L350" i="112" s="1"/>
  <c r="G66" i="36"/>
  <c r="K142" i="36" s="1"/>
  <c r="F66" i="36"/>
  <c r="K137" i="36" s="1"/>
  <c r="H347" i="112" l="1"/>
  <c r="H344" i="112"/>
  <c r="H349" i="112"/>
  <c r="H346" i="112"/>
  <c r="H341" i="112"/>
  <c r="H348" i="112"/>
  <c r="H352" i="112"/>
  <c r="H343" i="112"/>
  <c r="H351" i="112"/>
  <c r="H342" i="112"/>
  <c r="H339" i="112"/>
  <c r="H340" i="112"/>
  <c r="E1357" i="56"/>
  <c r="N1379" i="56"/>
  <c r="N257" i="112" s="1"/>
  <c r="J1424" i="56"/>
  <c r="J260" i="112" s="1"/>
  <c r="H260" i="112"/>
  <c r="L1379" i="56"/>
  <c r="J1423" i="56"/>
  <c r="J259" i="112" s="1"/>
  <c r="H259" i="112"/>
  <c r="J1422" i="56"/>
  <c r="J258" i="112" s="1"/>
  <c r="H258" i="112"/>
  <c r="C1411" i="56"/>
  <c r="K1423" i="56" s="1"/>
  <c r="K259" i="112" s="1"/>
  <c r="C1412" i="56"/>
  <c r="K1424" i="56" s="1"/>
  <c r="K260" i="112" s="1"/>
  <c r="D1399" i="56"/>
  <c r="L142" i="36"/>
  <c r="L345" i="112" s="1"/>
  <c r="G114" i="36"/>
  <c r="G17" i="36" s="1" a="1"/>
  <c r="G17" i="36" s="1"/>
  <c r="U129" i="69" s="1"/>
  <c r="L148" i="36"/>
  <c r="G109" i="36"/>
  <c r="E17" i="36" s="1" a="1"/>
  <c r="E17" i="36" s="1"/>
  <c r="R129" i="69" s="1"/>
  <c r="L149" i="36"/>
  <c r="L137" i="36"/>
  <c r="L138" i="36"/>
  <c r="L150" i="36"/>
  <c r="L143" i="36"/>
  <c r="C83" i="36"/>
  <c r="D83" i="36" s="1"/>
  <c r="D81" i="36"/>
  <c r="D82" i="36"/>
  <c r="E69" i="36"/>
  <c r="F69" i="36"/>
  <c r="K140" i="36" s="1"/>
  <c r="L140" i="36" s="1"/>
  <c r="G69" i="36"/>
  <c r="K145" i="36" s="1"/>
  <c r="L145" i="36" s="1"/>
  <c r="G104" i="36" l="1"/>
  <c r="D17" i="36" s="1" a="1"/>
  <c r="D17" i="36" s="1"/>
  <c r="P129" i="69" s="1"/>
  <c r="L340" i="112"/>
  <c r="G116" i="36"/>
  <c r="G19" i="36" s="1" a="1"/>
  <c r="G19" i="36" s="1"/>
  <c r="U131" i="69" s="1"/>
  <c r="L352" i="112"/>
  <c r="G107" i="36"/>
  <c r="D20" i="36" s="1" a="1"/>
  <c r="D20" i="36" s="1"/>
  <c r="P132" i="69" s="1"/>
  <c r="L343" i="112"/>
  <c r="G112" i="36"/>
  <c r="E20" i="36" s="1" a="1"/>
  <c r="E20" i="36" s="1"/>
  <c r="R132" i="69" s="1"/>
  <c r="E132" i="69" s="1"/>
  <c r="L348" i="112"/>
  <c r="G115" i="36"/>
  <c r="G18" i="36" s="1" a="1"/>
  <c r="G18" i="36" s="1"/>
  <c r="U130" i="69" s="1"/>
  <c r="L351" i="112"/>
  <c r="G110" i="36"/>
  <c r="E18" i="36" s="1" a="1"/>
  <c r="E18" i="36" s="1"/>
  <c r="R130" i="69" s="1"/>
  <c r="L346" i="112"/>
  <c r="G117" i="36"/>
  <c r="G20" i="36" s="1" a="1"/>
  <c r="G20" i="36" s="1"/>
  <c r="U132" i="69" s="1"/>
  <c r="L353" i="112"/>
  <c r="G105" i="36"/>
  <c r="D18" i="36" s="1" a="1"/>
  <c r="D18" i="36" s="1"/>
  <c r="P130" i="69" s="1"/>
  <c r="E130" i="69" s="1"/>
  <c r="L341" i="112"/>
  <c r="E129" i="69"/>
  <c r="L1424" i="56"/>
  <c r="G1418" i="56" s="1"/>
  <c r="N47" i="56" s="1" a="1"/>
  <c r="N47" i="56" s="1"/>
  <c r="V165" i="69" s="1"/>
  <c r="L1422" i="56"/>
  <c r="L260" i="112"/>
  <c r="L1423" i="56"/>
  <c r="L257" i="112"/>
  <c r="G1372" i="56"/>
  <c r="J61" i="56" s="1"/>
  <c r="R179" i="69" s="1"/>
  <c r="E179" i="69" s="1"/>
  <c r="E1399" i="56"/>
  <c r="N1422" i="56"/>
  <c r="N258" i="112" s="1"/>
  <c r="N1424" i="56"/>
  <c r="N260" i="112" s="1"/>
  <c r="H1416" i="56"/>
  <c r="N1423" i="56"/>
  <c r="N259" i="112" s="1"/>
  <c r="D84" i="36"/>
  <c r="E84" i="36" s="1"/>
  <c r="K136" i="36" s="1"/>
  <c r="L136" i="36" s="1"/>
  <c r="G103" i="36" l="1"/>
  <c r="D16" i="36" s="1" a="1"/>
  <c r="D16" i="36" s="1"/>
  <c r="P128" i="69" s="1"/>
  <c r="L339" i="112"/>
  <c r="G1417" i="56"/>
  <c r="N46" i="56" s="1" a="1"/>
  <c r="N46" i="56" s="1"/>
  <c r="V164" i="69" s="1"/>
  <c r="L259" i="112"/>
  <c r="G1416" i="56"/>
  <c r="N45" i="56" s="1" a="1"/>
  <c r="N45" i="56" s="1"/>
  <c r="V163" i="69" s="1"/>
  <c r="L258" i="112"/>
  <c r="F84" i="36"/>
  <c r="K141" i="36" s="1"/>
  <c r="G84" i="36"/>
  <c r="K146" i="36" s="1"/>
  <c r="E12" i="97" a="1"/>
  <c r="E12" i="97" s="1"/>
  <c r="J364" i="61"/>
  <c r="I364" i="61"/>
  <c r="R371" i="61"/>
  <c r="S371" i="61"/>
  <c r="T371" i="61"/>
  <c r="U371" i="61"/>
  <c r="V371" i="61"/>
  <c r="W371" i="61"/>
  <c r="R372" i="61"/>
  <c r="S372" i="61"/>
  <c r="T372" i="61"/>
  <c r="U372" i="61"/>
  <c r="V372" i="61"/>
  <c r="W372" i="61"/>
  <c r="Q372" i="61"/>
  <c r="Q371" i="61"/>
  <c r="I372" i="61"/>
  <c r="I371" i="61"/>
  <c r="H372" i="61"/>
  <c r="J372" i="61" s="1"/>
  <c r="H371" i="61"/>
  <c r="J371" i="61" s="1"/>
  <c r="F372" i="61"/>
  <c r="F371" i="61"/>
  <c r="C359" i="61"/>
  <c r="C356" i="61"/>
  <c r="J183" i="61"/>
  <c r="I183" i="61"/>
  <c r="R188" i="61"/>
  <c r="S188" i="61"/>
  <c r="T188" i="61"/>
  <c r="U188" i="61"/>
  <c r="V188" i="61"/>
  <c r="W188" i="61"/>
  <c r="Q188" i="61"/>
  <c r="I188" i="61"/>
  <c r="H188" i="61"/>
  <c r="J188" i="61" s="1"/>
  <c r="F188" i="61"/>
  <c r="C178" i="61"/>
  <c r="C175" i="61"/>
  <c r="R370" i="59"/>
  <c r="S370" i="59"/>
  <c r="T370" i="59"/>
  <c r="U370" i="59"/>
  <c r="V370" i="59"/>
  <c r="W370" i="59"/>
  <c r="Q370" i="59"/>
  <c r="R369" i="59"/>
  <c r="S369" i="59"/>
  <c r="T369" i="59"/>
  <c r="U369" i="59"/>
  <c r="V369" i="59"/>
  <c r="W369" i="59"/>
  <c r="Q369" i="59"/>
  <c r="I369" i="59"/>
  <c r="I370" i="59"/>
  <c r="H369" i="59"/>
  <c r="J369" i="59" s="1"/>
  <c r="H370" i="59"/>
  <c r="J370" i="59" s="1"/>
  <c r="F370" i="59"/>
  <c r="F369" i="59"/>
  <c r="H188" i="59"/>
  <c r="J188" i="59" s="1"/>
  <c r="E369" i="59"/>
  <c r="E370" i="59"/>
  <c r="C357" i="59"/>
  <c r="C354" i="59"/>
  <c r="J183" i="59"/>
  <c r="I183" i="59"/>
  <c r="R188" i="59"/>
  <c r="S188" i="59"/>
  <c r="T188" i="59"/>
  <c r="U188" i="59"/>
  <c r="V188" i="59"/>
  <c r="W188" i="59"/>
  <c r="Q188" i="59"/>
  <c r="I188" i="59"/>
  <c r="F188" i="59"/>
  <c r="C178" i="59"/>
  <c r="C175" i="59"/>
  <c r="D301" i="61" l="1"/>
  <c r="D119" i="61"/>
  <c r="N188" i="61" s="1"/>
  <c r="H183" i="61" s="1"/>
  <c r="C179" i="61"/>
  <c r="K188" i="61" s="1"/>
  <c r="L188" i="61" s="1"/>
  <c r="G183" i="61" s="1"/>
  <c r="C360" i="61"/>
  <c r="D299" i="59"/>
  <c r="C179" i="59"/>
  <c r="K188" i="59" s="1"/>
  <c r="L188" i="59" s="1"/>
  <c r="G183" i="59" s="1"/>
  <c r="C358" i="59"/>
  <c r="D119" i="59"/>
  <c r="K370" i="59" l="1"/>
  <c r="L370" i="59" s="1"/>
  <c r="G363" i="59" s="1"/>
  <c r="K369" i="59"/>
  <c r="L369" i="59" s="1"/>
  <c r="G362" i="59" s="1"/>
  <c r="E299" i="59"/>
  <c r="H362" i="59"/>
  <c r="N370" i="59"/>
  <c r="N369" i="59"/>
  <c r="E119" i="61"/>
  <c r="K372" i="61"/>
  <c r="L372" i="61" s="1"/>
  <c r="G365" i="61" s="1"/>
  <c r="K371" i="61"/>
  <c r="L371" i="61" s="1"/>
  <c r="G364" i="61" s="1"/>
  <c r="E301" i="61"/>
  <c r="N372" i="61"/>
  <c r="N371" i="61"/>
  <c r="H364" i="61" s="1"/>
  <c r="E119" i="59"/>
  <c r="N188" i="59"/>
  <c r="H183" i="59" s="1"/>
  <c r="F11" i="69" l="1"/>
  <c r="F12" i="69"/>
  <c r="F13" i="69"/>
  <c r="F14" i="69"/>
  <c r="F15" i="69"/>
  <c r="F16" i="69"/>
  <c r="F17" i="69"/>
  <c r="F18" i="69"/>
  <c r="F19" i="69"/>
  <c r="F20" i="69"/>
  <c r="F21" i="69"/>
  <c r="F22" i="69"/>
  <c r="F23" i="69"/>
  <c r="F10" i="69"/>
  <c r="F25" i="69"/>
  <c r="F26" i="69"/>
  <c r="F27" i="69"/>
  <c r="F28" i="69"/>
  <c r="F29" i="69"/>
  <c r="F30" i="69"/>
  <c r="F31" i="69"/>
  <c r="F32" i="69"/>
  <c r="F33" i="69"/>
  <c r="F34" i="69"/>
  <c r="F24" i="69"/>
  <c r="F37" i="69"/>
  <c r="F38" i="69"/>
  <c r="F36" i="69"/>
  <c r="F40" i="69"/>
  <c r="F41" i="69"/>
  <c r="F42" i="69"/>
  <c r="F43" i="69"/>
  <c r="F39" i="69"/>
  <c r="F45" i="69"/>
  <c r="F46" i="69"/>
  <c r="F47" i="69"/>
  <c r="F44" i="69"/>
  <c r="F48" i="69"/>
  <c r="F51" i="69"/>
  <c r="F52" i="69"/>
  <c r="F53" i="69"/>
  <c r="F54" i="69"/>
  <c r="F50" i="69"/>
  <c r="G56" i="69"/>
  <c r="G57" i="69"/>
  <c r="G55" i="69"/>
  <c r="G61" i="69"/>
  <c r="G60" i="69"/>
  <c r="F63" i="69"/>
  <c r="F62" i="69"/>
  <c r="F64" i="69"/>
  <c r="F66" i="69"/>
  <c r="F67" i="69"/>
  <c r="F69" i="69"/>
  <c r="F70" i="69"/>
  <c r="F71" i="69"/>
  <c r="F65" i="69"/>
  <c r="F73" i="69"/>
  <c r="F74" i="69"/>
  <c r="F75" i="69"/>
  <c r="F76" i="69"/>
  <c r="F77" i="69"/>
  <c r="F72" i="69"/>
  <c r="F79" i="69"/>
  <c r="F80" i="69"/>
  <c r="F78" i="69"/>
  <c r="F82" i="69"/>
  <c r="F83" i="69"/>
  <c r="F81" i="69"/>
  <c r="F104" i="69"/>
  <c r="F105" i="69"/>
  <c r="F106" i="69"/>
  <c r="F107" i="69"/>
  <c r="E107" i="69" s="1"/>
  <c r="F108" i="69"/>
  <c r="F109" i="69"/>
  <c r="F110" i="69"/>
  <c r="E110" i="69" s="1"/>
  <c r="F111" i="69"/>
  <c r="F112" i="69"/>
  <c r="E112" i="69" s="1"/>
  <c r="F103" i="69"/>
  <c r="F120" i="69"/>
  <c r="F121" i="69"/>
  <c r="F122" i="69"/>
  <c r="F119" i="69"/>
  <c r="G187" i="69"/>
  <c r="F196" i="69" l="1"/>
  <c r="F197" i="69"/>
  <c r="F198" i="69"/>
  <c r="F195" i="69"/>
  <c r="G204" i="69"/>
  <c r="F206" i="69"/>
  <c r="D12" i="100" a="1"/>
  <c r="D12" i="100" s="1"/>
  <c r="F193" i="69" s="1"/>
  <c r="D13" i="100" a="1"/>
  <c r="D13" i="100" s="1"/>
  <c r="F194" i="69" s="1"/>
  <c r="D11" i="100" a="1"/>
  <c r="D11" i="100" s="1"/>
  <c r="F192" i="69" s="1"/>
  <c r="D94" i="100"/>
  <c r="D93" i="100"/>
  <c r="D92" i="100"/>
  <c r="H11" i="103" a="1"/>
  <c r="H11" i="103" s="1"/>
  <c r="D12" i="103" a="1"/>
  <c r="D12" i="103" s="1"/>
  <c r="F94" i="69" s="1"/>
  <c r="D13" i="103" a="1"/>
  <c r="D13" i="103" s="1"/>
  <c r="F95" i="69" s="1"/>
  <c r="D14" i="103" a="1"/>
  <c r="D14" i="103" s="1"/>
  <c r="F96" i="69" s="1"/>
  <c r="D15" i="103" a="1"/>
  <c r="D15" i="103" s="1"/>
  <c r="F97" i="69" s="1"/>
  <c r="D16" i="103" a="1"/>
  <c r="D16" i="103" s="1"/>
  <c r="F98" i="69" s="1"/>
  <c r="D17" i="103" a="1"/>
  <c r="D17" i="103" s="1"/>
  <c r="F99" i="69" s="1"/>
  <c r="D18" i="103" a="1"/>
  <c r="D18" i="103" s="1"/>
  <c r="F100" i="69" s="1"/>
  <c r="D11" i="103" a="1"/>
  <c r="D11" i="103" s="1"/>
  <c r="F93" i="69" s="1"/>
  <c r="I12" i="103" a="1"/>
  <c r="I12" i="103" s="1"/>
  <c r="I13" i="103" a="1"/>
  <c r="I13" i="103" s="1"/>
  <c r="I15" i="103" a="1"/>
  <c r="I15" i="103" s="1"/>
  <c r="I16" i="103" a="1"/>
  <c r="I16" i="103" s="1"/>
  <c r="I17" i="103" a="1"/>
  <c r="I17" i="103" s="1"/>
  <c r="I11" i="103" a="1"/>
  <c r="I11" i="103" s="1"/>
  <c r="D12" i="97" a="1"/>
  <c r="D12" i="97" s="1"/>
  <c r="F85" i="69" s="1"/>
  <c r="D13" i="97" a="1"/>
  <c r="D13" i="97" s="1"/>
  <c r="F86" i="69" s="1"/>
  <c r="D14" i="97" a="1"/>
  <c r="D14" i="97" s="1"/>
  <c r="F87" i="69" s="1"/>
  <c r="D11" i="97" a="1"/>
  <c r="D11" i="97" s="1"/>
  <c r="F84" i="69" s="1"/>
  <c r="D12" i="101" a="1"/>
  <c r="D12" i="101" s="1"/>
  <c r="F89" i="69" s="1"/>
  <c r="D13" i="101" a="1"/>
  <c r="D13" i="101" s="1"/>
  <c r="F90" i="69" s="1"/>
  <c r="D14" i="101" a="1"/>
  <c r="D14" i="101" s="1"/>
  <c r="F91" i="69" s="1"/>
  <c r="D15" i="101" a="1"/>
  <c r="D15" i="101" s="1"/>
  <c r="F92" i="69" s="1"/>
  <c r="D11" i="101" a="1"/>
  <c r="D11" i="101" s="1"/>
  <c r="F88" i="69" s="1"/>
  <c r="I14" i="97" a="1"/>
  <c r="I14" i="97" s="1"/>
  <c r="I13" i="97" a="1"/>
  <c r="I13" i="97" s="1"/>
  <c r="I12" i="97" a="1"/>
  <c r="I12" i="97" s="1"/>
  <c r="J12" i="97" a="1"/>
  <c r="J12" i="97" s="1"/>
  <c r="C9" i="108"/>
  <c r="J161" i="99" l="1"/>
  <c r="D64" i="36"/>
  <c r="O417" i="112" l="1"/>
  <c r="G417" i="112"/>
  <c r="E417" i="112"/>
  <c r="D417" i="112"/>
  <c r="C417" i="112"/>
  <c r="O416" i="112"/>
  <c r="G416" i="112"/>
  <c r="E416" i="112"/>
  <c r="D416" i="112"/>
  <c r="C416" i="112"/>
  <c r="O415" i="112"/>
  <c r="G415" i="112"/>
  <c r="E415" i="112"/>
  <c r="D415" i="112"/>
  <c r="C415" i="112"/>
  <c r="Q414" i="112"/>
  <c r="O414" i="112"/>
  <c r="G414" i="112"/>
  <c r="E414" i="112"/>
  <c r="D414" i="112"/>
  <c r="C414" i="112"/>
  <c r="Q413" i="112"/>
  <c r="O413" i="112"/>
  <c r="G413" i="112"/>
  <c r="E413" i="112"/>
  <c r="D413" i="112"/>
  <c r="C413" i="112"/>
  <c r="O412" i="112"/>
  <c r="G412" i="112"/>
  <c r="F412" i="112"/>
  <c r="E412" i="112"/>
  <c r="D412" i="112"/>
  <c r="C412" i="112"/>
  <c r="O411" i="112"/>
  <c r="G411" i="112"/>
  <c r="E411" i="112"/>
  <c r="D411" i="112"/>
  <c r="C411" i="112"/>
  <c r="O410" i="112"/>
  <c r="G410" i="112"/>
  <c r="E410" i="112"/>
  <c r="D410" i="112"/>
  <c r="C410" i="112"/>
  <c r="C144" i="41"/>
  <c r="C87" i="72" l="1"/>
  <c r="C90" i="72" s="1"/>
  <c r="H182" i="73"/>
  <c r="H134" i="73"/>
  <c r="H133" i="73"/>
  <c r="H132" i="73"/>
  <c r="H131" i="73"/>
  <c r="H67" i="73"/>
  <c r="H66" i="73"/>
  <c r="H65" i="73"/>
  <c r="H64" i="73"/>
  <c r="H63" i="73"/>
  <c r="H62" i="73"/>
  <c r="H116" i="71"/>
  <c r="H115" i="71"/>
  <c r="H114" i="71"/>
  <c r="H113" i="71"/>
  <c r="H112" i="71"/>
  <c r="H111" i="71"/>
  <c r="H110" i="71"/>
  <c r="H109" i="71"/>
  <c r="H108" i="71"/>
  <c r="H107" i="71"/>
  <c r="H106" i="71"/>
  <c r="H105" i="71"/>
  <c r="H104" i="71"/>
  <c r="H103" i="71"/>
  <c r="H102" i="71"/>
  <c r="H101" i="71"/>
  <c r="H100" i="71"/>
  <c r="H99" i="71"/>
  <c r="H98" i="71"/>
  <c r="H97" i="71"/>
  <c r="H96" i="71"/>
  <c r="H118" i="48"/>
  <c r="H117" i="48"/>
  <c r="H432" i="99"/>
  <c r="H431" i="99"/>
  <c r="H430" i="99"/>
  <c r="H369" i="99"/>
  <c r="H368" i="99"/>
  <c r="H367" i="99"/>
  <c r="H290" i="99"/>
  <c r="H289" i="99"/>
  <c r="H288" i="99"/>
  <c r="H790" i="107"/>
  <c r="H789" i="107"/>
  <c r="H788" i="107"/>
  <c r="H787" i="107"/>
  <c r="H786" i="107"/>
  <c r="H785" i="107"/>
  <c r="H784" i="107"/>
  <c r="H783" i="107"/>
  <c r="H782" i="107"/>
  <c r="H781" i="107"/>
  <c r="H780" i="107"/>
  <c r="H779" i="107"/>
  <c r="H778" i="107"/>
  <c r="H777" i="107"/>
  <c r="H776" i="107"/>
  <c r="H775" i="107"/>
  <c r="H774" i="107"/>
  <c r="H773" i="107"/>
  <c r="H150" i="42"/>
  <c r="H149" i="42"/>
  <c r="H148" i="42"/>
  <c r="H111" i="42"/>
  <c r="H79" i="42"/>
  <c r="H78" i="42"/>
  <c r="H181" i="47"/>
  <c r="H180" i="47"/>
  <c r="H147" i="47"/>
  <c r="H146" i="47"/>
  <c r="H111" i="47"/>
  <c r="H121" i="57"/>
  <c r="H120" i="57"/>
  <c r="H86" i="57"/>
  <c r="H85" i="57"/>
  <c r="H57" i="57"/>
  <c r="H56" i="57"/>
  <c r="H110" i="96"/>
  <c r="H57" i="96"/>
  <c r="H56" i="96"/>
  <c r="H79" i="100"/>
  <c r="H154" i="44"/>
  <c r="H112" i="44"/>
  <c r="H111" i="44"/>
  <c r="H53" i="95"/>
  <c r="H51" i="95"/>
  <c r="H122" i="45"/>
  <c r="H121" i="45"/>
  <c r="H120" i="45"/>
  <c r="H119" i="45"/>
  <c r="H50" i="45"/>
  <c r="H49" i="45"/>
  <c r="H52" i="62"/>
  <c r="H51" i="62"/>
  <c r="H50" i="62"/>
  <c r="H1378" i="56"/>
  <c r="H256" i="112" s="1"/>
  <c r="H1377" i="56"/>
  <c r="H255" i="112" s="1"/>
  <c r="H1376" i="56"/>
  <c r="H254" i="112" s="1"/>
  <c r="H1311" i="56"/>
  <c r="H1310" i="56"/>
  <c r="H1309" i="56"/>
  <c r="H1249" i="56"/>
  <c r="H1248" i="56"/>
  <c r="H1247" i="56"/>
  <c r="H1187" i="56"/>
  <c r="H1186" i="56"/>
  <c r="H1185" i="56"/>
  <c r="H1184" i="56"/>
  <c r="H1183" i="56"/>
  <c r="H1182" i="56"/>
  <c r="H1181" i="56"/>
  <c r="H1180" i="56"/>
  <c r="H1179" i="56"/>
  <c r="H1178" i="56"/>
  <c r="H1177" i="56"/>
  <c r="H1176" i="56"/>
  <c r="H1029" i="56"/>
  <c r="H1028" i="56"/>
  <c r="H1027" i="56"/>
  <c r="H1026" i="56"/>
  <c r="H1025" i="56"/>
  <c r="H1024" i="56"/>
  <c r="H955" i="56"/>
  <c r="H954" i="56"/>
  <c r="H953" i="56"/>
  <c r="H952" i="56"/>
  <c r="H951" i="56"/>
  <c r="H950" i="56"/>
  <c r="H949" i="56"/>
  <c r="H948" i="56"/>
  <c r="H947" i="56"/>
  <c r="H946" i="56"/>
  <c r="H945" i="56"/>
  <c r="H944" i="56"/>
  <c r="H943" i="56"/>
  <c r="H942" i="56"/>
  <c r="H941" i="56"/>
  <c r="H940" i="56"/>
  <c r="H939" i="56"/>
  <c r="H938" i="56"/>
  <c r="H937" i="56"/>
  <c r="H936" i="56"/>
  <c r="H935" i="56"/>
  <c r="H934" i="56"/>
  <c r="H933" i="56"/>
  <c r="H932" i="56"/>
  <c r="H931" i="56"/>
  <c r="H930" i="56"/>
  <c r="H929" i="56"/>
  <c r="H928" i="56"/>
  <c r="H927" i="56"/>
  <c r="H926" i="56"/>
  <c r="H925" i="56"/>
  <c r="H924" i="56"/>
  <c r="H752" i="56"/>
  <c r="H751" i="56"/>
  <c r="H750" i="56"/>
  <c r="H749" i="56"/>
  <c r="H748" i="56"/>
  <c r="H747" i="56"/>
  <c r="H746" i="56"/>
  <c r="H745" i="56"/>
  <c r="H744" i="56"/>
  <c r="H743" i="56"/>
  <c r="H742" i="56"/>
  <c r="H741" i="56"/>
  <c r="H740" i="56"/>
  <c r="H739" i="56"/>
  <c r="H738" i="56"/>
  <c r="H737" i="56"/>
  <c r="H736" i="56"/>
  <c r="H735" i="56"/>
  <c r="H734" i="56"/>
  <c r="H733" i="56"/>
  <c r="H732" i="56"/>
  <c r="H731" i="56"/>
  <c r="H730" i="56"/>
  <c r="H729" i="56"/>
  <c r="H728" i="56"/>
  <c r="H727" i="56"/>
  <c r="H726" i="56"/>
  <c r="H725" i="56"/>
  <c r="H724" i="56"/>
  <c r="H723" i="56"/>
  <c r="H722" i="56"/>
  <c r="H721" i="56"/>
  <c r="H720" i="56"/>
  <c r="H570" i="56"/>
  <c r="H569" i="56"/>
  <c r="H568" i="56"/>
  <c r="H567" i="56"/>
  <c r="H566" i="56"/>
  <c r="H565" i="56"/>
  <c r="H564" i="56"/>
  <c r="H563" i="56"/>
  <c r="H562" i="56"/>
  <c r="H561" i="56"/>
  <c r="H560" i="56"/>
  <c r="H559" i="56"/>
  <c r="H414" i="56"/>
  <c r="H413" i="56"/>
  <c r="H412" i="56"/>
  <c r="H411" i="56"/>
  <c r="H410" i="56"/>
  <c r="H409" i="56"/>
  <c r="H408" i="56"/>
  <c r="H407" i="56"/>
  <c r="H406" i="56"/>
  <c r="H405" i="56"/>
  <c r="H404" i="56"/>
  <c r="H403" i="56"/>
  <c r="H402" i="56"/>
  <c r="H401" i="56"/>
  <c r="H400" i="56"/>
  <c r="H399" i="56"/>
  <c r="H398" i="56"/>
  <c r="H397" i="56"/>
  <c r="H396" i="56"/>
  <c r="H395" i="56"/>
  <c r="H394" i="56"/>
  <c r="H171" i="56"/>
  <c r="H170" i="56"/>
  <c r="H169" i="56"/>
  <c r="H168" i="56"/>
  <c r="H167" i="56"/>
  <c r="H166" i="56"/>
  <c r="H226" i="58"/>
  <c r="H225" i="58"/>
  <c r="H224" i="58"/>
  <c r="H223" i="58"/>
  <c r="H222" i="58"/>
  <c r="H147" i="58"/>
  <c r="H146" i="58"/>
  <c r="H145" i="58"/>
  <c r="H144" i="58"/>
  <c r="H143" i="58"/>
  <c r="H337" i="54"/>
  <c r="H336" i="54"/>
  <c r="H335" i="54"/>
  <c r="H334" i="54"/>
  <c r="H333" i="54"/>
  <c r="H332" i="54"/>
  <c r="H331" i="54"/>
  <c r="H330" i="54"/>
  <c r="H329" i="54"/>
  <c r="H328" i="54"/>
  <c r="H327" i="54"/>
  <c r="H326" i="54"/>
  <c r="H325" i="54"/>
  <c r="H324" i="54"/>
  <c r="H323" i="54"/>
  <c r="H322" i="54"/>
  <c r="H321" i="54"/>
  <c r="H320" i="54"/>
  <c r="H319" i="54"/>
  <c r="H318" i="54"/>
  <c r="H317" i="54"/>
  <c r="H316" i="54"/>
  <c r="H315" i="54"/>
  <c r="H314" i="54"/>
  <c r="H313" i="54"/>
  <c r="H312" i="54"/>
  <c r="H311" i="54"/>
  <c r="H310" i="54"/>
  <c r="H309" i="54"/>
  <c r="H308" i="54"/>
  <c r="H307" i="54"/>
  <c r="H306" i="54"/>
  <c r="H305" i="54"/>
  <c r="H304" i="54"/>
  <c r="H303" i="54"/>
  <c r="H302" i="54"/>
  <c r="H135" i="36"/>
  <c r="H134" i="36"/>
  <c r="H133" i="36"/>
  <c r="H132" i="36"/>
  <c r="H131" i="36"/>
  <c r="H130" i="36"/>
  <c r="H129" i="36"/>
  <c r="H128" i="36"/>
  <c r="H127" i="36"/>
  <c r="H126" i="36"/>
  <c r="H125" i="36"/>
  <c r="H124" i="36"/>
  <c r="H123" i="36"/>
  <c r="H122" i="36"/>
  <c r="H121" i="36"/>
  <c r="H99" i="109"/>
  <c r="H98" i="109"/>
  <c r="H97" i="109"/>
  <c r="H213" i="104"/>
  <c r="H212" i="104"/>
  <c r="H211" i="104"/>
  <c r="H210" i="104"/>
  <c r="H209" i="104"/>
  <c r="H208" i="104"/>
  <c r="H207" i="104"/>
  <c r="H184" i="98"/>
  <c r="H183" i="98"/>
  <c r="H182" i="98"/>
  <c r="H181" i="98"/>
  <c r="H180" i="98"/>
  <c r="H179" i="98"/>
  <c r="H178" i="98"/>
  <c r="H432" i="61"/>
  <c r="H370" i="61"/>
  <c r="H369" i="61"/>
  <c r="H187" i="61"/>
  <c r="H75" i="61"/>
  <c r="H417" i="59"/>
  <c r="H368" i="59"/>
  <c r="H367" i="59"/>
  <c r="H187" i="59"/>
  <c r="H74" i="59"/>
  <c r="H302" i="85"/>
  <c r="H301" i="85"/>
  <c r="H226" i="85"/>
  <c r="H225" i="85"/>
  <c r="H224" i="85"/>
  <c r="H223" i="85"/>
  <c r="H160" i="85"/>
  <c r="H159" i="85"/>
  <c r="H81" i="85"/>
  <c r="H80" i="85"/>
  <c r="H292" i="84"/>
  <c r="H291" i="84"/>
  <c r="H228" i="84"/>
  <c r="H227" i="84"/>
  <c r="H226" i="84"/>
  <c r="H225" i="84"/>
  <c r="H162" i="84"/>
  <c r="H161" i="84"/>
  <c r="H82" i="84"/>
  <c r="H81" i="84"/>
  <c r="H67" i="80"/>
  <c r="H104" i="74"/>
  <c r="H103" i="74"/>
  <c r="H52" i="74"/>
  <c r="H189" i="50"/>
  <c r="H417" i="112" s="1"/>
  <c r="H188" i="50"/>
  <c r="H416" i="112" s="1"/>
  <c r="H187" i="50"/>
  <c r="H415" i="112" s="1"/>
  <c r="H121" i="50"/>
  <c r="H414" i="112" s="1"/>
  <c r="H120" i="50"/>
  <c r="H413" i="112" s="1"/>
  <c r="H119" i="50"/>
  <c r="H412" i="112" s="1"/>
  <c r="H118" i="50"/>
  <c r="H411" i="112" s="1"/>
  <c r="H117" i="50"/>
  <c r="H410" i="112" s="1"/>
  <c r="H106" i="51"/>
  <c r="H105" i="51"/>
  <c r="H104" i="51"/>
  <c r="H103" i="51"/>
  <c r="H102" i="51"/>
  <c r="H101" i="51"/>
  <c r="H118" i="88"/>
  <c r="H76" i="88"/>
  <c r="H80" i="78"/>
  <c r="H79" i="78"/>
  <c r="H78" i="78"/>
  <c r="H77" i="78"/>
  <c r="H100" i="76"/>
  <c r="H99" i="76"/>
  <c r="H98" i="76"/>
  <c r="H97" i="76"/>
  <c r="H96" i="76"/>
  <c r="H95" i="76"/>
  <c r="H94" i="76"/>
  <c r="H93" i="76"/>
  <c r="H80" i="75"/>
  <c r="H79" i="75"/>
  <c r="H78" i="75"/>
  <c r="H77" i="75"/>
  <c r="H152" i="72"/>
  <c r="H151" i="72"/>
  <c r="H314" i="43"/>
  <c r="H313" i="43"/>
  <c r="H312" i="43"/>
  <c r="H311" i="43"/>
  <c r="H310" i="43"/>
  <c r="H309" i="43"/>
  <c r="H308" i="43"/>
  <c r="H307" i="43"/>
  <c r="H306" i="43"/>
  <c r="H305" i="43"/>
  <c r="H304" i="43"/>
  <c r="H303" i="43"/>
  <c r="H302" i="43"/>
  <c r="H301" i="43"/>
  <c r="H300" i="43"/>
  <c r="H299" i="43"/>
  <c r="H298" i="43"/>
  <c r="H297" i="43"/>
  <c r="H296" i="43"/>
  <c r="H295" i="43"/>
  <c r="H294" i="43"/>
  <c r="H293" i="43"/>
  <c r="H193" i="41"/>
  <c r="H192" i="41"/>
  <c r="H191" i="41"/>
  <c r="H190" i="41"/>
  <c r="H189" i="41"/>
  <c r="H188" i="41"/>
  <c r="H187" i="41"/>
  <c r="H186" i="41"/>
  <c r="H185" i="41"/>
  <c r="H184" i="41"/>
  <c r="H183" i="41"/>
  <c r="H182" i="41"/>
  <c r="H181" i="41"/>
  <c r="H180" i="41"/>
  <c r="H179" i="41"/>
  <c r="H178" i="41"/>
  <c r="H177" i="41"/>
  <c r="H176" i="41"/>
  <c r="E14" i="51" a="1"/>
  <c r="E14" i="51" s="1"/>
  <c r="P295" i="43"/>
  <c r="P61" i="112" s="1"/>
  <c r="O423" i="112"/>
  <c r="G423" i="112"/>
  <c r="E423" i="112"/>
  <c r="D423" i="112"/>
  <c r="C423" i="112"/>
  <c r="O422" i="112"/>
  <c r="G422" i="112"/>
  <c r="E422" i="112"/>
  <c r="D422" i="112"/>
  <c r="C422" i="112"/>
  <c r="O421" i="112"/>
  <c r="G421" i="112"/>
  <c r="E421" i="112"/>
  <c r="D421" i="112"/>
  <c r="C421" i="112"/>
  <c r="O420" i="112"/>
  <c r="G420" i="112"/>
  <c r="E420" i="112"/>
  <c r="D420" i="112"/>
  <c r="C420" i="112"/>
  <c r="O419" i="112"/>
  <c r="G419" i="112"/>
  <c r="E419" i="112"/>
  <c r="D419" i="112"/>
  <c r="C419" i="112"/>
  <c r="O418" i="112"/>
  <c r="G418" i="112"/>
  <c r="E418" i="112"/>
  <c r="D418" i="112"/>
  <c r="C418" i="112"/>
  <c r="O409" i="112"/>
  <c r="G409" i="112"/>
  <c r="E409" i="112"/>
  <c r="D409" i="112"/>
  <c r="C409" i="112"/>
  <c r="O408" i="112"/>
  <c r="G408" i="112"/>
  <c r="E408" i="112"/>
  <c r="D408" i="112"/>
  <c r="C408" i="112"/>
  <c r="O407" i="112"/>
  <c r="G407" i="112"/>
  <c r="E407" i="112"/>
  <c r="D407" i="112"/>
  <c r="C407" i="112"/>
  <c r="O406" i="112"/>
  <c r="G406" i="112"/>
  <c r="E406" i="112"/>
  <c r="D406" i="112"/>
  <c r="C406" i="112"/>
  <c r="O405" i="112"/>
  <c r="G405" i="112"/>
  <c r="E405" i="112"/>
  <c r="D405" i="112"/>
  <c r="C405" i="112"/>
  <c r="O404" i="112"/>
  <c r="G404" i="112"/>
  <c r="E404" i="112"/>
  <c r="D404" i="112"/>
  <c r="C404" i="112"/>
  <c r="P403" i="112"/>
  <c r="O403" i="112"/>
  <c r="M403" i="112"/>
  <c r="G403" i="112"/>
  <c r="E403" i="112"/>
  <c r="D403" i="112"/>
  <c r="C403" i="112"/>
  <c r="O402" i="112"/>
  <c r="G402" i="112"/>
  <c r="E402" i="112"/>
  <c r="D402" i="112"/>
  <c r="C402" i="112"/>
  <c r="O401" i="112"/>
  <c r="G401" i="112"/>
  <c r="E401" i="112"/>
  <c r="D401" i="112"/>
  <c r="C401" i="112"/>
  <c r="O400" i="112"/>
  <c r="G400" i="112"/>
  <c r="E400" i="112"/>
  <c r="D400" i="112"/>
  <c r="C400" i="112"/>
  <c r="O399" i="112"/>
  <c r="G399" i="112"/>
  <c r="E399" i="112"/>
  <c r="D399" i="112"/>
  <c r="C399" i="112"/>
  <c r="O398" i="112"/>
  <c r="G398" i="112"/>
  <c r="E398" i="112"/>
  <c r="D398" i="112"/>
  <c r="C398" i="112"/>
  <c r="O397" i="112"/>
  <c r="G397" i="112"/>
  <c r="E397" i="112"/>
  <c r="D397" i="112"/>
  <c r="C397" i="112"/>
  <c r="O396" i="112"/>
  <c r="G396" i="112"/>
  <c r="E396" i="112"/>
  <c r="D396" i="112"/>
  <c r="C396" i="112"/>
  <c r="O395" i="112"/>
  <c r="G395" i="112"/>
  <c r="E395" i="112"/>
  <c r="D395" i="112"/>
  <c r="C395" i="112"/>
  <c r="O394" i="112"/>
  <c r="G394" i="112"/>
  <c r="E394" i="112"/>
  <c r="D394" i="112"/>
  <c r="C394" i="112"/>
  <c r="Q393" i="112"/>
  <c r="P393" i="112"/>
  <c r="O393" i="112"/>
  <c r="M393" i="112"/>
  <c r="G393" i="112"/>
  <c r="E393" i="112"/>
  <c r="D393" i="112"/>
  <c r="C393" i="112"/>
  <c r="Q392" i="112"/>
  <c r="P392" i="112"/>
  <c r="O392" i="112"/>
  <c r="M392" i="112"/>
  <c r="G392" i="112"/>
  <c r="E392" i="112"/>
  <c r="D392" i="112"/>
  <c r="C392" i="112"/>
  <c r="O391" i="112"/>
  <c r="G391" i="112"/>
  <c r="E391" i="112"/>
  <c r="D391" i="112"/>
  <c r="C391" i="112"/>
  <c r="O390" i="112"/>
  <c r="G390" i="112"/>
  <c r="E390" i="112"/>
  <c r="D390" i="112"/>
  <c r="C390" i="112"/>
  <c r="O389" i="112"/>
  <c r="G389" i="112"/>
  <c r="E389" i="112"/>
  <c r="D389" i="112"/>
  <c r="C389" i="112"/>
  <c r="O388" i="112"/>
  <c r="G388" i="112"/>
  <c r="E388" i="112"/>
  <c r="D388" i="112"/>
  <c r="C388" i="112"/>
  <c r="O387" i="112"/>
  <c r="G387" i="112"/>
  <c r="E387" i="112"/>
  <c r="D387" i="112"/>
  <c r="C387" i="112"/>
  <c r="O386" i="112"/>
  <c r="G386" i="112"/>
  <c r="E386" i="112"/>
  <c r="D386" i="112"/>
  <c r="C386" i="112"/>
  <c r="P385" i="112"/>
  <c r="O385" i="112"/>
  <c r="M385" i="112"/>
  <c r="G385" i="112"/>
  <c r="E385" i="112"/>
  <c r="D385" i="112"/>
  <c r="C385" i="112"/>
  <c r="P384" i="112"/>
  <c r="O384" i="112"/>
  <c r="M384" i="112"/>
  <c r="G384" i="112"/>
  <c r="E384" i="112"/>
  <c r="D384" i="112"/>
  <c r="C384" i="112"/>
  <c r="O383" i="112"/>
  <c r="G383" i="112"/>
  <c r="E383" i="112"/>
  <c r="D383" i="112"/>
  <c r="C383" i="112"/>
  <c r="O382" i="112"/>
  <c r="G382" i="112"/>
  <c r="E382" i="112"/>
  <c r="D382" i="112"/>
  <c r="C382" i="112"/>
  <c r="O381" i="112"/>
  <c r="G381" i="112"/>
  <c r="E381" i="112"/>
  <c r="D381" i="112"/>
  <c r="C381" i="112"/>
  <c r="O380" i="112"/>
  <c r="G380" i="112"/>
  <c r="E380" i="112"/>
  <c r="D380" i="112"/>
  <c r="C380" i="112"/>
  <c r="O379" i="112"/>
  <c r="G379" i="112"/>
  <c r="E379" i="112"/>
  <c r="D379" i="112"/>
  <c r="C379" i="112"/>
  <c r="O378" i="112"/>
  <c r="G378" i="112"/>
  <c r="E378" i="112"/>
  <c r="D378" i="112"/>
  <c r="C378" i="112"/>
  <c r="O377" i="112"/>
  <c r="G377" i="112"/>
  <c r="E377" i="112"/>
  <c r="D377" i="112"/>
  <c r="C377" i="112"/>
  <c r="O376" i="112"/>
  <c r="G376" i="112"/>
  <c r="E376" i="112"/>
  <c r="D376" i="112"/>
  <c r="C376" i="112"/>
  <c r="O375" i="112"/>
  <c r="G375" i="112"/>
  <c r="E375" i="112"/>
  <c r="D375" i="112"/>
  <c r="C375" i="112"/>
  <c r="O374" i="112"/>
  <c r="G374" i="112"/>
  <c r="E374" i="112"/>
  <c r="D374" i="112"/>
  <c r="C374" i="112"/>
  <c r="O373" i="112"/>
  <c r="G373" i="112"/>
  <c r="E373" i="112"/>
  <c r="D373" i="112"/>
  <c r="C373" i="112"/>
  <c r="O372" i="112"/>
  <c r="G372" i="112"/>
  <c r="E372" i="112"/>
  <c r="D372" i="112"/>
  <c r="C372" i="112"/>
  <c r="O371" i="112"/>
  <c r="G371" i="112"/>
  <c r="E371" i="112"/>
  <c r="D371" i="112"/>
  <c r="C371" i="112"/>
  <c r="O370" i="112"/>
  <c r="G370" i="112"/>
  <c r="E370" i="112"/>
  <c r="D370" i="112"/>
  <c r="C370" i="112"/>
  <c r="O369" i="112"/>
  <c r="G369" i="112"/>
  <c r="E369" i="112"/>
  <c r="D369" i="112"/>
  <c r="C369" i="112"/>
  <c r="O368" i="112"/>
  <c r="G368" i="112"/>
  <c r="E368" i="112"/>
  <c r="D368" i="112"/>
  <c r="C368" i="112"/>
  <c r="O367" i="112"/>
  <c r="G367" i="112"/>
  <c r="E367" i="112"/>
  <c r="D367" i="112"/>
  <c r="C367" i="112"/>
  <c r="O366" i="112"/>
  <c r="G366" i="112"/>
  <c r="E366" i="112"/>
  <c r="D366" i="112"/>
  <c r="C366" i="112"/>
  <c r="O365" i="112"/>
  <c r="G365" i="112"/>
  <c r="E365" i="112"/>
  <c r="D365" i="112"/>
  <c r="C365" i="112"/>
  <c r="O364" i="112"/>
  <c r="G364" i="112"/>
  <c r="E364" i="112"/>
  <c r="D364" i="112"/>
  <c r="C364" i="112"/>
  <c r="O363" i="112"/>
  <c r="G363" i="112"/>
  <c r="E363" i="112"/>
  <c r="D363" i="112"/>
  <c r="C363" i="112"/>
  <c r="O362" i="112"/>
  <c r="G362" i="112"/>
  <c r="E362" i="112"/>
  <c r="D362" i="112"/>
  <c r="C362" i="112"/>
  <c r="O361" i="112"/>
  <c r="G361" i="112"/>
  <c r="E361" i="112"/>
  <c r="D361" i="112"/>
  <c r="C361" i="112"/>
  <c r="O360" i="112"/>
  <c r="G360" i="112"/>
  <c r="E360" i="112"/>
  <c r="D360" i="112"/>
  <c r="C360" i="112"/>
  <c r="O359" i="112"/>
  <c r="G359" i="112"/>
  <c r="E359" i="112"/>
  <c r="D359" i="112"/>
  <c r="C359" i="112"/>
  <c r="O358" i="112"/>
  <c r="G358" i="112"/>
  <c r="E358" i="112"/>
  <c r="D358" i="112"/>
  <c r="C358" i="112"/>
  <c r="O357" i="112"/>
  <c r="G357" i="112"/>
  <c r="E357" i="112"/>
  <c r="D357" i="112"/>
  <c r="C357" i="112"/>
  <c r="O356" i="112"/>
  <c r="G356" i="112"/>
  <c r="E356" i="112"/>
  <c r="D356" i="112"/>
  <c r="C356" i="112"/>
  <c r="O355" i="112"/>
  <c r="G355" i="112"/>
  <c r="E355" i="112"/>
  <c r="D355" i="112"/>
  <c r="C355" i="112"/>
  <c r="O354" i="112"/>
  <c r="G354" i="112"/>
  <c r="E354" i="112"/>
  <c r="D354" i="112"/>
  <c r="C354" i="112"/>
  <c r="O338" i="112"/>
  <c r="G338" i="112"/>
  <c r="E338" i="112"/>
  <c r="D338" i="112"/>
  <c r="C338" i="112"/>
  <c r="O337" i="112"/>
  <c r="G337" i="112"/>
  <c r="E337" i="112"/>
  <c r="D337" i="112"/>
  <c r="C337" i="112"/>
  <c r="O336" i="112"/>
  <c r="G336" i="112"/>
  <c r="E336" i="112"/>
  <c r="D336" i="112"/>
  <c r="C336" i="112"/>
  <c r="O335" i="112"/>
  <c r="G335" i="112"/>
  <c r="E335" i="112"/>
  <c r="D335" i="112"/>
  <c r="C335" i="112"/>
  <c r="O334" i="112"/>
  <c r="G334" i="112"/>
  <c r="E334" i="112"/>
  <c r="D334" i="112"/>
  <c r="C334" i="112"/>
  <c r="O333" i="112"/>
  <c r="G333" i="112"/>
  <c r="E333" i="112"/>
  <c r="D333" i="112"/>
  <c r="C333" i="112"/>
  <c r="O332" i="112"/>
  <c r="G332" i="112"/>
  <c r="E332" i="112"/>
  <c r="D332" i="112"/>
  <c r="C332" i="112"/>
  <c r="O331" i="112"/>
  <c r="G331" i="112"/>
  <c r="E331" i="112"/>
  <c r="D331" i="112"/>
  <c r="C331" i="112"/>
  <c r="O330" i="112"/>
  <c r="G330" i="112"/>
  <c r="E330" i="112"/>
  <c r="D330" i="112"/>
  <c r="C330" i="112"/>
  <c r="O329" i="112"/>
  <c r="G329" i="112"/>
  <c r="E329" i="112"/>
  <c r="D329" i="112"/>
  <c r="C329" i="112"/>
  <c r="O328" i="112"/>
  <c r="G328" i="112"/>
  <c r="E328" i="112"/>
  <c r="D328" i="112"/>
  <c r="C328" i="112"/>
  <c r="O327" i="112"/>
  <c r="G327" i="112"/>
  <c r="E327" i="112"/>
  <c r="D327" i="112"/>
  <c r="C327" i="112"/>
  <c r="O326" i="112"/>
  <c r="G326" i="112"/>
  <c r="E326" i="112"/>
  <c r="D326" i="112"/>
  <c r="C326" i="112"/>
  <c r="O325" i="112"/>
  <c r="G325" i="112"/>
  <c r="E325" i="112"/>
  <c r="D325" i="112"/>
  <c r="C325" i="112"/>
  <c r="O324" i="112"/>
  <c r="G324" i="112"/>
  <c r="E324" i="112"/>
  <c r="D324" i="112"/>
  <c r="C324" i="112"/>
  <c r="O323" i="112"/>
  <c r="G323" i="112"/>
  <c r="E323" i="112"/>
  <c r="D323" i="112"/>
  <c r="C323" i="112"/>
  <c r="O322" i="112"/>
  <c r="G322" i="112"/>
  <c r="E322" i="112"/>
  <c r="D322" i="112"/>
  <c r="C322" i="112"/>
  <c r="O321" i="112"/>
  <c r="G321" i="112"/>
  <c r="E321" i="112"/>
  <c r="D321" i="112"/>
  <c r="C321" i="112"/>
  <c r="O320" i="112"/>
  <c r="G320" i="112"/>
  <c r="E320" i="112"/>
  <c r="D320" i="112"/>
  <c r="C320" i="112"/>
  <c r="O319" i="112"/>
  <c r="G319" i="112"/>
  <c r="E319" i="112"/>
  <c r="D319" i="112"/>
  <c r="C319" i="112"/>
  <c r="O318" i="112"/>
  <c r="G318" i="112"/>
  <c r="E318" i="112"/>
  <c r="D318" i="112"/>
  <c r="C318" i="112"/>
  <c r="O311" i="112"/>
  <c r="G311" i="112"/>
  <c r="E311" i="112"/>
  <c r="D311" i="112"/>
  <c r="C311" i="112"/>
  <c r="O310" i="112"/>
  <c r="G310" i="112"/>
  <c r="E310" i="112"/>
  <c r="D310" i="112"/>
  <c r="C310" i="112"/>
  <c r="O309" i="112"/>
  <c r="G309" i="112"/>
  <c r="E309" i="112"/>
  <c r="D309" i="112"/>
  <c r="C309" i="112"/>
  <c r="O308" i="112"/>
  <c r="G308" i="112"/>
  <c r="E308" i="112"/>
  <c r="D308" i="112"/>
  <c r="C308" i="112"/>
  <c r="O307" i="112"/>
  <c r="G307" i="112"/>
  <c r="E307" i="112"/>
  <c r="D307" i="112"/>
  <c r="C307" i="112"/>
  <c r="O306" i="112"/>
  <c r="H306" i="112"/>
  <c r="G306" i="112"/>
  <c r="E306" i="112"/>
  <c r="D306" i="112"/>
  <c r="C306" i="112"/>
  <c r="O305" i="112"/>
  <c r="G305" i="112"/>
  <c r="E305" i="112"/>
  <c r="D305" i="112"/>
  <c r="C305" i="112"/>
  <c r="O304" i="112"/>
  <c r="G304" i="112"/>
  <c r="E304" i="112"/>
  <c r="D304" i="112"/>
  <c r="C304" i="112"/>
  <c r="O303" i="112"/>
  <c r="G303" i="112"/>
  <c r="F303" i="112"/>
  <c r="E303" i="112"/>
  <c r="D303" i="112"/>
  <c r="C303" i="112"/>
  <c r="O302" i="112"/>
  <c r="G302" i="112"/>
  <c r="F302" i="112"/>
  <c r="E302" i="112"/>
  <c r="D302" i="112"/>
  <c r="C302" i="112"/>
  <c r="O301" i="112"/>
  <c r="G301" i="112"/>
  <c r="E301" i="112"/>
  <c r="D301" i="112"/>
  <c r="C301" i="112"/>
  <c r="O300" i="112"/>
  <c r="G300" i="112"/>
  <c r="E300" i="112"/>
  <c r="D300" i="112"/>
  <c r="C300" i="112"/>
  <c r="O281" i="112"/>
  <c r="G281" i="112"/>
  <c r="E281" i="112"/>
  <c r="D281" i="112"/>
  <c r="C281" i="112"/>
  <c r="O280" i="112"/>
  <c r="G280" i="112"/>
  <c r="E280" i="112"/>
  <c r="D280" i="112"/>
  <c r="C280" i="112"/>
  <c r="O279" i="112"/>
  <c r="G279" i="112"/>
  <c r="E279" i="112"/>
  <c r="D279" i="112"/>
  <c r="C279" i="112"/>
  <c r="O278" i="112"/>
  <c r="G278" i="112"/>
  <c r="E278" i="112"/>
  <c r="D278" i="112"/>
  <c r="C278" i="112"/>
  <c r="O277" i="112"/>
  <c r="G277" i="112"/>
  <c r="E277" i="112"/>
  <c r="D277" i="112"/>
  <c r="C277" i="112"/>
  <c r="O276" i="112"/>
  <c r="G276" i="112"/>
  <c r="E276" i="112"/>
  <c r="D276" i="112"/>
  <c r="C276" i="112"/>
  <c r="O275" i="112"/>
  <c r="G275" i="112"/>
  <c r="E275" i="112"/>
  <c r="D275" i="112"/>
  <c r="C275" i="112"/>
  <c r="O274" i="112"/>
  <c r="G274" i="112"/>
  <c r="E274" i="112"/>
  <c r="D274" i="112"/>
  <c r="C274" i="112"/>
  <c r="O273" i="112"/>
  <c r="G273" i="112"/>
  <c r="E273" i="112"/>
  <c r="D273" i="112"/>
  <c r="C273" i="112"/>
  <c r="O272" i="112"/>
  <c r="G272" i="112"/>
  <c r="E272" i="112"/>
  <c r="D272" i="112"/>
  <c r="C272" i="112"/>
  <c r="O271" i="112"/>
  <c r="G271" i="112"/>
  <c r="E271" i="112"/>
  <c r="D271" i="112"/>
  <c r="C271" i="112"/>
  <c r="O270" i="112"/>
  <c r="G270" i="112"/>
  <c r="E270" i="112"/>
  <c r="D270" i="112"/>
  <c r="C270" i="112"/>
  <c r="O269" i="112"/>
  <c r="G269" i="112"/>
  <c r="E269" i="112"/>
  <c r="D269" i="112"/>
  <c r="C269" i="112"/>
  <c r="O268" i="112"/>
  <c r="G268" i="112"/>
  <c r="E268" i="112"/>
  <c r="D268" i="112"/>
  <c r="C268" i="112"/>
  <c r="O267" i="112"/>
  <c r="G267" i="112"/>
  <c r="E267" i="112"/>
  <c r="D267" i="112"/>
  <c r="C267" i="112"/>
  <c r="O266" i="112"/>
  <c r="G266" i="112"/>
  <c r="E266" i="112"/>
  <c r="D266" i="112"/>
  <c r="C266" i="112"/>
  <c r="O265" i="112"/>
  <c r="G265" i="112"/>
  <c r="E265" i="112"/>
  <c r="D265" i="112"/>
  <c r="C265" i="112"/>
  <c r="O264" i="112"/>
  <c r="G264" i="112"/>
  <c r="E264" i="112"/>
  <c r="D264" i="112"/>
  <c r="C264" i="112"/>
  <c r="O263" i="112"/>
  <c r="G263" i="112"/>
  <c r="E263" i="112"/>
  <c r="D263" i="112"/>
  <c r="C263" i="112"/>
  <c r="O262" i="112"/>
  <c r="G262" i="112"/>
  <c r="E262" i="112"/>
  <c r="D262" i="112"/>
  <c r="C262" i="112"/>
  <c r="O261" i="112"/>
  <c r="G261" i="112"/>
  <c r="E261" i="112"/>
  <c r="D261" i="112"/>
  <c r="C261" i="112"/>
  <c r="O253" i="112"/>
  <c r="G253" i="112"/>
  <c r="E253" i="112"/>
  <c r="D253" i="112"/>
  <c r="C253" i="112"/>
  <c r="O252" i="112"/>
  <c r="G252" i="112"/>
  <c r="E252" i="112"/>
  <c r="D252" i="112"/>
  <c r="C252" i="112"/>
  <c r="O251" i="112"/>
  <c r="G251" i="112"/>
  <c r="E251" i="112"/>
  <c r="D251" i="112"/>
  <c r="C251" i="112"/>
  <c r="O250" i="112"/>
  <c r="G250" i="112"/>
  <c r="E250" i="112"/>
  <c r="D250" i="112"/>
  <c r="C250" i="112"/>
  <c r="O249" i="112"/>
  <c r="G249" i="112"/>
  <c r="E249" i="112"/>
  <c r="D249" i="112"/>
  <c r="C249" i="112"/>
  <c r="O248" i="112"/>
  <c r="G248" i="112"/>
  <c r="E248" i="112"/>
  <c r="D248" i="112"/>
  <c r="C248" i="112"/>
  <c r="O247" i="112"/>
  <c r="G247" i="112"/>
  <c r="E247" i="112"/>
  <c r="D247" i="112"/>
  <c r="C247" i="112"/>
  <c r="O246" i="112"/>
  <c r="G246" i="112"/>
  <c r="E246" i="112"/>
  <c r="D246" i="112"/>
  <c r="C246" i="112"/>
  <c r="O245" i="112"/>
  <c r="G245" i="112"/>
  <c r="E245" i="112"/>
  <c r="D245" i="112"/>
  <c r="C245" i="112"/>
  <c r="O244" i="112"/>
  <c r="G244" i="112"/>
  <c r="E244" i="112"/>
  <c r="D244" i="112"/>
  <c r="C244" i="112"/>
  <c r="O243" i="112"/>
  <c r="G243" i="112"/>
  <c r="E243" i="112"/>
  <c r="D243" i="112"/>
  <c r="C243" i="112"/>
  <c r="O242" i="112"/>
  <c r="G242" i="112"/>
  <c r="E242" i="112"/>
  <c r="D242" i="112"/>
  <c r="C242" i="112"/>
  <c r="O241" i="112"/>
  <c r="G241" i="112"/>
  <c r="E241" i="112"/>
  <c r="D241" i="112"/>
  <c r="C241" i="112"/>
  <c r="O240" i="112"/>
  <c r="G240" i="112"/>
  <c r="E240" i="112"/>
  <c r="D240" i="112"/>
  <c r="C240" i="112"/>
  <c r="O239" i="112"/>
  <c r="G239" i="112"/>
  <c r="E239" i="112"/>
  <c r="D239" i="112"/>
  <c r="C239" i="112"/>
  <c r="O238" i="112"/>
  <c r="G238" i="112"/>
  <c r="E238" i="112"/>
  <c r="D238" i="112"/>
  <c r="C238" i="112"/>
  <c r="O237" i="112"/>
  <c r="G237" i="112"/>
  <c r="E237" i="112"/>
  <c r="D237" i="112"/>
  <c r="C237" i="112"/>
  <c r="O236" i="112"/>
  <c r="G236" i="112"/>
  <c r="E236" i="112"/>
  <c r="D236" i="112"/>
  <c r="C236" i="112"/>
  <c r="O235" i="112"/>
  <c r="G235" i="112"/>
  <c r="E235" i="112"/>
  <c r="D235" i="112"/>
  <c r="C235" i="112"/>
  <c r="O234" i="112"/>
  <c r="G234" i="112"/>
  <c r="E234" i="112"/>
  <c r="D234" i="112"/>
  <c r="C234" i="112"/>
  <c r="O233" i="112"/>
  <c r="G233" i="112"/>
  <c r="E233" i="112"/>
  <c r="D233" i="112"/>
  <c r="C233" i="112"/>
  <c r="O232" i="112"/>
  <c r="G232" i="112"/>
  <c r="E232" i="112"/>
  <c r="D232" i="112"/>
  <c r="C232" i="112"/>
  <c r="O231" i="112"/>
  <c r="G231" i="112"/>
  <c r="E231" i="112"/>
  <c r="D231" i="112"/>
  <c r="C231" i="112"/>
  <c r="O230" i="112"/>
  <c r="G230" i="112"/>
  <c r="E230" i="112"/>
  <c r="D230" i="112"/>
  <c r="C230" i="112"/>
  <c r="O229" i="112"/>
  <c r="G229" i="112"/>
  <c r="E229" i="112"/>
  <c r="D229" i="112"/>
  <c r="C229" i="112"/>
  <c r="O228" i="112"/>
  <c r="G228" i="112"/>
  <c r="E228" i="112"/>
  <c r="D228" i="112"/>
  <c r="C228" i="112"/>
  <c r="O227" i="112"/>
  <c r="G227" i="112"/>
  <c r="E227" i="112"/>
  <c r="D227" i="112"/>
  <c r="C227" i="112"/>
  <c r="O226" i="112"/>
  <c r="G226" i="112"/>
  <c r="E226" i="112"/>
  <c r="D226" i="112"/>
  <c r="C226" i="112"/>
  <c r="O225" i="112"/>
  <c r="G225" i="112"/>
  <c r="E225" i="112"/>
  <c r="D225" i="112"/>
  <c r="C225" i="112"/>
  <c r="O224" i="112"/>
  <c r="G224" i="112"/>
  <c r="E224" i="112"/>
  <c r="D224" i="112"/>
  <c r="C224" i="112"/>
  <c r="O223" i="112"/>
  <c r="G223" i="112"/>
  <c r="E223" i="112"/>
  <c r="D223" i="112"/>
  <c r="C223" i="112"/>
  <c r="O222" i="112"/>
  <c r="G222" i="112"/>
  <c r="E222" i="112"/>
  <c r="D222" i="112"/>
  <c r="C222" i="112"/>
  <c r="O221" i="112"/>
  <c r="G221" i="112"/>
  <c r="E221" i="112"/>
  <c r="D221" i="112"/>
  <c r="C221" i="112"/>
  <c r="O220" i="112"/>
  <c r="G220" i="112"/>
  <c r="E220" i="112"/>
  <c r="D220" i="112"/>
  <c r="C220" i="112"/>
  <c r="O219" i="112"/>
  <c r="G219" i="112"/>
  <c r="E219" i="112"/>
  <c r="D219" i="112"/>
  <c r="C219" i="112"/>
  <c r="O218" i="112"/>
  <c r="G218" i="112"/>
  <c r="E218" i="112"/>
  <c r="D218" i="112"/>
  <c r="C218" i="112"/>
  <c r="O217" i="112"/>
  <c r="G217" i="112"/>
  <c r="E217" i="112"/>
  <c r="D217" i="112"/>
  <c r="C217" i="112"/>
  <c r="O216" i="112"/>
  <c r="G216" i="112"/>
  <c r="E216" i="112"/>
  <c r="D216" i="112"/>
  <c r="C216" i="112"/>
  <c r="O215" i="112"/>
  <c r="G215" i="112"/>
  <c r="E215" i="112"/>
  <c r="D215" i="112"/>
  <c r="C215" i="112"/>
  <c r="O214" i="112"/>
  <c r="G214" i="112"/>
  <c r="E214" i="112"/>
  <c r="D214" i="112"/>
  <c r="C214" i="112"/>
  <c r="O213" i="112"/>
  <c r="G213" i="112"/>
  <c r="E213" i="112"/>
  <c r="D213" i="112"/>
  <c r="C213" i="112"/>
  <c r="O212" i="112"/>
  <c r="G212" i="112"/>
  <c r="E212" i="112"/>
  <c r="D212" i="112"/>
  <c r="C212" i="112"/>
  <c r="O211" i="112"/>
  <c r="G211" i="112"/>
  <c r="E211" i="112"/>
  <c r="D211" i="112"/>
  <c r="C211" i="112"/>
  <c r="O210" i="112"/>
  <c r="G210" i="112"/>
  <c r="E210" i="112"/>
  <c r="D210" i="112"/>
  <c r="C210" i="112"/>
  <c r="O209" i="112"/>
  <c r="G209" i="112"/>
  <c r="E209" i="112"/>
  <c r="D209" i="112"/>
  <c r="C209" i="112"/>
  <c r="O208" i="112"/>
  <c r="G208" i="112"/>
  <c r="E208" i="112"/>
  <c r="D208" i="112"/>
  <c r="C208" i="112"/>
  <c r="O207" i="112"/>
  <c r="G207" i="112"/>
  <c r="E207" i="112"/>
  <c r="D207" i="112"/>
  <c r="C207" i="112"/>
  <c r="O206" i="112"/>
  <c r="G206" i="112"/>
  <c r="E206" i="112"/>
  <c r="D206" i="112"/>
  <c r="C206" i="112"/>
  <c r="O205" i="112"/>
  <c r="G205" i="112"/>
  <c r="E205" i="112"/>
  <c r="D205" i="112"/>
  <c r="C205" i="112"/>
  <c r="O204" i="112"/>
  <c r="G204" i="112"/>
  <c r="E204" i="112"/>
  <c r="D204" i="112"/>
  <c r="C204" i="112"/>
  <c r="O203" i="112"/>
  <c r="G203" i="112"/>
  <c r="E203" i="112"/>
  <c r="D203" i="112"/>
  <c r="C203" i="112"/>
  <c r="O202" i="112"/>
  <c r="G202" i="112"/>
  <c r="E202" i="112"/>
  <c r="D202" i="112"/>
  <c r="C202" i="112"/>
  <c r="O201" i="112"/>
  <c r="G201" i="112"/>
  <c r="E201" i="112"/>
  <c r="D201" i="112"/>
  <c r="C201" i="112"/>
  <c r="O200" i="112"/>
  <c r="G200" i="112"/>
  <c r="E200" i="112"/>
  <c r="D200" i="112"/>
  <c r="C200" i="112"/>
  <c r="O199" i="112"/>
  <c r="G199" i="112"/>
  <c r="E199" i="112"/>
  <c r="D199" i="112"/>
  <c r="C199" i="112"/>
  <c r="O198" i="112"/>
  <c r="G198" i="112"/>
  <c r="E198" i="112"/>
  <c r="D198" i="112"/>
  <c r="C198" i="112"/>
  <c r="O197" i="112"/>
  <c r="G197" i="112"/>
  <c r="E197" i="112"/>
  <c r="D197" i="112"/>
  <c r="C197" i="112"/>
  <c r="O196" i="112"/>
  <c r="G196" i="112"/>
  <c r="E196" i="112"/>
  <c r="D196" i="112"/>
  <c r="C196" i="112"/>
  <c r="O195" i="112"/>
  <c r="G195" i="112"/>
  <c r="E195" i="112"/>
  <c r="D195" i="112"/>
  <c r="C195" i="112"/>
  <c r="O194" i="112"/>
  <c r="G194" i="112"/>
  <c r="E194" i="112"/>
  <c r="D194" i="112"/>
  <c r="C194" i="112"/>
  <c r="O193" i="112"/>
  <c r="G193" i="112"/>
  <c r="E193" i="112"/>
  <c r="D193" i="112"/>
  <c r="C193" i="112"/>
  <c r="O192" i="112"/>
  <c r="G192" i="112"/>
  <c r="E192" i="112"/>
  <c r="D192" i="112"/>
  <c r="C192" i="112"/>
  <c r="O191" i="112"/>
  <c r="G191" i="112"/>
  <c r="E191" i="112"/>
  <c r="D191" i="112"/>
  <c r="C191" i="112"/>
  <c r="O190" i="112"/>
  <c r="G190" i="112"/>
  <c r="E190" i="112"/>
  <c r="D190" i="112"/>
  <c r="C190" i="112"/>
  <c r="O189" i="112"/>
  <c r="G189" i="112"/>
  <c r="E189" i="112"/>
  <c r="D189" i="112"/>
  <c r="C189" i="112"/>
  <c r="O188" i="112"/>
  <c r="G188" i="112"/>
  <c r="E188" i="112"/>
  <c r="D188" i="112"/>
  <c r="C188" i="112"/>
  <c r="O187" i="112"/>
  <c r="G187" i="112"/>
  <c r="E187" i="112"/>
  <c r="D187" i="112"/>
  <c r="C187" i="112"/>
  <c r="O186" i="112"/>
  <c r="G186" i="112"/>
  <c r="E186" i="112"/>
  <c r="D186" i="112"/>
  <c r="C186" i="112"/>
  <c r="O185" i="112"/>
  <c r="G185" i="112"/>
  <c r="E185" i="112"/>
  <c r="D185" i="112"/>
  <c r="C185" i="112"/>
  <c r="O184" i="112"/>
  <c r="G184" i="112"/>
  <c r="E184" i="112"/>
  <c r="D184" i="112"/>
  <c r="C184" i="112"/>
  <c r="O183" i="112"/>
  <c r="G183" i="112"/>
  <c r="E183" i="112"/>
  <c r="D183" i="112"/>
  <c r="C183" i="112"/>
  <c r="O182" i="112"/>
  <c r="G182" i="112"/>
  <c r="E182" i="112"/>
  <c r="D182" i="112"/>
  <c r="C182" i="112"/>
  <c r="O181" i="112"/>
  <c r="G181" i="112"/>
  <c r="E181" i="112"/>
  <c r="D181" i="112"/>
  <c r="C181" i="112"/>
  <c r="O180" i="112"/>
  <c r="G180" i="112"/>
  <c r="E180" i="112"/>
  <c r="D180" i="112"/>
  <c r="C180" i="112"/>
  <c r="O179" i="112"/>
  <c r="G179" i="112"/>
  <c r="E179" i="112"/>
  <c r="D179" i="112"/>
  <c r="C179" i="112"/>
  <c r="O178" i="112"/>
  <c r="G178" i="112"/>
  <c r="E178" i="112"/>
  <c r="D178" i="112"/>
  <c r="C178" i="112"/>
  <c r="O177" i="112"/>
  <c r="G177" i="112"/>
  <c r="E177" i="112"/>
  <c r="D177" i="112"/>
  <c r="C177" i="112"/>
  <c r="O176" i="112"/>
  <c r="G176" i="112"/>
  <c r="E176" i="112"/>
  <c r="D176" i="112"/>
  <c r="C176" i="112"/>
  <c r="O175" i="112"/>
  <c r="G175" i="112"/>
  <c r="E175" i="112"/>
  <c r="D175" i="112"/>
  <c r="C175" i="112"/>
  <c r="O174" i="112"/>
  <c r="G174" i="112"/>
  <c r="E174" i="112"/>
  <c r="D174" i="112"/>
  <c r="C174" i="112"/>
  <c r="O173" i="112"/>
  <c r="G173" i="112"/>
  <c r="E173" i="112"/>
  <c r="D173" i="112"/>
  <c r="C173" i="112"/>
  <c r="O172" i="112"/>
  <c r="G172" i="112"/>
  <c r="E172" i="112"/>
  <c r="D172" i="112"/>
  <c r="C172" i="112"/>
  <c r="O171" i="112"/>
  <c r="G171" i="112"/>
  <c r="E171" i="112"/>
  <c r="D171" i="112"/>
  <c r="C171" i="112"/>
  <c r="O170" i="112"/>
  <c r="G170" i="112"/>
  <c r="E170" i="112"/>
  <c r="D170" i="112"/>
  <c r="C170" i="112"/>
  <c r="O169" i="112"/>
  <c r="G169" i="112"/>
  <c r="E169" i="112"/>
  <c r="D169" i="112"/>
  <c r="C169" i="112"/>
  <c r="O168" i="112"/>
  <c r="G168" i="112"/>
  <c r="E168" i="112"/>
  <c r="D168" i="112"/>
  <c r="C168" i="112"/>
  <c r="O167" i="112"/>
  <c r="G167" i="112"/>
  <c r="E167" i="112"/>
  <c r="D167" i="112"/>
  <c r="C167" i="112"/>
  <c r="O166" i="112"/>
  <c r="G166" i="112"/>
  <c r="E166" i="112"/>
  <c r="D166" i="112"/>
  <c r="C166" i="112"/>
  <c r="O165" i="112"/>
  <c r="G165" i="112"/>
  <c r="E165" i="112"/>
  <c r="D165" i="112"/>
  <c r="C165" i="112"/>
  <c r="O164" i="112"/>
  <c r="G164" i="112"/>
  <c r="E164" i="112"/>
  <c r="D164" i="112"/>
  <c r="C164" i="112"/>
  <c r="O163" i="112"/>
  <c r="G163" i="112"/>
  <c r="E163" i="112"/>
  <c r="D163" i="112"/>
  <c r="C163" i="112"/>
  <c r="O162" i="112"/>
  <c r="G162" i="112"/>
  <c r="E162" i="112"/>
  <c r="D162" i="112"/>
  <c r="C162" i="112"/>
  <c r="O161" i="112"/>
  <c r="G161" i="112"/>
  <c r="E161" i="112"/>
  <c r="D161" i="112"/>
  <c r="C161" i="112"/>
  <c r="O160" i="112"/>
  <c r="G160" i="112"/>
  <c r="E160" i="112"/>
  <c r="D160" i="112"/>
  <c r="C160" i="112"/>
  <c r="O159" i="112"/>
  <c r="G159" i="112"/>
  <c r="E159" i="112"/>
  <c r="D159" i="112"/>
  <c r="C159" i="112"/>
  <c r="O158" i="112"/>
  <c r="G158" i="112"/>
  <c r="E158" i="112"/>
  <c r="D158" i="112"/>
  <c r="C158" i="112"/>
  <c r="O157" i="112"/>
  <c r="G157" i="112"/>
  <c r="E157" i="112"/>
  <c r="D157" i="112"/>
  <c r="C157" i="112"/>
  <c r="O156" i="112"/>
  <c r="G156" i="112"/>
  <c r="E156" i="112"/>
  <c r="D156" i="112"/>
  <c r="C156" i="112"/>
  <c r="O155" i="112"/>
  <c r="G155" i="112"/>
  <c r="E155" i="112"/>
  <c r="D155" i="112"/>
  <c r="C155" i="112"/>
  <c r="O154" i="112"/>
  <c r="G154" i="112"/>
  <c r="E154" i="112"/>
  <c r="D154" i="112"/>
  <c r="C154" i="112"/>
  <c r="O153" i="112"/>
  <c r="G153" i="112"/>
  <c r="E153" i="112"/>
  <c r="D153" i="112"/>
  <c r="C153" i="112"/>
  <c r="O152" i="112"/>
  <c r="G152" i="112"/>
  <c r="E152" i="112"/>
  <c r="D152" i="112"/>
  <c r="C152" i="112"/>
  <c r="O151" i="112"/>
  <c r="G151" i="112"/>
  <c r="E151" i="112"/>
  <c r="D151" i="112"/>
  <c r="C151" i="112"/>
  <c r="O150" i="112"/>
  <c r="G150" i="112"/>
  <c r="E150" i="112"/>
  <c r="D150" i="112"/>
  <c r="C150" i="112"/>
  <c r="O149" i="112"/>
  <c r="G149" i="112"/>
  <c r="E149" i="112"/>
  <c r="D149" i="112"/>
  <c r="C149" i="112"/>
  <c r="O148" i="112"/>
  <c r="G148" i="112"/>
  <c r="E148" i="112"/>
  <c r="D148" i="112"/>
  <c r="C148" i="112"/>
  <c r="O147" i="112"/>
  <c r="G147" i="112"/>
  <c r="E147" i="112"/>
  <c r="D147" i="112"/>
  <c r="C147" i="112"/>
  <c r="O146" i="112"/>
  <c r="G146" i="112"/>
  <c r="E146" i="112"/>
  <c r="D146" i="112"/>
  <c r="C146" i="112"/>
  <c r="O145" i="112"/>
  <c r="G145" i="112"/>
  <c r="E145" i="112"/>
  <c r="D145" i="112"/>
  <c r="C145" i="112"/>
  <c r="O144" i="112"/>
  <c r="G144" i="112"/>
  <c r="E144" i="112"/>
  <c r="D144" i="112"/>
  <c r="C144" i="112"/>
  <c r="O143" i="112"/>
  <c r="G143" i="112"/>
  <c r="E143" i="112"/>
  <c r="D143" i="112"/>
  <c r="C143" i="112"/>
  <c r="O142" i="112"/>
  <c r="G142" i="112"/>
  <c r="E142" i="112"/>
  <c r="D142" i="112"/>
  <c r="C142" i="112"/>
  <c r="O141" i="112"/>
  <c r="G141" i="112"/>
  <c r="E141" i="112"/>
  <c r="D141" i="112"/>
  <c r="C141" i="112"/>
  <c r="O134" i="112"/>
  <c r="G134" i="112"/>
  <c r="E134" i="112"/>
  <c r="D134" i="112"/>
  <c r="C134" i="112"/>
  <c r="O133" i="112"/>
  <c r="G133" i="112"/>
  <c r="E133" i="112"/>
  <c r="D133" i="112"/>
  <c r="C133" i="112"/>
  <c r="O132" i="112"/>
  <c r="G132" i="112"/>
  <c r="E132" i="112"/>
  <c r="D132" i="112"/>
  <c r="C132" i="112"/>
  <c r="O131" i="112"/>
  <c r="G131" i="112"/>
  <c r="E131" i="112"/>
  <c r="D131" i="112"/>
  <c r="C131" i="112"/>
  <c r="O122" i="112"/>
  <c r="G122" i="112"/>
  <c r="E122" i="112"/>
  <c r="D122" i="112"/>
  <c r="C122" i="112"/>
  <c r="O121" i="112"/>
  <c r="G121" i="112"/>
  <c r="E121" i="112"/>
  <c r="D121" i="112"/>
  <c r="C121" i="112"/>
  <c r="O120" i="112"/>
  <c r="G120" i="112"/>
  <c r="E120" i="112"/>
  <c r="D120" i="112"/>
  <c r="C120" i="112"/>
  <c r="O119" i="112"/>
  <c r="G119" i="112"/>
  <c r="E119" i="112"/>
  <c r="D119" i="112"/>
  <c r="C119" i="112"/>
  <c r="O118" i="112"/>
  <c r="G118" i="112"/>
  <c r="E118" i="112"/>
  <c r="D118" i="112"/>
  <c r="C118" i="112"/>
  <c r="O117" i="112"/>
  <c r="G117" i="112"/>
  <c r="E117" i="112"/>
  <c r="D117" i="112"/>
  <c r="C117" i="112"/>
  <c r="O116" i="112"/>
  <c r="G116" i="112"/>
  <c r="E116" i="112"/>
  <c r="D116" i="112"/>
  <c r="C116" i="112"/>
  <c r="O115" i="112"/>
  <c r="G115" i="112"/>
  <c r="E115" i="112"/>
  <c r="D115" i="112"/>
  <c r="C115" i="112"/>
  <c r="O114" i="112"/>
  <c r="G114" i="112"/>
  <c r="E114" i="112"/>
  <c r="D114" i="112"/>
  <c r="C114" i="112"/>
  <c r="O113" i="112"/>
  <c r="G113" i="112"/>
  <c r="E113" i="112"/>
  <c r="D113" i="112"/>
  <c r="C113" i="112"/>
  <c r="O112" i="112"/>
  <c r="G112" i="112"/>
  <c r="E112" i="112"/>
  <c r="D112" i="112"/>
  <c r="C112" i="112"/>
  <c r="O111" i="112"/>
  <c r="G111" i="112"/>
  <c r="E111" i="112"/>
  <c r="D111" i="112"/>
  <c r="C111" i="112"/>
  <c r="O110" i="112"/>
  <c r="G110" i="112"/>
  <c r="E110" i="112"/>
  <c r="D110" i="112"/>
  <c r="C110" i="112"/>
  <c r="O109" i="112"/>
  <c r="G109" i="112"/>
  <c r="E109" i="112"/>
  <c r="D109" i="112"/>
  <c r="C109" i="112"/>
  <c r="O108" i="112"/>
  <c r="G108" i="112"/>
  <c r="E108" i="112"/>
  <c r="D108" i="112"/>
  <c r="C108" i="112"/>
  <c r="O107" i="112"/>
  <c r="G107" i="112"/>
  <c r="E107" i="112"/>
  <c r="D107" i="112"/>
  <c r="C107" i="112"/>
  <c r="O106" i="112"/>
  <c r="G106" i="112"/>
  <c r="E106" i="112"/>
  <c r="D106" i="112"/>
  <c r="C106" i="112"/>
  <c r="O105" i="112"/>
  <c r="G105" i="112"/>
  <c r="E105" i="112"/>
  <c r="D105" i="112"/>
  <c r="C105" i="112"/>
  <c r="O104" i="112"/>
  <c r="G104" i="112"/>
  <c r="F104" i="112"/>
  <c r="E104" i="112"/>
  <c r="D104" i="112"/>
  <c r="C104" i="112"/>
  <c r="O103" i="112"/>
  <c r="F103" i="112"/>
  <c r="E103" i="112"/>
  <c r="D103" i="112"/>
  <c r="C103" i="112"/>
  <c r="O102" i="112"/>
  <c r="G102" i="112"/>
  <c r="F102" i="112"/>
  <c r="E102" i="112"/>
  <c r="D102" i="112"/>
  <c r="C102" i="112"/>
  <c r="O101" i="112"/>
  <c r="G101" i="112"/>
  <c r="E101" i="112"/>
  <c r="D101" i="112"/>
  <c r="C101" i="112"/>
  <c r="O100" i="112"/>
  <c r="G100" i="112"/>
  <c r="F100" i="112"/>
  <c r="E100" i="112"/>
  <c r="D100" i="112"/>
  <c r="C100" i="112"/>
  <c r="O99" i="112"/>
  <c r="F99" i="112"/>
  <c r="E99" i="112"/>
  <c r="D99" i="112"/>
  <c r="C99" i="112"/>
  <c r="O98" i="112"/>
  <c r="G98" i="112"/>
  <c r="E98" i="112"/>
  <c r="D98" i="112"/>
  <c r="C98" i="112"/>
  <c r="O97" i="112"/>
  <c r="G97" i="112"/>
  <c r="E97" i="112"/>
  <c r="D97" i="112"/>
  <c r="C97" i="112"/>
  <c r="O96" i="112"/>
  <c r="G96" i="112"/>
  <c r="E96" i="112"/>
  <c r="D96" i="112"/>
  <c r="C96" i="112"/>
  <c r="O95" i="112"/>
  <c r="G95" i="112"/>
  <c r="E95" i="112"/>
  <c r="D95" i="112"/>
  <c r="C95" i="112"/>
  <c r="O94" i="112"/>
  <c r="G94" i="112"/>
  <c r="E94" i="112"/>
  <c r="D94" i="112"/>
  <c r="C94" i="112"/>
  <c r="O93" i="112"/>
  <c r="G93" i="112"/>
  <c r="E93" i="112"/>
  <c r="D93" i="112"/>
  <c r="C93" i="112"/>
  <c r="O92" i="112"/>
  <c r="G92" i="112"/>
  <c r="E92" i="112"/>
  <c r="D92" i="112"/>
  <c r="C92" i="112"/>
  <c r="O91" i="112"/>
  <c r="G91" i="112"/>
  <c r="E91" i="112"/>
  <c r="D91" i="112"/>
  <c r="C91" i="112"/>
  <c r="O90" i="112"/>
  <c r="G90" i="112"/>
  <c r="E90" i="112"/>
  <c r="D90" i="112"/>
  <c r="C90" i="112"/>
  <c r="O89" i="112"/>
  <c r="G89" i="112"/>
  <c r="E89" i="112"/>
  <c r="D89" i="112"/>
  <c r="C89" i="112"/>
  <c r="O88" i="112"/>
  <c r="G88" i="112"/>
  <c r="E88" i="112"/>
  <c r="D88" i="112"/>
  <c r="C88" i="112"/>
  <c r="O87" i="112"/>
  <c r="G87" i="112"/>
  <c r="E87" i="112"/>
  <c r="D87" i="112"/>
  <c r="C87" i="112"/>
  <c r="O86" i="112"/>
  <c r="G86" i="112"/>
  <c r="E86" i="112"/>
  <c r="D86" i="112"/>
  <c r="C86" i="112"/>
  <c r="O85" i="112"/>
  <c r="G85" i="112"/>
  <c r="E85" i="112"/>
  <c r="D85" i="112"/>
  <c r="C85" i="112"/>
  <c r="O84" i="112"/>
  <c r="G84" i="112"/>
  <c r="E84" i="112"/>
  <c r="D84" i="112"/>
  <c r="C84" i="112"/>
  <c r="O83" i="112"/>
  <c r="G83" i="112"/>
  <c r="E83" i="112"/>
  <c r="D83" i="112"/>
  <c r="C83" i="112"/>
  <c r="O82" i="112"/>
  <c r="G82" i="112"/>
  <c r="E82" i="112"/>
  <c r="D82" i="112"/>
  <c r="C82" i="112"/>
  <c r="O81" i="112"/>
  <c r="G81" i="112"/>
  <c r="E81" i="112"/>
  <c r="D81" i="112"/>
  <c r="C81" i="112"/>
  <c r="O80" i="112"/>
  <c r="G80" i="112"/>
  <c r="E80" i="112"/>
  <c r="D80" i="112"/>
  <c r="C80" i="112"/>
  <c r="O79" i="112"/>
  <c r="G79" i="112"/>
  <c r="E79" i="112"/>
  <c r="D79" i="112"/>
  <c r="C79" i="112"/>
  <c r="O78" i="112"/>
  <c r="G78" i="112"/>
  <c r="E78" i="112"/>
  <c r="D78" i="112"/>
  <c r="C78" i="112"/>
  <c r="O77" i="112"/>
  <c r="G77" i="112"/>
  <c r="E77" i="112"/>
  <c r="D77" i="112"/>
  <c r="C77" i="112"/>
  <c r="O76" i="112"/>
  <c r="G76" i="112"/>
  <c r="E76" i="112"/>
  <c r="D76" i="112"/>
  <c r="C76" i="112"/>
  <c r="O75" i="112"/>
  <c r="G75" i="112"/>
  <c r="E75" i="112"/>
  <c r="D75" i="112"/>
  <c r="C75" i="112"/>
  <c r="O74" i="112"/>
  <c r="G74" i="112"/>
  <c r="E74" i="112"/>
  <c r="D74" i="112"/>
  <c r="C74" i="112"/>
  <c r="O73" i="112"/>
  <c r="G73" i="112"/>
  <c r="E73" i="112"/>
  <c r="D73" i="112"/>
  <c r="C73" i="112"/>
  <c r="O72" i="112"/>
  <c r="G72" i="112"/>
  <c r="E72" i="112"/>
  <c r="D72" i="112"/>
  <c r="C72" i="112"/>
  <c r="O71" i="112"/>
  <c r="G71" i="112"/>
  <c r="E71" i="112"/>
  <c r="D71" i="112"/>
  <c r="C71" i="112"/>
  <c r="O70" i="112"/>
  <c r="G70" i="112"/>
  <c r="E70" i="112"/>
  <c r="D70" i="112"/>
  <c r="C70" i="112"/>
  <c r="O69" i="112"/>
  <c r="G69" i="112"/>
  <c r="E69" i="112"/>
  <c r="D69" i="112"/>
  <c r="C69" i="112"/>
  <c r="O68" i="112"/>
  <c r="G68" i="112"/>
  <c r="E68" i="112"/>
  <c r="D68" i="112"/>
  <c r="C68" i="112"/>
  <c r="O67" i="112"/>
  <c r="G67" i="112"/>
  <c r="E67" i="112"/>
  <c r="D67" i="112"/>
  <c r="C67" i="112"/>
  <c r="O66" i="112"/>
  <c r="G66" i="112"/>
  <c r="E66" i="112"/>
  <c r="D66" i="112"/>
  <c r="C66" i="112"/>
  <c r="O65" i="112"/>
  <c r="G65" i="112"/>
  <c r="E65" i="112"/>
  <c r="D65" i="112"/>
  <c r="C65" i="112"/>
  <c r="O64" i="112"/>
  <c r="G64" i="112"/>
  <c r="E64" i="112"/>
  <c r="D64" i="112"/>
  <c r="C64" i="112"/>
  <c r="O63" i="112"/>
  <c r="G63" i="112"/>
  <c r="E63" i="112"/>
  <c r="D63" i="112"/>
  <c r="C63" i="112"/>
  <c r="O62" i="112"/>
  <c r="G62" i="112"/>
  <c r="E62" i="112"/>
  <c r="D62" i="112"/>
  <c r="C62" i="112"/>
  <c r="O61" i="112"/>
  <c r="G61" i="112"/>
  <c r="E61" i="112"/>
  <c r="D61" i="112"/>
  <c r="C61" i="112"/>
  <c r="O60" i="112"/>
  <c r="G60" i="112"/>
  <c r="E60" i="112"/>
  <c r="D60" i="112"/>
  <c r="C60" i="112"/>
  <c r="O59" i="112"/>
  <c r="G59" i="112"/>
  <c r="E59" i="112"/>
  <c r="D59" i="112"/>
  <c r="C59" i="112"/>
  <c r="P50" i="112"/>
  <c r="O50" i="112"/>
  <c r="M50" i="112"/>
  <c r="G50" i="112"/>
  <c r="E50" i="112"/>
  <c r="D50" i="112"/>
  <c r="C50" i="112"/>
  <c r="P49" i="112"/>
  <c r="O49" i="112"/>
  <c r="M49" i="112"/>
  <c r="G49" i="112"/>
  <c r="E49" i="112"/>
  <c r="D49" i="112"/>
  <c r="C49" i="112"/>
  <c r="P48" i="112"/>
  <c r="O48" i="112"/>
  <c r="M48" i="112"/>
  <c r="G48" i="112"/>
  <c r="E48" i="112"/>
  <c r="D48" i="112"/>
  <c r="C48" i="112"/>
  <c r="P47" i="112"/>
  <c r="O47" i="112"/>
  <c r="M47" i="112"/>
  <c r="G47" i="112"/>
  <c r="E47" i="112"/>
  <c r="D47" i="112"/>
  <c r="C47" i="112"/>
  <c r="P46" i="112"/>
  <c r="O46" i="112"/>
  <c r="M46" i="112"/>
  <c r="G46" i="112"/>
  <c r="E46" i="112"/>
  <c r="D46" i="112"/>
  <c r="C46" i="112"/>
  <c r="P45" i="112"/>
  <c r="O45" i="112"/>
  <c r="M45" i="112"/>
  <c r="G45" i="112"/>
  <c r="E45" i="112"/>
  <c r="D45" i="112"/>
  <c r="C45" i="112"/>
  <c r="P44" i="112"/>
  <c r="O44" i="112"/>
  <c r="M44" i="112"/>
  <c r="G44" i="112"/>
  <c r="E44" i="112"/>
  <c r="D44" i="112"/>
  <c r="C44" i="112"/>
  <c r="P43" i="112"/>
  <c r="O43" i="112"/>
  <c r="M43" i="112"/>
  <c r="G43" i="112"/>
  <c r="E43" i="112"/>
  <c r="D43" i="112"/>
  <c r="C43" i="112"/>
  <c r="P42" i="112"/>
  <c r="O42" i="112"/>
  <c r="M42" i="112"/>
  <c r="G42" i="112"/>
  <c r="E42" i="112"/>
  <c r="D42" i="112"/>
  <c r="C42" i="112"/>
  <c r="P41" i="112"/>
  <c r="O41" i="112"/>
  <c r="M41" i="112"/>
  <c r="G41" i="112"/>
  <c r="E41" i="112"/>
  <c r="D41" i="112"/>
  <c r="C41" i="112"/>
  <c r="P40" i="112"/>
  <c r="O40" i="112"/>
  <c r="M40" i="112"/>
  <c r="G40" i="112"/>
  <c r="E40" i="112"/>
  <c r="D40" i="112"/>
  <c r="C40" i="112"/>
  <c r="P39" i="112"/>
  <c r="O39" i="112"/>
  <c r="M39" i="112"/>
  <c r="G39" i="112"/>
  <c r="E39" i="112"/>
  <c r="D39" i="112"/>
  <c r="C39" i="112"/>
  <c r="P38" i="112"/>
  <c r="O38" i="112"/>
  <c r="M38" i="112"/>
  <c r="G38" i="112"/>
  <c r="E38" i="112"/>
  <c r="D38" i="112"/>
  <c r="C38" i="112"/>
  <c r="P37" i="112"/>
  <c r="O37" i="112"/>
  <c r="M37" i="112"/>
  <c r="G37" i="112"/>
  <c r="E37" i="112"/>
  <c r="D37" i="112"/>
  <c r="C37" i="112"/>
  <c r="P36" i="112"/>
  <c r="O36" i="112"/>
  <c r="M36" i="112"/>
  <c r="G36" i="112"/>
  <c r="E36" i="112"/>
  <c r="D36" i="112"/>
  <c r="C36" i="112"/>
  <c r="P35" i="112"/>
  <c r="O35" i="112"/>
  <c r="M35" i="112"/>
  <c r="G35" i="112"/>
  <c r="E35" i="112"/>
  <c r="D35" i="112"/>
  <c r="C35" i="112"/>
  <c r="P34" i="112"/>
  <c r="O34" i="112"/>
  <c r="M34" i="112"/>
  <c r="G34" i="112"/>
  <c r="E34" i="112"/>
  <c r="D34" i="112"/>
  <c r="C34" i="112"/>
  <c r="P33" i="112"/>
  <c r="O33" i="112"/>
  <c r="M33" i="112"/>
  <c r="G33" i="112"/>
  <c r="E33" i="112"/>
  <c r="D33" i="112"/>
  <c r="C33" i="112"/>
  <c r="P32" i="112"/>
  <c r="O32" i="112"/>
  <c r="M32" i="112"/>
  <c r="G32" i="112"/>
  <c r="E32" i="112"/>
  <c r="D32" i="112"/>
  <c r="C32" i="112"/>
  <c r="P31" i="112"/>
  <c r="O31" i="112"/>
  <c r="M31" i="112"/>
  <c r="G31" i="112"/>
  <c r="E31" i="112"/>
  <c r="D31" i="112"/>
  <c r="C31" i="112"/>
  <c r="P30" i="112"/>
  <c r="O30" i="112"/>
  <c r="M30" i="112"/>
  <c r="G30" i="112"/>
  <c r="E30" i="112"/>
  <c r="D30" i="112"/>
  <c r="C30" i="112"/>
  <c r="P29" i="112"/>
  <c r="O29" i="112"/>
  <c r="M29" i="112"/>
  <c r="G29" i="112"/>
  <c r="E29" i="112"/>
  <c r="D29" i="112"/>
  <c r="C29" i="112"/>
  <c r="P28" i="112"/>
  <c r="O28" i="112"/>
  <c r="M28" i="112"/>
  <c r="G28" i="112"/>
  <c r="E28" i="112"/>
  <c r="D28" i="112"/>
  <c r="C28" i="112"/>
  <c r="P27" i="112"/>
  <c r="O27" i="112"/>
  <c r="M27" i="112"/>
  <c r="G27" i="112"/>
  <c r="E27" i="112"/>
  <c r="D27" i="112"/>
  <c r="C27" i="112"/>
  <c r="O26" i="112"/>
  <c r="G26" i="112"/>
  <c r="E26" i="112"/>
  <c r="D26" i="112"/>
  <c r="C26" i="112"/>
  <c r="O25" i="112"/>
  <c r="G25" i="112"/>
  <c r="E25" i="112"/>
  <c r="D25" i="112"/>
  <c r="C25" i="112"/>
  <c r="O24" i="112"/>
  <c r="G24" i="112"/>
  <c r="E24" i="112"/>
  <c r="D24" i="112"/>
  <c r="C24" i="112"/>
  <c r="O23" i="112"/>
  <c r="G23" i="112"/>
  <c r="E23" i="112"/>
  <c r="D23" i="112"/>
  <c r="C23" i="112"/>
  <c r="O22" i="112"/>
  <c r="G22" i="112"/>
  <c r="E22" i="112"/>
  <c r="D22" i="112"/>
  <c r="C22" i="112"/>
  <c r="O21" i="112"/>
  <c r="G21" i="112"/>
  <c r="E21" i="112"/>
  <c r="D21" i="112"/>
  <c r="C21" i="112"/>
  <c r="O20" i="112"/>
  <c r="G20" i="112"/>
  <c r="E20" i="112"/>
  <c r="D20" i="112"/>
  <c r="C20" i="112"/>
  <c r="O19" i="112"/>
  <c r="G19" i="112"/>
  <c r="E19" i="112"/>
  <c r="D19" i="112"/>
  <c r="C19" i="112"/>
  <c r="P18" i="112"/>
  <c r="O18" i="112"/>
  <c r="M18" i="112"/>
  <c r="G18" i="112"/>
  <c r="E18" i="112"/>
  <c r="D18" i="112"/>
  <c r="C18" i="112"/>
  <c r="P17" i="112"/>
  <c r="O17" i="112"/>
  <c r="M17" i="112"/>
  <c r="G17" i="112"/>
  <c r="E17" i="112"/>
  <c r="D17" i="112"/>
  <c r="C17" i="112"/>
  <c r="P16" i="112"/>
  <c r="O16" i="112"/>
  <c r="M16" i="112"/>
  <c r="G16" i="112"/>
  <c r="E16" i="112"/>
  <c r="D16" i="112"/>
  <c r="C16" i="112"/>
  <c r="P15" i="112"/>
  <c r="O15" i="112"/>
  <c r="M15" i="112"/>
  <c r="G15" i="112"/>
  <c r="E15" i="112"/>
  <c r="D15" i="112"/>
  <c r="C15" i="112"/>
  <c r="O11" i="112"/>
  <c r="G11" i="112"/>
  <c r="E11" i="112"/>
  <c r="D11" i="112"/>
  <c r="C11" i="112"/>
  <c r="O10" i="112"/>
  <c r="G10" i="112"/>
  <c r="E10" i="112"/>
  <c r="D10" i="112"/>
  <c r="C10" i="112"/>
  <c r="O9" i="112"/>
  <c r="G9" i="112"/>
  <c r="E9" i="112"/>
  <c r="D9" i="112"/>
  <c r="C9" i="112"/>
  <c r="O8" i="112"/>
  <c r="G8" i="112"/>
  <c r="E8" i="112"/>
  <c r="D8" i="112"/>
  <c r="C8" i="112"/>
  <c r="O7" i="112"/>
  <c r="G7" i="112"/>
  <c r="E7" i="112"/>
  <c r="D7" i="112"/>
  <c r="C7" i="112"/>
  <c r="O6" i="112"/>
  <c r="G6" i="112"/>
  <c r="E6" i="112"/>
  <c r="D6" i="112"/>
  <c r="C6" i="112"/>
  <c r="O5" i="112"/>
  <c r="G5" i="112"/>
  <c r="C5" i="112"/>
  <c r="O4" i="112"/>
  <c r="G4" i="112"/>
  <c r="C4" i="112"/>
  <c r="D163" i="54" l="1"/>
  <c r="F107" i="42" a="1"/>
  <c r="F107" i="42" s="1"/>
  <c r="M111" i="42"/>
  <c r="M101" i="112" s="1"/>
  <c r="P111" i="42"/>
  <c r="P101" i="112" s="1"/>
  <c r="F1370" i="56" l="1" a="1"/>
  <c r="F1370" i="56" s="1"/>
  <c r="F1371" i="56" a="1"/>
  <c r="F1371" i="56" s="1"/>
  <c r="F1369" i="56" a="1"/>
  <c r="F1369" i="56" s="1"/>
  <c r="C1342" i="56"/>
  <c r="K1378" i="56" s="1"/>
  <c r="K256" i="112" s="1"/>
  <c r="C1340" i="56"/>
  <c r="K1376" i="56" s="1"/>
  <c r="K254" i="112" s="1"/>
  <c r="Q1377" i="56"/>
  <c r="Q255" i="112" s="1"/>
  <c r="R1377" i="56"/>
  <c r="R255" i="112" s="1"/>
  <c r="S1377" i="56"/>
  <c r="S255" i="112" s="1"/>
  <c r="T1377" i="56"/>
  <c r="T255" i="112" s="1"/>
  <c r="U1377" i="56"/>
  <c r="U255" i="112" s="1"/>
  <c r="V1377" i="56"/>
  <c r="V255" i="112" s="1"/>
  <c r="W1377" i="56"/>
  <c r="W255" i="112" s="1"/>
  <c r="Q1378" i="56"/>
  <c r="Q256" i="112" s="1"/>
  <c r="R1378" i="56"/>
  <c r="R256" i="112" s="1"/>
  <c r="S1378" i="56"/>
  <c r="S256" i="112" s="1"/>
  <c r="T1378" i="56"/>
  <c r="T256" i="112" s="1"/>
  <c r="U1378" i="56"/>
  <c r="U256" i="112" s="1"/>
  <c r="V1378" i="56"/>
  <c r="V256" i="112" s="1"/>
  <c r="W1378" i="56"/>
  <c r="W256" i="112" s="1"/>
  <c r="R1376" i="56"/>
  <c r="R254" i="112" s="1"/>
  <c r="S1376" i="56"/>
  <c r="S254" i="112" s="1"/>
  <c r="T1376" i="56"/>
  <c r="T254" i="112" s="1"/>
  <c r="U1376" i="56"/>
  <c r="U254" i="112" s="1"/>
  <c r="V1376" i="56"/>
  <c r="V254" i="112" s="1"/>
  <c r="W1376" i="56"/>
  <c r="W254" i="112" s="1"/>
  <c r="Q1376" i="56"/>
  <c r="Q254" i="112" s="1"/>
  <c r="P1376" i="56"/>
  <c r="P254" i="112" s="1"/>
  <c r="M1377" i="56"/>
  <c r="M255" i="112" s="1"/>
  <c r="M1378" i="56"/>
  <c r="M256" i="112" s="1"/>
  <c r="M1376" i="56"/>
  <c r="M254" i="112" s="1"/>
  <c r="I1378" i="56"/>
  <c r="I256" i="112" s="1"/>
  <c r="I1377" i="56"/>
  <c r="I255" i="112" s="1"/>
  <c r="F1377" i="56"/>
  <c r="F255" i="112" s="1"/>
  <c r="I1376" i="56"/>
  <c r="I254" i="112" s="1"/>
  <c r="F1376" i="56"/>
  <c r="F254" i="112" s="1"/>
  <c r="D1331" i="56"/>
  <c r="X85" i="69"/>
  <c r="U86" i="69"/>
  <c r="U87" i="69"/>
  <c r="U85" i="69"/>
  <c r="E1331" i="56" l="1"/>
  <c r="H1369" i="56"/>
  <c r="C1341" i="56"/>
  <c r="K1377" i="56" s="1"/>
  <c r="K255" i="112" s="1"/>
  <c r="G12" i="74"/>
  <c r="S61" i="69" s="1"/>
  <c r="G11" i="74"/>
  <c r="S60" i="69" s="1"/>
  <c r="D113" i="74"/>
  <c r="C113" i="74"/>
  <c r="C985" i="56"/>
  <c r="D11" i="54" a="1"/>
  <c r="D11" i="54" s="1"/>
  <c r="G11" i="58" a="1"/>
  <c r="G11" i="58" s="1"/>
  <c r="S56" i="69"/>
  <c r="S57" i="69"/>
  <c r="S58" i="69"/>
  <c r="S59" i="69"/>
  <c r="S55" i="69"/>
  <c r="F11" i="58" a="1"/>
  <c r="F11" i="58" s="1"/>
  <c r="J1376" i="56" l="1"/>
  <c r="J1378" i="56"/>
  <c r="J1377" i="56"/>
  <c r="H13" i="65"/>
  <c r="H12" i="65"/>
  <c r="C18" i="108"/>
  <c r="H14" i="65" s="1"/>
  <c r="P120" i="69"/>
  <c r="P121" i="69"/>
  <c r="P119" i="69"/>
  <c r="R120" i="69"/>
  <c r="R121" i="69"/>
  <c r="R119" i="69"/>
  <c r="X120" i="69"/>
  <c r="X121" i="69"/>
  <c r="X119" i="69"/>
  <c r="L1377" i="56" l="1"/>
  <c r="J255" i="112"/>
  <c r="L1378" i="56"/>
  <c r="J256" i="112"/>
  <c r="L1376" i="56"/>
  <c r="J254" i="112"/>
  <c r="N1378" i="56"/>
  <c r="N256" i="112" s="1"/>
  <c r="N1377" i="56"/>
  <c r="N255" i="112" s="1"/>
  <c r="N1376" i="56"/>
  <c r="N254" i="112" s="1"/>
  <c r="C78" i="47"/>
  <c r="D101" i="96"/>
  <c r="F14" i="84" a="1"/>
  <c r="F14" i="84" s="1"/>
  <c r="S68" i="69" s="1"/>
  <c r="E68" i="69" s="1"/>
  <c r="C74" i="36"/>
  <c r="C67" i="84"/>
  <c r="P182" i="73"/>
  <c r="P364" i="112" s="1"/>
  <c r="M182" i="73"/>
  <c r="M364" i="112" s="1"/>
  <c r="P132" i="73"/>
  <c r="P361" i="112" s="1"/>
  <c r="P133" i="73"/>
  <c r="P362" i="112" s="1"/>
  <c r="P134" i="73"/>
  <c r="P363" i="112" s="1"/>
  <c r="P131" i="73"/>
  <c r="P360" i="112" s="1"/>
  <c r="M132" i="73"/>
  <c r="M361" i="112" s="1"/>
  <c r="M133" i="73"/>
  <c r="M362" i="112" s="1"/>
  <c r="M134" i="73"/>
  <c r="M363" i="112" s="1"/>
  <c r="M131" i="73"/>
  <c r="M360" i="112" s="1"/>
  <c r="P63" i="73"/>
  <c r="P355" i="112" s="1"/>
  <c r="P64" i="73"/>
  <c r="P356" i="112" s="1"/>
  <c r="P65" i="73"/>
  <c r="P357" i="112" s="1"/>
  <c r="P66" i="73"/>
  <c r="P358" i="112" s="1"/>
  <c r="P67" i="73"/>
  <c r="P359" i="112" s="1"/>
  <c r="P62" i="73"/>
  <c r="P354" i="112" s="1"/>
  <c r="M63" i="73"/>
  <c r="M355" i="112" s="1"/>
  <c r="M64" i="73"/>
  <c r="M356" i="112" s="1"/>
  <c r="M65" i="73"/>
  <c r="M357" i="112" s="1"/>
  <c r="M66" i="73"/>
  <c r="M358" i="112" s="1"/>
  <c r="M67" i="73"/>
  <c r="M359" i="112" s="1"/>
  <c r="M62" i="73"/>
  <c r="M354" i="112" s="1"/>
  <c r="P97" i="71"/>
  <c r="P262" i="112" s="1"/>
  <c r="P98" i="71"/>
  <c r="P263" i="112" s="1"/>
  <c r="P99" i="71"/>
  <c r="P264" i="112" s="1"/>
  <c r="P100" i="71"/>
  <c r="P265" i="112" s="1"/>
  <c r="P101" i="71"/>
  <c r="P266" i="112" s="1"/>
  <c r="P102" i="71"/>
  <c r="P267" i="112" s="1"/>
  <c r="P103" i="71"/>
  <c r="P268" i="112" s="1"/>
  <c r="P104" i="71"/>
  <c r="P269" i="112" s="1"/>
  <c r="P105" i="71"/>
  <c r="P270" i="112" s="1"/>
  <c r="P106" i="71"/>
  <c r="P271" i="112" s="1"/>
  <c r="P107" i="71"/>
  <c r="P272" i="112" s="1"/>
  <c r="P108" i="71"/>
  <c r="P273" i="112" s="1"/>
  <c r="P109" i="71"/>
  <c r="P274" i="112" s="1"/>
  <c r="P110" i="71"/>
  <c r="P275" i="112" s="1"/>
  <c r="P111" i="71"/>
  <c r="P276" i="112" s="1"/>
  <c r="P112" i="71"/>
  <c r="P277" i="112" s="1"/>
  <c r="P113" i="71"/>
  <c r="P278" i="112" s="1"/>
  <c r="P114" i="71"/>
  <c r="P279" i="112" s="1"/>
  <c r="P115" i="71"/>
  <c r="P280" i="112" s="1"/>
  <c r="P116" i="71"/>
  <c r="P281" i="112" s="1"/>
  <c r="P96" i="71"/>
  <c r="P261" i="112" s="1"/>
  <c r="M97" i="71"/>
  <c r="M262" i="112" s="1"/>
  <c r="M98" i="71"/>
  <c r="M263" i="112" s="1"/>
  <c r="M99" i="71"/>
  <c r="M264" i="112" s="1"/>
  <c r="M100" i="71"/>
  <c r="M265" i="112" s="1"/>
  <c r="M101" i="71"/>
  <c r="M266" i="112" s="1"/>
  <c r="M102" i="71"/>
  <c r="M267" i="112" s="1"/>
  <c r="M103" i="71"/>
  <c r="M268" i="112" s="1"/>
  <c r="M104" i="71"/>
  <c r="M269" i="112" s="1"/>
  <c r="M105" i="71"/>
  <c r="M270" i="112" s="1"/>
  <c r="M106" i="71"/>
  <c r="M271" i="112" s="1"/>
  <c r="M107" i="71"/>
  <c r="M272" i="112" s="1"/>
  <c r="M108" i="71"/>
  <c r="M273" i="112" s="1"/>
  <c r="M109" i="71"/>
  <c r="M274" i="112" s="1"/>
  <c r="M110" i="71"/>
  <c r="M275" i="112" s="1"/>
  <c r="M111" i="71"/>
  <c r="M276" i="112" s="1"/>
  <c r="M112" i="71"/>
  <c r="M277" i="112" s="1"/>
  <c r="M113" i="71"/>
  <c r="M278" i="112" s="1"/>
  <c r="M114" i="71"/>
  <c r="M279" i="112" s="1"/>
  <c r="M115" i="71"/>
  <c r="M280" i="112" s="1"/>
  <c r="M116" i="71"/>
  <c r="M281" i="112" s="1"/>
  <c r="M96" i="71"/>
  <c r="M261" i="112" s="1"/>
  <c r="P118" i="48"/>
  <c r="P5" i="112" s="1"/>
  <c r="P117" i="48"/>
  <c r="P4" i="112" s="1"/>
  <c r="M118" i="48"/>
  <c r="M5" i="112" s="1"/>
  <c r="M117" i="48"/>
  <c r="M4" i="112" s="1"/>
  <c r="P368" i="99"/>
  <c r="P390" i="112" s="1"/>
  <c r="P369" i="99"/>
  <c r="P391" i="112" s="1"/>
  <c r="M368" i="99"/>
  <c r="M390" i="112" s="1"/>
  <c r="M369" i="99"/>
  <c r="M391" i="112" s="1"/>
  <c r="P367" i="99"/>
  <c r="P389" i="112" s="1"/>
  <c r="M367" i="99"/>
  <c r="M389" i="112" s="1"/>
  <c r="P289" i="99"/>
  <c r="P290" i="99"/>
  <c r="P288" i="99"/>
  <c r="P394" i="112" s="1"/>
  <c r="M289" i="99"/>
  <c r="M290" i="99"/>
  <c r="M288" i="99"/>
  <c r="M394" i="112" s="1"/>
  <c r="P783" i="107"/>
  <c r="P115" i="112" s="1"/>
  <c r="P784" i="107"/>
  <c r="P116" i="112" s="1"/>
  <c r="P785" i="107"/>
  <c r="P117" i="112" s="1"/>
  <c r="P786" i="107"/>
  <c r="P118" i="112" s="1"/>
  <c r="P787" i="107"/>
  <c r="P119" i="112" s="1"/>
  <c r="P788" i="107"/>
  <c r="P120" i="112" s="1"/>
  <c r="P789" i="107"/>
  <c r="P121" i="112" s="1"/>
  <c r="P790" i="107"/>
  <c r="P122" i="112" s="1"/>
  <c r="P782" i="107"/>
  <c r="P114" i="112" s="1"/>
  <c r="P774" i="107"/>
  <c r="P106" i="112" s="1"/>
  <c r="P775" i="107"/>
  <c r="P107" i="112" s="1"/>
  <c r="P776" i="107"/>
  <c r="P108" i="112" s="1"/>
  <c r="P777" i="107"/>
  <c r="P109" i="112" s="1"/>
  <c r="P778" i="107"/>
  <c r="P110" i="112" s="1"/>
  <c r="P779" i="107"/>
  <c r="P111" i="112" s="1"/>
  <c r="P780" i="107"/>
  <c r="P112" i="112" s="1"/>
  <c r="P781" i="107"/>
  <c r="P113" i="112" s="1"/>
  <c r="P773" i="107"/>
  <c r="P105" i="112" s="1"/>
  <c r="M783" i="107"/>
  <c r="M115" i="112" s="1"/>
  <c r="M784" i="107"/>
  <c r="M116" i="112" s="1"/>
  <c r="M785" i="107"/>
  <c r="M117" i="112" s="1"/>
  <c r="M786" i="107"/>
  <c r="M118" i="112" s="1"/>
  <c r="M787" i="107"/>
  <c r="M119" i="112" s="1"/>
  <c r="M788" i="107"/>
  <c r="M120" i="112" s="1"/>
  <c r="M789" i="107"/>
  <c r="M121" i="112" s="1"/>
  <c r="M790" i="107"/>
  <c r="M122" i="112" s="1"/>
  <c r="M782" i="107"/>
  <c r="M114" i="112" s="1"/>
  <c r="M774" i="107"/>
  <c r="M106" i="112" s="1"/>
  <c r="M775" i="107"/>
  <c r="M107" i="112" s="1"/>
  <c r="M776" i="107"/>
  <c r="M108" i="112" s="1"/>
  <c r="M777" i="107"/>
  <c r="M109" i="112" s="1"/>
  <c r="M778" i="107"/>
  <c r="M110" i="112" s="1"/>
  <c r="M779" i="107"/>
  <c r="M111" i="112" s="1"/>
  <c r="M780" i="107"/>
  <c r="M112" i="112" s="1"/>
  <c r="M781" i="107"/>
  <c r="M113" i="112" s="1"/>
  <c r="M773" i="107"/>
  <c r="M105" i="112" s="1"/>
  <c r="P149" i="42"/>
  <c r="P104" i="112" s="1"/>
  <c r="P150" i="42"/>
  <c r="P148" i="42"/>
  <c r="P103" i="112" s="1"/>
  <c r="P102" i="112"/>
  <c r="M149" i="42"/>
  <c r="M104" i="112" s="1"/>
  <c r="M150" i="42"/>
  <c r="M148" i="42"/>
  <c r="M103" i="112" s="1"/>
  <c r="M102" i="112"/>
  <c r="F144" i="42" a="1"/>
  <c r="F144" i="42" s="1"/>
  <c r="F143" i="42" a="1"/>
  <c r="F143" i="42" s="1"/>
  <c r="F142" i="42" a="1"/>
  <c r="F142" i="42" s="1"/>
  <c r="P79" i="42"/>
  <c r="P100" i="112" s="1"/>
  <c r="P78" i="42"/>
  <c r="P99" i="112" s="1"/>
  <c r="M79" i="42"/>
  <c r="M100" i="112" s="1"/>
  <c r="M78" i="42"/>
  <c r="M99" i="112" s="1"/>
  <c r="P181" i="47"/>
  <c r="P180" i="47"/>
  <c r="M181" i="47"/>
  <c r="M180" i="47"/>
  <c r="P147" i="47"/>
  <c r="P146" i="47"/>
  <c r="M147" i="47"/>
  <c r="M146" i="47"/>
  <c r="P111" i="47"/>
  <c r="M111" i="47"/>
  <c r="P121" i="57"/>
  <c r="P323" i="112" s="1"/>
  <c r="P120" i="57"/>
  <c r="P322" i="112" s="1"/>
  <c r="M121" i="57"/>
  <c r="M323" i="112" s="1"/>
  <c r="M120" i="57"/>
  <c r="M322" i="112" s="1"/>
  <c r="P86" i="57"/>
  <c r="P321" i="112" s="1"/>
  <c r="P85" i="57"/>
  <c r="P320" i="112" s="1"/>
  <c r="M86" i="57"/>
  <c r="M321" i="112" s="1"/>
  <c r="M85" i="57"/>
  <c r="M320" i="112" s="1"/>
  <c r="P57" i="57"/>
  <c r="P319" i="112" s="1"/>
  <c r="P56" i="57"/>
  <c r="P318" i="112" s="1"/>
  <c r="M57" i="57"/>
  <c r="M319" i="112" s="1"/>
  <c r="M56" i="57"/>
  <c r="M318" i="112" s="1"/>
  <c r="P110" i="96"/>
  <c r="P304" i="112" s="1"/>
  <c r="M110" i="96"/>
  <c r="M304" i="112" s="1"/>
  <c r="P57" i="96"/>
  <c r="P303" i="112" s="1"/>
  <c r="P56" i="96"/>
  <c r="P302" i="112" s="1"/>
  <c r="M57" i="96"/>
  <c r="M303" i="112" s="1"/>
  <c r="M56" i="96"/>
  <c r="M302" i="112" s="1"/>
  <c r="P154" i="44"/>
  <c r="M154" i="44"/>
  <c r="P112" i="44"/>
  <c r="P111" i="44"/>
  <c r="M112" i="44"/>
  <c r="M111" i="44"/>
  <c r="P52" i="95"/>
  <c r="P306" i="112" s="1"/>
  <c r="P53" i="95"/>
  <c r="P307" i="112" s="1"/>
  <c r="P51" i="95"/>
  <c r="P305" i="112" s="1"/>
  <c r="M52" i="95"/>
  <c r="M306" i="112" s="1"/>
  <c r="M53" i="95"/>
  <c r="M307" i="112" s="1"/>
  <c r="M51" i="95"/>
  <c r="M305" i="112" s="1"/>
  <c r="P120" i="45"/>
  <c r="P9" i="112" s="1"/>
  <c r="P121" i="45"/>
  <c r="P10" i="112" s="1"/>
  <c r="P122" i="45"/>
  <c r="P11" i="112" s="1"/>
  <c r="P119" i="45"/>
  <c r="P8" i="112" s="1"/>
  <c r="M120" i="45"/>
  <c r="M9" i="112" s="1"/>
  <c r="M121" i="45"/>
  <c r="M10" i="112" s="1"/>
  <c r="M122" i="45"/>
  <c r="M11" i="112" s="1"/>
  <c r="M119" i="45"/>
  <c r="M8" i="112" s="1"/>
  <c r="P50" i="45"/>
  <c r="P7" i="112" s="1"/>
  <c r="P49" i="45"/>
  <c r="P6" i="112" s="1"/>
  <c r="M50" i="45"/>
  <c r="M7" i="112" s="1"/>
  <c r="M49" i="45"/>
  <c r="M6" i="112" s="1"/>
  <c r="P51" i="62"/>
  <c r="P142" i="112" s="1"/>
  <c r="P52" i="62"/>
  <c r="P143" i="112" s="1"/>
  <c r="P50" i="62"/>
  <c r="P141" i="112" s="1"/>
  <c r="M51" i="62"/>
  <c r="M142" i="112" s="1"/>
  <c r="M52" i="62"/>
  <c r="M143" i="112" s="1"/>
  <c r="M50" i="62"/>
  <c r="M141" i="112" s="1"/>
  <c r="M1310" i="56"/>
  <c r="M1311" i="56"/>
  <c r="M1309" i="56"/>
  <c r="P1310" i="56"/>
  <c r="P1311" i="56"/>
  <c r="P1309" i="56"/>
  <c r="M1248" i="56"/>
  <c r="M252" i="112" s="1"/>
  <c r="M1249" i="56"/>
  <c r="M253" i="112" s="1"/>
  <c r="P1248" i="56"/>
  <c r="P252" i="112" s="1"/>
  <c r="P1249" i="56"/>
  <c r="P253" i="112" s="1"/>
  <c r="P1247" i="56"/>
  <c r="P251" i="112" s="1"/>
  <c r="M1247" i="56"/>
  <c r="M251" i="112" s="1"/>
  <c r="L254" i="112" l="1"/>
  <c r="G1369" i="56"/>
  <c r="J58" i="56" s="1"/>
  <c r="R176" i="69" s="1"/>
  <c r="E176" i="69" s="1"/>
  <c r="L256" i="112"/>
  <c r="G1371" i="56"/>
  <c r="J60" i="56" s="1"/>
  <c r="R178" i="69" s="1"/>
  <c r="E178" i="69" s="1"/>
  <c r="L255" i="112"/>
  <c r="G1370" i="56"/>
  <c r="J59" i="56" s="1"/>
  <c r="R177" i="69" s="1"/>
  <c r="E177" i="69" s="1"/>
  <c r="D208" i="59"/>
  <c r="D208" i="61"/>
  <c r="P1186" i="56"/>
  <c r="P249" i="112" s="1"/>
  <c r="P1187" i="56"/>
  <c r="P250" i="112" s="1"/>
  <c r="P1185" i="56"/>
  <c r="P248" i="112" s="1"/>
  <c r="P1180" i="56"/>
  <c r="P243" i="112" s="1"/>
  <c r="P1181" i="56"/>
  <c r="P244" i="112" s="1"/>
  <c r="P1182" i="56"/>
  <c r="P245" i="112" s="1"/>
  <c r="P1183" i="56"/>
  <c r="P246" i="112" s="1"/>
  <c r="P1184" i="56"/>
  <c r="P247" i="112" s="1"/>
  <c r="P1179" i="56"/>
  <c r="P242" i="112" s="1"/>
  <c r="P1177" i="56"/>
  <c r="P240" i="112" s="1"/>
  <c r="P1178" i="56"/>
  <c r="P241" i="112" s="1"/>
  <c r="P1176" i="56"/>
  <c r="P239" i="112" s="1"/>
  <c r="M1186" i="56"/>
  <c r="M249" i="112" s="1"/>
  <c r="M1187" i="56"/>
  <c r="M250" i="112" s="1"/>
  <c r="M1185" i="56"/>
  <c r="M248" i="112" s="1"/>
  <c r="M1180" i="56"/>
  <c r="M243" i="112" s="1"/>
  <c r="M1181" i="56"/>
  <c r="M244" i="112" s="1"/>
  <c r="M1182" i="56"/>
  <c r="M245" i="112" s="1"/>
  <c r="M1183" i="56"/>
  <c r="M246" i="112" s="1"/>
  <c r="M1184" i="56"/>
  <c r="M247" i="112" s="1"/>
  <c r="M1179" i="56"/>
  <c r="M242" i="112" s="1"/>
  <c r="M1177" i="56"/>
  <c r="M240" i="112" s="1"/>
  <c r="M1178" i="56"/>
  <c r="M241" i="112" s="1"/>
  <c r="M1176" i="56"/>
  <c r="M239" i="112" s="1"/>
  <c r="P1025" i="56"/>
  <c r="P234" i="112" s="1"/>
  <c r="P1026" i="56"/>
  <c r="P235" i="112" s="1"/>
  <c r="P1027" i="56"/>
  <c r="P236" i="112" s="1"/>
  <c r="P1028" i="56"/>
  <c r="P237" i="112" s="1"/>
  <c r="P1029" i="56"/>
  <c r="P238" i="112" s="1"/>
  <c r="P1024" i="56"/>
  <c r="P233" i="112" s="1"/>
  <c r="M1025" i="56"/>
  <c r="M234" i="112" s="1"/>
  <c r="M1026" i="56"/>
  <c r="M235" i="112" s="1"/>
  <c r="M1027" i="56"/>
  <c r="M236" i="112" s="1"/>
  <c r="M1028" i="56"/>
  <c r="M237" i="112" s="1"/>
  <c r="M1029" i="56"/>
  <c r="M238" i="112" s="1"/>
  <c r="M1024" i="56"/>
  <c r="M233" i="112" s="1"/>
  <c r="P928" i="56"/>
  <c r="P205" i="112" s="1"/>
  <c r="P929" i="56"/>
  <c r="P206" i="112" s="1"/>
  <c r="P930" i="56"/>
  <c r="P207" i="112" s="1"/>
  <c r="P931" i="56"/>
  <c r="P208" i="112" s="1"/>
  <c r="P932" i="56"/>
  <c r="P209" i="112" s="1"/>
  <c r="P933" i="56"/>
  <c r="P210" i="112" s="1"/>
  <c r="P934" i="56"/>
  <c r="P211" i="112" s="1"/>
  <c r="P935" i="56"/>
  <c r="P212" i="112" s="1"/>
  <c r="P936" i="56"/>
  <c r="P213" i="112" s="1"/>
  <c r="P937" i="56"/>
  <c r="P214" i="112" s="1"/>
  <c r="P938" i="56"/>
  <c r="P215" i="112" s="1"/>
  <c r="P939" i="56"/>
  <c r="P216" i="112" s="1"/>
  <c r="P940" i="56"/>
  <c r="P217" i="112" s="1"/>
  <c r="P941" i="56"/>
  <c r="P218" i="112" s="1"/>
  <c r="P942" i="56"/>
  <c r="P219" i="112" s="1"/>
  <c r="P943" i="56"/>
  <c r="P220" i="112" s="1"/>
  <c r="P944" i="56"/>
  <c r="P221" i="112" s="1"/>
  <c r="P945" i="56"/>
  <c r="P222" i="112" s="1"/>
  <c r="P946" i="56"/>
  <c r="P223" i="112" s="1"/>
  <c r="P947" i="56"/>
  <c r="P224" i="112" s="1"/>
  <c r="P948" i="56"/>
  <c r="P225" i="112" s="1"/>
  <c r="P949" i="56"/>
  <c r="P226" i="112" s="1"/>
  <c r="P950" i="56"/>
  <c r="P227" i="112" s="1"/>
  <c r="P951" i="56"/>
  <c r="P228" i="112" s="1"/>
  <c r="P952" i="56"/>
  <c r="P229" i="112" s="1"/>
  <c r="P953" i="56"/>
  <c r="P230" i="112" s="1"/>
  <c r="P954" i="56"/>
  <c r="P231" i="112" s="1"/>
  <c r="P955" i="56"/>
  <c r="P232" i="112" s="1"/>
  <c r="P927" i="56"/>
  <c r="P204" i="112" s="1"/>
  <c r="P925" i="56"/>
  <c r="P202" i="112" s="1"/>
  <c r="P926" i="56"/>
  <c r="P203" i="112" s="1"/>
  <c r="P924" i="56"/>
  <c r="P201" i="112" s="1"/>
  <c r="M928" i="56"/>
  <c r="M205" i="112" s="1"/>
  <c r="M929" i="56"/>
  <c r="M206" i="112" s="1"/>
  <c r="M930" i="56"/>
  <c r="M207" i="112" s="1"/>
  <c r="M931" i="56"/>
  <c r="M208" i="112" s="1"/>
  <c r="M932" i="56"/>
  <c r="M209" i="112" s="1"/>
  <c r="M933" i="56"/>
  <c r="M210" i="112" s="1"/>
  <c r="M934" i="56"/>
  <c r="M211" i="112" s="1"/>
  <c r="M935" i="56"/>
  <c r="M212" i="112" s="1"/>
  <c r="M936" i="56"/>
  <c r="M213" i="112" s="1"/>
  <c r="M937" i="56"/>
  <c r="M214" i="112" s="1"/>
  <c r="M938" i="56"/>
  <c r="M215" i="112" s="1"/>
  <c r="M939" i="56"/>
  <c r="M216" i="112" s="1"/>
  <c r="M940" i="56"/>
  <c r="M217" i="112" s="1"/>
  <c r="M941" i="56"/>
  <c r="M218" i="112" s="1"/>
  <c r="M942" i="56"/>
  <c r="M219" i="112" s="1"/>
  <c r="M943" i="56"/>
  <c r="M220" i="112" s="1"/>
  <c r="M944" i="56"/>
  <c r="M221" i="112" s="1"/>
  <c r="M945" i="56"/>
  <c r="M222" i="112" s="1"/>
  <c r="M946" i="56"/>
  <c r="M223" i="112" s="1"/>
  <c r="M947" i="56"/>
  <c r="M224" i="112" s="1"/>
  <c r="M948" i="56"/>
  <c r="M225" i="112" s="1"/>
  <c r="M949" i="56"/>
  <c r="M226" i="112" s="1"/>
  <c r="M950" i="56"/>
  <c r="M227" i="112" s="1"/>
  <c r="M951" i="56"/>
  <c r="M228" i="112" s="1"/>
  <c r="M952" i="56"/>
  <c r="M229" i="112" s="1"/>
  <c r="M953" i="56"/>
  <c r="M230" i="112" s="1"/>
  <c r="M954" i="56"/>
  <c r="M231" i="112" s="1"/>
  <c r="M955" i="56"/>
  <c r="M232" i="112" s="1"/>
  <c r="M927" i="56"/>
  <c r="M204" i="112" s="1"/>
  <c r="M925" i="56"/>
  <c r="M202" i="112" s="1"/>
  <c r="M926" i="56"/>
  <c r="M203" i="112" s="1"/>
  <c r="M924" i="56"/>
  <c r="M201" i="112" s="1"/>
  <c r="P752" i="56"/>
  <c r="P200" i="112" s="1"/>
  <c r="P724" i="56"/>
  <c r="P172" i="112" s="1"/>
  <c r="P725" i="56"/>
  <c r="P173" i="112" s="1"/>
  <c r="P726" i="56"/>
  <c r="P174" i="112" s="1"/>
  <c r="P727" i="56"/>
  <c r="P175" i="112" s="1"/>
  <c r="P728" i="56"/>
  <c r="P176" i="112" s="1"/>
  <c r="P729" i="56"/>
  <c r="P177" i="112" s="1"/>
  <c r="P730" i="56"/>
  <c r="P178" i="112" s="1"/>
  <c r="P731" i="56"/>
  <c r="P179" i="112" s="1"/>
  <c r="P732" i="56"/>
  <c r="P180" i="112" s="1"/>
  <c r="P733" i="56"/>
  <c r="P181" i="112" s="1"/>
  <c r="P734" i="56"/>
  <c r="P182" i="112" s="1"/>
  <c r="P735" i="56"/>
  <c r="P183" i="112" s="1"/>
  <c r="P736" i="56"/>
  <c r="P184" i="112" s="1"/>
  <c r="P737" i="56"/>
  <c r="P185" i="112" s="1"/>
  <c r="P738" i="56"/>
  <c r="P186" i="112" s="1"/>
  <c r="P739" i="56"/>
  <c r="P187" i="112" s="1"/>
  <c r="P740" i="56"/>
  <c r="P188" i="112" s="1"/>
  <c r="P741" i="56"/>
  <c r="P189" i="112" s="1"/>
  <c r="P742" i="56"/>
  <c r="P190" i="112" s="1"/>
  <c r="P743" i="56"/>
  <c r="P191" i="112" s="1"/>
  <c r="P744" i="56"/>
  <c r="P192" i="112" s="1"/>
  <c r="P745" i="56"/>
  <c r="P193" i="112" s="1"/>
  <c r="P746" i="56"/>
  <c r="P194" i="112" s="1"/>
  <c r="P747" i="56"/>
  <c r="P195" i="112" s="1"/>
  <c r="P748" i="56"/>
  <c r="P196" i="112" s="1"/>
  <c r="P749" i="56"/>
  <c r="P197" i="112" s="1"/>
  <c r="P750" i="56"/>
  <c r="P198" i="112" s="1"/>
  <c r="P751" i="56"/>
  <c r="P199" i="112" s="1"/>
  <c r="P723" i="56"/>
  <c r="P171" i="112" s="1"/>
  <c r="P721" i="56"/>
  <c r="P722" i="56"/>
  <c r="P720" i="56"/>
  <c r="M724" i="56"/>
  <c r="M172" i="112" s="1"/>
  <c r="M725" i="56"/>
  <c r="M173" i="112" s="1"/>
  <c r="M726" i="56"/>
  <c r="M174" i="112" s="1"/>
  <c r="M727" i="56"/>
  <c r="M175" i="112" s="1"/>
  <c r="M728" i="56"/>
  <c r="M176" i="112" s="1"/>
  <c r="M729" i="56"/>
  <c r="M177" i="112" s="1"/>
  <c r="M730" i="56"/>
  <c r="M178" i="112" s="1"/>
  <c r="M731" i="56"/>
  <c r="M179" i="112" s="1"/>
  <c r="M732" i="56"/>
  <c r="M180" i="112" s="1"/>
  <c r="M733" i="56"/>
  <c r="M181" i="112" s="1"/>
  <c r="M734" i="56"/>
  <c r="M182" i="112" s="1"/>
  <c r="M735" i="56"/>
  <c r="M183" i="112" s="1"/>
  <c r="M736" i="56"/>
  <c r="M184" i="112" s="1"/>
  <c r="M737" i="56"/>
  <c r="M185" i="112" s="1"/>
  <c r="M738" i="56"/>
  <c r="M186" i="112" s="1"/>
  <c r="M739" i="56"/>
  <c r="M187" i="112" s="1"/>
  <c r="M740" i="56"/>
  <c r="M188" i="112" s="1"/>
  <c r="M741" i="56"/>
  <c r="M189" i="112" s="1"/>
  <c r="M742" i="56"/>
  <c r="M190" i="112" s="1"/>
  <c r="M743" i="56"/>
  <c r="M191" i="112" s="1"/>
  <c r="M744" i="56"/>
  <c r="M192" i="112" s="1"/>
  <c r="M745" i="56"/>
  <c r="M193" i="112" s="1"/>
  <c r="M746" i="56"/>
  <c r="M194" i="112" s="1"/>
  <c r="M747" i="56"/>
  <c r="M195" i="112" s="1"/>
  <c r="M748" i="56"/>
  <c r="M196" i="112" s="1"/>
  <c r="M749" i="56"/>
  <c r="M197" i="112" s="1"/>
  <c r="M750" i="56"/>
  <c r="M198" i="112" s="1"/>
  <c r="M751" i="56"/>
  <c r="M199" i="112" s="1"/>
  <c r="M752" i="56"/>
  <c r="M200" i="112" s="1"/>
  <c r="M723" i="56"/>
  <c r="M171" i="112" s="1"/>
  <c r="M721" i="56"/>
  <c r="M722" i="56"/>
  <c r="M720" i="56"/>
  <c r="P569" i="56"/>
  <c r="P570" i="56"/>
  <c r="P568" i="56"/>
  <c r="P563" i="56"/>
  <c r="P564" i="56"/>
  <c r="P565" i="56"/>
  <c r="P566" i="56"/>
  <c r="P567" i="56"/>
  <c r="P562" i="56"/>
  <c r="P560" i="56"/>
  <c r="P561" i="56"/>
  <c r="P559" i="56"/>
  <c r="M569" i="56"/>
  <c r="M570" i="56"/>
  <c r="M568" i="56"/>
  <c r="M563" i="56"/>
  <c r="M564" i="56"/>
  <c r="M565" i="56"/>
  <c r="M566" i="56"/>
  <c r="M567" i="56"/>
  <c r="M562" i="56"/>
  <c r="M560" i="56"/>
  <c r="M561" i="56"/>
  <c r="M559" i="56"/>
  <c r="P163" i="112"/>
  <c r="P164" i="112"/>
  <c r="P165" i="112"/>
  <c r="P166" i="112"/>
  <c r="P167" i="112"/>
  <c r="P412" i="56"/>
  <c r="P168" i="112" s="1"/>
  <c r="P413" i="56"/>
  <c r="P169" i="112" s="1"/>
  <c r="P414" i="56"/>
  <c r="P170" i="112" s="1"/>
  <c r="P162" i="112"/>
  <c r="P395" i="56"/>
  <c r="P151" i="112" s="1"/>
  <c r="P396" i="56"/>
  <c r="P152" i="112" s="1"/>
  <c r="P153" i="112"/>
  <c r="P154" i="112"/>
  <c r="P155" i="112"/>
  <c r="P156" i="112"/>
  <c r="P157" i="112"/>
  <c r="P158" i="112"/>
  <c r="P403" i="56"/>
  <c r="P159" i="112" s="1"/>
  <c r="P404" i="56"/>
  <c r="P160" i="112" s="1"/>
  <c r="P405" i="56"/>
  <c r="P161" i="112" s="1"/>
  <c r="P394" i="56"/>
  <c r="P150" i="112" s="1"/>
  <c r="M407" i="56"/>
  <c r="M163" i="112" s="1"/>
  <c r="M408" i="56"/>
  <c r="M164" i="112" s="1"/>
  <c r="M409" i="56"/>
  <c r="M165" i="112" s="1"/>
  <c r="M410" i="56"/>
  <c r="M166" i="112" s="1"/>
  <c r="M411" i="56"/>
  <c r="M167" i="112" s="1"/>
  <c r="M412" i="56"/>
  <c r="M168" i="112" s="1"/>
  <c r="M413" i="56"/>
  <c r="M169" i="112" s="1"/>
  <c r="M414" i="56"/>
  <c r="M170" i="112" s="1"/>
  <c r="M406" i="56"/>
  <c r="M162" i="112" s="1"/>
  <c r="M395" i="56"/>
  <c r="M151" i="112" s="1"/>
  <c r="M396" i="56"/>
  <c r="M152" i="112" s="1"/>
  <c r="M397" i="56"/>
  <c r="M153" i="112" s="1"/>
  <c r="M398" i="56"/>
  <c r="M154" i="112" s="1"/>
  <c r="M399" i="56"/>
  <c r="M155" i="112" s="1"/>
  <c r="M400" i="56"/>
  <c r="M156" i="112" s="1"/>
  <c r="M401" i="56"/>
  <c r="M157" i="112" s="1"/>
  <c r="M402" i="56"/>
  <c r="M158" i="112" s="1"/>
  <c r="M403" i="56"/>
  <c r="M159" i="112" s="1"/>
  <c r="M404" i="56"/>
  <c r="M160" i="112" s="1"/>
  <c r="M405" i="56"/>
  <c r="M161" i="112" s="1"/>
  <c r="M394" i="56"/>
  <c r="M150" i="112" s="1"/>
  <c r="P170" i="56"/>
  <c r="P148" i="112" s="1"/>
  <c r="P171" i="56"/>
  <c r="P149" i="112" s="1"/>
  <c r="P169" i="56"/>
  <c r="P147" i="112" s="1"/>
  <c r="P167" i="56"/>
  <c r="P145" i="112" s="1"/>
  <c r="P168" i="56"/>
  <c r="P146" i="112" s="1"/>
  <c r="P166" i="56"/>
  <c r="P144" i="112" s="1"/>
  <c r="M171" i="56"/>
  <c r="M149" i="112" s="1"/>
  <c r="M170" i="56"/>
  <c r="M148" i="112" s="1"/>
  <c r="M169" i="56"/>
  <c r="M147" i="112" s="1"/>
  <c r="M167" i="56"/>
  <c r="M145" i="112" s="1"/>
  <c r="M168" i="56"/>
  <c r="M146" i="112" s="1"/>
  <c r="M166" i="56"/>
  <c r="M144" i="112" s="1"/>
  <c r="P223" i="58"/>
  <c r="P371" i="112" s="1"/>
  <c r="P224" i="58"/>
  <c r="P372" i="112" s="1"/>
  <c r="P225" i="58"/>
  <c r="P373" i="112" s="1"/>
  <c r="P226" i="58"/>
  <c r="P374" i="112" s="1"/>
  <c r="P222" i="58"/>
  <c r="P370" i="112" s="1"/>
  <c r="M223" i="58"/>
  <c r="M371" i="112" s="1"/>
  <c r="M224" i="58"/>
  <c r="M372" i="112" s="1"/>
  <c r="M225" i="58"/>
  <c r="M373" i="112" s="1"/>
  <c r="M226" i="58"/>
  <c r="M374" i="112" s="1"/>
  <c r="M222" i="58"/>
  <c r="M370" i="112" s="1"/>
  <c r="P307" i="54"/>
  <c r="P20" i="112" s="1"/>
  <c r="P308" i="54"/>
  <c r="P21" i="112" s="1"/>
  <c r="P309" i="54"/>
  <c r="P22" i="112" s="1"/>
  <c r="P310" i="54"/>
  <c r="P23" i="112" s="1"/>
  <c r="P311" i="54"/>
  <c r="P24" i="112" s="1"/>
  <c r="P312" i="54"/>
  <c r="P25" i="112" s="1"/>
  <c r="P313" i="54"/>
  <c r="P26" i="112" s="1"/>
  <c r="P306" i="54"/>
  <c r="P19" i="112" s="1"/>
  <c r="M307" i="54"/>
  <c r="M20" i="112" s="1"/>
  <c r="M308" i="54"/>
  <c r="M21" i="112" s="1"/>
  <c r="M309" i="54"/>
  <c r="M22" i="112" s="1"/>
  <c r="M310" i="54"/>
  <c r="M23" i="112" s="1"/>
  <c r="M311" i="54"/>
  <c r="M24" i="112" s="1"/>
  <c r="M312" i="54"/>
  <c r="M25" i="112" s="1"/>
  <c r="M313" i="54"/>
  <c r="M26" i="112" s="1"/>
  <c r="M306" i="54"/>
  <c r="M19" i="112" s="1"/>
  <c r="P144" i="58"/>
  <c r="P366" i="112" s="1"/>
  <c r="P145" i="58"/>
  <c r="P367" i="112" s="1"/>
  <c r="P146" i="58"/>
  <c r="P368" i="112" s="1"/>
  <c r="P147" i="58"/>
  <c r="P369" i="112" s="1"/>
  <c r="P143" i="58"/>
  <c r="P365" i="112" s="1"/>
  <c r="M144" i="58"/>
  <c r="M366" i="112" s="1"/>
  <c r="M145" i="58"/>
  <c r="M367" i="112" s="1"/>
  <c r="M146" i="58"/>
  <c r="M368" i="112" s="1"/>
  <c r="M147" i="58"/>
  <c r="M369" i="112" s="1"/>
  <c r="M143" i="58"/>
  <c r="M365" i="112" s="1"/>
  <c r="E208" i="59" l="1"/>
  <c r="N367" i="59"/>
  <c r="N368" i="59"/>
  <c r="E208" i="61"/>
  <c r="N369" i="61"/>
  <c r="N370" i="61"/>
  <c r="P325" i="112"/>
  <c r="P326" i="112"/>
  <c r="P327" i="112"/>
  <c r="P328" i="112"/>
  <c r="P329" i="112"/>
  <c r="P330" i="112"/>
  <c r="P331" i="112"/>
  <c r="P332" i="112"/>
  <c r="P333" i="112"/>
  <c r="P334" i="112"/>
  <c r="P335" i="112"/>
  <c r="P336" i="112"/>
  <c r="P337" i="112"/>
  <c r="P338" i="112"/>
  <c r="P324" i="112"/>
  <c r="M122" i="36"/>
  <c r="M325" i="112" s="1"/>
  <c r="M123" i="36"/>
  <c r="M326" i="112" s="1"/>
  <c r="M124" i="36"/>
  <c r="M327" i="112" s="1"/>
  <c r="M125" i="36"/>
  <c r="M328" i="112" s="1"/>
  <c r="M126" i="36"/>
  <c r="M329" i="112" s="1"/>
  <c r="M127" i="36"/>
  <c r="M330" i="112" s="1"/>
  <c r="M128" i="36"/>
  <c r="M331" i="112" s="1"/>
  <c r="M129" i="36"/>
  <c r="M332" i="112" s="1"/>
  <c r="M130" i="36"/>
  <c r="M333" i="112" s="1"/>
  <c r="M131" i="36"/>
  <c r="M334" i="112" s="1"/>
  <c r="M132" i="36"/>
  <c r="M335" i="112" s="1"/>
  <c r="M133" i="36"/>
  <c r="M336" i="112" s="1"/>
  <c r="M134" i="36"/>
  <c r="M337" i="112" s="1"/>
  <c r="M135" i="36"/>
  <c r="M338" i="112" s="1"/>
  <c r="M121" i="36"/>
  <c r="M324" i="112" s="1"/>
  <c r="P98" i="109"/>
  <c r="P99" i="109"/>
  <c r="P97" i="109"/>
  <c r="M98" i="109"/>
  <c r="M99" i="109"/>
  <c r="M97" i="109"/>
  <c r="P208" i="104"/>
  <c r="P376" i="112" s="1"/>
  <c r="P209" i="104"/>
  <c r="P377" i="112" s="1"/>
  <c r="P210" i="104"/>
  <c r="P378" i="112" s="1"/>
  <c r="P211" i="104"/>
  <c r="P379" i="112" s="1"/>
  <c r="P212" i="104"/>
  <c r="P380" i="112" s="1"/>
  <c r="P213" i="104"/>
  <c r="P381" i="112" s="1"/>
  <c r="P207" i="104"/>
  <c r="P375" i="112" s="1"/>
  <c r="M213" i="104"/>
  <c r="M381" i="112" s="1"/>
  <c r="M208" i="104"/>
  <c r="M376" i="112" s="1"/>
  <c r="M209" i="104"/>
  <c r="M377" i="112" s="1"/>
  <c r="M210" i="104"/>
  <c r="M378" i="112" s="1"/>
  <c r="M211" i="104"/>
  <c r="M379" i="112" s="1"/>
  <c r="M212" i="104"/>
  <c r="M380" i="112" s="1"/>
  <c r="M207" i="104"/>
  <c r="M375" i="112" s="1"/>
  <c r="P183" i="98"/>
  <c r="P387" i="112" s="1"/>
  <c r="P184" i="98"/>
  <c r="P388" i="112" s="1"/>
  <c r="P182" i="98"/>
  <c r="P386" i="112" s="1"/>
  <c r="P179" i="98"/>
  <c r="P383" i="112" s="1"/>
  <c r="P178" i="98"/>
  <c r="P382" i="112" s="1"/>
  <c r="M184" i="98"/>
  <c r="M388" i="112" s="1"/>
  <c r="M183" i="98"/>
  <c r="M387" i="112" s="1"/>
  <c r="M182" i="98"/>
  <c r="M386" i="112" s="1"/>
  <c r="M179" i="98"/>
  <c r="M383" i="112" s="1"/>
  <c r="M178" i="98"/>
  <c r="M382" i="112" s="1"/>
  <c r="P432" i="61"/>
  <c r="M432" i="61"/>
  <c r="P75" i="61"/>
  <c r="M75" i="61"/>
  <c r="M417" i="59"/>
  <c r="P417" i="59"/>
  <c r="P74" i="59"/>
  <c r="M74" i="59"/>
  <c r="P302" i="85"/>
  <c r="P301" i="85"/>
  <c r="M302" i="85"/>
  <c r="M301" i="85"/>
  <c r="M81" i="85"/>
  <c r="M132" i="112" s="1"/>
  <c r="M80" i="85"/>
  <c r="M131" i="112" s="1"/>
  <c r="P81" i="85"/>
  <c r="P132" i="112" s="1"/>
  <c r="P80" i="85"/>
  <c r="P131" i="112" s="1"/>
  <c r="F295" i="85" a="1"/>
  <c r="F295" i="85" s="1"/>
  <c r="F292" i="85" a="1"/>
  <c r="F292" i="85" s="1"/>
  <c r="P224" i="85"/>
  <c r="P225" i="85"/>
  <c r="P226" i="85"/>
  <c r="P223" i="85"/>
  <c r="M224" i="85"/>
  <c r="M225" i="85"/>
  <c r="M226" i="85"/>
  <c r="M223" i="85"/>
  <c r="P160" i="85"/>
  <c r="P134" i="112" s="1"/>
  <c r="P159" i="85"/>
  <c r="P133" i="112" s="1"/>
  <c r="M160" i="85"/>
  <c r="M134" i="112" s="1"/>
  <c r="M159" i="85"/>
  <c r="M133" i="112" s="1"/>
  <c r="R159" i="85"/>
  <c r="R133" i="112" s="1"/>
  <c r="S159" i="85"/>
  <c r="S133" i="112" s="1"/>
  <c r="T159" i="85"/>
  <c r="T133" i="112" s="1"/>
  <c r="U159" i="85"/>
  <c r="U133" i="112" s="1"/>
  <c r="V159" i="85"/>
  <c r="V133" i="112" s="1"/>
  <c r="W159" i="85"/>
  <c r="W133" i="112" s="1"/>
  <c r="R160" i="85"/>
  <c r="R134" i="112" s="1"/>
  <c r="S160" i="85"/>
  <c r="S134" i="112" s="1"/>
  <c r="T160" i="85"/>
  <c r="T134" i="112" s="1"/>
  <c r="U160" i="85"/>
  <c r="U134" i="112" s="1"/>
  <c r="V160" i="85"/>
  <c r="V134" i="112" s="1"/>
  <c r="W160" i="85"/>
  <c r="W134" i="112" s="1"/>
  <c r="Q160" i="85"/>
  <c r="Q134" i="112" s="1"/>
  <c r="Q159" i="85"/>
  <c r="Q133" i="112" s="1"/>
  <c r="F166" i="41" a="1"/>
  <c r="F166" i="41" s="1"/>
  <c r="F165" i="41" a="1"/>
  <c r="F165" i="41" s="1"/>
  <c r="F164" i="41" a="1"/>
  <c r="F164" i="41" s="1"/>
  <c r="F163" i="41" a="1"/>
  <c r="F163" i="41" s="1"/>
  <c r="F162" i="41" a="1"/>
  <c r="F162" i="41" s="1"/>
  <c r="F161" i="41" a="1"/>
  <c r="F161" i="41" s="1"/>
  <c r="F160" i="41" a="1"/>
  <c r="F160" i="41" s="1"/>
  <c r="F159" i="41" a="1"/>
  <c r="F159" i="41" s="1"/>
  <c r="F158" i="41" a="1"/>
  <c r="F158" i="41" s="1"/>
  <c r="F157" i="41" a="1"/>
  <c r="F157" i="41" s="1"/>
  <c r="F156" i="41" a="1"/>
  <c r="F156" i="41" s="1"/>
  <c r="F155" i="41" a="1"/>
  <c r="F155" i="41" s="1"/>
  <c r="F154" i="41" a="1"/>
  <c r="F154" i="41" s="1"/>
  <c r="F153" i="41" a="1"/>
  <c r="F153" i="41" s="1"/>
  <c r="F152" i="41" a="1"/>
  <c r="F152" i="41" s="1"/>
  <c r="F151" i="41" a="1"/>
  <c r="F151" i="41" s="1"/>
  <c r="F150" i="41" a="1"/>
  <c r="F150" i="41" s="1"/>
  <c r="F149" i="41" a="1"/>
  <c r="F149" i="41" s="1"/>
  <c r="F289" i="43" a="1"/>
  <c r="F289" i="43" s="1"/>
  <c r="F288" i="43" a="1"/>
  <c r="F288" i="43" s="1"/>
  <c r="F287" i="43" a="1"/>
  <c r="F287" i="43" s="1"/>
  <c r="F286" i="43" a="1"/>
  <c r="F286" i="43" s="1"/>
  <c r="F285" i="43" a="1"/>
  <c r="F285" i="43" s="1"/>
  <c r="F284" i="43" a="1"/>
  <c r="F284" i="43" s="1"/>
  <c r="F283" i="43" a="1"/>
  <c r="F283" i="43" s="1"/>
  <c r="F282" i="43" a="1"/>
  <c r="F282" i="43" s="1"/>
  <c r="F281" i="43" a="1"/>
  <c r="F281" i="43" s="1"/>
  <c r="F280" i="43" a="1"/>
  <c r="F280" i="43" s="1"/>
  <c r="F279" i="43" a="1"/>
  <c r="F279" i="43" s="1"/>
  <c r="F278" i="43" a="1"/>
  <c r="F278" i="43" s="1"/>
  <c r="F277" i="43" a="1"/>
  <c r="F277" i="43" s="1"/>
  <c r="F276" i="43" a="1"/>
  <c r="F276" i="43" s="1"/>
  <c r="F275" i="43" a="1"/>
  <c r="F275" i="43" s="1"/>
  <c r="F274" i="43" a="1"/>
  <c r="F274" i="43" s="1"/>
  <c r="F273" i="43" a="1"/>
  <c r="F273" i="43" s="1"/>
  <c r="F272" i="43" a="1"/>
  <c r="F272" i="43" s="1"/>
  <c r="F271" i="43" a="1"/>
  <c r="F271" i="43" s="1"/>
  <c r="F270" i="43" a="1"/>
  <c r="F270" i="43" s="1"/>
  <c r="F269" i="43" a="1"/>
  <c r="F269" i="43" s="1"/>
  <c r="F268" i="43" a="1"/>
  <c r="F268" i="43" s="1"/>
  <c r="M292" i="84"/>
  <c r="M291" i="84"/>
  <c r="P292" i="84"/>
  <c r="P291" i="84"/>
  <c r="B74" i="109"/>
  <c r="B73" i="109"/>
  <c r="P226" i="84"/>
  <c r="P227" i="84"/>
  <c r="P228" i="84"/>
  <c r="P225" i="84"/>
  <c r="M226" i="84"/>
  <c r="M227" i="84"/>
  <c r="M228" i="84"/>
  <c r="M225" i="84"/>
  <c r="C47" i="109"/>
  <c r="C48" i="109"/>
  <c r="R161" i="84"/>
  <c r="S161" i="84"/>
  <c r="T161" i="84"/>
  <c r="U161" i="84"/>
  <c r="V161" i="84"/>
  <c r="W161" i="84"/>
  <c r="R162" i="84"/>
  <c r="S162" i="84"/>
  <c r="T162" i="84"/>
  <c r="U162" i="84"/>
  <c r="V162" i="84"/>
  <c r="W162" i="84"/>
  <c r="Q162" i="84"/>
  <c r="Q161" i="84"/>
  <c r="P162" i="84"/>
  <c r="P161" i="84"/>
  <c r="M162" i="84"/>
  <c r="M161" i="84"/>
  <c r="P82" i="84"/>
  <c r="P81" i="84"/>
  <c r="M82" i="84"/>
  <c r="M81" i="84"/>
  <c r="M67" i="80"/>
  <c r="P67" i="80"/>
  <c r="P104" i="74"/>
  <c r="P103" i="74"/>
  <c r="M104" i="74"/>
  <c r="M103" i="74"/>
  <c r="P52" i="74"/>
  <c r="M52" i="74"/>
  <c r="P121" i="50"/>
  <c r="P414" i="112" s="1"/>
  <c r="P120" i="50"/>
  <c r="P413" i="112" s="1"/>
  <c r="P118" i="50"/>
  <c r="P411" i="112" s="1"/>
  <c r="P119" i="50"/>
  <c r="P412" i="112" s="1"/>
  <c r="P117" i="50"/>
  <c r="P410" i="112" s="1"/>
  <c r="M121" i="50"/>
  <c r="M414" i="112" s="1"/>
  <c r="M120" i="50"/>
  <c r="M413" i="112" s="1"/>
  <c r="M118" i="50"/>
  <c r="M411" i="112" s="1"/>
  <c r="M119" i="50"/>
  <c r="M412" i="112" s="1"/>
  <c r="M117" i="50"/>
  <c r="M410" i="112" s="1"/>
  <c r="P188" i="50"/>
  <c r="P416" i="112" s="1"/>
  <c r="P189" i="50"/>
  <c r="P417" i="112" s="1"/>
  <c r="P187" i="50"/>
  <c r="P415" i="112" s="1"/>
  <c r="M188" i="50"/>
  <c r="M416" i="112" s="1"/>
  <c r="M189" i="50"/>
  <c r="M417" i="112" s="1"/>
  <c r="M187" i="50"/>
  <c r="M415" i="112" s="1"/>
  <c r="E65" i="109"/>
  <c r="E66" i="109"/>
  <c r="D122" i="109"/>
  <c r="C122" i="109"/>
  <c r="D121" i="109"/>
  <c r="C121" i="109"/>
  <c r="D120" i="109"/>
  <c r="C120" i="109"/>
  <c r="D119" i="109"/>
  <c r="C119" i="109"/>
  <c r="H11" i="109" s="1" a="1"/>
  <c r="H11" i="109" s="1"/>
  <c r="S119" i="69" s="1"/>
  <c r="D110" i="109"/>
  <c r="C110" i="109"/>
  <c r="D109" i="109"/>
  <c r="C109" i="109"/>
  <c r="D108" i="109"/>
  <c r="C108" i="109"/>
  <c r="W99" i="109"/>
  <c r="V99" i="109"/>
  <c r="U99" i="109"/>
  <c r="T99" i="109"/>
  <c r="R99" i="109"/>
  <c r="Q99" i="109"/>
  <c r="I99" i="109"/>
  <c r="E99" i="109"/>
  <c r="W98" i="109"/>
  <c r="V98" i="109"/>
  <c r="U98" i="109"/>
  <c r="T98" i="109"/>
  <c r="R98" i="109"/>
  <c r="Q98" i="109"/>
  <c r="I98" i="109"/>
  <c r="E98" i="109"/>
  <c r="W97" i="109"/>
  <c r="V97" i="109"/>
  <c r="U97" i="109"/>
  <c r="T97" i="109"/>
  <c r="R97" i="109"/>
  <c r="Q97" i="109"/>
  <c r="I97" i="109"/>
  <c r="E97" i="109"/>
  <c r="D93" i="109"/>
  <c r="C93" i="109"/>
  <c r="D92" i="109"/>
  <c r="C92" i="109"/>
  <c r="D91" i="109"/>
  <c r="C91" i="109"/>
  <c r="B70" i="109"/>
  <c r="B69" i="109"/>
  <c r="C66" i="109"/>
  <c r="C65" i="109"/>
  <c r="C64" i="109"/>
  <c r="C46" i="109"/>
  <c r="C45" i="109"/>
  <c r="C44" i="109"/>
  <c r="C43" i="109"/>
  <c r="C42" i="109"/>
  <c r="C41" i="109"/>
  <c r="C40" i="109"/>
  <c r="C39" i="109"/>
  <c r="P102" i="51"/>
  <c r="P419" i="112" s="1"/>
  <c r="P103" i="51"/>
  <c r="P420" i="112" s="1"/>
  <c r="P104" i="51"/>
  <c r="P421" i="112" s="1"/>
  <c r="P105" i="51"/>
  <c r="P422" i="112" s="1"/>
  <c r="P106" i="51"/>
  <c r="P423" i="112" s="1"/>
  <c r="P101" i="51"/>
  <c r="P418" i="112" s="1"/>
  <c r="M102" i="51"/>
  <c r="M419" i="112" s="1"/>
  <c r="M103" i="51"/>
  <c r="M420" i="112" s="1"/>
  <c r="M104" i="51"/>
  <c r="M421" i="112" s="1"/>
  <c r="M105" i="51"/>
  <c r="M422" i="112" s="1"/>
  <c r="M106" i="51"/>
  <c r="M423" i="112" s="1"/>
  <c r="M101" i="51"/>
  <c r="M418" i="112" s="1"/>
  <c r="P76" i="88"/>
  <c r="P300" i="112" s="1"/>
  <c r="M76" i="88"/>
  <c r="M300" i="112" s="1"/>
  <c r="P118" i="88"/>
  <c r="P301" i="112" s="1"/>
  <c r="M118" i="88"/>
  <c r="M301" i="112" s="1"/>
  <c r="P78" i="78"/>
  <c r="P405" i="112" s="1"/>
  <c r="P79" i="78"/>
  <c r="P406" i="112" s="1"/>
  <c r="P80" i="78"/>
  <c r="P407" i="112" s="1"/>
  <c r="P77" i="78"/>
  <c r="P404" i="112" s="1"/>
  <c r="M78" i="78"/>
  <c r="M405" i="112" s="1"/>
  <c r="M79" i="78"/>
  <c r="M406" i="112" s="1"/>
  <c r="M80" i="78"/>
  <c r="M407" i="112" s="1"/>
  <c r="M77" i="78"/>
  <c r="M404" i="112" s="1"/>
  <c r="P94" i="76"/>
  <c r="P396" i="112" s="1"/>
  <c r="P95" i="76"/>
  <c r="P397" i="112" s="1"/>
  <c r="P96" i="76"/>
  <c r="P398" i="112" s="1"/>
  <c r="P97" i="76"/>
  <c r="P399" i="112" s="1"/>
  <c r="P98" i="76"/>
  <c r="P400" i="112" s="1"/>
  <c r="P99" i="76"/>
  <c r="P401" i="112" s="1"/>
  <c r="P100" i="76"/>
  <c r="P402" i="112" s="1"/>
  <c r="P93" i="76"/>
  <c r="P395" i="112" s="1"/>
  <c r="M94" i="76"/>
  <c r="M396" i="112" s="1"/>
  <c r="M95" i="76"/>
  <c r="M397" i="112" s="1"/>
  <c r="M96" i="76"/>
  <c r="M398" i="112" s="1"/>
  <c r="M97" i="76"/>
  <c r="M399" i="112" s="1"/>
  <c r="M98" i="76"/>
  <c r="M400" i="112" s="1"/>
  <c r="M99" i="76"/>
  <c r="M401" i="112" s="1"/>
  <c r="M100" i="76"/>
  <c r="M402" i="112" s="1"/>
  <c r="M93" i="76"/>
  <c r="M395" i="112" s="1"/>
  <c r="P78" i="75"/>
  <c r="P309" i="112" s="1"/>
  <c r="P79" i="75"/>
  <c r="P310" i="112" s="1"/>
  <c r="P80" i="75"/>
  <c r="P311" i="112" s="1"/>
  <c r="P77" i="75"/>
  <c r="P308" i="112" s="1"/>
  <c r="M78" i="75"/>
  <c r="M309" i="112" s="1"/>
  <c r="M79" i="75"/>
  <c r="M310" i="112" s="1"/>
  <c r="M80" i="75"/>
  <c r="M311" i="112" s="1"/>
  <c r="M77" i="75"/>
  <c r="M308" i="112" s="1"/>
  <c r="P152" i="72"/>
  <c r="P409" i="112" s="1"/>
  <c r="P151" i="72"/>
  <c r="P408" i="112" s="1"/>
  <c r="M152" i="72"/>
  <c r="M409" i="112" s="1"/>
  <c r="M151" i="72"/>
  <c r="M408" i="112" s="1"/>
  <c r="P294" i="43"/>
  <c r="P60" i="112" s="1"/>
  <c r="P296" i="43"/>
  <c r="P62" i="112" s="1"/>
  <c r="P297" i="43"/>
  <c r="P63" i="112" s="1"/>
  <c r="P298" i="43"/>
  <c r="P64" i="112" s="1"/>
  <c r="P299" i="43"/>
  <c r="P65" i="112" s="1"/>
  <c r="P300" i="43"/>
  <c r="P66" i="112" s="1"/>
  <c r="P301" i="43"/>
  <c r="P67" i="112" s="1"/>
  <c r="P302" i="43"/>
  <c r="P68" i="112" s="1"/>
  <c r="P303" i="43"/>
  <c r="P69" i="112" s="1"/>
  <c r="P304" i="43"/>
  <c r="P70" i="112" s="1"/>
  <c r="P305" i="43"/>
  <c r="P71" i="112" s="1"/>
  <c r="P306" i="43"/>
  <c r="P72" i="112" s="1"/>
  <c r="P307" i="43"/>
  <c r="P73" i="112" s="1"/>
  <c r="P308" i="43"/>
  <c r="P74" i="112" s="1"/>
  <c r="P309" i="43"/>
  <c r="P75" i="112" s="1"/>
  <c r="P310" i="43"/>
  <c r="P76" i="112" s="1"/>
  <c r="P311" i="43"/>
  <c r="P77" i="112" s="1"/>
  <c r="P312" i="43"/>
  <c r="P78" i="112" s="1"/>
  <c r="P313" i="43"/>
  <c r="P79" i="112" s="1"/>
  <c r="P314" i="43"/>
  <c r="P80" i="112" s="1"/>
  <c r="P293" i="43"/>
  <c r="P59" i="112" s="1"/>
  <c r="M294" i="43"/>
  <c r="M60" i="112" s="1"/>
  <c r="M295" i="43"/>
  <c r="M61" i="112" s="1"/>
  <c r="M296" i="43"/>
  <c r="M62" i="112" s="1"/>
  <c r="M297" i="43"/>
  <c r="M63" i="112" s="1"/>
  <c r="M298" i="43"/>
  <c r="M64" i="112" s="1"/>
  <c r="M299" i="43"/>
  <c r="M65" i="112" s="1"/>
  <c r="M300" i="43"/>
  <c r="M66" i="112" s="1"/>
  <c r="M301" i="43"/>
  <c r="M67" i="112" s="1"/>
  <c r="M302" i="43"/>
  <c r="M68" i="112" s="1"/>
  <c r="M303" i="43"/>
  <c r="M69" i="112" s="1"/>
  <c r="M304" i="43"/>
  <c r="M70" i="112" s="1"/>
  <c r="M305" i="43"/>
  <c r="M71" i="112" s="1"/>
  <c r="M306" i="43"/>
  <c r="M72" i="112" s="1"/>
  <c r="M307" i="43"/>
  <c r="M73" i="112" s="1"/>
  <c r="M308" i="43"/>
  <c r="M74" i="112" s="1"/>
  <c r="M309" i="43"/>
  <c r="M75" i="112" s="1"/>
  <c r="M310" i="43"/>
  <c r="M76" i="112" s="1"/>
  <c r="M311" i="43"/>
  <c r="M77" i="112" s="1"/>
  <c r="M312" i="43"/>
  <c r="M78" i="112" s="1"/>
  <c r="M313" i="43"/>
  <c r="M79" i="112" s="1"/>
  <c r="M314" i="43"/>
  <c r="M80" i="112" s="1"/>
  <c r="M293" i="43"/>
  <c r="M59" i="112" s="1"/>
  <c r="P189" i="41"/>
  <c r="P94" i="112" s="1"/>
  <c r="P190" i="41"/>
  <c r="P95" i="112" s="1"/>
  <c r="P191" i="41"/>
  <c r="P96" i="112" s="1"/>
  <c r="P192" i="41"/>
  <c r="P97" i="112" s="1"/>
  <c r="P193" i="41"/>
  <c r="P98" i="112" s="1"/>
  <c r="P188" i="41"/>
  <c r="P93" i="112" s="1"/>
  <c r="P177" i="41"/>
  <c r="P82" i="112" s="1"/>
  <c r="P178" i="41"/>
  <c r="P83" i="112" s="1"/>
  <c r="P179" i="41"/>
  <c r="P84" i="112" s="1"/>
  <c r="P180" i="41"/>
  <c r="P85" i="112" s="1"/>
  <c r="P181" i="41"/>
  <c r="P86" i="112" s="1"/>
  <c r="P182" i="41"/>
  <c r="P87" i="112" s="1"/>
  <c r="P183" i="41"/>
  <c r="P88" i="112" s="1"/>
  <c r="P184" i="41"/>
  <c r="P89" i="112" s="1"/>
  <c r="P185" i="41"/>
  <c r="P90" i="112" s="1"/>
  <c r="P186" i="41"/>
  <c r="P91" i="112" s="1"/>
  <c r="P187" i="41"/>
  <c r="P92" i="112" s="1"/>
  <c r="P176" i="41"/>
  <c r="P81" i="112" s="1"/>
  <c r="M189" i="41"/>
  <c r="M94" i="112" s="1"/>
  <c r="M190" i="41"/>
  <c r="M95" i="112" s="1"/>
  <c r="M191" i="41"/>
  <c r="M96" i="112" s="1"/>
  <c r="M192" i="41"/>
  <c r="M97" i="112" s="1"/>
  <c r="M193" i="41"/>
  <c r="M98" i="112" s="1"/>
  <c r="M188" i="41"/>
  <c r="M93" i="112" s="1"/>
  <c r="M177" i="41"/>
  <c r="M82" i="112" s="1"/>
  <c r="M178" i="41"/>
  <c r="M83" i="112" s="1"/>
  <c r="M179" i="41"/>
  <c r="M84" i="112" s="1"/>
  <c r="M180" i="41"/>
  <c r="M85" i="112" s="1"/>
  <c r="M181" i="41"/>
  <c r="M86" i="112" s="1"/>
  <c r="M182" i="41"/>
  <c r="M87" i="112" s="1"/>
  <c r="M183" i="41"/>
  <c r="M88" i="112" s="1"/>
  <c r="M184" i="41"/>
  <c r="M89" i="112" s="1"/>
  <c r="M185" i="41"/>
  <c r="M90" i="112" s="1"/>
  <c r="M186" i="41"/>
  <c r="M91" i="112" s="1"/>
  <c r="M187" i="41"/>
  <c r="M92" i="112" s="1"/>
  <c r="M176" i="41"/>
  <c r="M81" i="112" s="1"/>
  <c r="F182" i="41"/>
  <c r="F87" i="112" s="1"/>
  <c r="C10" i="108"/>
  <c r="D78" i="74"/>
  <c r="C7" i="108"/>
  <c r="E102" i="88" s="1"/>
  <c r="C6" i="108"/>
  <c r="D147" i="50" s="1"/>
  <c r="C5" i="108"/>
  <c r="C115" i="41" s="1"/>
  <c r="C145" i="41" s="1"/>
  <c r="AA245" i="69"/>
  <c r="AA246" i="69"/>
  <c r="AA244" i="69"/>
  <c r="S247" i="69"/>
  <c r="X237" i="69"/>
  <c r="X238" i="69"/>
  <c r="X239" i="69"/>
  <c r="X240" i="69"/>
  <c r="X241" i="69"/>
  <c r="X242" i="69"/>
  <c r="X236" i="69"/>
  <c r="T188" i="69"/>
  <c r="T189" i="69"/>
  <c r="T187" i="69"/>
  <c r="C311" i="56"/>
  <c r="K189" i="41" l="1"/>
  <c r="K190" i="41"/>
  <c r="K192" i="41"/>
  <c r="K191" i="41"/>
  <c r="K193" i="41"/>
  <c r="K188" i="41"/>
  <c r="D35" i="109"/>
  <c r="E35" i="109" s="1"/>
  <c r="D392" i="61"/>
  <c r="E392" i="61" s="1"/>
  <c r="J98" i="109"/>
  <c r="J97" i="109"/>
  <c r="J99" i="109"/>
  <c r="D159" i="50"/>
  <c r="D149" i="50"/>
  <c r="E239" i="43"/>
  <c r="D49" i="50"/>
  <c r="D77" i="74"/>
  <c r="D148" i="50"/>
  <c r="E64" i="109"/>
  <c r="B75" i="109"/>
  <c r="E12" i="109" a="1"/>
  <c r="E12" i="109" s="1"/>
  <c r="K120" i="69" s="1"/>
  <c r="F93" i="109" a="1"/>
  <c r="F93" i="109" s="1"/>
  <c r="F91" i="109" a="1"/>
  <c r="F91" i="109" s="1"/>
  <c r="F92" i="109" a="1"/>
  <c r="F92" i="109" s="1"/>
  <c r="H12" i="109" a="1"/>
  <c r="H12" i="109" s="1"/>
  <c r="S120" i="69" s="1"/>
  <c r="H14" i="109" a="1"/>
  <c r="H14" i="109" s="1"/>
  <c r="S122" i="69" s="1"/>
  <c r="E122" i="69" s="1"/>
  <c r="H13" i="109" a="1"/>
  <c r="H13" i="109" s="1"/>
  <c r="S121" i="69" s="1"/>
  <c r="E11" i="109" a="1"/>
  <c r="E11" i="109" s="1"/>
  <c r="K119" i="69" s="1"/>
  <c r="E13" i="109" a="1"/>
  <c r="E13" i="109" s="1"/>
  <c r="K121" i="69" s="1"/>
  <c r="C305" i="56"/>
  <c r="H291" i="56"/>
  <c r="C151" i="56"/>
  <c r="K161" i="84"/>
  <c r="O142" i="69"/>
  <c r="O152" i="69"/>
  <c r="O151" i="69"/>
  <c r="O149" i="69"/>
  <c r="O148" i="69"/>
  <c r="O146" i="69"/>
  <c r="O145" i="69"/>
  <c r="O143" i="69"/>
  <c r="H91" i="109" l="1"/>
  <c r="N97" i="109" s="1"/>
  <c r="H426" i="61"/>
  <c r="N432" i="61" s="1"/>
  <c r="B76" i="109"/>
  <c r="C340" i="56"/>
  <c r="N99" i="109" l="1"/>
  <c r="N98" i="109"/>
  <c r="B77" i="109"/>
  <c r="G14" i="99" a="1"/>
  <c r="G14" i="99" s="1"/>
  <c r="F283" i="99" a="1"/>
  <c r="F283" i="99" s="1"/>
  <c r="F282" i="99" a="1"/>
  <c r="F282" i="99" s="1"/>
  <c r="F281" i="99" a="1"/>
  <c r="F281" i="99" s="1"/>
  <c r="R288" i="99"/>
  <c r="R394" i="112" s="1"/>
  <c r="S288" i="99"/>
  <c r="S394" i="112" s="1"/>
  <c r="T288" i="99"/>
  <c r="T394" i="112" s="1"/>
  <c r="U288" i="99"/>
  <c r="U394" i="112" s="1"/>
  <c r="V288" i="99"/>
  <c r="V394" i="112" s="1"/>
  <c r="W288" i="99"/>
  <c r="W394" i="112" s="1"/>
  <c r="R289" i="99"/>
  <c r="S289" i="99"/>
  <c r="T289" i="99"/>
  <c r="U289" i="99"/>
  <c r="V289" i="99"/>
  <c r="W289" i="99"/>
  <c r="R290" i="99"/>
  <c r="S290" i="99"/>
  <c r="T290" i="99"/>
  <c r="U290" i="99"/>
  <c r="V290" i="99"/>
  <c r="W290" i="99"/>
  <c r="Q289" i="99"/>
  <c r="Q290" i="99"/>
  <c r="Q288" i="99"/>
  <c r="Q394" i="112" s="1"/>
  <c r="I289" i="99"/>
  <c r="I290" i="99"/>
  <c r="J289" i="99"/>
  <c r="J290" i="99"/>
  <c r="F289" i="99"/>
  <c r="F290" i="99"/>
  <c r="F288" i="99"/>
  <c r="F394" i="112" s="1"/>
  <c r="F379" i="56" a="1"/>
  <c r="F379" i="56" s="1"/>
  <c r="F390" i="56" a="1"/>
  <c r="F390" i="56" s="1"/>
  <c r="F389" i="56" a="1"/>
  <c r="F389" i="56" s="1"/>
  <c r="F388" i="56" a="1"/>
  <c r="F388" i="56" s="1"/>
  <c r="F381" i="56" a="1"/>
  <c r="F381" i="56" s="1"/>
  <c r="F380" i="56" a="1"/>
  <c r="F380" i="56" s="1"/>
  <c r="F372" i="56" a="1"/>
  <c r="F372" i="56" s="1"/>
  <c r="F371" i="56" a="1"/>
  <c r="F371" i="56" s="1"/>
  <c r="F370" i="56" a="1"/>
  <c r="F370" i="56" s="1"/>
  <c r="R406" i="56"/>
  <c r="R162" i="112" s="1"/>
  <c r="S406" i="56"/>
  <c r="S162" i="112" s="1"/>
  <c r="T406" i="56"/>
  <c r="T162" i="112" s="1"/>
  <c r="U406" i="56"/>
  <c r="U162" i="112" s="1"/>
  <c r="V406" i="56"/>
  <c r="V162" i="112" s="1"/>
  <c r="W406" i="56"/>
  <c r="W162" i="112" s="1"/>
  <c r="R407" i="56"/>
  <c r="R163" i="112" s="1"/>
  <c r="S407" i="56"/>
  <c r="S163" i="112" s="1"/>
  <c r="T407" i="56"/>
  <c r="T163" i="112" s="1"/>
  <c r="U407" i="56"/>
  <c r="U163" i="112" s="1"/>
  <c r="V407" i="56"/>
  <c r="V163" i="112" s="1"/>
  <c r="W407" i="56"/>
  <c r="W163" i="112" s="1"/>
  <c r="R408" i="56"/>
  <c r="R164" i="112" s="1"/>
  <c r="S408" i="56"/>
  <c r="S164" i="112" s="1"/>
  <c r="T408" i="56"/>
  <c r="T164" i="112" s="1"/>
  <c r="U408" i="56"/>
  <c r="U164" i="112" s="1"/>
  <c r="V408" i="56"/>
  <c r="V164" i="112" s="1"/>
  <c r="W408" i="56"/>
  <c r="W164" i="112" s="1"/>
  <c r="R409" i="56"/>
  <c r="R165" i="112" s="1"/>
  <c r="S409" i="56"/>
  <c r="S165" i="112" s="1"/>
  <c r="T409" i="56"/>
  <c r="T165" i="112" s="1"/>
  <c r="U409" i="56"/>
  <c r="U165" i="112" s="1"/>
  <c r="V409" i="56"/>
  <c r="V165" i="112" s="1"/>
  <c r="W409" i="56"/>
  <c r="W165" i="112" s="1"/>
  <c r="R410" i="56"/>
  <c r="R166" i="112" s="1"/>
  <c r="S410" i="56"/>
  <c r="S166" i="112" s="1"/>
  <c r="T410" i="56"/>
  <c r="T166" i="112" s="1"/>
  <c r="U410" i="56"/>
  <c r="U166" i="112" s="1"/>
  <c r="V410" i="56"/>
  <c r="V166" i="112" s="1"/>
  <c r="W410" i="56"/>
  <c r="W166" i="112" s="1"/>
  <c r="R411" i="56"/>
  <c r="R167" i="112" s="1"/>
  <c r="S411" i="56"/>
  <c r="S167" i="112" s="1"/>
  <c r="T411" i="56"/>
  <c r="T167" i="112" s="1"/>
  <c r="U411" i="56"/>
  <c r="U167" i="112" s="1"/>
  <c r="V411" i="56"/>
  <c r="V167" i="112" s="1"/>
  <c r="W411" i="56"/>
  <c r="W167" i="112" s="1"/>
  <c r="R412" i="56"/>
  <c r="R168" i="112" s="1"/>
  <c r="S412" i="56"/>
  <c r="S168" i="112" s="1"/>
  <c r="T412" i="56"/>
  <c r="T168" i="112" s="1"/>
  <c r="U412" i="56"/>
  <c r="U168" i="112" s="1"/>
  <c r="V412" i="56"/>
  <c r="V168" i="112" s="1"/>
  <c r="W412" i="56"/>
  <c r="W168" i="112" s="1"/>
  <c r="R413" i="56"/>
  <c r="R169" i="112" s="1"/>
  <c r="S413" i="56"/>
  <c r="S169" i="112" s="1"/>
  <c r="T413" i="56"/>
  <c r="T169" i="112" s="1"/>
  <c r="U413" i="56"/>
  <c r="U169" i="112" s="1"/>
  <c r="V413" i="56"/>
  <c r="V169" i="112" s="1"/>
  <c r="W413" i="56"/>
  <c r="W169" i="112" s="1"/>
  <c r="R414" i="56"/>
  <c r="R170" i="112" s="1"/>
  <c r="S414" i="56"/>
  <c r="S170" i="112" s="1"/>
  <c r="T414" i="56"/>
  <c r="T170" i="112" s="1"/>
  <c r="U414" i="56"/>
  <c r="U170" i="112" s="1"/>
  <c r="V414" i="56"/>
  <c r="V170" i="112" s="1"/>
  <c r="W414" i="56"/>
  <c r="W170" i="112" s="1"/>
  <c r="Q407" i="56"/>
  <c r="Q163" i="112" s="1"/>
  <c r="Q408" i="56"/>
  <c r="Q164" i="112" s="1"/>
  <c r="Q409" i="56"/>
  <c r="Q165" i="112" s="1"/>
  <c r="Q410" i="56"/>
  <c r="Q166" i="112" s="1"/>
  <c r="Q411" i="56"/>
  <c r="Q167" i="112" s="1"/>
  <c r="Q412" i="56"/>
  <c r="Q168" i="112" s="1"/>
  <c r="Q413" i="56"/>
  <c r="Q169" i="112" s="1"/>
  <c r="Q414" i="56"/>
  <c r="Q170" i="112" s="1"/>
  <c r="Q406" i="56"/>
  <c r="Q162" i="112" s="1"/>
  <c r="I406" i="56"/>
  <c r="I162" i="112" s="1"/>
  <c r="I407" i="56"/>
  <c r="I163" i="112" s="1"/>
  <c r="I408" i="56"/>
  <c r="I164" i="112" s="1"/>
  <c r="I409" i="56"/>
  <c r="I165" i="112" s="1"/>
  <c r="I410" i="56"/>
  <c r="I166" i="112" s="1"/>
  <c r="I411" i="56"/>
  <c r="I167" i="112" s="1"/>
  <c r="I412" i="56"/>
  <c r="I168" i="112" s="1"/>
  <c r="I413" i="56"/>
  <c r="I169" i="112" s="1"/>
  <c r="I414" i="56"/>
  <c r="I170" i="112" s="1"/>
  <c r="H162" i="112"/>
  <c r="H163" i="112"/>
  <c r="H164" i="112"/>
  <c r="H165" i="112"/>
  <c r="H166" i="112"/>
  <c r="H167" i="112"/>
  <c r="H168" i="112"/>
  <c r="H169" i="112"/>
  <c r="H170" i="112"/>
  <c r="F407" i="56"/>
  <c r="F163" i="112" s="1"/>
  <c r="F408" i="56"/>
  <c r="F164" i="112" s="1"/>
  <c r="F409" i="56"/>
  <c r="F165" i="112" s="1"/>
  <c r="F410" i="56"/>
  <c r="F166" i="112" s="1"/>
  <c r="F411" i="56"/>
  <c r="F167" i="112" s="1"/>
  <c r="F412" i="56"/>
  <c r="F168" i="112" s="1"/>
  <c r="F413" i="56"/>
  <c r="F169" i="112" s="1"/>
  <c r="F414" i="56"/>
  <c r="F170" i="112" s="1"/>
  <c r="F406" i="56"/>
  <c r="F162" i="112" s="1"/>
  <c r="R394" i="56"/>
  <c r="R150" i="112" s="1"/>
  <c r="S394" i="56"/>
  <c r="S150" i="112" s="1"/>
  <c r="T394" i="56"/>
  <c r="T150" i="112" s="1"/>
  <c r="U394" i="56"/>
  <c r="U150" i="112" s="1"/>
  <c r="V394" i="56"/>
  <c r="V150" i="112" s="1"/>
  <c r="W394" i="56"/>
  <c r="W150" i="112" s="1"/>
  <c r="R395" i="56"/>
  <c r="R151" i="112" s="1"/>
  <c r="S395" i="56"/>
  <c r="S151" i="112" s="1"/>
  <c r="T395" i="56"/>
  <c r="T151" i="112" s="1"/>
  <c r="U395" i="56"/>
  <c r="U151" i="112" s="1"/>
  <c r="V395" i="56"/>
  <c r="V151" i="112" s="1"/>
  <c r="W395" i="56"/>
  <c r="W151" i="112" s="1"/>
  <c r="R396" i="56"/>
  <c r="R152" i="112" s="1"/>
  <c r="S396" i="56"/>
  <c r="S152" i="112" s="1"/>
  <c r="T396" i="56"/>
  <c r="T152" i="112" s="1"/>
  <c r="U396" i="56"/>
  <c r="U152" i="112" s="1"/>
  <c r="V396" i="56"/>
  <c r="V152" i="112" s="1"/>
  <c r="W396" i="56"/>
  <c r="W152" i="112" s="1"/>
  <c r="R397" i="56"/>
  <c r="R153" i="112" s="1"/>
  <c r="S397" i="56"/>
  <c r="S153" i="112" s="1"/>
  <c r="T397" i="56"/>
  <c r="T153" i="112" s="1"/>
  <c r="U397" i="56"/>
  <c r="U153" i="112" s="1"/>
  <c r="V397" i="56"/>
  <c r="V153" i="112" s="1"/>
  <c r="W397" i="56"/>
  <c r="W153" i="112" s="1"/>
  <c r="R398" i="56"/>
  <c r="R154" i="112" s="1"/>
  <c r="S398" i="56"/>
  <c r="S154" i="112" s="1"/>
  <c r="T398" i="56"/>
  <c r="T154" i="112" s="1"/>
  <c r="U398" i="56"/>
  <c r="U154" i="112" s="1"/>
  <c r="V398" i="56"/>
  <c r="V154" i="112" s="1"/>
  <c r="W398" i="56"/>
  <c r="W154" i="112" s="1"/>
  <c r="R399" i="56"/>
  <c r="R155" i="112" s="1"/>
  <c r="S399" i="56"/>
  <c r="S155" i="112" s="1"/>
  <c r="T399" i="56"/>
  <c r="T155" i="112" s="1"/>
  <c r="U399" i="56"/>
  <c r="U155" i="112" s="1"/>
  <c r="V399" i="56"/>
  <c r="V155" i="112" s="1"/>
  <c r="W399" i="56"/>
  <c r="W155" i="112" s="1"/>
  <c r="R400" i="56"/>
  <c r="R156" i="112" s="1"/>
  <c r="S400" i="56"/>
  <c r="S156" i="112" s="1"/>
  <c r="T400" i="56"/>
  <c r="T156" i="112" s="1"/>
  <c r="U400" i="56"/>
  <c r="U156" i="112" s="1"/>
  <c r="V400" i="56"/>
  <c r="V156" i="112" s="1"/>
  <c r="W400" i="56"/>
  <c r="W156" i="112" s="1"/>
  <c r="R401" i="56"/>
  <c r="R157" i="112" s="1"/>
  <c r="S401" i="56"/>
  <c r="S157" i="112" s="1"/>
  <c r="T401" i="56"/>
  <c r="T157" i="112" s="1"/>
  <c r="U401" i="56"/>
  <c r="U157" i="112" s="1"/>
  <c r="V401" i="56"/>
  <c r="V157" i="112" s="1"/>
  <c r="W401" i="56"/>
  <c r="W157" i="112" s="1"/>
  <c r="R402" i="56"/>
  <c r="R158" i="112" s="1"/>
  <c r="S402" i="56"/>
  <c r="S158" i="112" s="1"/>
  <c r="T402" i="56"/>
  <c r="T158" i="112" s="1"/>
  <c r="U402" i="56"/>
  <c r="U158" i="112" s="1"/>
  <c r="V402" i="56"/>
  <c r="V158" i="112" s="1"/>
  <c r="W402" i="56"/>
  <c r="W158" i="112" s="1"/>
  <c r="R403" i="56"/>
  <c r="R159" i="112" s="1"/>
  <c r="S403" i="56"/>
  <c r="S159" i="112" s="1"/>
  <c r="T403" i="56"/>
  <c r="T159" i="112" s="1"/>
  <c r="U403" i="56"/>
  <c r="U159" i="112" s="1"/>
  <c r="V403" i="56"/>
  <c r="V159" i="112" s="1"/>
  <c r="W403" i="56"/>
  <c r="W159" i="112" s="1"/>
  <c r="R404" i="56"/>
  <c r="R160" i="112" s="1"/>
  <c r="S404" i="56"/>
  <c r="S160" i="112" s="1"/>
  <c r="T404" i="56"/>
  <c r="T160" i="112" s="1"/>
  <c r="U404" i="56"/>
  <c r="U160" i="112" s="1"/>
  <c r="V404" i="56"/>
  <c r="V160" i="112" s="1"/>
  <c r="W404" i="56"/>
  <c r="W160" i="112" s="1"/>
  <c r="R405" i="56"/>
  <c r="R161" i="112" s="1"/>
  <c r="S405" i="56"/>
  <c r="S161" i="112" s="1"/>
  <c r="T405" i="56"/>
  <c r="T161" i="112" s="1"/>
  <c r="U405" i="56"/>
  <c r="U161" i="112" s="1"/>
  <c r="V405" i="56"/>
  <c r="V161" i="112" s="1"/>
  <c r="W405" i="56"/>
  <c r="W161" i="112" s="1"/>
  <c r="Q395" i="56"/>
  <c r="Q151" i="112" s="1"/>
  <c r="Q396" i="56"/>
  <c r="Q152" i="112" s="1"/>
  <c r="Q397" i="56"/>
  <c r="Q153" i="112" s="1"/>
  <c r="Q398" i="56"/>
  <c r="Q154" i="112" s="1"/>
  <c r="Q399" i="56"/>
  <c r="Q155" i="112" s="1"/>
  <c r="Q400" i="56"/>
  <c r="Q156" i="112" s="1"/>
  <c r="Q401" i="56"/>
  <c r="Q157" i="112" s="1"/>
  <c r="Q402" i="56"/>
  <c r="Q158" i="112" s="1"/>
  <c r="Q403" i="56"/>
  <c r="Q159" i="112" s="1"/>
  <c r="Q404" i="56"/>
  <c r="Q160" i="112" s="1"/>
  <c r="Q405" i="56"/>
  <c r="Q161" i="112" s="1"/>
  <c r="Q394" i="56"/>
  <c r="Q150" i="112" s="1"/>
  <c r="F395" i="56"/>
  <c r="F151" i="112" s="1"/>
  <c r="F396" i="56"/>
  <c r="F152" i="112" s="1"/>
  <c r="F397" i="56"/>
  <c r="F153" i="112" s="1"/>
  <c r="F398" i="56"/>
  <c r="F154" i="112" s="1"/>
  <c r="F399" i="56"/>
  <c r="F155" i="112" s="1"/>
  <c r="F400" i="56"/>
  <c r="F156" i="112" s="1"/>
  <c r="F401" i="56"/>
  <c r="F157" i="112" s="1"/>
  <c r="F402" i="56"/>
  <c r="F158" i="112" s="1"/>
  <c r="F403" i="56"/>
  <c r="F159" i="112" s="1"/>
  <c r="F404" i="56"/>
  <c r="F160" i="112" s="1"/>
  <c r="F405" i="56"/>
  <c r="F161" i="112" s="1"/>
  <c r="F394" i="56"/>
  <c r="F150" i="112" s="1"/>
  <c r="H156" i="112"/>
  <c r="I400" i="56"/>
  <c r="I156" i="112" s="1"/>
  <c r="H157" i="112"/>
  <c r="I401" i="56"/>
  <c r="I157" i="112" s="1"/>
  <c r="H158" i="112"/>
  <c r="I402" i="56"/>
  <c r="I158" i="112" s="1"/>
  <c r="H159" i="112"/>
  <c r="I403" i="56"/>
  <c r="I159" i="112" s="1"/>
  <c r="H160" i="112"/>
  <c r="I404" i="56"/>
  <c r="I160" i="112" s="1"/>
  <c r="H161" i="112"/>
  <c r="I405" i="56"/>
  <c r="I161" i="112" s="1"/>
  <c r="H304" i="112"/>
  <c r="F1305" i="56" a="1"/>
  <c r="F1305" i="56" s="1"/>
  <c r="F1304" i="56" a="1"/>
  <c r="F1304" i="56" s="1"/>
  <c r="F1303" i="56" a="1"/>
  <c r="F1303" i="56" s="1"/>
  <c r="F1309" i="56"/>
  <c r="J1309" i="56"/>
  <c r="I1309" i="56"/>
  <c r="Q1309" i="56"/>
  <c r="R1309" i="56"/>
  <c r="S1309" i="56"/>
  <c r="T1309" i="56"/>
  <c r="U1309" i="56"/>
  <c r="V1309" i="56"/>
  <c r="W1309" i="56"/>
  <c r="F1310" i="56"/>
  <c r="J1310" i="56"/>
  <c r="I1310" i="56"/>
  <c r="Q1310" i="56"/>
  <c r="R1310" i="56"/>
  <c r="S1310" i="56"/>
  <c r="T1310" i="56"/>
  <c r="U1310" i="56"/>
  <c r="V1310" i="56"/>
  <c r="W1310" i="56"/>
  <c r="F1311" i="56"/>
  <c r="J1311" i="56"/>
  <c r="I1311" i="56"/>
  <c r="Q1311" i="56"/>
  <c r="R1311" i="56"/>
  <c r="S1311" i="56"/>
  <c r="T1311" i="56"/>
  <c r="U1311" i="56"/>
  <c r="V1311" i="56"/>
  <c r="W1311" i="56"/>
  <c r="C1278" i="56"/>
  <c r="K1311" i="56" s="1"/>
  <c r="C1279" i="56"/>
  <c r="K1309" i="56" s="1"/>
  <c r="F1243" i="56" a="1"/>
  <c r="F1243" i="56" s="1"/>
  <c r="F1242" i="56" a="1"/>
  <c r="F1242" i="56" s="1"/>
  <c r="F1241" i="56" a="1"/>
  <c r="F1241" i="56" s="1"/>
  <c r="W1247" i="56"/>
  <c r="W251" i="112" s="1"/>
  <c r="W1248" i="56"/>
  <c r="W252" i="112" s="1"/>
  <c r="W1249" i="56"/>
  <c r="W253" i="112" s="1"/>
  <c r="R1247" i="56"/>
  <c r="R251" i="112" s="1"/>
  <c r="S1247" i="56"/>
  <c r="S251" i="112" s="1"/>
  <c r="T1247" i="56"/>
  <c r="T251" i="112" s="1"/>
  <c r="U1247" i="56"/>
  <c r="U251" i="112" s="1"/>
  <c r="V1247" i="56"/>
  <c r="V251" i="112" s="1"/>
  <c r="R1248" i="56"/>
  <c r="R252" i="112" s="1"/>
  <c r="S1248" i="56"/>
  <c r="S252" i="112" s="1"/>
  <c r="T1248" i="56"/>
  <c r="T252" i="112" s="1"/>
  <c r="U1248" i="56"/>
  <c r="U252" i="112" s="1"/>
  <c r="V1248" i="56"/>
  <c r="V252" i="112" s="1"/>
  <c r="R1249" i="56"/>
  <c r="R253" i="112" s="1"/>
  <c r="S1249" i="56"/>
  <c r="S253" i="112" s="1"/>
  <c r="T1249" i="56"/>
  <c r="T253" i="112" s="1"/>
  <c r="U1249" i="56"/>
  <c r="U253" i="112" s="1"/>
  <c r="V1249" i="56"/>
  <c r="V253" i="112" s="1"/>
  <c r="Q1248" i="56"/>
  <c r="Q252" i="112" s="1"/>
  <c r="Q1249" i="56"/>
  <c r="Q253" i="112" s="1"/>
  <c r="Q1247" i="56"/>
  <c r="Q251" i="112" s="1"/>
  <c r="F721" i="56"/>
  <c r="F722" i="56"/>
  <c r="F720" i="56"/>
  <c r="F1247" i="56"/>
  <c r="F251" i="112" s="1"/>
  <c r="H251" i="112"/>
  <c r="I1247" i="56"/>
  <c r="I251" i="112" s="1"/>
  <c r="F1248" i="56"/>
  <c r="F252" i="112" s="1"/>
  <c r="H252" i="112"/>
  <c r="I1248" i="56"/>
  <c r="I252" i="112" s="1"/>
  <c r="F1249" i="56"/>
  <c r="F253" i="112" s="1"/>
  <c r="H253" i="112"/>
  <c r="I1249" i="56"/>
  <c r="I253" i="112" s="1"/>
  <c r="C1216" i="56"/>
  <c r="K1249" i="56" s="1"/>
  <c r="K253" i="112" s="1"/>
  <c r="C1217" i="56"/>
  <c r="K1247" i="56" s="1"/>
  <c r="K251" i="112" s="1"/>
  <c r="F1172" i="56" a="1"/>
  <c r="F1172" i="56" s="1"/>
  <c r="F1171" i="56" a="1"/>
  <c r="F1171" i="56" s="1"/>
  <c r="F1170" i="56" a="1"/>
  <c r="F1170" i="56" s="1"/>
  <c r="F1169" i="56" a="1"/>
  <c r="F1169" i="56" s="1"/>
  <c r="F1168" i="56" a="1"/>
  <c r="F1168" i="56" s="1"/>
  <c r="F1167" i="56" a="1"/>
  <c r="F1167" i="56" s="1"/>
  <c r="F1166" i="56" a="1"/>
  <c r="F1166" i="56" s="1"/>
  <c r="F1165" i="56" a="1"/>
  <c r="F1165" i="56" s="1"/>
  <c r="F1164" i="56" a="1"/>
  <c r="F1164" i="56" s="1"/>
  <c r="F1163" i="56" a="1"/>
  <c r="F1163" i="56" s="1"/>
  <c r="F1162" i="56" a="1"/>
  <c r="F1162" i="56" s="1"/>
  <c r="F1161" i="56" a="1"/>
  <c r="F1161" i="56" s="1"/>
  <c r="R1185" i="56"/>
  <c r="R248" i="112" s="1"/>
  <c r="S1185" i="56"/>
  <c r="S248" i="112" s="1"/>
  <c r="T1185" i="56"/>
  <c r="T248" i="112" s="1"/>
  <c r="U1185" i="56"/>
  <c r="U248" i="112" s="1"/>
  <c r="V1185" i="56"/>
  <c r="V248" i="112" s="1"/>
  <c r="W1185" i="56"/>
  <c r="W248" i="112" s="1"/>
  <c r="R1186" i="56"/>
  <c r="R249" i="112" s="1"/>
  <c r="S1186" i="56"/>
  <c r="S249" i="112" s="1"/>
  <c r="T1186" i="56"/>
  <c r="T249" i="112" s="1"/>
  <c r="U1186" i="56"/>
  <c r="U249" i="112" s="1"/>
  <c r="V1186" i="56"/>
  <c r="V249" i="112" s="1"/>
  <c r="W1186" i="56"/>
  <c r="W249" i="112" s="1"/>
  <c r="R1187" i="56"/>
  <c r="R250" i="112" s="1"/>
  <c r="S1187" i="56"/>
  <c r="S250" i="112" s="1"/>
  <c r="T1187" i="56"/>
  <c r="T250" i="112" s="1"/>
  <c r="U1187" i="56"/>
  <c r="U250" i="112" s="1"/>
  <c r="V1187" i="56"/>
  <c r="V250" i="112" s="1"/>
  <c r="W1187" i="56"/>
  <c r="W250" i="112" s="1"/>
  <c r="Q1186" i="56"/>
  <c r="Q249" i="112" s="1"/>
  <c r="Q1187" i="56"/>
  <c r="Q250" i="112" s="1"/>
  <c r="Q1185" i="56"/>
  <c r="Q248" i="112" s="1"/>
  <c r="R1179" i="56"/>
  <c r="R242" i="112" s="1"/>
  <c r="S1179" i="56"/>
  <c r="S242" i="112" s="1"/>
  <c r="T1179" i="56"/>
  <c r="T242" i="112" s="1"/>
  <c r="U1179" i="56"/>
  <c r="U242" i="112" s="1"/>
  <c r="V1179" i="56"/>
  <c r="V242" i="112" s="1"/>
  <c r="W1179" i="56"/>
  <c r="W242" i="112" s="1"/>
  <c r="R1180" i="56"/>
  <c r="R243" i="112" s="1"/>
  <c r="S1180" i="56"/>
  <c r="S243" i="112" s="1"/>
  <c r="T1180" i="56"/>
  <c r="T243" i="112" s="1"/>
  <c r="U1180" i="56"/>
  <c r="U243" i="112" s="1"/>
  <c r="V1180" i="56"/>
  <c r="V243" i="112" s="1"/>
  <c r="W1180" i="56"/>
  <c r="W243" i="112" s="1"/>
  <c r="R1181" i="56"/>
  <c r="R244" i="112" s="1"/>
  <c r="S1181" i="56"/>
  <c r="S244" i="112" s="1"/>
  <c r="T1181" i="56"/>
  <c r="T244" i="112" s="1"/>
  <c r="U1181" i="56"/>
  <c r="U244" i="112" s="1"/>
  <c r="V1181" i="56"/>
  <c r="V244" i="112" s="1"/>
  <c r="W1181" i="56"/>
  <c r="W244" i="112" s="1"/>
  <c r="R1182" i="56"/>
  <c r="R245" i="112" s="1"/>
  <c r="S1182" i="56"/>
  <c r="S245" i="112" s="1"/>
  <c r="T1182" i="56"/>
  <c r="T245" i="112" s="1"/>
  <c r="U1182" i="56"/>
  <c r="U245" i="112" s="1"/>
  <c r="V1182" i="56"/>
  <c r="V245" i="112" s="1"/>
  <c r="W1182" i="56"/>
  <c r="W245" i="112" s="1"/>
  <c r="R1183" i="56"/>
  <c r="R246" i="112" s="1"/>
  <c r="S1183" i="56"/>
  <c r="S246" i="112" s="1"/>
  <c r="T1183" i="56"/>
  <c r="T246" i="112" s="1"/>
  <c r="U1183" i="56"/>
  <c r="U246" i="112" s="1"/>
  <c r="V1183" i="56"/>
  <c r="V246" i="112" s="1"/>
  <c r="W1183" i="56"/>
  <c r="W246" i="112" s="1"/>
  <c r="R1184" i="56"/>
  <c r="R247" i="112" s="1"/>
  <c r="S1184" i="56"/>
  <c r="S247" i="112" s="1"/>
  <c r="T1184" i="56"/>
  <c r="T247" i="112" s="1"/>
  <c r="U1184" i="56"/>
  <c r="U247" i="112" s="1"/>
  <c r="V1184" i="56"/>
  <c r="V247" i="112" s="1"/>
  <c r="W1184" i="56"/>
  <c r="W247" i="112" s="1"/>
  <c r="Q1180" i="56"/>
  <c r="Q243" i="112" s="1"/>
  <c r="Q1181" i="56"/>
  <c r="Q244" i="112" s="1"/>
  <c r="Q1182" i="56"/>
  <c r="Q245" i="112" s="1"/>
  <c r="Q1183" i="56"/>
  <c r="Q246" i="112" s="1"/>
  <c r="Q1184" i="56"/>
  <c r="Q247" i="112" s="1"/>
  <c r="Q1179" i="56"/>
  <c r="Q242" i="112" s="1"/>
  <c r="R1176" i="56"/>
  <c r="R239" i="112" s="1"/>
  <c r="S1176" i="56"/>
  <c r="S239" i="112" s="1"/>
  <c r="T1176" i="56"/>
  <c r="T239" i="112" s="1"/>
  <c r="U1176" i="56"/>
  <c r="U239" i="112" s="1"/>
  <c r="V1176" i="56"/>
  <c r="V239" i="112" s="1"/>
  <c r="W1176" i="56"/>
  <c r="W239" i="112" s="1"/>
  <c r="R1177" i="56"/>
  <c r="R240" i="112" s="1"/>
  <c r="S1177" i="56"/>
  <c r="S240" i="112" s="1"/>
  <c r="T1177" i="56"/>
  <c r="T240" i="112" s="1"/>
  <c r="U1177" i="56"/>
  <c r="U240" i="112" s="1"/>
  <c r="V1177" i="56"/>
  <c r="V240" i="112" s="1"/>
  <c r="W1177" i="56"/>
  <c r="W240" i="112" s="1"/>
  <c r="R1178" i="56"/>
  <c r="R241" i="112" s="1"/>
  <c r="S1178" i="56"/>
  <c r="S241" i="112" s="1"/>
  <c r="T1178" i="56"/>
  <c r="T241" i="112" s="1"/>
  <c r="U1178" i="56"/>
  <c r="U241" i="112" s="1"/>
  <c r="V1178" i="56"/>
  <c r="V241" i="112" s="1"/>
  <c r="W1178" i="56"/>
  <c r="W241" i="112" s="1"/>
  <c r="Q1177" i="56"/>
  <c r="Q240" i="112" s="1"/>
  <c r="Q1178" i="56"/>
  <c r="Q241" i="112" s="1"/>
  <c r="Q1176" i="56"/>
  <c r="Q239" i="112" s="1"/>
  <c r="F1186" i="56"/>
  <c r="F249" i="112" s="1"/>
  <c r="F1187" i="56"/>
  <c r="F250" i="112" s="1"/>
  <c r="F1185" i="56"/>
  <c r="F248" i="112" s="1"/>
  <c r="F1180" i="56"/>
  <c r="F243" i="112" s="1"/>
  <c r="F1181" i="56"/>
  <c r="F244" i="112" s="1"/>
  <c r="F1182" i="56"/>
  <c r="F245" i="112" s="1"/>
  <c r="F1183" i="56"/>
  <c r="F246" i="112" s="1"/>
  <c r="F1184" i="56"/>
  <c r="F247" i="112" s="1"/>
  <c r="F1179" i="56"/>
  <c r="F242" i="112" s="1"/>
  <c r="C1155" i="56"/>
  <c r="D1155" i="56" s="1"/>
  <c r="D1157" i="56" s="1"/>
  <c r="K1187" i="56" s="1"/>
  <c r="K250" i="112" s="1"/>
  <c r="W53" i="95"/>
  <c r="W307" i="112" s="1"/>
  <c r="W52" i="95"/>
  <c r="W306" i="112" s="1"/>
  <c r="V53" i="95"/>
  <c r="V307" i="112" s="1"/>
  <c r="V52" i="95"/>
  <c r="V306" i="112" s="1"/>
  <c r="U53" i="95"/>
  <c r="U307" i="112" s="1"/>
  <c r="U52" i="95"/>
  <c r="U306" i="112" s="1"/>
  <c r="T53" i="95"/>
  <c r="T307" i="112" s="1"/>
  <c r="T52" i="95"/>
  <c r="T306" i="112" s="1"/>
  <c r="S53" i="95"/>
  <c r="S307" i="112" s="1"/>
  <c r="S52" i="95"/>
  <c r="S306" i="112" s="1"/>
  <c r="R53" i="95"/>
  <c r="R307" i="112" s="1"/>
  <c r="R52" i="95"/>
  <c r="R306" i="112" s="1"/>
  <c r="Q53" i="95"/>
  <c r="Q307" i="112" s="1"/>
  <c r="Q52" i="95"/>
  <c r="Q306" i="112" s="1"/>
  <c r="D1135" i="56"/>
  <c r="E1135" i="56" s="1"/>
  <c r="C1118" i="56"/>
  <c r="D1118" i="56" s="1"/>
  <c r="D1119" i="56" s="1"/>
  <c r="K1183" i="56" s="1"/>
  <c r="K246" i="112" s="1"/>
  <c r="C1115" i="56"/>
  <c r="D1115" i="56" s="1"/>
  <c r="K1179" i="56" s="1"/>
  <c r="K242" i="112" s="1"/>
  <c r="D1093" i="56"/>
  <c r="E1093" i="56" s="1"/>
  <c r="F1177" i="56"/>
  <c r="F240" i="112" s="1"/>
  <c r="F1178" i="56"/>
  <c r="F241" i="112" s="1"/>
  <c r="F1176" i="56"/>
  <c r="F239" i="112" s="1"/>
  <c r="H245" i="112"/>
  <c r="I1182" i="56"/>
  <c r="I245" i="112" s="1"/>
  <c r="H246" i="112"/>
  <c r="I1183" i="56"/>
  <c r="I246" i="112" s="1"/>
  <c r="H247" i="112"/>
  <c r="I1184" i="56"/>
  <c r="I247" i="112" s="1"/>
  <c r="H248" i="112"/>
  <c r="I1185" i="56"/>
  <c r="I248" i="112" s="1"/>
  <c r="H249" i="112"/>
  <c r="I1186" i="56"/>
  <c r="I249" i="112" s="1"/>
  <c r="H250" i="112"/>
  <c r="I1187" i="56"/>
  <c r="I250" i="112" s="1"/>
  <c r="C1058" i="56"/>
  <c r="K1178" i="56" s="1"/>
  <c r="K241" i="112" s="1"/>
  <c r="C1059" i="56"/>
  <c r="K1176" i="56" s="1"/>
  <c r="K239" i="112" s="1"/>
  <c r="H239" i="112"/>
  <c r="I1176" i="56"/>
  <c r="I239" i="112" s="1"/>
  <c r="H240" i="112"/>
  <c r="I1177" i="56"/>
  <c r="I240" i="112" s="1"/>
  <c r="H241" i="112"/>
  <c r="I1178" i="56"/>
  <c r="I241" i="112" s="1"/>
  <c r="H242" i="112"/>
  <c r="I1179" i="56"/>
  <c r="I242" i="112" s="1"/>
  <c r="H243" i="112"/>
  <c r="I1180" i="56"/>
  <c r="I243" i="112" s="1"/>
  <c r="H244" i="112"/>
  <c r="I1181" i="56"/>
  <c r="I244" i="112" s="1"/>
  <c r="J56" i="56" a="1"/>
  <c r="J56" i="56" s="1"/>
  <c r="R174" i="69" s="1"/>
  <c r="J55" i="56" a="1"/>
  <c r="J55" i="56" s="1"/>
  <c r="R173" i="69" s="1"/>
  <c r="J54" i="56" a="1"/>
  <c r="J54" i="56" s="1"/>
  <c r="R172" i="69" s="1"/>
  <c r="J53" i="56" a="1"/>
  <c r="J53" i="56" s="1"/>
  <c r="R171" i="69" s="1"/>
  <c r="J52" i="56" a="1"/>
  <c r="J52" i="56" s="1"/>
  <c r="R170" i="69" s="1"/>
  <c r="J51" i="56" a="1"/>
  <c r="J51" i="56" s="1"/>
  <c r="R169" i="69" s="1"/>
  <c r="J50" i="56" a="1"/>
  <c r="J50" i="56" s="1"/>
  <c r="R168" i="69" s="1"/>
  <c r="J49" i="56" a="1"/>
  <c r="J49" i="56" s="1"/>
  <c r="R167" i="69" s="1"/>
  <c r="J48" i="56" a="1"/>
  <c r="J48" i="56" s="1"/>
  <c r="R166" i="69" s="1"/>
  <c r="J44" i="56" a="1"/>
  <c r="J44" i="56" s="1"/>
  <c r="R162" i="69" s="1"/>
  <c r="J43" i="56" a="1"/>
  <c r="J43" i="56" s="1"/>
  <c r="R161" i="69" s="1"/>
  <c r="J42" i="56" a="1"/>
  <c r="J42" i="56" s="1"/>
  <c r="R160" i="69" s="1"/>
  <c r="J41" i="56" a="1"/>
  <c r="J41" i="56" s="1"/>
  <c r="R159" i="69" s="1"/>
  <c r="J40" i="56" a="1"/>
  <c r="J40" i="56" s="1"/>
  <c r="R158" i="69" s="1"/>
  <c r="J39" i="56" a="1"/>
  <c r="J39" i="56" s="1"/>
  <c r="R157" i="69" s="1"/>
  <c r="J35" i="56" a="1"/>
  <c r="J35" i="56" s="1"/>
  <c r="R153" i="69" s="1"/>
  <c r="J34" i="56" a="1"/>
  <c r="J34" i="56" s="1"/>
  <c r="R152" i="69" s="1"/>
  <c r="J33" i="56" a="1"/>
  <c r="J33" i="56" s="1"/>
  <c r="R151" i="69" s="1"/>
  <c r="J32" i="56" a="1"/>
  <c r="J32" i="56" s="1"/>
  <c r="R150" i="69" s="1"/>
  <c r="J31" i="56" a="1"/>
  <c r="J31" i="56" s="1"/>
  <c r="R149" i="69" s="1"/>
  <c r="J30" i="56" a="1"/>
  <c r="J30" i="56" s="1"/>
  <c r="R148" i="69" s="1"/>
  <c r="R1024" i="56"/>
  <c r="R233" i="112" s="1"/>
  <c r="S1024" i="56"/>
  <c r="S233" i="112" s="1"/>
  <c r="T1024" i="56"/>
  <c r="T233" i="112" s="1"/>
  <c r="U1024" i="56"/>
  <c r="U233" i="112" s="1"/>
  <c r="V1024" i="56"/>
  <c r="V233" i="112" s="1"/>
  <c r="W1024" i="56"/>
  <c r="W233" i="112" s="1"/>
  <c r="R1025" i="56"/>
  <c r="R234" i="112" s="1"/>
  <c r="S1025" i="56"/>
  <c r="S234" i="112" s="1"/>
  <c r="T1025" i="56"/>
  <c r="T234" i="112" s="1"/>
  <c r="U1025" i="56"/>
  <c r="U234" i="112" s="1"/>
  <c r="V1025" i="56"/>
  <c r="V234" i="112" s="1"/>
  <c r="W1025" i="56"/>
  <c r="W234" i="112" s="1"/>
  <c r="R1026" i="56"/>
  <c r="R235" i="112" s="1"/>
  <c r="S1026" i="56"/>
  <c r="S235" i="112" s="1"/>
  <c r="T1026" i="56"/>
  <c r="T235" i="112" s="1"/>
  <c r="U1026" i="56"/>
  <c r="U235" i="112" s="1"/>
  <c r="V1026" i="56"/>
  <c r="V235" i="112" s="1"/>
  <c r="W1026" i="56"/>
  <c r="W235" i="112" s="1"/>
  <c r="R1027" i="56"/>
  <c r="R236" i="112" s="1"/>
  <c r="S1027" i="56"/>
  <c r="S236" i="112" s="1"/>
  <c r="T1027" i="56"/>
  <c r="T236" i="112" s="1"/>
  <c r="U1027" i="56"/>
  <c r="U236" i="112" s="1"/>
  <c r="V1027" i="56"/>
  <c r="V236" i="112" s="1"/>
  <c r="W1027" i="56"/>
  <c r="W236" i="112" s="1"/>
  <c r="R1028" i="56"/>
  <c r="R237" i="112" s="1"/>
  <c r="S1028" i="56"/>
  <c r="S237" i="112" s="1"/>
  <c r="T1028" i="56"/>
  <c r="T237" i="112" s="1"/>
  <c r="U1028" i="56"/>
  <c r="U237" i="112" s="1"/>
  <c r="V1028" i="56"/>
  <c r="V237" i="112" s="1"/>
  <c r="W1028" i="56"/>
  <c r="W237" i="112" s="1"/>
  <c r="R1029" i="56"/>
  <c r="R238" i="112" s="1"/>
  <c r="S1029" i="56"/>
  <c r="S238" i="112" s="1"/>
  <c r="T1029" i="56"/>
  <c r="T238" i="112" s="1"/>
  <c r="U1029" i="56"/>
  <c r="U238" i="112" s="1"/>
  <c r="V1029" i="56"/>
  <c r="V238" i="112" s="1"/>
  <c r="W1029" i="56"/>
  <c r="W238" i="112" s="1"/>
  <c r="Q1025" i="56"/>
  <c r="Q234" i="112" s="1"/>
  <c r="Q1026" i="56"/>
  <c r="Q235" i="112" s="1"/>
  <c r="Q1027" i="56"/>
  <c r="Q236" i="112" s="1"/>
  <c r="Q1028" i="56"/>
  <c r="Q237" i="112" s="1"/>
  <c r="Q1029" i="56"/>
  <c r="Q238" i="112" s="1"/>
  <c r="Q1024" i="56"/>
  <c r="Q233" i="112" s="1"/>
  <c r="F1025" i="56"/>
  <c r="F234" i="112" s="1"/>
  <c r="F1026" i="56"/>
  <c r="F235" i="112" s="1"/>
  <c r="F1027" i="56"/>
  <c r="F236" i="112" s="1"/>
  <c r="F1028" i="56"/>
  <c r="F237" i="112" s="1"/>
  <c r="F1029" i="56"/>
  <c r="F238" i="112" s="1"/>
  <c r="F1024" i="56"/>
  <c r="F233" i="112" s="1"/>
  <c r="C988" i="56"/>
  <c r="D105" i="96"/>
  <c r="U312" i="112" l="1"/>
  <c r="D1049" i="56"/>
  <c r="E1049" i="56" s="1"/>
  <c r="D1269" i="56"/>
  <c r="E1269" i="56" s="1"/>
  <c r="D1207" i="56"/>
  <c r="C986" i="56"/>
  <c r="K1024" i="56"/>
  <c r="K233" i="112" s="1"/>
  <c r="C989" i="56"/>
  <c r="K1027" i="56"/>
  <c r="K236" i="112" s="1"/>
  <c r="B82" i="109"/>
  <c r="C87" i="109" s="1"/>
  <c r="K99" i="109" s="1"/>
  <c r="L99" i="109" s="1"/>
  <c r="B80" i="109"/>
  <c r="Q313" i="112" s="1"/>
  <c r="B81" i="109"/>
  <c r="C86" i="109" s="1"/>
  <c r="K98" i="109" s="1"/>
  <c r="L98" i="109" s="1"/>
  <c r="J1248" i="56"/>
  <c r="J252" i="112" s="1"/>
  <c r="J414" i="56"/>
  <c r="J170" i="112" s="1"/>
  <c r="J1176" i="56"/>
  <c r="J239" i="112" s="1"/>
  <c r="J1184" i="56"/>
  <c r="J247" i="112" s="1"/>
  <c r="J404" i="56"/>
  <c r="J160" i="112" s="1"/>
  <c r="J413" i="56"/>
  <c r="J169" i="112" s="1"/>
  <c r="J412" i="56"/>
  <c r="J168" i="112" s="1"/>
  <c r="J1181" i="56"/>
  <c r="J244" i="112" s="1"/>
  <c r="J1183" i="56"/>
  <c r="J246" i="112" s="1"/>
  <c r="J1247" i="56"/>
  <c r="J251" i="112" s="1"/>
  <c r="J403" i="56"/>
  <c r="J159" i="112" s="1"/>
  <c r="J411" i="56"/>
  <c r="J167" i="112" s="1"/>
  <c r="J410" i="56"/>
  <c r="J166" i="112" s="1"/>
  <c r="J1180" i="56"/>
  <c r="J243" i="112" s="1"/>
  <c r="J1182" i="56"/>
  <c r="J245" i="112" s="1"/>
  <c r="J402" i="56"/>
  <c r="J158" i="112" s="1"/>
  <c r="J409" i="56"/>
  <c r="J165" i="112" s="1"/>
  <c r="J408" i="56"/>
  <c r="J164" i="112" s="1"/>
  <c r="J1187" i="56"/>
  <c r="J250" i="112" s="1"/>
  <c r="J401" i="56"/>
  <c r="J157" i="112" s="1"/>
  <c r="J407" i="56"/>
  <c r="J163" i="112" s="1"/>
  <c r="J406" i="56"/>
  <c r="J162" i="112" s="1"/>
  <c r="J1178" i="56"/>
  <c r="J241" i="112" s="1"/>
  <c r="J1186" i="56"/>
  <c r="J249" i="112" s="1"/>
  <c r="J1249" i="56"/>
  <c r="J253" i="112" s="1"/>
  <c r="J400" i="56"/>
  <c r="J156" i="112" s="1"/>
  <c r="J1179" i="56"/>
  <c r="J242" i="112" s="1"/>
  <c r="J1177" i="56"/>
  <c r="J240" i="112" s="1"/>
  <c r="J1185" i="56"/>
  <c r="J248" i="112" s="1"/>
  <c r="J405" i="56"/>
  <c r="J161" i="112" s="1"/>
  <c r="L1311" i="56"/>
  <c r="G1305" i="56" s="1"/>
  <c r="M26" i="56" s="1" a="1"/>
  <c r="M26" i="56" s="1"/>
  <c r="X144" i="69" s="1"/>
  <c r="L1309" i="56"/>
  <c r="G1303" i="56" s="1"/>
  <c r="M24" i="56" s="1" a="1"/>
  <c r="M24" i="56" s="1"/>
  <c r="X142" i="69" s="1"/>
  <c r="C1280" i="56"/>
  <c r="K1310" i="56" s="1"/>
  <c r="L1310" i="56" s="1"/>
  <c r="G1304" i="56" s="1"/>
  <c r="M25" i="56" s="1" a="1"/>
  <c r="M25" i="56" s="1"/>
  <c r="X143" i="69" s="1"/>
  <c r="C1218" i="56"/>
  <c r="K1248" i="56" s="1"/>
  <c r="K252" i="112" s="1"/>
  <c r="D1117" i="56"/>
  <c r="K1181" i="56" s="1"/>
  <c r="K244" i="112" s="1"/>
  <c r="D1156" i="56"/>
  <c r="K1186" i="56" s="1"/>
  <c r="K249" i="112" s="1"/>
  <c r="K1182" i="56"/>
  <c r="K245" i="112" s="1"/>
  <c r="K1185" i="56"/>
  <c r="K248" i="112" s="1"/>
  <c r="D1120" i="56"/>
  <c r="D1116" i="56"/>
  <c r="K1180" i="56" s="1"/>
  <c r="K243" i="112" s="1"/>
  <c r="C1060" i="56"/>
  <c r="C987" i="56"/>
  <c r="C990" i="56"/>
  <c r="F995" i="56" a="1"/>
  <c r="F995" i="56" s="1"/>
  <c r="F996" i="56" a="1"/>
  <c r="F996" i="56" s="1"/>
  <c r="F997" i="56" a="1"/>
  <c r="F997" i="56" s="1"/>
  <c r="F998" i="56" a="1"/>
  <c r="F998" i="56" s="1"/>
  <c r="F999" i="56" a="1"/>
  <c r="F999" i="56" s="1"/>
  <c r="F994" i="56" a="1"/>
  <c r="F994" i="56" s="1"/>
  <c r="I1029" i="56"/>
  <c r="I238" i="112" s="1"/>
  <c r="H238" i="112"/>
  <c r="I1028" i="56"/>
  <c r="I237" i="112" s="1"/>
  <c r="H237" i="112"/>
  <c r="I1027" i="56"/>
  <c r="I236" i="112" s="1"/>
  <c r="H236" i="112"/>
  <c r="I1026" i="56"/>
  <c r="I235" i="112" s="1"/>
  <c r="H235" i="112"/>
  <c r="I1025" i="56"/>
  <c r="I234" i="112" s="1"/>
  <c r="H234" i="112"/>
  <c r="I1024" i="56"/>
  <c r="I233" i="112" s="1"/>
  <c r="H233" i="112"/>
  <c r="K51" i="95"/>
  <c r="K305" i="112" s="1"/>
  <c r="F890" i="56" a="1"/>
  <c r="F890" i="56" s="1"/>
  <c r="F891" i="56" a="1"/>
  <c r="F891" i="56" s="1"/>
  <c r="F892" i="56" a="1"/>
  <c r="F892" i="56" s="1"/>
  <c r="F893" i="56" a="1"/>
  <c r="F893" i="56" s="1"/>
  <c r="F894" i="56" a="1"/>
  <c r="F894" i="56" s="1"/>
  <c r="F895" i="56" a="1"/>
  <c r="F895" i="56" s="1"/>
  <c r="F896" i="56" a="1"/>
  <c r="F896" i="56" s="1"/>
  <c r="F897" i="56" a="1"/>
  <c r="F897" i="56" s="1"/>
  <c r="F898" i="56" a="1"/>
  <c r="F898" i="56" s="1"/>
  <c r="F899" i="56" a="1"/>
  <c r="F899" i="56" s="1"/>
  <c r="F900" i="56" a="1"/>
  <c r="F900" i="56" s="1"/>
  <c r="F901" i="56" a="1"/>
  <c r="F901" i="56" s="1"/>
  <c r="F902" i="56" a="1"/>
  <c r="F902" i="56" s="1"/>
  <c r="F903" i="56" a="1"/>
  <c r="F903" i="56" s="1"/>
  <c r="F904" i="56" a="1"/>
  <c r="F904" i="56" s="1"/>
  <c r="F905" i="56" a="1"/>
  <c r="F905" i="56" s="1"/>
  <c r="F906" i="56" a="1"/>
  <c r="F906" i="56" s="1"/>
  <c r="F907" i="56" a="1"/>
  <c r="F907" i="56" s="1"/>
  <c r="F908" i="56" a="1"/>
  <c r="F908" i="56" s="1"/>
  <c r="F909" i="56" a="1"/>
  <c r="F909" i="56" s="1"/>
  <c r="F910" i="56" a="1"/>
  <c r="F910" i="56" s="1"/>
  <c r="F911" i="56" a="1"/>
  <c r="F911" i="56" s="1"/>
  <c r="F912" i="56" a="1"/>
  <c r="F912" i="56" s="1"/>
  <c r="F913" i="56" a="1"/>
  <c r="F913" i="56" s="1"/>
  <c r="F914" i="56" a="1"/>
  <c r="F914" i="56" s="1"/>
  <c r="F915" i="56" a="1"/>
  <c r="F915" i="56" s="1"/>
  <c r="F916" i="56" a="1"/>
  <c r="F916" i="56" s="1"/>
  <c r="F917" i="56" a="1"/>
  <c r="F917" i="56" s="1"/>
  <c r="F918" i="56" a="1"/>
  <c r="F918" i="56" s="1"/>
  <c r="F919" i="56" a="1"/>
  <c r="F919" i="56" s="1"/>
  <c r="F920" i="56" a="1"/>
  <c r="F920" i="56" s="1"/>
  <c r="F889" i="56" a="1"/>
  <c r="F889" i="56" s="1"/>
  <c r="R927" i="56"/>
  <c r="R204" i="112" s="1"/>
  <c r="S927" i="56"/>
  <c r="S204" i="112" s="1"/>
  <c r="T927" i="56"/>
  <c r="T204" i="112" s="1"/>
  <c r="U927" i="56"/>
  <c r="U204" i="112" s="1"/>
  <c r="V927" i="56"/>
  <c r="V204" i="112" s="1"/>
  <c r="W927" i="56"/>
  <c r="W204" i="112" s="1"/>
  <c r="R928" i="56"/>
  <c r="R205" i="112" s="1"/>
  <c r="S928" i="56"/>
  <c r="S205" i="112" s="1"/>
  <c r="T928" i="56"/>
  <c r="T205" i="112" s="1"/>
  <c r="U928" i="56"/>
  <c r="U205" i="112" s="1"/>
  <c r="V928" i="56"/>
  <c r="V205" i="112" s="1"/>
  <c r="W928" i="56"/>
  <c r="W205" i="112" s="1"/>
  <c r="R929" i="56"/>
  <c r="R206" i="112" s="1"/>
  <c r="S929" i="56"/>
  <c r="S206" i="112" s="1"/>
  <c r="T929" i="56"/>
  <c r="T206" i="112" s="1"/>
  <c r="U929" i="56"/>
  <c r="U206" i="112" s="1"/>
  <c r="V929" i="56"/>
  <c r="V206" i="112" s="1"/>
  <c r="W929" i="56"/>
  <c r="W206" i="112" s="1"/>
  <c r="R930" i="56"/>
  <c r="R207" i="112" s="1"/>
  <c r="S930" i="56"/>
  <c r="S207" i="112" s="1"/>
  <c r="T930" i="56"/>
  <c r="T207" i="112" s="1"/>
  <c r="U930" i="56"/>
  <c r="U207" i="112" s="1"/>
  <c r="V930" i="56"/>
  <c r="V207" i="112" s="1"/>
  <c r="W930" i="56"/>
  <c r="W207" i="112" s="1"/>
  <c r="R931" i="56"/>
  <c r="R208" i="112" s="1"/>
  <c r="S931" i="56"/>
  <c r="S208" i="112" s="1"/>
  <c r="T931" i="56"/>
  <c r="T208" i="112" s="1"/>
  <c r="U931" i="56"/>
  <c r="U208" i="112" s="1"/>
  <c r="V931" i="56"/>
  <c r="V208" i="112" s="1"/>
  <c r="W931" i="56"/>
  <c r="W208" i="112" s="1"/>
  <c r="R932" i="56"/>
  <c r="R209" i="112" s="1"/>
  <c r="S932" i="56"/>
  <c r="S209" i="112" s="1"/>
  <c r="T932" i="56"/>
  <c r="T209" i="112" s="1"/>
  <c r="U932" i="56"/>
  <c r="U209" i="112" s="1"/>
  <c r="V932" i="56"/>
  <c r="V209" i="112" s="1"/>
  <c r="W932" i="56"/>
  <c r="W209" i="112" s="1"/>
  <c r="R933" i="56"/>
  <c r="R210" i="112" s="1"/>
  <c r="S933" i="56"/>
  <c r="S210" i="112" s="1"/>
  <c r="T933" i="56"/>
  <c r="T210" i="112" s="1"/>
  <c r="U933" i="56"/>
  <c r="U210" i="112" s="1"/>
  <c r="V933" i="56"/>
  <c r="V210" i="112" s="1"/>
  <c r="W933" i="56"/>
  <c r="W210" i="112" s="1"/>
  <c r="R934" i="56"/>
  <c r="R211" i="112" s="1"/>
  <c r="S934" i="56"/>
  <c r="S211" i="112" s="1"/>
  <c r="T934" i="56"/>
  <c r="T211" i="112" s="1"/>
  <c r="U934" i="56"/>
  <c r="U211" i="112" s="1"/>
  <c r="V934" i="56"/>
  <c r="V211" i="112" s="1"/>
  <c r="W934" i="56"/>
  <c r="W211" i="112" s="1"/>
  <c r="R935" i="56"/>
  <c r="R212" i="112" s="1"/>
  <c r="S935" i="56"/>
  <c r="S212" i="112" s="1"/>
  <c r="T935" i="56"/>
  <c r="T212" i="112" s="1"/>
  <c r="U935" i="56"/>
  <c r="U212" i="112" s="1"/>
  <c r="V935" i="56"/>
  <c r="V212" i="112" s="1"/>
  <c r="W935" i="56"/>
  <c r="W212" i="112" s="1"/>
  <c r="R936" i="56"/>
  <c r="R213" i="112" s="1"/>
  <c r="S936" i="56"/>
  <c r="S213" i="112" s="1"/>
  <c r="T936" i="56"/>
  <c r="T213" i="112" s="1"/>
  <c r="U936" i="56"/>
  <c r="U213" i="112" s="1"/>
  <c r="V936" i="56"/>
  <c r="V213" i="112" s="1"/>
  <c r="W936" i="56"/>
  <c r="W213" i="112" s="1"/>
  <c r="R937" i="56"/>
  <c r="R214" i="112" s="1"/>
  <c r="S937" i="56"/>
  <c r="S214" i="112" s="1"/>
  <c r="T937" i="56"/>
  <c r="T214" i="112" s="1"/>
  <c r="U937" i="56"/>
  <c r="U214" i="112" s="1"/>
  <c r="V937" i="56"/>
  <c r="V214" i="112" s="1"/>
  <c r="W937" i="56"/>
  <c r="W214" i="112" s="1"/>
  <c r="R938" i="56"/>
  <c r="R215" i="112" s="1"/>
  <c r="S938" i="56"/>
  <c r="S215" i="112" s="1"/>
  <c r="T938" i="56"/>
  <c r="T215" i="112" s="1"/>
  <c r="U938" i="56"/>
  <c r="U215" i="112" s="1"/>
  <c r="V938" i="56"/>
  <c r="V215" i="112" s="1"/>
  <c r="W938" i="56"/>
  <c r="W215" i="112" s="1"/>
  <c r="R939" i="56"/>
  <c r="R216" i="112" s="1"/>
  <c r="S939" i="56"/>
  <c r="S216" i="112" s="1"/>
  <c r="T939" i="56"/>
  <c r="T216" i="112" s="1"/>
  <c r="U939" i="56"/>
  <c r="U216" i="112" s="1"/>
  <c r="V939" i="56"/>
  <c r="V216" i="112" s="1"/>
  <c r="W939" i="56"/>
  <c r="W216" i="112" s="1"/>
  <c r="R940" i="56"/>
  <c r="R217" i="112" s="1"/>
  <c r="S940" i="56"/>
  <c r="S217" i="112" s="1"/>
  <c r="T940" i="56"/>
  <c r="T217" i="112" s="1"/>
  <c r="U940" i="56"/>
  <c r="U217" i="112" s="1"/>
  <c r="V940" i="56"/>
  <c r="V217" i="112" s="1"/>
  <c r="W940" i="56"/>
  <c r="W217" i="112" s="1"/>
  <c r="R941" i="56"/>
  <c r="R218" i="112" s="1"/>
  <c r="S941" i="56"/>
  <c r="S218" i="112" s="1"/>
  <c r="T941" i="56"/>
  <c r="T218" i="112" s="1"/>
  <c r="U941" i="56"/>
  <c r="U218" i="112" s="1"/>
  <c r="V941" i="56"/>
  <c r="V218" i="112" s="1"/>
  <c r="W941" i="56"/>
  <c r="W218" i="112" s="1"/>
  <c r="R942" i="56"/>
  <c r="R219" i="112" s="1"/>
  <c r="S942" i="56"/>
  <c r="S219" i="112" s="1"/>
  <c r="T942" i="56"/>
  <c r="T219" i="112" s="1"/>
  <c r="U942" i="56"/>
  <c r="U219" i="112" s="1"/>
  <c r="V942" i="56"/>
  <c r="V219" i="112" s="1"/>
  <c r="W942" i="56"/>
  <c r="W219" i="112" s="1"/>
  <c r="R943" i="56"/>
  <c r="R220" i="112" s="1"/>
  <c r="S943" i="56"/>
  <c r="S220" i="112" s="1"/>
  <c r="T943" i="56"/>
  <c r="T220" i="112" s="1"/>
  <c r="U943" i="56"/>
  <c r="U220" i="112" s="1"/>
  <c r="V943" i="56"/>
  <c r="V220" i="112" s="1"/>
  <c r="W943" i="56"/>
  <c r="W220" i="112" s="1"/>
  <c r="R944" i="56"/>
  <c r="R221" i="112" s="1"/>
  <c r="S944" i="56"/>
  <c r="S221" i="112" s="1"/>
  <c r="T944" i="56"/>
  <c r="T221" i="112" s="1"/>
  <c r="U944" i="56"/>
  <c r="U221" i="112" s="1"/>
  <c r="V944" i="56"/>
  <c r="V221" i="112" s="1"/>
  <c r="W944" i="56"/>
  <c r="W221" i="112" s="1"/>
  <c r="R945" i="56"/>
  <c r="R222" i="112" s="1"/>
  <c r="S945" i="56"/>
  <c r="S222" i="112" s="1"/>
  <c r="T945" i="56"/>
  <c r="T222" i="112" s="1"/>
  <c r="U945" i="56"/>
  <c r="U222" i="112" s="1"/>
  <c r="V945" i="56"/>
  <c r="V222" i="112" s="1"/>
  <c r="W945" i="56"/>
  <c r="W222" i="112" s="1"/>
  <c r="R946" i="56"/>
  <c r="R223" i="112" s="1"/>
  <c r="S946" i="56"/>
  <c r="S223" i="112" s="1"/>
  <c r="T946" i="56"/>
  <c r="T223" i="112" s="1"/>
  <c r="U946" i="56"/>
  <c r="U223" i="112" s="1"/>
  <c r="V946" i="56"/>
  <c r="V223" i="112" s="1"/>
  <c r="W946" i="56"/>
  <c r="W223" i="112" s="1"/>
  <c r="R947" i="56"/>
  <c r="R224" i="112" s="1"/>
  <c r="S947" i="56"/>
  <c r="S224" i="112" s="1"/>
  <c r="T947" i="56"/>
  <c r="T224" i="112" s="1"/>
  <c r="U947" i="56"/>
  <c r="U224" i="112" s="1"/>
  <c r="V947" i="56"/>
  <c r="V224" i="112" s="1"/>
  <c r="W947" i="56"/>
  <c r="W224" i="112" s="1"/>
  <c r="R948" i="56"/>
  <c r="R225" i="112" s="1"/>
  <c r="S948" i="56"/>
  <c r="S225" i="112" s="1"/>
  <c r="T948" i="56"/>
  <c r="T225" i="112" s="1"/>
  <c r="U948" i="56"/>
  <c r="U225" i="112" s="1"/>
  <c r="V948" i="56"/>
  <c r="V225" i="112" s="1"/>
  <c r="W948" i="56"/>
  <c r="W225" i="112" s="1"/>
  <c r="R949" i="56"/>
  <c r="R226" i="112" s="1"/>
  <c r="S949" i="56"/>
  <c r="S226" i="112" s="1"/>
  <c r="T949" i="56"/>
  <c r="T226" i="112" s="1"/>
  <c r="U949" i="56"/>
  <c r="U226" i="112" s="1"/>
  <c r="V949" i="56"/>
  <c r="V226" i="112" s="1"/>
  <c r="W949" i="56"/>
  <c r="W226" i="112" s="1"/>
  <c r="R950" i="56"/>
  <c r="R227" i="112" s="1"/>
  <c r="S950" i="56"/>
  <c r="S227" i="112" s="1"/>
  <c r="T950" i="56"/>
  <c r="T227" i="112" s="1"/>
  <c r="U950" i="56"/>
  <c r="U227" i="112" s="1"/>
  <c r="V950" i="56"/>
  <c r="V227" i="112" s="1"/>
  <c r="W950" i="56"/>
  <c r="W227" i="112" s="1"/>
  <c r="R951" i="56"/>
  <c r="R228" i="112" s="1"/>
  <c r="S951" i="56"/>
  <c r="S228" i="112" s="1"/>
  <c r="T951" i="56"/>
  <c r="T228" i="112" s="1"/>
  <c r="U951" i="56"/>
  <c r="U228" i="112" s="1"/>
  <c r="V951" i="56"/>
  <c r="V228" i="112" s="1"/>
  <c r="W951" i="56"/>
  <c r="W228" i="112" s="1"/>
  <c r="R952" i="56"/>
  <c r="R229" i="112" s="1"/>
  <c r="S952" i="56"/>
  <c r="S229" i="112" s="1"/>
  <c r="T952" i="56"/>
  <c r="T229" i="112" s="1"/>
  <c r="U952" i="56"/>
  <c r="U229" i="112" s="1"/>
  <c r="V952" i="56"/>
  <c r="V229" i="112" s="1"/>
  <c r="W952" i="56"/>
  <c r="W229" i="112" s="1"/>
  <c r="R953" i="56"/>
  <c r="R230" i="112" s="1"/>
  <c r="S953" i="56"/>
  <c r="S230" i="112" s="1"/>
  <c r="T953" i="56"/>
  <c r="T230" i="112" s="1"/>
  <c r="U953" i="56"/>
  <c r="U230" i="112" s="1"/>
  <c r="V953" i="56"/>
  <c r="V230" i="112" s="1"/>
  <c r="W953" i="56"/>
  <c r="W230" i="112" s="1"/>
  <c r="R954" i="56"/>
  <c r="R231" i="112" s="1"/>
  <c r="S954" i="56"/>
  <c r="S231" i="112" s="1"/>
  <c r="T954" i="56"/>
  <c r="T231" i="112" s="1"/>
  <c r="U954" i="56"/>
  <c r="U231" i="112" s="1"/>
  <c r="V954" i="56"/>
  <c r="V231" i="112" s="1"/>
  <c r="W954" i="56"/>
  <c r="W231" i="112" s="1"/>
  <c r="R955" i="56"/>
  <c r="R232" i="112" s="1"/>
  <c r="S955" i="56"/>
  <c r="S232" i="112" s="1"/>
  <c r="T955" i="56"/>
  <c r="T232" i="112" s="1"/>
  <c r="U955" i="56"/>
  <c r="U232" i="112" s="1"/>
  <c r="V955" i="56"/>
  <c r="V232" i="112" s="1"/>
  <c r="W955" i="56"/>
  <c r="W232" i="112" s="1"/>
  <c r="Q928" i="56"/>
  <c r="Q205" i="112" s="1"/>
  <c r="Q929" i="56"/>
  <c r="Q206" i="112" s="1"/>
  <c r="Q930" i="56"/>
  <c r="Q207" i="112" s="1"/>
  <c r="Q931" i="56"/>
  <c r="Q208" i="112" s="1"/>
  <c r="Q932" i="56"/>
  <c r="Q209" i="112" s="1"/>
  <c r="Q933" i="56"/>
  <c r="Q210" i="112" s="1"/>
  <c r="Q934" i="56"/>
  <c r="Q211" i="112" s="1"/>
  <c r="Q935" i="56"/>
  <c r="Q212" i="112" s="1"/>
  <c r="Q936" i="56"/>
  <c r="Q213" i="112" s="1"/>
  <c r="Q937" i="56"/>
  <c r="Q214" i="112" s="1"/>
  <c r="Q938" i="56"/>
  <c r="Q215" i="112" s="1"/>
  <c r="Q939" i="56"/>
  <c r="Q216" i="112" s="1"/>
  <c r="Q940" i="56"/>
  <c r="Q217" i="112" s="1"/>
  <c r="Q941" i="56"/>
  <c r="Q218" i="112" s="1"/>
  <c r="Q942" i="56"/>
  <c r="Q219" i="112" s="1"/>
  <c r="Q943" i="56"/>
  <c r="Q220" i="112" s="1"/>
  <c r="Q944" i="56"/>
  <c r="Q221" i="112" s="1"/>
  <c r="Q945" i="56"/>
  <c r="Q222" i="112" s="1"/>
  <c r="Q946" i="56"/>
  <c r="Q223" i="112" s="1"/>
  <c r="Q947" i="56"/>
  <c r="Q224" i="112" s="1"/>
  <c r="Q948" i="56"/>
  <c r="Q225" i="112" s="1"/>
  <c r="Q949" i="56"/>
  <c r="Q226" i="112" s="1"/>
  <c r="Q950" i="56"/>
  <c r="Q227" i="112" s="1"/>
  <c r="Q951" i="56"/>
  <c r="Q228" i="112" s="1"/>
  <c r="Q952" i="56"/>
  <c r="Q229" i="112" s="1"/>
  <c r="Q953" i="56"/>
  <c r="Q230" i="112" s="1"/>
  <c r="Q954" i="56"/>
  <c r="Q231" i="112" s="1"/>
  <c r="Q955" i="56"/>
  <c r="Q232" i="112" s="1"/>
  <c r="Q927" i="56"/>
  <c r="Q204" i="112" s="1"/>
  <c r="F928" i="56"/>
  <c r="F205" i="112" s="1"/>
  <c r="F929" i="56"/>
  <c r="F206" i="112" s="1"/>
  <c r="F930" i="56"/>
  <c r="F207" i="112" s="1"/>
  <c r="F931" i="56"/>
  <c r="F208" i="112" s="1"/>
  <c r="F932" i="56"/>
  <c r="F209" i="112" s="1"/>
  <c r="F933" i="56"/>
  <c r="F210" i="112" s="1"/>
  <c r="F934" i="56"/>
  <c r="F211" i="112" s="1"/>
  <c r="F935" i="56"/>
  <c r="F212" i="112" s="1"/>
  <c r="F936" i="56"/>
  <c r="F213" i="112" s="1"/>
  <c r="F937" i="56"/>
  <c r="F214" i="112" s="1"/>
  <c r="F938" i="56"/>
  <c r="F215" i="112" s="1"/>
  <c r="F939" i="56"/>
  <c r="F216" i="112" s="1"/>
  <c r="F940" i="56"/>
  <c r="F217" i="112" s="1"/>
  <c r="F941" i="56"/>
  <c r="F218" i="112" s="1"/>
  <c r="F942" i="56"/>
  <c r="F219" i="112" s="1"/>
  <c r="F943" i="56"/>
  <c r="F220" i="112" s="1"/>
  <c r="F944" i="56"/>
  <c r="F221" i="112" s="1"/>
  <c r="F945" i="56"/>
  <c r="F222" i="112" s="1"/>
  <c r="F946" i="56"/>
  <c r="F223" i="112" s="1"/>
  <c r="F947" i="56"/>
  <c r="F224" i="112" s="1"/>
  <c r="F948" i="56"/>
  <c r="F225" i="112" s="1"/>
  <c r="F949" i="56"/>
  <c r="F226" i="112" s="1"/>
  <c r="F950" i="56"/>
  <c r="F227" i="112" s="1"/>
  <c r="F951" i="56"/>
  <c r="F228" i="112" s="1"/>
  <c r="F952" i="56"/>
  <c r="F229" i="112" s="1"/>
  <c r="F953" i="56"/>
  <c r="F230" i="112" s="1"/>
  <c r="F954" i="56"/>
  <c r="F231" i="112" s="1"/>
  <c r="F955" i="56"/>
  <c r="F232" i="112" s="1"/>
  <c r="F927" i="56"/>
  <c r="F204" i="112" s="1"/>
  <c r="R924" i="56"/>
  <c r="R201" i="112" s="1"/>
  <c r="S924" i="56"/>
  <c r="S201" i="112" s="1"/>
  <c r="T924" i="56"/>
  <c r="T201" i="112" s="1"/>
  <c r="U924" i="56"/>
  <c r="U201" i="112" s="1"/>
  <c r="V924" i="56"/>
  <c r="V201" i="112" s="1"/>
  <c r="W924" i="56"/>
  <c r="W201" i="112" s="1"/>
  <c r="R925" i="56"/>
  <c r="R202" i="112" s="1"/>
  <c r="S925" i="56"/>
  <c r="S202" i="112" s="1"/>
  <c r="T925" i="56"/>
  <c r="T202" i="112" s="1"/>
  <c r="U925" i="56"/>
  <c r="U202" i="112" s="1"/>
  <c r="V925" i="56"/>
  <c r="V202" i="112" s="1"/>
  <c r="W925" i="56"/>
  <c r="W202" i="112" s="1"/>
  <c r="R926" i="56"/>
  <c r="R203" i="112" s="1"/>
  <c r="S926" i="56"/>
  <c r="S203" i="112" s="1"/>
  <c r="T926" i="56"/>
  <c r="T203" i="112" s="1"/>
  <c r="U926" i="56"/>
  <c r="U203" i="112" s="1"/>
  <c r="V926" i="56"/>
  <c r="V203" i="112" s="1"/>
  <c r="W926" i="56"/>
  <c r="W203" i="112" s="1"/>
  <c r="Q925" i="56"/>
  <c r="Q202" i="112" s="1"/>
  <c r="Q926" i="56"/>
  <c r="Q203" i="112" s="1"/>
  <c r="Q924" i="56"/>
  <c r="Q201" i="112" s="1"/>
  <c r="F925" i="56"/>
  <c r="F202" i="112" s="1"/>
  <c r="F926" i="56"/>
  <c r="F203" i="112" s="1"/>
  <c r="F924" i="56"/>
  <c r="F201" i="112" s="1"/>
  <c r="H202" i="112"/>
  <c r="I925" i="56"/>
  <c r="I202" i="112" s="1"/>
  <c r="H203" i="112"/>
  <c r="I926" i="56"/>
  <c r="I203" i="112" s="1"/>
  <c r="H204" i="112"/>
  <c r="I927" i="56"/>
  <c r="I204" i="112" s="1"/>
  <c r="H205" i="112"/>
  <c r="I928" i="56"/>
  <c r="I205" i="112" s="1"/>
  <c r="H206" i="112"/>
  <c r="I929" i="56"/>
  <c r="I206" i="112" s="1"/>
  <c r="H207" i="112"/>
  <c r="I930" i="56"/>
  <c r="I207" i="112" s="1"/>
  <c r="H208" i="112"/>
  <c r="I931" i="56"/>
  <c r="I208" i="112" s="1"/>
  <c r="H209" i="112"/>
  <c r="I932" i="56"/>
  <c r="I209" i="112" s="1"/>
  <c r="H210" i="112"/>
  <c r="I933" i="56"/>
  <c r="I210" i="112" s="1"/>
  <c r="H211" i="112"/>
  <c r="I934" i="56"/>
  <c r="I211" i="112" s="1"/>
  <c r="H212" i="112"/>
  <c r="I935" i="56"/>
  <c r="I212" i="112" s="1"/>
  <c r="H213" i="112"/>
  <c r="I936" i="56"/>
  <c r="I213" i="112" s="1"/>
  <c r="H214" i="112"/>
  <c r="I937" i="56"/>
  <c r="I214" i="112" s="1"/>
  <c r="H215" i="112"/>
  <c r="I938" i="56"/>
  <c r="I215" i="112" s="1"/>
  <c r="H216" i="112"/>
  <c r="I939" i="56"/>
  <c r="I216" i="112" s="1"/>
  <c r="H217" i="112"/>
  <c r="I940" i="56"/>
  <c r="I217" i="112" s="1"/>
  <c r="H218" i="112"/>
  <c r="I941" i="56"/>
  <c r="I218" i="112" s="1"/>
  <c r="H219" i="112"/>
  <c r="I942" i="56"/>
  <c r="I219" i="112" s="1"/>
  <c r="H220" i="112"/>
  <c r="I943" i="56"/>
  <c r="I220" i="112" s="1"/>
  <c r="H221" i="112"/>
  <c r="I944" i="56"/>
  <c r="I221" i="112" s="1"/>
  <c r="H222" i="112"/>
  <c r="I945" i="56"/>
  <c r="I222" i="112" s="1"/>
  <c r="H223" i="112"/>
  <c r="I946" i="56"/>
  <c r="I223" i="112" s="1"/>
  <c r="H224" i="112"/>
  <c r="I947" i="56"/>
  <c r="I224" i="112" s="1"/>
  <c r="H225" i="112"/>
  <c r="I948" i="56"/>
  <c r="I225" i="112" s="1"/>
  <c r="H226" i="112"/>
  <c r="I949" i="56"/>
  <c r="I226" i="112" s="1"/>
  <c r="H227" i="112"/>
  <c r="I950" i="56"/>
  <c r="I227" i="112" s="1"/>
  <c r="H228" i="112"/>
  <c r="I951" i="56"/>
  <c r="I228" i="112" s="1"/>
  <c r="H229" i="112"/>
  <c r="I952" i="56"/>
  <c r="I229" i="112" s="1"/>
  <c r="H230" i="112"/>
  <c r="I953" i="56"/>
  <c r="I230" i="112" s="1"/>
  <c r="H231" i="112"/>
  <c r="I954" i="56"/>
  <c r="I231" i="112" s="1"/>
  <c r="H232" i="112"/>
  <c r="I955" i="56"/>
  <c r="I232" i="112" s="1"/>
  <c r="C866" i="56"/>
  <c r="K925" i="56" s="1"/>
  <c r="K202" i="112" s="1"/>
  <c r="C865" i="56"/>
  <c r="K924" i="56" s="1"/>
  <c r="K201" i="112" s="1"/>
  <c r="K79" i="100"/>
  <c r="K403" i="112" s="1"/>
  <c r="E1207" i="56" l="1"/>
  <c r="L313" i="112"/>
  <c r="F313" i="112"/>
  <c r="S314" i="112"/>
  <c r="H314" i="112"/>
  <c r="Q312" i="112"/>
  <c r="D314" i="112"/>
  <c r="C313" i="112"/>
  <c r="I314" i="112"/>
  <c r="W313" i="112"/>
  <c r="P313" i="112"/>
  <c r="P312" i="112"/>
  <c r="T312" i="112"/>
  <c r="H312" i="112"/>
  <c r="H313" i="112"/>
  <c r="G313" i="112"/>
  <c r="E312" i="112"/>
  <c r="N313" i="112"/>
  <c r="C85" i="109"/>
  <c r="K97" i="109" s="1"/>
  <c r="L97" i="109" s="1"/>
  <c r="L312" i="112" s="1"/>
  <c r="R312" i="112"/>
  <c r="V312" i="112"/>
  <c r="F314" i="112"/>
  <c r="U314" i="112"/>
  <c r="R314" i="112"/>
  <c r="I313" i="112"/>
  <c r="Q314" i="112"/>
  <c r="M313" i="112"/>
  <c r="O313" i="112"/>
  <c r="D312" i="112"/>
  <c r="J314" i="112"/>
  <c r="N312" i="112"/>
  <c r="G314" i="112"/>
  <c r="W314" i="112"/>
  <c r="N314" i="112"/>
  <c r="T313" i="112"/>
  <c r="C314" i="112"/>
  <c r="E313" i="112"/>
  <c r="K313" i="112"/>
  <c r="W312" i="112"/>
  <c r="K312" i="112"/>
  <c r="E314" i="112"/>
  <c r="C312" i="112"/>
  <c r="T314" i="112"/>
  <c r="O312" i="112"/>
  <c r="F312" i="112"/>
  <c r="I312" i="112"/>
  <c r="S312" i="112"/>
  <c r="G312" i="112"/>
  <c r="M314" i="112"/>
  <c r="M312" i="112"/>
  <c r="J313" i="112"/>
  <c r="V314" i="112"/>
  <c r="R313" i="112"/>
  <c r="J312" i="112"/>
  <c r="S313" i="112"/>
  <c r="D313" i="112"/>
  <c r="P314" i="112"/>
  <c r="U313" i="112"/>
  <c r="K314" i="112"/>
  <c r="V313" i="112"/>
  <c r="O314" i="112"/>
  <c r="G92" i="109"/>
  <c r="I12" i="109" s="1" a="1"/>
  <c r="I12" i="109" s="1"/>
  <c r="U120" i="69" s="1"/>
  <c r="E120" i="69" s="1"/>
  <c r="G93" i="109"/>
  <c r="I13" i="109" s="1" a="1"/>
  <c r="I13" i="109" s="1"/>
  <c r="U121" i="69" s="1"/>
  <c r="E121" i="69" s="1"/>
  <c r="L314" i="112"/>
  <c r="D856" i="56"/>
  <c r="E856" i="56" s="1"/>
  <c r="D772" i="56"/>
  <c r="E772" i="56" s="1"/>
  <c r="D975" i="56"/>
  <c r="E975" i="56" s="1"/>
  <c r="H1164" i="56"/>
  <c r="N1183" i="56" s="1"/>
  <c r="N246" i="112" s="1"/>
  <c r="H1170" i="56"/>
  <c r="N1185" i="56" s="1"/>
  <c r="N248" i="112" s="1"/>
  <c r="H1161" i="56"/>
  <c r="N1176" i="56" s="1"/>
  <c r="N239" i="112" s="1"/>
  <c r="K1029" i="56"/>
  <c r="K238" i="112" s="1"/>
  <c r="K1026" i="56"/>
  <c r="K235" i="112" s="1"/>
  <c r="K1028" i="56"/>
  <c r="K237" i="112" s="1"/>
  <c r="K1025" i="56"/>
  <c r="K234" i="112" s="1"/>
  <c r="L1247" i="56"/>
  <c r="H1303" i="56"/>
  <c r="H1241" i="56"/>
  <c r="L1176" i="56"/>
  <c r="L239" i="112" s="1"/>
  <c r="L1178" i="56"/>
  <c r="L1179" i="56"/>
  <c r="L242" i="112" s="1"/>
  <c r="L1249" i="56"/>
  <c r="L253" i="112" s="1"/>
  <c r="L1181" i="56"/>
  <c r="L244" i="112" s="1"/>
  <c r="J952" i="56"/>
  <c r="J229" i="112" s="1"/>
  <c r="J946" i="56"/>
  <c r="J223" i="112" s="1"/>
  <c r="J940" i="56"/>
  <c r="J217" i="112" s="1"/>
  <c r="J934" i="56"/>
  <c r="J211" i="112" s="1"/>
  <c r="J928" i="56"/>
  <c r="J205" i="112" s="1"/>
  <c r="J1025" i="56"/>
  <c r="J234" i="112" s="1"/>
  <c r="L1248" i="56"/>
  <c r="L252" i="112" s="1"/>
  <c r="J951" i="56"/>
  <c r="J228" i="112" s="1"/>
  <c r="J945" i="56"/>
  <c r="J222" i="112" s="1"/>
  <c r="J939" i="56"/>
  <c r="J216" i="112" s="1"/>
  <c r="J933" i="56"/>
  <c r="J210" i="112" s="1"/>
  <c r="J927" i="56"/>
  <c r="J204" i="112" s="1"/>
  <c r="J1026" i="56"/>
  <c r="J235" i="112" s="1"/>
  <c r="L1183" i="56"/>
  <c r="L246" i="112" s="1"/>
  <c r="L1187" i="56"/>
  <c r="L250" i="112" s="1"/>
  <c r="J950" i="56"/>
  <c r="J227" i="112" s="1"/>
  <c r="J944" i="56"/>
  <c r="J221" i="112" s="1"/>
  <c r="J938" i="56"/>
  <c r="J215" i="112" s="1"/>
  <c r="J932" i="56"/>
  <c r="J209" i="112" s="1"/>
  <c r="J926" i="56"/>
  <c r="J203" i="112" s="1"/>
  <c r="J1027" i="56"/>
  <c r="J236" i="112" s="1"/>
  <c r="L1180" i="56"/>
  <c r="L243" i="112" s="1"/>
  <c r="J955" i="56"/>
  <c r="J232" i="112" s="1"/>
  <c r="J949" i="56"/>
  <c r="J226" i="112" s="1"/>
  <c r="J943" i="56"/>
  <c r="J220" i="112" s="1"/>
  <c r="J937" i="56"/>
  <c r="J214" i="112" s="1"/>
  <c r="J931" i="56"/>
  <c r="J208" i="112" s="1"/>
  <c r="J925" i="56"/>
  <c r="J202" i="112" s="1"/>
  <c r="J1028" i="56"/>
  <c r="J237" i="112" s="1"/>
  <c r="J1029" i="56"/>
  <c r="J238" i="112" s="1"/>
  <c r="L1185" i="56"/>
  <c r="L248" i="112" s="1"/>
  <c r="L1182" i="56"/>
  <c r="L245" i="112" s="1"/>
  <c r="J954" i="56"/>
  <c r="J231" i="112" s="1"/>
  <c r="J948" i="56"/>
  <c r="J225" i="112" s="1"/>
  <c r="J942" i="56"/>
  <c r="J219" i="112" s="1"/>
  <c r="J936" i="56"/>
  <c r="J213" i="112" s="1"/>
  <c r="J930" i="56"/>
  <c r="J207" i="112" s="1"/>
  <c r="J953" i="56"/>
  <c r="J230" i="112" s="1"/>
  <c r="J947" i="56"/>
  <c r="J224" i="112" s="1"/>
  <c r="J941" i="56"/>
  <c r="J218" i="112" s="1"/>
  <c r="J935" i="56"/>
  <c r="J212" i="112" s="1"/>
  <c r="J929" i="56"/>
  <c r="J206" i="112" s="1"/>
  <c r="J1024" i="56"/>
  <c r="J233" i="112" s="1"/>
  <c r="L1186" i="56"/>
  <c r="L249" i="112" s="1"/>
  <c r="K1184" i="56"/>
  <c r="K247" i="112" s="1"/>
  <c r="K1177" i="56"/>
  <c r="K240" i="112" s="1"/>
  <c r="C867" i="56"/>
  <c r="K926" i="56" s="1"/>
  <c r="K203" i="112" s="1"/>
  <c r="G91" i="109" l="1"/>
  <c r="I11" i="109" s="1" a="1"/>
  <c r="I11" i="109" s="1"/>
  <c r="U119" i="69" s="1"/>
  <c r="E119" i="69" s="1"/>
  <c r="G1241" i="56"/>
  <c r="L24" i="56" s="1" a="1"/>
  <c r="L24" i="56" s="1"/>
  <c r="W142" i="69" s="1"/>
  <c r="L251" i="112"/>
  <c r="G1163" i="56"/>
  <c r="K26" i="56" s="1" a="1"/>
  <c r="K26" i="56" s="1"/>
  <c r="U144" i="69" s="1"/>
  <c r="L241" i="112"/>
  <c r="N1179" i="56"/>
  <c r="N242" i="112" s="1"/>
  <c r="N1184" i="56"/>
  <c r="N247" i="112" s="1"/>
  <c r="N1181" i="56"/>
  <c r="N244" i="112" s="1"/>
  <c r="N1182" i="56"/>
  <c r="N245" i="112" s="1"/>
  <c r="N1187" i="56"/>
  <c r="N250" i="112" s="1"/>
  <c r="N1186" i="56"/>
  <c r="N249" i="112" s="1"/>
  <c r="N1180" i="56"/>
  <c r="N243" i="112" s="1"/>
  <c r="H889" i="56"/>
  <c r="N925" i="56" s="1"/>
  <c r="N202" i="112" s="1"/>
  <c r="N1178" i="56"/>
  <c r="N241" i="112" s="1"/>
  <c r="N1177" i="56"/>
  <c r="N240" i="112" s="1"/>
  <c r="G1161" i="56"/>
  <c r="K24" i="56" s="1" a="1"/>
  <c r="K24" i="56" s="1"/>
  <c r="U142" i="69" s="1"/>
  <c r="H892" i="56"/>
  <c r="N932" i="56" s="1"/>
  <c r="N209" i="112" s="1"/>
  <c r="G1243" i="56"/>
  <c r="L26" i="56" s="1" a="1"/>
  <c r="L26" i="56" s="1"/>
  <c r="W144" i="69" s="1"/>
  <c r="G1164" i="56"/>
  <c r="K27" i="56" s="1" a="1"/>
  <c r="K27" i="56" s="1"/>
  <c r="U145" i="69" s="1"/>
  <c r="N1247" i="56"/>
  <c r="N251" i="112" s="1"/>
  <c r="N1248" i="56"/>
  <c r="N252" i="112" s="1"/>
  <c r="N1249" i="56"/>
  <c r="N253" i="112" s="1"/>
  <c r="N1309" i="56"/>
  <c r="N1311" i="56"/>
  <c r="N1310" i="56"/>
  <c r="H994" i="56"/>
  <c r="L1025" i="56"/>
  <c r="L234" i="112" s="1"/>
  <c r="L1027" i="56"/>
  <c r="L236" i="112" s="1"/>
  <c r="L1024" i="56"/>
  <c r="L233" i="112" s="1"/>
  <c r="G1165" i="56"/>
  <c r="K28" i="56" s="1" a="1"/>
  <c r="K28" i="56" s="1"/>
  <c r="U146" i="69" s="1"/>
  <c r="G1172" i="56"/>
  <c r="K35" i="56" s="1" a="1"/>
  <c r="K35" i="56" s="1"/>
  <c r="U153" i="69" s="1"/>
  <c r="G1167" i="56"/>
  <c r="K30" i="56" s="1" a="1"/>
  <c r="K30" i="56" s="1"/>
  <c r="U148" i="69" s="1"/>
  <c r="L1177" i="56"/>
  <c r="L240" i="112" s="1"/>
  <c r="L1184" i="56"/>
  <c r="L247" i="112" s="1"/>
  <c r="G1242" i="56"/>
  <c r="L25" i="56" s="1" a="1"/>
  <c r="L25" i="56" s="1"/>
  <c r="L926" i="56"/>
  <c r="L203" i="112" s="1"/>
  <c r="G1168" i="56"/>
  <c r="K31" i="56" s="1" a="1"/>
  <c r="K31" i="56" s="1"/>
  <c r="U149" i="69" s="1"/>
  <c r="G1170" i="56"/>
  <c r="K33" i="56" s="1" a="1"/>
  <c r="K33" i="56" s="1"/>
  <c r="U151" i="69" s="1"/>
  <c r="L925" i="56"/>
  <c r="L202" i="112" s="1"/>
  <c r="L1026" i="56"/>
  <c r="L235" i="112" s="1"/>
  <c r="G1171" i="56"/>
  <c r="K34" i="56" s="1" a="1"/>
  <c r="K34" i="56" s="1"/>
  <c r="U152" i="69" s="1"/>
  <c r="G1166" i="56"/>
  <c r="K29" i="56" s="1" a="1"/>
  <c r="K29" i="56" s="1"/>
  <c r="U147" i="69" s="1"/>
  <c r="L1028" i="56"/>
  <c r="L237" i="112" s="1"/>
  <c r="L1029" i="56"/>
  <c r="L238" i="112" s="1"/>
  <c r="I924" i="56"/>
  <c r="I201" i="112" s="1"/>
  <c r="H201" i="112"/>
  <c r="R723" i="56"/>
  <c r="R171" i="112" s="1"/>
  <c r="S723" i="56"/>
  <c r="S171" i="112" s="1"/>
  <c r="T723" i="56"/>
  <c r="T171" i="112" s="1"/>
  <c r="U723" i="56"/>
  <c r="U171" i="112" s="1"/>
  <c r="V723" i="56"/>
  <c r="V171" i="112" s="1"/>
  <c r="W723" i="56"/>
  <c r="W171" i="112" s="1"/>
  <c r="R724" i="56"/>
  <c r="R172" i="112" s="1"/>
  <c r="S724" i="56"/>
  <c r="S172" i="112" s="1"/>
  <c r="T724" i="56"/>
  <c r="T172" i="112" s="1"/>
  <c r="U724" i="56"/>
  <c r="U172" i="112" s="1"/>
  <c r="V724" i="56"/>
  <c r="V172" i="112" s="1"/>
  <c r="W724" i="56"/>
  <c r="W172" i="112" s="1"/>
  <c r="R725" i="56"/>
  <c r="R173" i="112" s="1"/>
  <c r="S725" i="56"/>
  <c r="S173" i="112" s="1"/>
  <c r="T725" i="56"/>
  <c r="T173" i="112" s="1"/>
  <c r="U725" i="56"/>
  <c r="U173" i="112" s="1"/>
  <c r="V725" i="56"/>
  <c r="V173" i="112" s="1"/>
  <c r="W725" i="56"/>
  <c r="W173" i="112" s="1"/>
  <c r="R726" i="56"/>
  <c r="R174" i="112" s="1"/>
  <c r="S726" i="56"/>
  <c r="S174" i="112" s="1"/>
  <c r="T726" i="56"/>
  <c r="T174" i="112" s="1"/>
  <c r="U726" i="56"/>
  <c r="U174" i="112" s="1"/>
  <c r="V726" i="56"/>
  <c r="V174" i="112" s="1"/>
  <c r="W726" i="56"/>
  <c r="W174" i="112" s="1"/>
  <c r="R727" i="56"/>
  <c r="R175" i="112" s="1"/>
  <c r="S727" i="56"/>
  <c r="S175" i="112" s="1"/>
  <c r="T727" i="56"/>
  <c r="T175" i="112" s="1"/>
  <c r="U727" i="56"/>
  <c r="U175" i="112" s="1"/>
  <c r="V727" i="56"/>
  <c r="V175" i="112" s="1"/>
  <c r="W727" i="56"/>
  <c r="W175" i="112" s="1"/>
  <c r="R728" i="56"/>
  <c r="R176" i="112" s="1"/>
  <c r="S728" i="56"/>
  <c r="S176" i="112" s="1"/>
  <c r="T728" i="56"/>
  <c r="T176" i="112" s="1"/>
  <c r="U728" i="56"/>
  <c r="U176" i="112" s="1"/>
  <c r="V728" i="56"/>
  <c r="V176" i="112" s="1"/>
  <c r="W728" i="56"/>
  <c r="W176" i="112" s="1"/>
  <c r="R729" i="56"/>
  <c r="R177" i="112" s="1"/>
  <c r="S729" i="56"/>
  <c r="S177" i="112" s="1"/>
  <c r="T729" i="56"/>
  <c r="T177" i="112" s="1"/>
  <c r="U729" i="56"/>
  <c r="U177" i="112" s="1"/>
  <c r="V729" i="56"/>
  <c r="V177" i="112" s="1"/>
  <c r="W729" i="56"/>
  <c r="W177" i="112" s="1"/>
  <c r="R730" i="56"/>
  <c r="R178" i="112" s="1"/>
  <c r="S730" i="56"/>
  <c r="S178" i="112" s="1"/>
  <c r="T730" i="56"/>
  <c r="T178" i="112" s="1"/>
  <c r="U730" i="56"/>
  <c r="U178" i="112" s="1"/>
  <c r="V730" i="56"/>
  <c r="V178" i="112" s="1"/>
  <c r="W730" i="56"/>
  <c r="W178" i="112" s="1"/>
  <c r="R731" i="56"/>
  <c r="R179" i="112" s="1"/>
  <c r="S731" i="56"/>
  <c r="S179" i="112" s="1"/>
  <c r="T731" i="56"/>
  <c r="T179" i="112" s="1"/>
  <c r="U731" i="56"/>
  <c r="U179" i="112" s="1"/>
  <c r="V731" i="56"/>
  <c r="V179" i="112" s="1"/>
  <c r="W731" i="56"/>
  <c r="W179" i="112" s="1"/>
  <c r="R732" i="56"/>
  <c r="R180" i="112" s="1"/>
  <c r="S732" i="56"/>
  <c r="S180" i="112" s="1"/>
  <c r="T732" i="56"/>
  <c r="T180" i="112" s="1"/>
  <c r="U732" i="56"/>
  <c r="U180" i="112" s="1"/>
  <c r="V732" i="56"/>
  <c r="V180" i="112" s="1"/>
  <c r="W732" i="56"/>
  <c r="W180" i="112" s="1"/>
  <c r="R733" i="56"/>
  <c r="R181" i="112" s="1"/>
  <c r="S733" i="56"/>
  <c r="S181" i="112" s="1"/>
  <c r="T733" i="56"/>
  <c r="T181" i="112" s="1"/>
  <c r="U733" i="56"/>
  <c r="U181" i="112" s="1"/>
  <c r="V733" i="56"/>
  <c r="V181" i="112" s="1"/>
  <c r="W733" i="56"/>
  <c r="W181" i="112" s="1"/>
  <c r="R734" i="56"/>
  <c r="R182" i="112" s="1"/>
  <c r="S734" i="56"/>
  <c r="S182" i="112" s="1"/>
  <c r="T734" i="56"/>
  <c r="T182" i="112" s="1"/>
  <c r="U734" i="56"/>
  <c r="U182" i="112" s="1"/>
  <c r="V734" i="56"/>
  <c r="V182" i="112" s="1"/>
  <c r="W734" i="56"/>
  <c r="W182" i="112" s="1"/>
  <c r="R735" i="56"/>
  <c r="R183" i="112" s="1"/>
  <c r="S735" i="56"/>
  <c r="S183" i="112" s="1"/>
  <c r="T735" i="56"/>
  <c r="T183" i="112" s="1"/>
  <c r="U735" i="56"/>
  <c r="U183" i="112" s="1"/>
  <c r="V735" i="56"/>
  <c r="V183" i="112" s="1"/>
  <c r="W735" i="56"/>
  <c r="W183" i="112" s="1"/>
  <c r="R736" i="56"/>
  <c r="R184" i="112" s="1"/>
  <c r="S736" i="56"/>
  <c r="S184" i="112" s="1"/>
  <c r="T736" i="56"/>
  <c r="T184" i="112" s="1"/>
  <c r="U736" i="56"/>
  <c r="U184" i="112" s="1"/>
  <c r="V736" i="56"/>
  <c r="V184" i="112" s="1"/>
  <c r="W736" i="56"/>
  <c r="W184" i="112" s="1"/>
  <c r="R737" i="56"/>
  <c r="R185" i="112" s="1"/>
  <c r="S737" i="56"/>
  <c r="S185" i="112" s="1"/>
  <c r="T737" i="56"/>
  <c r="T185" i="112" s="1"/>
  <c r="U737" i="56"/>
  <c r="U185" i="112" s="1"/>
  <c r="V737" i="56"/>
  <c r="V185" i="112" s="1"/>
  <c r="W737" i="56"/>
  <c r="W185" i="112" s="1"/>
  <c r="R738" i="56"/>
  <c r="R186" i="112" s="1"/>
  <c r="S738" i="56"/>
  <c r="S186" i="112" s="1"/>
  <c r="T738" i="56"/>
  <c r="T186" i="112" s="1"/>
  <c r="U738" i="56"/>
  <c r="U186" i="112" s="1"/>
  <c r="V738" i="56"/>
  <c r="V186" i="112" s="1"/>
  <c r="W738" i="56"/>
  <c r="W186" i="112" s="1"/>
  <c r="R739" i="56"/>
  <c r="R187" i="112" s="1"/>
  <c r="S739" i="56"/>
  <c r="S187" i="112" s="1"/>
  <c r="T739" i="56"/>
  <c r="T187" i="112" s="1"/>
  <c r="U739" i="56"/>
  <c r="U187" i="112" s="1"/>
  <c r="V739" i="56"/>
  <c r="V187" i="112" s="1"/>
  <c r="W739" i="56"/>
  <c r="W187" i="112" s="1"/>
  <c r="R740" i="56"/>
  <c r="R188" i="112" s="1"/>
  <c r="S740" i="56"/>
  <c r="S188" i="112" s="1"/>
  <c r="T740" i="56"/>
  <c r="T188" i="112" s="1"/>
  <c r="U740" i="56"/>
  <c r="U188" i="112" s="1"/>
  <c r="V740" i="56"/>
  <c r="V188" i="112" s="1"/>
  <c r="W740" i="56"/>
  <c r="W188" i="112" s="1"/>
  <c r="R741" i="56"/>
  <c r="R189" i="112" s="1"/>
  <c r="S741" i="56"/>
  <c r="S189" i="112" s="1"/>
  <c r="T741" i="56"/>
  <c r="T189" i="112" s="1"/>
  <c r="U741" i="56"/>
  <c r="U189" i="112" s="1"/>
  <c r="V741" i="56"/>
  <c r="V189" i="112" s="1"/>
  <c r="W741" i="56"/>
  <c r="W189" i="112" s="1"/>
  <c r="R742" i="56"/>
  <c r="R190" i="112" s="1"/>
  <c r="S742" i="56"/>
  <c r="S190" i="112" s="1"/>
  <c r="T742" i="56"/>
  <c r="T190" i="112" s="1"/>
  <c r="U742" i="56"/>
  <c r="U190" i="112" s="1"/>
  <c r="V742" i="56"/>
  <c r="V190" i="112" s="1"/>
  <c r="W742" i="56"/>
  <c r="W190" i="112" s="1"/>
  <c r="R743" i="56"/>
  <c r="R191" i="112" s="1"/>
  <c r="S743" i="56"/>
  <c r="S191" i="112" s="1"/>
  <c r="T743" i="56"/>
  <c r="T191" i="112" s="1"/>
  <c r="U743" i="56"/>
  <c r="U191" i="112" s="1"/>
  <c r="V743" i="56"/>
  <c r="V191" i="112" s="1"/>
  <c r="W743" i="56"/>
  <c r="W191" i="112" s="1"/>
  <c r="R744" i="56"/>
  <c r="R192" i="112" s="1"/>
  <c r="S744" i="56"/>
  <c r="S192" i="112" s="1"/>
  <c r="T744" i="56"/>
  <c r="T192" i="112" s="1"/>
  <c r="U744" i="56"/>
  <c r="U192" i="112" s="1"/>
  <c r="V744" i="56"/>
  <c r="V192" i="112" s="1"/>
  <c r="W744" i="56"/>
  <c r="W192" i="112" s="1"/>
  <c r="R745" i="56"/>
  <c r="R193" i="112" s="1"/>
  <c r="S745" i="56"/>
  <c r="S193" i="112" s="1"/>
  <c r="T745" i="56"/>
  <c r="T193" i="112" s="1"/>
  <c r="U745" i="56"/>
  <c r="U193" i="112" s="1"/>
  <c r="V745" i="56"/>
  <c r="V193" i="112" s="1"/>
  <c r="W745" i="56"/>
  <c r="W193" i="112" s="1"/>
  <c r="R746" i="56"/>
  <c r="R194" i="112" s="1"/>
  <c r="S746" i="56"/>
  <c r="S194" i="112" s="1"/>
  <c r="T746" i="56"/>
  <c r="T194" i="112" s="1"/>
  <c r="U746" i="56"/>
  <c r="U194" i="112" s="1"/>
  <c r="V746" i="56"/>
  <c r="V194" i="112" s="1"/>
  <c r="W746" i="56"/>
  <c r="W194" i="112" s="1"/>
  <c r="R747" i="56"/>
  <c r="R195" i="112" s="1"/>
  <c r="S747" i="56"/>
  <c r="S195" i="112" s="1"/>
  <c r="T747" i="56"/>
  <c r="T195" i="112" s="1"/>
  <c r="U747" i="56"/>
  <c r="U195" i="112" s="1"/>
  <c r="V747" i="56"/>
  <c r="V195" i="112" s="1"/>
  <c r="W747" i="56"/>
  <c r="W195" i="112" s="1"/>
  <c r="R748" i="56"/>
  <c r="R196" i="112" s="1"/>
  <c r="S748" i="56"/>
  <c r="S196" i="112" s="1"/>
  <c r="T748" i="56"/>
  <c r="T196" i="112" s="1"/>
  <c r="U748" i="56"/>
  <c r="U196" i="112" s="1"/>
  <c r="V748" i="56"/>
  <c r="V196" i="112" s="1"/>
  <c r="W748" i="56"/>
  <c r="W196" i="112" s="1"/>
  <c r="R749" i="56"/>
  <c r="R197" i="112" s="1"/>
  <c r="S749" i="56"/>
  <c r="S197" i="112" s="1"/>
  <c r="T749" i="56"/>
  <c r="T197" i="112" s="1"/>
  <c r="U749" i="56"/>
  <c r="U197" i="112" s="1"/>
  <c r="V749" i="56"/>
  <c r="V197" i="112" s="1"/>
  <c r="W749" i="56"/>
  <c r="W197" i="112" s="1"/>
  <c r="R750" i="56"/>
  <c r="R198" i="112" s="1"/>
  <c r="S750" i="56"/>
  <c r="S198" i="112" s="1"/>
  <c r="T750" i="56"/>
  <c r="T198" i="112" s="1"/>
  <c r="U750" i="56"/>
  <c r="U198" i="112" s="1"/>
  <c r="V750" i="56"/>
  <c r="V198" i="112" s="1"/>
  <c r="W750" i="56"/>
  <c r="W198" i="112" s="1"/>
  <c r="R751" i="56"/>
  <c r="R199" i="112" s="1"/>
  <c r="S751" i="56"/>
  <c r="S199" i="112" s="1"/>
  <c r="T751" i="56"/>
  <c r="T199" i="112" s="1"/>
  <c r="U751" i="56"/>
  <c r="U199" i="112" s="1"/>
  <c r="V751" i="56"/>
  <c r="V199" i="112" s="1"/>
  <c r="W751" i="56"/>
  <c r="W199" i="112" s="1"/>
  <c r="R752" i="56"/>
  <c r="R200" i="112" s="1"/>
  <c r="S752" i="56"/>
  <c r="S200" i="112" s="1"/>
  <c r="T752" i="56"/>
  <c r="T200" i="112" s="1"/>
  <c r="U752" i="56"/>
  <c r="U200" i="112" s="1"/>
  <c r="V752" i="56"/>
  <c r="V200" i="112" s="1"/>
  <c r="W752" i="56"/>
  <c r="W200" i="112" s="1"/>
  <c r="Q724" i="56"/>
  <c r="Q172" i="112" s="1"/>
  <c r="Q725" i="56"/>
  <c r="Q173" i="112" s="1"/>
  <c r="Q726" i="56"/>
  <c r="Q174" i="112" s="1"/>
  <c r="Q727" i="56"/>
  <c r="Q175" i="112" s="1"/>
  <c r="Q728" i="56"/>
  <c r="Q176" i="112" s="1"/>
  <c r="Q729" i="56"/>
  <c r="Q177" i="112" s="1"/>
  <c r="Q730" i="56"/>
  <c r="Q178" i="112" s="1"/>
  <c r="Q731" i="56"/>
  <c r="Q179" i="112" s="1"/>
  <c r="Q732" i="56"/>
  <c r="Q180" i="112" s="1"/>
  <c r="Q733" i="56"/>
  <c r="Q181" i="112" s="1"/>
  <c r="Q734" i="56"/>
  <c r="Q182" i="112" s="1"/>
  <c r="Q735" i="56"/>
  <c r="Q183" i="112" s="1"/>
  <c r="Q736" i="56"/>
  <c r="Q184" i="112" s="1"/>
  <c r="Q737" i="56"/>
  <c r="Q185" i="112" s="1"/>
  <c r="Q738" i="56"/>
  <c r="Q186" i="112" s="1"/>
  <c r="Q739" i="56"/>
  <c r="Q187" i="112" s="1"/>
  <c r="Q740" i="56"/>
  <c r="Q188" i="112" s="1"/>
  <c r="Q741" i="56"/>
  <c r="Q189" i="112" s="1"/>
  <c r="Q742" i="56"/>
  <c r="Q190" i="112" s="1"/>
  <c r="Q743" i="56"/>
  <c r="Q191" i="112" s="1"/>
  <c r="Q744" i="56"/>
  <c r="Q192" i="112" s="1"/>
  <c r="Q745" i="56"/>
  <c r="Q193" i="112" s="1"/>
  <c r="Q746" i="56"/>
  <c r="Q194" i="112" s="1"/>
  <c r="Q747" i="56"/>
  <c r="Q195" i="112" s="1"/>
  <c r="Q748" i="56"/>
  <c r="Q196" i="112" s="1"/>
  <c r="Q749" i="56"/>
  <c r="Q197" i="112" s="1"/>
  <c r="Q750" i="56"/>
  <c r="Q198" i="112" s="1"/>
  <c r="Q751" i="56"/>
  <c r="Q199" i="112" s="1"/>
  <c r="Q752" i="56"/>
  <c r="Q200" i="112" s="1"/>
  <c r="Q723" i="56"/>
  <c r="Q171" i="112" s="1"/>
  <c r="F724" i="56"/>
  <c r="F172" i="112" s="1"/>
  <c r="F725" i="56"/>
  <c r="F173" i="112" s="1"/>
  <c r="F726" i="56"/>
  <c r="F174" i="112" s="1"/>
  <c r="F727" i="56"/>
  <c r="F175" i="112" s="1"/>
  <c r="F728" i="56"/>
  <c r="F176" i="112" s="1"/>
  <c r="F729" i="56"/>
  <c r="F177" i="112" s="1"/>
  <c r="F730" i="56"/>
  <c r="F178" i="112" s="1"/>
  <c r="F731" i="56"/>
  <c r="F179" i="112" s="1"/>
  <c r="F732" i="56"/>
  <c r="F180" i="112" s="1"/>
  <c r="F733" i="56"/>
  <c r="F181" i="112" s="1"/>
  <c r="F734" i="56"/>
  <c r="F182" i="112" s="1"/>
  <c r="F735" i="56"/>
  <c r="F183" i="112" s="1"/>
  <c r="F736" i="56"/>
  <c r="F184" i="112" s="1"/>
  <c r="F737" i="56"/>
  <c r="F185" i="112" s="1"/>
  <c r="F738" i="56"/>
  <c r="F186" i="112" s="1"/>
  <c r="F739" i="56"/>
  <c r="F187" i="112" s="1"/>
  <c r="F740" i="56"/>
  <c r="F188" i="112" s="1"/>
  <c r="F741" i="56"/>
  <c r="F189" i="112" s="1"/>
  <c r="F742" i="56"/>
  <c r="F190" i="112" s="1"/>
  <c r="F743" i="56"/>
  <c r="F191" i="112" s="1"/>
  <c r="F744" i="56"/>
  <c r="F192" i="112" s="1"/>
  <c r="F745" i="56"/>
  <c r="F193" i="112" s="1"/>
  <c r="F746" i="56"/>
  <c r="F194" i="112" s="1"/>
  <c r="F747" i="56"/>
  <c r="F195" i="112" s="1"/>
  <c r="F748" i="56"/>
  <c r="F196" i="112" s="1"/>
  <c r="F749" i="56"/>
  <c r="F197" i="112" s="1"/>
  <c r="F750" i="56"/>
  <c r="F198" i="112" s="1"/>
  <c r="F751" i="56"/>
  <c r="F199" i="112" s="1"/>
  <c r="F752" i="56"/>
  <c r="F200" i="112" s="1"/>
  <c r="F723" i="56"/>
  <c r="F171" i="112" s="1"/>
  <c r="R720" i="56"/>
  <c r="S720" i="56"/>
  <c r="T720" i="56"/>
  <c r="U720" i="56"/>
  <c r="V720" i="56"/>
  <c r="W720" i="56"/>
  <c r="R721" i="56"/>
  <c r="S721" i="56"/>
  <c r="T721" i="56"/>
  <c r="U721" i="56"/>
  <c r="V721" i="56"/>
  <c r="W721" i="56"/>
  <c r="R722" i="56"/>
  <c r="S722" i="56"/>
  <c r="T722" i="56"/>
  <c r="U722" i="56"/>
  <c r="V722" i="56"/>
  <c r="W722" i="56"/>
  <c r="Q721" i="56"/>
  <c r="Q722" i="56"/>
  <c r="Q720" i="56"/>
  <c r="F685" i="56" a="1"/>
  <c r="F685" i="56" s="1"/>
  <c r="F686" i="56" a="1"/>
  <c r="F686" i="56" s="1"/>
  <c r="F687" i="56" a="1"/>
  <c r="F687" i="56" s="1"/>
  <c r="F688" i="56" a="1"/>
  <c r="F688" i="56" s="1"/>
  <c r="F689" i="56" a="1"/>
  <c r="F689" i="56" s="1"/>
  <c r="F690" i="56" a="1"/>
  <c r="F690" i="56" s="1"/>
  <c r="F691" i="56" a="1"/>
  <c r="F691" i="56" s="1"/>
  <c r="F692" i="56" a="1"/>
  <c r="F692" i="56" s="1"/>
  <c r="F693" i="56" a="1"/>
  <c r="F693" i="56" s="1"/>
  <c r="F694" i="56" a="1"/>
  <c r="F694" i="56" s="1"/>
  <c r="F695" i="56" a="1"/>
  <c r="F695" i="56" s="1"/>
  <c r="F696" i="56" a="1"/>
  <c r="F696" i="56" s="1"/>
  <c r="F697" i="56" a="1"/>
  <c r="F697" i="56" s="1"/>
  <c r="F698" i="56" a="1"/>
  <c r="F698" i="56" s="1"/>
  <c r="F699" i="56" a="1"/>
  <c r="F699" i="56" s="1"/>
  <c r="F700" i="56" a="1"/>
  <c r="F700" i="56" s="1"/>
  <c r="F701" i="56" a="1"/>
  <c r="F701" i="56" s="1"/>
  <c r="F702" i="56" a="1"/>
  <c r="F702" i="56" s="1"/>
  <c r="F703" i="56" a="1"/>
  <c r="F703" i="56" s="1"/>
  <c r="F704" i="56" a="1"/>
  <c r="F704" i="56" s="1"/>
  <c r="F705" i="56" a="1"/>
  <c r="F705" i="56" s="1"/>
  <c r="F706" i="56" a="1"/>
  <c r="F706" i="56" s="1"/>
  <c r="F707" i="56" a="1"/>
  <c r="F707" i="56" s="1"/>
  <c r="F708" i="56" a="1"/>
  <c r="F708" i="56" s="1"/>
  <c r="F709" i="56" a="1"/>
  <c r="F709" i="56" s="1"/>
  <c r="F710" i="56" a="1"/>
  <c r="F710" i="56" s="1"/>
  <c r="F711" i="56" a="1"/>
  <c r="F711" i="56" s="1"/>
  <c r="F712" i="56" a="1"/>
  <c r="F712" i="56" s="1"/>
  <c r="F713" i="56" a="1"/>
  <c r="F713" i="56" s="1"/>
  <c r="F714" i="56" a="1"/>
  <c r="F714" i="56" s="1"/>
  <c r="F715" i="56" a="1"/>
  <c r="F715" i="56" s="1"/>
  <c r="F716" i="56" a="1"/>
  <c r="F716" i="56" s="1"/>
  <c r="F684" i="56" a="1"/>
  <c r="F684" i="56" s="1"/>
  <c r="H174" i="112"/>
  <c r="I726" i="56"/>
  <c r="I174" i="112" s="1"/>
  <c r="H175" i="112"/>
  <c r="I727" i="56"/>
  <c r="I175" i="112" s="1"/>
  <c r="H176" i="112"/>
  <c r="I728" i="56"/>
  <c r="I176" i="112" s="1"/>
  <c r="H177" i="112"/>
  <c r="I729" i="56"/>
  <c r="I177" i="112" s="1"/>
  <c r="H178" i="112"/>
  <c r="I730" i="56"/>
  <c r="I178" i="112" s="1"/>
  <c r="H179" i="112"/>
  <c r="I731" i="56"/>
  <c r="I179" i="112" s="1"/>
  <c r="H180" i="112"/>
  <c r="I732" i="56"/>
  <c r="I180" i="112" s="1"/>
  <c r="H181" i="112"/>
  <c r="I733" i="56"/>
  <c r="I181" i="112" s="1"/>
  <c r="H182" i="112"/>
  <c r="I734" i="56"/>
  <c r="I182" i="112" s="1"/>
  <c r="H183" i="112"/>
  <c r="I735" i="56"/>
  <c r="I183" i="112" s="1"/>
  <c r="H184" i="112"/>
  <c r="I736" i="56"/>
  <c r="I184" i="112" s="1"/>
  <c r="H185" i="112"/>
  <c r="I737" i="56"/>
  <c r="I185" i="112" s="1"/>
  <c r="H186" i="112"/>
  <c r="I738" i="56"/>
  <c r="I186" i="112" s="1"/>
  <c r="H187" i="112"/>
  <c r="I739" i="56"/>
  <c r="I187" i="112" s="1"/>
  <c r="H188" i="112"/>
  <c r="I740" i="56"/>
  <c r="I188" i="112" s="1"/>
  <c r="H189" i="112"/>
  <c r="I741" i="56"/>
  <c r="I189" i="112" s="1"/>
  <c r="H190" i="112"/>
  <c r="I742" i="56"/>
  <c r="I190" i="112" s="1"/>
  <c r="H191" i="112"/>
  <c r="I743" i="56"/>
  <c r="I191" i="112" s="1"/>
  <c r="H192" i="112"/>
  <c r="I744" i="56"/>
  <c r="I192" i="112" s="1"/>
  <c r="H193" i="112"/>
  <c r="I745" i="56"/>
  <c r="I193" i="112" s="1"/>
  <c r="H194" i="112"/>
  <c r="I746" i="56"/>
  <c r="I194" i="112" s="1"/>
  <c r="H195" i="112"/>
  <c r="I747" i="56"/>
  <c r="I195" i="112" s="1"/>
  <c r="H196" i="112"/>
  <c r="I748" i="56"/>
  <c r="I196" i="112" s="1"/>
  <c r="H197" i="112"/>
  <c r="I749" i="56"/>
  <c r="I197" i="112" s="1"/>
  <c r="H198" i="112"/>
  <c r="I750" i="56"/>
  <c r="I198" i="112" s="1"/>
  <c r="H199" i="112"/>
  <c r="I751" i="56"/>
  <c r="I199" i="112" s="1"/>
  <c r="H200" i="112"/>
  <c r="I752" i="56"/>
  <c r="I200" i="112" s="1"/>
  <c r="C660" i="56"/>
  <c r="K720" i="56" s="1"/>
  <c r="C659" i="56"/>
  <c r="K722" i="56" s="1"/>
  <c r="E595" i="56"/>
  <c r="E596" i="56"/>
  <c r="E597" i="56"/>
  <c r="E598" i="56"/>
  <c r="E599" i="56"/>
  <c r="E600" i="56"/>
  <c r="E601" i="56"/>
  <c r="E602" i="56"/>
  <c r="E594" i="56"/>
  <c r="G595" i="56"/>
  <c r="G596" i="56"/>
  <c r="G597" i="56"/>
  <c r="G598" i="56"/>
  <c r="G599" i="56"/>
  <c r="G600" i="56"/>
  <c r="G601" i="56"/>
  <c r="G602" i="56"/>
  <c r="G594" i="56"/>
  <c r="I725" i="56"/>
  <c r="I173" i="112" s="1"/>
  <c r="H173" i="112"/>
  <c r="I724" i="56"/>
  <c r="I172" i="112" s="1"/>
  <c r="H172" i="112"/>
  <c r="I723" i="56"/>
  <c r="I171" i="112" s="1"/>
  <c r="H171" i="112"/>
  <c r="I722" i="56"/>
  <c r="J722" i="56"/>
  <c r="I721" i="56"/>
  <c r="J721" i="56"/>
  <c r="I720" i="56"/>
  <c r="J720" i="56"/>
  <c r="D590" i="56" l="1"/>
  <c r="E590" i="56" s="1"/>
  <c r="D650" i="56"/>
  <c r="E650" i="56" s="1"/>
  <c r="N924" i="56"/>
  <c r="N201" i="112" s="1"/>
  <c r="N926" i="56"/>
  <c r="N203" i="112" s="1"/>
  <c r="N934" i="56"/>
  <c r="N211" i="112" s="1"/>
  <c r="N938" i="56"/>
  <c r="N215" i="112" s="1"/>
  <c r="N946" i="56"/>
  <c r="N223" i="112" s="1"/>
  <c r="N951" i="56"/>
  <c r="N228" i="112" s="1"/>
  <c r="N943" i="56"/>
  <c r="N220" i="112" s="1"/>
  <c r="N935" i="56"/>
  <c r="N212" i="112" s="1"/>
  <c r="N953" i="56"/>
  <c r="N230" i="112" s="1"/>
  <c r="N940" i="56"/>
  <c r="N217" i="112" s="1"/>
  <c r="N931" i="56"/>
  <c r="N208" i="112" s="1"/>
  <c r="N941" i="56"/>
  <c r="N218" i="112" s="1"/>
  <c r="N929" i="56"/>
  <c r="N206" i="112" s="1"/>
  <c r="N939" i="56"/>
  <c r="N216" i="112" s="1"/>
  <c r="N950" i="56"/>
  <c r="N227" i="112" s="1"/>
  <c r="N955" i="56"/>
  <c r="N232" i="112" s="1"/>
  <c r="N949" i="56"/>
  <c r="N226" i="112" s="1"/>
  <c r="N952" i="56"/>
  <c r="N229" i="112" s="1"/>
  <c r="N954" i="56"/>
  <c r="N231" i="112" s="1"/>
  <c r="N937" i="56"/>
  <c r="N214" i="112" s="1"/>
  <c r="N945" i="56"/>
  <c r="N222" i="112" s="1"/>
  <c r="N942" i="56"/>
  <c r="N219" i="112" s="1"/>
  <c r="N928" i="56"/>
  <c r="N205" i="112" s="1"/>
  <c r="N933" i="56"/>
  <c r="N210" i="112" s="1"/>
  <c r="N930" i="56"/>
  <c r="N207" i="112" s="1"/>
  <c r="N948" i="56"/>
  <c r="N225" i="112" s="1"/>
  <c r="N927" i="56"/>
  <c r="N204" i="112" s="1"/>
  <c r="N936" i="56"/>
  <c r="N213" i="112" s="1"/>
  <c r="N944" i="56"/>
  <c r="N221" i="112" s="1"/>
  <c r="N947" i="56"/>
  <c r="N224" i="112" s="1"/>
  <c r="G994" i="56"/>
  <c r="J27" i="56" s="1" a="1"/>
  <c r="J27" i="56" s="1"/>
  <c r="R145" i="69" s="1"/>
  <c r="G890" i="56"/>
  <c r="H24" i="56" s="1" a="1"/>
  <c r="H24" i="56" s="1"/>
  <c r="N142" i="69" s="1"/>
  <c r="N1026" i="56"/>
  <c r="N235" i="112" s="1"/>
  <c r="N1029" i="56"/>
  <c r="N238" i="112" s="1"/>
  <c r="N1027" i="56"/>
  <c r="N236" i="112" s="1"/>
  <c r="N1028" i="56"/>
  <c r="N237" i="112" s="1"/>
  <c r="N1025" i="56"/>
  <c r="N234" i="112" s="1"/>
  <c r="N1024" i="56"/>
  <c r="N233" i="112" s="1"/>
  <c r="W143" i="69"/>
  <c r="G995" i="56"/>
  <c r="J28" i="56" s="1" a="1"/>
  <c r="J28" i="56" s="1"/>
  <c r="R146" i="69" s="1"/>
  <c r="G891" i="56"/>
  <c r="H25" i="56" s="1" a="1"/>
  <c r="H25" i="56" s="1"/>
  <c r="N143" i="69" s="1"/>
  <c r="G997" i="56"/>
  <c r="J36" i="56" s="1" a="1"/>
  <c r="J36" i="56" s="1"/>
  <c r="R154" i="69" s="1"/>
  <c r="G996" i="56"/>
  <c r="J29" i="56" s="1" a="1"/>
  <c r="J29" i="56" s="1"/>
  <c r="R147" i="69" s="1"/>
  <c r="J750" i="56"/>
  <c r="J198" i="112" s="1"/>
  <c r="J744" i="56"/>
  <c r="J192" i="112" s="1"/>
  <c r="J738" i="56"/>
  <c r="J186" i="112" s="1"/>
  <c r="J732" i="56"/>
  <c r="J180" i="112" s="1"/>
  <c r="J726" i="56"/>
  <c r="J174" i="112" s="1"/>
  <c r="J749" i="56"/>
  <c r="J197" i="112" s="1"/>
  <c r="J743" i="56"/>
  <c r="J191" i="112" s="1"/>
  <c r="J737" i="56"/>
  <c r="J185" i="112" s="1"/>
  <c r="J731" i="56"/>
  <c r="J179" i="112" s="1"/>
  <c r="G1169" i="56"/>
  <c r="K32" i="56" s="1" a="1"/>
  <c r="K32" i="56" s="1"/>
  <c r="U150" i="69" s="1"/>
  <c r="J723" i="56"/>
  <c r="J171" i="112" s="1"/>
  <c r="J748" i="56"/>
  <c r="J196" i="112" s="1"/>
  <c r="J742" i="56"/>
  <c r="J190" i="112" s="1"/>
  <c r="J736" i="56"/>
  <c r="J184" i="112" s="1"/>
  <c r="J730" i="56"/>
  <c r="J178" i="112" s="1"/>
  <c r="G1162" i="56"/>
  <c r="K25" i="56" s="1" a="1"/>
  <c r="K25" i="56" s="1"/>
  <c r="U143" i="69" s="1"/>
  <c r="J724" i="56"/>
  <c r="J172" i="112" s="1"/>
  <c r="J725" i="56"/>
  <c r="J173" i="112" s="1"/>
  <c r="J747" i="56"/>
  <c r="J195" i="112" s="1"/>
  <c r="J735" i="56"/>
  <c r="J183" i="112" s="1"/>
  <c r="J729" i="56"/>
  <c r="J177" i="112" s="1"/>
  <c r="J924" i="56"/>
  <c r="J201" i="112" s="1"/>
  <c r="J741" i="56"/>
  <c r="J189" i="112" s="1"/>
  <c r="J752" i="56"/>
  <c r="J200" i="112" s="1"/>
  <c r="J746" i="56"/>
  <c r="J194" i="112" s="1"/>
  <c r="J740" i="56"/>
  <c r="J188" i="112" s="1"/>
  <c r="J734" i="56"/>
  <c r="J182" i="112" s="1"/>
  <c r="J728" i="56"/>
  <c r="J176" i="112" s="1"/>
  <c r="J751" i="56"/>
  <c r="J199" i="112" s="1"/>
  <c r="J745" i="56"/>
  <c r="J193" i="112" s="1"/>
  <c r="J739" i="56"/>
  <c r="J187" i="112" s="1"/>
  <c r="J733" i="56"/>
  <c r="J181" i="112" s="1"/>
  <c r="J727" i="56"/>
  <c r="J175" i="112" s="1"/>
  <c r="G999" i="56"/>
  <c r="J38" i="56" s="1" a="1"/>
  <c r="J38" i="56" s="1"/>
  <c r="R156" i="69" s="1"/>
  <c r="G998" i="56"/>
  <c r="J37" i="56" s="1" a="1"/>
  <c r="J37" i="56" s="1"/>
  <c r="R155" i="69" s="1"/>
  <c r="H602" i="56"/>
  <c r="H599" i="56"/>
  <c r="C630" i="56" s="1"/>
  <c r="K747" i="56" s="1"/>
  <c r="K195" i="112" s="1"/>
  <c r="C661" i="56"/>
  <c r="H597" i="56"/>
  <c r="C624" i="56" s="1"/>
  <c r="K741" i="56" s="1"/>
  <c r="K189" i="112" s="1"/>
  <c r="H596" i="56"/>
  <c r="H601" i="56"/>
  <c r="C612" i="56" s="1"/>
  <c r="H594" i="56"/>
  <c r="C615" i="56" s="1"/>
  <c r="K732" i="56" s="1"/>
  <c r="K180" i="112" s="1"/>
  <c r="H595" i="56"/>
  <c r="C633" i="56" s="1"/>
  <c r="K750" i="56" s="1"/>
  <c r="K198" i="112" s="1"/>
  <c r="H600" i="56"/>
  <c r="C621" i="56" s="1"/>
  <c r="K738" i="56" s="1"/>
  <c r="K186" i="112" s="1"/>
  <c r="H598" i="56"/>
  <c r="L722" i="56"/>
  <c r="G686" i="56" s="1"/>
  <c r="G26" i="56" s="1" a="1"/>
  <c r="G26" i="56" s="1"/>
  <c r="M144" i="69" s="1"/>
  <c r="L720" i="56"/>
  <c r="G684" i="56" s="1"/>
  <c r="G24" i="56" s="1" a="1"/>
  <c r="G24" i="56" s="1"/>
  <c r="M142" i="69" s="1"/>
  <c r="C606" i="56" l="1"/>
  <c r="K723" i="56" s="1"/>
  <c r="H684" i="56"/>
  <c r="N721" i="56" s="1"/>
  <c r="C613" i="56"/>
  <c r="K730" i="56" s="1"/>
  <c r="K178" i="112" s="1"/>
  <c r="K729" i="56"/>
  <c r="K177" i="112" s="1"/>
  <c r="K721" i="56"/>
  <c r="L721" i="56" s="1"/>
  <c r="G685" i="56" s="1"/>
  <c r="G25" i="56" s="1" a="1"/>
  <c r="G25" i="56" s="1"/>
  <c r="M143" i="69" s="1"/>
  <c r="L924" i="56"/>
  <c r="L201" i="112" s="1"/>
  <c r="L738" i="56"/>
  <c r="L186" i="112" s="1"/>
  <c r="L750" i="56"/>
  <c r="L198" i="112" s="1"/>
  <c r="L732" i="56"/>
  <c r="L180" i="112" s="1"/>
  <c r="L747" i="56"/>
  <c r="L195" i="112" s="1"/>
  <c r="C631" i="56"/>
  <c r="K748" i="56" s="1"/>
  <c r="K196" i="112" s="1"/>
  <c r="C627" i="56"/>
  <c r="K744" i="56" s="1"/>
  <c r="K192" i="112" s="1"/>
  <c r="C632" i="56"/>
  <c r="K749" i="56" s="1"/>
  <c r="K197" i="112" s="1"/>
  <c r="C614" i="56"/>
  <c r="K731" i="56" s="1"/>
  <c r="K179" i="112" s="1"/>
  <c r="C625" i="56"/>
  <c r="K742" i="56" s="1"/>
  <c r="K190" i="112" s="1"/>
  <c r="C608" i="56"/>
  <c r="K725" i="56" s="1"/>
  <c r="K173" i="112" s="1"/>
  <c r="C607" i="56"/>
  <c r="K724" i="56" s="1"/>
  <c r="K172" i="112" s="1"/>
  <c r="C626" i="56"/>
  <c r="K743" i="56" s="1"/>
  <c r="K191" i="112" s="1"/>
  <c r="C617" i="56"/>
  <c r="K734" i="56" s="1"/>
  <c r="K182" i="112" s="1"/>
  <c r="C616" i="56"/>
  <c r="K733" i="56" s="1"/>
  <c r="K181" i="112" s="1"/>
  <c r="C609" i="56"/>
  <c r="K726" i="56" s="1"/>
  <c r="K174" i="112" s="1"/>
  <c r="C618" i="56"/>
  <c r="K735" i="56" s="1"/>
  <c r="K183" i="112" s="1"/>
  <c r="C623" i="56"/>
  <c r="K740" i="56" s="1"/>
  <c r="K188" i="112" s="1"/>
  <c r="C622" i="56"/>
  <c r="K739" i="56" s="1"/>
  <c r="K187" i="112" s="1"/>
  <c r="C634" i="56"/>
  <c r="K751" i="56" s="1"/>
  <c r="K199" i="112" s="1"/>
  <c r="C635" i="56"/>
  <c r="K752" i="56" s="1"/>
  <c r="K200" i="112" s="1"/>
  <c r="K171" i="112" l="1"/>
  <c r="L723" i="56"/>
  <c r="L171" i="112" s="1"/>
  <c r="G889" i="56"/>
  <c r="H26" i="56" s="1" a="1"/>
  <c r="H26" i="56" s="1"/>
  <c r="N144" i="69" s="1"/>
  <c r="L730" i="56"/>
  <c r="N720" i="56"/>
  <c r="N722" i="56"/>
  <c r="L741" i="56"/>
  <c r="L189" i="112" s="1"/>
  <c r="L752" i="56"/>
  <c r="L200" i="112" s="1"/>
  <c r="G696" i="56"/>
  <c r="G36" i="56" s="1" a="1"/>
  <c r="G36" i="56" s="1"/>
  <c r="M154" i="69" s="1"/>
  <c r="L742" i="56"/>
  <c r="L190" i="112" s="1"/>
  <c r="L739" i="56"/>
  <c r="L187" i="112" s="1"/>
  <c r="L740" i="56"/>
  <c r="L188" i="112" s="1"/>
  <c r="L735" i="56"/>
  <c r="L183" i="112" s="1"/>
  <c r="L731" i="56"/>
  <c r="L179" i="112" s="1"/>
  <c r="L749" i="56"/>
  <c r="L197" i="112" s="1"/>
  <c r="L744" i="56"/>
  <c r="L192" i="112" s="1"/>
  <c r="G714" i="56"/>
  <c r="G54" i="56" s="1" a="1"/>
  <c r="G54" i="56" s="1"/>
  <c r="M172" i="69" s="1"/>
  <c r="G711" i="56"/>
  <c r="G51" i="56" s="1" a="1"/>
  <c r="G51" i="56" s="1"/>
  <c r="M169" i="69" s="1"/>
  <c r="L751" i="56"/>
  <c r="L199" i="112" s="1"/>
  <c r="L726" i="56"/>
  <c r="L174" i="112" s="1"/>
  <c r="L729" i="56"/>
  <c r="L177" i="112" s="1"/>
  <c r="L733" i="56"/>
  <c r="L181" i="112" s="1"/>
  <c r="G687" i="56"/>
  <c r="G27" i="56" s="1" a="1"/>
  <c r="G27" i="56" s="1"/>
  <c r="M145" i="69" s="1"/>
  <c r="L734" i="56"/>
  <c r="L182" i="112" s="1"/>
  <c r="L743" i="56"/>
  <c r="L191" i="112" s="1"/>
  <c r="L724" i="56"/>
  <c r="L172" i="112" s="1"/>
  <c r="L748" i="56"/>
  <c r="L196" i="112" s="1"/>
  <c r="L725" i="56"/>
  <c r="L173" i="112" s="1"/>
  <c r="G702" i="56"/>
  <c r="G42" i="56" s="1" a="1"/>
  <c r="G42" i="56" s="1"/>
  <c r="M160" i="69" s="1"/>
  <c r="C628" i="56"/>
  <c r="K745" i="56" s="1"/>
  <c r="K193" i="112" s="1"/>
  <c r="C629" i="56"/>
  <c r="K746" i="56" s="1"/>
  <c r="K194" i="112" s="1"/>
  <c r="C611" i="56"/>
  <c r="K728" i="56" s="1"/>
  <c r="K176" i="112" s="1"/>
  <c r="C610" i="56"/>
  <c r="K727" i="56" s="1"/>
  <c r="K175" i="112" s="1"/>
  <c r="C619" i="56"/>
  <c r="K736" i="56" s="1"/>
  <c r="K184" i="112" s="1"/>
  <c r="C620" i="56"/>
  <c r="K737" i="56" s="1"/>
  <c r="K185" i="112" s="1"/>
  <c r="G694" i="56" l="1"/>
  <c r="G34" i="56" s="1" a="1"/>
  <c r="G34" i="56" s="1"/>
  <c r="M152" i="69" s="1"/>
  <c r="L178" i="112"/>
  <c r="G704" i="56"/>
  <c r="G44" i="56" s="1" a="1"/>
  <c r="G44" i="56" s="1"/>
  <c r="M162" i="69" s="1"/>
  <c r="G690" i="56"/>
  <c r="G30" i="56" s="1" a="1"/>
  <c r="G30" i="56" s="1"/>
  <c r="M148" i="69" s="1"/>
  <c r="G697" i="56"/>
  <c r="G37" i="56" s="1" a="1"/>
  <c r="G37" i="56" s="1"/>
  <c r="M155" i="69" s="1"/>
  <c r="G688" i="56"/>
  <c r="G28" i="56" s="1" a="1"/>
  <c r="G28" i="56" s="1"/>
  <c r="M146" i="69" s="1"/>
  <c r="G695" i="56"/>
  <c r="G35" i="56" s="1" a="1"/>
  <c r="G35" i="56" s="1"/>
  <c r="M153" i="69" s="1"/>
  <c r="G708" i="56"/>
  <c r="G48" i="56" s="1" a="1"/>
  <c r="G48" i="56" s="1"/>
  <c r="M166" i="69" s="1"/>
  <c r="G712" i="56"/>
  <c r="G52" i="56" s="1" a="1"/>
  <c r="G52" i="56" s="1"/>
  <c r="M170" i="69" s="1"/>
  <c r="G693" i="56"/>
  <c r="G33" i="56" s="1" a="1"/>
  <c r="G33" i="56" s="1"/>
  <c r="M151" i="69" s="1"/>
  <c r="G713" i="56"/>
  <c r="G53" i="56" s="1" a="1"/>
  <c r="G53" i="56" s="1"/>
  <c r="M171" i="69" s="1"/>
  <c r="G706" i="56"/>
  <c r="G46" i="56" s="1" a="1"/>
  <c r="G46" i="56" s="1"/>
  <c r="M164" i="69" s="1"/>
  <c r="L746" i="56"/>
  <c r="L194" i="112" s="1"/>
  <c r="G689" i="56"/>
  <c r="G29" i="56" s="1" a="1"/>
  <c r="G29" i="56" s="1"/>
  <c r="M147" i="69" s="1"/>
  <c r="G703" i="56"/>
  <c r="G43" i="56" s="1" a="1"/>
  <c r="G43" i="56" s="1"/>
  <c r="M161" i="69" s="1"/>
  <c r="L737" i="56"/>
  <c r="L185" i="112" s="1"/>
  <c r="L736" i="56"/>
  <c r="L184" i="112" s="1"/>
  <c r="L727" i="56"/>
  <c r="L175" i="112" s="1"/>
  <c r="L728" i="56"/>
  <c r="L176" i="112" s="1"/>
  <c r="G707" i="56"/>
  <c r="G47" i="56" s="1" a="1"/>
  <c r="G47" i="56" s="1"/>
  <c r="M165" i="69" s="1"/>
  <c r="G715" i="56"/>
  <c r="G55" i="56" s="1" a="1"/>
  <c r="G55" i="56" s="1"/>
  <c r="M173" i="69" s="1"/>
  <c r="G716" i="56"/>
  <c r="G56" i="56" s="1" a="1"/>
  <c r="G56" i="56" s="1"/>
  <c r="M174" i="69" s="1"/>
  <c r="L745" i="56"/>
  <c r="L193" i="112" s="1"/>
  <c r="G698" i="56"/>
  <c r="G38" i="56" s="1" a="1"/>
  <c r="G38" i="56" s="1"/>
  <c r="M156" i="69" s="1"/>
  <c r="G699" i="56"/>
  <c r="G39" i="56" s="1" a="1"/>
  <c r="G39" i="56" s="1"/>
  <c r="M157" i="69" s="1"/>
  <c r="G705" i="56"/>
  <c r="G45" i="56" s="1" a="1"/>
  <c r="G45" i="56" s="1"/>
  <c r="M163" i="69" s="1"/>
  <c r="F53" i="56" a="1"/>
  <c r="F53" i="56" s="1"/>
  <c r="L171" i="69" s="1"/>
  <c r="F52" i="56" a="1"/>
  <c r="F52" i="56" s="1"/>
  <c r="L170" i="69" s="1"/>
  <c r="F51" i="56" a="1"/>
  <c r="F51" i="56" s="1"/>
  <c r="L169" i="69" s="1"/>
  <c r="F50" i="56" a="1"/>
  <c r="F50" i="56" s="1"/>
  <c r="L168" i="69" s="1"/>
  <c r="F49" i="56" a="1"/>
  <c r="F49" i="56" s="1"/>
  <c r="L167" i="69" s="1"/>
  <c r="F48" i="56" a="1"/>
  <c r="F48" i="56" s="1"/>
  <c r="L166" i="69" s="1"/>
  <c r="R568" i="56"/>
  <c r="S568" i="56"/>
  <c r="T568" i="56"/>
  <c r="U568" i="56"/>
  <c r="V568" i="56"/>
  <c r="W568" i="56"/>
  <c r="R569" i="56"/>
  <c r="S569" i="56"/>
  <c r="T569" i="56"/>
  <c r="U569" i="56"/>
  <c r="V569" i="56"/>
  <c r="W569" i="56"/>
  <c r="R570" i="56"/>
  <c r="S570" i="56"/>
  <c r="T570" i="56"/>
  <c r="U570" i="56"/>
  <c r="V570" i="56"/>
  <c r="W570" i="56"/>
  <c r="Q569" i="56"/>
  <c r="Q570" i="56"/>
  <c r="Q568" i="56"/>
  <c r="R562" i="56"/>
  <c r="S562" i="56"/>
  <c r="T562" i="56"/>
  <c r="U562" i="56"/>
  <c r="V562" i="56"/>
  <c r="W562" i="56"/>
  <c r="R563" i="56"/>
  <c r="S563" i="56"/>
  <c r="T563" i="56"/>
  <c r="U563" i="56"/>
  <c r="V563" i="56"/>
  <c r="W563" i="56"/>
  <c r="R564" i="56"/>
  <c r="S564" i="56"/>
  <c r="T564" i="56"/>
  <c r="U564" i="56"/>
  <c r="V564" i="56"/>
  <c r="W564" i="56"/>
  <c r="R565" i="56"/>
  <c r="S565" i="56"/>
  <c r="T565" i="56"/>
  <c r="U565" i="56"/>
  <c r="V565" i="56"/>
  <c r="W565" i="56"/>
  <c r="R566" i="56"/>
  <c r="S566" i="56"/>
  <c r="T566" i="56"/>
  <c r="U566" i="56"/>
  <c r="V566" i="56"/>
  <c r="W566" i="56"/>
  <c r="R567" i="56"/>
  <c r="S567" i="56"/>
  <c r="T567" i="56"/>
  <c r="U567" i="56"/>
  <c r="V567" i="56"/>
  <c r="W567" i="56"/>
  <c r="Q563" i="56"/>
  <c r="Q564" i="56"/>
  <c r="Q565" i="56"/>
  <c r="Q566" i="56"/>
  <c r="Q567" i="56"/>
  <c r="Q562" i="56"/>
  <c r="R559" i="56"/>
  <c r="S559" i="56"/>
  <c r="T559" i="56"/>
  <c r="U559" i="56"/>
  <c r="V559" i="56"/>
  <c r="W559" i="56"/>
  <c r="R560" i="56"/>
  <c r="S560" i="56"/>
  <c r="T560" i="56"/>
  <c r="U560" i="56"/>
  <c r="V560" i="56"/>
  <c r="W560" i="56"/>
  <c r="R561" i="56"/>
  <c r="S561" i="56"/>
  <c r="T561" i="56"/>
  <c r="U561" i="56"/>
  <c r="V561" i="56"/>
  <c r="W561" i="56"/>
  <c r="Q560" i="56"/>
  <c r="Q561" i="56"/>
  <c r="Q559" i="56"/>
  <c r="F569" i="56"/>
  <c r="F570" i="56"/>
  <c r="F568" i="56"/>
  <c r="F567" i="56"/>
  <c r="F566" i="56"/>
  <c r="F565" i="56"/>
  <c r="F563" i="56"/>
  <c r="F564" i="56"/>
  <c r="F562" i="56"/>
  <c r="J570" i="56"/>
  <c r="J569" i="56"/>
  <c r="J568" i="56"/>
  <c r="J567" i="56"/>
  <c r="J566" i="56"/>
  <c r="J565" i="56"/>
  <c r="J564" i="56"/>
  <c r="J563" i="56"/>
  <c r="J562" i="56"/>
  <c r="J561" i="56"/>
  <c r="J560" i="56"/>
  <c r="F560" i="56"/>
  <c r="F561" i="56"/>
  <c r="I560" i="56"/>
  <c r="I561" i="56"/>
  <c r="I562" i="56"/>
  <c r="I563" i="56"/>
  <c r="I564" i="56"/>
  <c r="I565" i="56"/>
  <c r="I566" i="56"/>
  <c r="I567" i="56"/>
  <c r="I568" i="56"/>
  <c r="I569" i="56"/>
  <c r="I570" i="56"/>
  <c r="F539" i="56" a="1"/>
  <c r="F539" i="56" s="1"/>
  <c r="F540" i="56" a="1"/>
  <c r="F540" i="56" s="1"/>
  <c r="F541" i="56" a="1"/>
  <c r="F541" i="56" s="1"/>
  <c r="F542" i="56" a="1"/>
  <c r="F542" i="56" s="1"/>
  <c r="F543" i="56" a="1"/>
  <c r="F543" i="56" s="1"/>
  <c r="F544" i="56" a="1"/>
  <c r="F544" i="56" s="1"/>
  <c r="F545" i="56" a="1"/>
  <c r="F545" i="56" s="1"/>
  <c r="F546" i="56" a="1"/>
  <c r="F546" i="56" s="1"/>
  <c r="F553" i="56" a="1"/>
  <c r="F553" i="56" s="1"/>
  <c r="F554" i="56" a="1"/>
  <c r="F554" i="56" s="1"/>
  <c r="F555" i="56" a="1"/>
  <c r="F555" i="56" s="1"/>
  <c r="F538" i="56" a="1"/>
  <c r="F538" i="56" s="1"/>
  <c r="D146" i="99"/>
  <c r="D152" i="99"/>
  <c r="W79" i="100"/>
  <c r="W403" i="112" s="1"/>
  <c r="R79" i="100"/>
  <c r="R403" i="112" s="1"/>
  <c r="S79" i="100"/>
  <c r="S403" i="112" s="1"/>
  <c r="T79" i="100"/>
  <c r="T403" i="112" s="1"/>
  <c r="U79" i="100"/>
  <c r="U403" i="112" s="1"/>
  <c r="V79" i="100"/>
  <c r="V403" i="112" s="1"/>
  <c r="Q79" i="100"/>
  <c r="Q403" i="112" s="1"/>
  <c r="F79" i="100"/>
  <c r="F403" i="112" s="1"/>
  <c r="D140" i="99"/>
  <c r="G692" i="56" l="1"/>
  <c r="G32" i="56" s="1" a="1"/>
  <c r="G32" i="56" s="1"/>
  <c r="M150" i="69" s="1"/>
  <c r="G710" i="56"/>
  <c r="G50" i="56" s="1" a="1"/>
  <c r="G50" i="56" s="1"/>
  <c r="M168" i="69" s="1"/>
  <c r="G691" i="56"/>
  <c r="G709" i="56"/>
  <c r="G49" i="56" s="1" a="1"/>
  <c r="G49" i="56" s="1"/>
  <c r="M167" i="69" s="1"/>
  <c r="G700" i="56"/>
  <c r="G40" i="56" s="1" a="1"/>
  <c r="G40" i="56" s="1"/>
  <c r="M158" i="69" s="1"/>
  <c r="G701" i="56"/>
  <c r="G41" i="56" s="1" a="1"/>
  <c r="G41" i="56" s="1"/>
  <c r="M159" i="69" s="1"/>
  <c r="G31" i="56" l="1" a="1"/>
  <c r="G31" i="56" s="1"/>
  <c r="M149" i="69" s="1"/>
  <c r="J166" i="99"/>
  <c r="J165" i="99"/>
  <c r="J164" i="99"/>
  <c r="J163" i="99"/>
  <c r="J162" i="99"/>
  <c r="C532" i="56"/>
  <c r="C529" i="56"/>
  <c r="C488" i="56"/>
  <c r="I559" i="56"/>
  <c r="J559" i="56"/>
  <c r="F559" i="56"/>
  <c r="C444" i="56"/>
  <c r="K559" i="56" s="1"/>
  <c r="C443" i="56"/>
  <c r="K561" i="56" s="1"/>
  <c r="L561" i="56" s="1"/>
  <c r="G540" i="56" s="1"/>
  <c r="F26" i="56" s="1" a="1"/>
  <c r="F26" i="56" s="1"/>
  <c r="L144" i="69" s="1"/>
  <c r="D434" i="56" l="1"/>
  <c r="E434" i="56" s="1"/>
  <c r="D479" i="56"/>
  <c r="E479" i="56" s="1"/>
  <c r="D521" i="56"/>
  <c r="E521" i="56" s="1"/>
  <c r="C530" i="56"/>
  <c r="K563" i="56" s="1"/>
  <c r="L563" i="56" s="1"/>
  <c r="G542" i="56" s="1"/>
  <c r="F28" i="56" s="1" a="1"/>
  <c r="F28" i="56" s="1"/>
  <c r="L146" i="69" s="1"/>
  <c r="K562" i="56"/>
  <c r="L562" i="56" s="1"/>
  <c r="G541" i="56" s="1"/>
  <c r="F27" i="56" s="1" a="1"/>
  <c r="F27" i="56" s="1"/>
  <c r="L145" i="69" s="1"/>
  <c r="C490" i="56"/>
  <c r="K570" i="56" s="1"/>
  <c r="L570" i="56" s="1"/>
  <c r="G555" i="56" s="1"/>
  <c r="F56" i="56" s="1" a="1"/>
  <c r="F56" i="56" s="1"/>
  <c r="L174" i="69" s="1"/>
  <c r="K568" i="56"/>
  <c r="L568" i="56" s="1"/>
  <c r="G553" i="56" s="1"/>
  <c r="F54" i="56" s="1" a="1"/>
  <c r="F54" i="56" s="1"/>
  <c r="L172" i="69" s="1"/>
  <c r="C533" i="56"/>
  <c r="K566" i="56" s="1"/>
  <c r="L566" i="56" s="1"/>
  <c r="K565" i="56"/>
  <c r="L565" i="56" s="1"/>
  <c r="G544" i="56" s="1"/>
  <c r="F36" i="56" s="1" a="1"/>
  <c r="F36" i="56" s="1"/>
  <c r="L154" i="69" s="1"/>
  <c r="C531" i="56"/>
  <c r="K564" i="56" s="1"/>
  <c r="L564" i="56" s="1"/>
  <c r="G543" i="56" s="1"/>
  <c r="F29" i="56" s="1" a="1"/>
  <c r="F29" i="56" s="1"/>
  <c r="L147" i="69" s="1"/>
  <c r="C534" i="56"/>
  <c r="K567" i="56" s="1"/>
  <c r="L567" i="56" s="1"/>
  <c r="G546" i="56" s="1"/>
  <c r="F38" i="56" s="1" a="1"/>
  <c r="F38" i="56" s="1"/>
  <c r="L156" i="69" s="1"/>
  <c r="C489" i="56"/>
  <c r="K569" i="56" s="1"/>
  <c r="L569" i="56" s="1"/>
  <c r="G554" i="56" s="1"/>
  <c r="F55" i="56" s="1" a="1"/>
  <c r="F55" i="56" s="1"/>
  <c r="L173" i="69" s="1"/>
  <c r="C445" i="56"/>
  <c r="L559" i="56"/>
  <c r="G538" i="56" s="1"/>
  <c r="F24" i="56" s="1" a="1"/>
  <c r="F24" i="56" s="1"/>
  <c r="L142" i="69" s="1"/>
  <c r="H541" i="56" l="1"/>
  <c r="N567" i="56" s="1"/>
  <c r="H553" i="56"/>
  <c r="N568" i="56" s="1"/>
  <c r="H538" i="56"/>
  <c r="N560" i="56" s="1"/>
  <c r="G545" i="56"/>
  <c r="F37" i="56" s="1" a="1"/>
  <c r="F37" i="56" s="1"/>
  <c r="L155" i="69" s="1"/>
  <c r="K560" i="56"/>
  <c r="L560" i="56" s="1"/>
  <c r="G539" i="56" s="1"/>
  <c r="F25" i="56" s="1" a="1"/>
  <c r="F25" i="56" s="1"/>
  <c r="L143" i="69" s="1"/>
  <c r="N559" i="56" l="1"/>
  <c r="N565" i="56"/>
  <c r="N564" i="56"/>
  <c r="N563" i="56"/>
  <c r="N566" i="56"/>
  <c r="N562" i="56"/>
  <c r="N561" i="56"/>
  <c r="N570" i="56"/>
  <c r="N569" i="56"/>
  <c r="C306" i="56" l="1"/>
  <c r="C312" i="56"/>
  <c r="D312" i="56"/>
  <c r="E312" i="56"/>
  <c r="F312" i="56"/>
  <c r="C313" i="56"/>
  <c r="D313" i="56"/>
  <c r="E313" i="56"/>
  <c r="F313" i="56"/>
  <c r="C314" i="56"/>
  <c r="D314" i="56"/>
  <c r="E314" i="56"/>
  <c r="F314" i="56"/>
  <c r="C315" i="56"/>
  <c r="D315" i="56"/>
  <c r="E315" i="56"/>
  <c r="F315" i="56"/>
  <c r="C316" i="56"/>
  <c r="D316" i="56"/>
  <c r="E316" i="56"/>
  <c r="F316" i="56"/>
  <c r="C317" i="56"/>
  <c r="D317" i="56"/>
  <c r="E317" i="56"/>
  <c r="F317" i="56"/>
  <c r="C318" i="56"/>
  <c r="D318" i="56"/>
  <c r="E318" i="56"/>
  <c r="F318" i="56"/>
  <c r="C319" i="56"/>
  <c r="D319" i="56"/>
  <c r="E319" i="56"/>
  <c r="F319" i="56"/>
  <c r="C320" i="56"/>
  <c r="D320" i="56"/>
  <c r="E320" i="56"/>
  <c r="F320" i="56"/>
  <c r="D311" i="56"/>
  <c r="E311" i="56"/>
  <c r="F311" i="56"/>
  <c r="H292" i="56"/>
  <c r="H293" i="56"/>
  <c r="H294" i="56"/>
  <c r="H295" i="56"/>
  <c r="H296" i="56"/>
  <c r="H297" i="56"/>
  <c r="H298" i="56"/>
  <c r="H299" i="56"/>
  <c r="H300" i="56"/>
  <c r="C208" i="56"/>
  <c r="K412" i="56" s="1"/>
  <c r="K168" i="112" s="1"/>
  <c r="C205" i="56"/>
  <c r="C202" i="56"/>
  <c r="I399" i="56"/>
  <c r="I155" i="112" s="1"/>
  <c r="H155" i="112"/>
  <c r="I398" i="56"/>
  <c r="I154" i="112" s="1"/>
  <c r="H154" i="112"/>
  <c r="I397" i="56"/>
  <c r="I153" i="112" s="1"/>
  <c r="H153" i="112"/>
  <c r="I396" i="56"/>
  <c r="I152" i="112" s="1"/>
  <c r="H152" i="112"/>
  <c r="I395" i="56"/>
  <c r="I151" i="112" s="1"/>
  <c r="H151" i="112"/>
  <c r="I394" i="56"/>
  <c r="I150" i="112" s="1"/>
  <c r="H150" i="112"/>
  <c r="F158" i="56" a="1"/>
  <c r="F158" i="56" s="1"/>
  <c r="F159" i="56" a="1"/>
  <c r="F159" i="56" s="1"/>
  <c r="F160" i="56" a="1"/>
  <c r="F160" i="56" s="1"/>
  <c r="F161" i="56" a="1"/>
  <c r="F161" i="56" s="1"/>
  <c r="F162" i="56" a="1"/>
  <c r="F162" i="56" s="1"/>
  <c r="F157" i="56" a="1"/>
  <c r="F157" i="56" s="1"/>
  <c r="R166" i="56"/>
  <c r="R144" i="112" s="1"/>
  <c r="S166" i="56"/>
  <c r="S144" i="112" s="1"/>
  <c r="T166" i="56"/>
  <c r="T144" i="112" s="1"/>
  <c r="U166" i="56"/>
  <c r="U144" i="112" s="1"/>
  <c r="V166" i="56"/>
  <c r="V144" i="112" s="1"/>
  <c r="W166" i="56"/>
  <c r="W144" i="112" s="1"/>
  <c r="R167" i="56"/>
  <c r="R145" i="112" s="1"/>
  <c r="S167" i="56"/>
  <c r="S145" i="112" s="1"/>
  <c r="T167" i="56"/>
  <c r="T145" i="112" s="1"/>
  <c r="U167" i="56"/>
  <c r="U145" i="112" s="1"/>
  <c r="V167" i="56"/>
  <c r="V145" i="112" s="1"/>
  <c r="W167" i="56"/>
  <c r="W145" i="112" s="1"/>
  <c r="R168" i="56"/>
  <c r="R146" i="112" s="1"/>
  <c r="S168" i="56"/>
  <c r="S146" i="112" s="1"/>
  <c r="T168" i="56"/>
  <c r="T146" i="112" s="1"/>
  <c r="U168" i="56"/>
  <c r="U146" i="112" s="1"/>
  <c r="V168" i="56"/>
  <c r="V146" i="112" s="1"/>
  <c r="W168" i="56"/>
  <c r="W146" i="112" s="1"/>
  <c r="Q167" i="56"/>
  <c r="Q145" i="112" s="1"/>
  <c r="Q168" i="56"/>
  <c r="Q146" i="112" s="1"/>
  <c r="R169" i="56"/>
  <c r="R147" i="112" s="1"/>
  <c r="S169" i="56"/>
  <c r="S147" i="112" s="1"/>
  <c r="T169" i="56"/>
  <c r="T147" i="112" s="1"/>
  <c r="U169" i="56"/>
  <c r="U147" i="112" s="1"/>
  <c r="V169" i="56"/>
  <c r="V147" i="112" s="1"/>
  <c r="W169" i="56"/>
  <c r="W147" i="112" s="1"/>
  <c r="R170" i="56"/>
  <c r="R148" i="112" s="1"/>
  <c r="S170" i="56"/>
  <c r="S148" i="112" s="1"/>
  <c r="T170" i="56"/>
  <c r="T148" i="112" s="1"/>
  <c r="U170" i="56"/>
  <c r="U148" i="112" s="1"/>
  <c r="V170" i="56"/>
  <c r="V148" i="112" s="1"/>
  <c r="W170" i="56"/>
  <c r="W148" i="112" s="1"/>
  <c r="R171" i="56"/>
  <c r="R149" i="112" s="1"/>
  <c r="S171" i="56"/>
  <c r="S149" i="112" s="1"/>
  <c r="T171" i="56"/>
  <c r="T149" i="112" s="1"/>
  <c r="U171" i="56"/>
  <c r="U149" i="112" s="1"/>
  <c r="V171" i="56"/>
  <c r="V149" i="112" s="1"/>
  <c r="W171" i="56"/>
  <c r="W149" i="112" s="1"/>
  <c r="Q169" i="56"/>
  <c r="Q147" i="112" s="1"/>
  <c r="Q170" i="56"/>
  <c r="Q148" i="112" s="1"/>
  <c r="Q171" i="56"/>
  <c r="Q149" i="112" s="1"/>
  <c r="Q166" i="56"/>
  <c r="Q144" i="112" s="1"/>
  <c r="F170" i="56"/>
  <c r="F148" i="112" s="1"/>
  <c r="F171" i="56"/>
  <c r="F149" i="112" s="1"/>
  <c r="F169" i="56"/>
  <c r="F147" i="112" s="1"/>
  <c r="F166" i="56"/>
  <c r="F144" i="112" s="1"/>
  <c r="C92" i="56"/>
  <c r="K166" i="56" s="1"/>
  <c r="K144" i="112" s="1"/>
  <c r="C91" i="56"/>
  <c r="K168" i="56" s="1"/>
  <c r="K146" i="112" s="1"/>
  <c r="F769" i="107" a="1"/>
  <c r="F769" i="107" s="1"/>
  <c r="F768" i="107" a="1"/>
  <c r="F768" i="107" s="1"/>
  <c r="F767" i="107" a="1"/>
  <c r="F767" i="107" s="1"/>
  <c r="F766" i="107" a="1"/>
  <c r="F766" i="107" s="1"/>
  <c r="F765" i="107" a="1"/>
  <c r="F765" i="107" s="1"/>
  <c r="F764" i="107" a="1"/>
  <c r="F764" i="107" s="1"/>
  <c r="F763" i="107" a="1"/>
  <c r="F763" i="107" s="1"/>
  <c r="F762" i="107" a="1"/>
  <c r="F762" i="107" s="1"/>
  <c r="F761" i="107" a="1"/>
  <c r="F761" i="107" s="1"/>
  <c r="F760" i="107" a="1"/>
  <c r="F760" i="107" s="1"/>
  <c r="F759" i="107" a="1"/>
  <c r="F759" i="107" s="1"/>
  <c r="F758" i="107" a="1"/>
  <c r="F758" i="107" s="1"/>
  <c r="F757" i="107" a="1"/>
  <c r="F757" i="107" s="1"/>
  <c r="F756" i="107" a="1"/>
  <c r="F756" i="107" s="1"/>
  <c r="F755" i="107" a="1"/>
  <c r="F755" i="107" s="1"/>
  <c r="F754" i="107" a="1"/>
  <c r="F754" i="107" s="1"/>
  <c r="F753" i="107" a="1"/>
  <c r="F753" i="107" s="1"/>
  <c r="F752" i="107" a="1"/>
  <c r="F752" i="107" s="1"/>
  <c r="Q789" i="107"/>
  <c r="Q121" i="112" s="1"/>
  <c r="R789" i="107"/>
  <c r="R121" i="112" s="1"/>
  <c r="S789" i="107"/>
  <c r="S121" i="112" s="1"/>
  <c r="T789" i="107"/>
  <c r="T121" i="112" s="1"/>
  <c r="U789" i="107"/>
  <c r="U121" i="112" s="1"/>
  <c r="V789" i="107"/>
  <c r="V121" i="112" s="1"/>
  <c r="W789" i="107"/>
  <c r="W121" i="112" s="1"/>
  <c r="Q790" i="107"/>
  <c r="Q122" i="112" s="1"/>
  <c r="R790" i="107"/>
  <c r="R122" i="112" s="1"/>
  <c r="S790" i="107"/>
  <c r="S122" i="112" s="1"/>
  <c r="T790" i="107"/>
  <c r="T122" i="112" s="1"/>
  <c r="U790" i="107"/>
  <c r="U122" i="112" s="1"/>
  <c r="V790" i="107"/>
  <c r="V122" i="112" s="1"/>
  <c r="W790" i="107"/>
  <c r="W122" i="112" s="1"/>
  <c r="Q783" i="107"/>
  <c r="Q115" i="112" s="1"/>
  <c r="R783" i="107"/>
  <c r="R115" i="112" s="1"/>
  <c r="S783" i="107"/>
  <c r="S115" i="112" s="1"/>
  <c r="T783" i="107"/>
  <c r="T115" i="112" s="1"/>
  <c r="U783" i="107"/>
  <c r="U115" i="112" s="1"/>
  <c r="V783" i="107"/>
  <c r="V115" i="112" s="1"/>
  <c r="W783" i="107"/>
  <c r="W115" i="112" s="1"/>
  <c r="Q784" i="107"/>
  <c r="Q116" i="112" s="1"/>
  <c r="R784" i="107"/>
  <c r="R116" i="112" s="1"/>
  <c r="S784" i="107"/>
  <c r="S116" i="112" s="1"/>
  <c r="T784" i="107"/>
  <c r="T116" i="112" s="1"/>
  <c r="U784" i="107"/>
  <c r="U116" i="112" s="1"/>
  <c r="V784" i="107"/>
  <c r="V116" i="112" s="1"/>
  <c r="W784" i="107"/>
  <c r="W116" i="112" s="1"/>
  <c r="Q785" i="107"/>
  <c r="Q117" i="112" s="1"/>
  <c r="R785" i="107"/>
  <c r="R117" i="112" s="1"/>
  <c r="S785" i="107"/>
  <c r="S117" i="112" s="1"/>
  <c r="T785" i="107"/>
  <c r="T117" i="112" s="1"/>
  <c r="U785" i="107"/>
  <c r="U117" i="112" s="1"/>
  <c r="V785" i="107"/>
  <c r="V117" i="112" s="1"/>
  <c r="W785" i="107"/>
  <c r="W117" i="112" s="1"/>
  <c r="Q786" i="107"/>
  <c r="Q118" i="112" s="1"/>
  <c r="R786" i="107"/>
  <c r="R118" i="112" s="1"/>
  <c r="S786" i="107"/>
  <c r="S118" i="112" s="1"/>
  <c r="T786" i="107"/>
  <c r="T118" i="112" s="1"/>
  <c r="U786" i="107"/>
  <c r="U118" i="112" s="1"/>
  <c r="V786" i="107"/>
  <c r="V118" i="112" s="1"/>
  <c r="W786" i="107"/>
  <c r="W118" i="112" s="1"/>
  <c r="Q787" i="107"/>
  <c r="Q119" i="112" s="1"/>
  <c r="R787" i="107"/>
  <c r="R119" i="112" s="1"/>
  <c r="S787" i="107"/>
  <c r="S119" i="112" s="1"/>
  <c r="T787" i="107"/>
  <c r="T119" i="112" s="1"/>
  <c r="U787" i="107"/>
  <c r="U119" i="112" s="1"/>
  <c r="V787" i="107"/>
  <c r="V119" i="112" s="1"/>
  <c r="W787" i="107"/>
  <c r="W119" i="112" s="1"/>
  <c r="Q788" i="107"/>
  <c r="Q120" i="112" s="1"/>
  <c r="R788" i="107"/>
  <c r="R120" i="112" s="1"/>
  <c r="S788" i="107"/>
  <c r="S120" i="112" s="1"/>
  <c r="T788" i="107"/>
  <c r="T120" i="112" s="1"/>
  <c r="U788" i="107"/>
  <c r="U120" i="112" s="1"/>
  <c r="V788" i="107"/>
  <c r="V120" i="112" s="1"/>
  <c r="W788" i="107"/>
  <c r="W120" i="112" s="1"/>
  <c r="W782" i="107"/>
  <c r="W114" i="112" s="1"/>
  <c r="V782" i="107"/>
  <c r="V114" i="112" s="1"/>
  <c r="U782" i="107"/>
  <c r="U114" i="112" s="1"/>
  <c r="T782" i="107"/>
  <c r="T114" i="112" s="1"/>
  <c r="S782" i="107"/>
  <c r="S114" i="112" s="1"/>
  <c r="R782" i="107"/>
  <c r="R114" i="112" s="1"/>
  <c r="Q782" i="107"/>
  <c r="Q114" i="112" s="1"/>
  <c r="Q774" i="107"/>
  <c r="Q106" i="112" s="1"/>
  <c r="R774" i="107"/>
  <c r="R106" i="112" s="1"/>
  <c r="S774" i="107"/>
  <c r="S106" i="112" s="1"/>
  <c r="T774" i="107"/>
  <c r="T106" i="112" s="1"/>
  <c r="U774" i="107"/>
  <c r="U106" i="112" s="1"/>
  <c r="V774" i="107"/>
  <c r="V106" i="112" s="1"/>
  <c r="W774" i="107"/>
  <c r="W106" i="112" s="1"/>
  <c r="Q775" i="107"/>
  <c r="Q107" i="112" s="1"/>
  <c r="R775" i="107"/>
  <c r="R107" i="112" s="1"/>
  <c r="S775" i="107"/>
  <c r="S107" i="112" s="1"/>
  <c r="T775" i="107"/>
  <c r="T107" i="112" s="1"/>
  <c r="U775" i="107"/>
  <c r="U107" i="112" s="1"/>
  <c r="V775" i="107"/>
  <c r="V107" i="112" s="1"/>
  <c r="W775" i="107"/>
  <c r="W107" i="112" s="1"/>
  <c r="Q776" i="107"/>
  <c r="Q108" i="112" s="1"/>
  <c r="R776" i="107"/>
  <c r="R108" i="112" s="1"/>
  <c r="S776" i="107"/>
  <c r="S108" i="112" s="1"/>
  <c r="T776" i="107"/>
  <c r="T108" i="112" s="1"/>
  <c r="U776" i="107"/>
  <c r="U108" i="112" s="1"/>
  <c r="V776" i="107"/>
  <c r="V108" i="112" s="1"/>
  <c r="W776" i="107"/>
  <c r="W108" i="112" s="1"/>
  <c r="Q777" i="107"/>
  <c r="Q109" i="112" s="1"/>
  <c r="R777" i="107"/>
  <c r="R109" i="112" s="1"/>
  <c r="S777" i="107"/>
  <c r="S109" i="112" s="1"/>
  <c r="T777" i="107"/>
  <c r="T109" i="112" s="1"/>
  <c r="U777" i="107"/>
  <c r="U109" i="112" s="1"/>
  <c r="V777" i="107"/>
  <c r="V109" i="112" s="1"/>
  <c r="W777" i="107"/>
  <c r="W109" i="112" s="1"/>
  <c r="Q778" i="107"/>
  <c r="Q110" i="112" s="1"/>
  <c r="R778" i="107"/>
  <c r="R110" i="112" s="1"/>
  <c r="S778" i="107"/>
  <c r="S110" i="112" s="1"/>
  <c r="T778" i="107"/>
  <c r="T110" i="112" s="1"/>
  <c r="U778" i="107"/>
  <c r="U110" i="112" s="1"/>
  <c r="V778" i="107"/>
  <c r="V110" i="112" s="1"/>
  <c r="W778" i="107"/>
  <c r="W110" i="112" s="1"/>
  <c r="Q779" i="107"/>
  <c r="Q111" i="112" s="1"/>
  <c r="R779" i="107"/>
  <c r="R111" i="112" s="1"/>
  <c r="S779" i="107"/>
  <c r="S111" i="112" s="1"/>
  <c r="T779" i="107"/>
  <c r="T111" i="112" s="1"/>
  <c r="U779" i="107"/>
  <c r="U111" i="112" s="1"/>
  <c r="V779" i="107"/>
  <c r="V111" i="112" s="1"/>
  <c r="W779" i="107"/>
  <c r="W111" i="112" s="1"/>
  <c r="Q780" i="107"/>
  <c r="Q112" i="112" s="1"/>
  <c r="R780" i="107"/>
  <c r="R112" i="112" s="1"/>
  <c r="S780" i="107"/>
  <c r="S112" i="112" s="1"/>
  <c r="T780" i="107"/>
  <c r="T112" i="112" s="1"/>
  <c r="U780" i="107"/>
  <c r="U112" i="112" s="1"/>
  <c r="V780" i="107"/>
  <c r="V112" i="112" s="1"/>
  <c r="W780" i="107"/>
  <c r="W112" i="112" s="1"/>
  <c r="Q781" i="107"/>
  <c r="Q113" i="112" s="1"/>
  <c r="R781" i="107"/>
  <c r="R113" i="112" s="1"/>
  <c r="S781" i="107"/>
  <c r="S113" i="112" s="1"/>
  <c r="T781" i="107"/>
  <c r="T113" i="112" s="1"/>
  <c r="U781" i="107"/>
  <c r="U113" i="112" s="1"/>
  <c r="V781" i="107"/>
  <c r="V113" i="112" s="1"/>
  <c r="W781" i="107"/>
  <c r="W113" i="112" s="1"/>
  <c r="W773" i="107"/>
  <c r="W105" i="112" s="1"/>
  <c r="V773" i="107"/>
  <c r="V105" i="112" s="1"/>
  <c r="U773" i="107"/>
  <c r="U105" i="112" s="1"/>
  <c r="T773" i="107"/>
  <c r="T105" i="112" s="1"/>
  <c r="S773" i="107"/>
  <c r="S105" i="112" s="1"/>
  <c r="R773" i="107"/>
  <c r="R105" i="112" s="1"/>
  <c r="Q773" i="107"/>
  <c r="Q105" i="112" s="1"/>
  <c r="I789" i="107"/>
  <c r="I121" i="112" s="1"/>
  <c r="I790" i="107"/>
  <c r="I122" i="112" s="1"/>
  <c r="I774" i="107"/>
  <c r="I106" i="112" s="1"/>
  <c r="I775" i="107"/>
  <c r="I107" i="112" s="1"/>
  <c r="I776" i="107"/>
  <c r="I108" i="112" s="1"/>
  <c r="I777" i="107"/>
  <c r="I109" i="112" s="1"/>
  <c r="I778" i="107"/>
  <c r="I110" i="112" s="1"/>
  <c r="I779" i="107"/>
  <c r="I111" i="112" s="1"/>
  <c r="I780" i="107"/>
  <c r="I112" i="112" s="1"/>
  <c r="I781" i="107"/>
  <c r="I113" i="112" s="1"/>
  <c r="I782" i="107"/>
  <c r="I114" i="112" s="1"/>
  <c r="I783" i="107"/>
  <c r="I115" i="112" s="1"/>
  <c r="I784" i="107"/>
  <c r="I116" i="112" s="1"/>
  <c r="I785" i="107"/>
  <c r="I117" i="112" s="1"/>
  <c r="I786" i="107"/>
  <c r="I118" i="112" s="1"/>
  <c r="I787" i="107"/>
  <c r="I119" i="112" s="1"/>
  <c r="I788" i="107"/>
  <c r="I120" i="112" s="1"/>
  <c r="I773" i="107"/>
  <c r="I105" i="112" s="1"/>
  <c r="H106" i="112"/>
  <c r="H107" i="112"/>
  <c r="H108" i="112"/>
  <c r="H109" i="112"/>
  <c r="H110" i="112"/>
  <c r="H111" i="112"/>
  <c r="H112" i="112"/>
  <c r="H113" i="112"/>
  <c r="H114" i="112"/>
  <c r="H115" i="112"/>
  <c r="H116" i="112"/>
  <c r="H117" i="112"/>
  <c r="H118" i="112"/>
  <c r="H119" i="112"/>
  <c r="H120" i="112"/>
  <c r="H121" i="112"/>
  <c r="H122" i="112"/>
  <c r="F785" i="107"/>
  <c r="F117" i="112" s="1"/>
  <c r="F790" i="107"/>
  <c r="F122" i="112" s="1"/>
  <c r="F789" i="107"/>
  <c r="F121" i="112" s="1"/>
  <c r="F788" i="107"/>
  <c r="F120" i="112" s="1"/>
  <c r="F787" i="107"/>
  <c r="F119" i="112" s="1"/>
  <c r="F786" i="107"/>
  <c r="F118" i="112" s="1"/>
  <c r="F784" i="107"/>
  <c r="F116" i="112" s="1"/>
  <c r="F783" i="107"/>
  <c r="F115" i="112" s="1"/>
  <c r="F782" i="107"/>
  <c r="F114" i="112" s="1"/>
  <c r="F781" i="107"/>
  <c r="F113" i="112" s="1"/>
  <c r="F780" i="107"/>
  <c r="F112" i="112" s="1"/>
  <c r="F779" i="107"/>
  <c r="F111" i="112" s="1"/>
  <c r="F778" i="107"/>
  <c r="F110" i="112" s="1"/>
  <c r="F777" i="107"/>
  <c r="F109" i="112" s="1"/>
  <c r="F776" i="107"/>
  <c r="F108" i="112" s="1"/>
  <c r="F775" i="107"/>
  <c r="F107" i="112" s="1"/>
  <c r="C740" i="107"/>
  <c r="K782" i="107" s="1"/>
  <c r="K114" i="112" s="1"/>
  <c r="C741" i="107"/>
  <c r="K783" i="107" s="1"/>
  <c r="K115" i="112" s="1"/>
  <c r="C742" i="107"/>
  <c r="K784" i="107" s="1"/>
  <c r="K116" i="112" s="1"/>
  <c r="C743" i="107"/>
  <c r="K785" i="107" s="1"/>
  <c r="K117" i="112" s="1"/>
  <c r="C744" i="107"/>
  <c r="K786" i="107" s="1"/>
  <c r="K118" i="112" s="1"/>
  <c r="C745" i="107"/>
  <c r="K787" i="107" s="1"/>
  <c r="K119" i="112" s="1"/>
  <c r="C746" i="107"/>
  <c r="K788" i="107" s="1"/>
  <c r="K120" i="112" s="1"/>
  <c r="C747" i="107"/>
  <c r="K789" i="107" s="1"/>
  <c r="K121" i="112" s="1"/>
  <c r="C748" i="107"/>
  <c r="K790" i="107" s="1"/>
  <c r="K122" i="112" s="1"/>
  <c r="C391" i="107"/>
  <c r="K781" i="107" s="1"/>
  <c r="K113" i="112" s="1"/>
  <c r="C390" i="107"/>
  <c r="K780" i="107" s="1"/>
  <c r="K112" i="112" s="1"/>
  <c r="C389" i="107"/>
  <c r="K779" i="107" s="1"/>
  <c r="K111" i="112" s="1"/>
  <c r="C388" i="107"/>
  <c r="K778" i="107" s="1"/>
  <c r="K110" i="112" s="1"/>
  <c r="C387" i="107"/>
  <c r="K777" i="107" s="1"/>
  <c r="K109" i="112" s="1"/>
  <c r="C386" i="107"/>
  <c r="K776" i="107" s="1"/>
  <c r="K108" i="112" s="1"/>
  <c r="C385" i="107"/>
  <c r="K775" i="107" s="1"/>
  <c r="K107" i="112" s="1"/>
  <c r="C384" i="107"/>
  <c r="K774" i="107" s="1"/>
  <c r="K106" i="112" s="1"/>
  <c r="C383" i="107"/>
  <c r="K773" i="107" s="1"/>
  <c r="K105" i="112" s="1"/>
  <c r="D127" i="56" l="1"/>
  <c r="E127" i="56" s="1"/>
  <c r="D225" i="56"/>
  <c r="E225" i="56" s="1"/>
  <c r="D406" i="107"/>
  <c r="E406" i="107" s="1"/>
  <c r="D191" i="56"/>
  <c r="E191" i="56" s="1"/>
  <c r="J775" i="107"/>
  <c r="J107" i="112" s="1"/>
  <c r="J774" i="107"/>
  <c r="J106" i="112" s="1"/>
  <c r="J785" i="107"/>
  <c r="J117" i="112" s="1"/>
  <c r="J783" i="107"/>
  <c r="J115" i="112" s="1"/>
  <c r="J782" i="107"/>
  <c r="J114" i="112" s="1"/>
  <c r="J780" i="107"/>
  <c r="J112" i="112" s="1"/>
  <c r="J786" i="107"/>
  <c r="J118" i="112" s="1"/>
  <c r="J779" i="107"/>
  <c r="J111" i="112" s="1"/>
  <c r="J787" i="107"/>
  <c r="J119" i="112" s="1"/>
  <c r="J784" i="107"/>
  <c r="J116" i="112" s="1"/>
  <c r="J781" i="107"/>
  <c r="J113" i="112" s="1"/>
  <c r="J790" i="107"/>
  <c r="J122" i="112" s="1"/>
  <c r="J778" i="107"/>
  <c r="J110" i="112" s="1"/>
  <c r="J789" i="107"/>
  <c r="J121" i="112" s="1"/>
  <c r="J777" i="107"/>
  <c r="J109" i="112" s="1"/>
  <c r="J788" i="107"/>
  <c r="J120" i="112" s="1"/>
  <c r="J776" i="107"/>
  <c r="J108" i="112" s="1"/>
  <c r="J398" i="56"/>
  <c r="J154" i="112" s="1"/>
  <c r="J397" i="56"/>
  <c r="J153" i="112" s="1"/>
  <c r="J399" i="56"/>
  <c r="J155" i="112" s="1"/>
  <c r="J394" i="56"/>
  <c r="J150" i="112" s="1"/>
  <c r="J395" i="56"/>
  <c r="J151" i="112" s="1"/>
  <c r="J396" i="56"/>
  <c r="J152" i="112" s="1"/>
  <c r="C348" i="56"/>
  <c r="C347" i="56"/>
  <c r="C346" i="56"/>
  <c r="C345" i="56"/>
  <c r="C344" i="56"/>
  <c r="C343" i="56"/>
  <c r="C342" i="56"/>
  <c r="C349" i="56"/>
  <c r="C341" i="56"/>
  <c r="G311" i="56"/>
  <c r="C204" i="56"/>
  <c r="K408" i="56" s="1"/>
  <c r="K164" i="112" s="1"/>
  <c r="K406" i="56"/>
  <c r="K162" i="112" s="1"/>
  <c r="C206" i="56"/>
  <c r="K410" i="56" s="1"/>
  <c r="K166" i="112" s="1"/>
  <c r="K409" i="56"/>
  <c r="K165" i="112" s="1"/>
  <c r="C210" i="56"/>
  <c r="K414" i="56" s="1"/>
  <c r="K170" i="112" s="1"/>
  <c r="L412" i="56"/>
  <c r="L168" i="112" s="1"/>
  <c r="C153" i="56"/>
  <c r="K171" i="56" s="1"/>
  <c r="K149" i="112" s="1"/>
  <c r="C152" i="56"/>
  <c r="K170" i="56" s="1"/>
  <c r="K148" i="112" s="1"/>
  <c r="G314" i="56"/>
  <c r="G313" i="56"/>
  <c r="K169" i="56"/>
  <c r="K147" i="112" s="1"/>
  <c r="G318" i="56"/>
  <c r="G319" i="56"/>
  <c r="G317" i="56"/>
  <c r="G315" i="56"/>
  <c r="G320" i="56"/>
  <c r="G312" i="56"/>
  <c r="G316" i="56"/>
  <c r="C203" i="56"/>
  <c r="K407" i="56" s="1"/>
  <c r="K163" i="112" s="1"/>
  <c r="C207" i="56"/>
  <c r="K411" i="56" s="1"/>
  <c r="K167" i="112" s="1"/>
  <c r="C209" i="56"/>
  <c r="K413" i="56" s="1"/>
  <c r="K169" i="112" s="1"/>
  <c r="C93" i="56"/>
  <c r="K167" i="56" s="1"/>
  <c r="K145" i="112" s="1"/>
  <c r="H761" i="107" l="1"/>
  <c r="N784" i="107" s="1"/>
  <c r="N116" i="112" s="1"/>
  <c r="H382" i="56"/>
  <c r="N409" i="56" s="1"/>
  <c r="N165" i="112" s="1"/>
  <c r="L788" i="107"/>
  <c r="L120" i="112" s="1"/>
  <c r="L777" i="107"/>
  <c r="L782" i="107"/>
  <c r="L781" i="107"/>
  <c r="L789" i="107"/>
  <c r="L121" i="112" s="1"/>
  <c r="L776" i="107"/>
  <c r="L108" i="112" s="1"/>
  <c r="L790" i="107"/>
  <c r="L122" i="112" s="1"/>
  <c r="L780" i="107"/>
  <c r="L112" i="112" s="1"/>
  <c r="L784" i="107"/>
  <c r="L116" i="112" s="1"/>
  <c r="L783" i="107"/>
  <c r="L115" i="112" s="1"/>
  <c r="L787" i="107"/>
  <c r="L119" i="112" s="1"/>
  <c r="L785" i="107"/>
  <c r="L117" i="112" s="1"/>
  <c r="L779" i="107"/>
  <c r="L111" i="112" s="1"/>
  <c r="L778" i="107"/>
  <c r="L110" i="112" s="1"/>
  <c r="L786" i="107"/>
  <c r="L118" i="112" s="1"/>
  <c r="L775" i="107"/>
  <c r="L107" i="112" s="1"/>
  <c r="H160" i="56"/>
  <c r="N169" i="56" s="1"/>
  <c r="N147" i="112" s="1"/>
  <c r="H687" i="56"/>
  <c r="H370" i="56"/>
  <c r="L409" i="56"/>
  <c r="L165" i="112" s="1"/>
  <c r="G388" i="56"/>
  <c r="E54" i="56" s="1" a="1"/>
  <c r="E54" i="56" s="1"/>
  <c r="K172" i="69" s="1"/>
  <c r="L414" i="56"/>
  <c r="L170" i="112" s="1"/>
  <c r="L413" i="56"/>
  <c r="L169" i="112" s="1"/>
  <c r="L410" i="56"/>
  <c r="L166" i="112" s="1"/>
  <c r="L411" i="56"/>
  <c r="L167" i="112" s="1"/>
  <c r="L406" i="56"/>
  <c r="L162" i="112" s="1"/>
  <c r="L407" i="56"/>
  <c r="L163" i="112" s="1"/>
  <c r="L408" i="56"/>
  <c r="L164" i="112" s="1"/>
  <c r="C350" i="56"/>
  <c r="C351" i="56" s="1"/>
  <c r="G321" i="56"/>
  <c r="G322" i="56" s="1"/>
  <c r="H311" i="56"/>
  <c r="I311" i="56" s="1"/>
  <c r="J311" i="56" s="1"/>
  <c r="H313" i="56"/>
  <c r="I313" i="56" s="1"/>
  <c r="J313" i="56" s="1"/>
  <c r="H312" i="56"/>
  <c r="I312" i="56" s="1"/>
  <c r="J312" i="56" s="1"/>
  <c r="H320" i="56"/>
  <c r="H317" i="56"/>
  <c r="I317" i="56" s="1"/>
  <c r="J317" i="56" s="1"/>
  <c r="H319" i="56"/>
  <c r="I319" i="56" s="1"/>
  <c r="J319" i="56" s="1"/>
  <c r="H315" i="56"/>
  <c r="I315" i="56" s="1"/>
  <c r="J315" i="56" s="1"/>
  <c r="H314" i="56"/>
  <c r="I314" i="56" s="1"/>
  <c r="J314" i="56" s="1"/>
  <c r="H318" i="56"/>
  <c r="I318" i="56" s="1"/>
  <c r="J318" i="56" s="1"/>
  <c r="H316" i="56"/>
  <c r="I316" i="56" s="1"/>
  <c r="J316" i="56" s="1"/>
  <c r="G760" i="107" l="1"/>
  <c r="D19" i="107" s="1" a="1"/>
  <c r="D19" i="107" s="1"/>
  <c r="V219" i="69" s="1"/>
  <c r="E219" i="69" s="1"/>
  <c r="L113" i="112"/>
  <c r="G761" i="107"/>
  <c r="D20" i="107" s="1" a="1"/>
  <c r="D20" i="107" s="1"/>
  <c r="V220" i="69" s="1"/>
  <c r="E220" i="69" s="1"/>
  <c r="L114" i="112"/>
  <c r="G756" i="107"/>
  <c r="D15" i="107" s="1" a="1"/>
  <c r="D15" i="107" s="1"/>
  <c r="V215" i="69" s="1"/>
  <c r="E215" i="69" s="1"/>
  <c r="L109" i="112"/>
  <c r="N786" i="107"/>
  <c r="N118" i="112" s="1"/>
  <c r="N783" i="107"/>
  <c r="N115" i="112" s="1"/>
  <c r="N789" i="107"/>
  <c r="N121" i="112" s="1"/>
  <c r="N785" i="107"/>
  <c r="N117" i="112" s="1"/>
  <c r="N790" i="107"/>
  <c r="N122" i="112" s="1"/>
  <c r="N782" i="107"/>
  <c r="N114" i="112" s="1"/>
  <c r="N787" i="107"/>
  <c r="N119" i="112" s="1"/>
  <c r="N788" i="107"/>
  <c r="N120" i="112" s="1"/>
  <c r="N414" i="56"/>
  <c r="N170" i="112" s="1"/>
  <c r="N406" i="56"/>
  <c r="N162" i="112" s="1"/>
  <c r="N408" i="56"/>
  <c r="N164" i="112" s="1"/>
  <c r="N407" i="56"/>
  <c r="N163" i="112" s="1"/>
  <c r="N413" i="56"/>
  <c r="N169" i="112" s="1"/>
  <c r="N411" i="56"/>
  <c r="N167" i="112" s="1"/>
  <c r="N410" i="56"/>
  <c r="N166" i="112" s="1"/>
  <c r="N412" i="56"/>
  <c r="N168" i="112" s="1"/>
  <c r="G767" i="107"/>
  <c r="D26" i="107" s="1" a="1"/>
  <c r="D26" i="107" s="1"/>
  <c r="V226" i="69" s="1"/>
  <c r="E226" i="69" s="1"/>
  <c r="G758" i="107"/>
  <c r="D17" i="107" s="1" a="1"/>
  <c r="D17" i="107" s="1"/>
  <c r="V217" i="69" s="1"/>
  <c r="E217" i="69" s="1"/>
  <c r="G759" i="107"/>
  <c r="D18" i="107" s="1" a="1"/>
  <c r="D18" i="107" s="1"/>
  <c r="V218" i="69" s="1"/>
  <c r="E218" i="69" s="1"/>
  <c r="G764" i="107"/>
  <c r="D23" i="107" s="1" a="1"/>
  <c r="D23" i="107" s="1"/>
  <c r="V223" i="69" s="1"/>
  <c r="E223" i="69" s="1"/>
  <c r="G769" i="107"/>
  <c r="D28" i="107" s="1" a="1"/>
  <c r="D28" i="107" s="1"/>
  <c r="V228" i="69" s="1"/>
  <c r="E228" i="69" s="1"/>
  <c r="G766" i="107"/>
  <c r="D25" i="107" s="1" a="1"/>
  <c r="D25" i="107" s="1"/>
  <c r="V225" i="69" s="1"/>
  <c r="E225" i="69" s="1"/>
  <c r="G754" i="107"/>
  <c r="D13" i="107" s="1" a="1"/>
  <c r="D13" i="107" s="1"/>
  <c r="V213" i="69" s="1"/>
  <c r="E213" i="69" s="1"/>
  <c r="G762" i="107"/>
  <c r="D21" i="107" s="1" a="1"/>
  <c r="D21" i="107" s="1"/>
  <c r="V221" i="69" s="1"/>
  <c r="E221" i="69" s="1"/>
  <c r="G755" i="107"/>
  <c r="D14" i="107" s="1" a="1"/>
  <c r="D14" i="107" s="1"/>
  <c r="V214" i="69" s="1"/>
  <c r="E214" i="69" s="1"/>
  <c r="G765" i="107"/>
  <c r="D24" i="107" s="1" a="1"/>
  <c r="D24" i="107" s="1"/>
  <c r="V224" i="69" s="1"/>
  <c r="E224" i="69" s="1"/>
  <c r="G763" i="107"/>
  <c r="D22" i="107" s="1" a="1"/>
  <c r="D22" i="107" s="1"/>
  <c r="V222" i="69" s="1"/>
  <c r="E222" i="69" s="1"/>
  <c r="G757" i="107"/>
  <c r="D16" i="107" s="1" a="1"/>
  <c r="D16" i="107" s="1"/>
  <c r="V216" i="69" s="1"/>
  <c r="E216" i="69" s="1"/>
  <c r="G768" i="107"/>
  <c r="D27" i="107" s="1" a="1"/>
  <c r="D27" i="107" s="1"/>
  <c r="V227" i="69" s="1"/>
  <c r="E227" i="69" s="1"/>
  <c r="N730" i="56"/>
  <c r="N178" i="112" s="1"/>
  <c r="N742" i="56"/>
  <c r="N190" i="112" s="1"/>
  <c r="N731" i="56"/>
  <c r="N179" i="112" s="1"/>
  <c r="N743" i="56"/>
  <c r="N191" i="112" s="1"/>
  <c r="N752" i="56"/>
  <c r="N200" i="112" s="1"/>
  <c r="N726" i="56"/>
  <c r="N174" i="112" s="1"/>
  <c r="N732" i="56"/>
  <c r="N180" i="112" s="1"/>
  <c r="N744" i="56"/>
  <c r="N192" i="112" s="1"/>
  <c r="N724" i="56"/>
  <c r="N172" i="112" s="1"/>
  <c r="N748" i="56"/>
  <c r="N196" i="112" s="1"/>
  <c r="N738" i="56"/>
  <c r="N186" i="112" s="1"/>
  <c r="N751" i="56"/>
  <c r="N199" i="112" s="1"/>
  <c r="N728" i="56"/>
  <c r="N176" i="112" s="1"/>
  <c r="N741" i="56"/>
  <c r="N189" i="112" s="1"/>
  <c r="N733" i="56"/>
  <c r="N181" i="112" s="1"/>
  <c r="N745" i="56"/>
  <c r="N193" i="112" s="1"/>
  <c r="N725" i="56"/>
  <c r="N173" i="112" s="1"/>
  <c r="N750" i="56"/>
  <c r="N198" i="112" s="1"/>
  <c r="N739" i="56"/>
  <c r="N187" i="112" s="1"/>
  <c r="N723" i="56"/>
  <c r="N171" i="112" s="1"/>
  <c r="N734" i="56"/>
  <c r="N182" i="112" s="1"/>
  <c r="N746" i="56"/>
  <c r="N194" i="112" s="1"/>
  <c r="N749" i="56"/>
  <c r="N197" i="112" s="1"/>
  <c r="N727" i="56"/>
  <c r="N175" i="112" s="1"/>
  <c r="N740" i="56"/>
  <c r="N188" i="112" s="1"/>
  <c r="N729" i="56"/>
  <c r="N177" i="112" s="1"/>
  <c r="N735" i="56"/>
  <c r="N183" i="112" s="1"/>
  <c r="N747" i="56"/>
  <c r="N195" i="112" s="1"/>
  <c r="N736" i="56"/>
  <c r="N184" i="112" s="1"/>
  <c r="N737" i="56"/>
  <c r="N185" i="112" s="1"/>
  <c r="N396" i="56"/>
  <c r="N152" i="112" s="1"/>
  <c r="N397" i="56"/>
  <c r="N153" i="112" s="1"/>
  <c r="N398" i="56"/>
  <c r="N154" i="112" s="1"/>
  <c r="N394" i="56"/>
  <c r="N150" i="112" s="1"/>
  <c r="N399" i="56"/>
  <c r="N155" i="112" s="1"/>
  <c r="N404" i="56"/>
  <c r="N160" i="112" s="1"/>
  <c r="N405" i="56"/>
  <c r="N161" i="112" s="1"/>
  <c r="N400" i="56"/>
  <c r="N156" i="112" s="1"/>
  <c r="N403" i="56"/>
  <c r="N159" i="112" s="1"/>
  <c r="N395" i="56"/>
  <c r="N151" i="112" s="1"/>
  <c r="N401" i="56"/>
  <c r="N157" i="112" s="1"/>
  <c r="N402" i="56"/>
  <c r="N158" i="112" s="1"/>
  <c r="N171" i="56"/>
  <c r="N149" i="112" s="1"/>
  <c r="N170" i="56"/>
  <c r="N148" i="112" s="1"/>
  <c r="G389" i="56"/>
  <c r="E55" i="56" s="1" a="1"/>
  <c r="E55" i="56" s="1"/>
  <c r="K173" i="69" s="1"/>
  <c r="G390" i="56"/>
  <c r="E56" i="56" s="1" a="1"/>
  <c r="E56" i="56" s="1"/>
  <c r="K174" i="69" s="1"/>
  <c r="G333" i="56"/>
  <c r="G328" i="56"/>
  <c r="G330" i="56"/>
  <c r="G332" i="56"/>
  <c r="G334" i="56"/>
  <c r="G335" i="56"/>
  <c r="G336" i="56"/>
  <c r="D364" i="56" s="1"/>
  <c r="G329" i="56"/>
  <c r="G327" i="56"/>
  <c r="G331" i="56"/>
  <c r="I320" i="56"/>
  <c r="J320" i="56" s="1"/>
  <c r="E13" i="100" a="1"/>
  <c r="E13" i="100" s="1"/>
  <c r="E12" i="100" a="1"/>
  <c r="E12" i="100" s="1"/>
  <c r="E11" i="100" a="1"/>
  <c r="E11" i="100" s="1"/>
  <c r="D91" i="100"/>
  <c r="D90" i="100"/>
  <c r="D89" i="100"/>
  <c r="D60" i="45"/>
  <c r="F774" i="107"/>
  <c r="F106" i="112" s="1"/>
  <c r="H105" i="112"/>
  <c r="F773" i="107"/>
  <c r="F105" i="112" s="1"/>
  <c r="C70" i="100"/>
  <c r="C71" i="100" s="1"/>
  <c r="E13" i="41" a="1"/>
  <c r="E13" i="41" s="1"/>
  <c r="S12" i="69" s="1"/>
  <c r="E24" i="41" a="1"/>
  <c r="E24" i="41" s="1"/>
  <c r="E23" i="41" a="1"/>
  <c r="E23" i="41" s="1"/>
  <c r="S22" i="69" s="1"/>
  <c r="E22" i="41" a="1"/>
  <c r="E22" i="41" s="1"/>
  <c r="S21" i="69" s="1"/>
  <c r="E21" i="41" a="1"/>
  <c r="E21" i="41" s="1"/>
  <c r="S20" i="69" s="1"/>
  <c r="E20" i="41" a="1"/>
  <c r="E20" i="41" s="1"/>
  <c r="S19" i="69" s="1"/>
  <c r="E19" i="41" a="1"/>
  <c r="E19" i="41" s="1"/>
  <c r="S18" i="69" s="1"/>
  <c r="E18" i="41" a="1"/>
  <c r="E18" i="41" s="1"/>
  <c r="S17" i="69" s="1"/>
  <c r="E17" i="41" a="1"/>
  <c r="E17" i="41" s="1"/>
  <c r="S16" i="69" s="1"/>
  <c r="E16" i="41" a="1"/>
  <c r="E16" i="41" s="1"/>
  <c r="S15" i="69" s="1"/>
  <c r="E15" i="41" a="1"/>
  <c r="E15" i="41" s="1"/>
  <c r="S14" i="69" s="1"/>
  <c r="E14" i="41" a="1"/>
  <c r="E14" i="41" s="1"/>
  <c r="S13" i="69" s="1"/>
  <c r="E12" i="41" a="1"/>
  <c r="E12" i="41" s="1"/>
  <c r="H24" i="41" a="1"/>
  <c r="H24" i="41" s="1"/>
  <c r="H23" i="41" a="1"/>
  <c r="H23" i="41" s="1"/>
  <c r="X22" i="69" s="1"/>
  <c r="H20" i="41" a="1"/>
  <c r="H20" i="41" s="1"/>
  <c r="X19" i="69" s="1"/>
  <c r="H19" i="41" a="1"/>
  <c r="H19" i="41" s="1"/>
  <c r="X18" i="69" s="1"/>
  <c r="H16" i="41" a="1"/>
  <c r="H16" i="41" s="1"/>
  <c r="X15" i="69" s="1"/>
  <c r="H15" i="41" a="1"/>
  <c r="H15" i="41" s="1"/>
  <c r="Q189" i="41"/>
  <c r="Q94" i="112" s="1"/>
  <c r="R189" i="41"/>
  <c r="R94" i="112" s="1"/>
  <c r="S189" i="41"/>
  <c r="S94" i="112" s="1"/>
  <c r="T189" i="41"/>
  <c r="T94" i="112" s="1"/>
  <c r="U189" i="41"/>
  <c r="U94" i="112" s="1"/>
  <c r="V189" i="41"/>
  <c r="V94" i="112" s="1"/>
  <c r="W189" i="41"/>
  <c r="W94" i="112" s="1"/>
  <c r="Q190" i="41"/>
  <c r="Q95" i="112" s="1"/>
  <c r="R190" i="41"/>
  <c r="R95" i="112" s="1"/>
  <c r="S190" i="41"/>
  <c r="S95" i="112" s="1"/>
  <c r="T190" i="41"/>
  <c r="T95" i="112" s="1"/>
  <c r="U190" i="41"/>
  <c r="U95" i="112" s="1"/>
  <c r="V190" i="41"/>
  <c r="V95" i="112" s="1"/>
  <c r="W190" i="41"/>
  <c r="W95" i="112" s="1"/>
  <c r="Q191" i="41"/>
  <c r="Q96" i="112" s="1"/>
  <c r="R191" i="41"/>
  <c r="R96" i="112" s="1"/>
  <c r="S191" i="41"/>
  <c r="S96" i="112" s="1"/>
  <c r="T191" i="41"/>
  <c r="T96" i="112" s="1"/>
  <c r="U191" i="41"/>
  <c r="U96" i="112" s="1"/>
  <c r="V191" i="41"/>
  <c r="V96" i="112" s="1"/>
  <c r="W191" i="41"/>
  <c r="W96" i="112" s="1"/>
  <c r="Q192" i="41"/>
  <c r="Q97" i="112" s="1"/>
  <c r="R192" i="41"/>
  <c r="R97" i="112" s="1"/>
  <c r="S192" i="41"/>
  <c r="S97" i="112" s="1"/>
  <c r="T192" i="41"/>
  <c r="T97" i="112" s="1"/>
  <c r="U192" i="41"/>
  <c r="U97" i="112" s="1"/>
  <c r="V192" i="41"/>
  <c r="V97" i="112" s="1"/>
  <c r="W192" i="41"/>
  <c r="W97" i="112" s="1"/>
  <c r="Q193" i="41"/>
  <c r="Q98" i="112" s="1"/>
  <c r="R193" i="41"/>
  <c r="R98" i="112" s="1"/>
  <c r="S193" i="41"/>
  <c r="S98" i="112" s="1"/>
  <c r="T193" i="41"/>
  <c r="T98" i="112" s="1"/>
  <c r="U193" i="41"/>
  <c r="U98" i="112" s="1"/>
  <c r="V193" i="41"/>
  <c r="V98" i="112" s="1"/>
  <c r="W193" i="41"/>
  <c r="W98" i="112" s="1"/>
  <c r="R188" i="41"/>
  <c r="R93" i="112" s="1"/>
  <c r="S188" i="41"/>
  <c r="S93" i="112" s="1"/>
  <c r="T188" i="41"/>
  <c r="T93" i="112" s="1"/>
  <c r="U188" i="41"/>
  <c r="U93" i="112" s="1"/>
  <c r="V188" i="41"/>
  <c r="V93" i="112" s="1"/>
  <c r="W188" i="41"/>
  <c r="W93" i="112" s="1"/>
  <c r="Q188" i="41"/>
  <c r="Q93" i="112" s="1"/>
  <c r="K94" i="112"/>
  <c r="K95" i="112"/>
  <c r="K96" i="112"/>
  <c r="K97" i="112"/>
  <c r="K98" i="112"/>
  <c r="K93" i="112"/>
  <c r="F189" i="41"/>
  <c r="F94" i="112" s="1"/>
  <c r="F190" i="41"/>
  <c r="F95" i="112" s="1"/>
  <c r="F191" i="41"/>
  <c r="F96" i="112" s="1"/>
  <c r="F192" i="41"/>
  <c r="F97" i="112" s="1"/>
  <c r="F193" i="41"/>
  <c r="F98" i="112" s="1"/>
  <c r="F188" i="41"/>
  <c r="F93" i="112" s="1"/>
  <c r="F184" i="41"/>
  <c r="F89" i="112" s="1"/>
  <c r="F185" i="41"/>
  <c r="F90" i="112" s="1"/>
  <c r="F186" i="41"/>
  <c r="F91" i="112" s="1"/>
  <c r="F187" i="41"/>
  <c r="F92" i="112" s="1"/>
  <c r="F183" i="41"/>
  <c r="F88" i="112" s="1"/>
  <c r="F177" i="41"/>
  <c r="F82" i="112" s="1"/>
  <c r="F178" i="41"/>
  <c r="F83" i="112" s="1"/>
  <c r="F179" i="41"/>
  <c r="F84" i="112" s="1"/>
  <c r="F180" i="41"/>
  <c r="F85" i="112" s="1"/>
  <c r="F181" i="41"/>
  <c r="F86" i="112" s="1"/>
  <c r="F176" i="41"/>
  <c r="F81" i="112" s="1"/>
  <c r="H87" i="112"/>
  <c r="I182" i="41"/>
  <c r="I87" i="112" s="1"/>
  <c r="Q182" i="41"/>
  <c r="Q87" i="112" s="1"/>
  <c r="R182" i="41"/>
  <c r="R87" i="112" s="1"/>
  <c r="S182" i="41"/>
  <c r="S87" i="112" s="1"/>
  <c r="T182" i="41"/>
  <c r="T87" i="112" s="1"/>
  <c r="U182" i="41"/>
  <c r="U87" i="112" s="1"/>
  <c r="V182" i="41"/>
  <c r="V87" i="112" s="1"/>
  <c r="W182" i="41"/>
  <c r="W87" i="112" s="1"/>
  <c r="H88" i="112"/>
  <c r="I183" i="41"/>
  <c r="I88" i="112" s="1"/>
  <c r="Q183" i="41"/>
  <c r="Q88" i="112" s="1"/>
  <c r="R183" i="41"/>
  <c r="R88" i="112" s="1"/>
  <c r="S183" i="41"/>
  <c r="S88" i="112" s="1"/>
  <c r="T183" i="41"/>
  <c r="T88" i="112" s="1"/>
  <c r="U183" i="41"/>
  <c r="U88" i="112" s="1"/>
  <c r="V183" i="41"/>
  <c r="V88" i="112" s="1"/>
  <c r="W183" i="41"/>
  <c r="W88" i="112" s="1"/>
  <c r="H89" i="112"/>
  <c r="I184" i="41"/>
  <c r="I89" i="112" s="1"/>
  <c r="Q184" i="41"/>
  <c r="Q89" i="112" s="1"/>
  <c r="R184" i="41"/>
  <c r="R89" i="112" s="1"/>
  <c r="S184" i="41"/>
  <c r="S89" i="112" s="1"/>
  <c r="T184" i="41"/>
  <c r="T89" i="112" s="1"/>
  <c r="U184" i="41"/>
  <c r="U89" i="112" s="1"/>
  <c r="V184" i="41"/>
  <c r="V89" i="112" s="1"/>
  <c r="W184" i="41"/>
  <c r="W89" i="112" s="1"/>
  <c r="H90" i="112"/>
  <c r="I185" i="41"/>
  <c r="I90" i="112" s="1"/>
  <c r="Q185" i="41"/>
  <c r="Q90" i="112" s="1"/>
  <c r="R185" i="41"/>
  <c r="R90" i="112" s="1"/>
  <c r="S185" i="41"/>
  <c r="S90" i="112" s="1"/>
  <c r="T185" i="41"/>
  <c r="T90" i="112" s="1"/>
  <c r="U185" i="41"/>
  <c r="U90" i="112" s="1"/>
  <c r="V185" i="41"/>
  <c r="V90" i="112" s="1"/>
  <c r="W185" i="41"/>
  <c r="W90" i="112" s="1"/>
  <c r="H91" i="112"/>
  <c r="I186" i="41"/>
  <c r="I91" i="112" s="1"/>
  <c r="Q186" i="41"/>
  <c r="Q91" i="112" s="1"/>
  <c r="R186" i="41"/>
  <c r="R91" i="112" s="1"/>
  <c r="S186" i="41"/>
  <c r="S91" i="112" s="1"/>
  <c r="T186" i="41"/>
  <c r="T91" i="112" s="1"/>
  <c r="U186" i="41"/>
  <c r="U91" i="112" s="1"/>
  <c r="V186" i="41"/>
  <c r="V91" i="112" s="1"/>
  <c r="W186" i="41"/>
  <c r="W91" i="112" s="1"/>
  <c r="H92" i="112"/>
  <c r="I187" i="41"/>
  <c r="I92" i="112" s="1"/>
  <c r="Q187" i="41"/>
  <c r="Q92" i="112" s="1"/>
  <c r="R187" i="41"/>
  <c r="R92" i="112" s="1"/>
  <c r="S187" i="41"/>
  <c r="S92" i="112" s="1"/>
  <c r="T187" i="41"/>
  <c r="T92" i="112" s="1"/>
  <c r="U187" i="41"/>
  <c r="U92" i="112" s="1"/>
  <c r="V187" i="41"/>
  <c r="V92" i="112" s="1"/>
  <c r="W187" i="41"/>
  <c r="W92" i="112" s="1"/>
  <c r="D60" i="100" l="1"/>
  <c r="E60" i="100" s="1"/>
  <c r="D68" i="41"/>
  <c r="E68" i="41" s="1"/>
  <c r="D49" i="107"/>
  <c r="E49" i="107" s="1"/>
  <c r="D108" i="41"/>
  <c r="E108" i="41" s="1"/>
  <c r="J773" i="107"/>
  <c r="J105" i="112" s="1"/>
  <c r="D355" i="56"/>
  <c r="D356" i="56" s="1"/>
  <c r="J183" i="41"/>
  <c r="J88" i="112" s="1"/>
  <c r="J184" i="41"/>
  <c r="J89" i="112" s="1"/>
  <c r="J185" i="41"/>
  <c r="J90" i="112" s="1"/>
  <c r="J186" i="41"/>
  <c r="J91" i="112" s="1"/>
  <c r="J182" i="41"/>
  <c r="J87" i="112" s="1"/>
  <c r="J187" i="41"/>
  <c r="J92" i="112" s="1"/>
  <c r="D358" i="56"/>
  <c r="K397" i="56" s="1"/>
  <c r="K153" i="112" s="1"/>
  <c r="D361" i="56"/>
  <c r="K400" i="56" s="1"/>
  <c r="K156" i="112" s="1"/>
  <c r="K403" i="56"/>
  <c r="K159" i="112" s="1"/>
  <c r="D366" i="56"/>
  <c r="K405" i="56" s="1"/>
  <c r="K161" i="112" s="1"/>
  <c r="D365" i="56"/>
  <c r="K404" i="56" s="1"/>
  <c r="K160" i="112" s="1"/>
  <c r="L774" i="107"/>
  <c r="L106" i="112" s="1"/>
  <c r="H752" i="107" l="1"/>
  <c r="N776" i="107" s="1"/>
  <c r="N108" i="112" s="1"/>
  <c r="H149" i="41"/>
  <c r="N179" i="41" s="1"/>
  <c r="N84" i="112" s="1"/>
  <c r="L773" i="107"/>
  <c r="D359" i="56"/>
  <c r="K398" i="56" s="1"/>
  <c r="G753" i="107"/>
  <c r="D12" i="107" s="1" a="1"/>
  <c r="D12" i="107" s="1"/>
  <c r="V212" i="69" s="1"/>
  <c r="E212" i="69" s="1"/>
  <c r="K394" i="56"/>
  <c r="L404" i="56"/>
  <c r="L160" i="112" s="1"/>
  <c r="L405" i="56"/>
  <c r="L161" i="112" s="1"/>
  <c r="L403" i="56"/>
  <c r="L159" i="112" s="1"/>
  <c r="L400" i="56"/>
  <c r="L156" i="112" s="1"/>
  <c r="L397" i="56"/>
  <c r="L153" i="112" s="1"/>
  <c r="H161" i="41"/>
  <c r="D360" i="56"/>
  <c r="K399" i="56" s="1"/>
  <c r="K155" i="112" s="1"/>
  <c r="D363" i="56"/>
  <c r="K402" i="56" s="1"/>
  <c r="K158" i="112" s="1"/>
  <c r="D362" i="56"/>
  <c r="K401" i="56" s="1"/>
  <c r="K157" i="112" s="1"/>
  <c r="K395" i="56"/>
  <c r="K151" i="112" s="1"/>
  <c r="D357" i="56"/>
  <c r="K396" i="56" s="1"/>
  <c r="K152" i="112" s="1"/>
  <c r="N104" i="69"/>
  <c r="E104" i="69" s="1"/>
  <c r="N103" i="69"/>
  <c r="E103" i="69" s="1"/>
  <c r="I109" i="69"/>
  <c r="E109" i="69" s="1"/>
  <c r="I108" i="69"/>
  <c r="E108" i="69" s="1"/>
  <c r="F174" i="98" a="1"/>
  <c r="F174" i="98" s="1"/>
  <c r="F173" i="98" a="1"/>
  <c r="F173" i="98" s="1"/>
  <c r="F172" i="98" a="1"/>
  <c r="F172" i="98" s="1"/>
  <c r="R182" i="98"/>
  <c r="R386" i="112" s="1"/>
  <c r="S182" i="98"/>
  <c r="S386" i="112" s="1"/>
  <c r="T182" i="98"/>
  <c r="T386" i="112" s="1"/>
  <c r="U182" i="98"/>
  <c r="U386" i="112" s="1"/>
  <c r="V182" i="98"/>
  <c r="V386" i="112" s="1"/>
  <c r="W182" i="98"/>
  <c r="W386" i="112" s="1"/>
  <c r="R183" i="98"/>
  <c r="R387" i="112" s="1"/>
  <c r="S183" i="98"/>
  <c r="S387" i="112" s="1"/>
  <c r="T183" i="98"/>
  <c r="T387" i="112" s="1"/>
  <c r="U183" i="98"/>
  <c r="U387" i="112" s="1"/>
  <c r="V183" i="98"/>
  <c r="V387" i="112" s="1"/>
  <c r="W183" i="98"/>
  <c r="W387" i="112" s="1"/>
  <c r="R184" i="98"/>
  <c r="R388" i="112" s="1"/>
  <c r="S184" i="98"/>
  <c r="S388" i="112" s="1"/>
  <c r="T184" i="98"/>
  <c r="T388" i="112" s="1"/>
  <c r="U184" i="98"/>
  <c r="U388" i="112" s="1"/>
  <c r="V184" i="98"/>
  <c r="V388" i="112" s="1"/>
  <c r="W184" i="98"/>
  <c r="W388" i="112" s="1"/>
  <c r="Q183" i="98"/>
  <c r="Q387" i="112" s="1"/>
  <c r="Q184" i="98"/>
  <c r="Q388" i="112" s="1"/>
  <c r="Q182" i="98"/>
  <c r="Q386" i="112" s="1"/>
  <c r="F183" i="98"/>
  <c r="F387" i="112" s="1"/>
  <c r="F184" i="98"/>
  <c r="F388" i="112" s="1"/>
  <c r="F182" i="98"/>
  <c r="F386" i="112" s="1"/>
  <c r="C156" i="98"/>
  <c r="C157" i="98" s="1"/>
  <c r="C154" i="98"/>
  <c r="E144" i="98"/>
  <c r="E12" i="105" a="1"/>
  <c r="E12" i="105" s="1"/>
  <c r="S118" i="69" s="1"/>
  <c r="E11" i="105" a="1"/>
  <c r="E11" i="105" s="1"/>
  <c r="S117" i="69" s="1"/>
  <c r="D12" i="105" a="1"/>
  <c r="D12" i="105" s="1"/>
  <c r="F118" i="69" s="1"/>
  <c r="E118" i="69" s="1"/>
  <c r="D11" i="105" a="1"/>
  <c r="D11" i="105" s="1"/>
  <c r="F117" i="69" s="1"/>
  <c r="E117" i="69" s="1"/>
  <c r="F114" i="69"/>
  <c r="G13" i="104" a="1"/>
  <c r="G13" i="104" s="1"/>
  <c r="U115" i="69" s="1"/>
  <c r="G11" i="104" a="1"/>
  <c r="G11" i="104" s="1"/>
  <c r="U113" i="69" s="1"/>
  <c r="Q213" i="104"/>
  <c r="Q381" i="112" s="1"/>
  <c r="R213" i="104"/>
  <c r="R381" i="112" s="1"/>
  <c r="S213" i="104"/>
  <c r="S381" i="112" s="1"/>
  <c r="T213" i="104"/>
  <c r="T381" i="112" s="1"/>
  <c r="U213" i="104"/>
  <c r="U381" i="112" s="1"/>
  <c r="V213" i="104"/>
  <c r="V381" i="112" s="1"/>
  <c r="W213" i="104"/>
  <c r="W381" i="112" s="1"/>
  <c r="R212" i="104"/>
  <c r="R380" i="112" s="1"/>
  <c r="S212" i="104"/>
  <c r="S380" i="112" s="1"/>
  <c r="T212" i="104"/>
  <c r="T380" i="112" s="1"/>
  <c r="U212" i="104"/>
  <c r="U380" i="112" s="1"/>
  <c r="V212" i="104"/>
  <c r="V380" i="112" s="1"/>
  <c r="W212" i="104"/>
  <c r="W380" i="112" s="1"/>
  <c r="Q212" i="104"/>
  <c r="Q380" i="112" s="1"/>
  <c r="F213" i="104"/>
  <c r="F381" i="112" s="1"/>
  <c r="F212" i="104"/>
  <c r="F380" i="112" s="1"/>
  <c r="C174" i="104"/>
  <c r="C175" i="104" s="1"/>
  <c r="C182" i="104" s="1"/>
  <c r="C169" i="104"/>
  <c r="C170" i="104" s="1"/>
  <c r="C180" i="104" s="1"/>
  <c r="C164" i="104"/>
  <c r="C163" i="104"/>
  <c r="Q210" i="104"/>
  <c r="Q378" i="112" s="1"/>
  <c r="R210" i="104"/>
  <c r="R378" i="112" s="1"/>
  <c r="S210" i="104"/>
  <c r="S378" i="112" s="1"/>
  <c r="T210" i="104"/>
  <c r="T378" i="112" s="1"/>
  <c r="U210" i="104"/>
  <c r="U378" i="112" s="1"/>
  <c r="V210" i="104"/>
  <c r="V378" i="112" s="1"/>
  <c r="W210" i="104"/>
  <c r="W378" i="112" s="1"/>
  <c r="Q211" i="104"/>
  <c r="Q379" i="112" s="1"/>
  <c r="R211" i="104"/>
  <c r="R379" i="112" s="1"/>
  <c r="S211" i="104"/>
  <c r="S379" i="112" s="1"/>
  <c r="T211" i="104"/>
  <c r="T379" i="112" s="1"/>
  <c r="U211" i="104"/>
  <c r="U379" i="112" s="1"/>
  <c r="V211" i="104"/>
  <c r="V379" i="112" s="1"/>
  <c r="W211" i="104"/>
  <c r="W379" i="112" s="1"/>
  <c r="R209" i="104"/>
  <c r="R377" i="112" s="1"/>
  <c r="S209" i="104"/>
  <c r="S377" i="112" s="1"/>
  <c r="T209" i="104"/>
  <c r="T377" i="112" s="1"/>
  <c r="U209" i="104"/>
  <c r="U377" i="112" s="1"/>
  <c r="V209" i="104"/>
  <c r="V377" i="112" s="1"/>
  <c r="W209" i="104"/>
  <c r="W377" i="112" s="1"/>
  <c r="Q209" i="104"/>
  <c r="Q377" i="112" s="1"/>
  <c r="F210" i="104"/>
  <c r="F378" i="112" s="1"/>
  <c r="F211" i="104"/>
  <c r="F379" i="112" s="1"/>
  <c r="F209" i="104"/>
  <c r="F377" i="112" s="1"/>
  <c r="E100" i="104"/>
  <c r="E125" i="104" s="1"/>
  <c r="E99" i="104"/>
  <c r="D125" i="104" s="1"/>
  <c r="E98" i="104"/>
  <c r="C125" i="104" s="1"/>
  <c r="C45" i="100"/>
  <c r="E123" i="104"/>
  <c r="D123" i="104"/>
  <c r="C123" i="104"/>
  <c r="E119" i="104"/>
  <c r="E120" i="104" s="1"/>
  <c r="E121" i="104" s="1"/>
  <c r="E122" i="104" s="1"/>
  <c r="D119" i="104"/>
  <c r="D120" i="104" s="1"/>
  <c r="D121" i="104" s="1"/>
  <c r="D122" i="104" s="1"/>
  <c r="C119" i="104"/>
  <c r="C120" i="104" s="1"/>
  <c r="C121" i="104" s="1"/>
  <c r="C122" i="104" s="1"/>
  <c r="L394" i="56" l="1"/>
  <c r="K150" i="112"/>
  <c r="L398" i="56"/>
  <c r="L154" i="112" s="1"/>
  <c r="K154" i="112"/>
  <c r="G752" i="107"/>
  <c r="D11" i="107" s="1" a="1"/>
  <c r="D11" i="107" s="1"/>
  <c r="V211" i="69" s="1"/>
  <c r="E211" i="69" s="1"/>
  <c r="L105" i="112"/>
  <c r="N773" i="107"/>
  <c r="N105" i="112" s="1"/>
  <c r="N778" i="107"/>
  <c r="N110" i="112" s="1"/>
  <c r="N781" i="107"/>
  <c r="N113" i="112" s="1"/>
  <c r="N779" i="107"/>
  <c r="N111" i="112" s="1"/>
  <c r="N780" i="107"/>
  <c r="N112" i="112" s="1"/>
  <c r="N777" i="107"/>
  <c r="N109" i="112" s="1"/>
  <c r="N775" i="107"/>
  <c r="N107" i="112" s="1"/>
  <c r="N774" i="107"/>
  <c r="N106" i="112" s="1"/>
  <c r="D56" i="104"/>
  <c r="E56" i="104" s="1"/>
  <c r="D149" i="104"/>
  <c r="E149" i="104" s="1"/>
  <c r="N178" i="41"/>
  <c r="N83" i="112" s="1"/>
  <c r="N177" i="41"/>
  <c r="N82" i="112" s="1"/>
  <c r="N176" i="41"/>
  <c r="N81" i="112" s="1"/>
  <c r="N187" i="41"/>
  <c r="N92" i="112" s="1"/>
  <c r="N186" i="41"/>
  <c r="N91" i="112" s="1"/>
  <c r="N185" i="41"/>
  <c r="N90" i="112" s="1"/>
  <c r="N184" i="41"/>
  <c r="N89" i="112" s="1"/>
  <c r="N183" i="41"/>
  <c r="N88" i="112" s="1"/>
  <c r="N182" i="41"/>
  <c r="N87" i="112" s="1"/>
  <c r="N181" i="41"/>
  <c r="N86" i="112" s="1"/>
  <c r="N180" i="41"/>
  <c r="N85" i="112" s="1"/>
  <c r="L396" i="56"/>
  <c r="L152" i="112" s="1"/>
  <c r="L395" i="56"/>
  <c r="L151" i="112" s="1"/>
  <c r="G379" i="56"/>
  <c r="E50" i="56" s="1" a="1"/>
  <c r="E50" i="56" s="1"/>
  <c r="K168" i="69" s="1"/>
  <c r="G381" i="56"/>
  <c r="E48" i="56" s="1" a="1"/>
  <c r="E48" i="56" s="1"/>
  <c r="K166" i="69" s="1"/>
  <c r="L401" i="56"/>
  <c r="L157" i="112" s="1"/>
  <c r="G380" i="56"/>
  <c r="E49" i="56" s="1" a="1"/>
  <c r="E49" i="56" s="1"/>
  <c r="K167" i="69" s="1"/>
  <c r="L402" i="56"/>
  <c r="L158" i="112" s="1"/>
  <c r="L399" i="56"/>
  <c r="L155" i="112" s="1"/>
  <c r="N192" i="41"/>
  <c r="N97" i="112" s="1"/>
  <c r="N193" i="41"/>
  <c r="N98" i="112" s="1"/>
  <c r="N188" i="41"/>
  <c r="N93" i="112" s="1"/>
  <c r="N189" i="41"/>
  <c r="N94" i="112" s="1"/>
  <c r="N190" i="41"/>
  <c r="N95" i="112" s="1"/>
  <c r="N191" i="41"/>
  <c r="N96" i="112" s="1"/>
  <c r="C155" i="98"/>
  <c r="C159" i="98" s="1"/>
  <c r="C185" i="104"/>
  <c r="C181" i="104"/>
  <c r="C184" i="104" s="1"/>
  <c r="C165" i="104"/>
  <c r="C179" i="104" s="1"/>
  <c r="C183" i="104" s="1"/>
  <c r="C124" i="104"/>
  <c r="C126" i="104" s="1"/>
  <c r="E124" i="104"/>
  <c r="E126" i="104" s="1"/>
  <c r="D124" i="104"/>
  <c r="D126" i="104" s="1"/>
  <c r="L150" i="112" l="1"/>
  <c r="G370" i="56"/>
  <c r="E47" i="56" s="1" a="1"/>
  <c r="E47" i="56" s="1"/>
  <c r="K165" i="69" s="1"/>
  <c r="H200" i="104"/>
  <c r="N212" i="104" s="1"/>
  <c r="N380" i="112" s="1"/>
  <c r="H201" i="104"/>
  <c r="N213" i="104" s="1"/>
  <c r="N381" i="112" s="1"/>
  <c r="G372" i="56"/>
  <c r="E45" i="56" s="1" a="1"/>
  <c r="E45" i="56" s="1"/>
  <c r="K163" i="69" s="1"/>
  <c r="E163" i="69" s="1"/>
  <c r="G371" i="56"/>
  <c r="E46" i="56" s="1" a="1"/>
  <c r="E46" i="56" s="1"/>
  <c r="K164" i="69" s="1"/>
  <c r="C158" i="98"/>
  <c r="F127" i="104"/>
  <c r="K210" i="104" l="1"/>
  <c r="K378" i="112" s="1"/>
  <c r="K211" i="104"/>
  <c r="K379" i="112" s="1"/>
  <c r="K209" i="104"/>
  <c r="K377" i="112" s="1"/>
  <c r="F201" i="104" l="1" a="1"/>
  <c r="F201" i="104" s="1"/>
  <c r="F200" i="104" a="1"/>
  <c r="F200" i="104" s="1"/>
  <c r="F199" i="104" a="1"/>
  <c r="F199" i="104" s="1"/>
  <c r="F198" i="104" a="1"/>
  <c r="F198" i="104" s="1"/>
  <c r="F197" i="104" a="1"/>
  <c r="F197" i="104" s="1"/>
  <c r="F196" i="104" a="1"/>
  <c r="F196" i="104" s="1"/>
  <c r="F195" i="104" a="1"/>
  <c r="F195" i="104" s="1"/>
  <c r="Q208" i="104"/>
  <c r="Q376" i="112" s="1"/>
  <c r="R208" i="104"/>
  <c r="R376" i="112" s="1"/>
  <c r="S208" i="104"/>
  <c r="S376" i="112" s="1"/>
  <c r="T208" i="104"/>
  <c r="T376" i="112" s="1"/>
  <c r="U208" i="104"/>
  <c r="U376" i="112" s="1"/>
  <c r="V208" i="104"/>
  <c r="V376" i="112" s="1"/>
  <c r="W208" i="104"/>
  <c r="W376" i="112" s="1"/>
  <c r="W207" i="104"/>
  <c r="W375" i="112" s="1"/>
  <c r="R207" i="104"/>
  <c r="R375" i="112" s="1"/>
  <c r="S207" i="104"/>
  <c r="S375" i="112" s="1"/>
  <c r="T207" i="104"/>
  <c r="T375" i="112" s="1"/>
  <c r="U207" i="104"/>
  <c r="U375" i="112" s="1"/>
  <c r="V207" i="104"/>
  <c r="V375" i="112" s="1"/>
  <c r="Q207" i="104"/>
  <c r="Q375" i="112" s="1"/>
  <c r="K208" i="104"/>
  <c r="K376" i="112" s="1"/>
  <c r="K207" i="104"/>
  <c r="K375" i="112" s="1"/>
  <c r="H376" i="112"/>
  <c r="I208" i="104"/>
  <c r="I376" i="112" s="1"/>
  <c r="H377" i="112"/>
  <c r="I209" i="104"/>
  <c r="I377" i="112" s="1"/>
  <c r="H378" i="112"/>
  <c r="I210" i="104"/>
  <c r="I378" i="112" s="1"/>
  <c r="H379" i="112"/>
  <c r="I211" i="104"/>
  <c r="I379" i="112" s="1"/>
  <c r="H380" i="112"/>
  <c r="I212" i="104"/>
  <c r="I380" i="112" s="1"/>
  <c r="H381" i="112"/>
  <c r="I213" i="104"/>
  <c r="I381" i="112" s="1"/>
  <c r="F208" i="104"/>
  <c r="F376" i="112" s="1"/>
  <c r="F207" i="104"/>
  <c r="F375" i="112" s="1"/>
  <c r="D86" i="104" l="1"/>
  <c r="E86" i="104" s="1"/>
  <c r="J213" i="104"/>
  <c r="J381" i="112" s="1"/>
  <c r="J212" i="104"/>
  <c r="J380" i="112" s="1"/>
  <c r="J211" i="104"/>
  <c r="J379" i="112" s="1"/>
  <c r="J210" i="104"/>
  <c r="J378" i="112" s="1"/>
  <c r="J209" i="104"/>
  <c r="J377" i="112" s="1"/>
  <c r="J208" i="104"/>
  <c r="J376" i="112" s="1"/>
  <c r="I207" i="104"/>
  <c r="I375" i="112" s="1"/>
  <c r="H375" i="112"/>
  <c r="H197" i="104" l="1"/>
  <c r="N209" i="104" s="1"/>
  <c r="N377" i="112" s="1"/>
  <c r="H199" i="104"/>
  <c r="N211" i="104" s="1"/>
  <c r="N379" i="112" s="1"/>
  <c r="L211" i="104"/>
  <c r="L379" i="112" s="1"/>
  <c r="H198" i="104"/>
  <c r="N210" i="104" s="1"/>
  <c r="N378" i="112" s="1"/>
  <c r="D35" i="104"/>
  <c r="E35" i="104" s="1"/>
  <c r="L210" i="104"/>
  <c r="L378" i="112" s="1"/>
  <c r="L208" i="104"/>
  <c r="J207" i="104"/>
  <c r="J375" i="112" s="1"/>
  <c r="L209" i="104"/>
  <c r="L377" i="112" s="1"/>
  <c r="U97" i="69"/>
  <c r="U98" i="69"/>
  <c r="U99" i="69"/>
  <c r="U93" i="69"/>
  <c r="U94" i="69"/>
  <c r="U95" i="69"/>
  <c r="H12" i="103" a="1"/>
  <c r="H12" i="103" s="1"/>
  <c r="S94" i="69" s="1"/>
  <c r="H13" i="103" a="1"/>
  <c r="H13" i="103" s="1"/>
  <c r="S95" i="69" s="1"/>
  <c r="H14" i="103" a="1"/>
  <c r="H14" i="103" s="1"/>
  <c r="S96" i="69" s="1"/>
  <c r="E96" i="69" s="1"/>
  <c r="H15" i="103" a="1"/>
  <c r="H15" i="103" s="1"/>
  <c r="S97" i="69" s="1"/>
  <c r="H16" i="103" a="1"/>
  <c r="H16" i="103" s="1"/>
  <c r="S98" i="69" s="1"/>
  <c r="H17" i="103" a="1"/>
  <c r="H17" i="103" s="1"/>
  <c r="S99" i="69" s="1"/>
  <c r="H18" i="103" a="1"/>
  <c r="H18" i="103" s="1"/>
  <c r="S100" i="69" s="1"/>
  <c r="E100" i="69" s="1"/>
  <c r="S93" i="69"/>
  <c r="E17" i="103" a="1"/>
  <c r="E17" i="103" s="1"/>
  <c r="K99" i="69" s="1"/>
  <c r="E16" i="103" a="1"/>
  <c r="E16" i="103" s="1"/>
  <c r="K98" i="69" s="1"/>
  <c r="E15" i="103" a="1"/>
  <c r="E15" i="103" s="1"/>
  <c r="K97" i="69" s="1"/>
  <c r="F11" i="103" a="1"/>
  <c r="F11" i="103" s="1"/>
  <c r="P93" i="69" s="1"/>
  <c r="G11" i="103" a="1"/>
  <c r="G11" i="103" s="1"/>
  <c r="R93" i="69" s="1"/>
  <c r="F12" i="103" a="1"/>
  <c r="F12" i="103" s="1"/>
  <c r="P94" i="69" s="1"/>
  <c r="G12" i="103" a="1"/>
  <c r="G12" i="103" s="1"/>
  <c r="R94" i="69" s="1"/>
  <c r="F13" i="103" a="1"/>
  <c r="F13" i="103" s="1"/>
  <c r="P95" i="69" s="1"/>
  <c r="G13" i="103" a="1"/>
  <c r="G13" i="103" s="1"/>
  <c r="R95" i="69" s="1"/>
  <c r="F15" i="103" a="1"/>
  <c r="F15" i="103" s="1"/>
  <c r="P97" i="69" s="1"/>
  <c r="G15" i="103" a="1"/>
  <c r="G15" i="103" s="1"/>
  <c r="R97" i="69" s="1"/>
  <c r="F16" i="103" a="1"/>
  <c r="F16" i="103" s="1"/>
  <c r="P98" i="69" s="1"/>
  <c r="G16" i="103" a="1"/>
  <c r="G16" i="103" s="1"/>
  <c r="R98" i="69" s="1"/>
  <c r="F17" i="103" a="1"/>
  <c r="F17" i="103" s="1"/>
  <c r="P99" i="69" s="1"/>
  <c r="G17" i="103" a="1"/>
  <c r="G17" i="103" s="1"/>
  <c r="R99" i="69" s="1"/>
  <c r="E11" i="103" a="1"/>
  <c r="E11" i="103" s="1"/>
  <c r="K93" i="69" s="1"/>
  <c r="E13" i="103" a="1"/>
  <c r="E13" i="103" s="1"/>
  <c r="K95" i="69" s="1"/>
  <c r="E12" i="103" a="1"/>
  <c r="E12" i="103" s="1"/>
  <c r="K94" i="69" s="1"/>
  <c r="E267" i="99"/>
  <c r="D166" i="99"/>
  <c r="G166" i="99"/>
  <c r="D164" i="99"/>
  <c r="G164" i="99"/>
  <c r="D162" i="99"/>
  <c r="G162" i="99"/>
  <c r="G163" i="99"/>
  <c r="G165" i="99"/>
  <c r="G161" i="99"/>
  <c r="F12" i="101" a="1"/>
  <c r="F12" i="101" s="1"/>
  <c r="S89" i="69" s="1"/>
  <c r="F13" i="101" a="1"/>
  <c r="F13" i="101" s="1"/>
  <c r="S90" i="69" s="1"/>
  <c r="F14" i="101" a="1"/>
  <c r="F14" i="101" s="1"/>
  <c r="S91" i="69" s="1"/>
  <c r="F15" i="101" a="1"/>
  <c r="F15" i="101" s="1"/>
  <c r="S92" i="69" s="1"/>
  <c r="E92" i="69" s="1"/>
  <c r="F11" i="101" a="1"/>
  <c r="F11" i="101" s="1"/>
  <c r="S88" i="69" s="1"/>
  <c r="D165" i="99"/>
  <c r="D163" i="99"/>
  <c r="E12" i="101" a="1"/>
  <c r="E12" i="101" s="1"/>
  <c r="K89" i="69" s="1"/>
  <c r="E89" i="69" s="1"/>
  <c r="E13" i="101" a="1"/>
  <c r="E13" i="101" s="1"/>
  <c r="K90" i="69" s="1"/>
  <c r="E90" i="69" s="1"/>
  <c r="E14" i="101" a="1"/>
  <c r="E14" i="101" s="1"/>
  <c r="K91" i="69" s="1"/>
  <c r="E11" i="101" a="1"/>
  <c r="E11" i="101" s="1"/>
  <c r="K88" i="69" s="1"/>
  <c r="D161" i="99"/>
  <c r="J14" i="97" a="1"/>
  <c r="J14" i="97" s="1"/>
  <c r="X87" i="69" s="1"/>
  <c r="J13" i="97" a="1"/>
  <c r="J13" i="97" s="1"/>
  <c r="X86" i="69" s="1"/>
  <c r="H12" i="97" a="1"/>
  <c r="H12" i="97" s="1"/>
  <c r="S85" i="69" s="1"/>
  <c r="H13" i="97" a="1"/>
  <c r="H13" i="97" s="1"/>
  <c r="S86" i="69" s="1"/>
  <c r="H14" i="97" a="1"/>
  <c r="H14" i="97" s="1"/>
  <c r="S87" i="69" s="1"/>
  <c r="H11" i="97" a="1"/>
  <c r="H11" i="97" s="1"/>
  <c r="S84" i="69" s="1"/>
  <c r="E84" i="69" s="1"/>
  <c r="G13" i="97" a="1"/>
  <c r="G13" i="97" s="1"/>
  <c r="R86" i="69" s="1"/>
  <c r="G14" i="97" a="1"/>
  <c r="G14" i="97" s="1"/>
  <c r="R87" i="69" s="1"/>
  <c r="F13" i="97" a="1"/>
  <c r="F13" i="97" s="1"/>
  <c r="P86" i="69" s="1"/>
  <c r="F14" i="97" a="1"/>
  <c r="F14" i="97" s="1"/>
  <c r="P87" i="69" s="1"/>
  <c r="F12" i="97" a="1"/>
  <c r="F12" i="97" s="1"/>
  <c r="P85" i="69" s="1"/>
  <c r="G12" i="97" a="1"/>
  <c r="G12" i="97" s="1"/>
  <c r="R85" i="69" s="1"/>
  <c r="E13" i="97" a="1"/>
  <c r="E13" i="97" s="1"/>
  <c r="K86" i="69" s="1"/>
  <c r="E14" i="97" a="1"/>
  <c r="E14" i="97" s="1"/>
  <c r="K87" i="69" s="1"/>
  <c r="K85" i="69"/>
  <c r="E13" i="45"/>
  <c r="F12" i="99"/>
  <c r="S230" i="69" s="1"/>
  <c r="F13" i="99"/>
  <c r="S231" i="69" s="1"/>
  <c r="F14" i="99"/>
  <c r="S232" i="69" s="1"/>
  <c r="F11" i="99"/>
  <c r="S229" i="69" s="1"/>
  <c r="D442" i="99"/>
  <c r="D443" i="99"/>
  <c r="D444" i="99"/>
  <c r="D441" i="99"/>
  <c r="E14" i="99" a="1"/>
  <c r="E14" i="99" s="1"/>
  <c r="N232" i="69" s="1"/>
  <c r="F425" i="99" a="1"/>
  <c r="F425" i="99" s="1"/>
  <c r="F424" i="99" a="1"/>
  <c r="F424" i="99" s="1"/>
  <c r="F423" i="99" a="1"/>
  <c r="F423" i="99" s="1"/>
  <c r="S430" i="99"/>
  <c r="S392" i="112" s="1"/>
  <c r="T430" i="99"/>
  <c r="T392" i="112" s="1"/>
  <c r="U430" i="99"/>
  <c r="U392" i="112" s="1"/>
  <c r="V430" i="99"/>
  <c r="V392" i="112" s="1"/>
  <c r="W430" i="99"/>
  <c r="W392" i="112" s="1"/>
  <c r="S431" i="99"/>
  <c r="S393" i="112" s="1"/>
  <c r="T431" i="99"/>
  <c r="T393" i="112" s="1"/>
  <c r="U431" i="99"/>
  <c r="U393" i="112" s="1"/>
  <c r="V431" i="99"/>
  <c r="V393" i="112" s="1"/>
  <c r="W431" i="99"/>
  <c r="W393" i="112" s="1"/>
  <c r="S432" i="99"/>
  <c r="T432" i="99"/>
  <c r="U432" i="99"/>
  <c r="V432" i="99"/>
  <c r="W432" i="99"/>
  <c r="R431" i="99"/>
  <c r="R393" i="112" s="1"/>
  <c r="R432" i="99"/>
  <c r="R430" i="99"/>
  <c r="R392" i="112" s="1"/>
  <c r="F431" i="99"/>
  <c r="F393" i="112" s="1"/>
  <c r="F432" i="99"/>
  <c r="F430" i="99"/>
  <c r="F392" i="112" s="1"/>
  <c r="D424" i="99"/>
  <c r="D425" i="99"/>
  <c r="D426" i="99"/>
  <c r="D423" i="99"/>
  <c r="H392" i="112"/>
  <c r="I430" i="99"/>
  <c r="I392" i="112" s="1"/>
  <c r="H393" i="112"/>
  <c r="I431" i="99"/>
  <c r="I393" i="112" s="1"/>
  <c r="J432" i="99"/>
  <c r="I432" i="99"/>
  <c r="D396" i="99"/>
  <c r="D397" i="99"/>
  <c r="D398" i="99"/>
  <c r="D14" i="99" a="1"/>
  <c r="D14" i="99" s="1"/>
  <c r="M232" i="69" s="1"/>
  <c r="F362" i="99" a="1"/>
  <c r="F362" i="99" s="1"/>
  <c r="F361" i="99" a="1"/>
  <c r="F361" i="99" s="1"/>
  <c r="F360" i="99" a="1"/>
  <c r="F360" i="99" s="1"/>
  <c r="D361" i="99"/>
  <c r="D362" i="99"/>
  <c r="D363" i="99"/>
  <c r="D360" i="99"/>
  <c r="R367" i="99"/>
  <c r="R389" i="112" s="1"/>
  <c r="S367" i="99"/>
  <c r="S389" i="112" s="1"/>
  <c r="T367" i="99"/>
  <c r="T389" i="112" s="1"/>
  <c r="U367" i="99"/>
  <c r="U389" i="112" s="1"/>
  <c r="V367" i="99"/>
  <c r="V389" i="112" s="1"/>
  <c r="W367" i="99"/>
  <c r="W389" i="112" s="1"/>
  <c r="R368" i="99"/>
  <c r="R390" i="112" s="1"/>
  <c r="S368" i="99"/>
  <c r="S390" i="112" s="1"/>
  <c r="T368" i="99"/>
  <c r="T390" i="112" s="1"/>
  <c r="U368" i="99"/>
  <c r="U390" i="112" s="1"/>
  <c r="V368" i="99"/>
  <c r="V390" i="112" s="1"/>
  <c r="W368" i="99"/>
  <c r="W390" i="112" s="1"/>
  <c r="R369" i="99"/>
  <c r="R391" i="112" s="1"/>
  <c r="S369" i="99"/>
  <c r="S391" i="112" s="1"/>
  <c r="T369" i="99"/>
  <c r="T391" i="112" s="1"/>
  <c r="U369" i="99"/>
  <c r="U391" i="112" s="1"/>
  <c r="V369" i="99"/>
  <c r="V391" i="112" s="1"/>
  <c r="W369" i="99"/>
  <c r="W391" i="112" s="1"/>
  <c r="Q368" i="99"/>
  <c r="Q390" i="112" s="1"/>
  <c r="Q369" i="99"/>
  <c r="Q391" i="112" s="1"/>
  <c r="Q367" i="99"/>
  <c r="Q389" i="112" s="1"/>
  <c r="F368" i="99"/>
  <c r="F390" i="112" s="1"/>
  <c r="F369" i="99"/>
  <c r="F391" i="112" s="1"/>
  <c r="F367" i="99"/>
  <c r="F389" i="112" s="1"/>
  <c r="H390" i="112"/>
  <c r="I368" i="99"/>
  <c r="I390" i="112" s="1"/>
  <c r="H391" i="112"/>
  <c r="I369" i="99"/>
  <c r="I391" i="112" s="1"/>
  <c r="H389" i="112"/>
  <c r="I367" i="99"/>
  <c r="I389" i="112" s="1"/>
  <c r="C351" i="99"/>
  <c r="D320" i="99"/>
  <c r="D321" i="99"/>
  <c r="D319" i="99"/>
  <c r="F171" i="99"/>
  <c r="E171" i="99"/>
  <c r="F172" i="99"/>
  <c r="E172" i="99"/>
  <c r="F173" i="99"/>
  <c r="E173" i="99"/>
  <c r="F174" i="99"/>
  <c r="E174" i="99"/>
  <c r="F175" i="99"/>
  <c r="E175" i="99"/>
  <c r="F176" i="99"/>
  <c r="E176" i="99"/>
  <c r="F177" i="99"/>
  <c r="E177" i="99"/>
  <c r="F178" i="99"/>
  <c r="E178" i="99"/>
  <c r="F179" i="99"/>
  <c r="E179" i="99"/>
  <c r="E180" i="99"/>
  <c r="E181" i="99"/>
  <c r="E182" i="99"/>
  <c r="E183" i="99"/>
  <c r="F184" i="99"/>
  <c r="E184" i="99"/>
  <c r="E170" i="99"/>
  <c r="F170" i="99"/>
  <c r="E269" i="99"/>
  <c r="E268" i="99"/>
  <c r="C269" i="99"/>
  <c r="C268" i="99"/>
  <c r="C267" i="99"/>
  <c r="E91" i="69" l="1"/>
  <c r="E85" i="69"/>
  <c r="E87" i="69"/>
  <c r="E94" i="69"/>
  <c r="E86" i="69"/>
  <c r="E95" i="69"/>
  <c r="E93" i="69"/>
  <c r="E88" i="69"/>
  <c r="E97" i="69"/>
  <c r="E99" i="69"/>
  <c r="E98" i="69"/>
  <c r="G199" i="104"/>
  <c r="E13" i="104" s="1" a="1"/>
  <c r="E13" i="104" s="1"/>
  <c r="I115" i="69" s="1"/>
  <c r="H196" i="104"/>
  <c r="N208" i="104" s="1"/>
  <c r="N376" i="112" s="1"/>
  <c r="G198" i="104"/>
  <c r="E12" i="104" s="1" a="1"/>
  <c r="E12" i="104" s="1"/>
  <c r="I114" i="69" s="1"/>
  <c r="E114" i="69" s="1"/>
  <c r="G196" i="104"/>
  <c r="D13" i="104" s="1" a="1"/>
  <c r="D13" i="104" s="1"/>
  <c r="F115" i="69" s="1"/>
  <c r="L376" i="112"/>
  <c r="G197" i="104"/>
  <c r="E11" i="104" s="1" a="1"/>
  <c r="E11" i="104" s="1"/>
  <c r="I113" i="69" s="1"/>
  <c r="D310" i="99"/>
  <c r="E310" i="99" s="1"/>
  <c r="H195" i="104"/>
  <c r="N207" i="104" s="1"/>
  <c r="N375" i="112" s="1"/>
  <c r="D389" i="99"/>
  <c r="E389" i="99" s="1"/>
  <c r="D221" i="99"/>
  <c r="E221" i="99" s="1"/>
  <c r="L207" i="104"/>
  <c r="J369" i="99"/>
  <c r="J391" i="112" s="1"/>
  <c r="J430" i="99"/>
  <c r="J392" i="112" s="1"/>
  <c r="J367" i="99"/>
  <c r="J389" i="112" s="1"/>
  <c r="J368" i="99"/>
  <c r="J390" i="112" s="1"/>
  <c r="J431" i="99"/>
  <c r="J393" i="112" s="1"/>
  <c r="H161" i="99"/>
  <c r="I161" i="99" s="1"/>
  <c r="K161" i="99" s="1"/>
  <c r="H165" i="99"/>
  <c r="I165" i="99" s="1"/>
  <c r="K165" i="99" s="1"/>
  <c r="H164" i="99"/>
  <c r="I164" i="99" s="1"/>
  <c r="K164" i="99" s="1"/>
  <c r="H166" i="99"/>
  <c r="I166" i="99" s="1"/>
  <c r="K166" i="99" s="1"/>
  <c r="H163" i="99"/>
  <c r="I163" i="99" s="1"/>
  <c r="K163" i="99" s="1"/>
  <c r="H162" i="99"/>
  <c r="I162" i="99" s="1"/>
  <c r="K162" i="99" s="1"/>
  <c r="H360" i="99" l="1"/>
  <c r="N369" i="99" s="1"/>
  <c r="N391" i="112" s="1"/>
  <c r="G195" i="104"/>
  <c r="D11" i="104" s="1" a="1"/>
  <c r="D11" i="104" s="1"/>
  <c r="F113" i="69" s="1"/>
  <c r="L375" i="112"/>
  <c r="N430" i="99"/>
  <c r="N392" i="112" s="1"/>
  <c r="H423" i="99"/>
  <c r="N432" i="99"/>
  <c r="N431" i="99"/>
  <c r="N393" i="112" s="1"/>
  <c r="G170" i="99"/>
  <c r="H170" i="99" s="1"/>
  <c r="G171" i="99"/>
  <c r="H171" i="99" s="1"/>
  <c r="G172" i="99"/>
  <c r="H172" i="99" s="1"/>
  <c r="G173" i="99"/>
  <c r="H173" i="99" s="1"/>
  <c r="G174" i="99"/>
  <c r="H174" i="99" s="1"/>
  <c r="G179" i="99"/>
  <c r="H179" i="99" s="1"/>
  <c r="G184" i="99"/>
  <c r="H184" i="99" s="1"/>
  <c r="G178" i="99"/>
  <c r="H178" i="99" s="1"/>
  <c r="G177" i="99"/>
  <c r="H177" i="99" s="1"/>
  <c r="G176" i="99"/>
  <c r="H176" i="99" s="1"/>
  <c r="G175" i="99"/>
  <c r="H175" i="99" s="1"/>
  <c r="D153" i="99"/>
  <c r="D154" i="99"/>
  <c r="D155" i="99"/>
  <c r="D156" i="99"/>
  <c r="D147" i="99"/>
  <c r="D148" i="99"/>
  <c r="D149" i="99"/>
  <c r="D150" i="99"/>
  <c r="D141" i="99"/>
  <c r="D142" i="99"/>
  <c r="D143" i="99"/>
  <c r="D144" i="99"/>
  <c r="D71" i="99"/>
  <c r="D72" i="99"/>
  <c r="D70" i="99"/>
  <c r="F140" i="99" s="1"/>
  <c r="N368" i="99" l="1"/>
  <c r="N390" i="112" s="1"/>
  <c r="N367" i="99"/>
  <c r="N389" i="112" s="1"/>
  <c r="D157" i="99"/>
  <c r="E157" i="99" s="1"/>
  <c r="D145" i="99"/>
  <c r="E142" i="99" s="1"/>
  <c r="D151" i="99"/>
  <c r="E151" i="99" s="1"/>
  <c r="F145" i="99"/>
  <c r="F143" i="99"/>
  <c r="F149" i="99"/>
  <c r="F147" i="99"/>
  <c r="F153" i="99"/>
  <c r="F144" i="99"/>
  <c r="F148" i="99"/>
  <c r="F142" i="99"/>
  <c r="F152" i="99"/>
  <c r="F141" i="99"/>
  <c r="F157" i="99"/>
  <c r="F146" i="99"/>
  <c r="F156" i="99"/>
  <c r="F151" i="99"/>
  <c r="F155" i="99"/>
  <c r="F150" i="99"/>
  <c r="F154" i="99"/>
  <c r="E156" i="99" l="1"/>
  <c r="G156" i="99" s="1"/>
  <c r="E191" i="99" s="1"/>
  <c r="E155" i="99"/>
  <c r="G155" i="99" s="1"/>
  <c r="E144" i="99"/>
  <c r="G144" i="99" s="1"/>
  <c r="E199" i="99" s="1"/>
  <c r="E153" i="99"/>
  <c r="G153" i="99" s="1"/>
  <c r="E147" i="99"/>
  <c r="G147" i="99" s="1"/>
  <c r="E193" i="99" s="1"/>
  <c r="E149" i="99"/>
  <c r="G149" i="99" s="1"/>
  <c r="E154" i="99"/>
  <c r="G154" i="99" s="1"/>
  <c r="E150" i="99"/>
  <c r="G150" i="99" s="1"/>
  <c r="E195" i="99" s="1"/>
  <c r="E141" i="99"/>
  <c r="G141" i="99" s="1"/>
  <c r="E197" i="99" s="1"/>
  <c r="E152" i="99"/>
  <c r="G152" i="99" s="1"/>
  <c r="E148" i="99"/>
  <c r="G148" i="99" s="1"/>
  <c r="E194" i="99" s="1"/>
  <c r="E146" i="99"/>
  <c r="G146" i="99" s="1"/>
  <c r="E192" i="99" s="1"/>
  <c r="E140" i="99"/>
  <c r="G140" i="99" s="1"/>
  <c r="E196" i="99" s="1"/>
  <c r="E145" i="99"/>
  <c r="E143" i="99"/>
  <c r="G143" i="99" s="1"/>
  <c r="G142" i="99"/>
  <c r="E198" i="99" s="1"/>
  <c r="I79" i="100"/>
  <c r="I403" i="112" s="1"/>
  <c r="H403" i="112"/>
  <c r="F75" i="100" a="1"/>
  <c r="F75" i="100" s="1"/>
  <c r="S194" i="69"/>
  <c r="E194" i="69" s="1"/>
  <c r="S193" i="69"/>
  <c r="E193" i="69" s="1"/>
  <c r="S192" i="69"/>
  <c r="D34" i="100" l="1"/>
  <c r="E34" i="100" s="1"/>
  <c r="J79" i="100"/>
  <c r="J403" i="112" s="1"/>
  <c r="E188" i="99"/>
  <c r="E161" i="99"/>
  <c r="E189" i="99"/>
  <c r="E190" i="99"/>
  <c r="E164" i="99"/>
  <c r="E163" i="99"/>
  <c r="E165" i="99"/>
  <c r="E166" i="99"/>
  <c r="E162" i="99"/>
  <c r="L79" i="100" l="1"/>
  <c r="H75" i="100"/>
  <c r="N79" i="100"/>
  <c r="N403" i="112" s="1"/>
  <c r="F161" i="99"/>
  <c r="L162" i="99" s="1"/>
  <c r="F163" i="99"/>
  <c r="L163" i="99" s="1"/>
  <c r="F165" i="99"/>
  <c r="L166" i="99" s="1"/>
  <c r="C270" i="99"/>
  <c r="Q57" i="96"/>
  <c r="Q303" i="112" s="1"/>
  <c r="V57" i="96"/>
  <c r="V303" i="112" s="1"/>
  <c r="U57" i="96"/>
  <c r="U303" i="112" s="1"/>
  <c r="T57" i="96"/>
  <c r="T303" i="112" s="1"/>
  <c r="S57" i="96"/>
  <c r="S303" i="112" s="1"/>
  <c r="R57" i="96"/>
  <c r="R303" i="112" s="1"/>
  <c r="I56" i="96"/>
  <c r="I302" i="112" s="1"/>
  <c r="I57" i="96"/>
  <c r="I303" i="112" s="1"/>
  <c r="D52" i="96"/>
  <c r="D51" i="96"/>
  <c r="G75" i="100" l="1"/>
  <c r="F11" i="100" s="1" a="1"/>
  <c r="F11" i="100" s="1"/>
  <c r="V192" i="69" s="1"/>
  <c r="E192" i="69" s="1"/>
  <c r="L403" i="112"/>
  <c r="L165" i="99"/>
  <c r="M165" i="99" s="1"/>
  <c r="L164" i="99"/>
  <c r="M163" i="99" s="1"/>
  <c r="L161" i="99"/>
  <c r="M161" i="99" s="1"/>
  <c r="C336" i="99" s="1"/>
  <c r="C342" i="99" s="1"/>
  <c r="C347" i="99" s="1"/>
  <c r="C354" i="99" s="1"/>
  <c r="E46" i="96"/>
  <c r="E47" i="96" s="1"/>
  <c r="E53" i="99"/>
  <c r="F183" i="99" s="1"/>
  <c r="G183" i="99" s="1"/>
  <c r="H183" i="99" s="1"/>
  <c r="E52" i="99"/>
  <c r="F182" i="99" s="1"/>
  <c r="G182" i="99" s="1"/>
  <c r="H182" i="99" s="1"/>
  <c r="E51" i="99"/>
  <c r="F181" i="99" s="1"/>
  <c r="G181" i="99" s="1"/>
  <c r="H181" i="99" s="1"/>
  <c r="E50" i="99"/>
  <c r="F180" i="99" s="1"/>
  <c r="G180" i="99" s="1"/>
  <c r="H180" i="99" s="1"/>
  <c r="C338" i="99" l="1"/>
  <c r="C408" i="99"/>
  <c r="C414" i="99" s="1"/>
  <c r="C419" i="99" s="1"/>
  <c r="C407" i="99"/>
  <c r="C413" i="99" s="1"/>
  <c r="C418" i="99" s="1"/>
  <c r="C337" i="99"/>
  <c r="C406" i="99"/>
  <c r="C412" i="99" s="1"/>
  <c r="C417" i="99" s="1"/>
  <c r="K367" i="99"/>
  <c r="K389" i="112" s="1"/>
  <c r="D263" i="99"/>
  <c r="E263" i="99" s="1"/>
  <c r="C276" i="99" s="1"/>
  <c r="I184" i="99"/>
  <c r="D199" i="99" s="1"/>
  <c r="F199" i="99" s="1"/>
  <c r="I180" i="99"/>
  <c r="D196" i="99" s="1"/>
  <c r="I183" i="99"/>
  <c r="I182" i="99"/>
  <c r="I181" i="99"/>
  <c r="D197" i="99" s="1"/>
  <c r="I176" i="99"/>
  <c r="D193" i="99" s="1"/>
  <c r="F193" i="99" s="1"/>
  <c r="I177" i="99"/>
  <c r="I178" i="99"/>
  <c r="I179" i="99"/>
  <c r="D195" i="99" s="1"/>
  <c r="F195" i="99" s="1"/>
  <c r="I175" i="99"/>
  <c r="D192" i="99" s="1"/>
  <c r="F192" i="99" s="1"/>
  <c r="I171" i="99"/>
  <c r="D189" i="99" s="1"/>
  <c r="F189" i="99" s="1"/>
  <c r="I172" i="99"/>
  <c r="I173" i="99"/>
  <c r="I174" i="99"/>
  <c r="D191" i="99" s="1"/>
  <c r="F191" i="99" s="1"/>
  <c r="I170" i="99"/>
  <c r="D188" i="99" s="1"/>
  <c r="F188" i="99" s="1"/>
  <c r="D262" i="99"/>
  <c r="E262" i="99" s="1"/>
  <c r="C275" i="99" s="1"/>
  <c r="D261" i="99"/>
  <c r="E261" i="99" s="1"/>
  <c r="C274" i="99" s="1"/>
  <c r="K56" i="96"/>
  <c r="K302" i="112" s="1"/>
  <c r="K57" i="96"/>
  <c r="K303" i="112" s="1"/>
  <c r="L367" i="99" l="1"/>
  <c r="L389" i="112" s="1"/>
  <c r="C343" i="99"/>
  <c r="C348" i="99" s="1"/>
  <c r="C355" i="99" s="1"/>
  <c r="K368" i="99" s="1"/>
  <c r="K390" i="112" s="1"/>
  <c r="C344" i="99"/>
  <c r="C349" i="99" s="1"/>
  <c r="C356" i="99" s="1"/>
  <c r="K369" i="99" s="1"/>
  <c r="K391" i="112" s="1"/>
  <c r="D198" i="99"/>
  <c r="F198" i="99" s="1"/>
  <c r="D194" i="99"/>
  <c r="F194" i="99" s="1"/>
  <c r="D190" i="99"/>
  <c r="F190" i="99" s="1"/>
  <c r="F196" i="99"/>
  <c r="F197" i="99"/>
  <c r="V232" i="69"/>
  <c r="E232" i="69" s="1"/>
  <c r="H394" i="112"/>
  <c r="I288" i="99"/>
  <c r="I394" i="112" s="1"/>
  <c r="I179" i="98"/>
  <c r="I383" i="112" s="1"/>
  <c r="I180" i="98"/>
  <c r="I384" i="112" s="1"/>
  <c r="I181" i="98"/>
  <c r="I385" i="112" s="1"/>
  <c r="I182" i="98"/>
  <c r="I386" i="112" s="1"/>
  <c r="I183" i="98"/>
  <c r="I387" i="112" s="1"/>
  <c r="I184" i="98"/>
  <c r="I388" i="112" s="1"/>
  <c r="I178" i="98"/>
  <c r="I382" i="112" s="1"/>
  <c r="H383" i="112"/>
  <c r="H384" i="112"/>
  <c r="H385" i="112"/>
  <c r="H386" i="112"/>
  <c r="H387" i="112"/>
  <c r="H388" i="112"/>
  <c r="H382" i="112"/>
  <c r="K110" i="96"/>
  <c r="K304" i="112" s="1"/>
  <c r="F171" i="98" a="1"/>
  <c r="F171" i="98" s="1"/>
  <c r="F170" i="98" a="1"/>
  <c r="F170" i="98" s="1"/>
  <c r="C57" i="98"/>
  <c r="C58" i="98" s="1"/>
  <c r="C91" i="98"/>
  <c r="C92" i="98" s="1"/>
  <c r="F178" i="98"/>
  <c r="F382" i="112" s="1"/>
  <c r="Q178" i="98"/>
  <c r="Q382" i="112" s="1"/>
  <c r="R178" i="98"/>
  <c r="R382" i="112" s="1"/>
  <c r="S178" i="98"/>
  <c r="S382" i="112" s="1"/>
  <c r="T178" i="98"/>
  <c r="T382" i="112" s="1"/>
  <c r="U178" i="98"/>
  <c r="U382" i="112" s="1"/>
  <c r="V178" i="98"/>
  <c r="V382" i="112" s="1"/>
  <c r="W178" i="98"/>
  <c r="W382" i="112" s="1"/>
  <c r="F179" i="98"/>
  <c r="F383" i="112" s="1"/>
  <c r="Q179" i="98"/>
  <c r="Q383" i="112" s="1"/>
  <c r="R179" i="98"/>
  <c r="R383" i="112" s="1"/>
  <c r="S179" i="98"/>
  <c r="S383" i="112" s="1"/>
  <c r="T179" i="98"/>
  <c r="T383" i="112" s="1"/>
  <c r="U179" i="98"/>
  <c r="U383" i="112" s="1"/>
  <c r="V179" i="98"/>
  <c r="V383" i="112" s="1"/>
  <c r="W179" i="98"/>
  <c r="W383" i="112" s="1"/>
  <c r="F180" i="98"/>
  <c r="F384" i="112" s="1"/>
  <c r="Q180" i="98"/>
  <c r="Q384" i="112" s="1"/>
  <c r="R180" i="98"/>
  <c r="R384" i="112" s="1"/>
  <c r="S180" i="98"/>
  <c r="S384" i="112" s="1"/>
  <c r="T180" i="98"/>
  <c r="T384" i="112" s="1"/>
  <c r="U180" i="98"/>
  <c r="U384" i="112" s="1"/>
  <c r="V180" i="98"/>
  <c r="V384" i="112" s="1"/>
  <c r="W180" i="98"/>
  <c r="W384" i="112" s="1"/>
  <c r="F181" i="98"/>
  <c r="F385" i="112" s="1"/>
  <c r="Q181" i="98"/>
  <c r="Q385" i="112" s="1"/>
  <c r="R181" i="98"/>
  <c r="R385" i="112" s="1"/>
  <c r="S181" i="98"/>
  <c r="S385" i="112" s="1"/>
  <c r="T181" i="98"/>
  <c r="T385" i="112" s="1"/>
  <c r="U181" i="98"/>
  <c r="U385" i="112" s="1"/>
  <c r="V181" i="98"/>
  <c r="V385" i="112" s="1"/>
  <c r="W181" i="98"/>
  <c r="W385" i="112" s="1"/>
  <c r="W110" i="96"/>
  <c r="W304" i="112" s="1"/>
  <c r="V110" i="96"/>
  <c r="V304" i="112" s="1"/>
  <c r="U110" i="96"/>
  <c r="U304" i="112" s="1"/>
  <c r="T110" i="96"/>
  <c r="T304" i="112" s="1"/>
  <c r="S110" i="96"/>
  <c r="S304" i="112" s="1"/>
  <c r="R110" i="96"/>
  <c r="R304" i="112" s="1"/>
  <c r="Q110" i="96"/>
  <c r="Q304" i="112" s="1"/>
  <c r="I110" i="96"/>
  <c r="I304" i="112" s="1"/>
  <c r="J110" i="96"/>
  <c r="J304" i="112" s="1"/>
  <c r="F110" i="96"/>
  <c r="F304" i="112" s="1"/>
  <c r="C105" i="96"/>
  <c r="D69" i="96"/>
  <c r="D70" i="96"/>
  <c r="D71" i="96"/>
  <c r="D68" i="96"/>
  <c r="C69" i="96"/>
  <c r="C70" i="96"/>
  <c r="C71" i="96"/>
  <c r="C68" i="96"/>
  <c r="E11" i="96" s="1" a="1"/>
  <c r="E11" i="96" s="1"/>
  <c r="S195" i="69" s="1"/>
  <c r="E195" i="69" s="1"/>
  <c r="G188" i="69"/>
  <c r="K53" i="95"/>
  <c r="K307" i="112" s="1"/>
  <c r="K52" i="95"/>
  <c r="K306" i="112" s="1"/>
  <c r="I52" i="95"/>
  <c r="I306" i="112" s="1"/>
  <c r="J52" i="95"/>
  <c r="J306" i="112" s="1"/>
  <c r="F52" i="95"/>
  <c r="F306" i="112" s="1"/>
  <c r="F53" i="95"/>
  <c r="F307" i="112" s="1"/>
  <c r="F51" i="95"/>
  <c r="F305" i="112" s="1"/>
  <c r="F46" i="95" a="1"/>
  <c r="F46" i="95" s="1"/>
  <c r="F139" i="58" a="1"/>
  <c r="F139" i="58" s="1"/>
  <c r="F138" i="58" a="1"/>
  <c r="F138" i="58" s="1"/>
  <c r="F137" i="58" a="1"/>
  <c r="F137" i="58" s="1"/>
  <c r="F136" i="58" a="1"/>
  <c r="F136" i="58" s="1"/>
  <c r="F135" i="58" a="1"/>
  <c r="F135" i="58" s="1"/>
  <c r="K147" i="58"/>
  <c r="K369" i="112" s="1"/>
  <c r="D115" i="58"/>
  <c r="K145" i="58" s="1"/>
  <c r="K367" i="112" s="1"/>
  <c r="R143" i="58"/>
  <c r="R365" i="112" s="1"/>
  <c r="S143" i="58"/>
  <c r="S365" i="112" s="1"/>
  <c r="T143" i="58"/>
  <c r="T365" i="112" s="1"/>
  <c r="U143" i="58"/>
  <c r="U365" i="112" s="1"/>
  <c r="V143" i="58"/>
  <c r="V365" i="112" s="1"/>
  <c r="W143" i="58"/>
  <c r="W365" i="112" s="1"/>
  <c r="R144" i="58"/>
  <c r="R366" i="112" s="1"/>
  <c r="S144" i="58"/>
  <c r="S366" i="112" s="1"/>
  <c r="T144" i="58"/>
  <c r="T366" i="112" s="1"/>
  <c r="U144" i="58"/>
  <c r="U366" i="112" s="1"/>
  <c r="V144" i="58"/>
  <c r="V366" i="112" s="1"/>
  <c r="W144" i="58"/>
  <c r="W366" i="112" s="1"/>
  <c r="R145" i="58"/>
  <c r="R367" i="112" s="1"/>
  <c r="S145" i="58"/>
  <c r="S367" i="112" s="1"/>
  <c r="T145" i="58"/>
  <c r="T367" i="112" s="1"/>
  <c r="U145" i="58"/>
  <c r="U367" i="112" s="1"/>
  <c r="V145" i="58"/>
  <c r="V367" i="112" s="1"/>
  <c r="W145" i="58"/>
  <c r="W367" i="112" s="1"/>
  <c r="R146" i="58"/>
  <c r="R368" i="112" s="1"/>
  <c r="S146" i="58"/>
  <c r="S368" i="112" s="1"/>
  <c r="T146" i="58"/>
  <c r="T368" i="112" s="1"/>
  <c r="U146" i="58"/>
  <c r="U368" i="112" s="1"/>
  <c r="V146" i="58"/>
  <c r="V368" i="112" s="1"/>
  <c r="W146" i="58"/>
  <c r="W368" i="112" s="1"/>
  <c r="R147" i="58"/>
  <c r="R369" i="112" s="1"/>
  <c r="S147" i="58"/>
  <c r="S369" i="112" s="1"/>
  <c r="T147" i="58"/>
  <c r="T369" i="112" s="1"/>
  <c r="U147" i="58"/>
  <c r="U369" i="112" s="1"/>
  <c r="V147" i="58"/>
  <c r="V369" i="112" s="1"/>
  <c r="W147" i="58"/>
  <c r="W369" i="112" s="1"/>
  <c r="Q144" i="58"/>
  <c r="Q366" i="112" s="1"/>
  <c r="Q145" i="58"/>
  <c r="Q367" i="112" s="1"/>
  <c r="Q146" i="58"/>
  <c r="Q368" i="112" s="1"/>
  <c r="Q147" i="58"/>
  <c r="Q369" i="112" s="1"/>
  <c r="Q143" i="58"/>
  <c r="Q365" i="112" s="1"/>
  <c r="I144" i="58"/>
  <c r="I366" i="112" s="1"/>
  <c r="I145" i="58"/>
  <c r="I367" i="112" s="1"/>
  <c r="I146" i="58"/>
  <c r="I368" i="112" s="1"/>
  <c r="I147" i="58"/>
  <c r="I369" i="112" s="1"/>
  <c r="H366" i="112"/>
  <c r="H367" i="112"/>
  <c r="H368" i="112"/>
  <c r="H369" i="112"/>
  <c r="F144" i="58"/>
  <c r="F366" i="112" s="1"/>
  <c r="F145" i="58"/>
  <c r="F367" i="112" s="1"/>
  <c r="F146" i="58"/>
  <c r="F368" i="112" s="1"/>
  <c r="F147" i="58"/>
  <c r="F369" i="112" s="1"/>
  <c r="F143" i="58"/>
  <c r="F365" i="112" s="1"/>
  <c r="C62" i="58"/>
  <c r="C61" i="58"/>
  <c r="W57" i="96"/>
  <c r="W303" i="112" s="1"/>
  <c r="H303" i="112"/>
  <c r="W56" i="96"/>
  <c r="W302" i="112" s="1"/>
  <c r="V56" i="96"/>
  <c r="V302" i="112" s="1"/>
  <c r="U56" i="96"/>
  <c r="U302" i="112" s="1"/>
  <c r="T56" i="96"/>
  <c r="T302" i="112" s="1"/>
  <c r="S56" i="96"/>
  <c r="S302" i="112" s="1"/>
  <c r="R56" i="96"/>
  <c r="R302" i="112" s="1"/>
  <c r="Q56" i="96"/>
  <c r="Q302" i="112" s="1"/>
  <c r="H302" i="112"/>
  <c r="F52" i="96" a="1"/>
  <c r="F52" i="96" s="1"/>
  <c r="F51" i="96" a="1"/>
  <c r="F51" i="96" s="1"/>
  <c r="D80" i="58"/>
  <c r="E80" i="58" s="1"/>
  <c r="R293" i="43"/>
  <c r="R59" i="112" s="1"/>
  <c r="S293" i="43"/>
  <c r="S59" i="112" s="1"/>
  <c r="T293" i="43"/>
  <c r="T59" i="112" s="1"/>
  <c r="U293" i="43"/>
  <c r="U59" i="112" s="1"/>
  <c r="V293" i="43"/>
  <c r="V59" i="112" s="1"/>
  <c r="W293" i="43"/>
  <c r="W59" i="112" s="1"/>
  <c r="R294" i="43"/>
  <c r="R60" i="112" s="1"/>
  <c r="S294" i="43"/>
  <c r="S60" i="112" s="1"/>
  <c r="T294" i="43"/>
  <c r="T60" i="112" s="1"/>
  <c r="U294" i="43"/>
  <c r="U60" i="112" s="1"/>
  <c r="V294" i="43"/>
  <c r="V60" i="112" s="1"/>
  <c r="W294" i="43"/>
  <c r="W60" i="112" s="1"/>
  <c r="R295" i="43"/>
  <c r="R61" i="112" s="1"/>
  <c r="S295" i="43"/>
  <c r="S61" i="112" s="1"/>
  <c r="T295" i="43"/>
  <c r="T61" i="112" s="1"/>
  <c r="U295" i="43"/>
  <c r="U61" i="112" s="1"/>
  <c r="V295" i="43"/>
  <c r="V61" i="112" s="1"/>
  <c r="W295" i="43"/>
  <c r="W61" i="112" s="1"/>
  <c r="R296" i="43"/>
  <c r="R62" i="112" s="1"/>
  <c r="S296" i="43"/>
  <c r="S62" i="112" s="1"/>
  <c r="T296" i="43"/>
  <c r="T62" i="112" s="1"/>
  <c r="U296" i="43"/>
  <c r="U62" i="112" s="1"/>
  <c r="V296" i="43"/>
  <c r="V62" i="112" s="1"/>
  <c r="W296" i="43"/>
  <c r="W62" i="112" s="1"/>
  <c r="R297" i="43"/>
  <c r="R63" i="112" s="1"/>
  <c r="S297" i="43"/>
  <c r="S63" i="112" s="1"/>
  <c r="T297" i="43"/>
  <c r="T63" i="112" s="1"/>
  <c r="U297" i="43"/>
  <c r="U63" i="112" s="1"/>
  <c r="V297" i="43"/>
  <c r="V63" i="112" s="1"/>
  <c r="W297" i="43"/>
  <c r="W63" i="112" s="1"/>
  <c r="R298" i="43"/>
  <c r="R64" i="112" s="1"/>
  <c r="S298" i="43"/>
  <c r="S64" i="112" s="1"/>
  <c r="T298" i="43"/>
  <c r="T64" i="112" s="1"/>
  <c r="U298" i="43"/>
  <c r="U64" i="112" s="1"/>
  <c r="V298" i="43"/>
  <c r="V64" i="112" s="1"/>
  <c r="W298" i="43"/>
  <c r="W64" i="112" s="1"/>
  <c r="R299" i="43"/>
  <c r="R65" i="112" s="1"/>
  <c r="S299" i="43"/>
  <c r="S65" i="112" s="1"/>
  <c r="T299" i="43"/>
  <c r="T65" i="112" s="1"/>
  <c r="U299" i="43"/>
  <c r="U65" i="112" s="1"/>
  <c r="V299" i="43"/>
  <c r="V65" i="112" s="1"/>
  <c r="W299" i="43"/>
  <c r="W65" i="112" s="1"/>
  <c r="R300" i="43"/>
  <c r="R66" i="112" s="1"/>
  <c r="S300" i="43"/>
  <c r="S66" i="112" s="1"/>
  <c r="T300" i="43"/>
  <c r="T66" i="112" s="1"/>
  <c r="U300" i="43"/>
  <c r="U66" i="112" s="1"/>
  <c r="V300" i="43"/>
  <c r="V66" i="112" s="1"/>
  <c r="W300" i="43"/>
  <c r="W66" i="112" s="1"/>
  <c r="R301" i="43"/>
  <c r="R67" i="112" s="1"/>
  <c r="S301" i="43"/>
  <c r="S67" i="112" s="1"/>
  <c r="T301" i="43"/>
  <c r="T67" i="112" s="1"/>
  <c r="U301" i="43"/>
  <c r="U67" i="112" s="1"/>
  <c r="V301" i="43"/>
  <c r="V67" i="112" s="1"/>
  <c r="W301" i="43"/>
  <c r="W67" i="112" s="1"/>
  <c r="R302" i="43"/>
  <c r="R68" i="112" s="1"/>
  <c r="S302" i="43"/>
  <c r="S68" i="112" s="1"/>
  <c r="T302" i="43"/>
  <c r="T68" i="112" s="1"/>
  <c r="U302" i="43"/>
  <c r="U68" i="112" s="1"/>
  <c r="V302" i="43"/>
  <c r="V68" i="112" s="1"/>
  <c r="W302" i="43"/>
  <c r="W68" i="112" s="1"/>
  <c r="R303" i="43"/>
  <c r="R69" i="112" s="1"/>
  <c r="S303" i="43"/>
  <c r="S69" i="112" s="1"/>
  <c r="T303" i="43"/>
  <c r="T69" i="112" s="1"/>
  <c r="U303" i="43"/>
  <c r="U69" i="112" s="1"/>
  <c r="V303" i="43"/>
  <c r="V69" i="112" s="1"/>
  <c r="W303" i="43"/>
  <c r="W69" i="112" s="1"/>
  <c r="R304" i="43"/>
  <c r="R70" i="112" s="1"/>
  <c r="S304" i="43"/>
  <c r="S70" i="112" s="1"/>
  <c r="T304" i="43"/>
  <c r="T70" i="112" s="1"/>
  <c r="U304" i="43"/>
  <c r="U70" i="112" s="1"/>
  <c r="V304" i="43"/>
  <c r="V70" i="112" s="1"/>
  <c r="W304" i="43"/>
  <c r="W70" i="112" s="1"/>
  <c r="R305" i="43"/>
  <c r="R71" i="112" s="1"/>
  <c r="S305" i="43"/>
  <c r="S71" i="112" s="1"/>
  <c r="T305" i="43"/>
  <c r="T71" i="112" s="1"/>
  <c r="U305" i="43"/>
  <c r="U71" i="112" s="1"/>
  <c r="V305" i="43"/>
  <c r="V71" i="112" s="1"/>
  <c r="W305" i="43"/>
  <c r="W71" i="112" s="1"/>
  <c r="R306" i="43"/>
  <c r="R72" i="112" s="1"/>
  <c r="S306" i="43"/>
  <c r="S72" i="112" s="1"/>
  <c r="T306" i="43"/>
  <c r="T72" i="112" s="1"/>
  <c r="U306" i="43"/>
  <c r="U72" i="112" s="1"/>
  <c r="V306" i="43"/>
  <c r="V72" i="112" s="1"/>
  <c r="W306" i="43"/>
  <c r="W72" i="112" s="1"/>
  <c r="R307" i="43"/>
  <c r="R73" i="112" s="1"/>
  <c r="S307" i="43"/>
  <c r="S73" i="112" s="1"/>
  <c r="T307" i="43"/>
  <c r="T73" i="112" s="1"/>
  <c r="U307" i="43"/>
  <c r="U73" i="112" s="1"/>
  <c r="V307" i="43"/>
  <c r="V73" i="112" s="1"/>
  <c r="W307" i="43"/>
  <c r="W73" i="112" s="1"/>
  <c r="R308" i="43"/>
  <c r="R74" i="112" s="1"/>
  <c r="S308" i="43"/>
  <c r="S74" i="112" s="1"/>
  <c r="T308" i="43"/>
  <c r="T74" i="112" s="1"/>
  <c r="U308" i="43"/>
  <c r="U74" i="112" s="1"/>
  <c r="V308" i="43"/>
  <c r="V74" i="112" s="1"/>
  <c r="W308" i="43"/>
  <c r="W74" i="112" s="1"/>
  <c r="R309" i="43"/>
  <c r="R75" i="112" s="1"/>
  <c r="S309" i="43"/>
  <c r="S75" i="112" s="1"/>
  <c r="T309" i="43"/>
  <c r="T75" i="112" s="1"/>
  <c r="U309" i="43"/>
  <c r="U75" i="112" s="1"/>
  <c r="V309" i="43"/>
  <c r="V75" i="112" s="1"/>
  <c r="W309" i="43"/>
  <c r="W75" i="112" s="1"/>
  <c r="R310" i="43"/>
  <c r="R76" i="112" s="1"/>
  <c r="S310" i="43"/>
  <c r="S76" i="112" s="1"/>
  <c r="T310" i="43"/>
  <c r="T76" i="112" s="1"/>
  <c r="U310" i="43"/>
  <c r="U76" i="112" s="1"/>
  <c r="V310" i="43"/>
  <c r="V76" i="112" s="1"/>
  <c r="W310" i="43"/>
  <c r="W76" i="112" s="1"/>
  <c r="R311" i="43"/>
  <c r="R77" i="112" s="1"/>
  <c r="S311" i="43"/>
  <c r="S77" i="112" s="1"/>
  <c r="T311" i="43"/>
  <c r="T77" i="112" s="1"/>
  <c r="U311" i="43"/>
  <c r="U77" i="112" s="1"/>
  <c r="V311" i="43"/>
  <c r="V77" i="112" s="1"/>
  <c r="W311" i="43"/>
  <c r="W77" i="112" s="1"/>
  <c r="R312" i="43"/>
  <c r="R78" i="112" s="1"/>
  <c r="S312" i="43"/>
  <c r="S78" i="112" s="1"/>
  <c r="T312" i="43"/>
  <c r="T78" i="112" s="1"/>
  <c r="U312" i="43"/>
  <c r="U78" i="112" s="1"/>
  <c r="V312" i="43"/>
  <c r="V78" i="112" s="1"/>
  <c r="W312" i="43"/>
  <c r="W78" i="112" s="1"/>
  <c r="R313" i="43"/>
  <c r="R79" i="112" s="1"/>
  <c r="S313" i="43"/>
  <c r="S79" i="112" s="1"/>
  <c r="T313" i="43"/>
  <c r="T79" i="112" s="1"/>
  <c r="U313" i="43"/>
  <c r="U79" i="112" s="1"/>
  <c r="V313" i="43"/>
  <c r="V79" i="112" s="1"/>
  <c r="W313" i="43"/>
  <c r="W79" i="112" s="1"/>
  <c r="R314" i="43"/>
  <c r="R80" i="112" s="1"/>
  <c r="S314" i="43"/>
  <c r="S80" i="112" s="1"/>
  <c r="T314" i="43"/>
  <c r="T80" i="112" s="1"/>
  <c r="U314" i="43"/>
  <c r="U80" i="112" s="1"/>
  <c r="V314" i="43"/>
  <c r="V80" i="112" s="1"/>
  <c r="W314" i="43"/>
  <c r="W80" i="112" s="1"/>
  <c r="Q294" i="43"/>
  <c r="Q60" i="112" s="1"/>
  <c r="Q295" i="43"/>
  <c r="Q61" i="112" s="1"/>
  <c r="Q296" i="43"/>
  <c r="Q62" i="112" s="1"/>
  <c r="Q297" i="43"/>
  <c r="Q63" i="112" s="1"/>
  <c r="Q298" i="43"/>
  <c r="Q64" i="112" s="1"/>
  <c r="Q299" i="43"/>
  <c r="Q65" i="112" s="1"/>
  <c r="Q300" i="43"/>
  <c r="Q66" i="112" s="1"/>
  <c r="Q301" i="43"/>
  <c r="Q67" i="112" s="1"/>
  <c r="Q302" i="43"/>
  <c r="Q68" i="112" s="1"/>
  <c r="Q303" i="43"/>
  <c r="Q69" i="112" s="1"/>
  <c r="Q304" i="43"/>
  <c r="Q70" i="112" s="1"/>
  <c r="Q305" i="43"/>
  <c r="Q71" i="112" s="1"/>
  <c r="Q306" i="43"/>
  <c r="Q72" i="112" s="1"/>
  <c r="Q307" i="43"/>
  <c r="Q73" i="112" s="1"/>
  <c r="Q308" i="43"/>
  <c r="Q74" i="112" s="1"/>
  <c r="Q309" i="43"/>
  <c r="Q75" i="112" s="1"/>
  <c r="Q310" i="43"/>
  <c r="Q76" i="112" s="1"/>
  <c r="Q311" i="43"/>
  <c r="Q77" i="112" s="1"/>
  <c r="Q312" i="43"/>
  <c r="Q78" i="112" s="1"/>
  <c r="Q313" i="43"/>
  <c r="Q79" i="112" s="1"/>
  <c r="Q314" i="43"/>
  <c r="Q80" i="112" s="1"/>
  <c r="Q293" i="43"/>
  <c r="Q59" i="112" s="1"/>
  <c r="F294" i="43"/>
  <c r="F60" i="112" s="1"/>
  <c r="F295" i="43"/>
  <c r="F61" i="112" s="1"/>
  <c r="F296" i="43"/>
  <c r="F62" i="112" s="1"/>
  <c r="F297" i="43"/>
  <c r="F63" i="112" s="1"/>
  <c r="F298" i="43"/>
  <c r="F64" i="112" s="1"/>
  <c r="F299" i="43"/>
  <c r="F65" i="112" s="1"/>
  <c r="F300" i="43"/>
  <c r="F66" i="112" s="1"/>
  <c r="F301" i="43"/>
  <c r="F67" i="112" s="1"/>
  <c r="F302" i="43"/>
  <c r="F68" i="112" s="1"/>
  <c r="F303" i="43"/>
  <c r="F69" i="112" s="1"/>
  <c r="F304" i="43"/>
  <c r="F70" i="112" s="1"/>
  <c r="F305" i="43"/>
  <c r="F71" i="112" s="1"/>
  <c r="F306" i="43"/>
  <c r="F72" i="112" s="1"/>
  <c r="F307" i="43"/>
  <c r="F73" i="112" s="1"/>
  <c r="F308" i="43"/>
  <c r="F74" i="112" s="1"/>
  <c r="F309" i="43"/>
  <c r="F75" i="112" s="1"/>
  <c r="F310" i="43"/>
  <c r="F76" i="112" s="1"/>
  <c r="F311" i="43"/>
  <c r="F77" i="112" s="1"/>
  <c r="F312" i="43"/>
  <c r="F78" i="112" s="1"/>
  <c r="F313" i="43"/>
  <c r="F79" i="112" s="1"/>
  <c r="F314" i="43"/>
  <c r="F80" i="112" s="1"/>
  <c r="F293" i="43"/>
  <c r="F59" i="112" s="1"/>
  <c r="D262" i="43"/>
  <c r="D263" i="43"/>
  <c r="D264" i="43"/>
  <c r="D261" i="43"/>
  <c r="I53" i="95"/>
  <c r="I307" i="112" s="1"/>
  <c r="H307" i="112"/>
  <c r="W51" i="95"/>
  <c r="W305" i="112" s="1"/>
  <c r="V51" i="95"/>
  <c r="V305" i="112" s="1"/>
  <c r="U51" i="95"/>
  <c r="U305" i="112" s="1"/>
  <c r="T51" i="95"/>
  <c r="T305" i="112" s="1"/>
  <c r="S51" i="95"/>
  <c r="S305" i="112" s="1"/>
  <c r="R51" i="95"/>
  <c r="R305" i="112" s="1"/>
  <c r="Q51" i="95"/>
  <c r="Q305" i="112" s="1"/>
  <c r="I51" i="95"/>
  <c r="I305" i="112" s="1"/>
  <c r="H305" i="112"/>
  <c r="F47" i="95" a="1"/>
  <c r="F47" i="95" s="1"/>
  <c r="F45" i="95" a="1"/>
  <c r="F45" i="95" s="1"/>
  <c r="F67" i="80"/>
  <c r="G360" i="99" l="1"/>
  <c r="D11" i="99" s="1" a="1"/>
  <c r="D11" i="99" s="1"/>
  <c r="M229" i="69" s="1"/>
  <c r="D92" i="96"/>
  <c r="E92" i="96" s="1"/>
  <c r="D138" i="98"/>
  <c r="E138" i="98" s="1"/>
  <c r="D35" i="96"/>
  <c r="E35" i="96" s="1"/>
  <c r="D79" i="98"/>
  <c r="E79" i="98" s="1"/>
  <c r="D43" i="98"/>
  <c r="E43" i="98" s="1"/>
  <c r="D230" i="43"/>
  <c r="E230" i="43" s="1"/>
  <c r="D34" i="95"/>
  <c r="E34" i="95" s="1"/>
  <c r="D35" i="99"/>
  <c r="E35" i="99" s="1"/>
  <c r="K305" i="43"/>
  <c r="K71" i="112" s="1"/>
  <c r="K306" i="43"/>
  <c r="K72" i="112" s="1"/>
  <c r="K307" i="43"/>
  <c r="K73" i="112" s="1"/>
  <c r="K304" i="43"/>
  <c r="K70" i="112" s="1"/>
  <c r="K294" i="43"/>
  <c r="K60" i="112" s="1"/>
  <c r="K295" i="43"/>
  <c r="K61" i="112" s="1"/>
  <c r="K296" i="43"/>
  <c r="K62" i="112" s="1"/>
  <c r="K293" i="43"/>
  <c r="K59" i="112" s="1"/>
  <c r="K300" i="43"/>
  <c r="K66" i="112" s="1"/>
  <c r="K298" i="43"/>
  <c r="K64" i="112" s="1"/>
  <c r="K297" i="43"/>
  <c r="K63" i="112" s="1"/>
  <c r="K301" i="43"/>
  <c r="K67" i="112" s="1"/>
  <c r="K302" i="43"/>
  <c r="K68" i="112" s="1"/>
  <c r="K303" i="43"/>
  <c r="K69" i="112" s="1"/>
  <c r="K299" i="43"/>
  <c r="K65" i="112" s="1"/>
  <c r="L369" i="99"/>
  <c r="L391" i="112" s="1"/>
  <c r="L368" i="99"/>
  <c r="L390" i="112" s="1"/>
  <c r="J56" i="96"/>
  <c r="J302" i="112" s="1"/>
  <c r="J51" i="95"/>
  <c r="J305" i="112" s="1"/>
  <c r="J53" i="95"/>
  <c r="J307" i="112" s="1"/>
  <c r="J57" i="96"/>
  <c r="J303" i="112" s="1"/>
  <c r="J288" i="99"/>
  <c r="J394" i="112" s="1"/>
  <c r="K309" i="43"/>
  <c r="K75" i="112" s="1"/>
  <c r="K310" i="43"/>
  <c r="K76" i="112" s="1"/>
  <c r="K311" i="43"/>
  <c r="K77" i="112" s="1"/>
  <c r="K312" i="43"/>
  <c r="K78" i="112" s="1"/>
  <c r="K313" i="43"/>
  <c r="K79" i="112" s="1"/>
  <c r="K314" i="43"/>
  <c r="K80" i="112" s="1"/>
  <c r="K308" i="43"/>
  <c r="K74" i="112" s="1"/>
  <c r="J146" i="58"/>
  <c r="J368" i="112" s="1"/>
  <c r="J144" i="58"/>
  <c r="J366" i="112" s="1"/>
  <c r="J145" i="58"/>
  <c r="J367" i="112" s="1"/>
  <c r="J147" i="58"/>
  <c r="J369" i="112" s="1"/>
  <c r="J180" i="98"/>
  <c r="J384" i="112" s="1"/>
  <c r="J179" i="98"/>
  <c r="J383" i="112" s="1"/>
  <c r="J181" i="98"/>
  <c r="J385" i="112" s="1"/>
  <c r="J178" i="98"/>
  <c r="J382" i="112" s="1"/>
  <c r="J182" i="98"/>
  <c r="J386" i="112" s="1"/>
  <c r="J184" i="98"/>
  <c r="J388" i="112" s="1"/>
  <c r="J183" i="98"/>
  <c r="J387" i="112" s="1"/>
  <c r="L110" i="96"/>
  <c r="L304" i="112" s="1"/>
  <c r="G188" i="99"/>
  <c r="C203" i="99" s="1"/>
  <c r="K288" i="99" s="1"/>
  <c r="K394" i="112" s="1"/>
  <c r="F105" i="96" a="1"/>
  <c r="F105" i="96" s="1"/>
  <c r="G192" i="99"/>
  <c r="C204" i="99" s="1"/>
  <c r="K289" i="99" s="1"/>
  <c r="L289" i="99" s="1"/>
  <c r="G282" i="99" s="1"/>
  <c r="G12" i="99" s="1" a="1"/>
  <c r="G12" i="99" s="1"/>
  <c r="V230" i="69" s="1"/>
  <c r="C93" i="98"/>
  <c r="C94" i="98" s="1"/>
  <c r="C59" i="98"/>
  <c r="C60" i="98" s="1"/>
  <c r="K179" i="98" s="1"/>
  <c r="K383" i="112" s="1"/>
  <c r="G196" i="99"/>
  <c r="C205" i="99" s="1"/>
  <c r="K290" i="99" s="1"/>
  <c r="L290" i="99" s="1"/>
  <c r="G283" i="99" s="1"/>
  <c r="G13" i="99" s="1" a="1"/>
  <c r="G13" i="99" s="1"/>
  <c r="V231" i="69" s="1"/>
  <c r="E12" i="96" a="1"/>
  <c r="E12" i="96" s="1"/>
  <c r="S196" i="69" s="1"/>
  <c r="E14" i="96" a="1"/>
  <c r="E14" i="96" s="1"/>
  <c r="S198" i="69" s="1"/>
  <c r="E13" i="96" a="1"/>
  <c r="E13" i="96" s="1"/>
  <c r="S197" i="69" s="1"/>
  <c r="L52" i="95"/>
  <c r="L306" i="112" s="1"/>
  <c r="L56" i="96" l="1"/>
  <c r="L302" i="112" s="1"/>
  <c r="G46" i="95"/>
  <c r="E12" i="95" s="1" a="1"/>
  <c r="E12" i="95" s="1"/>
  <c r="K188" i="69" s="1"/>
  <c r="E188" i="69" s="1"/>
  <c r="C95" i="98"/>
  <c r="K180" i="98" s="1"/>
  <c r="K384" i="112" s="1"/>
  <c r="K181" i="98"/>
  <c r="K385" i="112" s="1"/>
  <c r="H174" i="98"/>
  <c r="N184" i="98" s="1"/>
  <c r="N388" i="112" s="1"/>
  <c r="H105" i="96"/>
  <c r="N110" i="96" s="1"/>
  <c r="N304" i="112" s="1"/>
  <c r="H51" i="96"/>
  <c r="N56" i="96" s="1"/>
  <c r="N302" i="112" s="1"/>
  <c r="H45" i="95"/>
  <c r="N53" i="95" s="1"/>
  <c r="N307" i="112" s="1"/>
  <c r="N180" i="98"/>
  <c r="N384" i="112" s="1"/>
  <c r="H281" i="99"/>
  <c r="H268" i="43"/>
  <c r="L53" i="95"/>
  <c r="L307" i="112" s="1"/>
  <c r="L57" i="96"/>
  <c r="G361" i="99"/>
  <c r="D12" i="99" s="1" a="1"/>
  <c r="D12" i="99" s="1"/>
  <c r="M230" i="69" s="1"/>
  <c r="L288" i="99"/>
  <c r="L394" i="112" s="1"/>
  <c r="G362" i="99"/>
  <c r="D13" i="99" s="1" a="1"/>
  <c r="D13" i="99" s="1"/>
  <c r="M231" i="69" s="1"/>
  <c r="L51" i="95"/>
  <c r="L305" i="112" s="1"/>
  <c r="L145" i="58"/>
  <c r="L147" i="58"/>
  <c r="L369" i="112" s="1"/>
  <c r="H135" i="58"/>
  <c r="L179" i="98"/>
  <c r="L383" i="112" s="1"/>
  <c r="H171" i="98"/>
  <c r="N179" i="98" s="1"/>
  <c r="N383" i="112" s="1"/>
  <c r="H170" i="98"/>
  <c r="N178" i="98" s="1"/>
  <c r="N382" i="112" s="1"/>
  <c r="H173" i="98"/>
  <c r="N183" i="98" s="1"/>
  <c r="N387" i="112" s="1"/>
  <c r="H172" i="98"/>
  <c r="N182" i="98" s="1"/>
  <c r="N386" i="112" s="1"/>
  <c r="G105" i="96"/>
  <c r="G14" i="96" s="1"/>
  <c r="C61" i="98"/>
  <c r="K178" i="98" s="1"/>
  <c r="K382" i="112" s="1"/>
  <c r="N181" i="98"/>
  <c r="N385" i="112" s="1"/>
  <c r="C41" i="88"/>
  <c r="C42" i="88" s="1"/>
  <c r="C43" i="88" s="1"/>
  <c r="K67" i="80"/>
  <c r="G51" i="96" l="1"/>
  <c r="F12" i="96" s="1" a="1"/>
  <c r="F12" i="96" s="1"/>
  <c r="U196" i="69" s="1"/>
  <c r="E196" i="69" s="1"/>
  <c r="L180" i="98"/>
  <c r="L384" i="112" s="1"/>
  <c r="N57" i="96"/>
  <c r="N303" i="112" s="1"/>
  <c r="G281" i="99"/>
  <c r="G11" i="99" s="1" a="1"/>
  <c r="G11" i="99" s="1"/>
  <c r="V229" i="69" s="1"/>
  <c r="G137" i="58"/>
  <c r="L367" i="112"/>
  <c r="G52" i="96"/>
  <c r="F13" i="96" s="1" a="1"/>
  <c r="F13" i="96" s="1"/>
  <c r="U197" i="69" s="1"/>
  <c r="E197" i="69" s="1"/>
  <c r="L303" i="112"/>
  <c r="G47" i="95"/>
  <c r="E13" i="95" s="1" a="1"/>
  <c r="E13" i="95" s="1"/>
  <c r="K189" i="69" s="1"/>
  <c r="E189" i="69" s="1"/>
  <c r="N52" i="95"/>
  <c r="N306" i="112" s="1"/>
  <c r="N51" i="95"/>
  <c r="N305" i="112" s="1"/>
  <c r="N289" i="99"/>
  <c r="N288" i="99"/>
  <c r="N394" i="112" s="1"/>
  <c r="N290" i="99"/>
  <c r="N312" i="43"/>
  <c r="N78" i="112" s="1"/>
  <c r="N306" i="43"/>
  <c r="N72" i="112" s="1"/>
  <c r="N305" i="43"/>
  <c r="N71" i="112" s="1"/>
  <c r="N296" i="43"/>
  <c r="N62" i="112" s="1"/>
  <c r="N301" i="43"/>
  <c r="N67" i="112" s="1"/>
  <c r="N308" i="43"/>
  <c r="N74" i="112" s="1"/>
  <c r="N313" i="43"/>
  <c r="N79" i="112" s="1"/>
  <c r="N304" i="43"/>
  <c r="N70" i="112" s="1"/>
  <c r="N302" i="43"/>
  <c r="N68" i="112" s="1"/>
  <c r="N297" i="43"/>
  <c r="N63" i="112" s="1"/>
  <c r="N314" i="43"/>
  <c r="N80" i="112" s="1"/>
  <c r="N309" i="43"/>
  <c r="N75" i="112" s="1"/>
  <c r="N303" i="43"/>
  <c r="N69" i="112" s="1"/>
  <c r="N299" i="43"/>
  <c r="N65" i="112" s="1"/>
  <c r="N298" i="43"/>
  <c r="N64" i="112" s="1"/>
  <c r="N293" i="43"/>
  <c r="N59" i="112" s="1"/>
  <c r="N310" i="43"/>
  <c r="N76" i="112" s="1"/>
  <c r="N294" i="43"/>
  <c r="N60" i="112" s="1"/>
  <c r="N311" i="43"/>
  <c r="N77" i="112" s="1"/>
  <c r="N295" i="43"/>
  <c r="N61" i="112" s="1"/>
  <c r="N300" i="43"/>
  <c r="N66" i="112" s="1"/>
  <c r="N307" i="43"/>
  <c r="N73" i="112" s="1"/>
  <c r="G45" i="95"/>
  <c r="G171" i="98"/>
  <c r="E14" i="98" s="1" a="1"/>
  <c r="E14" i="98" s="1"/>
  <c r="X198" i="69"/>
  <c r="E198" i="69" s="1"/>
  <c r="G139" i="58"/>
  <c r="N145" i="58"/>
  <c r="N367" i="112" s="1"/>
  <c r="N146" i="58"/>
  <c r="N368" i="112" s="1"/>
  <c r="N143" i="58"/>
  <c r="N365" i="112" s="1"/>
  <c r="N144" i="58"/>
  <c r="N366" i="112" s="1"/>
  <c r="N147" i="58"/>
  <c r="N369" i="112" s="1"/>
  <c r="L181" i="98"/>
  <c r="L385" i="112" s="1"/>
  <c r="L178" i="98"/>
  <c r="L382" i="112" s="1"/>
  <c r="G11" i="88"/>
  <c r="S48" i="69" s="1"/>
  <c r="R118" i="88"/>
  <c r="R301" i="112" s="1"/>
  <c r="S118" i="88"/>
  <c r="S301" i="112" s="1"/>
  <c r="T118" i="88"/>
  <c r="T301" i="112" s="1"/>
  <c r="U118" i="88"/>
  <c r="U301" i="112" s="1"/>
  <c r="V118" i="88"/>
  <c r="V301" i="112" s="1"/>
  <c r="W118" i="88"/>
  <c r="W301" i="112" s="1"/>
  <c r="Q118" i="88"/>
  <c r="Q301" i="112" s="1"/>
  <c r="F114" i="88" a="1"/>
  <c r="F114" i="88" s="1"/>
  <c r="F118" i="88"/>
  <c r="F301" i="112" s="1"/>
  <c r="H301" i="112"/>
  <c r="I118" i="88"/>
  <c r="I301" i="112" s="1"/>
  <c r="E11" i="95" l="1" a="1"/>
  <c r="E11" i="95" s="1"/>
  <c r="K187" i="69" s="1"/>
  <c r="E187" i="69" s="1"/>
  <c r="G170" i="98"/>
  <c r="E13" i="98" s="1" a="1"/>
  <c r="E13" i="98" s="1"/>
  <c r="G105" i="69" s="1"/>
  <c r="J118" i="88"/>
  <c r="J301" i="112" s="1"/>
  <c r="G106" i="69"/>
  <c r="B217" i="85"/>
  <c r="F217" i="85" s="1" a="1"/>
  <c r="F217" i="85" s="1"/>
  <c r="B218" i="85"/>
  <c r="F218" i="85" s="1" a="1"/>
  <c r="F218" i="85" s="1"/>
  <c r="B219" i="85"/>
  <c r="F219" i="85" s="1" a="1"/>
  <c r="F219" i="85" s="1"/>
  <c r="B216" i="85"/>
  <c r="G140" i="112" l="1"/>
  <c r="P139" i="112"/>
  <c r="D138" i="112"/>
  <c r="G135" i="112"/>
  <c r="F140" i="112"/>
  <c r="O139" i="112"/>
  <c r="C138" i="112"/>
  <c r="F135" i="112"/>
  <c r="E140" i="112"/>
  <c r="M139" i="112"/>
  <c r="G137" i="112"/>
  <c r="P136" i="112"/>
  <c r="E135" i="112"/>
  <c r="C139" i="112"/>
  <c r="D140" i="112"/>
  <c r="F137" i="112"/>
  <c r="O136" i="112"/>
  <c r="D135" i="112"/>
  <c r="P135" i="112"/>
  <c r="O135" i="112"/>
  <c r="C140" i="112"/>
  <c r="G139" i="112"/>
  <c r="P138" i="112"/>
  <c r="E137" i="112"/>
  <c r="M136" i="112"/>
  <c r="C135" i="112"/>
  <c r="G136" i="112"/>
  <c r="F139" i="112"/>
  <c r="O138" i="112"/>
  <c r="D137" i="112"/>
  <c r="D139" i="112"/>
  <c r="E139" i="112"/>
  <c r="M138" i="112"/>
  <c r="C137" i="112"/>
  <c r="P140" i="112"/>
  <c r="F136" i="112"/>
  <c r="O140" i="112"/>
  <c r="G138" i="112"/>
  <c r="P137" i="112"/>
  <c r="E136" i="112"/>
  <c r="M135" i="112"/>
  <c r="E138" i="112"/>
  <c r="C136" i="112"/>
  <c r="M140" i="112"/>
  <c r="F138" i="112"/>
  <c r="O137" i="112"/>
  <c r="D136" i="112"/>
  <c r="M137" i="112"/>
  <c r="D97" i="88"/>
  <c r="E97" i="88" s="1"/>
  <c r="F216" i="85" a="1"/>
  <c r="F216" i="85" s="1"/>
  <c r="H114" i="88" l="1"/>
  <c r="N118" i="88" s="1"/>
  <c r="N301" i="112" s="1"/>
  <c r="M111" i="69"/>
  <c r="E63" i="88"/>
  <c r="C67" i="88" s="1"/>
  <c r="C68" i="88" s="1"/>
  <c r="F72" i="88" a="1"/>
  <c r="F72" i="88" s="1"/>
  <c r="F76" i="88"/>
  <c r="F300" i="112" s="1"/>
  <c r="H300" i="112"/>
  <c r="I76" i="88"/>
  <c r="I300" i="112" s="1"/>
  <c r="Q76" i="88"/>
  <c r="Q300" i="112" s="1"/>
  <c r="R76" i="88"/>
  <c r="R300" i="112" s="1"/>
  <c r="S76" i="88"/>
  <c r="S300" i="112" s="1"/>
  <c r="T76" i="88"/>
  <c r="T300" i="112" s="1"/>
  <c r="U76" i="88"/>
  <c r="U300" i="112" s="1"/>
  <c r="V76" i="88"/>
  <c r="V300" i="112" s="1"/>
  <c r="W76" i="88"/>
  <c r="W300" i="112" s="1"/>
  <c r="D58" i="88" l="1"/>
  <c r="E58" i="88" s="1"/>
  <c r="D32" i="88"/>
  <c r="E32" i="88" s="1"/>
  <c r="J76" i="88"/>
  <c r="J300" i="112" s="1"/>
  <c r="H72" i="88" l="1"/>
  <c r="N76" i="88" s="1"/>
  <c r="N300" i="112" s="1"/>
  <c r="K76" i="88"/>
  <c r="K300" i="112" s="1"/>
  <c r="L76" i="88" l="1"/>
  <c r="F71" i="85" a="1"/>
  <c r="F71" i="85" s="1"/>
  <c r="F154" i="85" a="1"/>
  <c r="F154" i="85" s="1"/>
  <c r="F221" i="84" a="1"/>
  <c r="F221" i="84" s="1"/>
  <c r="F220" i="84" a="1"/>
  <c r="F220" i="84" s="1"/>
  <c r="F219" i="84" a="1"/>
  <c r="F219" i="84" s="1"/>
  <c r="F218" i="84" a="1"/>
  <c r="F218" i="84" s="1"/>
  <c r="R227" i="84"/>
  <c r="S227" i="84"/>
  <c r="T227" i="84"/>
  <c r="U227" i="84"/>
  <c r="V227" i="84"/>
  <c r="W227" i="84"/>
  <c r="R225" i="84"/>
  <c r="S225" i="84"/>
  <c r="T225" i="84"/>
  <c r="U225" i="84"/>
  <c r="V225" i="84"/>
  <c r="W225" i="84"/>
  <c r="Q227" i="84"/>
  <c r="Q225" i="84"/>
  <c r="K227" i="84"/>
  <c r="K225" i="84"/>
  <c r="I227" i="84"/>
  <c r="I225" i="84"/>
  <c r="J227" i="84"/>
  <c r="J225" i="84"/>
  <c r="R226" i="85"/>
  <c r="R138" i="112" s="1"/>
  <c r="S226" i="85"/>
  <c r="S138" i="112" s="1"/>
  <c r="T226" i="85"/>
  <c r="T138" i="112" s="1"/>
  <c r="U226" i="85"/>
  <c r="U138" i="112" s="1"/>
  <c r="V226" i="85"/>
  <c r="V138" i="112" s="1"/>
  <c r="W226" i="85"/>
  <c r="W138" i="112" s="1"/>
  <c r="Q226" i="85"/>
  <c r="Q138" i="112" s="1"/>
  <c r="R224" i="85"/>
  <c r="R136" i="112" s="1"/>
  <c r="S224" i="85"/>
  <c r="S136" i="112" s="1"/>
  <c r="T224" i="85"/>
  <c r="T136" i="112" s="1"/>
  <c r="U224" i="85"/>
  <c r="U136" i="112" s="1"/>
  <c r="V224" i="85"/>
  <c r="V136" i="112" s="1"/>
  <c r="W224" i="85"/>
  <c r="W136" i="112" s="1"/>
  <c r="Q224" i="85"/>
  <c r="Q136" i="112" s="1"/>
  <c r="K226" i="85"/>
  <c r="K138" i="112" s="1"/>
  <c r="K225" i="85"/>
  <c r="K137" i="112" s="1"/>
  <c r="K224" i="85"/>
  <c r="K136" i="112" s="1"/>
  <c r="K223" i="85"/>
  <c r="K135" i="112" s="1"/>
  <c r="I224" i="85"/>
  <c r="I136" i="112" s="1"/>
  <c r="I225" i="85"/>
  <c r="I137" i="112" s="1"/>
  <c r="I226" i="85"/>
  <c r="I138" i="112" s="1"/>
  <c r="H136" i="112"/>
  <c r="H137" i="112"/>
  <c r="H138" i="112"/>
  <c r="C287" i="85"/>
  <c r="C276" i="84"/>
  <c r="E116" i="54"/>
  <c r="E113" i="54"/>
  <c r="K228" i="84"/>
  <c r="D52" i="57"/>
  <c r="D51" i="57"/>
  <c r="D81" i="57"/>
  <c r="D80" i="57"/>
  <c r="U103" i="74"/>
  <c r="V103" i="74"/>
  <c r="W103" i="74"/>
  <c r="U104" i="74"/>
  <c r="V104" i="74"/>
  <c r="W104" i="74"/>
  <c r="T104" i="74"/>
  <c r="T103" i="74"/>
  <c r="F104" i="74"/>
  <c r="F103" i="74"/>
  <c r="B98" i="74"/>
  <c r="F98" i="74" s="1"/>
  <c r="B97" i="74"/>
  <c r="F97" i="74" s="1" a="1"/>
  <c r="F97" i="74" s="1"/>
  <c r="E11" i="71" a="1"/>
  <c r="E11" i="71" s="1"/>
  <c r="S235" i="69" s="1"/>
  <c r="F11" i="86" a="1"/>
  <c r="F11" i="86" s="1"/>
  <c r="X64" i="69" s="1"/>
  <c r="G11" i="86" a="1"/>
  <c r="G11" i="86" s="1"/>
  <c r="Y64" i="69" s="1"/>
  <c r="J103" i="74"/>
  <c r="I103" i="74"/>
  <c r="Q103" i="74"/>
  <c r="R103" i="74"/>
  <c r="J104" i="74"/>
  <c r="I104" i="74"/>
  <c r="Q104" i="74"/>
  <c r="R104" i="74"/>
  <c r="F178" i="73"/>
  <c r="D172" i="73"/>
  <c r="K182" i="73" s="1"/>
  <c r="K364" i="112" s="1"/>
  <c r="F182" i="73"/>
  <c r="F364" i="112" s="1"/>
  <c r="W182" i="73"/>
  <c r="W364" i="112" s="1"/>
  <c r="V182" i="73"/>
  <c r="V364" i="112" s="1"/>
  <c r="U182" i="73"/>
  <c r="U364" i="112" s="1"/>
  <c r="T182" i="73"/>
  <c r="T364" i="112" s="1"/>
  <c r="S182" i="73"/>
  <c r="S364" i="112" s="1"/>
  <c r="R182" i="73"/>
  <c r="R364" i="112" s="1"/>
  <c r="Q182" i="73"/>
  <c r="Q364" i="112" s="1"/>
  <c r="I182" i="73"/>
  <c r="I364" i="112" s="1"/>
  <c r="H364" i="112"/>
  <c r="W121" i="57"/>
  <c r="W323" i="112" s="1"/>
  <c r="V121" i="57"/>
  <c r="V323" i="112" s="1"/>
  <c r="U121" i="57"/>
  <c r="U323" i="112" s="1"/>
  <c r="T121" i="57"/>
  <c r="T323" i="112" s="1"/>
  <c r="S121" i="57"/>
  <c r="S323" i="112" s="1"/>
  <c r="R121" i="57"/>
  <c r="R323" i="112" s="1"/>
  <c r="Q121" i="57"/>
  <c r="Q323" i="112" s="1"/>
  <c r="K86" i="57"/>
  <c r="K321" i="112" s="1"/>
  <c r="K85" i="57"/>
  <c r="K320" i="112" s="1"/>
  <c r="D46" i="57"/>
  <c r="D45" i="57"/>
  <c r="F96" i="71"/>
  <c r="F261" i="112" s="1"/>
  <c r="F97" i="71"/>
  <c r="F262" i="112" s="1"/>
  <c r="F98" i="71"/>
  <c r="F263" i="112" s="1"/>
  <c r="F99" i="71"/>
  <c r="F264" i="112" s="1"/>
  <c r="F100" i="71"/>
  <c r="F265" i="112" s="1"/>
  <c r="F101" i="71"/>
  <c r="F266" i="112" s="1"/>
  <c r="F102" i="71"/>
  <c r="F267" i="112" s="1"/>
  <c r="F103" i="71"/>
  <c r="F268" i="112" s="1"/>
  <c r="F104" i="71"/>
  <c r="F269" i="112" s="1"/>
  <c r="F105" i="71"/>
  <c r="F270" i="112" s="1"/>
  <c r="F106" i="71"/>
  <c r="F271" i="112" s="1"/>
  <c r="F107" i="71"/>
  <c r="F272" i="112" s="1"/>
  <c r="F108" i="71"/>
  <c r="F273" i="112" s="1"/>
  <c r="F109" i="71"/>
  <c r="F274" i="112" s="1"/>
  <c r="F110" i="71"/>
  <c r="F275" i="112" s="1"/>
  <c r="F111" i="71"/>
  <c r="F276" i="112" s="1"/>
  <c r="F112" i="71"/>
  <c r="F277" i="112" s="1"/>
  <c r="F113" i="71"/>
  <c r="F278" i="112" s="1"/>
  <c r="F114" i="71"/>
  <c r="F279" i="112" s="1"/>
  <c r="F115" i="71"/>
  <c r="F280" i="112" s="1"/>
  <c r="F116" i="71"/>
  <c r="F281" i="112" s="1"/>
  <c r="R187" i="50"/>
  <c r="R415" i="112" s="1"/>
  <c r="S187" i="50"/>
  <c r="S415" i="112" s="1"/>
  <c r="T187" i="50"/>
  <c r="T415" i="112" s="1"/>
  <c r="U187" i="50"/>
  <c r="U415" i="112" s="1"/>
  <c r="V187" i="50"/>
  <c r="V415" i="112" s="1"/>
  <c r="W187" i="50"/>
  <c r="W415" i="112" s="1"/>
  <c r="R188" i="50"/>
  <c r="R416" i="112" s="1"/>
  <c r="S188" i="50"/>
  <c r="S416" i="112" s="1"/>
  <c r="T188" i="50"/>
  <c r="T416" i="112" s="1"/>
  <c r="U188" i="50"/>
  <c r="U416" i="112" s="1"/>
  <c r="V188" i="50"/>
  <c r="V416" i="112" s="1"/>
  <c r="W188" i="50"/>
  <c r="W416" i="112" s="1"/>
  <c r="R189" i="50"/>
  <c r="R417" i="112" s="1"/>
  <c r="S189" i="50"/>
  <c r="S417" i="112" s="1"/>
  <c r="T189" i="50"/>
  <c r="T417" i="112" s="1"/>
  <c r="U189" i="50"/>
  <c r="U417" i="112" s="1"/>
  <c r="V189" i="50"/>
  <c r="V417" i="112" s="1"/>
  <c r="W189" i="50"/>
  <c r="W417" i="112" s="1"/>
  <c r="Q188" i="50"/>
  <c r="Q416" i="112" s="1"/>
  <c r="Q189" i="50"/>
  <c r="Q417" i="112" s="1"/>
  <c r="Q187" i="50"/>
  <c r="Q415" i="112" s="1"/>
  <c r="F113" i="50" a="1"/>
  <c r="F113" i="50" s="1"/>
  <c r="F112" i="50" a="1"/>
  <c r="F112" i="50" s="1"/>
  <c r="D113" i="50"/>
  <c r="D112" i="50"/>
  <c r="S120" i="50"/>
  <c r="S413" i="112" s="1"/>
  <c r="T120" i="50"/>
  <c r="T413" i="112" s="1"/>
  <c r="U120" i="50"/>
  <c r="U413" i="112" s="1"/>
  <c r="V120" i="50"/>
  <c r="V413" i="112" s="1"/>
  <c r="W120" i="50"/>
  <c r="W413" i="112" s="1"/>
  <c r="S121" i="50"/>
  <c r="S414" i="112" s="1"/>
  <c r="T121" i="50"/>
  <c r="T414" i="112" s="1"/>
  <c r="U121" i="50"/>
  <c r="U414" i="112" s="1"/>
  <c r="V121" i="50"/>
  <c r="V414" i="112" s="1"/>
  <c r="W121" i="50"/>
  <c r="W414" i="112" s="1"/>
  <c r="R121" i="50"/>
  <c r="R414" i="112" s="1"/>
  <c r="R120" i="50"/>
  <c r="R413" i="112" s="1"/>
  <c r="I120" i="50"/>
  <c r="I413" i="112" s="1"/>
  <c r="I121" i="50"/>
  <c r="I414" i="112" s="1"/>
  <c r="F121" i="50"/>
  <c r="F414" i="112" s="1"/>
  <c r="F120" i="50"/>
  <c r="F413" i="112" s="1"/>
  <c r="F93" i="50"/>
  <c r="D102" i="50" s="1"/>
  <c r="E102" i="50" s="1"/>
  <c r="H102" i="50" s="1"/>
  <c r="I102" i="50" s="1"/>
  <c r="K120" i="50" s="1"/>
  <c r="K413" i="112" s="1"/>
  <c r="F96" i="50"/>
  <c r="D103" i="50" s="1"/>
  <c r="E103" i="50" s="1"/>
  <c r="D151" i="50"/>
  <c r="K56" i="57"/>
  <c r="K318" i="112" s="1"/>
  <c r="G72" i="88" l="1"/>
  <c r="E11" i="88" s="1" a="1"/>
  <c r="E11" i="88" s="1"/>
  <c r="J48" i="69" s="1"/>
  <c r="L300" i="112"/>
  <c r="D83" i="50"/>
  <c r="E83" i="50" s="1"/>
  <c r="D72" i="74"/>
  <c r="E72" i="74" s="1"/>
  <c r="D155" i="73"/>
  <c r="E155" i="73" s="1"/>
  <c r="D47" i="57"/>
  <c r="J120" i="50"/>
  <c r="J413" i="112" s="1"/>
  <c r="J182" i="73"/>
  <c r="J364" i="112" s="1"/>
  <c r="J121" i="50"/>
  <c r="J414" i="112" s="1"/>
  <c r="J226" i="85"/>
  <c r="J138" i="112" s="1"/>
  <c r="J225" i="85"/>
  <c r="J137" i="112" s="1"/>
  <c r="J224" i="85"/>
  <c r="J136" i="112" s="1"/>
  <c r="L227" i="84"/>
  <c r="G220" i="84" s="1"/>
  <c r="D150" i="50"/>
  <c r="C107" i="88"/>
  <c r="C108" i="88" s="1"/>
  <c r="C109" i="88" s="1"/>
  <c r="L225" i="84"/>
  <c r="G218" i="84" s="1"/>
  <c r="D79" i="74"/>
  <c r="D91" i="74" s="1"/>
  <c r="D80" i="74"/>
  <c r="D85" i="74" s="1"/>
  <c r="H103" i="50"/>
  <c r="I103" i="50" s="1"/>
  <c r="K121" i="50" s="1"/>
  <c r="K414" i="112" s="1"/>
  <c r="H109" i="50" l="1"/>
  <c r="N118" i="50" s="1"/>
  <c r="N411" i="112" s="1"/>
  <c r="H112" i="50"/>
  <c r="N121" i="50" s="1"/>
  <c r="N414" i="112" s="1"/>
  <c r="L226" i="85"/>
  <c r="L138" i="112" s="1"/>
  <c r="H97" i="74"/>
  <c r="N104" i="74" s="1"/>
  <c r="L182" i="73"/>
  <c r="L364" i="112" s="1"/>
  <c r="L120" i="50"/>
  <c r="L413" i="112" s="1"/>
  <c r="H178" i="73"/>
  <c r="N182" i="73" s="1"/>
  <c r="N364" i="112" s="1"/>
  <c r="L121" i="50"/>
  <c r="L414" i="112" s="1"/>
  <c r="L224" i="85"/>
  <c r="L136" i="112" s="1"/>
  <c r="L225" i="85"/>
  <c r="L137" i="112" s="1"/>
  <c r="G219" i="85"/>
  <c r="D155" i="50"/>
  <c r="D171" i="50"/>
  <c r="D166" i="50"/>
  <c r="N120" i="50" l="1"/>
  <c r="N413" i="112" s="1"/>
  <c r="G113" i="50"/>
  <c r="E15" i="50" s="1" a="1"/>
  <c r="E15" i="50" s="1"/>
  <c r="J59" i="69" s="1"/>
  <c r="E59" i="69" s="1"/>
  <c r="G178" i="73"/>
  <c r="G112" i="50"/>
  <c r="E14" i="50" s="1" a="1"/>
  <c r="E14" i="50" s="1"/>
  <c r="J58" i="69" s="1"/>
  <c r="E58" i="69" s="1"/>
  <c r="N119" i="50"/>
  <c r="N412" i="112" s="1"/>
  <c r="N117" i="50"/>
  <c r="N410" i="112" s="1"/>
  <c r="N103" i="74"/>
  <c r="G218" i="85"/>
  <c r="G217" i="85"/>
  <c r="C56" i="50"/>
  <c r="D137" i="72"/>
  <c r="E137" i="72" s="1"/>
  <c r="D156" i="50"/>
  <c r="U47" i="69"/>
  <c r="V47" i="69"/>
  <c r="D135" i="54"/>
  <c r="C135" i="54"/>
  <c r="C284" i="61"/>
  <c r="C283" i="61"/>
  <c r="D251" i="61"/>
  <c r="C285" i="61" s="1"/>
  <c r="D283" i="61"/>
  <c r="F283" i="61"/>
  <c r="D284" i="61"/>
  <c r="F284" i="61"/>
  <c r="D285" i="61"/>
  <c r="D224" i="61"/>
  <c r="D227" i="61"/>
  <c r="D227" i="59"/>
  <c r="R367" i="59"/>
  <c r="S367" i="59"/>
  <c r="T367" i="59"/>
  <c r="U367" i="59"/>
  <c r="V367" i="59"/>
  <c r="W367" i="59"/>
  <c r="R368" i="59"/>
  <c r="S368" i="59"/>
  <c r="T368" i="59"/>
  <c r="U368" i="59"/>
  <c r="V368" i="59"/>
  <c r="W368" i="59"/>
  <c r="Q368" i="59"/>
  <c r="Q367" i="59"/>
  <c r="D283" i="59"/>
  <c r="F282" i="59"/>
  <c r="F281" i="59"/>
  <c r="D282" i="59"/>
  <c r="D281" i="59"/>
  <c r="C282" i="59"/>
  <c r="C281" i="59"/>
  <c r="D249" i="59"/>
  <c r="C283" i="59" s="1"/>
  <c r="F71" i="78" a="1"/>
  <c r="F71" i="78" s="1"/>
  <c r="F72" i="78" a="1"/>
  <c r="F72" i="78" s="1"/>
  <c r="F73" i="78" a="1"/>
  <c r="F73" i="78" s="1"/>
  <c r="F70" i="78" a="1"/>
  <c r="F70" i="78" s="1"/>
  <c r="Q78" i="78"/>
  <c r="Q405" i="112" s="1"/>
  <c r="R78" i="78"/>
  <c r="R405" i="112" s="1"/>
  <c r="S78" i="78"/>
  <c r="S405" i="112" s="1"/>
  <c r="T78" i="78"/>
  <c r="T405" i="112" s="1"/>
  <c r="U78" i="78"/>
  <c r="U405" i="112" s="1"/>
  <c r="V78" i="78"/>
  <c r="V405" i="112" s="1"/>
  <c r="Q79" i="78"/>
  <c r="Q406" i="112" s="1"/>
  <c r="R79" i="78"/>
  <c r="R406" i="112" s="1"/>
  <c r="S79" i="78"/>
  <c r="S406" i="112" s="1"/>
  <c r="T79" i="78"/>
  <c r="T406" i="112" s="1"/>
  <c r="U79" i="78"/>
  <c r="U406" i="112" s="1"/>
  <c r="V79" i="78"/>
  <c r="V406" i="112" s="1"/>
  <c r="Q80" i="78"/>
  <c r="Q407" i="112" s="1"/>
  <c r="R80" i="78"/>
  <c r="R407" i="112" s="1"/>
  <c r="S80" i="78"/>
  <c r="S407" i="112" s="1"/>
  <c r="T80" i="78"/>
  <c r="T407" i="112" s="1"/>
  <c r="U80" i="78"/>
  <c r="U407" i="112" s="1"/>
  <c r="V80" i="78"/>
  <c r="V407" i="112" s="1"/>
  <c r="R77" i="78"/>
  <c r="R404" i="112" s="1"/>
  <c r="S77" i="78"/>
  <c r="S404" i="112" s="1"/>
  <c r="T77" i="78"/>
  <c r="T404" i="112" s="1"/>
  <c r="U77" i="78"/>
  <c r="U404" i="112" s="1"/>
  <c r="V77" i="78"/>
  <c r="V404" i="112" s="1"/>
  <c r="Q77" i="78"/>
  <c r="Q404" i="112" s="1"/>
  <c r="K80" i="78"/>
  <c r="K407" i="112" s="1"/>
  <c r="K79" i="78"/>
  <c r="K406" i="112" s="1"/>
  <c r="K78" i="78"/>
  <c r="K405" i="112" s="1"/>
  <c r="K77" i="78"/>
  <c r="K404" i="112" s="1"/>
  <c r="F80" i="78"/>
  <c r="F407" i="112" s="1"/>
  <c r="F78" i="78"/>
  <c r="F405" i="112" s="1"/>
  <c r="F79" i="78"/>
  <c r="F406" i="112" s="1"/>
  <c r="F77" i="78"/>
  <c r="F404" i="112" s="1"/>
  <c r="I80" i="78"/>
  <c r="I407" i="112" s="1"/>
  <c r="H407" i="112"/>
  <c r="I79" i="78"/>
  <c r="I406" i="112" s="1"/>
  <c r="H406" i="112"/>
  <c r="D246" i="59" l="1"/>
  <c r="E246" i="59" s="1"/>
  <c r="D247" i="61"/>
  <c r="E247" i="61" s="1"/>
  <c r="E285" i="61"/>
  <c r="J79" i="78"/>
  <c r="J406" i="112" s="1"/>
  <c r="J80" i="78"/>
  <c r="J407" i="112" s="1"/>
  <c r="E283" i="61"/>
  <c r="G283" i="61" s="1"/>
  <c r="E284" i="61"/>
  <c r="G284" i="61" s="1"/>
  <c r="E282" i="59"/>
  <c r="G282" i="59" s="1"/>
  <c r="E281" i="59"/>
  <c r="G281" i="59" s="1"/>
  <c r="E283" i="59"/>
  <c r="K367" i="59" s="1"/>
  <c r="H281" i="59" l="1"/>
  <c r="K368" i="59" s="1"/>
  <c r="L79" i="78"/>
  <c r="L406" i="112" s="1"/>
  <c r="L80" i="78"/>
  <c r="L407" i="112" s="1"/>
  <c r="H283" i="61"/>
  <c r="C101" i="48"/>
  <c r="C106" i="48"/>
  <c r="C108" i="48" s="1"/>
  <c r="K118" i="48" s="1"/>
  <c r="K5" i="112" s="1"/>
  <c r="C105" i="48"/>
  <c r="C107" i="48" s="1"/>
  <c r="K117" i="48" s="1"/>
  <c r="K4" i="112" s="1"/>
  <c r="F118" i="48"/>
  <c r="F5" i="112" s="1"/>
  <c r="C87" i="48"/>
  <c r="C21" i="86"/>
  <c r="D21" i="86"/>
  <c r="C105" i="80"/>
  <c r="D105" i="80"/>
  <c r="C95" i="80"/>
  <c r="D95" i="80"/>
  <c r="C86" i="80"/>
  <c r="D86" i="80"/>
  <c r="U118" i="48"/>
  <c r="U5" i="112" s="1"/>
  <c r="T118" i="48"/>
  <c r="T5" i="112" s="1"/>
  <c r="S117" i="48"/>
  <c r="S4" i="112" s="1"/>
  <c r="R118" i="48"/>
  <c r="R5" i="112" s="1"/>
  <c r="Q118" i="48"/>
  <c r="Q5" i="112" s="1"/>
  <c r="F117" i="48"/>
  <c r="F4" i="112" s="1"/>
  <c r="E118" i="48"/>
  <c r="E5" i="112" s="1"/>
  <c r="D118" i="48"/>
  <c r="D5" i="112" s="1"/>
  <c r="W118" i="48"/>
  <c r="W5" i="112" s="1"/>
  <c r="V118" i="48"/>
  <c r="V5" i="112" s="1"/>
  <c r="S118" i="48"/>
  <c r="S5" i="112" s="1"/>
  <c r="I118" i="48"/>
  <c r="I5" i="112" s="1"/>
  <c r="H5" i="112"/>
  <c r="W117" i="48"/>
  <c r="W4" i="112" s="1"/>
  <c r="V117" i="48"/>
  <c r="V4" i="112" s="1"/>
  <c r="U117" i="48"/>
  <c r="U4" i="112" s="1"/>
  <c r="T117" i="48"/>
  <c r="T4" i="112" s="1"/>
  <c r="R117" i="48"/>
  <c r="R4" i="112" s="1"/>
  <c r="Q117" i="48"/>
  <c r="Q4" i="112" s="1"/>
  <c r="I117" i="48"/>
  <c r="I4" i="112" s="1"/>
  <c r="H4" i="112"/>
  <c r="E117" i="48"/>
  <c r="E4" i="112" s="1"/>
  <c r="D117" i="48"/>
  <c r="D4" i="112" s="1"/>
  <c r="D12" i="48" a="1"/>
  <c r="D12" i="48" s="1"/>
  <c r="D11" i="48" a="1"/>
  <c r="D11" i="48" s="1"/>
  <c r="C63" i="48"/>
  <c r="C65" i="85"/>
  <c r="D44" i="48" l="1"/>
  <c r="E44" i="48" s="1"/>
  <c r="J117" i="48"/>
  <c r="J4" i="112" s="1"/>
  <c r="J118" i="48"/>
  <c r="J5" i="112" s="1"/>
  <c r="G72" i="78"/>
  <c r="G11" i="78" s="1" a="1"/>
  <c r="G11" i="78" s="1"/>
  <c r="G73" i="78"/>
  <c r="G13" i="78" s="1" a="1"/>
  <c r="G13" i="78" s="1"/>
  <c r="E11" i="86" a="1"/>
  <c r="E11" i="86" s="1"/>
  <c r="S64" i="69" s="1"/>
  <c r="E64" i="69" s="1"/>
  <c r="F113" i="48" a="1"/>
  <c r="F113" i="48" s="1"/>
  <c r="F112" i="48" a="1"/>
  <c r="F112" i="48" s="1"/>
  <c r="F181" i="50" a="1"/>
  <c r="F181" i="50" s="1"/>
  <c r="B11" i="84"/>
  <c r="B12" i="84"/>
  <c r="H12" i="84" s="1" a="1"/>
  <c r="H12" i="84" s="1"/>
  <c r="V66" i="69" s="1"/>
  <c r="B13" i="84"/>
  <c r="B15" i="84"/>
  <c r="B16" i="84"/>
  <c r="I16" i="85" a="1"/>
  <c r="I16" i="85" s="1"/>
  <c r="X77" i="69" s="1"/>
  <c r="H16" i="85" a="1"/>
  <c r="H16" i="85" s="1"/>
  <c r="V77" i="69" s="1"/>
  <c r="F16" i="85" a="1"/>
  <c r="F16" i="85" s="1"/>
  <c r="S77" i="69" s="1"/>
  <c r="E16" i="85" a="1"/>
  <c r="E16" i="85" s="1"/>
  <c r="N77" i="69" s="1"/>
  <c r="E77" i="69" s="1"/>
  <c r="F155" i="85" a="1"/>
  <c r="F155" i="85" s="1"/>
  <c r="F74" i="85" a="1"/>
  <c r="F74" i="85" s="1"/>
  <c r="F15" i="85" a="1"/>
  <c r="F15" i="85" s="1"/>
  <c r="S76" i="69" s="1"/>
  <c r="F14" i="85" a="1"/>
  <c r="F14" i="85" s="1"/>
  <c r="S75" i="69" s="1"/>
  <c r="I13" i="85" a="1"/>
  <c r="I13" i="85" s="1"/>
  <c r="X74" i="69" s="1"/>
  <c r="H13" i="85" a="1"/>
  <c r="H13" i="85" s="1"/>
  <c r="V74" i="69" s="1"/>
  <c r="I12" i="85" a="1"/>
  <c r="I12" i="85" s="1"/>
  <c r="X73" i="69" s="1"/>
  <c r="F12" i="85" a="1"/>
  <c r="F12" i="85" s="1"/>
  <c r="S73" i="69" s="1"/>
  <c r="E12" i="85" a="1"/>
  <c r="E12" i="85" s="1"/>
  <c r="N73" i="69" s="1"/>
  <c r="C66" i="85"/>
  <c r="F80" i="85"/>
  <c r="F131" i="112" s="1"/>
  <c r="H131" i="112"/>
  <c r="I80" i="85"/>
  <c r="I131" i="112" s="1"/>
  <c r="Q80" i="85"/>
  <c r="Q131" i="112" s="1"/>
  <c r="R80" i="85"/>
  <c r="R131" i="112" s="1"/>
  <c r="S80" i="85"/>
  <c r="S131" i="112" s="1"/>
  <c r="T80" i="85"/>
  <c r="T131" i="112" s="1"/>
  <c r="U80" i="85"/>
  <c r="U131" i="112" s="1"/>
  <c r="V80" i="85"/>
  <c r="V131" i="112" s="1"/>
  <c r="W80" i="85"/>
  <c r="W131" i="112" s="1"/>
  <c r="F81" i="85"/>
  <c r="F132" i="112" s="1"/>
  <c r="H132" i="112"/>
  <c r="I81" i="85"/>
  <c r="I132" i="112" s="1"/>
  <c r="Q81" i="85"/>
  <c r="Q132" i="112" s="1"/>
  <c r="R81" i="85"/>
  <c r="R132" i="112" s="1"/>
  <c r="S81" i="85"/>
  <c r="S132" i="112" s="1"/>
  <c r="T81" i="85"/>
  <c r="T132" i="112" s="1"/>
  <c r="U81" i="85"/>
  <c r="U132" i="112" s="1"/>
  <c r="V81" i="85"/>
  <c r="V132" i="112" s="1"/>
  <c r="W81" i="85"/>
  <c r="W132" i="112" s="1"/>
  <c r="F159" i="85"/>
  <c r="F133" i="112" s="1"/>
  <c r="H133" i="112"/>
  <c r="I159" i="85"/>
  <c r="I133" i="112" s="1"/>
  <c r="K159" i="85"/>
  <c r="K133" i="112" s="1"/>
  <c r="F160" i="85"/>
  <c r="F134" i="112" s="1"/>
  <c r="H134" i="112"/>
  <c r="I160" i="85"/>
  <c r="I134" i="112" s="1"/>
  <c r="K160" i="85"/>
  <c r="K134" i="112" s="1"/>
  <c r="H135" i="112"/>
  <c r="I223" i="85"/>
  <c r="I135" i="112" s="1"/>
  <c r="Q223" i="85"/>
  <c r="Q135" i="112" s="1"/>
  <c r="R223" i="85"/>
  <c r="R135" i="112" s="1"/>
  <c r="S223" i="85"/>
  <c r="S135" i="112" s="1"/>
  <c r="T223" i="85"/>
  <c r="T135" i="112" s="1"/>
  <c r="U223" i="85"/>
  <c r="U135" i="112" s="1"/>
  <c r="V223" i="85"/>
  <c r="V135" i="112" s="1"/>
  <c r="W223" i="85"/>
  <c r="W135" i="112" s="1"/>
  <c r="Q225" i="85"/>
  <c r="Q137" i="112" s="1"/>
  <c r="R225" i="85"/>
  <c r="R137" i="112" s="1"/>
  <c r="S225" i="85"/>
  <c r="S137" i="112" s="1"/>
  <c r="T225" i="85"/>
  <c r="T137" i="112" s="1"/>
  <c r="U225" i="85"/>
  <c r="U137" i="112" s="1"/>
  <c r="V225" i="85"/>
  <c r="V137" i="112" s="1"/>
  <c r="W225" i="85"/>
  <c r="W137" i="112" s="1"/>
  <c r="D246" i="85"/>
  <c r="E246" i="85" s="1"/>
  <c r="H139" i="112"/>
  <c r="I301" i="85"/>
  <c r="I139" i="112" s="1"/>
  <c r="Q301" i="85"/>
  <c r="Q139" i="112" s="1"/>
  <c r="R301" i="85"/>
  <c r="R139" i="112" s="1"/>
  <c r="S301" i="85"/>
  <c r="S139" i="112" s="1"/>
  <c r="T301" i="85"/>
  <c r="T139" i="112" s="1"/>
  <c r="U301" i="85"/>
  <c r="U139" i="112" s="1"/>
  <c r="V301" i="85"/>
  <c r="V139" i="112" s="1"/>
  <c r="W301" i="85"/>
  <c r="W139" i="112" s="1"/>
  <c r="H140" i="112"/>
  <c r="I302" i="85"/>
  <c r="I140" i="112" s="1"/>
  <c r="Q302" i="85"/>
  <c r="Q140" i="112" s="1"/>
  <c r="R302" i="85"/>
  <c r="R140" i="112" s="1"/>
  <c r="S302" i="85"/>
  <c r="S140" i="112" s="1"/>
  <c r="T302" i="85"/>
  <c r="T140" i="112" s="1"/>
  <c r="U302" i="85"/>
  <c r="U140" i="112" s="1"/>
  <c r="V302" i="85"/>
  <c r="V140" i="112" s="1"/>
  <c r="W140" i="112"/>
  <c r="D37" i="85"/>
  <c r="E37" i="85" s="1"/>
  <c r="F11" i="85" a="1"/>
  <c r="F11" i="85" s="1"/>
  <c r="S72" i="69" s="1"/>
  <c r="F13" i="85" a="1"/>
  <c r="F13" i="85" s="1"/>
  <c r="S74" i="69" s="1"/>
  <c r="E15" i="85" a="1"/>
  <c r="E15" i="85" s="1"/>
  <c r="N76" i="69" s="1"/>
  <c r="H112" i="48" l="1"/>
  <c r="N118" i="48" s="1"/>
  <c r="N5" i="112" s="1"/>
  <c r="D181" i="85"/>
  <c r="E181" i="85" s="1"/>
  <c r="D117" i="85"/>
  <c r="E117" i="85" s="1"/>
  <c r="L117" i="48"/>
  <c r="L4" i="112" s="1"/>
  <c r="L118" i="48"/>
  <c r="L5" i="112" s="1"/>
  <c r="J80" i="85"/>
  <c r="J131" i="112" s="1"/>
  <c r="J301" i="85"/>
  <c r="J139" i="112" s="1"/>
  <c r="J159" i="85"/>
  <c r="J133" i="112" s="1"/>
  <c r="J81" i="85"/>
  <c r="J132" i="112" s="1"/>
  <c r="J302" i="85"/>
  <c r="J140" i="112" s="1"/>
  <c r="J223" i="85"/>
  <c r="J135" i="112" s="1"/>
  <c r="J160" i="85"/>
  <c r="J134" i="112" s="1"/>
  <c r="V46" i="69"/>
  <c r="V44" i="69"/>
  <c r="G112" i="48"/>
  <c r="E11" i="48" s="1" a="1"/>
  <c r="E11" i="48" s="1"/>
  <c r="H15" i="85" a="1"/>
  <c r="H15" i="85" s="1"/>
  <c r="V76" i="69" s="1"/>
  <c r="E13" i="85" a="1"/>
  <c r="E13" i="85" s="1"/>
  <c r="N74" i="69" s="1"/>
  <c r="E74" i="69" s="1"/>
  <c r="I15" i="85" a="1"/>
  <c r="I15" i="85" s="1"/>
  <c r="X76" i="69" s="1"/>
  <c r="G113" i="48" l="1"/>
  <c r="E12" i="48" s="1" a="1"/>
  <c r="E12" i="48" s="1"/>
  <c r="E76" i="69"/>
  <c r="N117" i="48"/>
  <c r="N4" i="112" s="1"/>
  <c r="L159" i="85"/>
  <c r="L133" i="112" s="1"/>
  <c r="L160" i="85"/>
  <c r="H292" i="85"/>
  <c r="N301" i="85" s="1"/>
  <c r="N139" i="112" s="1"/>
  <c r="H295" i="85"/>
  <c r="N302" i="85" s="1"/>
  <c r="N140" i="112" s="1"/>
  <c r="H216" i="85"/>
  <c r="H154" i="85"/>
  <c r="N160" i="85" s="1"/>
  <c r="N134" i="112" s="1"/>
  <c r="L223" i="85"/>
  <c r="L135" i="112" s="1"/>
  <c r="H74" i="85"/>
  <c r="N81" i="85" s="1"/>
  <c r="N132" i="112" s="1"/>
  <c r="H71" i="85"/>
  <c r="N80" i="85" s="1"/>
  <c r="N131" i="112" s="1"/>
  <c r="C53" i="50"/>
  <c r="C54" i="50" s="1"/>
  <c r="G154" i="85" l="1"/>
  <c r="G11" i="85" s="1" a="1"/>
  <c r="G11" i="85" s="1"/>
  <c r="U72" i="69" s="1"/>
  <c r="G155" i="85"/>
  <c r="G14" i="85" s="1" a="1"/>
  <c r="G14" i="85" s="1"/>
  <c r="U75" i="69" s="1"/>
  <c r="L134" i="112"/>
  <c r="N159" i="85"/>
  <c r="N133" i="112" s="1"/>
  <c r="N226" i="85"/>
  <c r="N138" i="112" s="1"/>
  <c r="N224" i="85"/>
  <c r="N136" i="112" s="1"/>
  <c r="N225" i="85"/>
  <c r="N137" i="112" s="1"/>
  <c r="N223" i="85"/>
  <c r="N135" i="112" s="1"/>
  <c r="G216" i="85"/>
  <c r="H12" i="85" s="1" a="1"/>
  <c r="H12" i="85" s="1"/>
  <c r="V73" i="69" s="1"/>
  <c r="E73" i="69" s="1"/>
  <c r="F16" i="84" a="1"/>
  <c r="F16" i="84" s="1"/>
  <c r="S70" i="69" s="1"/>
  <c r="F15" i="84" a="1"/>
  <c r="F15" i="84" s="1"/>
  <c r="S69" i="69" s="1"/>
  <c r="F13" i="84" a="1"/>
  <c r="F13" i="84" s="1"/>
  <c r="S67" i="69" s="1"/>
  <c r="F12" i="84" a="1"/>
  <c r="F12" i="84" s="1"/>
  <c r="S66" i="69" s="1"/>
  <c r="F11" i="84" a="1"/>
  <c r="F11" i="84" s="1"/>
  <c r="S65" i="69" s="1"/>
  <c r="F285" i="84" a="1"/>
  <c r="F285" i="84" s="1"/>
  <c r="F282" i="84" a="1"/>
  <c r="F282" i="84" s="1"/>
  <c r="C275" i="84"/>
  <c r="C277" i="84" s="1"/>
  <c r="K291" i="84" s="1"/>
  <c r="J291" i="84"/>
  <c r="I291" i="84"/>
  <c r="Q291" i="84"/>
  <c r="R291" i="84"/>
  <c r="S291" i="84"/>
  <c r="T291" i="84"/>
  <c r="U291" i="84"/>
  <c r="V291" i="84"/>
  <c r="W291" i="84"/>
  <c r="J292" i="84"/>
  <c r="I292" i="84"/>
  <c r="Q292" i="84"/>
  <c r="R292" i="84"/>
  <c r="S292" i="84"/>
  <c r="T292" i="84"/>
  <c r="U292" i="84"/>
  <c r="V292" i="84"/>
  <c r="D248" i="84" l="1"/>
  <c r="E248" i="84" s="1"/>
  <c r="L291" i="84"/>
  <c r="G282" i="84" s="1"/>
  <c r="C285" i="85"/>
  <c r="C286" i="85" s="1"/>
  <c r="C288" i="85" s="1"/>
  <c r="K301" i="85" s="1"/>
  <c r="K139" i="112" s="1"/>
  <c r="K292" i="84"/>
  <c r="L292" i="84" s="1"/>
  <c r="G285" i="84" s="1"/>
  <c r="H285" i="84" l="1"/>
  <c r="N292" i="84" s="1"/>
  <c r="H282" i="84"/>
  <c r="N291" i="84" s="1"/>
  <c r="L301" i="85"/>
  <c r="K302" i="85"/>
  <c r="K140" i="112" s="1"/>
  <c r="V228" i="84"/>
  <c r="U228" i="84"/>
  <c r="T228" i="84"/>
  <c r="S228" i="84"/>
  <c r="R228" i="84"/>
  <c r="Q228" i="84"/>
  <c r="R226" i="84"/>
  <c r="S226" i="84"/>
  <c r="T226" i="84"/>
  <c r="U226" i="84"/>
  <c r="V226" i="84"/>
  <c r="W226" i="84"/>
  <c r="Q226" i="84"/>
  <c r="F75" i="84" a="1"/>
  <c r="F75" i="84" s="1"/>
  <c r="V82" i="84"/>
  <c r="U82" i="84"/>
  <c r="T82" i="84"/>
  <c r="S82" i="84"/>
  <c r="R82" i="84"/>
  <c r="Q82" i="84"/>
  <c r="I15" i="51" a="1"/>
  <c r="I15" i="51" s="1"/>
  <c r="I14" i="51" a="1"/>
  <c r="I14" i="51" s="1"/>
  <c r="I13" i="51" a="1"/>
  <c r="I13" i="51" s="1"/>
  <c r="F95" i="51" a="1"/>
  <c r="F95" i="51" s="1"/>
  <c r="F97" i="51" a="1"/>
  <c r="F97" i="51" s="1"/>
  <c r="F96" i="51" a="1"/>
  <c r="F96" i="51" s="1"/>
  <c r="F94" i="51" a="1"/>
  <c r="F94" i="51" s="1"/>
  <c r="F93" i="51" a="1"/>
  <c r="F93" i="51" s="1"/>
  <c r="F92" i="51" a="1"/>
  <c r="F92" i="51" s="1"/>
  <c r="Q102" i="51"/>
  <c r="Q419" i="112" s="1"/>
  <c r="R102" i="51"/>
  <c r="R419" i="112" s="1"/>
  <c r="S102" i="51"/>
  <c r="S419" i="112" s="1"/>
  <c r="T102" i="51"/>
  <c r="T419" i="112" s="1"/>
  <c r="U102" i="51"/>
  <c r="U419" i="112" s="1"/>
  <c r="V102" i="51"/>
  <c r="V419" i="112" s="1"/>
  <c r="W102" i="51"/>
  <c r="W419" i="112" s="1"/>
  <c r="Q103" i="51"/>
  <c r="Q420" i="112" s="1"/>
  <c r="R103" i="51"/>
  <c r="R420" i="112" s="1"/>
  <c r="S103" i="51"/>
  <c r="S420" i="112" s="1"/>
  <c r="T103" i="51"/>
  <c r="T420" i="112" s="1"/>
  <c r="U103" i="51"/>
  <c r="U420" i="112" s="1"/>
  <c r="V103" i="51"/>
  <c r="V420" i="112" s="1"/>
  <c r="W103" i="51"/>
  <c r="W420" i="112" s="1"/>
  <c r="Q104" i="51"/>
  <c r="Q421" i="112" s="1"/>
  <c r="R104" i="51"/>
  <c r="R421" i="112" s="1"/>
  <c r="S104" i="51"/>
  <c r="S421" i="112" s="1"/>
  <c r="T104" i="51"/>
  <c r="T421" i="112" s="1"/>
  <c r="U104" i="51"/>
  <c r="U421" i="112" s="1"/>
  <c r="V104" i="51"/>
  <c r="V421" i="112" s="1"/>
  <c r="W104" i="51"/>
  <c r="W421" i="112" s="1"/>
  <c r="Q105" i="51"/>
  <c r="Q422" i="112" s="1"/>
  <c r="R105" i="51"/>
  <c r="R422" i="112" s="1"/>
  <c r="S105" i="51"/>
  <c r="S422" i="112" s="1"/>
  <c r="T105" i="51"/>
  <c r="T422" i="112" s="1"/>
  <c r="U105" i="51"/>
  <c r="U422" i="112" s="1"/>
  <c r="V105" i="51"/>
  <c r="V422" i="112" s="1"/>
  <c r="W105" i="51"/>
  <c r="W422" i="112" s="1"/>
  <c r="Q106" i="51"/>
  <c r="Q423" i="112" s="1"/>
  <c r="R106" i="51"/>
  <c r="R423" i="112" s="1"/>
  <c r="S106" i="51"/>
  <c r="S423" i="112" s="1"/>
  <c r="T106" i="51"/>
  <c r="T423" i="112" s="1"/>
  <c r="U106" i="51"/>
  <c r="U423" i="112" s="1"/>
  <c r="V106" i="51"/>
  <c r="V423" i="112" s="1"/>
  <c r="W106" i="51"/>
  <c r="W423" i="112" s="1"/>
  <c r="W101" i="51"/>
  <c r="W418" i="112" s="1"/>
  <c r="V101" i="51"/>
  <c r="V418" i="112" s="1"/>
  <c r="U101" i="51"/>
  <c r="U418" i="112" s="1"/>
  <c r="T101" i="51"/>
  <c r="T418" i="112" s="1"/>
  <c r="S101" i="51"/>
  <c r="S418" i="112" s="1"/>
  <c r="R101" i="51"/>
  <c r="R418" i="112" s="1"/>
  <c r="Q101" i="51"/>
  <c r="Q418" i="112" s="1"/>
  <c r="I102" i="51"/>
  <c r="I419" i="112" s="1"/>
  <c r="I103" i="51"/>
  <c r="I420" i="112" s="1"/>
  <c r="I104" i="51"/>
  <c r="I421" i="112" s="1"/>
  <c r="I105" i="51"/>
  <c r="I422" i="112" s="1"/>
  <c r="I106" i="51"/>
  <c r="I423" i="112" s="1"/>
  <c r="F102" i="51"/>
  <c r="F419" i="112" s="1"/>
  <c r="F103" i="51"/>
  <c r="F420" i="112" s="1"/>
  <c r="F104" i="51"/>
  <c r="F421" i="112" s="1"/>
  <c r="F105" i="51"/>
  <c r="F422" i="112" s="1"/>
  <c r="F106" i="51"/>
  <c r="F423" i="112" s="1"/>
  <c r="F101" i="51"/>
  <c r="F418" i="112" s="1"/>
  <c r="H423" i="112"/>
  <c r="H419" i="112"/>
  <c r="H420" i="112"/>
  <c r="H421" i="112"/>
  <c r="H422" i="112"/>
  <c r="D87" i="51"/>
  <c r="K106" i="51" s="1"/>
  <c r="K423" i="112" s="1"/>
  <c r="D86" i="51"/>
  <c r="K104" i="51" s="1"/>
  <c r="K421" i="112" s="1"/>
  <c r="D84" i="51"/>
  <c r="K103" i="51" s="1"/>
  <c r="K420" i="112" s="1"/>
  <c r="D83" i="51"/>
  <c r="H418" i="112"/>
  <c r="I101" i="51"/>
  <c r="I418" i="112" s="1"/>
  <c r="F15" i="51" a="1"/>
  <c r="F15" i="51" s="1"/>
  <c r="F14" i="51" a="1"/>
  <c r="F14" i="51" s="1"/>
  <c r="F13" i="51" a="1"/>
  <c r="F13" i="51" s="1"/>
  <c r="F12" i="51" a="1"/>
  <c r="F12" i="51" s="1"/>
  <c r="F11" i="51" a="1"/>
  <c r="F11" i="51" s="1"/>
  <c r="S50" i="69" s="1"/>
  <c r="E50" i="69" s="1"/>
  <c r="E15" i="51" a="1"/>
  <c r="E15" i="51" s="1"/>
  <c r="C12" i="74"/>
  <c r="C11" i="74"/>
  <c r="W228" i="84"/>
  <c r="I228" i="84"/>
  <c r="J228" i="84"/>
  <c r="K226" i="84"/>
  <c r="I226" i="84"/>
  <c r="J226" i="84"/>
  <c r="K162" i="84"/>
  <c r="F157" i="84" a="1"/>
  <c r="F157" i="84" s="1"/>
  <c r="I162" i="84"/>
  <c r="J162" i="84"/>
  <c r="F162" i="84"/>
  <c r="I161" i="84"/>
  <c r="J161" i="84"/>
  <c r="F161" i="84"/>
  <c r="F156" i="84" a="1"/>
  <c r="F156" i="84" s="1"/>
  <c r="D427" i="61"/>
  <c r="D428" i="61"/>
  <c r="D426" i="61"/>
  <c r="C427" i="61"/>
  <c r="C428" i="61"/>
  <c r="C426" i="61"/>
  <c r="B17" i="84"/>
  <c r="W82" i="84"/>
  <c r="I82" i="84"/>
  <c r="J82" i="84"/>
  <c r="F82" i="84"/>
  <c r="W81" i="84"/>
  <c r="V81" i="84"/>
  <c r="U81" i="84"/>
  <c r="T81" i="84"/>
  <c r="S81" i="84"/>
  <c r="R81" i="84"/>
  <c r="Q81" i="84"/>
  <c r="I81" i="84"/>
  <c r="J81" i="84"/>
  <c r="F81" i="84"/>
  <c r="F72" i="84" a="1"/>
  <c r="F72" i="84" s="1"/>
  <c r="C70" i="61"/>
  <c r="D70" i="61"/>
  <c r="C71" i="61"/>
  <c r="D71" i="61"/>
  <c r="D69" i="61"/>
  <c r="C69" i="61"/>
  <c r="F69" i="61" s="1"/>
  <c r="C412" i="59"/>
  <c r="D412" i="59"/>
  <c r="C413" i="59"/>
  <c r="D413" i="59"/>
  <c r="D411" i="59"/>
  <c r="C411" i="59"/>
  <c r="C69" i="59"/>
  <c r="D69" i="59"/>
  <c r="C70" i="59"/>
  <c r="D70" i="59"/>
  <c r="E12" i="44" a="1"/>
  <c r="E12" i="44" s="1"/>
  <c r="D68" i="59"/>
  <c r="C68" i="59"/>
  <c r="E11" i="41" a="1"/>
  <c r="E11" i="41" s="1"/>
  <c r="S10" i="69" s="1"/>
  <c r="E10" i="69" s="1"/>
  <c r="Q223" i="58"/>
  <c r="Q371" i="112" s="1"/>
  <c r="R223" i="58"/>
  <c r="R371" i="112" s="1"/>
  <c r="S223" i="58"/>
  <c r="S371" i="112" s="1"/>
  <c r="T223" i="58"/>
  <c r="T371" i="112" s="1"/>
  <c r="U223" i="58"/>
  <c r="U371" i="112" s="1"/>
  <c r="V223" i="58"/>
  <c r="V371" i="112" s="1"/>
  <c r="W223" i="58"/>
  <c r="W371" i="112" s="1"/>
  <c r="Q224" i="58"/>
  <c r="Q372" i="112" s="1"/>
  <c r="R224" i="58"/>
  <c r="R372" i="112" s="1"/>
  <c r="S224" i="58"/>
  <c r="S372" i="112" s="1"/>
  <c r="T224" i="58"/>
  <c r="T372" i="112" s="1"/>
  <c r="U224" i="58"/>
  <c r="U372" i="112" s="1"/>
  <c r="V224" i="58"/>
  <c r="V372" i="112" s="1"/>
  <c r="W224" i="58"/>
  <c r="W372" i="112" s="1"/>
  <c r="Q225" i="58"/>
  <c r="Q373" i="112" s="1"/>
  <c r="R225" i="58"/>
  <c r="R373" i="112" s="1"/>
  <c r="S225" i="58"/>
  <c r="S373" i="112" s="1"/>
  <c r="T225" i="58"/>
  <c r="T373" i="112" s="1"/>
  <c r="U225" i="58"/>
  <c r="U373" i="112" s="1"/>
  <c r="V225" i="58"/>
  <c r="V373" i="112" s="1"/>
  <c r="W225" i="58"/>
  <c r="W373" i="112" s="1"/>
  <c r="Q226" i="58"/>
  <c r="Q374" i="112" s="1"/>
  <c r="R226" i="58"/>
  <c r="R374" i="112" s="1"/>
  <c r="S226" i="58"/>
  <c r="S374" i="112" s="1"/>
  <c r="T226" i="58"/>
  <c r="T374" i="112" s="1"/>
  <c r="U226" i="58"/>
  <c r="U374" i="112" s="1"/>
  <c r="V226" i="58"/>
  <c r="V374" i="112" s="1"/>
  <c r="W226" i="58"/>
  <c r="W374" i="112" s="1"/>
  <c r="W222" i="58"/>
  <c r="W370" i="112" s="1"/>
  <c r="V222" i="58"/>
  <c r="V370" i="112" s="1"/>
  <c r="U222" i="58"/>
  <c r="U370" i="112" s="1"/>
  <c r="T222" i="58"/>
  <c r="T370" i="112" s="1"/>
  <c r="S222" i="58"/>
  <c r="S370" i="112" s="1"/>
  <c r="R222" i="58"/>
  <c r="R370" i="112" s="1"/>
  <c r="Q222" i="58"/>
  <c r="Q370" i="112" s="1"/>
  <c r="F223" i="58"/>
  <c r="F371" i="112" s="1"/>
  <c r="F224" i="58"/>
  <c r="F372" i="112" s="1"/>
  <c r="F225" i="58"/>
  <c r="F373" i="112" s="1"/>
  <c r="F226" i="58"/>
  <c r="F374" i="112" s="1"/>
  <c r="F222" i="58"/>
  <c r="F370" i="112" s="1"/>
  <c r="S299" i="112" l="1"/>
  <c r="R296" i="112"/>
  <c r="Q293" i="112"/>
  <c r="K294" i="112"/>
  <c r="H291" i="112"/>
  <c r="F298" i="112"/>
  <c r="E295" i="112"/>
  <c r="D292" i="112"/>
  <c r="M298" i="112"/>
  <c r="K292" i="112"/>
  <c r="G299" i="112"/>
  <c r="F296" i="112"/>
  <c r="E293" i="112"/>
  <c r="V299" i="112"/>
  <c r="U296" i="112"/>
  <c r="T293" i="112"/>
  <c r="Q290" i="112"/>
  <c r="Q298" i="112"/>
  <c r="T296" i="112"/>
  <c r="H295" i="112"/>
  <c r="K293" i="112"/>
  <c r="T291" i="112"/>
  <c r="D299" i="112"/>
  <c r="K299" i="112"/>
  <c r="J296" i="112"/>
  <c r="I293" i="112"/>
  <c r="D290" i="112"/>
  <c r="D297" i="112"/>
  <c r="C294" i="112"/>
  <c r="U290" i="112"/>
  <c r="S297" i="112"/>
  <c r="R294" i="112"/>
  <c r="Q291" i="112"/>
  <c r="E298" i="112"/>
  <c r="D295" i="112"/>
  <c r="C292" i="112"/>
  <c r="T298" i="112"/>
  <c r="S295" i="112"/>
  <c r="R292" i="112"/>
  <c r="N299" i="112"/>
  <c r="M296" i="112"/>
  <c r="G290" i="112"/>
  <c r="F297" i="112"/>
  <c r="I295" i="112"/>
  <c r="R293" i="112"/>
  <c r="U291" i="112"/>
  <c r="E290" i="112"/>
  <c r="C299" i="112"/>
  <c r="W295" i="112"/>
  <c r="V292" i="112"/>
  <c r="R299" i="112"/>
  <c r="Q296" i="112"/>
  <c r="P293" i="112"/>
  <c r="M290" i="112"/>
  <c r="K297" i="112"/>
  <c r="J294" i="112"/>
  <c r="G291" i="112"/>
  <c r="R297" i="112"/>
  <c r="Q294" i="112"/>
  <c r="P291" i="112"/>
  <c r="L298" i="112"/>
  <c r="K295" i="112"/>
  <c r="J292" i="112"/>
  <c r="F299" i="112"/>
  <c r="E296" i="112"/>
  <c r="D293" i="112"/>
  <c r="R298" i="112"/>
  <c r="P295" i="112"/>
  <c r="S293" i="112"/>
  <c r="G292" i="112"/>
  <c r="F290" i="112"/>
  <c r="E299" i="112"/>
  <c r="C296" i="112"/>
  <c r="P298" i="112"/>
  <c r="O295" i="112"/>
  <c r="J299" i="112"/>
  <c r="I296" i="112"/>
  <c r="H293" i="112"/>
  <c r="C290" i="112"/>
  <c r="C297" i="112"/>
  <c r="W293" i="112"/>
  <c r="T290" i="112"/>
  <c r="J297" i="112"/>
  <c r="I294" i="112"/>
  <c r="F291" i="112"/>
  <c r="D298" i="112"/>
  <c r="C295" i="112"/>
  <c r="W291" i="112"/>
  <c r="S298" i="112"/>
  <c r="R295" i="112"/>
  <c r="Q292" i="112"/>
  <c r="G297" i="112"/>
  <c r="E294" i="112"/>
  <c r="H292" i="112"/>
  <c r="O290" i="112"/>
  <c r="L299" i="112"/>
  <c r="O297" i="112"/>
  <c r="M294" i="112"/>
  <c r="H298" i="112"/>
  <c r="G295" i="112"/>
  <c r="F292" i="112"/>
  <c r="W298" i="112"/>
  <c r="V295" i="112"/>
  <c r="U292" i="112"/>
  <c r="Q299" i="112"/>
  <c r="P296" i="112"/>
  <c r="O293" i="112"/>
  <c r="J290" i="112"/>
  <c r="W296" i="112"/>
  <c r="V293" i="112"/>
  <c r="S290" i="112"/>
  <c r="Q297" i="112"/>
  <c r="P294" i="112"/>
  <c r="O291" i="112"/>
  <c r="K298" i="112"/>
  <c r="J295" i="112"/>
  <c r="I292" i="112"/>
  <c r="Q295" i="112"/>
  <c r="O292" i="112"/>
  <c r="P290" i="112"/>
  <c r="M299" i="112"/>
  <c r="V297" i="112"/>
  <c r="D296" i="112"/>
  <c r="W292" i="112"/>
  <c r="U297" i="112"/>
  <c r="T294" i="112"/>
  <c r="S291" i="112"/>
  <c r="O298" i="112"/>
  <c r="M292" i="112"/>
  <c r="I299" i="112"/>
  <c r="H296" i="112"/>
  <c r="G293" i="112"/>
  <c r="P299" i="112"/>
  <c r="O296" i="112"/>
  <c r="I290" i="112"/>
  <c r="I297" i="112"/>
  <c r="H294" i="112"/>
  <c r="E291" i="112"/>
  <c r="C298" i="112"/>
  <c r="W294" i="112"/>
  <c r="V291" i="112"/>
  <c r="F294" i="112"/>
  <c r="W290" i="112"/>
  <c r="T299" i="112"/>
  <c r="W297" i="112"/>
  <c r="K296" i="112"/>
  <c r="J291" i="112"/>
  <c r="M297" i="112"/>
  <c r="L294" i="112"/>
  <c r="I291" i="112"/>
  <c r="G298" i="112"/>
  <c r="F295" i="112"/>
  <c r="E292" i="112"/>
  <c r="V298" i="112"/>
  <c r="U295" i="112"/>
  <c r="T292" i="112"/>
  <c r="H299" i="112"/>
  <c r="G296" i="112"/>
  <c r="F293" i="112"/>
  <c r="W299" i="112"/>
  <c r="V296" i="112"/>
  <c r="U293" i="112"/>
  <c r="R290" i="112"/>
  <c r="P297" i="112"/>
  <c r="O294" i="112"/>
  <c r="P292" i="112"/>
  <c r="U299" i="112"/>
  <c r="I298" i="112"/>
  <c r="L296" i="112"/>
  <c r="U294" i="112"/>
  <c r="C293" i="112"/>
  <c r="E297" i="112"/>
  <c r="D294" i="112"/>
  <c r="V290" i="112"/>
  <c r="T297" i="112"/>
  <c r="S294" i="112"/>
  <c r="R291" i="112"/>
  <c r="N298" i="112"/>
  <c r="M295" i="112"/>
  <c r="U298" i="112"/>
  <c r="T295" i="112"/>
  <c r="S292" i="112"/>
  <c r="O299" i="112"/>
  <c r="M293" i="112"/>
  <c r="H290" i="112"/>
  <c r="H297" i="112"/>
  <c r="G294" i="112"/>
  <c r="D291" i="112"/>
  <c r="C291" i="112"/>
  <c r="J298" i="112"/>
  <c r="S296" i="112"/>
  <c r="V294" i="112"/>
  <c r="J293" i="112"/>
  <c r="M291" i="112"/>
  <c r="G292" i="85"/>
  <c r="I11" i="85" s="1" a="1"/>
  <c r="I11" i="85" s="1"/>
  <c r="X72" i="69" s="1"/>
  <c r="L139" i="112"/>
  <c r="D61" i="51"/>
  <c r="E61" i="51" s="1"/>
  <c r="D38" i="84"/>
  <c r="E38" i="84" s="1"/>
  <c r="D183" i="84"/>
  <c r="E183" i="84" s="1"/>
  <c r="D119" i="84"/>
  <c r="E119" i="84" s="1"/>
  <c r="J101" i="51"/>
  <c r="J418" i="112" s="1"/>
  <c r="S51" i="69"/>
  <c r="E51" i="69" s="1"/>
  <c r="J105" i="51"/>
  <c r="J422" i="112" s="1"/>
  <c r="S52" i="69"/>
  <c r="S53" i="69"/>
  <c r="J103" i="51"/>
  <c r="J420" i="112" s="1"/>
  <c r="J104" i="51"/>
  <c r="J421" i="112" s="1"/>
  <c r="J102" i="51"/>
  <c r="J419" i="112" s="1"/>
  <c r="S54" i="69"/>
  <c r="J106" i="51"/>
  <c r="J423" i="112" s="1"/>
  <c r="X52" i="69"/>
  <c r="J53" i="69"/>
  <c r="X53" i="69"/>
  <c r="J54" i="69"/>
  <c r="X54" i="69"/>
  <c r="F17" i="84" a="1"/>
  <c r="F17" i="84" s="1"/>
  <c r="S71" i="69" s="1"/>
  <c r="L302" i="85"/>
  <c r="H12" i="59" a="1"/>
  <c r="H12" i="59" s="1"/>
  <c r="E13" i="61" a="1"/>
  <c r="E13" i="61" s="1"/>
  <c r="I11" i="84" a="1"/>
  <c r="I11" i="84" s="1"/>
  <c r="X65" i="69" s="1"/>
  <c r="E13" i="84" a="1"/>
  <c r="E13" i="84" s="1"/>
  <c r="N67" i="69" s="1"/>
  <c r="I13" i="84" a="1"/>
  <c r="I13" i="84" s="1"/>
  <c r="X67" i="69" s="1"/>
  <c r="E12" i="84" a="1"/>
  <c r="E12" i="84" s="1"/>
  <c r="N66" i="69" s="1"/>
  <c r="I12" i="84" a="1"/>
  <c r="I12" i="84" s="1"/>
  <c r="X66" i="69" s="1"/>
  <c r="E16" i="84" a="1"/>
  <c r="E16" i="84" s="1"/>
  <c r="N70" i="69" s="1"/>
  <c r="I16" i="84" a="1"/>
  <c r="I16" i="84" s="1"/>
  <c r="X70" i="69" s="1"/>
  <c r="I15" i="84" a="1"/>
  <c r="I15" i="84" s="1"/>
  <c r="X69" i="69" s="1"/>
  <c r="I17" i="84" a="1"/>
  <c r="I17" i="84" s="1"/>
  <c r="X71" i="69" s="1"/>
  <c r="E17" i="84" a="1"/>
  <c r="E17" i="84" s="1"/>
  <c r="N71" i="69" s="1"/>
  <c r="E12" i="61" a="1"/>
  <c r="E12" i="61" s="1"/>
  <c r="H13" i="59" a="1"/>
  <c r="H13" i="59" s="1"/>
  <c r="D85" i="51"/>
  <c r="K102" i="51" s="1"/>
  <c r="K419" i="112" s="1"/>
  <c r="D88" i="51"/>
  <c r="K105" i="51" s="1"/>
  <c r="K422" i="112" s="1"/>
  <c r="K101" i="51"/>
  <c r="K418" i="112" s="1"/>
  <c r="L226" i="84"/>
  <c r="G219" i="84" s="1"/>
  <c r="H13" i="84" s="1" a="1"/>
  <c r="H13" i="84" s="1"/>
  <c r="V67" i="69" s="1"/>
  <c r="L228" i="84"/>
  <c r="G221" i="84" s="1"/>
  <c r="H16" i="84" s="1" a="1"/>
  <c r="H16" i="84" s="1"/>
  <c r="V70" i="69" s="1"/>
  <c r="L161" i="84"/>
  <c r="G156" i="84" s="1"/>
  <c r="G11" i="84" s="1" a="1"/>
  <c r="G11" i="84" s="1"/>
  <c r="U65" i="69" s="1"/>
  <c r="L162" i="84"/>
  <c r="G157" i="84" s="1"/>
  <c r="G15" i="84" s="1" a="1"/>
  <c r="G15" i="84" s="1"/>
  <c r="U69" i="69" s="1"/>
  <c r="E70" i="69" l="1"/>
  <c r="E67" i="69"/>
  <c r="E66" i="69"/>
  <c r="H92" i="51"/>
  <c r="N101" i="51" s="1"/>
  <c r="N418" i="112" s="1"/>
  <c r="G295" i="85"/>
  <c r="L140" i="112"/>
  <c r="L292" i="112"/>
  <c r="L293" i="112"/>
  <c r="L297" i="112"/>
  <c r="L295" i="112"/>
  <c r="L101" i="51"/>
  <c r="L418" i="112" s="1"/>
  <c r="L104" i="51"/>
  <c r="L421" i="112" s="1"/>
  <c r="L103" i="51"/>
  <c r="L420" i="112" s="1"/>
  <c r="L106" i="51"/>
  <c r="L105" i="51"/>
  <c r="L422" i="112" s="1"/>
  <c r="L102" i="51"/>
  <c r="L419" i="112" s="1"/>
  <c r="H156" i="84"/>
  <c r="H218" i="84"/>
  <c r="H75" i="84"/>
  <c r="N82" i="84" s="1"/>
  <c r="N291" i="112" s="1"/>
  <c r="H72" i="84"/>
  <c r="N81" i="84" s="1"/>
  <c r="N290" i="112" s="1"/>
  <c r="I14" i="85" a="1"/>
  <c r="I14" i="85" s="1"/>
  <c r="X75" i="69" s="1"/>
  <c r="H17" i="84" a="1"/>
  <c r="H17" i="84" s="1"/>
  <c r="V71" i="69" s="1"/>
  <c r="E71" i="69" s="1"/>
  <c r="G95" i="51" l="1"/>
  <c r="H13" i="51" s="1" a="1"/>
  <c r="H13" i="51" s="1"/>
  <c r="V52" i="69" s="1"/>
  <c r="G97" i="51"/>
  <c r="H14" i="51" s="1" a="1"/>
  <c r="H14" i="51" s="1"/>
  <c r="G93" i="51"/>
  <c r="G15" i="51" s="1" a="1"/>
  <c r="G15" i="51" s="1"/>
  <c r="U54" i="69" s="1"/>
  <c r="G92" i="51"/>
  <c r="G13" i="51" s="1" a="1"/>
  <c r="G13" i="51" s="1"/>
  <c r="U52" i="69" s="1"/>
  <c r="E52" i="69" s="1"/>
  <c r="N106" i="51"/>
  <c r="N423" i="112" s="1"/>
  <c r="N104" i="51"/>
  <c r="N421" i="112" s="1"/>
  <c r="N105" i="51"/>
  <c r="N422" i="112" s="1"/>
  <c r="N103" i="51"/>
  <c r="N420" i="112" s="1"/>
  <c r="N102" i="51"/>
  <c r="N419" i="112" s="1"/>
  <c r="G96" i="51"/>
  <c r="H15" i="51" s="1" a="1"/>
  <c r="H15" i="51" s="1"/>
  <c r="V54" i="69" s="1"/>
  <c r="L423" i="112"/>
  <c r="V53" i="69"/>
  <c r="G94" i="51"/>
  <c r="G14" i="51" s="1" a="1"/>
  <c r="G14" i="51" s="1"/>
  <c r="N226" i="84"/>
  <c r="N295" i="112" s="1"/>
  <c r="N227" i="84"/>
  <c r="N296" i="112" s="1"/>
  <c r="N225" i="84"/>
  <c r="N294" i="112" s="1"/>
  <c r="N228" i="84"/>
  <c r="N297" i="112" s="1"/>
  <c r="N162" i="84"/>
  <c r="N293" i="112" s="1"/>
  <c r="N161" i="84"/>
  <c r="N292" i="112" s="1"/>
  <c r="E12" i="73"/>
  <c r="S245" i="69" s="1"/>
  <c r="E13" i="73"/>
  <c r="S246" i="69" s="1"/>
  <c r="E11" i="73"/>
  <c r="S244" i="69" s="1"/>
  <c r="Q132" i="73"/>
  <c r="Q361" i="112" s="1"/>
  <c r="R132" i="73"/>
  <c r="R361" i="112" s="1"/>
  <c r="S132" i="73"/>
  <c r="S361" i="112" s="1"/>
  <c r="T132" i="73"/>
  <c r="T361" i="112" s="1"/>
  <c r="U132" i="73"/>
  <c r="U361" i="112" s="1"/>
  <c r="V132" i="73"/>
  <c r="V361" i="112" s="1"/>
  <c r="W132" i="73"/>
  <c r="W361" i="112" s="1"/>
  <c r="Q133" i="73"/>
  <c r="Q362" i="112" s="1"/>
  <c r="R133" i="73"/>
  <c r="R362" i="112" s="1"/>
  <c r="S133" i="73"/>
  <c r="S362" i="112" s="1"/>
  <c r="T133" i="73"/>
  <c r="T362" i="112" s="1"/>
  <c r="U133" i="73"/>
  <c r="U362" i="112" s="1"/>
  <c r="V133" i="73"/>
  <c r="V362" i="112" s="1"/>
  <c r="W133" i="73"/>
  <c r="W362" i="112" s="1"/>
  <c r="Q134" i="73"/>
  <c r="Q363" i="112" s="1"/>
  <c r="R134" i="73"/>
  <c r="R363" i="112" s="1"/>
  <c r="S134" i="73"/>
  <c r="S363" i="112" s="1"/>
  <c r="T134" i="73"/>
  <c r="T363" i="112" s="1"/>
  <c r="U134" i="73"/>
  <c r="U363" i="112" s="1"/>
  <c r="V134" i="73"/>
  <c r="V363" i="112" s="1"/>
  <c r="W134" i="73"/>
  <c r="W363" i="112" s="1"/>
  <c r="W131" i="73"/>
  <c r="W360" i="112" s="1"/>
  <c r="V131" i="73"/>
  <c r="V360" i="112" s="1"/>
  <c r="U131" i="73"/>
  <c r="U360" i="112" s="1"/>
  <c r="T131" i="73"/>
  <c r="T360" i="112" s="1"/>
  <c r="S131" i="73"/>
  <c r="S360" i="112" s="1"/>
  <c r="R131" i="73"/>
  <c r="R360" i="112" s="1"/>
  <c r="Q131" i="73"/>
  <c r="Q360" i="112" s="1"/>
  <c r="F132" i="73"/>
  <c r="F361" i="112" s="1"/>
  <c r="F133" i="73"/>
  <c r="F362" i="112" s="1"/>
  <c r="F134" i="73"/>
  <c r="F363" i="112" s="1"/>
  <c r="E95" i="73"/>
  <c r="K133" i="73" s="1"/>
  <c r="K362" i="112" s="1"/>
  <c r="E96" i="73"/>
  <c r="K134" i="73" s="1"/>
  <c r="K363" i="112" s="1"/>
  <c r="D419" i="61"/>
  <c r="D421" i="61"/>
  <c r="F131" i="73"/>
  <c r="F360" i="112" s="1"/>
  <c r="D399" i="61"/>
  <c r="D400" i="61"/>
  <c r="F127" i="73" a="1"/>
  <c r="F127" i="73" s="1"/>
  <c r="F126" i="73" a="1"/>
  <c r="F126" i="73" s="1"/>
  <c r="F125" i="73" a="1"/>
  <c r="F125" i="73" s="1"/>
  <c r="F124" i="73" a="1"/>
  <c r="F124" i="73" s="1"/>
  <c r="H360" i="112"/>
  <c r="I131" i="73"/>
  <c r="I360" i="112" s="1"/>
  <c r="K131" i="73"/>
  <c r="K360" i="112" s="1"/>
  <c r="H361" i="112"/>
  <c r="I132" i="73"/>
  <c r="I361" i="112" s="1"/>
  <c r="K132" i="73"/>
  <c r="K361" i="112" s="1"/>
  <c r="H362" i="112"/>
  <c r="I133" i="73"/>
  <c r="I362" i="112" s="1"/>
  <c r="H363" i="112"/>
  <c r="I134" i="73"/>
  <c r="I363" i="112" s="1"/>
  <c r="D88" i="73"/>
  <c r="E88" i="73" s="1"/>
  <c r="F53" i="73" a="1"/>
  <c r="F53" i="73" s="1"/>
  <c r="F58" i="73" a="1"/>
  <c r="F58" i="73" s="1"/>
  <c r="F57" i="73" a="1"/>
  <c r="F57" i="73" s="1"/>
  <c r="F56" i="73" a="1"/>
  <c r="F56" i="73" s="1"/>
  <c r="F55" i="73" a="1"/>
  <c r="F55" i="73" s="1"/>
  <c r="F54" i="73" a="1"/>
  <c r="F54" i="73" s="1"/>
  <c r="C38" i="61"/>
  <c r="Q63" i="73"/>
  <c r="Q355" i="112" s="1"/>
  <c r="R63" i="73"/>
  <c r="R355" i="112" s="1"/>
  <c r="S63" i="73"/>
  <c r="S355" i="112" s="1"/>
  <c r="T63" i="73"/>
  <c r="T355" i="112" s="1"/>
  <c r="U63" i="73"/>
  <c r="U355" i="112" s="1"/>
  <c r="V63" i="73"/>
  <c r="V355" i="112" s="1"/>
  <c r="W63" i="73"/>
  <c r="W355" i="112" s="1"/>
  <c r="Q64" i="73"/>
  <c r="Q356" i="112" s="1"/>
  <c r="R64" i="73"/>
  <c r="R356" i="112" s="1"/>
  <c r="S64" i="73"/>
  <c r="S356" i="112" s="1"/>
  <c r="T64" i="73"/>
  <c r="T356" i="112" s="1"/>
  <c r="U64" i="73"/>
  <c r="U356" i="112" s="1"/>
  <c r="V64" i="73"/>
  <c r="V356" i="112" s="1"/>
  <c r="W64" i="73"/>
  <c r="W356" i="112" s="1"/>
  <c r="Q65" i="73"/>
  <c r="Q357" i="112" s="1"/>
  <c r="R65" i="73"/>
  <c r="R357" i="112" s="1"/>
  <c r="S65" i="73"/>
  <c r="S357" i="112" s="1"/>
  <c r="T65" i="73"/>
  <c r="T357" i="112" s="1"/>
  <c r="U65" i="73"/>
  <c r="U357" i="112" s="1"/>
  <c r="V65" i="73"/>
  <c r="V357" i="112" s="1"/>
  <c r="W65" i="73"/>
  <c r="W357" i="112" s="1"/>
  <c r="Q66" i="73"/>
  <c r="Q358" i="112" s="1"/>
  <c r="R66" i="73"/>
  <c r="R358" i="112" s="1"/>
  <c r="S66" i="73"/>
  <c r="S358" i="112" s="1"/>
  <c r="T66" i="73"/>
  <c r="T358" i="112" s="1"/>
  <c r="U66" i="73"/>
  <c r="U358" i="112" s="1"/>
  <c r="V66" i="73"/>
  <c r="V358" i="112" s="1"/>
  <c r="W66" i="73"/>
  <c r="W358" i="112" s="1"/>
  <c r="Q67" i="73"/>
  <c r="Q359" i="112" s="1"/>
  <c r="R67" i="73"/>
  <c r="R359" i="112" s="1"/>
  <c r="S67" i="73"/>
  <c r="S359" i="112" s="1"/>
  <c r="T67" i="73"/>
  <c r="T359" i="112" s="1"/>
  <c r="U67" i="73"/>
  <c r="U359" i="112" s="1"/>
  <c r="V67" i="73"/>
  <c r="V359" i="112" s="1"/>
  <c r="W67" i="73"/>
  <c r="W359" i="112" s="1"/>
  <c r="W62" i="73"/>
  <c r="W354" i="112" s="1"/>
  <c r="V62" i="73"/>
  <c r="V354" i="112" s="1"/>
  <c r="U62" i="73"/>
  <c r="U354" i="112" s="1"/>
  <c r="T62" i="73"/>
  <c r="T354" i="112" s="1"/>
  <c r="S62" i="73"/>
  <c r="S354" i="112" s="1"/>
  <c r="R62" i="73"/>
  <c r="R354" i="112" s="1"/>
  <c r="Q62" i="73"/>
  <c r="Q354" i="112" s="1"/>
  <c r="K65" i="73"/>
  <c r="K357" i="112" s="1"/>
  <c r="I63" i="73"/>
  <c r="I355" i="112" s="1"/>
  <c r="I64" i="73"/>
  <c r="I356" i="112" s="1"/>
  <c r="I65" i="73"/>
  <c r="I357" i="112" s="1"/>
  <c r="I66" i="73"/>
  <c r="I358" i="112" s="1"/>
  <c r="I67" i="73"/>
  <c r="I359" i="112" s="1"/>
  <c r="H355" i="112"/>
  <c r="H356" i="112"/>
  <c r="H357" i="112"/>
  <c r="H358" i="112"/>
  <c r="H359" i="112"/>
  <c r="F63" i="73"/>
  <c r="F355" i="112" s="1"/>
  <c r="F64" i="73"/>
  <c r="F356" i="112" s="1"/>
  <c r="F65" i="73"/>
  <c r="F357" i="112" s="1"/>
  <c r="F66" i="73"/>
  <c r="F358" i="112" s="1"/>
  <c r="F67" i="73"/>
  <c r="F359" i="112" s="1"/>
  <c r="F62" i="73"/>
  <c r="F354" i="112" s="1"/>
  <c r="E49" i="73"/>
  <c r="K67" i="73" s="1"/>
  <c r="K359" i="112" s="1"/>
  <c r="E48" i="73"/>
  <c r="K66" i="73" s="1"/>
  <c r="K358" i="112" s="1"/>
  <c r="D406" i="59"/>
  <c r="E46" i="73"/>
  <c r="K64" i="73" s="1"/>
  <c r="K356" i="112" s="1"/>
  <c r="E45" i="73"/>
  <c r="K63" i="73" s="1"/>
  <c r="K355" i="112" s="1"/>
  <c r="E398" i="59"/>
  <c r="E397" i="59"/>
  <c r="E44" i="73"/>
  <c r="K62" i="73" s="1"/>
  <c r="K354" i="112" s="1"/>
  <c r="D63" i="80"/>
  <c r="C63" i="80"/>
  <c r="E67" i="80" s="1"/>
  <c r="K187" i="59"/>
  <c r="B12" i="80"/>
  <c r="D58" i="80" s="1"/>
  <c r="B11" i="80"/>
  <c r="W67" i="80"/>
  <c r="V67" i="80"/>
  <c r="U67" i="80"/>
  <c r="T67" i="80"/>
  <c r="S67" i="80"/>
  <c r="R67" i="80"/>
  <c r="Q67" i="80"/>
  <c r="I67" i="80"/>
  <c r="J67" i="80"/>
  <c r="C63" i="59"/>
  <c r="C61" i="59"/>
  <c r="E54" i="69" l="1"/>
  <c r="H124" i="73"/>
  <c r="D53" i="80"/>
  <c r="E53" i="80" s="1"/>
  <c r="D33" i="80"/>
  <c r="E33" i="80" s="1"/>
  <c r="J131" i="73"/>
  <c r="J360" i="112" s="1"/>
  <c r="J65" i="73"/>
  <c r="J357" i="112" s="1"/>
  <c r="J67" i="73"/>
  <c r="J359" i="112" s="1"/>
  <c r="J66" i="73"/>
  <c r="J358" i="112" s="1"/>
  <c r="J64" i="73"/>
  <c r="J356" i="112" s="1"/>
  <c r="J134" i="73"/>
  <c r="J363" i="112" s="1"/>
  <c r="J63" i="73"/>
  <c r="J355" i="112" s="1"/>
  <c r="J133" i="73"/>
  <c r="J362" i="112" s="1"/>
  <c r="J132" i="73"/>
  <c r="J361" i="112" s="1"/>
  <c r="U53" i="69"/>
  <c r="E53" i="69" s="1"/>
  <c r="H11" i="80" a="1"/>
  <c r="H11" i="80" s="1"/>
  <c r="S62" i="69" s="1"/>
  <c r="I11" i="80" a="1"/>
  <c r="I11" i="80" s="1"/>
  <c r="U62" i="69" s="1"/>
  <c r="H12" i="80" a="1"/>
  <c r="H12" i="80" s="1"/>
  <c r="S63" i="69" s="1"/>
  <c r="F12" i="80" a="1"/>
  <c r="F12" i="80" s="1"/>
  <c r="L63" i="69" s="1"/>
  <c r="G12" i="80" a="1"/>
  <c r="G12" i="80" s="1"/>
  <c r="R63" i="69" s="1"/>
  <c r="D404" i="59"/>
  <c r="D403" i="59"/>
  <c r="B63" i="80"/>
  <c r="P3" i="112" s="1"/>
  <c r="D416" i="61"/>
  <c r="D417" i="61"/>
  <c r="D37" i="80"/>
  <c r="L67" i="80"/>
  <c r="L3" i="112" s="1"/>
  <c r="H39" i="78"/>
  <c r="E12" i="78" a="1"/>
  <c r="E12" i="78" s="1"/>
  <c r="E13" i="78" a="1"/>
  <c r="E13" i="78" s="1"/>
  <c r="E14" i="78" a="1"/>
  <c r="E14" i="78" s="1"/>
  <c r="E11" i="78" a="1"/>
  <c r="E11" i="78" s="1"/>
  <c r="S44" i="69" s="1"/>
  <c r="E62" i="69" l="1"/>
  <c r="K3" i="112"/>
  <c r="E3" i="112"/>
  <c r="F3" i="112"/>
  <c r="I3" i="112"/>
  <c r="L134" i="73"/>
  <c r="L363" i="112" s="1"/>
  <c r="C3" i="112"/>
  <c r="L133" i="73"/>
  <c r="L362" i="112" s="1"/>
  <c r="V3" i="112"/>
  <c r="T3" i="112"/>
  <c r="Q3" i="112"/>
  <c r="G3" i="112"/>
  <c r="J3" i="112"/>
  <c r="M3" i="112"/>
  <c r="O3" i="112"/>
  <c r="R3" i="112"/>
  <c r="U3" i="112"/>
  <c r="W3" i="112"/>
  <c r="S3" i="112"/>
  <c r="H3" i="112"/>
  <c r="N131" i="73"/>
  <c r="N360" i="112" s="1"/>
  <c r="N133" i="73"/>
  <c r="N362" i="112" s="1"/>
  <c r="N134" i="73"/>
  <c r="N363" i="112" s="1"/>
  <c r="N132" i="73"/>
  <c r="N361" i="112" s="1"/>
  <c r="L63" i="73"/>
  <c r="L355" i="112" s="1"/>
  <c r="D405" i="59"/>
  <c r="D407" i="59" s="1"/>
  <c r="K417" i="59" s="1"/>
  <c r="L67" i="73"/>
  <c r="L359" i="112" s="1"/>
  <c r="L132" i="73"/>
  <c r="L361" i="112" s="1"/>
  <c r="L66" i="73"/>
  <c r="L131" i="73"/>
  <c r="H63" i="80"/>
  <c r="N67" i="80" s="1"/>
  <c r="N3" i="112" s="1"/>
  <c r="L64" i="73"/>
  <c r="L356" i="112" s="1"/>
  <c r="L65" i="73"/>
  <c r="L357" i="112" s="1"/>
  <c r="S47" i="69"/>
  <c r="E47" i="69" s="1"/>
  <c r="S45" i="69"/>
  <c r="E45" i="69" s="1"/>
  <c r="S46" i="69"/>
  <c r="D418" i="61"/>
  <c r="D420" i="61" s="1"/>
  <c r="D422" i="61" s="1"/>
  <c r="K432" i="61" s="1"/>
  <c r="W78" i="78"/>
  <c r="W405" i="112" s="1"/>
  <c r="W80" i="78"/>
  <c r="W407" i="112" s="1"/>
  <c r="W79" i="78"/>
  <c r="W406" i="112" s="1"/>
  <c r="W77" i="78"/>
  <c r="W404" i="112" s="1"/>
  <c r="D67" i="80"/>
  <c r="F63" i="80" s="1" a="1"/>
  <c r="F63" i="80" s="1"/>
  <c r="I78" i="78"/>
  <c r="I405" i="112" s="1"/>
  <c r="H405" i="112"/>
  <c r="I77" i="78"/>
  <c r="I404" i="112" s="1"/>
  <c r="H404" i="112"/>
  <c r="G127" i="73" l="1"/>
  <c r="I13" i="73" s="1" a="1"/>
  <c r="I13" i="73" s="1"/>
  <c r="Z246" i="69" s="1"/>
  <c r="G126" i="73"/>
  <c r="I12" i="73" s="1" a="1"/>
  <c r="I12" i="73" s="1"/>
  <c r="Z245" i="69" s="1"/>
  <c r="G56" i="73"/>
  <c r="G14" i="73" s="1" a="1"/>
  <c r="G14" i="73" s="1"/>
  <c r="X247" i="69" s="1"/>
  <c r="E247" i="69" s="1"/>
  <c r="G54" i="73"/>
  <c r="F11" i="73" s="1" a="1"/>
  <c r="F11" i="73" s="1"/>
  <c r="V244" i="69" s="1"/>
  <c r="G58" i="73"/>
  <c r="I11" i="73" s="1" a="1"/>
  <c r="I11" i="73" s="1"/>
  <c r="Z244" i="69" s="1"/>
  <c r="G125" i="73"/>
  <c r="D13" i="73" s="1" a="1"/>
  <c r="D13" i="73" s="1"/>
  <c r="F246" i="69" s="1"/>
  <c r="G57" i="73"/>
  <c r="H11" i="73" s="1" a="1"/>
  <c r="H11" i="73" s="1"/>
  <c r="Y244" i="69" s="1"/>
  <c r="L358" i="112"/>
  <c r="D3" i="112"/>
  <c r="G124" i="73"/>
  <c r="D12" i="73" s="1" a="1"/>
  <c r="D12" i="73" s="1"/>
  <c r="F245" i="69" s="1"/>
  <c r="E245" i="69" s="1"/>
  <c r="L360" i="112"/>
  <c r="D49" i="78"/>
  <c r="E49" i="78" s="1"/>
  <c r="G55" i="73"/>
  <c r="G11" i="73" s="1" a="1"/>
  <c r="G11" i="73" s="1"/>
  <c r="X244" i="69" s="1"/>
  <c r="J77" i="78"/>
  <c r="J404" i="112" s="1"/>
  <c r="J78" i="78"/>
  <c r="J405" i="112" s="1"/>
  <c r="G63" i="80"/>
  <c r="E12" i="80" s="1" a="1"/>
  <c r="E12" i="80" s="1"/>
  <c r="J63" i="69" s="1"/>
  <c r="E63" i="69" s="1"/>
  <c r="E12" i="75" a="1"/>
  <c r="E12" i="75" s="1"/>
  <c r="E13" i="75" a="1"/>
  <c r="E13" i="75" s="1"/>
  <c r="E11" i="75" a="1"/>
  <c r="E11" i="75" s="1"/>
  <c r="S36" i="69" s="1"/>
  <c r="E36" i="69" s="1"/>
  <c r="F71" i="75" a="1"/>
  <c r="F71" i="75" s="1"/>
  <c r="F72" i="75" a="1"/>
  <c r="F72" i="75" s="1"/>
  <c r="F73" i="75" a="1"/>
  <c r="F73" i="75" s="1"/>
  <c r="F70" i="75" a="1"/>
  <c r="F70" i="75" s="1"/>
  <c r="Q78" i="75"/>
  <c r="Q309" i="112" s="1"/>
  <c r="R78" i="75"/>
  <c r="R309" i="112" s="1"/>
  <c r="S78" i="75"/>
  <c r="S309" i="112" s="1"/>
  <c r="T78" i="75"/>
  <c r="T309" i="112" s="1"/>
  <c r="U78" i="75"/>
  <c r="U309" i="112" s="1"/>
  <c r="V78" i="75"/>
  <c r="V309" i="112" s="1"/>
  <c r="Q79" i="75"/>
  <c r="Q310" i="112" s="1"/>
  <c r="R79" i="75"/>
  <c r="R310" i="112" s="1"/>
  <c r="S79" i="75"/>
  <c r="S310" i="112" s="1"/>
  <c r="T79" i="75"/>
  <c r="T310" i="112" s="1"/>
  <c r="U79" i="75"/>
  <c r="U310" i="112" s="1"/>
  <c r="V79" i="75"/>
  <c r="V310" i="112" s="1"/>
  <c r="Q80" i="75"/>
  <c r="Q311" i="112" s="1"/>
  <c r="R80" i="75"/>
  <c r="R311" i="112" s="1"/>
  <c r="S80" i="75"/>
  <c r="S311" i="112" s="1"/>
  <c r="T80" i="75"/>
  <c r="T311" i="112" s="1"/>
  <c r="U80" i="75"/>
  <c r="U311" i="112" s="1"/>
  <c r="V80" i="75"/>
  <c r="V311" i="112" s="1"/>
  <c r="R77" i="75"/>
  <c r="R308" i="112" s="1"/>
  <c r="S77" i="75"/>
  <c r="S308" i="112" s="1"/>
  <c r="T77" i="75"/>
  <c r="T308" i="112" s="1"/>
  <c r="U77" i="75"/>
  <c r="U308" i="112" s="1"/>
  <c r="V77" i="75"/>
  <c r="V308" i="112" s="1"/>
  <c r="Q77" i="75"/>
  <c r="Q308" i="112" s="1"/>
  <c r="F78" i="75"/>
  <c r="F309" i="112" s="1"/>
  <c r="F79" i="75"/>
  <c r="F310" i="112" s="1"/>
  <c r="F80" i="75"/>
  <c r="F311" i="112" s="1"/>
  <c r="F77" i="75"/>
  <c r="F308" i="112" s="1"/>
  <c r="I80" i="75"/>
  <c r="I311" i="112" s="1"/>
  <c r="H311" i="112"/>
  <c r="I79" i="75"/>
  <c r="I310" i="112" s="1"/>
  <c r="H310" i="112"/>
  <c r="D65" i="75"/>
  <c r="C65" i="75"/>
  <c r="H37" i="75"/>
  <c r="W79" i="75" s="1"/>
  <c r="W310" i="112" s="1"/>
  <c r="F89" i="76" a="1"/>
  <c r="F89" i="76" s="1"/>
  <c r="F88" i="76" a="1"/>
  <c r="F88" i="76" s="1"/>
  <c r="F87" i="76" a="1"/>
  <c r="F87" i="76" s="1"/>
  <c r="F86" i="76" a="1"/>
  <c r="F86" i="76" s="1"/>
  <c r="F85" i="76" a="1"/>
  <c r="F85" i="76" s="1"/>
  <c r="F84" i="76" a="1"/>
  <c r="F84" i="76" s="1"/>
  <c r="F83" i="76" a="1"/>
  <c r="F83" i="76" s="1"/>
  <c r="F82" i="76" a="1"/>
  <c r="F82" i="76" s="1"/>
  <c r="Q94" i="76"/>
  <c r="Q396" i="112" s="1"/>
  <c r="R94" i="76"/>
  <c r="R396" i="112" s="1"/>
  <c r="S94" i="76"/>
  <c r="S396" i="112" s="1"/>
  <c r="T94" i="76"/>
  <c r="T396" i="112" s="1"/>
  <c r="U94" i="76"/>
  <c r="U396" i="112" s="1"/>
  <c r="V94" i="76"/>
  <c r="V396" i="112" s="1"/>
  <c r="Q95" i="76"/>
  <c r="Q397" i="112" s="1"/>
  <c r="R95" i="76"/>
  <c r="R397" i="112" s="1"/>
  <c r="S95" i="76"/>
  <c r="S397" i="112" s="1"/>
  <c r="T95" i="76"/>
  <c r="T397" i="112" s="1"/>
  <c r="U95" i="76"/>
  <c r="U397" i="112" s="1"/>
  <c r="V95" i="76"/>
  <c r="V397" i="112" s="1"/>
  <c r="Q96" i="76"/>
  <c r="Q398" i="112" s="1"/>
  <c r="R96" i="76"/>
  <c r="R398" i="112" s="1"/>
  <c r="S96" i="76"/>
  <c r="S398" i="112" s="1"/>
  <c r="T96" i="76"/>
  <c r="T398" i="112" s="1"/>
  <c r="U96" i="76"/>
  <c r="U398" i="112" s="1"/>
  <c r="V96" i="76"/>
  <c r="V398" i="112" s="1"/>
  <c r="Q97" i="76"/>
  <c r="Q399" i="112" s="1"/>
  <c r="R97" i="76"/>
  <c r="R399" i="112" s="1"/>
  <c r="S97" i="76"/>
  <c r="S399" i="112" s="1"/>
  <c r="T97" i="76"/>
  <c r="T399" i="112" s="1"/>
  <c r="U97" i="76"/>
  <c r="U399" i="112" s="1"/>
  <c r="V97" i="76"/>
  <c r="V399" i="112" s="1"/>
  <c r="Q98" i="76"/>
  <c r="Q400" i="112" s="1"/>
  <c r="R98" i="76"/>
  <c r="R400" i="112" s="1"/>
  <c r="S98" i="76"/>
  <c r="S400" i="112" s="1"/>
  <c r="T98" i="76"/>
  <c r="T400" i="112" s="1"/>
  <c r="U98" i="76"/>
  <c r="U400" i="112" s="1"/>
  <c r="V98" i="76"/>
  <c r="V400" i="112" s="1"/>
  <c r="Q99" i="76"/>
  <c r="Q401" i="112" s="1"/>
  <c r="R99" i="76"/>
  <c r="R401" i="112" s="1"/>
  <c r="S99" i="76"/>
  <c r="S401" i="112" s="1"/>
  <c r="T99" i="76"/>
  <c r="T401" i="112" s="1"/>
  <c r="U99" i="76"/>
  <c r="U401" i="112" s="1"/>
  <c r="V99" i="76"/>
  <c r="V401" i="112" s="1"/>
  <c r="Q100" i="76"/>
  <c r="Q402" i="112" s="1"/>
  <c r="R100" i="76"/>
  <c r="R402" i="112" s="1"/>
  <c r="S100" i="76"/>
  <c r="S402" i="112" s="1"/>
  <c r="T100" i="76"/>
  <c r="T402" i="112" s="1"/>
  <c r="U100" i="76"/>
  <c r="U402" i="112" s="1"/>
  <c r="V100" i="76"/>
  <c r="V402" i="112" s="1"/>
  <c r="R93" i="76"/>
  <c r="R395" i="112" s="1"/>
  <c r="S93" i="76"/>
  <c r="S395" i="112" s="1"/>
  <c r="T93" i="76"/>
  <c r="T395" i="112" s="1"/>
  <c r="U93" i="76"/>
  <c r="U395" i="112" s="1"/>
  <c r="V93" i="76"/>
  <c r="V395" i="112" s="1"/>
  <c r="Q93" i="76"/>
  <c r="Q395" i="112" s="1"/>
  <c r="F94" i="76"/>
  <c r="F396" i="112" s="1"/>
  <c r="F95" i="76"/>
  <c r="F397" i="112" s="1"/>
  <c r="F96" i="76"/>
  <c r="F398" i="112" s="1"/>
  <c r="F97" i="76"/>
  <c r="F399" i="112" s="1"/>
  <c r="F98" i="76"/>
  <c r="F400" i="112" s="1"/>
  <c r="F99" i="76"/>
  <c r="F401" i="112" s="1"/>
  <c r="F100" i="76"/>
  <c r="F402" i="112" s="1"/>
  <c r="F93" i="76"/>
  <c r="F395" i="112" s="1"/>
  <c r="I100" i="76"/>
  <c r="I402" i="112" s="1"/>
  <c r="H402" i="112"/>
  <c r="I99" i="76"/>
  <c r="I401" i="112" s="1"/>
  <c r="H401" i="112"/>
  <c r="I98" i="76"/>
  <c r="I400" i="112" s="1"/>
  <c r="H400" i="112"/>
  <c r="I97" i="76"/>
  <c r="I399" i="112" s="1"/>
  <c r="H399" i="112"/>
  <c r="I96" i="76"/>
  <c r="I398" i="112" s="1"/>
  <c r="H398" i="112"/>
  <c r="I95" i="76"/>
  <c r="I397" i="112" s="1"/>
  <c r="H397" i="112"/>
  <c r="D77" i="76"/>
  <c r="K99" i="76" s="1"/>
  <c r="K401" i="112" s="1"/>
  <c r="D75" i="76"/>
  <c r="K97" i="76" s="1"/>
  <c r="K399" i="112" s="1"/>
  <c r="C77" i="76"/>
  <c r="C75" i="76"/>
  <c r="E12" i="76" a="1"/>
  <c r="E12" i="76" s="1"/>
  <c r="E13" i="76" a="1"/>
  <c r="E13" i="76" s="1"/>
  <c r="E14" i="76" a="1"/>
  <c r="E14" i="76" s="1"/>
  <c r="E15" i="76" a="1"/>
  <c r="E15" i="76" s="1"/>
  <c r="E11" i="76" a="1"/>
  <c r="E11" i="76" s="1"/>
  <c r="S39" i="69" s="1"/>
  <c r="E39" i="69" s="1"/>
  <c r="H41" i="76"/>
  <c r="W96" i="76" s="1"/>
  <c r="W398" i="112" s="1"/>
  <c r="I94" i="76"/>
  <c r="I396" i="112" s="1"/>
  <c r="H396" i="112"/>
  <c r="I93" i="76"/>
  <c r="I395" i="112" s="1"/>
  <c r="H395" i="112"/>
  <c r="I78" i="75"/>
  <c r="I309" i="112" s="1"/>
  <c r="H309" i="112"/>
  <c r="I77" i="75"/>
  <c r="I308" i="112" s="1"/>
  <c r="H308" i="112"/>
  <c r="X35" i="69"/>
  <c r="D42" i="74"/>
  <c r="C42" i="74"/>
  <c r="E246" i="69" l="1"/>
  <c r="H70" i="78"/>
  <c r="N78" i="78" s="1"/>
  <c r="N405" i="112" s="1"/>
  <c r="D47" i="75"/>
  <c r="E47" i="75" s="1"/>
  <c r="D51" i="76"/>
  <c r="E51" i="76" s="1"/>
  <c r="S42" i="69"/>
  <c r="S41" i="69"/>
  <c r="S40" i="69"/>
  <c r="K93" i="76"/>
  <c r="K395" i="112" s="1"/>
  <c r="C76" i="76"/>
  <c r="C66" i="75" s="1"/>
  <c r="K78" i="75" s="1"/>
  <c r="K309" i="112" s="1"/>
  <c r="S43" i="69"/>
  <c r="K95" i="76"/>
  <c r="K397" i="112" s="1"/>
  <c r="S38" i="69"/>
  <c r="S37" i="69"/>
  <c r="L77" i="78"/>
  <c r="L404" i="112" s="1"/>
  <c r="L78" i="78"/>
  <c r="L405" i="112" s="1"/>
  <c r="J94" i="76"/>
  <c r="J396" i="112" s="1"/>
  <c r="J98" i="76"/>
  <c r="J400" i="112" s="1"/>
  <c r="J97" i="76"/>
  <c r="J399" i="112" s="1"/>
  <c r="J95" i="76"/>
  <c r="J397" i="112" s="1"/>
  <c r="J99" i="76"/>
  <c r="J401" i="112" s="1"/>
  <c r="J93" i="76"/>
  <c r="J395" i="112" s="1"/>
  <c r="J96" i="76"/>
  <c r="J398" i="112" s="1"/>
  <c r="J100" i="76"/>
  <c r="J402" i="112" s="1"/>
  <c r="J79" i="75"/>
  <c r="J310" i="112" s="1"/>
  <c r="J77" i="75"/>
  <c r="J308" i="112" s="1"/>
  <c r="J80" i="75"/>
  <c r="J311" i="112" s="1"/>
  <c r="J78" i="75"/>
  <c r="J309" i="112" s="1"/>
  <c r="C43" i="74"/>
  <c r="C44" i="74" s="1"/>
  <c r="K52" i="74" s="1"/>
  <c r="K77" i="75"/>
  <c r="K308" i="112" s="1"/>
  <c r="W80" i="75"/>
  <c r="W311" i="112" s="1"/>
  <c r="W78" i="75"/>
  <c r="W309" i="112" s="1"/>
  <c r="W77" i="75"/>
  <c r="W308" i="112" s="1"/>
  <c r="K79" i="75"/>
  <c r="K310" i="112" s="1"/>
  <c r="W99" i="76"/>
  <c r="W401" i="112" s="1"/>
  <c r="W93" i="76"/>
  <c r="W395" i="112" s="1"/>
  <c r="W94" i="76"/>
  <c r="W396" i="112" s="1"/>
  <c r="W97" i="76"/>
  <c r="W399" i="112" s="1"/>
  <c r="W95" i="76"/>
  <c r="W397" i="112" s="1"/>
  <c r="W100" i="76"/>
  <c r="W402" i="112" s="1"/>
  <c r="W98" i="76"/>
  <c r="W400" i="112" s="1"/>
  <c r="D76" i="76"/>
  <c r="K98" i="76" s="1"/>
  <c r="K400" i="112" s="1"/>
  <c r="B12" i="74"/>
  <c r="B11" i="74"/>
  <c r="F52" i="74"/>
  <c r="J52" i="74"/>
  <c r="I52" i="74"/>
  <c r="Q52" i="74"/>
  <c r="R52" i="74"/>
  <c r="S52" i="74"/>
  <c r="T52" i="74"/>
  <c r="U52" i="74"/>
  <c r="V52" i="74"/>
  <c r="W52" i="74"/>
  <c r="N80" i="78" l="1"/>
  <c r="N407" i="112" s="1"/>
  <c r="N77" i="78"/>
  <c r="N404" i="112" s="1"/>
  <c r="N79" i="78"/>
  <c r="N406" i="112" s="1"/>
  <c r="H70" i="75"/>
  <c r="N80" i="75" s="1"/>
  <c r="N311" i="112" s="1"/>
  <c r="D33" i="74"/>
  <c r="E33" i="74" s="1"/>
  <c r="K94" i="76"/>
  <c r="K396" i="112" s="1"/>
  <c r="G71" i="78"/>
  <c r="F13" i="78" s="1" a="1"/>
  <c r="F13" i="78" s="1"/>
  <c r="D66" i="75"/>
  <c r="K80" i="75" s="1"/>
  <c r="K311" i="112" s="1"/>
  <c r="C78" i="76"/>
  <c r="K96" i="76" s="1"/>
  <c r="K398" i="112" s="1"/>
  <c r="H82" i="76"/>
  <c r="G70" i="78"/>
  <c r="F11" i="78" s="1" a="1"/>
  <c r="F11" i="78" s="1"/>
  <c r="L97" i="76"/>
  <c r="L399" i="112" s="1"/>
  <c r="L93" i="76"/>
  <c r="L395" i="112" s="1"/>
  <c r="L99" i="76"/>
  <c r="L401" i="112" s="1"/>
  <c r="L79" i="75"/>
  <c r="L310" i="112" s="1"/>
  <c r="L98" i="76"/>
  <c r="L400" i="112" s="1"/>
  <c r="L95" i="76"/>
  <c r="L397" i="112" s="1"/>
  <c r="L94" i="76"/>
  <c r="L396" i="112" s="1"/>
  <c r="L77" i="75"/>
  <c r="L308" i="112" s="1"/>
  <c r="L78" i="75"/>
  <c r="L309" i="112" s="1"/>
  <c r="D78" i="76"/>
  <c r="K100" i="76" s="1"/>
  <c r="K402" i="112" s="1"/>
  <c r="B48" i="74"/>
  <c r="F48" i="74" s="1" a="1"/>
  <c r="F48" i="74" s="1"/>
  <c r="L52" i="74"/>
  <c r="N316" i="112" l="1"/>
  <c r="J316" i="112"/>
  <c r="S316" i="112"/>
  <c r="G317" i="112"/>
  <c r="C316" i="112"/>
  <c r="W316" i="112"/>
  <c r="G315" i="112"/>
  <c r="W315" i="112"/>
  <c r="H317" i="112"/>
  <c r="S317" i="112"/>
  <c r="C315" i="112"/>
  <c r="D315" i="112"/>
  <c r="E315" i="112"/>
  <c r="T316" i="112"/>
  <c r="Q317" i="112"/>
  <c r="R317" i="112"/>
  <c r="J315" i="112"/>
  <c r="K315" i="112"/>
  <c r="L315" i="112"/>
  <c r="M315" i="112"/>
  <c r="I316" i="112"/>
  <c r="I315" i="112"/>
  <c r="R315" i="112"/>
  <c r="S315" i="112"/>
  <c r="T315" i="112"/>
  <c r="U315" i="112"/>
  <c r="F317" i="112"/>
  <c r="H315" i="112"/>
  <c r="Q315" i="112"/>
  <c r="E316" i="112"/>
  <c r="F316" i="112"/>
  <c r="G316" i="112"/>
  <c r="H316" i="112"/>
  <c r="O315" i="112"/>
  <c r="P315" i="112"/>
  <c r="D316" i="112"/>
  <c r="O316" i="112"/>
  <c r="P316" i="112"/>
  <c r="Q316" i="112"/>
  <c r="R316" i="112"/>
  <c r="C317" i="112"/>
  <c r="D317" i="112"/>
  <c r="E317" i="112"/>
  <c r="F315" i="112"/>
  <c r="V315" i="112"/>
  <c r="M316" i="112"/>
  <c r="V316" i="112"/>
  <c r="J317" i="112"/>
  <c r="M317" i="112"/>
  <c r="N317" i="112"/>
  <c r="O317" i="112"/>
  <c r="P317" i="112"/>
  <c r="U316" i="112"/>
  <c r="I317" i="112"/>
  <c r="T317" i="112"/>
  <c r="U317" i="112"/>
  <c r="V317" i="112"/>
  <c r="W317" i="112"/>
  <c r="N79" i="75"/>
  <c r="N310" i="112" s="1"/>
  <c r="N78" i="75"/>
  <c r="N309" i="112" s="1"/>
  <c r="N77" i="75"/>
  <c r="N308" i="112" s="1"/>
  <c r="H48" i="74"/>
  <c r="N52" i="74" s="1"/>
  <c r="N315" i="112" s="1"/>
  <c r="U44" i="69"/>
  <c r="E44" i="69" s="1"/>
  <c r="U46" i="69"/>
  <c r="E46" i="69" s="1"/>
  <c r="G88" i="76"/>
  <c r="G14" i="76" s="1" a="1"/>
  <c r="G14" i="76" s="1"/>
  <c r="V42" i="69" s="1"/>
  <c r="G82" i="76"/>
  <c r="F12" i="76" s="1" a="1"/>
  <c r="F12" i="76" s="1"/>
  <c r="U40" i="69" s="1"/>
  <c r="G86" i="76"/>
  <c r="G12" i="76" s="1" a="1"/>
  <c r="G12" i="76" s="1"/>
  <c r="V40" i="69" s="1"/>
  <c r="N97" i="76"/>
  <c r="N399" i="112" s="1"/>
  <c r="N98" i="76"/>
  <c r="N400" i="112" s="1"/>
  <c r="N99" i="76"/>
  <c r="N401" i="112" s="1"/>
  <c r="N100" i="76"/>
  <c r="N402" i="112" s="1"/>
  <c r="N93" i="76"/>
  <c r="N395" i="112" s="1"/>
  <c r="N95" i="76"/>
  <c r="N397" i="112" s="1"/>
  <c r="N96" i="76"/>
  <c r="N398" i="112" s="1"/>
  <c r="N94" i="76"/>
  <c r="N396" i="112" s="1"/>
  <c r="G72" i="75"/>
  <c r="G12" i="75" s="1" a="1"/>
  <c r="G12" i="75" s="1"/>
  <c r="G87" i="76"/>
  <c r="G13" i="76" s="1" a="1"/>
  <c r="G13" i="76" s="1"/>
  <c r="L96" i="76"/>
  <c r="L398" i="112" s="1"/>
  <c r="G83" i="76"/>
  <c r="F13" i="76" s="1" a="1"/>
  <c r="F13" i="76" s="1"/>
  <c r="L100" i="76"/>
  <c r="L402" i="112" s="1"/>
  <c r="G84" i="76"/>
  <c r="F14" i="76" s="1" a="1"/>
  <c r="F14" i="76" s="1"/>
  <c r="L80" i="75"/>
  <c r="L311" i="112" s="1"/>
  <c r="G70" i="75"/>
  <c r="F12" i="75" s="1" a="1"/>
  <c r="F12" i="75" s="1"/>
  <c r="G71" i="75"/>
  <c r="F13" i="75" s="1" a="1"/>
  <c r="F13" i="75" s="1"/>
  <c r="G48" i="74"/>
  <c r="E12" i="74" s="1" a="1"/>
  <c r="E12" i="74" s="1"/>
  <c r="J61" i="69" s="1"/>
  <c r="E40" i="69" l="1"/>
  <c r="V41" i="69"/>
  <c r="V37" i="69"/>
  <c r="U42" i="69"/>
  <c r="E42" i="69" s="1"/>
  <c r="U41" i="69"/>
  <c r="E41" i="69" s="1"/>
  <c r="U38" i="69"/>
  <c r="U37" i="69"/>
  <c r="E37" i="69" s="1"/>
  <c r="G89" i="76"/>
  <c r="G15" i="76" s="1" a="1"/>
  <c r="G15" i="76" s="1"/>
  <c r="G73" i="75"/>
  <c r="G13" i="75" s="1" a="1"/>
  <c r="G13" i="75" s="1"/>
  <c r="G85" i="76"/>
  <c r="F15" i="76" s="1" a="1"/>
  <c r="F15" i="76" s="1"/>
  <c r="H354" i="112"/>
  <c r="I62" i="73"/>
  <c r="I354" i="112" s="1"/>
  <c r="E19" i="71" a="1"/>
  <c r="E19" i="71" s="1"/>
  <c r="S243" i="69" s="1"/>
  <c r="E18" i="71" a="1"/>
  <c r="E18" i="71" s="1"/>
  <c r="S242" i="69" s="1"/>
  <c r="E17" i="71" a="1"/>
  <c r="E17" i="71" s="1"/>
  <c r="S241" i="69" s="1"/>
  <c r="E16" i="71" a="1"/>
  <c r="E16" i="71" s="1"/>
  <c r="S240" i="69" s="1"/>
  <c r="E15" i="71" a="1"/>
  <c r="E15" i="71" s="1"/>
  <c r="S239" i="69" s="1"/>
  <c r="E14" i="71" a="1"/>
  <c r="E14" i="71" s="1"/>
  <c r="S238" i="69" s="1"/>
  <c r="E13" i="71" a="1"/>
  <c r="E13" i="71" s="1"/>
  <c r="S237" i="69" s="1"/>
  <c r="E12" i="71" a="1"/>
  <c r="E12" i="71" s="1"/>
  <c r="S236" i="69" s="1"/>
  <c r="Q152" i="72"/>
  <c r="Q409" i="112" s="1"/>
  <c r="R152" i="72"/>
  <c r="R409" i="112" s="1"/>
  <c r="S152" i="72"/>
  <c r="S409" i="112" s="1"/>
  <c r="T152" i="72"/>
  <c r="T409" i="112" s="1"/>
  <c r="U152" i="72"/>
  <c r="U409" i="112" s="1"/>
  <c r="V152" i="72"/>
  <c r="V409" i="112" s="1"/>
  <c r="W152" i="72"/>
  <c r="W409" i="112" s="1"/>
  <c r="W151" i="72"/>
  <c r="W408" i="112" s="1"/>
  <c r="R151" i="72"/>
  <c r="R408" i="112" s="1"/>
  <c r="S151" i="72"/>
  <c r="S408" i="112" s="1"/>
  <c r="T151" i="72"/>
  <c r="T408" i="112" s="1"/>
  <c r="U151" i="72"/>
  <c r="U408" i="112" s="1"/>
  <c r="V151" i="72"/>
  <c r="V408" i="112" s="1"/>
  <c r="Q151" i="72"/>
  <c r="Q408" i="112" s="1"/>
  <c r="D114" i="72" l="1"/>
  <c r="E114" i="72" s="1"/>
  <c r="D39" i="73"/>
  <c r="E39" i="73" s="1"/>
  <c r="J62" i="73"/>
  <c r="J354" i="112" s="1"/>
  <c r="U43" i="69"/>
  <c r="V38" i="69"/>
  <c r="E38" i="69" s="1"/>
  <c r="V43" i="69"/>
  <c r="F92" i="71" a="1"/>
  <c r="F92" i="71" s="1"/>
  <c r="F91" i="71" a="1"/>
  <c r="F91" i="71" s="1"/>
  <c r="F90" i="71" a="1"/>
  <c r="F90" i="71" s="1"/>
  <c r="F89" i="71" a="1"/>
  <c r="F89" i="71" s="1"/>
  <c r="F88" i="71" a="1"/>
  <c r="F88" i="71" s="1"/>
  <c r="F87" i="71" a="1"/>
  <c r="F87" i="71" s="1"/>
  <c r="F86" i="71" a="1"/>
  <c r="F86" i="71" s="1"/>
  <c r="F85" i="71" a="1"/>
  <c r="F85" i="71" s="1"/>
  <c r="F84" i="71" a="1"/>
  <c r="F84" i="71" s="1"/>
  <c r="F83" i="71" a="1"/>
  <c r="F83" i="71" s="1"/>
  <c r="F82" i="71" a="1"/>
  <c r="F82" i="71" s="1"/>
  <c r="F81" i="71" a="1"/>
  <c r="F81" i="71" s="1"/>
  <c r="F80" i="71" a="1"/>
  <c r="F80" i="71" s="1"/>
  <c r="F79" i="71" a="1"/>
  <c r="F79" i="71" s="1"/>
  <c r="F78" i="71" a="1"/>
  <c r="F78" i="71" s="1"/>
  <c r="F77" i="71" a="1"/>
  <c r="F77" i="71" s="1"/>
  <c r="F76" i="71" a="1"/>
  <c r="F76" i="71" s="1"/>
  <c r="F75" i="71" a="1"/>
  <c r="F75" i="71" s="1"/>
  <c r="F74" i="71" a="1"/>
  <c r="F74" i="71" s="1"/>
  <c r="F73" i="71" a="1"/>
  <c r="F73" i="71" s="1"/>
  <c r="Q96" i="71"/>
  <c r="Q261" i="112" s="1"/>
  <c r="R96" i="71"/>
  <c r="R261" i="112" s="1"/>
  <c r="S96" i="71"/>
  <c r="S261" i="112" s="1"/>
  <c r="T96" i="71"/>
  <c r="T261" i="112" s="1"/>
  <c r="U96" i="71"/>
  <c r="U261" i="112" s="1"/>
  <c r="V96" i="71"/>
  <c r="V261" i="112" s="1"/>
  <c r="W96" i="71"/>
  <c r="W261" i="112" s="1"/>
  <c r="Q97" i="71"/>
  <c r="Q262" i="112" s="1"/>
  <c r="R97" i="71"/>
  <c r="R262" i="112" s="1"/>
  <c r="S97" i="71"/>
  <c r="S262" i="112" s="1"/>
  <c r="T97" i="71"/>
  <c r="T262" i="112" s="1"/>
  <c r="U97" i="71"/>
  <c r="U262" i="112" s="1"/>
  <c r="V97" i="71"/>
  <c r="V262" i="112" s="1"/>
  <c r="W97" i="71"/>
  <c r="W262" i="112" s="1"/>
  <c r="Q98" i="71"/>
  <c r="Q263" i="112" s="1"/>
  <c r="R98" i="71"/>
  <c r="R263" i="112" s="1"/>
  <c r="S98" i="71"/>
  <c r="S263" i="112" s="1"/>
  <c r="T98" i="71"/>
  <c r="T263" i="112" s="1"/>
  <c r="U98" i="71"/>
  <c r="U263" i="112" s="1"/>
  <c r="V98" i="71"/>
  <c r="V263" i="112" s="1"/>
  <c r="W98" i="71"/>
  <c r="W263" i="112" s="1"/>
  <c r="Q99" i="71"/>
  <c r="Q264" i="112" s="1"/>
  <c r="R99" i="71"/>
  <c r="R264" i="112" s="1"/>
  <c r="S99" i="71"/>
  <c r="S264" i="112" s="1"/>
  <c r="T99" i="71"/>
  <c r="T264" i="112" s="1"/>
  <c r="U99" i="71"/>
  <c r="U264" i="112" s="1"/>
  <c r="V99" i="71"/>
  <c r="V264" i="112" s="1"/>
  <c r="W99" i="71"/>
  <c r="W264" i="112" s="1"/>
  <c r="Q100" i="71"/>
  <c r="Q265" i="112" s="1"/>
  <c r="R100" i="71"/>
  <c r="R265" i="112" s="1"/>
  <c r="S100" i="71"/>
  <c r="S265" i="112" s="1"/>
  <c r="T100" i="71"/>
  <c r="T265" i="112" s="1"/>
  <c r="U100" i="71"/>
  <c r="U265" i="112" s="1"/>
  <c r="V100" i="71"/>
  <c r="V265" i="112" s="1"/>
  <c r="W100" i="71"/>
  <c r="W265" i="112" s="1"/>
  <c r="Q101" i="71"/>
  <c r="Q266" i="112" s="1"/>
  <c r="R101" i="71"/>
  <c r="R266" i="112" s="1"/>
  <c r="S101" i="71"/>
  <c r="S266" i="112" s="1"/>
  <c r="T101" i="71"/>
  <c r="T266" i="112" s="1"/>
  <c r="U101" i="71"/>
  <c r="U266" i="112" s="1"/>
  <c r="V101" i="71"/>
  <c r="V266" i="112" s="1"/>
  <c r="W101" i="71"/>
  <c r="W266" i="112" s="1"/>
  <c r="Q102" i="71"/>
  <c r="Q267" i="112" s="1"/>
  <c r="R102" i="71"/>
  <c r="R267" i="112" s="1"/>
  <c r="S102" i="71"/>
  <c r="S267" i="112" s="1"/>
  <c r="T102" i="71"/>
  <c r="T267" i="112" s="1"/>
  <c r="U102" i="71"/>
  <c r="U267" i="112" s="1"/>
  <c r="V102" i="71"/>
  <c r="V267" i="112" s="1"/>
  <c r="W102" i="71"/>
  <c r="W267" i="112" s="1"/>
  <c r="Q103" i="71"/>
  <c r="Q268" i="112" s="1"/>
  <c r="R103" i="71"/>
  <c r="R268" i="112" s="1"/>
  <c r="S103" i="71"/>
  <c r="S268" i="112" s="1"/>
  <c r="T103" i="71"/>
  <c r="T268" i="112" s="1"/>
  <c r="U103" i="71"/>
  <c r="U268" i="112" s="1"/>
  <c r="V103" i="71"/>
  <c r="V268" i="112" s="1"/>
  <c r="W103" i="71"/>
  <c r="W268" i="112" s="1"/>
  <c r="Q104" i="71"/>
  <c r="Q269" i="112" s="1"/>
  <c r="R104" i="71"/>
  <c r="R269" i="112" s="1"/>
  <c r="S104" i="71"/>
  <c r="S269" i="112" s="1"/>
  <c r="T104" i="71"/>
  <c r="T269" i="112" s="1"/>
  <c r="U104" i="71"/>
  <c r="U269" i="112" s="1"/>
  <c r="V104" i="71"/>
  <c r="V269" i="112" s="1"/>
  <c r="W104" i="71"/>
  <c r="W269" i="112" s="1"/>
  <c r="Q105" i="71"/>
  <c r="Q270" i="112" s="1"/>
  <c r="R105" i="71"/>
  <c r="R270" i="112" s="1"/>
  <c r="S105" i="71"/>
  <c r="S270" i="112" s="1"/>
  <c r="T105" i="71"/>
  <c r="T270" i="112" s="1"/>
  <c r="U105" i="71"/>
  <c r="U270" i="112" s="1"/>
  <c r="V105" i="71"/>
  <c r="V270" i="112" s="1"/>
  <c r="W105" i="71"/>
  <c r="W270" i="112" s="1"/>
  <c r="Q106" i="71"/>
  <c r="Q271" i="112" s="1"/>
  <c r="R106" i="71"/>
  <c r="R271" i="112" s="1"/>
  <c r="S106" i="71"/>
  <c r="S271" i="112" s="1"/>
  <c r="T106" i="71"/>
  <c r="T271" i="112" s="1"/>
  <c r="U106" i="71"/>
  <c r="U271" i="112" s="1"/>
  <c r="V106" i="71"/>
  <c r="V271" i="112" s="1"/>
  <c r="W106" i="71"/>
  <c r="W271" i="112" s="1"/>
  <c r="Q107" i="71"/>
  <c r="Q272" i="112" s="1"/>
  <c r="R107" i="71"/>
  <c r="R272" i="112" s="1"/>
  <c r="S107" i="71"/>
  <c r="S272" i="112" s="1"/>
  <c r="T107" i="71"/>
  <c r="T272" i="112" s="1"/>
  <c r="U107" i="71"/>
  <c r="U272" i="112" s="1"/>
  <c r="V107" i="71"/>
  <c r="V272" i="112" s="1"/>
  <c r="W107" i="71"/>
  <c r="W272" i="112" s="1"/>
  <c r="Q108" i="71"/>
  <c r="Q273" i="112" s="1"/>
  <c r="R108" i="71"/>
  <c r="R273" i="112" s="1"/>
  <c r="S108" i="71"/>
  <c r="S273" i="112" s="1"/>
  <c r="T108" i="71"/>
  <c r="T273" i="112" s="1"/>
  <c r="U108" i="71"/>
  <c r="U273" i="112" s="1"/>
  <c r="V108" i="71"/>
  <c r="V273" i="112" s="1"/>
  <c r="W108" i="71"/>
  <c r="W273" i="112" s="1"/>
  <c r="Q109" i="71"/>
  <c r="Q274" i="112" s="1"/>
  <c r="R109" i="71"/>
  <c r="R274" i="112" s="1"/>
  <c r="S109" i="71"/>
  <c r="S274" i="112" s="1"/>
  <c r="T109" i="71"/>
  <c r="T274" i="112" s="1"/>
  <c r="U109" i="71"/>
  <c r="U274" i="112" s="1"/>
  <c r="V109" i="71"/>
  <c r="V274" i="112" s="1"/>
  <c r="W109" i="71"/>
  <c r="W274" i="112" s="1"/>
  <c r="Q110" i="71"/>
  <c r="Q275" i="112" s="1"/>
  <c r="R110" i="71"/>
  <c r="R275" i="112" s="1"/>
  <c r="S110" i="71"/>
  <c r="S275" i="112" s="1"/>
  <c r="T110" i="71"/>
  <c r="T275" i="112" s="1"/>
  <c r="U110" i="71"/>
  <c r="U275" i="112" s="1"/>
  <c r="V110" i="71"/>
  <c r="V275" i="112" s="1"/>
  <c r="W110" i="71"/>
  <c r="W275" i="112" s="1"/>
  <c r="Q111" i="71"/>
  <c r="Q276" i="112" s="1"/>
  <c r="R111" i="71"/>
  <c r="R276" i="112" s="1"/>
  <c r="S111" i="71"/>
  <c r="S276" i="112" s="1"/>
  <c r="T111" i="71"/>
  <c r="T276" i="112" s="1"/>
  <c r="U111" i="71"/>
  <c r="U276" i="112" s="1"/>
  <c r="V111" i="71"/>
  <c r="V276" i="112" s="1"/>
  <c r="W111" i="71"/>
  <c r="W276" i="112" s="1"/>
  <c r="Q112" i="71"/>
  <c r="Q277" i="112" s="1"/>
  <c r="R112" i="71"/>
  <c r="R277" i="112" s="1"/>
  <c r="S112" i="71"/>
  <c r="S277" i="112" s="1"/>
  <c r="T112" i="71"/>
  <c r="T277" i="112" s="1"/>
  <c r="U112" i="71"/>
  <c r="U277" i="112" s="1"/>
  <c r="V112" i="71"/>
  <c r="V277" i="112" s="1"/>
  <c r="W112" i="71"/>
  <c r="W277" i="112" s="1"/>
  <c r="Q113" i="71"/>
  <c r="Q278" i="112" s="1"/>
  <c r="R113" i="71"/>
  <c r="R278" i="112" s="1"/>
  <c r="S113" i="71"/>
  <c r="S278" i="112" s="1"/>
  <c r="T113" i="71"/>
  <c r="T278" i="112" s="1"/>
  <c r="U113" i="71"/>
  <c r="U278" i="112" s="1"/>
  <c r="V113" i="71"/>
  <c r="V278" i="112" s="1"/>
  <c r="W113" i="71"/>
  <c r="W278" i="112" s="1"/>
  <c r="Q114" i="71"/>
  <c r="Q279" i="112" s="1"/>
  <c r="R114" i="71"/>
  <c r="R279" i="112" s="1"/>
  <c r="S114" i="71"/>
  <c r="S279" i="112" s="1"/>
  <c r="T114" i="71"/>
  <c r="T279" i="112" s="1"/>
  <c r="U114" i="71"/>
  <c r="U279" i="112" s="1"/>
  <c r="V114" i="71"/>
  <c r="V279" i="112" s="1"/>
  <c r="W114" i="71"/>
  <c r="W279" i="112" s="1"/>
  <c r="Q115" i="71"/>
  <c r="Q280" i="112" s="1"/>
  <c r="R115" i="71"/>
  <c r="R280" i="112" s="1"/>
  <c r="S115" i="71"/>
  <c r="S280" i="112" s="1"/>
  <c r="T115" i="71"/>
  <c r="T280" i="112" s="1"/>
  <c r="U115" i="71"/>
  <c r="U280" i="112" s="1"/>
  <c r="V115" i="71"/>
  <c r="V280" i="112" s="1"/>
  <c r="W115" i="71"/>
  <c r="W280" i="112" s="1"/>
  <c r="Q116" i="71"/>
  <c r="Q281" i="112" s="1"/>
  <c r="R116" i="71"/>
  <c r="R281" i="112" s="1"/>
  <c r="S116" i="71"/>
  <c r="S281" i="112" s="1"/>
  <c r="T116" i="71"/>
  <c r="T281" i="112" s="1"/>
  <c r="U116" i="71"/>
  <c r="U281" i="112" s="1"/>
  <c r="V116" i="71"/>
  <c r="V281" i="112" s="1"/>
  <c r="W116" i="71"/>
  <c r="W281" i="112" s="1"/>
  <c r="D87" i="72"/>
  <c r="D90" i="72" s="1"/>
  <c r="E90" i="72" s="1"/>
  <c r="C93" i="72" s="1"/>
  <c r="C94" i="72" s="1"/>
  <c r="C95" i="72" s="1"/>
  <c r="D11" i="72" a="1"/>
  <c r="D11" i="72" s="1"/>
  <c r="K35" i="69" s="1"/>
  <c r="E11" i="72" a="1"/>
  <c r="E11" i="72" s="1"/>
  <c r="S35" i="69" s="1"/>
  <c r="E43" i="69" l="1"/>
  <c r="H53" i="73"/>
  <c r="N67" i="73" s="1"/>
  <c r="N359" i="112" s="1"/>
  <c r="L62" i="73"/>
  <c r="L354" i="112" s="1"/>
  <c r="D19" i="71" a="1"/>
  <c r="D19" i="71" s="1"/>
  <c r="F243" i="69" s="1"/>
  <c r="E243" i="69" s="1"/>
  <c r="D11" i="71" a="1"/>
  <c r="D11" i="71" s="1"/>
  <c r="F235" i="69" s="1"/>
  <c r="E235" i="69" s="1"/>
  <c r="E87" i="72"/>
  <c r="G53" i="73" l="1"/>
  <c r="D11" i="73" s="1" a="1"/>
  <c r="D11" i="73" s="1"/>
  <c r="F244" i="69" s="1"/>
  <c r="E244" i="69" s="1"/>
  <c r="D98" i="72"/>
  <c r="K152" i="72" s="1"/>
  <c r="K409" i="112" s="1"/>
  <c r="C98" i="72"/>
  <c r="K151" i="72" s="1"/>
  <c r="K408" i="112" s="1"/>
  <c r="N63" i="73"/>
  <c r="N355" i="112" s="1"/>
  <c r="N62" i="73"/>
  <c r="N354" i="112" s="1"/>
  <c r="N64" i="73"/>
  <c r="N356" i="112" s="1"/>
  <c r="N65" i="73"/>
  <c r="N357" i="112" s="1"/>
  <c r="N66" i="73"/>
  <c r="N358" i="112" s="1"/>
  <c r="I152" i="72"/>
  <c r="I409" i="112" s="1"/>
  <c r="H409" i="112"/>
  <c r="F152" i="72"/>
  <c r="F409" i="112" s="1"/>
  <c r="I151" i="72"/>
  <c r="I408" i="112" s="1"/>
  <c r="H408" i="112"/>
  <c r="F151" i="72"/>
  <c r="F408" i="112" s="1"/>
  <c r="F147" i="72" a="1"/>
  <c r="F147" i="72" s="1"/>
  <c r="F146" i="72" a="1"/>
  <c r="F146" i="72" s="1"/>
  <c r="K104" i="71"/>
  <c r="K269" i="112" s="1"/>
  <c r="K105" i="71"/>
  <c r="K270" i="112" s="1"/>
  <c r="K106" i="71"/>
  <c r="K271" i="112" s="1"/>
  <c r="K107" i="71"/>
  <c r="K272" i="112" s="1"/>
  <c r="K108" i="71"/>
  <c r="K273" i="112" s="1"/>
  <c r="K109" i="71"/>
  <c r="K274" i="112" s="1"/>
  <c r="K110" i="71"/>
  <c r="K275" i="112" s="1"/>
  <c r="K111" i="71"/>
  <c r="K276" i="112" s="1"/>
  <c r="K112" i="71"/>
  <c r="K277" i="112" s="1"/>
  <c r="K113" i="71"/>
  <c r="K278" i="112" s="1"/>
  <c r="K114" i="71"/>
  <c r="K279" i="112" s="1"/>
  <c r="K115" i="71"/>
  <c r="K280" i="112" s="1"/>
  <c r="K116" i="71"/>
  <c r="K281" i="112" s="1"/>
  <c r="K103" i="71"/>
  <c r="K268" i="112" s="1"/>
  <c r="K97" i="71"/>
  <c r="K262" i="112" s="1"/>
  <c r="K98" i="71"/>
  <c r="K263" i="112" s="1"/>
  <c r="K99" i="71"/>
  <c r="K264" i="112" s="1"/>
  <c r="K100" i="71"/>
  <c r="K265" i="112" s="1"/>
  <c r="K101" i="71"/>
  <c r="K266" i="112" s="1"/>
  <c r="K102" i="71"/>
  <c r="K267" i="112" s="1"/>
  <c r="K96" i="71"/>
  <c r="K261" i="112" s="1"/>
  <c r="I96" i="71"/>
  <c r="I261" i="112" s="1"/>
  <c r="I97" i="71"/>
  <c r="I262" i="112" s="1"/>
  <c r="I98" i="71"/>
  <c r="I263" i="112" s="1"/>
  <c r="I99" i="71"/>
  <c r="I264" i="112" s="1"/>
  <c r="I100" i="71"/>
  <c r="I265" i="112" s="1"/>
  <c r="I101" i="71"/>
  <c r="I266" i="112" s="1"/>
  <c r="I102" i="71"/>
  <c r="I267" i="112" s="1"/>
  <c r="I103" i="71"/>
  <c r="I268" i="112" s="1"/>
  <c r="I104" i="71"/>
  <c r="I269" i="112" s="1"/>
  <c r="I105" i="71"/>
  <c r="I270" i="112" s="1"/>
  <c r="I106" i="71"/>
  <c r="I271" i="112" s="1"/>
  <c r="I107" i="71"/>
  <c r="I272" i="112" s="1"/>
  <c r="I108" i="71"/>
  <c r="I273" i="112" s="1"/>
  <c r="I109" i="71"/>
  <c r="I274" i="112" s="1"/>
  <c r="I110" i="71"/>
  <c r="I275" i="112" s="1"/>
  <c r="I111" i="71"/>
  <c r="I276" i="112" s="1"/>
  <c r="I112" i="71"/>
  <c r="I277" i="112" s="1"/>
  <c r="I113" i="71"/>
  <c r="I278" i="112" s="1"/>
  <c r="I114" i="71"/>
  <c r="I279" i="112" s="1"/>
  <c r="I115" i="71"/>
  <c r="I280" i="112" s="1"/>
  <c r="I116" i="71"/>
  <c r="I281" i="112" s="1"/>
  <c r="H261" i="112"/>
  <c r="H262" i="112"/>
  <c r="H263" i="112"/>
  <c r="H264" i="112"/>
  <c r="H265" i="112"/>
  <c r="H266" i="112"/>
  <c r="H267" i="112"/>
  <c r="H268" i="112"/>
  <c r="H269" i="112"/>
  <c r="H270" i="112"/>
  <c r="H271" i="112"/>
  <c r="H272" i="112"/>
  <c r="H273" i="112"/>
  <c r="H274" i="112"/>
  <c r="H275" i="112"/>
  <c r="H276" i="112"/>
  <c r="H277" i="112"/>
  <c r="H278" i="112"/>
  <c r="H279" i="112"/>
  <c r="H280" i="112"/>
  <c r="H281" i="112"/>
  <c r="E72" i="71"/>
  <c r="E73" i="71"/>
  <c r="E74" i="71"/>
  <c r="E75" i="71"/>
  <c r="E76" i="71"/>
  <c r="E77" i="71"/>
  <c r="E78" i="71"/>
  <c r="E79" i="71"/>
  <c r="E80" i="71"/>
  <c r="E81" i="71"/>
  <c r="E82" i="71"/>
  <c r="E83" i="71"/>
  <c r="E84" i="71"/>
  <c r="E85" i="71"/>
  <c r="E86" i="71"/>
  <c r="E87" i="71"/>
  <c r="E88" i="71"/>
  <c r="E89" i="71"/>
  <c r="E90" i="71"/>
  <c r="E91" i="71"/>
  <c r="E92" i="71"/>
  <c r="D87" i="71"/>
  <c r="D88" i="71"/>
  <c r="D89" i="71"/>
  <c r="D90" i="71"/>
  <c r="D91" i="71"/>
  <c r="D92" i="71"/>
  <c r="D86" i="71"/>
  <c r="D80" i="71"/>
  <c r="D81" i="71"/>
  <c r="D82" i="71"/>
  <c r="D83" i="71"/>
  <c r="D84" i="71"/>
  <c r="D85" i="71"/>
  <c r="D79" i="71"/>
  <c r="D72" i="71"/>
  <c r="D73" i="71"/>
  <c r="D74" i="71"/>
  <c r="D75" i="71"/>
  <c r="D76" i="71"/>
  <c r="D77" i="71"/>
  <c r="D78" i="71"/>
  <c r="D71" i="71"/>
  <c r="D70" i="71"/>
  <c r="D51" i="72" l="1"/>
  <c r="E51" i="72" s="1"/>
  <c r="J112" i="71"/>
  <c r="J277" i="112" s="1"/>
  <c r="J101" i="71"/>
  <c r="J266" i="112" s="1"/>
  <c r="J111" i="71"/>
  <c r="J276" i="112" s="1"/>
  <c r="J100" i="71"/>
  <c r="J265" i="112" s="1"/>
  <c r="J110" i="71"/>
  <c r="J275" i="112" s="1"/>
  <c r="J99" i="71"/>
  <c r="J264" i="112" s="1"/>
  <c r="J109" i="71"/>
  <c r="J274" i="112" s="1"/>
  <c r="J98" i="71"/>
  <c r="J263" i="112" s="1"/>
  <c r="J108" i="71"/>
  <c r="J97" i="71"/>
  <c r="J262" i="112" s="1"/>
  <c r="J96" i="71"/>
  <c r="J261" i="112" s="1"/>
  <c r="J105" i="71"/>
  <c r="J270" i="112" s="1"/>
  <c r="J116" i="71"/>
  <c r="J104" i="71"/>
  <c r="J103" i="71"/>
  <c r="J268" i="112" s="1"/>
  <c r="J107" i="71"/>
  <c r="J272" i="112" s="1"/>
  <c r="J106" i="71"/>
  <c r="J271" i="112" s="1"/>
  <c r="J115" i="71"/>
  <c r="J280" i="112" s="1"/>
  <c r="J114" i="71"/>
  <c r="J279" i="112" s="1"/>
  <c r="J113" i="71"/>
  <c r="J278" i="112" s="1"/>
  <c r="J102" i="71"/>
  <c r="J267" i="112" s="1"/>
  <c r="J151" i="72"/>
  <c r="J408" i="112" s="1"/>
  <c r="J152" i="72"/>
  <c r="J409" i="112" s="1"/>
  <c r="L112" i="71"/>
  <c r="L277" i="112" s="1"/>
  <c r="L101" i="71"/>
  <c r="L266" i="112" s="1"/>
  <c r="H11" i="112"/>
  <c r="H10" i="112"/>
  <c r="H9" i="112"/>
  <c r="H8" i="112"/>
  <c r="H7" i="112"/>
  <c r="H6" i="112"/>
  <c r="H143" i="112"/>
  <c r="H142" i="112"/>
  <c r="H141" i="112"/>
  <c r="H149" i="112"/>
  <c r="H148" i="112"/>
  <c r="H147" i="112"/>
  <c r="H146" i="112"/>
  <c r="H145" i="112"/>
  <c r="H144" i="112"/>
  <c r="H374" i="112"/>
  <c r="H373" i="112"/>
  <c r="H372" i="112"/>
  <c r="H371" i="112"/>
  <c r="H370" i="112"/>
  <c r="H365" i="112"/>
  <c r="H50" i="112"/>
  <c r="H49" i="112"/>
  <c r="H48" i="112"/>
  <c r="H47" i="112"/>
  <c r="H46" i="112"/>
  <c r="H45" i="112"/>
  <c r="H44" i="112"/>
  <c r="H43" i="112"/>
  <c r="H42" i="112"/>
  <c r="H41" i="112"/>
  <c r="H40" i="112"/>
  <c r="H39" i="112"/>
  <c r="H38" i="112"/>
  <c r="H37" i="112"/>
  <c r="H36" i="112"/>
  <c r="H35" i="112"/>
  <c r="H34" i="112"/>
  <c r="H33" i="112"/>
  <c r="H32" i="112"/>
  <c r="H31" i="112"/>
  <c r="H30" i="112"/>
  <c r="H29" i="112"/>
  <c r="H28" i="112"/>
  <c r="H27" i="112"/>
  <c r="H26" i="112"/>
  <c r="H25" i="112"/>
  <c r="H24" i="112"/>
  <c r="H23" i="112"/>
  <c r="H22" i="112"/>
  <c r="H21" i="112"/>
  <c r="H20" i="112"/>
  <c r="H19" i="112"/>
  <c r="H18" i="112"/>
  <c r="H17" i="112"/>
  <c r="H16" i="112"/>
  <c r="H15" i="112"/>
  <c r="H338" i="112"/>
  <c r="H337" i="112"/>
  <c r="H336" i="112"/>
  <c r="H335" i="112"/>
  <c r="H334" i="112"/>
  <c r="H333" i="112"/>
  <c r="H332" i="112"/>
  <c r="H331" i="112"/>
  <c r="H330" i="112"/>
  <c r="H329" i="112"/>
  <c r="H328" i="112"/>
  <c r="H327" i="112"/>
  <c r="H326" i="112"/>
  <c r="H325" i="112"/>
  <c r="H324" i="112"/>
  <c r="H104" i="112"/>
  <c r="H102" i="112"/>
  <c r="H103" i="112"/>
  <c r="H101" i="112"/>
  <c r="H100" i="112"/>
  <c r="H99" i="112"/>
  <c r="H323" i="112"/>
  <c r="H322" i="112"/>
  <c r="H321" i="112"/>
  <c r="H320" i="112"/>
  <c r="H319" i="112"/>
  <c r="H318" i="112"/>
  <c r="H80" i="112"/>
  <c r="H79" i="112"/>
  <c r="H78" i="112"/>
  <c r="H77" i="112"/>
  <c r="H76" i="112"/>
  <c r="H75" i="112"/>
  <c r="H74" i="112"/>
  <c r="H73" i="112"/>
  <c r="H72" i="112"/>
  <c r="H71" i="112"/>
  <c r="H70" i="112"/>
  <c r="H69" i="112"/>
  <c r="H68" i="112"/>
  <c r="H67" i="112"/>
  <c r="H66" i="112"/>
  <c r="H65" i="112"/>
  <c r="H64" i="112"/>
  <c r="H63" i="112"/>
  <c r="H62" i="112"/>
  <c r="H61" i="112"/>
  <c r="H60" i="112"/>
  <c r="H59" i="112"/>
  <c r="H81" i="112"/>
  <c r="H93" i="112"/>
  <c r="H98" i="112"/>
  <c r="H86" i="112"/>
  <c r="H97" i="112"/>
  <c r="H85" i="112"/>
  <c r="H96" i="112"/>
  <c r="H84" i="112"/>
  <c r="H95" i="112"/>
  <c r="H83" i="112"/>
  <c r="H94" i="112"/>
  <c r="H82" i="112"/>
  <c r="L98" i="71" l="1"/>
  <c r="L263" i="112" s="1"/>
  <c r="L109" i="71"/>
  <c r="L274" i="112" s="1"/>
  <c r="L104" i="71"/>
  <c r="L269" i="112" s="1"/>
  <c r="J269" i="112"/>
  <c r="L116" i="71"/>
  <c r="L281" i="112" s="1"/>
  <c r="J281" i="112"/>
  <c r="L108" i="71"/>
  <c r="L273" i="112" s="1"/>
  <c r="J273" i="112"/>
  <c r="H146" i="72"/>
  <c r="N152" i="72" s="1"/>
  <c r="N409" i="112" s="1"/>
  <c r="L100" i="71"/>
  <c r="L265" i="112" s="1"/>
  <c r="L152" i="72"/>
  <c r="L409" i="112" s="1"/>
  <c r="L151" i="72"/>
  <c r="L408" i="112" s="1"/>
  <c r="L114" i="71"/>
  <c r="L99" i="71"/>
  <c r="L264" i="112" s="1"/>
  <c r="L110" i="71"/>
  <c r="L275" i="112" s="1"/>
  <c r="L96" i="71"/>
  <c r="L261" i="112" s="1"/>
  <c r="L102" i="71"/>
  <c r="L267" i="112" s="1"/>
  <c r="L107" i="71"/>
  <c r="L272" i="112" s="1"/>
  <c r="G74" i="71"/>
  <c r="D14" i="71" s="1" a="1"/>
  <c r="D14" i="71" s="1"/>
  <c r="F238" i="69" s="1"/>
  <c r="L113" i="71"/>
  <c r="L278" i="112" s="1"/>
  <c r="L115" i="71"/>
  <c r="L280" i="112" s="1"/>
  <c r="G85" i="71"/>
  <c r="F18" i="71" s="1" a="1"/>
  <c r="F18" i="71" s="1"/>
  <c r="V242" i="69" s="1"/>
  <c r="L105" i="71"/>
  <c r="L270" i="112" s="1"/>
  <c r="L103" i="71"/>
  <c r="L268" i="112" s="1"/>
  <c r="G88" i="71"/>
  <c r="H14" i="71" s="1" a="1"/>
  <c r="H14" i="71" s="1"/>
  <c r="Y238" i="69" s="1"/>
  <c r="G77" i="71"/>
  <c r="D17" i="71" s="1" a="1"/>
  <c r="D17" i="71" s="1"/>
  <c r="F241" i="69" s="1"/>
  <c r="L106" i="71"/>
  <c r="L271" i="112" s="1"/>
  <c r="L111" i="71"/>
  <c r="L276" i="112" s="1"/>
  <c r="L97" i="71"/>
  <c r="L262" i="112" s="1"/>
  <c r="F72" i="71" a="1"/>
  <c r="F72" i="71" s="1"/>
  <c r="J112" i="44"/>
  <c r="F61" i="36"/>
  <c r="G80" i="71" l="1"/>
  <c r="F13" i="71" s="1" a="1"/>
  <c r="F13" i="71" s="1"/>
  <c r="V237" i="69" s="1"/>
  <c r="G84" i="71"/>
  <c r="F17" i="71" s="1" a="1"/>
  <c r="F17" i="71" s="1"/>
  <c r="V241" i="69" s="1"/>
  <c r="G92" i="71"/>
  <c r="H18" i="71" s="1" a="1"/>
  <c r="H18" i="71" s="1"/>
  <c r="Y242" i="69" s="1"/>
  <c r="K122" i="36"/>
  <c r="G76" i="71"/>
  <c r="D16" i="71" s="1" a="1"/>
  <c r="D16" i="71" s="1"/>
  <c r="F240" i="69" s="1"/>
  <c r="N151" i="72"/>
  <c r="N408" i="112" s="1"/>
  <c r="G90" i="71"/>
  <c r="H16" i="71" s="1" a="1"/>
  <c r="H16" i="71" s="1"/>
  <c r="Y240" i="69" s="1"/>
  <c r="L279" i="112"/>
  <c r="D42" i="71"/>
  <c r="E42" i="71" s="1"/>
  <c r="G147" i="72"/>
  <c r="G11" i="72" s="1" a="1"/>
  <c r="G11" i="72" s="1"/>
  <c r="V35" i="69" s="1"/>
  <c r="G146" i="72"/>
  <c r="F11" i="72" s="1" a="1"/>
  <c r="F11" i="72" s="1"/>
  <c r="U35" i="69" s="1"/>
  <c r="G75" i="71"/>
  <c r="D15" i="71" s="1" a="1"/>
  <c r="D15" i="71" s="1"/>
  <c r="F239" i="69" s="1"/>
  <c r="G86" i="71"/>
  <c r="H12" i="71" s="1" a="1"/>
  <c r="H12" i="71" s="1"/>
  <c r="Y236" i="69" s="1"/>
  <c r="G82" i="71"/>
  <c r="F15" i="71" s="1" a="1"/>
  <c r="F15" i="71" s="1"/>
  <c r="V239" i="69" s="1"/>
  <c r="G91" i="71"/>
  <c r="H17" i="71" s="1" a="1"/>
  <c r="H17" i="71" s="1"/>
  <c r="Y241" i="69" s="1"/>
  <c r="G79" i="71"/>
  <c r="F12" i="71" s="1" a="1"/>
  <c r="F12" i="71" s="1"/>
  <c r="V236" i="69" s="1"/>
  <c r="G73" i="71"/>
  <c r="D13" i="71" s="1" a="1"/>
  <c r="D13" i="71" s="1"/>
  <c r="F237" i="69" s="1"/>
  <c r="G81" i="71"/>
  <c r="F14" i="71" s="1" a="1"/>
  <c r="F14" i="71" s="1"/>
  <c r="V238" i="69" s="1"/>
  <c r="E238" i="69" s="1"/>
  <c r="G89" i="71"/>
  <c r="H15" i="71" s="1" a="1"/>
  <c r="H15" i="71" s="1"/>
  <c r="Y239" i="69" s="1"/>
  <c r="G87" i="71"/>
  <c r="H13" i="71" s="1" a="1"/>
  <c r="H13" i="71" s="1"/>
  <c r="Y237" i="69" s="1"/>
  <c r="G83" i="71"/>
  <c r="F16" i="71" s="1" a="1"/>
  <c r="F16" i="71" s="1"/>
  <c r="V240" i="69" s="1"/>
  <c r="G78" i="71"/>
  <c r="D18" i="71" s="1" a="1"/>
  <c r="D18" i="71" s="1"/>
  <c r="F242" i="69" s="1"/>
  <c r="E242" i="69" s="1"/>
  <c r="G72" i="71"/>
  <c r="D12" i="71" s="1" a="1"/>
  <c r="D12" i="71" s="1"/>
  <c r="F236" i="69" s="1"/>
  <c r="E241" i="69" l="1"/>
  <c r="E237" i="69"/>
  <c r="E240" i="69"/>
  <c r="E239" i="69"/>
  <c r="E236" i="69"/>
  <c r="E35" i="69"/>
  <c r="H70" i="71"/>
  <c r="N99" i="71"/>
  <c r="N264" i="112" s="1"/>
  <c r="N110" i="71"/>
  <c r="N275" i="112" s="1"/>
  <c r="N103" i="71"/>
  <c r="N268" i="112" s="1"/>
  <c r="N100" i="71"/>
  <c r="N265" i="112" s="1"/>
  <c r="N111" i="71"/>
  <c r="N276" i="112" s="1"/>
  <c r="N102" i="71"/>
  <c r="N267" i="112" s="1"/>
  <c r="N113" i="71"/>
  <c r="N278" i="112" s="1"/>
  <c r="N115" i="71"/>
  <c r="N280" i="112" s="1"/>
  <c r="N101" i="71"/>
  <c r="N266" i="112" s="1"/>
  <c r="N112" i="71"/>
  <c r="N277" i="112" s="1"/>
  <c r="N107" i="71"/>
  <c r="N272" i="112" s="1"/>
  <c r="N109" i="71"/>
  <c r="N274" i="112" s="1"/>
  <c r="N114" i="71"/>
  <c r="N279" i="112" s="1"/>
  <c r="N104" i="71"/>
  <c r="N269" i="112" s="1"/>
  <c r="N116" i="71"/>
  <c r="N281" i="112" s="1"/>
  <c r="N96" i="71"/>
  <c r="N261" i="112" s="1"/>
  <c r="N97" i="71"/>
  <c r="N262" i="112" s="1"/>
  <c r="N105" i="71"/>
  <c r="N270" i="112" s="1"/>
  <c r="N106" i="71"/>
  <c r="N271" i="112" s="1"/>
  <c r="N108" i="71"/>
  <c r="N273" i="112" s="1"/>
  <c r="N98" i="71"/>
  <c r="N263" i="112" s="1"/>
  <c r="X234" i="69"/>
  <c r="P234" i="69"/>
  <c r="X233" i="69"/>
  <c r="P233" i="69"/>
  <c r="V204" i="69"/>
  <c r="X83" i="69"/>
  <c r="N83" i="69"/>
  <c r="X82" i="69"/>
  <c r="N82" i="69"/>
  <c r="X80" i="69"/>
  <c r="X79" i="69"/>
  <c r="X14" i="69"/>
  <c r="X136" i="69"/>
  <c r="X135" i="69"/>
  <c r="X134" i="69"/>
  <c r="X133" i="69"/>
  <c r="X127" i="69"/>
  <c r="X126" i="69"/>
  <c r="X125" i="69"/>
  <c r="X124" i="69"/>
  <c r="X123" i="69"/>
  <c r="B4" i="69"/>
  <c r="E234" i="69" l="1"/>
  <c r="E233" i="69"/>
  <c r="I49" i="45"/>
  <c r="I6" i="112" s="1"/>
  <c r="S127" i="69"/>
  <c r="S126" i="69"/>
  <c r="S125" i="69"/>
  <c r="S124" i="69"/>
  <c r="S123" i="69"/>
  <c r="D161" i="36"/>
  <c r="D162" i="36"/>
  <c r="D163" i="36"/>
  <c r="D164" i="36"/>
  <c r="D160" i="36"/>
  <c r="C75" i="36"/>
  <c r="D75" i="36" s="1"/>
  <c r="C76" i="36"/>
  <c r="C77" i="36"/>
  <c r="I82" i="31"/>
  <c r="D14" i="54" a="1"/>
  <c r="D14" i="54" s="1"/>
  <c r="P136" i="69" s="1"/>
  <c r="D13" i="54" a="1"/>
  <c r="D13" i="54" s="1"/>
  <c r="P135" i="69" s="1"/>
  <c r="D12" i="54" a="1"/>
  <c r="D12" i="54" s="1"/>
  <c r="P134" i="69" s="1"/>
  <c r="P133" i="69"/>
  <c r="F298" i="54" a="1"/>
  <c r="F298" i="54" s="1"/>
  <c r="F297" i="54" a="1"/>
  <c r="F297" i="54" s="1"/>
  <c r="F296" i="54" a="1"/>
  <c r="F296" i="54" s="1"/>
  <c r="F295" i="54" a="1"/>
  <c r="F295" i="54" s="1"/>
  <c r="F294" i="54" a="1"/>
  <c r="F294" i="54" s="1"/>
  <c r="F293" i="54" a="1"/>
  <c r="F293" i="54" s="1"/>
  <c r="F292" i="54" a="1"/>
  <c r="F292" i="54" s="1"/>
  <c r="F291" i="54" a="1"/>
  <c r="F291" i="54" s="1"/>
  <c r="F210" i="58" a="1"/>
  <c r="F210" i="58" s="1"/>
  <c r="R322" i="54"/>
  <c r="R35" i="112" s="1"/>
  <c r="S322" i="54"/>
  <c r="S35" i="112" s="1"/>
  <c r="T322" i="54"/>
  <c r="T35" i="112" s="1"/>
  <c r="U322" i="54"/>
  <c r="U35" i="112" s="1"/>
  <c r="V322" i="54"/>
  <c r="V35" i="112" s="1"/>
  <c r="W322" i="54"/>
  <c r="W35" i="112" s="1"/>
  <c r="R323" i="54"/>
  <c r="R36" i="112" s="1"/>
  <c r="S323" i="54"/>
  <c r="S36" i="112" s="1"/>
  <c r="T323" i="54"/>
  <c r="T36" i="112" s="1"/>
  <c r="U323" i="54"/>
  <c r="U36" i="112" s="1"/>
  <c r="V323" i="54"/>
  <c r="V36" i="112" s="1"/>
  <c r="W323" i="54"/>
  <c r="W36" i="112" s="1"/>
  <c r="R324" i="54"/>
  <c r="R37" i="112" s="1"/>
  <c r="S324" i="54"/>
  <c r="S37" i="112" s="1"/>
  <c r="T324" i="54"/>
  <c r="T37" i="112" s="1"/>
  <c r="U324" i="54"/>
  <c r="U37" i="112" s="1"/>
  <c r="V324" i="54"/>
  <c r="V37" i="112" s="1"/>
  <c r="W324" i="54"/>
  <c r="W37" i="112" s="1"/>
  <c r="R325" i="54"/>
  <c r="R38" i="112" s="1"/>
  <c r="S325" i="54"/>
  <c r="S38" i="112" s="1"/>
  <c r="T325" i="54"/>
  <c r="T38" i="112" s="1"/>
  <c r="U325" i="54"/>
  <c r="U38" i="112" s="1"/>
  <c r="V325" i="54"/>
  <c r="V38" i="112" s="1"/>
  <c r="W325" i="54"/>
  <c r="W38" i="112" s="1"/>
  <c r="R326" i="54"/>
  <c r="R39" i="112" s="1"/>
  <c r="S326" i="54"/>
  <c r="S39" i="112" s="1"/>
  <c r="T326" i="54"/>
  <c r="T39" i="112" s="1"/>
  <c r="U326" i="54"/>
  <c r="U39" i="112" s="1"/>
  <c r="V326" i="54"/>
  <c r="V39" i="112" s="1"/>
  <c r="W326" i="54"/>
  <c r="W39" i="112" s="1"/>
  <c r="R327" i="54"/>
  <c r="R40" i="112" s="1"/>
  <c r="S327" i="54"/>
  <c r="S40" i="112" s="1"/>
  <c r="T327" i="54"/>
  <c r="T40" i="112" s="1"/>
  <c r="U327" i="54"/>
  <c r="U40" i="112" s="1"/>
  <c r="V327" i="54"/>
  <c r="V40" i="112" s="1"/>
  <c r="W327" i="54"/>
  <c r="W40" i="112" s="1"/>
  <c r="R328" i="54"/>
  <c r="R41" i="112" s="1"/>
  <c r="S328" i="54"/>
  <c r="S41" i="112" s="1"/>
  <c r="T328" i="54"/>
  <c r="T41" i="112" s="1"/>
  <c r="U328" i="54"/>
  <c r="U41" i="112" s="1"/>
  <c r="V328" i="54"/>
  <c r="V41" i="112" s="1"/>
  <c r="W328" i="54"/>
  <c r="W41" i="112" s="1"/>
  <c r="R329" i="54"/>
  <c r="R42" i="112" s="1"/>
  <c r="S329" i="54"/>
  <c r="S42" i="112" s="1"/>
  <c r="T329" i="54"/>
  <c r="T42" i="112" s="1"/>
  <c r="U329" i="54"/>
  <c r="U42" i="112" s="1"/>
  <c r="V329" i="54"/>
  <c r="V42" i="112" s="1"/>
  <c r="W329" i="54"/>
  <c r="W42" i="112" s="1"/>
  <c r="Q323" i="54"/>
  <c r="Q36" i="112" s="1"/>
  <c r="Q324" i="54"/>
  <c r="Q37" i="112" s="1"/>
  <c r="Q325" i="54"/>
  <c r="Q38" i="112" s="1"/>
  <c r="Q326" i="54"/>
  <c r="Q39" i="112" s="1"/>
  <c r="Q327" i="54"/>
  <c r="Q40" i="112" s="1"/>
  <c r="Q328" i="54"/>
  <c r="Q41" i="112" s="1"/>
  <c r="Q329" i="54"/>
  <c r="Q42" i="112" s="1"/>
  <c r="Q322" i="54"/>
  <c r="Q35" i="112" s="1"/>
  <c r="I322" i="54"/>
  <c r="I35" i="112" s="1"/>
  <c r="I323" i="54"/>
  <c r="I36" i="112" s="1"/>
  <c r="I324" i="54"/>
  <c r="I37" i="112" s="1"/>
  <c r="I325" i="54"/>
  <c r="I38" i="112" s="1"/>
  <c r="I326" i="54"/>
  <c r="I39" i="112" s="1"/>
  <c r="I327" i="54"/>
  <c r="I40" i="112" s="1"/>
  <c r="I328" i="54"/>
  <c r="I41" i="112" s="1"/>
  <c r="I329" i="54"/>
  <c r="I42" i="112" s="1"/>
  <c r="J322" i="54"/>
  <c r="J35" i="112" s="1"/>
  <c r="J323" i="54"/>
  <c r="J36" i="112" s="1"/>
  <c r="J324" i="54"/>
  <c r="J37" i="112" s="1"/>
  <c r="J325" i="54"/>
  <c r="J38" i="112" s="1"/>
  <c r="J326" i="54"/>
  <c r="J39" i="112" s="1"/>
  <c r="J327" i="54"/>
  <c r="J40" i="112" s="1"/>
  <c r="J328" i="54"/>
  <c r="J41" i="112" s="1"/>
  <c r="J329" i="54"/>
  <c r="J42" i="112" s="1"/>
  <c r="F323" i="54"/>
  <c r="F36" i="112" s="1"/>
  <c r="F324" i="54"/>
  <c r="F37" i="112" s="1"/>
  <c r="F325" i="54"/>
  <c r="F38" i="112" s="1"/>
  <c r="F326" i="54"/>
  <c r="F39" i="112" s="1"/>
  <c r="F327" i="54"/>
  <c r="F40" i="112" s="1"/>
  <c r="F328" i="54"/>
  <c r="F41" i="112" s="1"/>
  <c r="F329" i="54"/>
  <c r="F42" i="112" s="1"/>
  <c r="F322" i="54"/>
  <c r="F35" i="112" s="1"/>
  <c r="R306" i="54"/>
  <c r="R19" i="112" s="1"/>
  <c r="S306" i="54"/>
  <c r="S19" i="112" s="1"/>
  <c r="T306" i="54"/>
  <c r="T19" i="112" s="1"/>
  <c r="U306" i="54"/>
  <c r="U19" i="112" s="1"/>
  <c r="V306" i="54"/>
  <c r="V19" i="112" s="1"/>
  <c r="R307" i="54"/>
  <c r="R20" i="112" s="1"/>
  <c r="S307" i="54"/>
  <c r="S20" i="112" s="1"/>
  <c r="T307" i="54"/>
  <c r="T20" i="112" s="1"/>
  <c r="U307" i="54"/>
  <c r="U20" i="112" s="1"/>
  <c r="V307" i="54"/>
  <c r="V20" i="112" s="1"/>
  <c r="R308" i="54"/>
  <c r="R21" i="112" s="1"/>
  <c r="S308" i="54"/>
  <c r="S21" i="112" s="1"/>
  <c r="T308" i="54"/>
  <c r="T21" i="112" s="1"/>
  <c r="U308" i="54"/>
  <c r="U21" i="112" s="1"/>
  <c r="V308" i="54"/>
  <c r="V21" i="112" s="1"/>
  <c r="R309" i="54"/>
  <c r="R22" i="112" s="1"/>
  <c r="S309" i="54"/>
  <c r="S22" i="112" s="1"/>
  <c r="T309" i="54"/>
  <c r="T22" i="112" s="1"/>
  <c r="U309" i="54"/>
  <c r="U22" i="112" s="1"/>
  <c r="V309" i="54"/>
  <c r="V22" i="112" s="1"/>
  <c r="R310" i="54"/>
  <c r="R23" i="112" s="1"/>
  <c r="S310" i="54"/>
  <c r="S23" i="112" s="1"/>
  <c r="T310" i="54"/>
  <c r="T23" i="112" s="1"/>
  <c r="U310" i="54"/>
  <c r="U23" i="112" s="1"/>
  <c r="V310" i="54"/>
  <c r="V23" i="112" s="1"/>
  <c r="R311" i="54"/>
  <c r="R24" i="112" s="1"/>
  <c r="S311" i="54"/>
  <c r="S24" i="112" s="1"/>
  <c r="T311" i="54"/>
  <c r="T24" i="112" s="1"/>
  <c r="U311" i="54"/>
  <c r="U24" i="112" s="1"/>
  <c r="V311" i="54"/>
  <c r="V24" i="112" s="1"/>
  <c r="R312" i="54"/>
  <c r="R25" i="112" s="1"/>
  <c r="S312" i="54"/>
  <c r="S25" i="112" s="1"/>
  <c r="T312" i="54"/>
  <c r="T25" i="112" s="1"/>
  <c r="U312" i="54"/>
  <c r="U25" i="112" s="1"/>
  <c r="V312" i="54"/>
  <c r="V25" i="112" s="1"/>
  <c r="R313" i="54"/>
  <c r="R26" i="112" s="1"/>
  <c r="S313" i="54"/>
  <c r="S26" i="112" s="1"/>
  <c r="T313" i="54"/>
  <c r="T26" i="112" s="1"/>
  <c r="U313" i="54"/>
  <c r="U26" i="112" s="1"/>
  <c r="V313" i="54"/>
  <c r="V26" i="112" s="1"/>
  <c r="Q307" i="54"/>
  <c r="Q20" i="112" s="1"/>
  <c r="Q308" i="54"/>
  <c r="Q21" i="112" s="1"/>
  <c r="Q309" i="54"/>
  <c r="Q22" i="112" s="1"/>
  <c r="Q310" i="54"/>
  <c r="Q23" i="112" s="1"/>
  <c r="Q311" i="54"/>
  <c r="Q24" i="112" s="1"/>
  <c r="Q312" i="54"/>
  <c r="Q25" i="112" s="1"/>
  <c r="Q313" i="54"/>
  <c r="Q26" i="112" s="1"/>
  <c r="Q306" i="54"/>
  <c r="Q19" i="112" s="1"/>
  <c r="I306" i="54"/>
  <c r="I19" i="112" s="1"/>
  <c r="I307" i="54"/>
  <c r="I20" i="112" s="1"/>
  <c r="I308" i="54"/>
  <c r="I21" i="112" s="1"/>
  <c r="I309" i="54"/>
  <c r="I22" i="112" s="1"/>
  <c r="I310" i="54"/>
  <c r="I23" i="112" s="1"/>
  <c r="I311" i="54"/>
  <c r="I24" i="112" s="1"/>
  <c r="I312" i="54"/>
  <c r="I25" i="112" s="1"/>
  <c r="I313" i="54"/>
  <c r="I26" i="112" s="1"/>
  <c r="F307" i="54"/>
  <c r="F20" i="112" s="1"/>
  <c r="J307" i="54"/>
  <c r="J20" i="112" s="1"/>
  <c r="F308" i="54"/>
  <c r="F21" i="112" s="1"/>
  <c r="J308" i="54"/>
  <c r="J21" i="112" s="1"/>
  <c r="F309" i="54"/>
  <c r="F22" i="112" s="1"/>
  <c r="J309" i="54"/>
  <c r="J22" i="112" s="1"/>
  <c r="F310" i="54"/>
  <c r="F23" i="112" s="1"/>
  <c r="J310" i="54"/>
  <c r="J23" i="112" s="1"/>
  <c r="F311" i="54"/>
  <c r="F24" i="112" s="1"/>
  <c r="J311" i="54"/>
  <c r="J24" i="112" s="1"/>
  <c r="F312" i="54"/>
  <c r="F25" i="112" s="1"/>
  <c r="J312" i="54"/>
  <c r="J25" i="112" s="1"/>
  <c r="F313" i="54"/>
  <c r="F26" i="112" s="1"/>
  <c r="J313" i="54"/>
  <c r="J26" i="112" s="1"/>
  <c r="J306" i="54"/>
  <c r="J19" i="112" s="1"/>
  <c r="F306" i="54"/>
  <c r="F19" i="112" s="1"/>
  <c r="Q303" i="54"/>
  <c r="Q16" i="112" s="1"/>
  <c r="R303" i="54"/>
  <c r="R16" i="112" s="1"/>
  <c r="S303" i="54"/>
  <c r="S16" i="112" s="1"/>
  <c r="T303" i="54"/>
  <c r="T16" i="112" s="1"/>
  <c r="U303" i="54"/>
  <c r="U16" i="112" s="1"/>
  <c r="V303" i="54"/>
  <c r="V16" i="112" s="1"/>
  <c r="W303" i="54"/>
  <c r="W16" i="112" s="1"/>
  <c r="Q304" i="54"/>
  <c r="Q17" i="112" s="1"/>
  <c r="R304" i="54"/>
  <c r="R17" i="112" s="1"/>
  <c r="S304" i="54"/>
  <c r="S17" i="112" s="1"/>
  <c r="T304" i="54"/>
  <c r="T17" i="112" s="1"/>
  <c r="U304" i="54"/>
  <c r="U17" i="112" s="1"/>
  <c r="V304" i="54"/>
  <c r="V17" i="112" s="1"/>
  <c r="W304" i="54"/>
  <c r="W17" i="112" s="1"/>
  <c r="Q305" i="54"/>
  <c r="Q18" i="112" s="1"/>
  <c r="R305" i="54"/>
  <c r="R18" i="112" s="1"/>
  <c r="S305" i="54"/>
  <c r="S18" i="112" s="1"/>
  <c r="T305" i="54"/>
  <c r="T18" i="112" s="1"/>
  <c r="U305" i="54"/>
  <c r="U18" i="112" s="1"/>
  <c r="V305" i="54"/>
  <c r="V18" i="112" s="1"/>
  <c r="W305" i="54"/>
  <c r="W18" i="112" s="1"/>
  <c r="R302" i="54"/>
  <c r="R15" i="112" s="1"/>
  <c r="S302" i="54"/>
  <c r="S15" i="112" s="1"/>
  <c r="T302" i="54"/>
  <c r="T15" i="112" s="1"/>
  <c r="U302" i="54"/>
  <c r="U15" i="112" s="1"/>
  <c r="V302" i="54"/>
  <c r="V15" i="112" s="1"/>
  <c r="W302" i="54"/>
  <c r="W15" i="112" s="1"/>
  <c r="Q302" i="54"/>
  <c r="Q15" i="112" s="1"/>
  <c r="I302" i="54"/>
  <c r="I15" i="112" s="1"/>
  <c r="I303" i="54"/>
  <c r="I16" i="112" s="1"/>
  <c r="I304" i="54"/>
  <c r="I17" i="112" s="1"/>
  <c r="I305" i="54"/>
  <c r="I18" i="112" s="1"/>
  <c r="F303" i="54"/>
  <c r="F16" i="112" s="1"/>
  <c r="F304" i="54"/>
  <c r="F17" i="112" s="1"/>
  <c r="F305" i="54"/>
  <c r="F18" i="112" s="1"/>
  <c r="J302" i="54"/>
  <c r="J15" i="112" s="1"/>
  <c r="J303" i="54"/>
  <c r="J16" i="112" s="1"/>
  <c r="J304" i="54"/>
  <c r="J17" i="112" s="1"/>
  <c r="J305" i="54"/>
  <c r="J18" i="112" s="1"/>
  <c r="F302" i="54"/>
  <c r="F15" i="112" s="1"/>
  <c r="D77" i="36" l="1"/>
  <c r="D76" i="36"/>
  <c r="E131" i="54"/>
  <c r="F131" i="54" s="1"/>
  <c r="D139" i="54" s="1"/>
  <c r="E130" i="54"/>
  <c r="F130" i="54" s="1"/>
  <c r="D138" i="54" s="1"/>
  <c r="K311" i="54" s="1"/>
  <c r="K24" i="112" s="1"/>
  <c r="C131" i="54"/>
  <c r="C130" i="54"/>
  <c r="D130" i="54" s="1"/>
  <c r="C138" i="54" s="1"/>
  <c r="K307" i="54" s="1"/>
  <c r="K20" i="112" s="1"/>
  <c r="H91" i="54"/>
  <c r="Q120" i="57"/>
  <c r="Q322" i="112" s="1"/>
  <c r="T120" i="57"/>
  <c r="T322" i="112" s="1"/>
  <c r="U120" i="57"/>
  <c r="U322" i="112" s="1"/>
  <c r="V120" i="57"/>
  <c r="V322" i="112" s="1"/>
  <c r="W120" i="57"/>
  <c r="W322" i="112" s="1"/>
  <c r="S120" i="57"/>
  <c r="S322" i="112" s="1"/>
  <c r="Q86" i="57"/>
  <c r="Q321" i="112" s="1"/>
  <c r="R86" i="57"/>
  <c r="R321" i="112" s="1"/>
  <c r="S86" i="57"/>
  <c r="S321" i="112" s="1"/>
  <c r="T86" i="57"/>
  <c r="T321" i="112" s="1"/>
  <c r="U86" i="57"/>
  <c r="U321" i="112" s="1"/>
  <c r="V86" i="57"/>
  <c r="V321" i="112" s="1"/>
  <c r="W86" i="57"/>
  <c r="W321" i="112" s="1"/>
  <c r="R85" i="57"/>
  <c r="R320" i="112" s="1"/>
  <c r="S85" i="57"/>
  <c r="S320" i="112" s="1"/>
  <c r="T85" i="57"/>
  <c r="T320" i="112" s="1"/>
  <c r="U85" i="57"/>
  <c r="U320" i="112" s="1"/>
  <c r="V85" i="57"/>
  <c r="V320" i="112" s="1"/>
  <c r="W85" i="57"/>
  <c r="W320" i="112" s="1"/>
  <c r="Q85" i="57"/>
  <c r="Q320" i="112" s="1"/>
  <c r="F86" i="57"/>
  <c r="F321" i="112" s="1"/>
  <c r="F85" i="57"/>
  <c r="F320" i="112" s="1"/>
  <c r="F81" i="57" a="1"/>
  <c r="F81" i="57" s="1"/>
  <c r="F80" i="57" a="1"/>
  <c r="F80" i="57" s="1"/>
  <c r="I86" i="57"/>
  <c r="I321" i="112" s="1"/>
  <c r="J86" i="57"/>
  <c r="J321" i="112" s="1"/>
  <c r="I85" i="57"/>
  <c r="I320" i="112" s="1"/>
  <c r="J85" i="57"/>
  <c r="J320" i="112" s="1"/>
  <c r="F51" i="57" a="1"/>
  <c r="F51" i="57" s="1"/>
  <c r="I56" i="57"/>
  <c r="I318" i="112" s="1"/>
  <c r="Q57" i="57"/>
  <c r="Q319" i="112" s="1"/>
  <c r="R57" i="57"/>
  <c r="R319" i="112" s="1"/>
  <c r="S57" i="57"/>
  <c r="S319" i="112" s="1"/>
  <c r="T57" i="57"/>
  <c r="T319" i="112" s="1"/>
  <c r="U57" i="57"/>
  <c r="U319" i="112" s="1"/>
  <c r="V57" i="57"/>
  <c r="V319" i="112" s="1"/>
  <c r="W57" i="57"/>
  <c r="W319" i="112" s="1"/>
  <c r="R56" i="57"/>
  <c r="R318" i="112" s="1"/>
  <c r="S56" i="57"/>
  <c r="S318" i="112" s="1"/>
  <c r="T56" i="57"/>
  <c r="T318" i="112" s="1"/>
  <c r="U56" i="57"/>
  <c r="U318" i="112" s="1"/>
  <c r="V56" i="57"/>
  <c r="V318" i="112" s="1"/>
  <c r="W56" i="57"/>
  <c r="W318" i="112" s="1"/>
  <c r="Q56" i="57"/>
  <c r="Q318" i="112" s="1"/>
  <c r="F52" i="57" a="1"/>
  <c r="F52" i="57" s="1"/>
  <c r="F57" i="57"/>
  <c r="F319" i="112" s="1"/>
  <c r="F56" i="57"/>
  <c r="F318" i="112" s="1"/>
  <c r="F167" i="56"/>
  <c r="F145" i="112" s="1"/>
  <c r="F168" i="56"/>
  <c r="F146" i="112" s="1"/>
  <c r="J166" i="56"/>
  <c r="J144" i="112" s="1"/>
  <c r="I166" i="56"/>
  <c r="I144" i="112" s="1"/>
  <c r="J167" i="56"/>
  <c r="J145" i="112" s="1"/>
  <c r="I167" i="56"/>
  <c r="I145" i="112" s="1"/>
  <c r="J168" i="56"/>
  <c r="J146" i="112" s="1"/>
  <c r="I168" i="56"/>
  <c r="I146" i="112" s="1"/>
  <c r="J169" i="56"/>
  <c r="J147" i="112" s="1"/>
  <c r="I169" i="56"/>
  <c r="I147" i="112" s="1"/>
  <c r="J170" i="56"/>
  <c r="J148" i="112" s="1"/>
  <c r="I170" i="56"/>
  <c r="I148" i="112" s="1"/>
  <c r="J171" i="56"/>
  <c r="J149" i="112" s="1"/>
  <c r="I171" i="56"/>
  <c r="I149" i="112" s="1"/>
  <c r="C39" i="61"/>
  <c r="C39" i="59"/>
  <c r="D82" i="56" l="1"/>
  <c r="E82" i="56" s="1"/>
  <c r="D72" i="57"/>
  <c r="D104" i="54"/>
  <c r="E104" i="54" s="1"/>
  <c r="L85" i="57"/>
  <c r="L320" i="112" s="1"/>
  <c r="K312" i="54"/>
  <c r="K25" i="112" s="1"/>
  <c r="D144" i="54"/>
  <c r="L307" i="54"/>
  <c r="L20" i="112" s="1"/>
  <c r="L311" i="54"/>
  <c r="L24" i="112" s="1"/>
  <c r="W308" i="54"/>
  <c r="W21" i="112" s="1"/>
  <c r="W312" i="54"/>
  <c r="W25" i="112" s="1"/>
  <c r="W313" i="54"/>
  <c r="W26" i="112" s="1"/>
  <c r="W307" i="54"/>
  <c r="W20" i="112" s="1"/>
  <c r="W311" i="54"/>
  <c r="W24" i="112" s="1"/>
  <c r="W306" i="54"/>
  <c r="W19" i="112" s="1"/>
  <c r="W310" i="54"/>
  <c r="W23" i="112" s="1"/>
  <c r="W309" i="54"/>
  <c r="W22" i="112" s="1"/>
  <c r="D132" i="54"/>
  <c r="C140" i="54" s="1"/>
  <c r="F132" i="54"/>
  <c r="D140" i="54" s="1"/>
  <c r="D131" i="54"/>
  <c r="C139" i="54" s="1"/>
  <c r="L86" i="57"/>
  <c r="L321" i="112" s="1"/>
  <c r="L171" i="56"/>
  <c r="L149" i="112" s="1"/>
  <c r="L169" i="56"/>
  <c r="L147" i="112" s="1"/>
  <c r="L166" i="56"/>
  <c r="L144" i="112" s="1"/>
  <c r="L170" i="56"/>
  <c r="L148" i="112" s="1"/>
  <c r="L168" i="56"/>
  <c r="L146" i="112" s="1"/>
  <c r="L167" i="56"/>
  <c r="L145" i="112" s="1"/>
  <c r="E72" i="57" l="1"/>
  <c r="H80" i="57"/>
  <c r="G80" i="57"/>
  <c r="H157" i="56"/>
  <c r="N166" i="56" s="1"/>
  <c r="N144" i="112" s="1"/>
  <c r="G81" i="57"/>
  <c r="G162" i="56"/>
  <c r="D56" i="56" s="1" a="1"/>
  <c r="D56" i="56" s="1"/>
  <c r="J174" i="69" s="1"/>
  <c r="G160" i="56"/>
  <c r="D54" i="56" s="1" a="1"/>
  <c r="D54" i="56" s="1"/>
  <c r="J172" i="69" s="1"/>
  <c r="G158" i="56"/>
  <c r="D25" i="56" s="1" a="1"/>
  <c r="D25" i="56" s="1"/>
  <c r="J143" i="69" s="1"/>
  <c r="E143" i="69" s="1"/>
  <c r="G157" i="56"/>
  <c r="D24" i="56" s="1" a="1"/>
  <c r="D24" i="56" s="1"/>
  <c r="J142" i="69" s="1"/>
  <c r="E142" i="69" s="1"/>
  <c r="G159" i="56"/>
  <c r="D26" i="56" s="1" a="1"/>
  <c r="D26" i="56" s="1"/>
  <c r="J144" i="69" s="1"/>
  <c r="E144" i="69" s="1"/>
  <c r="G161" i="56"/>
  <c r="D55" i="56" s="1" a="1"/>
  <c r="D55" i="56" s="1"/>
  <c r="J173" i="69" s="1"/>
  <c r="H291" i="54"/>
  <c r="D145" i="54"/>
  <c r="D146" i="54" s="1"/>
  <c r="K313" i="54"/>
  <c r="K26" i="112" s="1"/>
  <c r="C144" i="54"/>
  <c r="K308" i="54"/>
  <c r="K21" i="112" s="1"/>
  <c r="C145" i="54"/>
  <c r="K309" i="54"/>
  <c r="K22" i="112" s="1"/>
  <c r="L312" i="54"/>
  <c r="L25" i="112" s="1"/>
  <c r="G296" i="54"/>
  <c r="H12" i="54" s="1" a="1"/>
  <c r="H12" i="54" s="1"/>
  <c r="V134" i="69" s="1"/>
  <c r="G292" i="54"/>
  <c r="G12" i="54" s="1" a="1"/>
  <c r="G12" i="54" s="1"/>
  <c r="U134" i="69" s="1"/>
  <c r="C186" i="58"/>
  <c r="C234" i="54"/>
  <c r="C239" i="54" s="1"/>
  <c r="C238" i="54" s="1"/>
  <c r="I143" i="58"/>
  <c r="I365" i="112" s="1"/>
  <c r="N86" i="57" l="1"/>
  <c r="N321" i="112" s="1"/>
  <c r="N85" i="57"/>
  <c r="N320" i="112" s="1"/>
  <c r="N168" i="56"/>
  <c r="N146" i="112" s="1"/>
  <c r="N167" i="56"/>
  <c r="N145" i="112" s="1"/>
  <c r="L313" i="54"/>
  <c r="L26" i="112" s="1"/>
  <c r="N307" i="54"/>
  <c r="N20" i="112" s="1"/>
  <c r="N313" i="54"/>
  <c r="N26" i="112" s="1"/>
  <c r="N312" i="54"/>
  <c r="N25" i="112" s="1"/>
  <c r="N311" i="54"/>
  <c r="N24" i="112" s="1"/>
  <c r="N308" i="54"/>
  <c r="N21" i="112" s="1"/>
  <c r="N306" i="54"/>
  <c r="N19" i="112" s="1"/>
  <c r="N309" i="54"/>
  <c r="N22" i="112" s="1"/>
  <c r="N310" i="54"/>
  <c r="N23" i="112" s="1"/>
  <c r="L309" i="54"/>
  <c r="L22" i="112" s="1"/>
  <c r="L308" i="54"/>
  <c r="L21" i="112" s="1"/>
  <c r="G297" i="54"/>
  <c r="H13" i="54" s="1" a="1"/>
  <c r="H13" i="54" s="1"/>
  <c r="V135" i="69" s="1"/>
  <c r="C146" i="54"/>
  <c r="K306" i="54" s="1"/>
  <c r="K19" i="112" s="1"/>
  <c r="K310" i="54"/>
  <c r="K23" i="112" s="1"/>
  <c r="D239" i="54"/>
  <c r="C237" i="54"/>
  <c r="E239" i="54"/>
  <c r="G298" i="54" l="1"/>
  <c r="H14" i="54" s="1" a="1"/>
  <c r="H14" i="54" s="1"/>
  <c r="V136" i="69" s="1"/>
  <c r="G294" i="54"/>
  <c r="G14" i="54" s="1" a="1"/>
  <c r="G14" i="54" s="1"/>
  <c r="U136" i="69" s="1"/>
  <c r="G293" i="54"/>
  <c r="G13" i="54" s="1" a="1"/>
  <c r="G13" i="54" s="1"/>
  <c r="U135" i="69" s="1"/>
  <c r="L310" i="54"/>
  <c r="L23" i="112" s="1"/>
  <c r="K329" i="54"/>
  <c r="K42" i="112" s="1"/>
  <c r="K325" i="54"/>
  <c r="K38" i="112" s="1"/>
  <c r="D238" i="54"/>
  <c r="K324" i="54" s="1"/>
  <c r="K37" i="112" s="1"/>
  <c r="E238" i="54"/>
  <c r="E237" i="54"/>
  <c r="D237" i="54"/>
  <c r="Q331" i="54"/>
  <c r="Q44" i="112" s="1"/>
  <c r="R331" i="54"/>
  <c r="R44" i="112" s="1"/>
  <c r="S331" i="54"/>
  <c r="S44" i="112" s="1"/>
  <c r="T331" i="54"/>
  <c r="T44" i="112" s="1"/>
  <c r="U331" i="54"/>
  <c r="U44" i="112" s="1"/>
  <c r="V331" i="54"/>
  <c r="V44" i="112" s="1"/>
  <c r="W331" i="54"/>
  <c r="W44" i="112" s="1"/>
  <c r="Q332" i="54"/>
  <c r="Q45" i="112" s="1"/>
  <c r="R332" i="54"/>
  <c r="R45" i="112" s="1"/>
  <c r="S332" i="54"/>
  <c r="S45" i="112" s="1"/>
  <c r="T332" i="54"/>
  <c r="T45" i="112" s="1"/>
  <c r="U332" i="54"/>
  <c r="U45" i="112" s="1"/>
  <c r="V332" i="54"/>
  <c r="V45" i="112" s="1"/>
  <c r="W332" i="54"/>
  <c r="W45" i="112" s="1"/>
  <c r="Q333" i="54"/>
  <c r="Q46" i="112" s="1"/>
  <c r="R333" i="54"/>
  <c r="R46" i="112" s="1"/>
  <c r="S333" i="54"/>
  <c r="S46" i="112" s="1"/>
  <c r="T333" i="54"/>
  <c r="T46" i="112" s="1"/>
  <c r="U333" i="54"/>
  <c r="U46" i="112" s="1"/>
  <c r="V333" i="54"/>
  <c r="V46" i="112" s="1"/>
  <c r="W333" i="54"/>
  <c r="W46" i="112" s="1"/>
  <c r="Q334" i="54"/>
  <c r="Q47" i="112" s="1"/>
  <c r="R334" i="54"/>
  <c r="R47" i="112" s="1"/>
  <c r="S334" i="54"/>
  <c r="S47" i="112" s="1"/>
  <c r="T334" i="54"/>
  <c r="T47" i="112" s="1"/>
  <c r="U334" i="54"/>
  <c r="U47" i="112" s="1"/>
  <c r="V334" i="54"/>
  <c r="V47" i="112" s="1"/>
  <c r="W334" i="54"/>
  <c r="W47" i="112" s="1"/>
  <c r="Q335" i="54"/>
  <c r="Q48" i="112" s="1"/>
  <c r="R335" i="54"/>
  <c r="R48" i="112" s="1"/>
  <c r="S335" i="54"/>
  <c r="S48" i="112" s="1"/>
  <c r="T335" i="54"/>
  <c r="T48" i="112" s="1"/>
  <c r="U335" i="54"/>
  <c r="U48" i="112" s="1"/>
  <c r="V335" i="54"/>
  <c r="V48" i="112" s="1"/>
  <c r="W335" i="54"/>
  <c r="W48" i="112" s="1"/>
  <c r="Q336" i="54"/>
  <c r="Q49" i="112" s="1"/>
  <c r="R336" i="54"/>
  <c r="R49" i="112" s="1"/>
  <c r="S336" i="54"/>
  <c r="S49" i="112" s="1"/>
  <c r="T336" i="54"/>
  <c r="T49" i="112" s="1"/>
  <c r="U336" i="54"/>
  <c r="U49" i="112" s="1"/>
  <c r="V336" i="54"/>
  <c r="V49" i="112" s="1"/>
  <c r="W336" i="54"/>
  <c r="W49" i="112" s="1"/>
  <c r="Q337" i="54"/>
  <c r="Q50" i="112" s="1"/>
  <c r="R337" i="54"/>
  <c r="R50" i="112" s="1"/>
  <c r="S337" i="54"/>
  <c r="S50" i="112" s="1"/>
  <c r="T337" i="54"/>
  <c r="T50" i="112" s="1"/>
  <c r="U337" i="54"/>
  <c r="U50" i="112" s="1"/>
  <c r="V337" i="54"/>
  <c r="V50" i="112" s="1"/>
  <c r="W337" i="54"/>
  <c r="W50" i="112" s="1"/>
  <c r="R330" i="54"/>
  <c r="R43" i="112" s="1"/>
  <c r="S330" i="54"/>
  <c r="S43" i="112" s="1"/>
  <c r="T330" i="54"/>
  <c r="T43" i="112" s="1"/>
  <c r="U330" i="54"/>
  <c r="U43" i="112" s="1"/>
  <c r="V330" i="54"/>
  <c r="V43" i="112" s="1"/>
  <c r="W330" i="54"/>
  <c r="W43" i="112" s="1"/>
  <c r="Q330" i="54"/>
  <c r="Q43" i="112" s="1"/>
  <c r="I330" i="54"/>
  <c r="I43" i="112" s="1"/>
  <c r="I331" i="54"/>
  <c r="I44" i="112" s="1"/>
  <c r="I332" i="54"/>
  <c r="I45" i="112" s="1"/>
  <c r="I333" i="54"/>
  <c r="I46" i="112" s="1"/>
  <c r="I334" i="54"/>
  <c r="I47" i="112" s="1"/>
  <c r="I335" i="54"/>
  <c r="I48" i="112" s="1"/>
  <c r="I336" i="54"/>
  <c r="I49" i="112" s="1"/>
  <c r="I337" i="54"/>
  <c r="I50" i="112" s="1"/>
  <c r="F331" i="54"/>
  <c r="F44" i="112" s="1"/>
  <c r="F332" i="54"/>
  <c r="F45" i="112" s="1"/>
  <c r="F333" i="54"/>
  <c r="F46" i="112" s="1"/>
  <c r="F334" i="54"/>
  <c r="F47" i="112" s="1"/>
  <c r="F335" i="54"/>
  <c r="F48" i="112" s="1"/>
  <c r="F336" i="54"/>
  <c r="F49" i="112" s="1"/>
  <c r="F337" i="54"/>
  <c r="F50" i="112" s="1"/>
  <c r="J330" i="54"/>
  <c r="J43" i="112" s="1"/>
  <c r="J331" i="54"/>
  <c r="J44" i="112" s="1"/>
  <c r="J332" i="54"/>
  <c r="J45" i="112" s="1"/>
  <c r="J333" i="54"/>
  <c r="J46" i="112" s="1"/>
  <c r="J334" i="54"/>
  <c r="J47" i="112" s="1"/>
  <c r="J335" i="54"/>
  <c r="J48" i="112" s="1"/>
  <c r="J336" i="54"/>
  <c r="J49" i="112" s="1"/>
  <c r="J337" i="54"/>
  <c r="J50" i="112" s="1"/>
  <c r="F330" i="54"/>
  <c r="F43" i="112" s="1"/>
  <c r="Q318" i="54"/>
  <c r="Q31" i="112" s="1"/>
  <c r="R318" i="54"/>
  <c r="R31" i="112" s="1"/>
  <c r="S318" i="54"/>
  <c r="S31" i="112" s="1"/>
  <c r="T318" i="54"/>
  <c r="T31" i="112" s="1"/>
  <c r="U318" i="54"/>
  <c r="U31" i="112" s="1"/>
  <c r="V318" i="54"/>
  <c r="V31" i="112" s="1"/>
  <c r="W318" i="54"/>
  <c r="W31" i="112" s="1"/>
  <c r="Q319" i="54"/>
  <c r="Q32" i="112" s="1"/>
  <c r="R319" i="54"/>
  <c r="R32" i="112" s="1"/>
  <c r="S319" i="54"/>
  <c r="S32" i="112" s="1"/>
  <c r="T319" i="54"/>
  <c r="T32" i="112" s="1"/>
  <c r="U319" i="54"/>
  <c r="U32" i="112" s="1"/>
  <c r="V319" i="54"/>
  <c r="V32" i="112" s="1"/>
  <c r="W319" i="54"/>
  <c r="W32" i="112" s="1"/>
  <c r="Q320" i="54"/>
  <c r="Q33" i="112" s="1"/>
  <c r="R320" i="54"/>
  <c r="R33" i="112" s="1"/>
  <c r="S320" i="54"/>
  <c r="S33" i="112" s="1"/>
  <c r="T320" i="54"/>
  <c r="T33" i="112" s="1"/>
  <c r="U320" i="54"/>
  <c r="U33" i="112" s="1"/>
  <c r="V320" i="54"/>
  <c r="V33" i="112" s="1"/>
  <c r="W320" i="54"/>
  <c r="W33" i="112" s="1"/>
  <c r="Q321" i="54"/>
  <c r="Q34" i="112" s="1"/>
  <c r="R321" i="54"/>
  <c r="R34" i="112" s="1"/>
  <c r="S321" i="54"/>
  <c r="S34" i="112" s="1"/>
  <c r="T321" i="54"/>
  <c r="T34" i="112" s="1"/>
  <c r="U321" i="54"/>
  <c r="U34" i="112" s="1"/>
  <c r="V321" i="54"/>
  <c r="V34" i="112" s="1"/>
  <c r="W321" i="54"/>
  <c r="W34" i="112" s="1"/>
  <c r="F318" i="54"/>
  <c r="F31" i="112" s="1"/>
  <c r="J318" i="54"/>
  <c r="J31" i="112" s="1"/>
  <c r="I318" i="54"/>
  <c r="I31" i="112" s="1"/>
  <c r="F319" i="54"/>
  <c r="F32" i="112" s="1"/>
  <c r="J319" i="54"/>
  <c r="J32" i="112" s="1"/>
  <c r="I319" i="54"/>
  <c r="I32" i="112" s="1"/>
  <c r="F320" i="54"/>
  <c r="F33" i="112" s="1"/>
  <c r="J320" i="54"/>
  <c r="J33" i="112" s="1"/>
  <c r="I320" i="54"/>
  <c r="I33" i="112" s="1"/>
  <c r="F321" i="54"/>
  <c r="F34" i="112" s="1"/>
  <c r="J321" i="54"/>
  <c r="J34" i="112" s="1"/>
  <c r="I321" i="54"/>
  <c r="I34" i="112" s="1"/>
  <c r="Q315" i="54"/>
  <c r="Q28" i="112" s="1"/>
  <c r="R315" i="54"/>
  <c r="R28" i="112" s="1"/>
  <c r="S315" i="54"/>
  <c r="S28" i="112" s="1"/>
  <c r="T315" i="54"/>
  <c r="T28" i="112" s="1"/>
  <c r="U315" i="54"/>
  <c r="U28" i="112" s="1"/>
  <c r="V315" i="54"/>
  <c r="V28" i="112" s="1"/>
  <c r="W315" i="54"/>
  <c r="W28" i="112" s="1"/>
  <c r="Q316" i="54"/>
  <c r="Q29" i="112" s="1"/>
  <c r="R316" i="54"/>
  <c r="R29" i="112" s="1"/>
  <c r="S316" i="54"/>
  <c r="S29" i="112" s="1"/>
  <c r="T316" i="54"/>
  <c r="T29" i="112" s="1"/>
  <c r="U316" i="54"/>
  <c r="U29" i="112" s="1"/>
  <c r="V316" i="54"/>
  <c r="V29" i="112" s="1"/>
  <c r="W316" i="54"/>
  <c r="W29" i="112" s="1"/>
  <c r="Q317" i="54"/>
  <c r="Q30" i="112" s="1"/>
  <c r="R317" i="54"/>
  <c r="R30" i="112" s="1"/>
  <c r="S317" i="54"/>
  <c r="S30" i="112" s="1"/>
  <c r="T317" i="54"/>
  <c r="T30" i="112" s="1"/>
  <c r="U317" i="54"/>
  <c r="U30" i="112" s="1"/>
  <c r="V317" i="54"/>
  <c r="V30" i="112" s="1"/>
  <c r="W317" i="54"/>
  <c r="W30" i="112" s="1"/>
  <c r="F315" i="54"/>
  <c r="F28" i="112" s="1"/>
  <c r="J315" i="54"/>
  <c r="J28" i="112" s="1"/>
  <c r="I315" i="54"/>
  <c r="I28" i="112" s="1"/>
  <c r="F316" i="54"/>
  <c r="F29" i="112" s="1"/>
  <c r="J316" i="54"/>
  <c r="J29" i="112" s="1"/>
  <c r="I316" i="54"/>
  <c r="I29" i="112" s="1"/>
  <c r="F317" i="54"/>
  <c r="F30" i="112" s="1"/>
  <c r="J317" i="54"/>
  <c r="J30" i="112" s="1"/>
  <c r="I317" i="54"/>
  <c r="I30" i="112" s="1"/>
  <c r="R314" i="54"/>
  <c r="R27" i="112" s="1"/>
  <c r="S314" i="54"/>
  <c r="S27" i="112" s="1"/>
  <c r="T314" i="54"/>
  <c r="T27" i="112" s="1"/>
  <c r="U314" i="54"/>
  <c r="U27" i="112" s="1"/>
  <c r="V314" i="54"/>
  <c r="V27" i="112" s="1"/>
  <c r="W314" i="54"/>
  <c r="W27" i="112" s="1"/>
  <c r="Q314" i="54"/>
  <c r="Q27" i="112" s="1"/>
  <c r="F314" i="54"/>
  <c r="F27" i="112" s="1"/>
  <c r="I314" i="54"/>
  <c r="I27" i="112" s="1"/>
  <c r="J314" i="54"/>
  <c r="J27" i="112" s="1"/>
  <c r="C79" i="54"/>
  <c r="D79" i="54" s="1"/>
  <c r="C78" i="54"/>
  <c r="D78" i="54" s="1"/>
  <c r="C77" i="54"/>
  <c r="D77" i="54" s="1"/>
  <c r="L325" i="54" l="1"/>
  <c r="L38" i="112" s="1"/>
  <c r="L329" i="54"/>
  <c r="L42" i="112" s="1"/>
  <c r="L306" i="54"/>
  <c r="L19" i="112" s="1"/>
  <c r="G295" i="54"/>
  <c r="H11" i="54" s="1" a="1"/>
  <c r="H11" i="54" s="1"/>
  <c r="V133" i="69" s="1"/>
  <c r="K327" i="54"/>
  <c r="K40" i="112" s="1"/>
  <c r="K303" i="54"/>
  <c r="K16" i="112" s="1"/>
  <c r="K328" i="54"/>
  <c r="K41" i="112" s="1"/>
  <c r="K304" i="54"/>
  <c r="K17" i="112" s="1"/>
  <c r="K305" i="54"/>
  <c r="K18" i="112" s="1"/>
  <c r="K323" i="54"/>
  <c r="K36" i="112" s="1"/>
  <c r="C244" i="54"/>
  <c r="L324" i="54"/>
  <c r="L37" i="112" s="1"/>
  <c r="C84" i="54"/>
  <c r="C83" i="54"/>
  <c r="C243" i="54"/>
  <c r="D243" i="54"/>
  <c r="D244" i="54"/>
  <c r="C85" i="54" l="1"/>
  <c r="G291" i="54"/>
  <c r="G11" i="54" s="1" a="1"/>
  <c r="G11" i="54" s="1"/>
  <c r="U133" i="69" s="1"/>
  <c r="L323" i="54"/>
  <c r="L36" i="112" s="1"/>
  <c r="L305" i="54"/>
  <c r="L18" i="112" s="1"/>
  <c r="L304" i="54"/>
  <c r="L17" i="112" s="1"/>
  <c r="L328" i="54"/>
  <c r="L41" i="112" s="1"/>
  <c r="L303" i="54"/>
  <c r="L16" i="112" s="1"/>
  <c r="L327" i="54"/>
  <c r="L40" i="112" s="1"/>
  <c r="C245" i="54"/>
  <c r="K322" i="54" s="1"/>
  <c r="K35" i="112" s="1"/>
  <c r="D245" i="54"/>
  <c r="L322" i="54" l="1"/>
  <c r="L35" i="112" s="1"/>
  <c r="K326" i="54"/>
  <c r="K39" i="112" s="1"/>
  <c r="K302" i="54"/>
  <c r="K15" i="112" s="1"/>
  <c r="C276" i="54"/>
  <c r="E276" i="54" s="1"/>
  <c r="C275" i="54"/>
  <c r="D275" i="54" s="1"/>
  <c r="C274" i="54"/>
  <c r="E274" i="54" s="1"/>
  <c r="E196" i="54"/>
  <c r="F195" i="54" s="1"/>
  <c r="C196" i="54"/>
  <c r="D195" i="54" s="1"/>
  <c r="D219" i="54"/>
  <c r="E219" i="54" s="1"/>
  <c r="E13" i="58" a="1"/>
  <c r="E13" i="58" s="1"/>
  <c r="R139" i="69" s="1"/>
  <c r="E15" i="58" a="1"/>
  <c r="E15" i="58" s="1"/>
  <c r="R141" i="69" s="1"/>
  <c r="D41" i="65"/>
  <c r="E41" i="65"/>
  <c r="E42" i="65" s="1"/>
  <c r="E43" i="65" s="1"/>
  <c r="E44" i="65" s="1"/>
  <c r="E45" i="65" s="1"/>
  <c r="E46" i="65" s="1"/>
  <c r="E47" i="65" s="1"/>
  <c r="E48" i="65" s="1"/>
  <c r="E49" i="65" s="1"/>
  <c r="E50" i="65" s="1"/>
  <c r="E51" i="65" s="1"/>
  <c r="E52" i="65" s="1"/>
  <c r="E53" i="65" s="1"/>
  <c r="E54" i="65" s="1"/>
  <c r="E55" i="65" s="1"/>
  <c r="E56" i="65" s="1"/>
  <c r="E57" i="65" s="1"/>
  <c r="E58" i="65" s="1"/>
  <c r="E59" i="65" s="1"/>
  <c r="E60" i="65" s="1"/>
  <c r="E61" i="65" s="1"/>
  <c r="E62" i="65" s="1"/>
  <c r="E63" i="65" s="1"/>
  <c r="E64" i="65" s="1"/>
  <c r="E65" i="65" s="1"/>
  <c r="E66" i="65" s="1"/>
  <c r="E67" i="65" s="1"/>
  <c r="E68" i="65" s="1"/>
  <c r="E69" i="65" s="1"/>
  <c r="E70" i="65" s="1"/>
  <c r="E71" i="65" s="1"/>
  <c r="E72" i="65" s="1"/>
  <c r="E73" i="65" s="1"/>
  <c r="E74" i="65" s="1"/>
  <c r="E75" i="65" s="1"/>
  <c r="E76" i="65" s="1"/>
  <c r="E77" i="65" s="1"/>
  <c r="E78" i="65" s="1"/>
  <c r="E79" i="65" s="1"/>
  <c r="E80" i="65" s="1"/>
  <c r="E81" i="65" s="1"/>
  <c r="E82" i="65" s="1"/>
  <c r="E83" i="65" s="1"/>
  <c r="E84" i="65" s="1"/>
  <c r="E85" i="65" s="1"/>
  <c r="E86" i="65" s="1"/>
  <c r="E87" i="65" s="1"/>
  <c r="E88" i="65" s="1"/>
  <c r="E89" i="65" s="1"/>
  <c r="E90" i="65" s="1"/>
  <c r="E91" i="65" s="1"/>
  <c r="E92" i="65" s="1"/>
  <c r="E93" i="65" s="1"/>
  <c r="E94" i="65" s="1"/>
  <c r="E95" i="65" s="1"/>
  <c r="E96" i="65" s="1"/>
  <c r="E97" i="65" s="1"/>
  <c r="E98" i="65" s="1"/>
  <c r="E99" i="65" s="1"/>
  <c r="E100" i="65" s="1"/>
  <c r="E101" i="65" s="1"/>
  <c r="E102" i="65" s="1"/>
  <c r="E103" i="65" s="1"/>
  <c r="E104" i="65" s="1"/>
  <c r="E105" i="65" s="1"/>
  <c r="E106" i="65" s="1"/>
  <c r="E107" i="65" s="1"/>
  <c r="E108" i="65" s="1"/>
  <c r="E109" i="65" s="1"/>
  <c r="E110" i="65" s="1"/>
  <c r="E111" i="65" s="1"/>
  <c r="E112" i="65" s="1"/>
  <c r="E113" i="65" s="1"/>
  <c r="E114" i="65" s="1"/>
  <c r="E115" i="65" s="1"/>
  <c r="C41" i="65"/>
  <c r="C42" i="65" s="1"/>
  <c r="C43" i="65" s="1"/>
  <c r="C44" i="65" s="1"/>
  <c r="C45" i="65" s="1"/>
  <c r="C46" i="65" s="1"/>
  <c r="C47" i="65" s="1"/>
  <c r="C48" i="65" s="1"/>
  <c r="C49" i="65" s="1"/>
  <c r="C50" i="65" s="1"/>
  <c r="C51" i="65" s="1"/>
  <c r="C52" i="65" s="1"/>
  <c r="C53" i="65" s="1"/>
  <c r="C54" i="65" s="1"/>
  <c r="C55" i="65" s="1"/>
  <c r="C56" i="65" s="1"/>
  <c r="C57" i="65" s="1"/>
  <c r="C58" i="65" s="1"/>
  <c r="C59" i="65" s="1"/>
  <c r="C60" i="65" s="1"/>
  <c r="C61" i="65" s="1"/>
  <c r="C62" i="65" s="1"/>
  <c r="C63" i="65" s="1"/>
  <c r="C64" i="65" s="1"/>
  <c r="C65" i="65" s="1"/>
  <c r="C66" i="65" s="1"/>
  <c r="C67" i="65" s="1"/>
  <c r="C68" i="65" s="1"/>
  <c r="C69" i="65" s="1"/>
  <c r="C70" i="65" s="1"/>
  <c r="C71" i="65" s="1"/>
  <c r="C72" i="65" s="1"/>
  <c r="C73" i="65" s="1"/>
  <c r="C74" i="65" s="1"/>
  <c r="C75" i="65" s="1"/>
  <c r="C76" i="65" s="1"/>
  <c r="C77" i="65" s="1"/>
  <c r="C78" i="65" s="1"/>
  <c r="C79" i="65" s="1"/>
  <c r="C80" i="65" s="1"/>
  <c r="C81" i="65" s="1"/>
  <c r="C82" i="65" s="1"/>
  <c r="C83" i="65" s="1"/>
  <c r="C84" i="65" s="1"/>
  <c r="C85" i="65" s="1"/>
  <c r="C86" i="65" s="1"/>
  <c r="C87" i="65" s="1"/>
  <c r="C88" i="65" s="1"/>
  <c r="C89" i="65" s="1"/>
  <c r="C90" i="65" s="1"/>
  <c r="C91" i="65" s="1"/>
  <c r="C92" i="65" s="1"/>
  <c r="C93" i="65" s="1"/>
  <c r="C94" i="65" s="1"/>
  <c r="C95" i="65" s="1"/>
  <c r="C96" i="65" s="1"/>
  <c r="C97" i="65" s="1"/>
  <c r="C98" i="65" s="1"/>
  <c r="C99" i="65" s="1"/>
  <c r="C100" i="65" s="1"/>
  <c r="C101" i="65" s="1"/>
  <c r="C102" i="65" s="1"/>
  <c r="C103" i="65" s="1"/>
  <c r="C104" i="65" s="1"/>
  <c r="C105" i="65" s="1"/>
  <c r="C106" i="65" s="1"/>
  <c r="C107" i="65" s="1"/>
  <c r="C108" i="65" s="1"/>
  <c r="C109" i="65" s="1"/>
  <c r="C110" i="65" s="1"/>
  <c r="C111" i="65" s="1"/>
  <c r="C112" i="65" s="1"/>
  <c r="C113" i="65" s="1"/>
  <c r="C114" i="65" s="1"/>
  <c r="C115" i="65" s="1"/>
  <c r="E163" i="54" l="1"/>
  <c r="D261" i="54"/>
  <c r="E261" i="54" s="1"/>
  <c r="D42" i="65"/>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D72" i="65" s="1"/>
  <c r="D73" i="65" s="1"/>
  <c r="D74" i="65" s="1"/>
  <c r="D75" i="65" s="1"/>
  <c r="D76" i="65" s="1"/>
  <c r="D77" i="65" s="1"/>
  <c r="D78" i="65" s="1"/>
  <c r="D79" i="65" s="1"/>
  <c r="D80" i="65" s="1"/>
  <c r="D81" i="65" s="1"/>
  <c r="D82" i="65" s="1"/>
  <c r="D83" i="65" s="1"/>
  <c r="D84" i="65" s="1"/>
  <c r="D85" i="65" s="1"/>
  <c r="D86" i="65" s="1"/>
  <c r="D87" i="65" s="1"/>
  <c r="D88" i="65" s="1"/>
  <c r="D89" i="65" s="1"/>
  <c r="D90" i="65" s="1"/>
  <c r="D91" i="65" s="1"/>
  <c r="D92" i="65" s="1"/>
  <c r="D93" i="65" s="1"/>
  <c r="D94" i="65" s="1"/>
  <c r="D95" i="65" s="1"/>
  <c r="D96" i="65" s="1"/>
  <c r="D97" i="65" s="1"/>
  <c r="D98" i="65" s="1"/>
  <c r="D99" i="65" s="1"/>
  <c r="D100" i="65" s="1"/>
  <c r="D101" i="65" s="1"/>
  <c r="D102" i="65" s="1"/>
  <c r="D103" i="65" s="1"/>
  <c r="D104" i="65" s="1"/>
  <c r="D105" i="65" s="1"/>
  <c r="D106" i="65" s="1"/>
  <c r="D107" i="65" s="1"/>
  <c r="D108" i="65" s="1"/>
  <c r="D109" i="65" s="1"/>
  <c r="D110" i="65" s="1"/>
  <c r="D111" i="65" s="1"/>
  <c r="D112" i="65" s="1"/>
  <c r="D113" i="65" s="1"/>
  <c r="D114" i="65" s="1"/>
  <c r="D115" i="65" s="1"/>
  <c r="L302" i="54"/>
  <c r="L15" i="112" s="1"/>
  <c r="L326" i="54"/>
  <c r="L39" i="112" s="1"/>
  <c r="K332" i="54"/>
  <c r="K45" i="112" s="1"/>
  <c r="K335" i="54"/>
  <c r="K48" i="112" s="1"/>
  <c r="K337" i="54"/>
  <c r="K50" i="112" s="1"/>
  <c r="K316" i="54"/>
  <c r="K29" i="112" s="1"/>
  <c r="K320" i="54"/>
  <c r="K33" i="112" s="1"/>
  <c r="E275" i="54"/>
  <c r="K336" i="54" s="1"/>
  <c r="K49" i="112" s="1"/>
  <c r="D274" i="54"/>
  <c r="K331" i="54" s="1"/>
  <c r="K44" i="112" s="1"/>
  <c r="D276" i="54"/>
  <c r="K333" i="54" s="1"/>
  <c r="K46" i="112" s="1"/>
  <c r="F194" i="54"/>
  <c r="K319" i="54" s="1"/>
  <c r="K32" i="112" s="1"/>
  <c r="D194" i="54"/>
  <c r="K315" i="54" s="1"/>
  <c r="K28" i="112" s="1"/>
  <c r="D196" i="54"/>
  <c r="K317" i="54" s="1"/>
  <c r="K30" i="112" s="1"/>
  <c r="F196" i="54"/>
  <c r="K321" i="54" s="1"/>
  <c r="K34" i="112" s="1"/>
  <c r="H16" i="65" l="1"/>
  <c r="L332" i="54"/>
  <c r="L45" i="112" s="1"/>
  <c r="L320" i="54"/>
  <c r="L33" i="112" s="1"/>
  <c r="L335" i="54"/>
  <c r="L48" i="112" s="1"/>
  <c r="L316" i="54"/>
  <c r="L29" i="112" s="1"/>
  <c r="L337" i="54"/>
  <c r="L50" i="112" s="1"/>
  <c r="N323" i="54"/>
  <c r="N36" i="112" s="1"/>
  <c r="N324" i="54"/>
  <c r="N37" i="112" s="1"/>
  <c r="N325" i="54"/>
  <c r="N38" i="112" s="1"/>
  <c r="N326" i="54"/>
  <c r="N39" i="112" s="1"/>
  <c r="N327" i="54"/>
  <c r="N40" i="112" s="1"/>
  <c r="N328" i="54"/>
  <c r="N41" i="112" s="1"/>
  <c r="N322" i="54"/>
  <c r="N35" i="112" s="1"/>
  <c r="N329" i="54"/>
  <c r="N42" i="112" s="1"/>
  <c r="C280" i="54"/>
  <c r="L331" i="54"/>
  <c r="L44" i="112" s="1"/>
  <c r="D280" i="54"/>
  <c r="L336" i="54"/>
  <c r="L49" i="112" s="1"/>
  <c r="N336" i="54"/>
  <c r="N49" i="112" s="1"/>
  <c r="N333" i="54"/>
  <c r="N46" i="112" s="1"/>
  <c r="N335" i="54"/>
  <c r="N48" i="112" s="1"/>
  <c r="N337" i="54"/>
  <c r="N50" i="112" s="1"/>
  <c r="N330" i="54"/>
  <c r="N43" i="112" s="1"/>
  <c r="N334" i="54"/>
  <c r="N47" i="112" s="1"/>
  <c r="N331" i="54"/>
  <c r="N44" i="112" s="1"/>
  <c r="N332" i="54"/>
  <c r="N45" i="112" s="1"/>
  <c r="C281" i="54"/>
  <c r="L333" i="54"/>
  <c r="L46" i="112" s="1"/>
  <c r="D200" i="54"/>
  <c r="L319" i="54"/>
  <c r="L32" i="112" s="1"/>
  <c r="N318" i="54"/>
  <c r="N31" i="112" s="1"/>
  <c r="N315" i="54"/>
  <c r="N28" i="112" s="1"/>
  <c r="N316" i="54"/>
  <c r="N29" i="112" s="1"/>
  <c r="N319" i="54"/>
  <c r="N32" i="112" s="1"/>
  <c r="N317" i="54"/>
  <c r="N30" i="112" s="1"/>
  <c r="N320" i="54"/>
  <c r="N33" i="112" s="1"/>
  <c r="N321" i="54"/>
  <c r="N34" i="112" s="1"/>
  <c r="C200" i="54"/>
  <c r="L315" i="54"/>
  <c r="L28" i="112" s="1"/>
  <c r="D201" i="54"/>
  <c r="L321" i="54"/>
  <c r="L34" i="112" s="1"/>
  <c r="C201" i="54"/>
  <c r="L317" i="54"/>
  <c r="L30" i="112" s="1"/>
  <c r="N314" i="54"/>
  <c r="N27" i="112" s="1"/>
  <c r="D281" i="54"/>
  <c r="C809" i="56" l="1"/>
  <c r="E39" i="62"/>
  <c r="E44" i="85"/>
  <c r="C67" i="85" s="1"/>
  <c r="K80" i="85" s="1"/>
  <c r="K131" i="112" s="1"/>
  <c r="D39" i="59"/>
  <c r="B63" i="59" s="1"/>
  <c r="E45" i="84"/>
  <c r="C68" i="84" s="1"/>
  <c r="K81" i="84" s="1"/>
  <c r="K290" i="112" s="1"/>
  <c r="D81" i="74"/>
  <c r="D86" i="74" s="1"/>
  <c r="E103" i="88"/>
  <c r="C110" i="88" s="1"/>
  <c r="K118" i="88" s="1"/>
  <c r="K301" i="112" s="1"/>
  <c r="D146" i="50"/>
  <c r="D39" i="61"/>
  <c r="B64" i="61" s="1"/>
  <c r="D418" i="99"/>
  <c r="E418" i="99" s="1"/>
  <c r="K431" i="99" s="1"/>
  <c r="K393" i="112" s="1"/>
  <c r="D417" i="99"/>
  <c r="E417" i="99" s="1"/>
  <c r="K430" i="99" s="1"/>
  <c r="K392" i="112" s="1"/>
  <c r="C162" i="98"/>
  <c r="C188" i="104"/>
  <c r="D419" i="99"/>
  <c r="E419" i="99" s="1"/>
  <c r="K432" i="99" s="1"/>
  <c r="L432" i="99" s="1"/>
  <c r="G425" i="99" s="1"/>
  <c r="E13" i="99" s="1" a="1"/>
  <c r="E13" i="99" s="1"/>
  <c r="N231" i="69" s="1"/>
  <c r="E231" i="69" s="1"/>
  <c r="C282" i="54"/>
  <c r="D282" i="54"/>
  <c r="C202" i="54"/>
  <c r="D202" i="54"/>
  <c r="C813" i="56" l="1"/>
  <c r="C815" i="56" s="1"/>
  <c r="C822" i="56"/>
  <c r="C831" i="56"/>
  <c r="K945" i="56" s="1"/>
  <c r="K222" i="112" s="1"/>
  <c r="C832" i="56"/>
  <c r="K946" i="56" s="1"/>
  <c r="K223" i="112" s="1"/>
  <c r="L80" i="85"/>
  <c r="K81" i="85"/>
  <c r="K82" i="84"/>
  <c r="L81" i="84"/>
  <c r="K50" i="62"/>
  <c r="K141" i="112" s="1"/>
  <c r="K52" i="62"/>
  <c r="K143" i="112" s="1"/>
  <c r="K51" i="62"/>
  <c r="K142" i="112" s="1"/>
  <c r="C166" i="98"/>
  <c r="K184" i="98" s="1"/>
  <c r="K388" i="112" s="1"/>
  <c r="C164" i="98"/>
  <c r="K182" i="98" s="1"/>
  <c r="K386" i="112" s="1"/>
  <c r="C165" i="98"/>
  <c r="K183" i="98" s="1"/>
  <c r="K387" i="112" s="1"/>
  <c r="L430" i="99"/>
  <c r="L392" i="112" s="1"/>
  <c r="C190" i="104"/>
  <c r="K212" i="104" s="1"/>
  <c r="K380" i="112" s="1"/>
  <c r="C191" i="104"/>
  <c r="K213" i="104" s="1"/>
  <c r="K381" i="112" s="1"/>
  <c r="L431" i="99"/>
  <c r="L393" i="112" s="1"/>
  <c r="L118" i="88"/>
  <c r="L301" i="112" s="1"/>
  <c r="D170" i="50"/>
  <c r="D165" i="50"/>
  <c r="D157" i="50"/>
  <c r="D87" i="74"/>
  <c r="K103" i="74" s="1"/>
  <c r="K316" i="112" s="1"/>
  <c r="D92" i="74"/>
  <c r="D93" i="74" s="1"/>
  <c r="K104" i="74" s="1"/>
  <c r="K317" i="112" s="1"/>
  <c r="C819" i="56"/>
  <c r="C816" i="56"/>
  <c r="C828" i="56"/>
  <c r="C833" i="56"/>
  <c r="C825" i="56"/>
  <c r="C836" i="56"/>
  <c r="K950" i="56" s="1"/>
  <c r="K227" i="112" s="1"/>
  <c r="C838" i="56"/>
  <c r="K952" i="56" s="1"/>
  <c r="K229" i="112" s="1"/>
  <c r="C837" i="56"/>
  <c r="K951" i="56" s="1"/>
  <c r="K228" i="112" s="1"/>
  <c r="C839" i="56"/>
  <c r="K330" i="54"/>
  <c r="K43" i="112" s="1"/>
  <c r="K318" i="54"/>
  <c r="K31" i="112" s="1"/>
  <c r="K314" i="54"/>
  <c r="K27" i="112" s="1"/>
  <c r="K334" i="54"/>
  <c r="K47" i="112" s="1"/>
  <c r="F182" i="50" a="1"/>
  <c r="F182" i="50" s="1"/>
  <c r="D182" i="50"/>
  <c r="D183" i="50"/>
  <c r="D181" i="50"/>
  <c r="I188" i="50"/>
  <c r="I416" i="112" s="1"/>
  <c r="J188" i="50"/>
  <c r="J416" i="112" s="1"/>
  <c r="F188" i="50"/>
  <c r="F416" i="112" s="1"/>
  <c r="F187" i="50"/>
  <c r="F415" i="112" s="1"/>
  <c r="E12" i="54" a="1"/>
  <c r="E12" i="54" s="1"/>
  <c r="R134" i="69" s="1"/>
  <c r="E13" i="54" a="1"/>
  <c r="E13" i="54" s="1"/>
  <c r="R135" i="69" s="1"/>
  <c r="E14" i="54" a="1"/>
  <c r="E14" i="54" s="1"/>
  <c r="R136" i="69" s="1"/>
  <c r="E11" i="54" a="1"/>
  <c r="E11" i="54" s="1"/>
  <c r="R133" i="69" s="1"/>
  <c r="C814" i="56" l="1"/>
  <c r="K928" i="56" s="1"/>
  <c r="K205" i="112" s="1"/>
  <c r="L82" i="84"/>
  <c r="L291" i="112" s="1"/>
  <c r="K291" i="112"/>
  <c r="L81" i="85"/>
  <c r="L132" i="112" s="1"/>
  <c r="K132" i="112"/>
  <c r="G72" i="84"/>
  <c r="L290" i="112"/>
  <c r="G71" i="85"/>
  <c r="L131" i="112"/>
  <c r="G424" i="99"/>
  <c r="E12" i="99" s="1" a="1"/>
  <c r="E12" i="99" s="1"/>
  <c r="N230" i="69" s="1"/>
  <c r="E230" i="69" s="1"/>
  <c r="K936" i="56"/>
  <c r="K213" i="112" s="1"/>
  <c r="C824" i="56"/>
  <c r="K938" i="56" s="1"/>
  <c r="K215" i="112" s="1"/>
  <c r="C823" i="56"/>
  <c r="K937" i="56" s="1"/>
  <c r="K214" i="112" s="1"/>
  <c r="L213" i="104"/>
  <c r="L381" i="112" s="1"/>
  <c r="L103" i="74"/>
  <c r="L316" i="112" s="1"/>
  <c r="C835" i="56"/>
  <c r="K949" i="56" s="1"/>
  <c r="K226" i="112" s="1"/>
  <c r="C834" i="56"/>
  <c r="K948" i="56" s="1"/>
  <c r="K225" i="112" s="1"/>
  <c r="K947" i="56"/>
  <c r="K224" i="112" s="1"/>
  <c r="L946" i="56"/>
  <c r="L223" i="112" s="1"/>
  <c r="K942" i="56"/>
  <c r="K219" i="112" s="1"/>
  <c r="C830" i="56"/>
  <c r="K944" i="56" s="1"/>
  <c r="K221" i="112" s="1"/>
  <c r="C829" i="56"/>
  <c r="K943" i="56" s="1"/>
  <c r="K220" i="112" s="1"/>
  <c r="K930" i="56"/>
  <c r="K207" i="112" s="1"/>
  <c r="C818" i="56"/>
  <c r="K932" i="56" s="1"/>
  <c r="K209" i="112" s="1"/>
  <c r="C817" i="56"/>
  <c r="K931" i="56" s="1"/>
  <c r="K208" i="112" s="1"/>
  <c r="L212" i="104"/>
  <c r="L380" i="112" s="1"/>
  <c r="L951" i="56"/>
  <c r="L228" i="112" s="1"/>
  <c r="G423" i="99"/>
  <c r="E11" i="99" s="1" a="1"/>
  <c r="E11" i="99" s="1"/>
  <c r="N229" i="69" s="1"/>
  <c r="E229" i="69" s="1"/>
  <c r="L952" i="56"/>
  <c r="L229" i="112" s="1"/>
  <c r="L183" i="98"/>
  <c r="L387" i="112" s="1"/>
  <c r="L950" i="56"/>
  <c r="L227" i="112" s="1"/>
  <c r="L182" i="98"/>
  <c r="L386" i="112" s="1"/>
  <c r="L104" i="74"/>
  <c r="L317" i="112" s="1"/>
  <c r="C826" i="56"/>
  <c r="K940" i="56" s="1"/>
  <c r="K217" i="112" s="1"/>
  <c r="K939" i="56"/>
  <c r="K216" i="112" s="1"/>
  <c r="C827" i="56"/>
  <c r="K941" i="56" s="1"/>
  <c r="K218" i="112" s="1"/>
  <c r="D172" i="50"/>
  <c r="D177" i="50" s="1"/>
  <c r="K189" i="50" s="1"/>
  <c r="K417" i="112" s="1"/>
  <c r="D167" i="50"/>
  <c r="D176" i="50" s="1"/>
  <c r="K188" i="50" s="1"/>
  <c r="K416" i="112" s="1"/>
  <c r="L184" i="98"/>
  <c r="L388" i="112" s="1"/>
  <c r="C820" i="56"/>
  <c r="K934" i="56" s="1"/>
  <c r="K211" i="112" s="1"/>
  <c r="K933" i="56"/>
  <c r="K210" i="112" s="1"/>
  <c r="C821" i="56"/>
  <c r="K935" i="56" s="1"/>
  <c r="K212" i="112" s="1"/>
  <c r="K953" i="56"/>
  <c r="K230" i="112" s="1"/>
  <c r="C841" i="56"/>
  <c r="K955" i="56" s="1"/>
  <c r="K232" i="112" s="1"/>
  <c r="C840" i="56"/>
  <c r="K954" i="56" s="1"/>
  <c r="K231" i="112" s="1"/>
  <c r="K927" i="56"/>
  <c r="K204" i="112" s="1"/>
  <c r="K929" i="56"/>
  <c r="K206" i="112" s="1"/>
  <c r="L945" i="56"/>
  <c r="L222" i="112" s="1"/>
  <c r="G114" i="88"/>
  <c r="F11" i="88" s="1" a="1"/>
  <c r="F11" i="88" s="1"/>
  <c r="N48" i="69" s="1"/>
  <c r="E48" i="69" s="1"/>
  <c r="L334" i="54"/>
  <c r="L47" i="112" s="1"/>
  <c r="L314" i="54"/>
  <c r="L27" i="112" s="1"/>
  <c r="L318" i="54"/>
  <c r="L31" i="112" s="1"/>
  <c r="L330" i="54"/>
  <c r="L43" i="112" s="1"/>
  <c r="E11" i="84" l="1" a="1"/>
  <c r="E11" i="84" s="1"/>
  <c r="N65" i="69" s="1"/>
  <c r="E65" i="69" s="1"/>
  <c r="E11" i="85" a="1"/>
  <c r="E11" i="85" s="1"/>
  <c r="N72" i="69" s="1"/>
  <c r="E72" i="69" s="1"/>
  <c r="G74" i="85"/>
  <c r="E14" i="85" s="1" a="1"/>
  <c r="E14" i="85" s="1"/>
  <c r="N75" i="69" s="1"/>
  <c r="E75" i="69" s="1"/>
  <c r="G75" i="84"/>
  <c r="E15" i="84" s="1" a="1"/>
  <c r="E15" i="84" s="1"/>
  <c r="N69" i="69" s="1"/>
  <c r="E69" i="69" s="1"/>
  <c r="L188" i="50"/>
  <c r="L416" i="112" s="1"/>
  <c r="L947" i="56"/>
  <c r="L224" i="112" s="1"/>
  <c r="L953" i="56"/>
  <c r="L230" i="112" s="1"/>
  <c r="G916" i="56"/>
  <c r="H52" i="56" s="1" a="1"/>
  <c r="H52" i="56" s="1"/>
  <c r="N170" i="69" s="1"/>
  <c r="E170" i="69" s="1"/>
  <c r="L948" i="56"/>
  <c r="L225" i="112" s="1"/>
  <c r="L955" i="56"/>
  <c r="L232" i="112" s="1"/>
  <c r="G98" i="74"/>
  <c r="L935" i="56"/>
  <c r="L212" i="112" s="1"/>
  <c r="L949" i="56"/>
  <c r="L226" i="112" s="1"/>
  <c r="L928" i="56"/>
  <c r="L205" i="112" s="1"/>
  <c r="L939" i="56"/>
  <c r="L216" i="112" s="1"/>
  <c r="L933" i="56"/>
  <c r="L210" i="112" s="1"/>
  <c r="G172" i="98"/>
  <c r="H13" i="98" s="1" a="1"/>
  <c r="H13" i="98" s="1"/>
  <c r="N105" i="69" s="1"/>
  <c r="E105" i="69" s="1"/>
  <c r="G200" i="104"/>
  <c r="F11" i="104" s="1" a="1"/>
  <c r="F11" i="104" s="1"/>
  <c r="N113" i="69" s="1"/>
  <c r="E113" i="69" s="1"/>
  <c r="L931" i="56"/>
  <c r="L208" i="112" s="1"/>
  <c r="G97" i="74"/>
  <c r="L934" i="56"/>
  <c r="L211" i="112" s="1"/>
  <c r="G174" i="98"/>
  <c r="H19" i="98" s="1" a="1"/>
  <c r="H19" i="98" s="1"/>
  <c r="N111" i="69" s="1"/>
  <c r="E111" i="69" s="1"/>
  <c r="L932" i="56"/>
  <c r="L209" i="112" s="1"/>
  <c r="G173" i="98"/>
  <c r="H14" i="98" s="1" a="1"/>
  <c r="H14" i="98" s="1"/>
  <c r="N106" i="69" s="1"/>
  <c r="E106" i="69" s="1"/>
  <c r="L930" i="56"/>
  <c r="L207" i="112" s="1"/>
  <c r="G201" i="104"/>
  <c r="F13" i="104" s="1" a="1"/>
  <c r="F13" i="104" s="1"/>
  <c r="N115" i="69" s="1"/>
  <c r="E115" i="69" s="1"/>
  <c r="G915" i="56"/>
  <c r="H51" i="56" s="1" a="1"/>
  <c r="H51" i="56" s="1"/>
  <c r="N169" i="69" s="1"/>
  <c r="E169" i="69" s="1"/>
  <c r="G910" i="56"/>
  <c r="H46" i="56" s="1" a="1"/>
  <c r="H46" i="56" s="1"/>
  <c r="N164" i="69" s="1"/>
  <c r="E164" i="69" s="1"/>
  <c r="L943" i="56"/>
  <c r="L220" i="112" s="1"/>
  <c r="L937" i="56"/>
  <c r="L214" i="112" s="1"/>
  <c r="L929" i="56"/>
  <c r="L206" i="112" s="1"/>
  <c r="L938" i="56"/>
  <c r="L215" i="112" s="1"/>
  <c r="L944" i="56"/>
  <c r="L221" i="112" s="1"/>
  <c r="L927" i="56"/>
  <c r="L204" i="112" s="1"/>
  <c r="L941" i="56"/>
  <c r="L218" i="112" s="1"/>
  <c r="G917" i="56"/>
  <c r="H53" i="56" s="1" a="1"/>
  <c r="H53" i="56" s="1"/>
  <c r="N171" i="69" s="1"/>
  <c r="E171" i="69" s="1"/>
  <c r="L942" i="56"/>
  <c r="L219" i="112" s="1"/>
  <c r="L936" i="56"/>
  <c r="L213" i="112" s="1"/>
  <c r="L954" i="56"/>
  <c r="L231" i="112" s="1"/>
  <c r="L940" i="56"/>
  <c r="L217" i="112" s="1"/>
  <c r="G911" i="56"/>
  <c r="H47" i="56" s="1" a="1"/>
  <c r="H47" i="56" s="1"/>
  <c r="N165" i="69" s="1"/>
  <c r="E165" i="69" s="1"/>
  <c r="D158" i="50"/>
  <c r="D161" i="50" s="1"/>
  <c r="J143" i="58"/>
  <c r="J365" i="112" s="1"/>
  <c r="K121" i="57"/>
  <c r="K323" i="112" s="1"/>
  <c r="K120" i="57"/>
  <c r="K322" i="112" s="1"/>
  <c r="F121" i="57"/>
  <c r="F323" i="112" s="1"/>
  <c r="F120" i="57"/>
  <c r="F322" i="112" s="1"/>
  <c r="D116" i="57"/>
  <c r="D115" i="57"/>
  <c r="I57" i="57"/>
  <c r="I319" i="112" s="1"/>
  <c r="J57" i="57"/>
  <c r="J319" i="112" s="1"/>
  <c r="J56" i="57"/>
  <c r="J318" i="112" s="1"/>
  <c r="E12" i="62" a="1"/>
  <c r="E12" i="62" s="1"/>
  <c r="S181" i="69" s="1"/>
  <c r="E13" i="62" a="1"/>
  <c r="E13" i="62" s="1"/>
  <c r="S182" i="69" s="1"/>
  <c r="E11" i="62" a="1"/>
  <c r="E11" i="62" s="1"/>
  <c r="S180" i="69" s="1"/>
  <c r="F46" i="62" a="1"/>
  <c r="F46" i="62" s="1"/>
  <c r="F45" i="62" a="1"/>
  <c r="F45" i="62" s="1"/>
  <c r="F44" i="62" a="1"/>
  <c r="F44" i="62" s="1"/>
  <c r="Q51" i="62"/>
  <c r="Q142" i="112" s="1"/>
  <c r="R51" i="62"/>
  <c r="R142" i="112" s="1"/>
  <c r="S51" i="62"/>
  <c r="S142" i="112" s="1"/>
  <c r="T51" i="62"/>
  <c r="T142" i="112" s="1"/>
  <c r="U51" i="62"/>
  <c r="U142" i="112" s="1"/>
  <c r="V51" i="62"/>
  <c r="V142" i="112" s="1"/>
  <c r="W51" i="62"/>
  <c r="W142" i="112" s="1"/>
  <c r="Q52" i="62"/>
  <c r="Q143" i="112" s="1"/>
  <c r="R52" i="62"/>
  <c r="R143" i="112" s="1"/>
  <c r="S52" i="62"/>
  <c r="S143" i="112" s="1"/>
  <c r="T52" i="62"/>
  <c r="T143" i="112" s="1"/>
  <c r="U52" i="62"/>
  <c r="U143" i="112" s="1"/>
  <c r="V52" i="62"/>
  <c r="V143" i="112" s="1"/>
  <c r="W52" i="62"/>
  <c r="W143" i="112" s="1"/>
  <c r="S50" i="62"/>
  <c r="S141" i="112" s="1"/>
  <c r="T50" i="62"/>
  <c r="T141" i="112" s="1"/>
  <c r="U50" i="62"/>
  <c r="U141" i="112" s="1"/>
  <c r="V50" i="62"/>
  <c r="V141" i="112" s="1"/>
  <c r="W50" i="62"/>
  <c r="W141" i="112" s="1"/>
  <c r="R50" i="62"/>
  <c r="R141" i="112" s="1"/>
  <c r="Q50" i="62"/>
  <c r="Q141" i="112" s="1"/>
  <c r="J52" i="62"/>
  <c r="J143" i="112" s="1"/>
  <c r="I52" i="62"/>
  <c r="I143" i="112" s="1"/>
  <c r="F52" i="62"/>
  <c r="F143" i="112" s="1"/>
  <c r="F51" i="62"/>
  <c r="F142" i="112" s="1"/>
  <c r="F50" i="62"/>
  <c r="F141" i="112" s="1"/>
  <c r="D50" i="58" l="1"/>
  <c r="E50" i="58" s="1"/>
  <c r="F11" i="74" a="1"/>
  <c r="F11" i="74" s="1"/>
  <c r="N60" i="69" s="1"/>
  <c r="E60" i="69" s="1"/>
  <c r="F12" i="74" a="1"/>
  <c r="F12" i="74" s="1"/>
  <c r="N61" i="69" s="1"/>
  <c r="E61" i="69" s="1"/>
  <c r="G182" i="50"/>
  <c r="F12" i="50" s="1" a="1"/>
  <c r="F12" i="50" s="1"/>
  <c r="N56" i="69" s="1"/>
  <c r="G904" i="56"/>
  <c r="H39" i="56" s="1" a="1"/>
  <c r="H39" i="56" s="1"/>
  <c r="N157" i="69" s="1"/>
  <c r="E157" i="69" s="1"/>
  <c r="G908" i="56"/>
  <c r="H43" i="56" s="1" a="1"/>
  <c r="H43" i="56" s="1"/>
  <c r="N161" i="69" s="1"/>
  <c r="E161" i="69" s="1"/>
  <c r="G897" i="56"/>
  <c r="H32" i="56" s="1" a="1"/>
  <c r="H32" i="56" s="1"/>
  <c r="N150" i="69" s="1"/>
  <c r="E150" i="69" s="1"/>
  <c r="G906" i="56"/>
  <c r="H41" i="56" s="1" a="1"/>
  <c r="H41" i="56" s="1"/>
  <c r="N159" i="69" s="1"/>
  <c r="E159" i="69" s="1"/>
  <c r="G898" i="56"/>
  <c r="H33" i="56" s="1" a="1"/>
  <c r="H33" i="56" s="1"/>
  <c r="N151" i="69" s="1"/>
  <c r="E151" i="69" s="1"/>
  <c r="G920" i="56"/>
  <c r="H56" i="56" s="1" a="1"/>
  <c r="H56" i="56" s="1"/>
  <c r="N174" i="69" s="1"/>
  <c r="E174" i="69" s="1"/>
  <c r="G913" i="56"/>
  <c r="H49" i="56" s="1" a="1"/>
  <c r="H49" i="56" s="1"/>
  <c r="N167" i="69" s="1"/>
  <c r="E167" i="69" s="1"/>
  <c r="G919" i="56"/>
  <c r="H55" i="56" s="1" a="1"/>
  <c r="H55" i="56" s="1"/>
  <c r="N173" i="69" s="1"/>
  <c r="E173" i="69" s="1"/>
  <c r="G909" i="56"/>
  <c r="H44" i="56" s="1" a="1"/>
  <c r="H44" i="56" s="1"/>
  <c r="N162" i="69" s="1"/>
  <c r="E162" i="69" s="1"/>
  <c r="G905" i="56"/>
  <c r="H40" i="56" s="1" a="1"/>
  <c r="H40" i="56" s="1"/>
  <c r="N158" i="69" s="1"/>
  <c r="E158" i="69" s="1"/>
  <c r="G892" i="56"/>
  <c r="H27" i="56" s="1" a="1"/>
  <c r="H27" i="56" s="1"/>
  <c r="N145" i="69" s="1"/>
  <c r="E145" i="69" s="1"/>
  <c r="G901" i="56"/>
  <c r="H36" i="56" s="1" a="1"/>
  <c r="H36" i="56" s="1"/>
  <c r="N154" i="69" s="1"/>
  <c r="E154" i="69" s="1"/>
  <c r="G903" i="56"/>
  <c r="H38" i="56" s="1" a="1"/>
  <c r="H38" i="56" s="1"/>
  <c r="N156" i="69" s="1"/>
  <c r="E156" i="69" s="1"/>
  <c r="G893" i="56"/>
  <c r="H28" i="56" s="1" a="1"/>
  <c r="H28" i="56" s="1"/>
  <c r="N146" i="69" s="1"/>
  <c r="E146" i="69" s="1"/>
  <c r="G907" i="56"/>
  <c r="H42" i="56" s="1" a="1"/>
  <c r="H42" i="56" s="1"/>
  <c r="N160" i="69" s="1"/>
  <c r="E160" i="69" s="1"/>
  <c r="G894" i="56"/>
  <c r="H29" i="56" s="1" a="1"/>
  <c r="H29" i="56" s="1"/>
  <c r="N147" i="69" s="1"/>
  <c r="E147" i="69" s="1"/>
  <c r="G895" i="56"/>
  <c r="H30" i="56" s="1" a="1"/>
  <c r="H30" i="56" s="1"/>
  <c r="N148" i="69" s="1"/>
  <c r="E148" i="69" s="1"/>
  <c r="G896" i="56"/>
  <c r="H31" i="56" s="1" a="1"/>
  <c r="H31" i="56" s="1"/>
  <c r="N149" i="69" s="1"/>
  <c r="E149" i="69" s="1"/>
  <c r="G914" i="56"/>
  <c r="H50" i="56" s="1" a="1"/>
  <c r="H50" i="56" s="1"/>
  <c r="N168" i="69" s="1"/>
  <c r="E168" i="69" s="1"/>
  <c r="G918" i="56"/>
  <c r="H54" i="56" s="1" a="1"/>
  <c r="H54" i="56" s="1"/>
  <c r="N172" i="69" s="1"/>
  <c r="E172" i="69" s="1"/>
  <c r="G899" i="56"/>
  <c r="H34" i="56" s="1" a="1"/>
  <c r="H34" i="56" s="1"/>
  <c r="N152" i="69" s="1"/>
  <c r="E152" i="69" s="1"/>
  <c r="G902" i="56"/>
  <c r="H37" i="56" s="1" a="1"/>
  <c r="H37" i="56" s="1"/>
  <c r="N155" i="69" s="1"/>
  <c r="E155" i="69" s="1"/>
  <c r="G912" i="56"/>
  <c r="H48" i="56" s="1" a="1"/>
  <c r="H48" i="56" s="1"/>
  <c r="N166" i="69" s="1"/>
  <c r="E166" i="69" s="1"/>
  <c r="G900" i="56"/>
  <c r="H35" i="56" s="1" a="1"/>
  <c r="H35" i="56" s="1"/>
  <c r="N153" i="69" s="1"/>
  <c r="E153" i="69" s="1"/>
  <c r="C65" i="58"/>
  <c r="D162" i="50"/>
  <c r="D175" i="50" s="1"/>
  <c r="K187" i="50" s="1"/>
  <c r="K415" i="112" s="1"/>
  <c r="L56" i="57"/>
  <c r="L318" i="112" s="1"/>
  <c r="L52" i="62"/>
  <c r="L143" i="112" s="1"/>
  <c r="G51" i="57" l="1"/>
  <c r="D11" i="57" s="1"/>
  <c r="G46" i="62"/>
  <c r="D13" i="62" s="1" a="1"/>
  <c r="D13" i="62" s="1"/>
  <c r="V200" i="69" l="1"/>
  <c r="N182" i="69"/>
  <c r="E182" i="69" s="1"/>
  <c r="I51" i="62"/>
  <c r="I142" i="112" s="1"/>
  <c r="J51" i="62"/>
  <c r="J142" i="112" s="1"/>
  <c r="I50" i="62"/>
  <c r="I141" i="112" s="1"/>
  <c r="J50" i="62"/>
  <c r="J141" i="112" s="1"/>
  <c r="G12" i="58" a="1"/>
  <c r="G12" i="58" s="1"/>
  <c r="V138" i="69" s="1"/>
  <c r="G13" i="58" a="1"/>
  <c r="G13" i="58" s="1"/>
  <c r="V139" i="69" s="1"/>
  <c r="G14" i="58" a="1"/>
  <c r="G14" i="58" s="1"/>
  <c r="V140" i="69" s="1"/>
  <c r="G15" i="58" a="1"/>
  <c r="G15" i="58" s="1"/>
  <c r="V141" i="69" s="1"/>
  <c r="V137" i="69"/>
  <c r="F432" i="61"/>
  <c r="J432" i="61"/>
  <c r="I432" i="61"/>
  <c r="Q432" i="61"/>
  <c r="R432" i="61"/>
  <c r="S432" i="61"/>
  <c r="T432" i="61"/>
  <c r="U432" i="61"/>
  <c r="V432" i="61"/>
  <c r="W432" i="61"/>
  <c r="E432" i="61"/>
  <c r="D417" i="59"/>
  <c r="E417" i="59"/>
  <c r="C55" i="50"/>
  <c r="C57" i="50" s="1"/>
  <c r="F417" i="59"/>
  <c r="J417" i="59"/>
  <c r="I417" i="59"/>
  <c r="Q417" i="59"/>
  <c r="R417" i="59"/>
  <c r="S417" i="59"/>
  <c r="T417" i="59"/>
  <c r="U417" i="59"/>
  <c r="V417" i="59"/>
  <c r="W417" i="59"/>
  <c r="F368" i="59"/>
  <c r="F370" i="61"/>
  <c r="F369" i="61"/>
  <c r="J369" i="61"/>
  <c r="I369" i="61"/>
  <c r="Q369" i="61"/>
  <c r="R369" i="61"/>
  <c r="S369" i="61"/>
  <c r="T369" i="61"/>
  <c r="U369" i="61"/>
  <c r="V369" i="61"/>
  <c r="W369" i="61"/>
  <c r="J370" i="61"/>
  <c r="I370" i="61"/>
  <c r="Q370" i="61"/>
  <c r="R370" i="61"/>
  <c r="S370" i="61"/>
  <c r="T370" i="61"/>
  <c r="U370" i="61"/>
  <c r="V370" i="61"/>
  <c r="W370" i="61"/>
  <c r="C230" i="61"/>
  <c r="K369" i="61" s="1"/>
  <c r="C231" i="61"/>
  <c r="K370" i="61" s="1"/>
  <c r="D95" i="61"/>
  <c r="C183" i="61"/>
  <c r="D183" i="61"/>
  <c r="F187" i="61"/>
  <c r="G187" i="61"/>
  <c r="I187" i="61" s="1"/>
  <c r="J187" i="61"/>
  <c r="K187" i="61"/>
  <c r="Q187" i="61"/>
  <c r="R187" i="61"/>
  <c r="S187" i="61"/>
  <c r="T187" i="61"/>
  <c r="U187" i="61"/>
  <c r="V187" i="61"/>
  <c r="W187" i="61"/>
  <c r="F367" i="59"/>
  <c r="I367" i="59"/>
  <c r="I368" i="59"/>
  <c r="J368" i="59"/>
  <c r="D363" i="59"/>
  <c r="C363" i="59"/>
  <c r="E368" i="59" s="1"/>
  <c r="D224" i="59"/>
  <c r="C230" i="59" s="1"/>
  <c r="C231" i="59"/>
  <c r="C362" i="59"/>
  <c r="E367" i="59" s="1"/>
  <c r="J367" i="59"/>
  <c r="D362" i="59"/>
  <c r="G187" i="59"/>
  <c r="E95" i="61" l="1"/>
  <c r="N187" i="61"/>
  <c r="C61" i="50"/>
  <c r="C62" i="50" s="1"/>
  <c r="C67" i="50" s="1"/>
  <c r="C58" i="50"/>
  <c r="C66" i="50" s="1"/>
  <c r="K117" i="50" s="1"/>
  <c r="K410" i="112" s="1"/>
  <c r="D390" i="59"/>
  <c r="E390" i="59" s="1"/>
  <c r="D34" i="62"/>
  <c r="E34" i="62" s="1"/>
  <c r="K57" i="57"/>
  <c r="K319" i="112" s="1"/>
  <c r="F411" i="59" a="1"/>
  <c r="F411" i="59" s="1"/>
  <c r="L51" i="62"/>
  <c r="L142" i="112" s="1"/>
  <c r="L50" i="62"/>
  <c r="L141" i="112" s="1"/>
  <c r="D432" i="61"/>
  <c r="F426" i="61" s="1" a="1"/>
  <c r="F426" i="61" s="1"/>
  <c r="L417" i="59"/>
  <c r="L370" i="61"/>
  <c r="L369" i="61"/>
  <c r="L187" i="61"/>
  <c r="L367" i="59"/>
  <c r="L368" i="59"/>
  <c r="H44" i="62" l="1"/>
  <c r="L57" i="57"/>
  <c r="L319" i="112" s="1"/>
  <c r="H411" i="59"/>
  <c r="N417" i="59" s="1"/>
  <c r="G44" i="62"/>
  <c r="D11" i="62" s="1" a="1"/>
  <c r="D11" i="62" s="1"/>
  <c r="G12" i="59" a="1"/>
  <c r="G12" i="59" s="1"/>
  <c r="G13" i="61" a="1"/>
  <c r="G13" i="61" s="1"/>
  <c r="G12" i="61" a="1"/>
  <c r="G12" i="61" s="1"/>
  <c r="C63" i="50"/>
  <c r="C68" i="50" s="1"/>
  <c r="K119" i="50" s="1"/>
  <c r="K412" i="112" s="1"/>
  <c r="G411" i="59"/>
  <c r="G13" i="59" a="1"/>
  <c r="G13" i="59" s="1"/>
  <c r="L432" i="61"/>
  <c r="G426" i="61" s="1"/>
  <c r="H11" i="61" s="1" a="1"/>
  <c r="H11" i="61" s="1"/>
  <c r="G45" i="62"/>
  <c r="D12" i="62" s="1" a="1"/>
  <c r="D12" i="62" s="1"/>
  <c r="K118" i="50"/>
  <c r="K411" i="112" s="1"/>
  <c r="W187" i="59"/>
  <c r="V187" i="59"/>
  <c r="U187" i="59"/>
  <c r="T187" i="59"/>
  <c r="S187" i="59"/>
  <c r="R187" i="59"/>
  <c r="Q187" i="59"/>
  <c r="I187" i="59"/>
  <c r="J187" i="59"/>
  <c r="F187" i="59"/>
  <c r="D183" i="59"/>
  <c r="C183" i="59"/>
  <c r="E187" i="59" s="1"/>
  <c r="B183" i="59"/>
  <c r="F213" i="58" a="1"/>
  <c r="F213" i="58" s="1"/>
  <c r="F212" i="58" a="1"/>
  <c r="F212" i="58" s="1"/>
  <c r="F211" i="58" a="1"/>
  <c r="F211" i="58" s="1"/>
  <c r="H210" i="58"/>
  <c r="F209" i="58" a="1"/>
  <c r="F209" i="58" s="1"/>
  <c r="H209" i="58" s="1"/>
  <c r="B62" i="61"/>
  <c r="G52" i="57" l="1"/>
  <c r="D12" i="57" s="1"/>
  <c r="V201" i="69" s="1"/>
  <c r="D94" i="59"/>
  <c r="N50" i="62"/>
  <c r="N141" i="112" s="1"/>
  <c r="N51" i="62"/>
  <c r="N142" i="112" s="1"/>
  <c r="N52" i="62"/>
  <c r="N143" i="112" s="1"/>
  <c r="V79" i="69"/>
  <c r="V80" i="69"/>
  <c r="F11" i="61"/>
  <c r="X81" i="69"/>
  <c r="H11" i="59" a="1"/>
  <c r="H11" i="59" s="1"/>
  <c r="D187" i="59"/>
  <c r="B63" i="61"/>
  <c r="B65" i="61" s="1"/>
  <c r="V83" i="69"/>
  <c r="E83" i="69" s="1"/>
  <c r="V82" i="69"/>
  <c r="E82" i="69" s="1"/>
  <c r="N181" i="69"/>
  <c r="E181" i="69" s="1"/>
  <c r="N180" i="69"/>
  <c r="E180" i="69" s="1"/>
  <c r="L187" i="59"/>
  <c r="H213" i="58"/>
  <c r="H212" i="58"/>
  <c r="H211" i="58"/>
  <c r="C128" i="112" l="1"/>
  <c r="H129" i="112"/>
  <c r="J129" i="112"/>
  <c r="N128" i="112"/>
  <c r="W128" i="112"/>
  <c r="G130" i="112"/>
  <c r="O128" i="112"/>
  <c r="T129" i="112"/>
  <c r="V129" i="112"/>
  <c r="T130" i="112"/>
  <c r="N129" i="112"/>
  <c r="H130" i="112"/>
  <c r="U130" i="112"/>
  <c r="K130" i="112"/>
  <c r="M130" i="112"/>
  <c r="J128" i="112"/>
  <c r="E130" i="112"/>
  <c r="I130" i="112"/>
  <c r="D128" i="112"/>
  <c r="W130" i="112"/>
  <c r="W129" i="112"/>
  <c r="V128" i="112"/>
  <c r="Q130" i="112"/>
  <c r="P128" i="112"/>
  <c r="R128" i="112"/>
  <c r="H128" i="112"/>
  <c r="M129" i="112"/>
  <c r="M128" i="112"/>
  <c r="G129" i="112"/>
  <c r="I129" i="112"/>
  <c r="T128" i="112"/>
  <c r="D130" i="112"/>
  <c r="E129" i="112"/>
  <c r="S128" i="112"/>
  <c r="R130" i="112"/>
  <c r="S129" i="112"/>
  <c r="L130" i="112"/>
  <c r="I128" i="112"/>
  <c r="P130" i="112"/>
  <c r="F129" i="112"/>
  <c r="J130" i="112"/>
  <c r="N130" i="112"/>
  <c r="U128" i="112"/>
  <c r="P129" i="112"/>
  <c r="L128" i="112"/>
  <c r="F128" i="112"/>
  <c r="S130" i="112"/>
  <c r="V130" i="112"/>
  <c r="L129" i="112"/>
  <c r="C129" i="112"/>
  <c r="K129" i="112"/>
  <c r="U129" i="112"/>
  <c r="C130" i="112"/>
  <c r="Q129" i="112"/>
  <c r="O129" i="112"/>
  <c r="Q128" i="112"/>
  <c r="D129" i="112"/>
  <c r="K128" i="112"/>
  <c r="E128" i="112"/>
  <c r="G128" i="112"/>
  <c r="O130" i="112"/>
  <c r="R129" i="112"/>
  <c r="F130" i="112"/>
  <c r="E94" i="59"/>
  <c r="N187" i="59"/>
  <c r="E125" i="112"/>
  <c r="T125" i="112"/>
  <c r="W126" i="112"/>
  <c r="C124" i="112"/>
  <c r="C125" i="112"/>
  <c r="P127" i="112"/>
  <c r="O124" i="112"/>
  <c r="S124" i="112"/>
  <c r="Q125" i="112"/>
  <c r="U127" i="112"/>
  <c r="S126" i="112"/>
  <c r="L124" i="112"/>
  <c r="S127" i="112"/>
  <c r="R124" i="112"/>
  <c r="D125" i="112"/>
  <c r="G126" i="112"/>
  <c r="Q127" i="112"/>
  <c r="P124" i="112"/>
  <c r="H127" i="112"/>
  <c r="G124" i="112"/>
  <c r="P123" i="112"/>
  <c r="I125" i="112"/>
  <c r="E127" i="112"/>
  <c r="K126" i="112"/>
  <c r="K127" i="112"/>
  <c r="J124" i="112"/>
  <c r="I124" i="112"/>
  <c r="L125" i="112"/>
  <c r="I127" i="112"/>
  <c r="H124" i="112"/>
  <c r="U126" i="112"/>
  <c r="W127" i="112"/>
  <c r="V124" i="112"/>
  <c r="W125" i="112"/>
  <c r="C126" i="112"/>
  <c r="M127" i="112"/>
  <c r="C127" i="112"/>
  <c r="Q124" i="112"/>
  <c r="V126" i="112"/>
  <c r="M126" i="112"/>
  <c r="O127" i="112"/>
  <c r="N124" i="112"/>
  <c r="G125" i="112"/>
  <c r="P125" i="112"/>
  <c r="R126" i="112"/>
  <c r="P126" i="112"/>
  <c r="O123" i="112"/>
  <c r="E123" i="112"/>
  <c r="N126" i="112"/>
  <c r="M123" i="112"/>
  <c r="E126" i="112"/>
  <c r="D123" i="112"/>
  <c r="G127" i="112"/>
  <c r="F124" i="112"/>
  <c r="D124" i="112"/>
  <c r="H125" i="112"/>
  <c r="O125" i="112"/>
  <c r="M125" i="112"/>
  <c r="F125" i="112"/>
  <c r="W124" i="112"/>
  <c r="C123" i="112"/>
  <c r="H126" i="112"/>
  <c r="G123" i="112"/>
  <c r="Q126" i="112"/>
  <c r="F126" i="112"/>
  <c r="D127" i="112"/>
  <c r="R125" i="112"/>
  <c r="T127" i="112"/>
  <c r="T126" i="112"/>
  <c r="V127" i="112"/>
  <c r="U124" i="112"/>
  <c r="T124" i="112"/>
  <c r="R127" i="112"/>
  <c r="K124" i="112"/>
  <c r="D126" i="112"/>
  <c r="E124" i="112"/>
  <c r="U125" i="112"/>
  <c r="J127" i="112"/>
  <c r="H123" i="112"/>
  <c r="I126" i="112"/>
  <c r="S125" i="112"/>
  <c r="N125" i="112"/>
  <c r="J125" i="112"/>
  <c r="L127" i="112"/>
  <c r="L126" i="112"/>
  <c r="N127" i="112"/>
  <c r="M124" i="112"/>
  <c r="O126" i="112"/>
  <c r="K125" i="112"/>
  <c r="V125" i="112"/>
  <c r="F127" i="112"/>
  <c r="J126" i="112"/>
  <c r="U81" i="69"/>
  <c r="X78" i="69"/>
  <c r="K75" i="61"/>
  <c r="K123" i="112" s="1"/>
  <c r="F11" i="59"/>
  <c r="U78" i="69" l="1"/>
  <c r="E74" i="59"/>
  <c r="B61" i="59"/>
  <c r="C38" i="59"/>
  <c r="B68" i="59" s="1"/>
  <c r="D34" i="61"/>
  <c r="E34" i="61" s="1"/>
  <c r="F75" i="61"/>
  <c r="F123" i="112" s="1"/>
  <c r="I75" i="61"/>
  <c r="I123" i="112" s="1"/>
  <c r="Q75" i="61"/>
  <c r="Q123" i="112" s="1"/>
  <c r="R75" i="61"/>
  <c r="R123" i="112" s="1"/>
  <c r="S75" i="61"/>
  <c r="S123" i="112" s="1"/>
  <c r="T75" i="61"/>
  <c r="T123" i="112" s="1"/>
  <c r="U75" i="61"/>
  <c r="U123" i="112" s="1"/>
  <c r="V75" i="61"/>
  <c r="V123" i="112" s="1"/>
  <c r="W75" i="61"/>
  <c r="W123" i="112" s="1"/>
  <c r="E13" i="59" l="1" a="1"/>
  <c r="E13" i="59" s="1"/>
  <c r="E12" i="59" a="1"/>
  <c r="E12" i="59" s="1"/>
  <c r="B62" i="59"/>
  <c r="B64" i="59" s="1"/>
  <c r="G283" i="112" s="1"/>
  <c r="J75" i="61"/>
  <c r="J123" i="112" s="1"/>
  <c r="D74" i="59"/>
  <c r="F68" i="59" s="1" a="1"/>
  <c r="F68" i="59" s="1"/>
  <c r="C287" i="112" l="1"/>
  <c r="H287" i="112"/>
  <c r="W289" i="112"/>
  <c r="T289" i="112"/>
  <c r="I289" i="112"/>
  <c r="C288" i="112"/>
  <c r="K287" i="112"/>
  <c r="J288" i="112"/>
  <c r="I288" i="112"/>
  <c r="O288" i="112"/>
  <c r="S288" i="112"/>
  <c r="F288" i="112"/>
  <c r="U289" i="112"/>
  <c r="D287" i="112"/>
  <c r="L288" i="112"/>
  <c r="V288" i="112"/>
  <c r="P287" i="112"/>
  <c r="J289" i="112"/>
  <c r="I287" i="112"/>
  <c r="Q289" i="112"/>
  <c r="O287" i="112"/>
  <c r="C289" i="112"/>
  <c r="E287" i="112"/>
  <c r="D288" i="112"/>
  <c r="W288" i="112"/>
  <c r="E289" i="112"/>
  <c r="P288" i="112"/>
  <c r="T288" i="112"/>
  <c r="H288" i="112"/>
  <c r="G289" i="112"/>
  <c r="F287" i="112"/>
  <c r="O289" i="112"/>
  <c r="S289" i="112"/>
  <c r="R287" i="112"/>
  <c r="K289" i="112"/>
  <c r="V287" i="112"/>
  <c r="J287" i="112"/>
  <c r="V289" i="112"/>
  <c r="M288" i="112"/>
  <c r="Q288" i="112"/>
  <c r="E288" i="112"/>
  <c r="L287" i="112"/>
  <c r="H289" i="112"/>
  <c r="L289" i="112"/>
  <c r="U288" i="112"/>
  <c r="F289" i="112"/>
  <c r="S287" i="112"/>
  <c r="W287" i="112"/>
  <c r="P289" i="112"/>
  <c r="M287" i="112"/>
  <c r="N288" i="112"/>
  <c r="M289" i="112"/>
  <c r="G288" i="112"/>
  <c r="Q287" i="112"/>
  <c r="T287" i="112"/>
  <c r="G287" i="112"/>
  <c r="N289" i="112"/>
  <c r="R289" i="112"/>
  <c r="N287" i="112"/>
  <c r="U287" i="112"/>
  <c r="R288" i="112"/>
  <c r="K288" i="112"/>
  <c r="D289" i="112"/>
  <c r="W283" i="112"/>
  <c r="O282" i="112"/>
  <c r="K286" i="112"/>
  <c r="M282" i="112"/>
  <c r="P282" i="112"/>
  <c r="L286" i="112"/>
  <c r="R284" i="112"/>
  <c r="H283" i="112"/>
  <c r="J286" i="112"/>
  <c r="H284" i="112"/>
  <c r="C285" i="112"/>
  <c r="S285" i="112"/>
  <c r="N286" i="112"/>
  <c r="Q285" i="112"/>
  <c r="K283" i="112"/>
  <c r="H285" i="112"/>
  <c r="E286" i="112"/>
  <c r="D282" i="112"/>
  <c r="C286" i="112"/>
  <c r="U286" i="112"/>
  <c r="S286" i="112"/>
  <c r="O283" i="112"/>
  <c r="P283" i="112"/>
  <c r="D286" i="112"/>
  <c r="E283" i="112"/>
  <c r="J284" i="112"/>
  <c r="N285" i="112"/>
  <c r="U283" i="112"/>
  <c r="N283" i="112"/>
  <c r="E285" i="112"/>
  <c r="H282" i="112"/>
  <c r="P284" i="112"/>
  <c r="I284" i="112"/>
  <c r="U285" i="112"/>
  <c r="Q283" i="112"/>
  <c r="C283" i="112"/>
  <c r="K285" i="112"/>
  <c r="D285" i="112"/>
  <c r="P286" i="112"/>
  <c r="L284" i="112"/>
  <c r="S283" i="112"/>
  <c r="F286" i="112"/>
  <c r="I283" i="112"/>
  <c r="T285" i="112"/>
  <c r="J283" i="112"/>
  <c r="G285" i="112"/>
  <c r="N284" i="112"/>
  <c r="V286" i="112"/>
  <c r="E284" i="112"/>
  <c r="O286" i="112"/>
  <c r="E282" i="112"/>
  <c r="W285" i="112"/>
  <c r="I285" i="112"/>
  <c r="V284" i="112"/>
  <c r="C284" i="112"/>
  <c r="K284" i="112"/>
  <c r="R286" i="112"/>
  <c r="T286" i="112"/>
  <c r="F283" i="112"/>
  <c r="M285" i="112"/>
  <c r="G284" i="112"/>
  <c r="P285" i="112"/>
  <c r="F285" i="112"/>
  <c r="S284" i="112"/>
  <c r="V283" i="112"/>
  <c r="H286" i="112"/>
  <c r="R285" i="112"/>
  <c r="F284" i="112"/>
  <c r="V285" i="112"/>
  <c r="G282" i="112"/>
  <c r="D283" i="112"/>
  <c r="Q284" i="112"/>
  <c r="D284" i="112"/>
  <c r="M286" i="112"/>
  <c r="L283" i="112"/>
  <c r="Q286" i="112"/>
  <c r="T283" i="112"/>
  <c r="L285" i="112"/>
  <c r="I286" i="112"/>
  <c r="W284" i="112"/>
  <c r="R283" i="112"/>
  <c r="O284" i="112"/>
  <c r="G286" i="112"/>
  <c r="T284" i="112"/>
  <c r="O285" i="112"/>
  <c r="M283" i="112"/>
  <c r="C282" i="112"/>
  <c r="U284" i="112"/>
  <c r="M284" i="112"/>
  <c r="J285" i="112"/>
  <c r="W286" i="112"/>
  <c r="N79" i="69"/>
  <c r="E79" i="69" s="1"/>
  <c r="N80" i="69"/>
  <c r="E80" i="69" s="1"/>
  <c r="H69" i="61"/>
  <c r="N75" i="61" s="1"/>
  <c r="N123" i="112" s="1"/>
  <c r="K74" i="59"/>
  <c r="K282" i="112" s="1"/>
  <c r="L75" i="61"/>
  <c r="L123" i="112" s="1"/>
  <c r="G69" i="61" l="1"/>
  <c r="E11" i="61" s="1" a="1"/>
  <c r="E11" i="61" s="1"/>
  <c r="N81" i="69" s="1"/>
  <c r="E81" i="69" s="1"/>
  <c r="I225" i="58" l="1"/>
  <c r="I373" i="112" s="1"/>
  <c r="J225" i="58" l="1"/>
  <c r="J373" i="112" s="1"/>
  <c r="I223" i="58"/>
  <c r="I371" i="112" s="1"/>
  <c r="I224" i="58"/>
  <c r="I372" i="112" s="1"/>
  <c r="C187" i="58"/>
  <c r="C188" i="58" s="1"/>
  <c r="J223" i="58" l="1"/>
  <c r="J371" i="112" s="1"/>
  <c r="J224" i="58"/>
  <c r="J372" i="112" s="1"/>
  <c r="C197" i="58"/>
  <c r="K226" i="58" s="1"/>
  <c r="K374" i="112" s="1"/>
  <c r="I231" i="58" l="1"/>
  <c r="I232" i="58"/>
  <c r="I233" i="58"/>
  <c r="I234" i="58"/>
  <c r="I235" i="58"/>
  <c r="I236" i="58"/>
  <c r="I237" i="58"/>
  <c r="I238" i="58"/>
  <c r="I239" i="58"/>
  <c r="I240" i="58"/>
  <c r="I241" i="58"/>
  <c r="I242" i="58"/>
  <c r="I243" i="58"/>
  <c r="I244" i="58"/>
  <c r="I245" i="58"/>
  <c r="I246" i="58"/>
  <c r="I247" i="58"/>
  <c r="I248" i="58"/>
  <c r="I249" i="58"/>
  <c r="I250" i="58"/>
  <c r="I251" i="58"/>
  <c r="I252" i="58"/>
  <c r="I253" i="58"/>
  <c r="I254" i="58"/>
  <c r="I255" i="58"/>
  <c r="I256" i="58"/>
  <c r="I257" i="58"/>
  <c r="I258" i="58"/>
  <c r="I259" i="58"/>
  <c r="I260" i="58"/>
  <c r="I261" i="58"/>
  <c r="I262" i="58"/>
  <c r="I263" i="58"/>
  <c r="I264" i="58"/>
  <c r="I265" i="58"/>
  <c r="I266" i="58"/>
  <c r="I267" i="58"/>
  <c r="I268" i="58"/>
  <c r="I269" i="58"/>
  <c r="I270" i="58"/>
  <c r="I271" i="58"/>
  <c r="I272" i="58"/>
  <c r="I273" i="58"/>
  <c r="I274" i="58"/>
  <c r="I275" i="58"/>
  <c r="I276" i="58"/>
  <c r="I277" i="58"/>
  <c r="I278" i="58"/>
  <c r="I279" i="58"/>
  <c r="I280" i="58"/>
  <c r="I281" i="58"/>
  <c r="I282" i="58"/>
  <c r="I283" i="58"/>
  <c r="I284" i="58"/>
  <c r="I285" i="58"/>
  <c r="I286" i="58"/>
  <c r="I287" i="58"/>
  <c r="I288" i="58"/>
  <c r="I289" i="58"/>
  <c r="I290" i="58"/>
  <c r="I291" i="58"/>
  <c r="I292" i="58"/>
  <c r="I293" i="58"/>
  <c r="I294" i="58"/>
  <c r="I295" i="58"/>
  <c r="I296" i="58"/>
  <c r="I297" i="58"/>
  <c r="I298" i="58"/>
  <c r="I299" i="58"/>
  <c r="I300" i="58"/>
  <c r="I301" i="58"/>
  <c r="I302" i="58"/>
  <c r="I303" i="58"/>
  <c r="I304" i="58"/>
  <c r="I305" i="58"/>
  <c r="I306" i="58"/>
  <c r="I307" i="58"/>
  <c r="I308" i="58"/>
  <c r="I309" i="58"/>
  <c r="I310" i="58"/>
  <c r="I311" i="58"/>
  <c r="I312" i="58"/>
  <c r="I313" i="58"/>
  <c r="I314" i="58"/>
  <c r="I315" i="58"/>
  <c r="I316" i="58"/>
  <c r="I317" i="58"/>
  <c r="I318" i="58"/>
  <c r="I319" i="58"/>
  <c r="I320" i="58"/>
  <c r="I321" i="58"/>
  <c r="I322" i="58"/>
  <c r="I323" i="58"/>
  <c r="I324" i="58"/>
  <c r="I325" i="58"/>
  <c r="I326" i="58"/>
  <c r="I327" i="58"/>
  <c r="I328" i="58"/>
  <c r="I329" i="58"/>
  <c r="I330" i="58"/>
  <c r="I331" i="58"/>
  <c r="I332" i="58"/>
  <c r="I333" i="58"/>
  <c r="I334" i="58"/>
  <c r="I335" i="58"/>
  <c r="I336" i="58"/>
  <c r="I337" i="58"/>
  <c r="I338" i="58"/>
  <c r="I339" i="58"/>
  <c r="I340" i="58"/>
  <c r="I341" i="58"/>
  <c r="I342" i="58"/>
  <c r="I343" i="58"/>
  <c r="I344" i="58"/>
  <c r="I345" i="58"/>
  <c r="I346" i="58"/>
  <c r="I347" i="58"/>
  <c r="I348" i="58"/>
  <c r="I349" i="58"/>
  <c r="I350" i="58"/>
  <c r="I351" i="58"/>
  <c r="I352" i="58"/>
  <c r="I353" i="58"/>
  <c r="I354" i="58"/>
  <c r="I355" i="58"/>
  <c r="I356" i="58"/>
  <c r="I357" i="58"/>
  <c r="I358" i="58"/>
  <c r="I359" i="58"/>
  <c r="I360" i="58"/>
  <c r="I361" i="58"/>
  <c r="I362" i="58"/>
  <c r="I363" i="58"/>
  <c r="I364" i="58"/>
  <c r="I365" i="58"/>
  <c r="I366" i="58"/>
  <c r="I367" i="58"/>
  <c r="I368" i="58"/>
  <c r="I369" i="58"/>
  <c r="I370" i="58"/>
  <c r="I371" i="58"/>
  <c r="I372" i="58"/>
  <c r="I373" i="58"/>
  <c r="I374" i="58"/>
  <c r="I375" i="58"/>
  <c r="I376" i="58"/>
  <c r="I377" i="58"/>
  <c r="I378" i="58"/>
  <c r="I379" i="58"/>
  <c r="I380" i="58"/>
  <c r="I381" i="58"/>
  <c r="I382" i="58"/>
  <c r="I383" i="58"/>
  <c r="I384" i="58"/>
  <c r="I385" i="58"/>
  <c r="I386" i="58"/>
  <c r="I387" i="58"/>
  <c r="I388" i="58"/>
  <c r="I389" i="58"/>
  <c r="I390" i="58"/>
  <c r="I391" i="58"/>
  <c r="I392" i="58"/>
  <c r="I393" i="58"/>
  <c r="I394" i="58"/>
  <c r="I395" i="58"/>
  <c r="I396" i="58"/>
  <c r="I397" i="58"/>
  <c r="I398" i="58"/>
  <c r="I399" i="58"/>
  <c r="I400" i="58"/>
  <c r="I401" i="58"/>
  <c r="I402" i="58"/>
  <c r="I403" i="58"/>
  <c r="I404" i="58"/>
  <c r="I405" i="58"/>
  <c r="I406" i="58"/>
  <c r="I407" i="58"/>
  <c r="I408" i="58"/>
  <c r="I409" i="58"/>
  <c r="I410" i="58"/>
  <c r="I411" i="58"/>
  <c r="I412" i="58"/>
  <c r="I413" i="58"/>
  <c r="I414" i="58"/>
  <c r="I415" i="58"/>
  <c r="I416" i="58"/>
  <c r="I417" i="58"/>
  <c r="I418" i="58"/>
  <c r="I419" i="58"/>
  <c r="I420" i="58"/>
  <c r="I421" i="58"/>
  <c r="I422" i="58"/>
  <c r="I423" i="58"/>
  <c r="I424" i="58"/>
  <c r="I425" i="58"/>
  <c r="I426" i="58"/>
  <c r="I427" i="58"/>
  <c r="I428" i="58"/>
  <c r="I429" i="58"/>
  <c r="I430" i="58"/>
  <c r="I431" i="58"/>
  <c r="I432" i="58"/>
  <c r="I433" i="58"/>
  <c r="I434" i="58"/>
  <c r="I435" i="58"/>
  <c r="I436" i="58"/>
  <c r="I437" i="58"/>
  <c r="I438" i="58"/>
  <c r="I439" i="58"/>
  <c r="I440" i="58"/>
  <c r="I441" i="58"/>
  <c r="I442" i="58"/>
  <c r="I443" i="58"/>
  <c r="I444" i="58"/>
  <c r="I445" i="58"/>
  <c r="I446" i="58"/>
  <c r="I447" i="58"/>
  <c r="I448" i="58"/>
  <c r="I449" i="58"/>
  <c r="I450" i="58"/>
  <c r="I451" i="58"/>
  <c r="I452" i="58"/>
  <c r="I453" i="58"/>
  <c r="I454" i="58"/>
  <c r="I455" i="58"/>
  <c r="I456" i="58"/>
  <c r="I457" i="58"/>
  <c r="I458" i="58"/>
  <c r="I459" i="58"/>
  <c r="I460" i="58"/>
  <c r="I461" i="58"/>
  <c r="I462" i="58"/>
  <c r="I463" i="58"/>
  <c r="I464" i="58"/>
  <c r="I465" i="58"/>
  <c r="I466" i="58"/>
  <c r="I467" i="58"/>
  <c r="I468" i="58"/>
  <c r="I469" i="58"/>
  <c r="I470" i="58"/>
  <c r="I471" i="58"/>
  <c r="I472" i="58"/>
  <c r="I473" i="58"/>
  <c r="I474" i="58"/>
  <c r="I475" i="58"/>
  <c r="I476" i="58"/>
  <c r="I477" i="58"/>
  <c r="I478" i="58"/>
  <c r="I479" i="58"/>
  <c r="I480" i="58"/>
  <c r="I481" i="58"/>
  <c r="I482" i="58"/>
  <c r="I483" i="58"/>
  <c r="I484" i="58"/>
  <c r="I485" i="58"/>
  <c r="I486" i="58"/>
  <c r="I487" i="58"/>
  <c r="I488" i="58"/>
  <c r="I489" i="58"/>
  <c r="I490" i="58"/>
  <c r="I491" i="58"/>
  <c r="I492" i="58"/>
  <c r="I493" i="58"/>
  <c r="I494" i="58"/>
  <c r="I495" i="58"/>
  <c r="I496" i="58"/>
  <c r="I497" i="58"/>
  <c r="I498" i="58"/>
  <c r="I499" i="58"/>
  <c r="I500" i="58"/>
  <c r="I501" i="58"/>
  <c r="I502" i="58"/>
  <c r="I503" i="58"/>
  <c r="I504" i="58"/>
  <c r="I505" i="58"/>
  <c r="I506" i="58"/>
  <c r="I507" i="58"/>
  <c r="I508" i="58"/>
  <c r="I509" i="58"/>
  <c r="I510" i="58"/>
  <c r="I511" i="58"/>
  <c r="I512" i="58"/>
  <c r="I513" i="58"/>
  <c r="I514" i="58"/>
  <c r="I515" i="58"/>
  <c r="I516" i="58"/>
  <c r="I517" i="58"/>
  <c r="I518" i="58"/>
  <c r="I519" i="58"/>
  <c r="I520" i="58"/>
  <c r="I521" i="58"/>
  <c r="I522" i="58"/>
  <c r="I523" i="58"/>
  <c r="I524" i="58"/>
  <c r="I525" i="58"/>
  <c r="I526" i="58"/>
  <c r="I527" i="58"/>
  <c r="I528" i="58"/>
  <c r="I529" i="58"/>
  <c r="I530" i="58"/>
  <c r="I531" i="58"/>
  <c r="I532" i="58"/>
  <c r="I533" i="58"/>
  <c r="I534" i="58"/>
  <c r="I535" i="58"/>
  <c r="I536" i="58"/>
  <c r="I537" i="58"/>
  <c r="I538" i="58"/>
  <c r="I539" i="58"/>
  <c r="I540" i="58"/>
  <c r="I541" i="58"/>
  <c r="I542" i="58"/>
  <c r="I543" i="58"/>
  <c r="I544" i="58"/>
  <c r="I545" i="58"/>
  <c r="I546" i="58"/>
  <c r="I547" i="58"/>
  <c r="I548" i="58"/>
  <c r="I549" i="58"/>
  <c r="I550" i="58"/>
  <c r="I551" i="58"/>
  <c r="I552" i="58"/>
  <c r="I553" i="58"/>
  <c r="I554" i="58"/>
  <c r="I555" i="58"/>
  <c r="I556" i="58"/>
  <c r="I557" i="58"/>
  <c r="I558" i="58"/>
  <c r="I559" i="58"/>
  <c r="I560" i="58"/>
  <c r="I561" i="58"/>
  <c r="I562" i="58"/>
  <c r="I563" i="58"/>
  <c r="I564" i="58"/>
  <c r="I565" i="58"/>
  <c r="I566" i="58"/>
  <c r="I567" i="58"/>
  <c r="I568" i="58"/>
  <c r="I569" i="58"/>
  <c r="I570" i="58"/>
  <c r="I571" i="58"/>
  <c r="I572" i="58"/>
  <c r="I573" i="58"/>
  <c r="I574" i="58"/>
  <c r="I575" i="58"/>
  <c r="I576" i="58"/>
  <c r="I577" i="58"/>
  <c r="I578" i="58"/>
  <c r="I579" i="58"/>
  <c r="I580" i="58"/>
  <c r="I581" i="58"/>
  <c r="I582" i="58"/>
  <c r="I583" i="58"/>
  <c r="I584" i="58"/>
  <c r="I585" i="58"/>
  <c r="I586" i="58"/>
  <c r="I587" i="58"/>
  <c r="I588" i="58"/>
  <c r="I589" i="58"/>
  <c r="I590" i="58"/>
  <c r="I591" i="58"/>
  <c r="I592" i="58"/>
  <c r="I593" i="58"/>
  <c r="I594" i="58"/>
  <c r="I595" i="58"/>
  <c r="I596" i="58"/>
  <c r="I597" i="58"/>
  <c r="I598" i="58"/>
  <c r="I599" i="58"/>
  <c r="I600" i="58"/>
  <c r="I601" i="58"/>
  <c r="I602" i="58"/>
  <c r="I603" i="58"/>
  <c r="I604" i="58"/>
  <c r="I605" i="58"/>
  <c r="I606" i="58"/>
  <c r="I607" i="58"/>
  <c r="I608" i="58"/>
  <c r="I609" i="58"/>
  <c r="I610" i="58"/>
  <c r="I611" i="58"/>
  <c r="I612" i="58"/>
  <c r="I613" i="58"/>
  <c r="I614" i="58"/>
  <c r="I615" i="58"/>
  <c r="I616" i="58"/>
  <c r="I617" i="58"/>
  <c r="I618" i="58"/>
  <c r="I619" i="58"/>
  <c r="I620" i="58"/>
  <c r="I621" i="58"/>
  <c r="I622" i="58"/>
  <c r="I623" i="58"/>
  <c r="I624" i="58"/>
  <c r="I625" i="58"/>
  <c r="I626" i="58"/>
  <c r="I627" i="58"/>
  <c r="I628" i="58"/>
  <c r="I629" i="58"/>
  <c r="I630" i="58"/>
  <c r="I631" i="58"/>
  <c r="I632" i="58"/>
  <c r="I633" i="58"/>
  <c r="I634" i="58"/>
  <c r="I635" i="58"/>
  <c r="I636" i="58"/>
  <c r="I637" i="58"/>
  <c r="I638" i="58"/>
  <c r="I639" i="58"/>
  <c r="I640" i="58"/>
  <c r="I641" i="58"/>
  <c r="I642" i="58"/>
  <c r="I643" i="58"/>
  <c r="I644" i="58"/>
  <c r="I645" i="58"/>
  <c r="I646" i="58"/>
  <c r="I647" i="58"/>
  <c r="I648" i="58"/>
  <c r="I649" i="58"/>
  <c r="I650" i="58"/>
  <c r="I651" i="58"/>
  <c r="I652" i="58"/>
  <c r="I653" i="58"/>
  <c r="I654" i="58"/>
  <c r="I655" i="58"/>
  <c r="I656" i="58"/>
  <c r="I657" i="58"/>
  <c r="I658" i="58"/>
  <c r="I659" i="58"/>
  <c r="I660" i="58"/>
  <c r="I661" i="58"/>
  <c r="I662" i="58"/>
  <c r="I663" i="58"/>
  <c r="I664" i="58"/>
  <c r="I665" i="58"/>
  <c r="I666" i="58"/>
  <c r="I667" i="58"/>
  <c r="I668" i="58"/>
  <c r="I669" i="58"/>
  <c r="I670" i="58"/>
  <c r="I671" i="58"/>
  <c r="I672" i="58"/>
  <c r="I673" i="58"/>
  <c r="I674" i="58"/>
  <c r="I675" i="58"/>
  <c r="I676" i="58"/>
  <c r="I677" i="58"/>
  <c r="I678" i="58"/>
  <c r="I679" i="58"/>
  <c r="I680" i="58"/>
  <c r="I681" i="58"/>
  <c r="I682" i="58"/>
  <c r="I683" i="58"/>
  <c r="I684" i="58"/>
  <c r="I685" i="58"/>
  <c r="I686" i="58"/>
  <c r="I687" i="58"/>
  <c r="I688" i="58"/>
  <c r="I689" i="58"/>
  <c r="I690" i="58"/>
  <c r="I691" i="58"/>
  <c r="I692" i="58"/>
  <c r="I693" i="58"/>
  <c r="I694" i="58"/>
  <c r="I695" i="58"/>
  <c r="I696" i="58"/>
  <c r="I697" i="58"/>
  <c r="I698" i="58"/>
  <c r="I699" i="58"/>
  <c r="I700" i="58"/>
  <c r="I701" i="58"/>
  <c r="I702" i="58"/>
  <c r="I703" i="58"/>
  <c r="I704" i="58"/>
  <c r="I705" i="58"/>
  <c r="I706" i="58"/>
  <c r="I707" i="58"/>
  <c r="I708" i="58"/>
  <c r="I709" i="58"/>
  <c r="I710" i="58"/>
  <c r="I711" i="58"/>
  <c r="I712" i="58"/>
  <c r="I713" i="58"/>
  <c r="I714" i="58"/>
  <c r="I715" i="58"/>
  <c r="I716" i="58"/>
  <c r="I717" i="58"/>
  <c r="I718" i="58"/>
  <c r="I719" i="58"/>
  <c r="I720" i="58"/>
  <c r="I721" i="58"/>
  <c r="I722" i="58"/>
  <c r="I723" i="58"/>
  <c r="I724" i="58"/>
  <c r="I725" i="58"/>
  <c r="I726" i="58"/>
  <c r="I727" i="58"/>
  <c r="I728" i="58"/>
  <c r="I729" i="58"/>
  <c r="I730" i="58"/>
  <c r="I731" i="58"/>
  <c r="I732" i="58"/>
  <c r="I733" i="58"/>
  <c r="I734" i="58"/>
  <c r="I735" i="58"/>
  <c r="I736" i="58"/>
  <c r="I737" i="58"/>
  <c r="I738" i="58"/>
  <c r="I739" i="58"/>
  <c r="I740" i="58"/>
  <c r="I741" i="58"/>
  <c r="I742" i="58"/>
  <c r="I743" i="58"/>
  <c r="I744" i="58"/>
  <c r="I745" i="58"/>
  <c r="I746" i="58"/>
  <c r="I747" i="58"/>
  <c r="I748" i="58"/>
  <c r="I749" i="58"/>
  <c r="I750" i="58"/>
  <c r="I751" i="58"/>
  <c r="I752" i="58"/>
  <c r="I753" i="58"/>
  <c r="I754" i="58"/>
  <c r="I755" i="58"/>
  <c r="I756" i="58"/>
  <c r="I757" i="58"/>
  <c r="I758" i="58"/>
  <c r="I759" i="58"/>
  <c r="I760" i="58"/>
  <c r="I761" i="58"/>
  <c r="I762" i="58"/>
  <c r="I763" i="58"/>
  <c r="I764" i="58"/>
  <c r="I765" i="58"/>
  <c r="I766" i="58"/>
  <c r="I767" i="58"/>
  <c r="I768" i="58"/>
  <c r="I769" i="58"/>
  <c r="I770" i="58"/>
  <c r="I771" i="58"/>
  <c r="I772" i="58"/>
  <c r="I773" i="58"/>
  <c r="I774" i="58"/>
  <c r="I775" i="58"/>
  <c r="I776" i="58"/>
  <c r="I777" i="58"/>
  <c r="I778" i="58"/>
  <c r="I779" i="58"/>
  <c r="I780" i="58"/>
  <c r="I781" i="58"/>
  <c r="I782" i="58"/>
  <c r="I783" i="58"/>
  <c r="I784" i="58"/>
  <c r="I785" i="58"/>
  <c r="I786" i="58"/>
  <c r="I787" i="58"/>
  <c r="I788" i="58"/>
  <c r="I789" i="58"/>
  <c r="I790" i="58"/>
  <c r="I791" i="58"/>
  <c r="I792" i="58"/>
  <c r="I793" i="58"/>
  <c r="I794" i="58"/>
  <c r="I795" i="58"/>
  <c r="I796" i="58"/>
  <c r="I797" i="58"/>
  <c r="I798" i="58"/>
  <c r="I799" i="58"/>
  <c r="I800" i="58"/>
  <c r="I801" i="58"/>
  <c r="I802" i="58"/>
  <c r="I803" i="58"/>
  <c r="I804" i="58"/>
  <c r="I805" i="58"/>
  <c r="I806" i="58"/>
  <c r="I807" i="58"/>
  <c r="I808" i="58"/>
  <c r="I809" i="58"/>
  <c r="I810" i="58"/>
  <c r="I811" i="58"/>
  <c r="I812" i="58"/>
  <c r="I813" i="58"/>
  <c r="I814" i="58"/>
  <c r="I815" i="58"/>
  <c r="I816" i="58"/>
  <c r="I817" i="58"/>
  <c r="I818" i="58"/>
  <c r="I819" i="58"/>
  <c r="I820" i="58"/>
  <c r="I821" i="58"/>
  <c r="I822" i="58"/>
  <c r="I823" i="58"/>
  <c r="I824" i="58"/>
  <c r="I825" i="58"/>
  <c r="I826" i="58"/>
  <c r="I827" i="58"/>
  <c r="I828" i="58"/>
  <c r="I829" i="58"/>
  <c r="I830" i="58"/>
  <c r="I831" i="58"/>
  <c r="I832" i="58"/>
  <c r="I833" i="58"/>
  <c r="I834" i="58"/>
  <c r="I835" i="58"/>
  <c r="I836" i="58"/>
  <c r="I837" i="58"/>
  <c r="I838" i="58"/>
  <c r="I839" i="58"/>
  <c r="I840" i="58"/>
  <c r="I841" i="58"/>
  <c r="I842" i="58"/>
  <c r="I843" i="58"/>
  <c r="I844" i="58"/>
  <c r="I845" i="58"/>
  <c r="I846" i="58"/>
  <c r="I847" i="58"/>
  <c r="I848" i="58"/>
  <c r="I849" i="58"/>
  <c r="I850" i="58"/>
  <c r="I851" i="58"/>
  <c r="I852" i="58"/>
  <c r="I853" i="58"/>
  <c r="I854" i="58"/>
  <c r="I855" i="58"/>
  <c r="I856" i="58"/>
  <c r="I857" i="58"/>
  <c r="I858" i="58"/>
  <c r="I859" i="58"/>
  <c r="I860" i="58"/>
  <c r="I861" i="58"/>
  <c r="I862" i="58"/>
  <c r="I863" i="58"/>
  <c r="I864" i="58"/>
  <c r="I865" i="58"/>
  <c r="I866" i="58"/>
  <c r="I867" i="58"/>
  <c r="I868" i="58"/>
  <c r="I869" i="58"/>
  <c r="I870" i="58"/>
  <c r="I871" i="58"/>
  <c r="I872" i="58"/>
  <c r="I873" i="58"/>
  <c r="I874" i="58"/>
  <c r="I875" i="58"/>
  <c r="I876" i="58"/>
  <c r="I877" i="58"/>
  <c r="I878" i="58"/>
  <c r="I879" i="58"/>
  <c r="I880" i="58"/>
  <c r="I881" i="58"/>
  <c r="I882" i="58"/>
  <c r="I883" i="58"/>
  <c r="I884" i="58"/>
  <c r="I885" i="58"/>
  <c r="I886" i="58"/>
  <c r="I887" i="58"/>
  <c r="I230" i="58"/>
  <c r="C893" i="58" l="1"/>
  <c r="E182" i="58" s="1"/>
  <c r="C890" i="58"/>
  <c r="E179" i="58" s="1"/>
  <c r="C891" i="58"/>
  <c r="E180" i="58" s="1"/>
  <c r="C892" i="58"/>
  <c r="E181" i="58" s="1"/>
  <c r="F12" i="58" a="1"/>
  <c r="F12" i="58" s="1"/>
  <c r="S138" i="69" s="1"/>
  <c r="F13" i="58" a="1"/>
  <c r="F13" i="58" s="1"/>
  <c r="S139" i="69" s="1"/>
  <c r="F14" i="58" a="1"/>
  <c r="F14" i="58" s="1"/>
  <c r="S140" i="69" s="1"/>
  <c r="F15" i="58" a="1"/>
  <c r="F15" i="58" s="1"/>
  <c r="S141" i="69" s="1"/>
  <c r="E141" i="69" s="1"/>
  <c r="S137" i="69"/>
  <c r="D34" i="59"/>
  <c r="E34" i="59" s="1"/>
  <c r="F74" i="59"/>
  <c r="F282" i="112" s="1"/>
  <c r="I74" i="59"/>
  <c r="I282" i="112" s="1"/>
  <c r="Q74" i="59"/>
  <c r="Q282" i="112" s="1"/>
  <c r="R74" i="59"/>
  <c r="R282" i="112" s="1"/>
  <c r="S74" i="59"/>
  <c r="S282" i="112" s="1"/>
  <c r="T74" i="59"/>
  <c r="T282" i="112" s="1"/>
  <c r="U74" i="59"/>
  <c r="U282" i="112" s="1"/>
  <c r="V74" i="59"/>
  <c r="V282" i="112" s="1"/>
  <c r="W74" i="59"/>
  <c r="W282" i="112" s="1"/>
  <c r="I226" i="58"/>
  <c r="I374" i="112" s="1"/>
  <c r="J226" i="58"/>
  <c r="J374" i="112" s="1"/>
  <c r="I222" i="58"/>
  <c r="I370" i="112" s="1"/>
  <c r="D169" i="58" l="1"/>
  <c r="E169" i="58" s="1"/>
  <c r="H68" i="59"/>
  <c r="N74" i="59" s="1"/>
  <c r="N282" i="112" s="1"/>
  <c r="C192" i="58"/>
  <c r="J222" i="58"/>
  <c r="J370" i="112" s="1"/>
  <c r="J74" i="59"/>
  <c r="J282" i="112" s="1"/>
  <c r="L226" i="58"/>
  <c r="L374" i="112" s="1"/>
  <c r="I209" i="58" l="1"/>
  <c r="L74" i="59"/>
  <c r="L282" i="112" s="1"/>
  <c r="C193" i="58"/>
  <c r="C199" i="58" s="1"/>
  <c r="C194" i="58"/>
  <c r="C200" i="58" s="1"/>
  <c r="C198" i="58"/>
  <c r="K225" i="58" s="1"/>
  <c r="K373" i="112" s="1"/>
  <c r="G213" i="58"/>
  <c r="F12" i="54" a="1"/>
  <c r="F12" i="54" s="1"/>
  <c r="S134" i="69" s="1"/>
  <c r="E134" i="69" s="1"/>
  <c r="F13" i="54" a="1"/>
  <c r="F13" i="54" s="1"/>
  <c r="S135" i="69" s="1"/>
  <c r="E135" i="69" s="1"/>
  <c r="F14" i="54" a="1"/>
  <c r="F14" i="54" s="1"/>
  <c r="S136" i="69" s="1"/>
  <c r="E136" i="69" s="1"/>
  <c r="F11" i="54" a="1"/>
  <c r="F11" i="54" s="1"/>
  <c r="S133" i="69" s="1"/>
  <c r="E133" i="69" s="1"/>
  <c r="D361" i="54"/>
  <c r="D360" i="54"/>
  <c r="D359" i="54"/>
  <c r="D358" i="54"/>
  <c r="D63" i="54"/>
  <c r="E63" i="54" s="1"/>
  <c r="D38" i="54" l="1"/>
  <c r="E38" i="54" s="1"/>
  <c r="N223" i="58"/>
  <c r="N371" i="112" s="1"/>
  <c r="N224" i="58"/>
  <c r="N372" i="112" s="1"/>
  <c r="N225" i="58"/>
  <c r="N373" i="112" s="1"/>
  <c r="N226" i="58"/>
  <c r="N374" i="112" s="1"/>
  <c r="N222" i="58"/>
  <c r="N370" i="112" s="1"/>
  <c r="L225" i="58"/>
  <c r="L373" i="112" s="1"/>
  <c r="G68" i="59"/>
  <c r="E11" i="59" s="1" a="1"/>
  <c r="E11" i="59" s="1"/>
  <c r="N78" i="69" s="1"/>
  <c r="E78" i="69" s="1"/>
  <c r="C203" i="58"/>
  <c r="K223" i="58"/>
  <c r="K371" i="112" s="1"/>
  <c r="C204" i="58"/>
  <c r="K224" i="58"/>
  <c r="K372" i="112" s="1"/>
  <c r="G212" i="58" l="1"/>
  <c r="D14" i="58" s="1" a="1"/>
  <c r="D14" i="58" s="1"/>
  <c r="D89" i="58" s="1"/>
  <c r="N302" i="54"/>
  <c r="N15" i="112" s="1"/>
  <c r="N303" i="54"/>
  <c r="N16" i="112" s="1"/>
  <c r="N304" i="54"/>
  <c r="N17" i="112" s="1"/>
  <c r="N305" i="54"/>
  <c r="N18" i="112" s="1"/>
  <c r="L224" i="58"/>
  <c r="L372" i="112" s="1"/>
  <c r="L223" i="58"/>
  <c r="L371" i="112" s="1"/>
  <c r="C205" i="58"/>
  <c r="K222" i="58" s="1"/>
  <c r="K370" i="112" s="1"/>
  <c r="H140" i="69" l="1"/>
  <c r="G210" i="58"/>
  <c r="D12" i="58" s="1" a="1"/>
  <c r="D12" i="58" s="1"/>
  <c r="G211" i="58"/>
  <c r="D13" i="58" s="1" a="1"/>
  <c r="D13" i="58" s="1"/>
  <c r="D88" i="58" s="1"/>
  <c r="D117" i="58" s="1"/>
  <c r="K146" i="58" s="1"/>
  <c r="K368" i="112" s="1"/>
  <c r="L222" i="58"/>
  <c r="L370" i="112" s="1"/>
  <c r="L146" i="58" l="1"/>
  <c r="L368" i="112" s="1"/>
  <c r="H138" i="69"/>
  <c r="D87" i="58"/>
  <c r="D116" i="58" s="1"/>
  <c r="H139" i="69"/>
  <c r="E139" i="69" s="1"/>
  <c r="G209" i="58"/>
  <c r="D11" i="58" s="1" a="1"/>
  <c r="D11" i="58" s="1"/>
  <c r="F116" i="57" a="1"/>
  <c r="F116" i="57" s="1"/>
  <c r="F115" i="57" a="1"/>
  <c r="F115" i="57" s="1"/>
  <c r="J120" i="57"/>
  <c r="J322" i="112" s="1"/>
  <c r="I120" i="57"/>
  <c r="I322" i="112" s="1"/>
  <c r="R120" i="57"/>
  <c r="R322" i="112" s="1"/>
  <c r="J121" i="57"/>
  <c r="J323" i="112" s="1"/>
  <c r="I121" i="57"/>
  <c r="I323" i="112" s="1"/>
  <c r="D106" i="57"/>
  <c r="E106" i="57" s="1"/>
  <c r="D34" i="57" l="1"/>
  <c r="E34" i="57" s="1"/>
  <c r="G138" i="58"/>
  <c r="E14" i="58" s="1" a="1"/>
  <c r="E14" i="58" s="1"/>
  <c r="R140" i="69" s="1"/>
  <c r="E140" i="69" s="1"/>
  <c r="D118" i="58"/>
  <c r="K143" i="58" s="1"/>
  <c r="K365" i="112" s="1"/>
  <c r="K144" i="58"/>
  <c r="K366" i="112" s="1"/>
  <c r="H137" i="69"/>
  <c r="L121" i="57"/>
  <c r="L323" i="112" s="1"/>
  <c r="L120" i="57"/>
  <c r="L322" i="112" s="1"/>
  <c r="H115" i="57" l="1"/>
  <c r="N121" i="57" s="1"/>
  <c r="N323" i="112" s="1"/>
  <c r="H51" i="57"/>
  <c r="G115" i="57"/>
  <c r="E11" i="57" s="1" a="1"/>
  <c r="E11" i="57" s="1"/>
  <c r="X200" i="69" s="1"/>
  <c r="E200" i="69" s="1"/>
  <c r="G116" i="57"/>
  <c r="E12" i="57" s="1" a="1"/>
  <c r="E12" i="57" s="1"/>
  <c r="X201" i="69" s="1"/>
  <c r="E201" i="69" s="1"/>
  <c r="L143" i="58"/>
  <c r="L365" i="112" s="1"/>
  <c r="L144" i="58"/>
  <c r="L366" i="112" s="1"/>
  <c r="N120" i="57" l="1"/>
  <c r="N322" i="112" s="1"/>
  <c r="N57" i="57"/>
  <c r="N319" i="112" s="1"/>
  <c r="N56" i="57"/>
  <c r="N318" i="112" s="1"/>
  <c r="G135" i="58"/>
  <c r="E11" i="58" s="1" a="1"/>
  <c r="E11" i="58" s="1"/>
  <c r="R137" i="69" s="1"/>
  <c r="E137" i="69" s="1"/>
  <c r="G136" i="58"/>
  <c r="E12" i="58" s="1" a="1"/>
  <c r="E12" i="58" s="1"/>
  <c r="R138" i="69" s="1"/>
  <c r="E138" i="69" s="1"/>
  <c r="C199" i="50"/>
  <c r="D199" i="50"/>
  <c r="S118" i="50"/>
  <c r="S411" i="112" s="1"/>
  <c r="T118" i="50"/>
  <c r="T411" i="112" s="1"/>
  <c r="U118" i="50"/>
  <c r="U411" i="112" s="1"/>
  <c r="V118" i="50"/>
  <c r="V411" i="112" s="1"/>
  <c r="W118" i="50"/>
  <c r="W411" i="112" s="1"/>
  <c r="S119" i="50"/>
  <c r="S412" i="112" s="1"/>
  <c r="T119" i="50"/>
  <c r="T412" i="112" s="1"/>
  <c r="U119" i="50"/>
  <c r="U412" i="112" s="1"/>
  <c r="V119" i="50"/>
  <c r="V412" i="112" s="1"/>
  <c r="W119" i="50"/>
  <c r="W412" i="112" s="1"/>
  <c r="W117" i="50"/>
  <c r="W410" i="112" s="1"/>
  <c r="V117" i="50"/>
  <c r="V410" i="112" s="1"/>
  <c r="U117" i="50"/>
  <c r="U410" i="112" s="1"/>
  <c r="T117" i="50"/>
  <c r="T410" i="112" s="1"/>
  <c r="S117" i="50"/>
  <c r="S410" i="112" s="1"/>
  <c r="R118" i="50"/>
  <c r="R411" i="112" s="1"/>
  <c r="R119" i="50"/>
  <c r="R412" i="112" s="1"/>
  <c r="R117" i="50"/>
  <c r="R410" i="112" s="1"/>
  <c r="Q119" i="50"/>
  <c r="Q412" i="112" s="1"/>
  <c r="Q118" i="50"/>
  <c r="Q411" i="112" s="1"/>
  <c r="Q117" i="50"/>
  <c r="Q410" i="112" s="1"/>
  <c r="F110" i="50" a="1"/>
  <c r="F110" i="50" s="1"/>
  <c r="F111" i="50" a="1"/>
  <c r="F111" i="50" s="1"/>
  <c r="I119" i="50"/>
  <c r="I412" i="112" s="1"/>
  <c r="J119" i="50"/>
  <c r="J412" i="112" s="1"/>
  <c r="D111" i="50"/>
  <c r="D110" i="50"/>
  <c r="D109" i="50"/>
  <c r="I189" i="50" l="1"/>
  <c r="I417" i="112" s="1"/>
  <c r="J189" i="50"/>
  <c r="J417" i="112" s="1"/>
  <c r="F189" i="50"/>
  <c r="F417" i="112" s="1"/>
  <c r="I187" i="50"/>
  <c r="I415" i="112" s="1"/>
  <c r="J187" i="50"/>
  <c r="J415" i="112" s="1"/>
  <c r="F183" i="50" a="1"/>
  <c r="F183" i="50" s="1"/>
  <c r="D141" i="50"/>
  <c r="E141" i="50" s="1"/>
  <c r="I118" i="50"/>
  <c r="I411" i="112" s="1"/>
  <c r="J118" i="50"/>
  <c r="J411" i="112" s="1"/>
  <c r="F118" i="50"/>
  <c r="F411" i="112" s="1"/>
  <c r="I117" i="50"/>
  <c r="I410" i="112" s="1"/>
  <c r="J117" i="50"/>
  <c r="J410" i="112" s="1"/>
  <c r="F117" i="50"/>
  <c r="F410" i="112" s="1"/>
  <c r="F109" i="50" a="1"/>
  <c r="F109" i="50" s="1"/>
  <c r="D36" i="50"/>
  <c r="E36" i="50" s="1"/>
  <c r="H181" i="50" l="1"/>
  <c r="L189" i="50"/>
  <c r="L417" i="112" s="1"/>
  <c r="L119" i="50"/>
  <c r="L412" i="112" s="1"/>
  <c r="L118" i="50"/>
  <c r="L411" i="112" s="1"/>
  <c r="L187" i="50"/>
  <c r="L415" i="112" s="1"/>
  <c r="L117" i="50"/>
  <c r="L410" i="112" s="1"/>
  <c r="C79" i="44"/>
  <c r="B79" i="44"/>
  <c r="C78" i="44"/>
  <c r="B78" i="44"/>
  <c r="C73" i="44"/>
  <c r="C72" i="44"/>
  <c r="B74" i="44"/>
  <c r="B73" i="44"/>
  <c r="B72" i="44"/>
  <c r="N187" i="50" l="1"/>
  <c r="N415" i="112" s="1"/>
  <c r="N188" i="50"/>
  <c r="N416" i="112" s="1"/>
  <c r="N189" i="50"/>
  <c r="N417" i="112" s="1"/>
  <c r="G110" i="50"/>
  <c r="E12" i="50" s="1" a="1"/>
  <c r="E12" i="50" s="1"/>
  <c r="J56" i="69" s="1"/>
  <c r="E56" i="69" s="1"/>
  <c r="G109" i="50"/>
  <c r="G181" i="50"/>
  <c r="F11" i="50" s="1" a="1"/>
  <c r="F11" i="50" s="1"/>
  <c r="G111" i="50"/>
  <c r="G183" i="50"/>
  <c r="F13" i="50" s="1" a="1"/>
  <c r="F13" i="50" s="1"/>
  <c r="C80" i="44"/>
  <c r="D85" i="44" s="1"/>
  <c r="C74" i="44"/>
  <c r="D84" i="44" s="1"/>
  <c r="K50" i="45"/>
  <c r="K7" i="112" s="1"/>
  <c r="K49" i="45"/>
  <c r="K6" i="112" s="1"/>
  <c r="E11" i="50" l="1" a="1"/>
  <c r="E11" i="50" s="1"/>
  <c r="J55" i="69" s="1"/>
  <c r="N55" i="69"/>
  <c r="N57" i="69"/>
  <c r="E13" i="50" a="1"/>
  <c r="E13" i="50" s="1"/>
  <c r="J57" i="69" s="1"/>
  <c r="K181" i="47"/>
  <c r="K180" i="47"/>
  <c r="K147" i="47"/>
  <c r="K146" i="47"/>
  <c r="K111" i="47"/>
  <c r="K150" i="42"/>
  <c r="K149" i="42"/>
  <c r="K104" i="112" s="1"/>
  <c r="K102" i="112"/>
  <c r="K148" i="42"/>
  <c r="K103" i="112" s="1"/>
  <c r="K111" i="42"/>
  <c r="K101" i="112" s="1"/>
  <c r="K79" i="42"/>
  <c r="K100" i="112" s="1"/>
  <c r="K78" i="42"/>
  <c r="K99" i="112" s="1"/>
  <c r="F44" i="45" a="1"/>
  <c r="F44" i="45" s="1"/>
  <c r="F45" i="45" a="1"/>
  <c r="F45" i="45" s="1"/>
  <c r="W50" i="45"/>
  <c r="W7" i="112" s="1"/>
  <c r="V50" i="45"/>
  <c r="V7" i="112" s="1"/>
  <c r="U50" i="45"/>
  <c r="U7" i="112" s="1"/>
  <c r="T50" i="45"/>
  <c r="T7" i="112" s="1"/>
  <c r="S50" i="45"/>
  <c r="S7" i="112" s="1"/>
  <c r="R50" i="45"/>
  <c r="R7" i="112" s="1"/>
  <c r="Q50" i="45"/>
  <c r="Q7" i="112" s="1"/>
  <c r="I50" i="45"/>
  <c r="I7" i="112" s="1"/>
  <c r="F50" i="45"/>
  <c r="F7" i="112" s="1"/>
  <c r="W49" i="45"/>
  <c r="W6" i="112" s="1"/>
  <c r="V49" i="45"/>
  <c r="V6" i="112" s="1"/>
  <c r="U49" i="45"/>
  <c r="U6" i="112" s="1"/>
  <c r="T49" i="45"/>
  <c r="T6" i="112" s="1"/>
  <c r="S49" i="45"/>
  <c r="S6" i="112" s="1"/>
  <c r="R49" i="45"/>
  <c r="R6" i="112" s="1"/>
  <c r="Q49" i="45"/>
  <c r="Q6" i="112" s="1"/>
  <c r="F49" i="45"/>
  <c r="F6" i="112" s="1"/>
  <c r="E55" i="69" l="1"/>
  <c r="E57" i="69"/>
  <c r="J49" i="45"/>
  <c r="J6" i="112" s="1"/>
  <c r="J50" i="45"/>
  <c r="J7" i="112" s="1"/>
  <c r="L49" i="45" l="1"/>
  <c r="L6" i="112" s="1"/>
  <c r="L50" i="45"/>
  <c r="L7" i="112" s="1"/>
  <c r="G45" i="45" l="1"/>
  <c r="G44" i="45"/>
  <c r="B78" i="47"/>
  <c r="D41" i="47"/>
  <c r="D42" i="47"/>
  <c r="D43" i="47"/>
  <c r="D44" i="47"/>
  <c r="D45" i="47"/>
  <c r="D40" i="47"/>
  <c r="D26" i="47"/>
  <c r="D27" i="47"/>
  <c r="D28" i="47"/>
  <c r="D29" i="47"/>
  <c r="D30" i="47"/>
  <c r="D31" i="47"/>
  <c r="R148" i="42"/>
  <c r="R103" i="112" s="1"/>
  <c r="S148" i="42"/>
  <c r="S103" i="112" s="1"/>
  <c r="T148" i="42"/>
  <c r="T103" i="112" s="1"/>
  <c r="U148" i="42"/>
  <c r="U103" i="112" s="1"/>
  <c r="V148" i="42"/>
  <c r="V103" i="112" s="1"/>
  <c r="W148" i="42"/>
  <c r="W103" i="112" s="1"/>
  <c r="R102" i="112"/>
  <c r="S102" i="112"/>
  <c r="T102" i="112"/>
  <c r="U102" i="112"/>
  <c r="V102" i="112"/>
  <c r="W102" i="112"/>
  <c r="R149" i="42"/>
  <c r="R104" i="112" s="1"/>
  <c r="S149" i="42"/>
  <c r="S104" i="112" s="1"/>
  <c r="T149" i="42"/>
  <c r="T104" i="112" s="1"/>
  <c r="U149" i="42"/>
  <c r="U104" i="112" s="1"/>
  <c r="V149" i="42"/>
  <c r="V104" i="112" s="1"/>
  <c r="W149" i="42"/>
  <c r="W104" i="112" s="1"/>
  <c r="R150" i="42"/>
  <c r="S150" i="42"/>
  <c r="T150" i="42"/>
  <c r="U150" i="42"/>
  <c r="V150" i="42"/>
  <c r="W150" i="42"/>
  <c r="Q149" i="42"/>
  <c r="Q104" i="112" s="1"/>
  <c r="Q102" i="112"/>
  <c r="Q150" i="42"/>
  <c r="I102" i="112"/>
  <c r="I149" i="42"/>
  <c r="I104" i="112" s="1"/>
  <c r="I150" i="42"/>
  <c r="W111" i="42"/>
  <c r="W101" i="112" s="1"/>
  <c r="F74" i="42" a="1"/>
  <c r="F74" i="42" s="1"/>
  <c r="F73" i="42" a="1"/>
  <c r="F73" i="42" s="1"/>
  <c r="R79" i="42"/>
  <c r="R100" i="112" s="1"/>
  <c r="S79" i="42"/>
  <c r="S100" i="112" s="1"/>
  <c r="T79" i="42"/>
  <c r="T100" i="112" s="1"/>
  <c r="U79" i="42"/>
  <c r="U100" i="112" s="1"/>
  <c r="V79" i="42"/>
  <c r="V100" i="112" s="1"/>
  <c r="W79" i="42"/>
  <c r="W100" i="112" s="1"/>
  <c r="R78" i="42"/>
  <c r="R99" i="112" s="1"/>
  <c r="S78" i="42"/>
  <c r="S99" i="112" s="1"/>
  <c r="T78" i="42"/>
  <c r="T99" i="112" s="1"/>
  <c r="U78" i="42"/>
  <c r="U99" i="112" s="1"/>
  <c r="V78" i="42"/>
  <c r="V99" i="112" s="1"/>
  <c r="W78" i="42"/>
  <c r="W99" i="112" s="1"/>
  <c r="Q79" i="42"/>
  <c r="Q100" i="112" s="1"/>
  <c r="F107" i="44" a="1"/>
  <c r="F107" i="44" s="1"/>
  <c r="D145" i="44"/>
  <c r="D144" i="44"/>
  <c r="E144" i="44" s="1"/>
  <c r="D143" i="44"/>
  <c r="E143" i="44" s="1"/>
  <c r="S112" i="44"/>
  <c r="T112" i="44"/>
  <c r="U112" i="44"/>
  <c r="V112" i="44"/>
  <c r="W112" i="44"/>
  <c r="R112" i="44"/>
  <c r="S111" i="44"/>
  <c r="T111" i="44"/>
  <c r="U111" i="44"/>
  <c r="V111" i="44"/>
  <c r="W111" i="44"/>
  <c r="R111" i="44"/>
  <c r="C94" i="44"/>
  <c r="B93" i="44"/>
  <c r="C93" i="44"/>
  <c r="W57" i="112" l="1"/>
  <c r="C58" i="112"/>
  <c r="O58" i="112"/>
  <c r="M57" i="112"/>
  <c r="D58" i="112"/>
  <c r="P58" i="112"/>
  <c r="E58" i="112"/>
  <c r="Q58" i="112"/>
  <c r="V58" i="112"/>
  <c r="C57" i="112"/>
  <c r="O57" i="112"/>
  <c r="F58" i="112"/>
  <c r="R58" i="112"/>
  <c r="U58" i="112"/>
  <c r="J58" i="112"/>
  <c r="D57" i="112"/>
  <c r="P57" i="112"/>
  <c r="G58" i="112"/>
  <c r="S58" i="112"/>
  <c r="R57" i="112"/>
  <c r="G57" i="112"/>
  <c r="E57" i="112"/>
  <c r="Q57" i="112"/>
  <c r="H58" i="112"/>
  <c r="T58" i="112"/>
  <c r="I58" i="112"/>
  <c r="S57" i="112"/>
  <c r="F57" i="112"/>
  <c r="H57" i="112"/>
  <c r="T57" i="112"/>
  <c r="W58" i="112"/>
  <c r="M58" i="112"/>
  <c r="I57" i="112"/>
  <c r="U57" i="112"/>
  <c r="J57" i="112"/>
  <c r="V57" i="112"/>
  <c r="O53" i="112"/>
  <c r="K51" i="112"/>
  <c r="G54" i="112"/>
  <c r="G56" i="112"/>
  <c r="P55" i="112"/>
  <c r="M53" i="112"/>
  <c r="C52" i="112"/>
  <c r="E56" i="112"/>
  <c r="F56" i="112"/>
  <c r="O55" i="112"/>
  <c r="K53" i="112"/>
  <c r="G51" i="112"/>
  <c r="M55" i="112"/>
  <c r="C54" i="112"/>
  <c r="P53" i="112"/>
  <c r="F52" i="112"/>
  <c r="D56" i="112"/>
  <c r="K55" i="112"/>
  <c r="G53" i="112"/>
  <c r="P52" i="112"/>
  <c r="E55" i="112"/>
  <c r="C56" i="112"/>
  <c r="F53" i="112"/>
  <c r="O52" i="112"/>
  <c r="G55" i="112"/>
  <c r="P54" i="112"/>
  <c r="M52" i="112"/>
  <c r="C51" i="112"/>
  <c r="P56" i="112"/>
  <c r="C53" i="112"/>
  <c r="M51" i="112"/>
  <c r="O54" i="112"/>
  <c r="K52" i="112"/>
  <c r="M54" i="112"/>
  <c r="K56" i="112"/>
  <c r="O56" i="112"/>
  <c r="D55" i="112"/>
  <c r="K54" i="112"/>
  <c r="G52" i="112"/>
  <c r="P51" i="112"/>
  <c r="M56" i="112"/>
  <c r="C55" i="112"/>
  <c r="O51" i="112"/>
  <c r="H53" i="112"/>
  <c r="H55" i="112"/>
  <c r="H54" i="112"/>
  <c r="H56" i="112"/>
  <c r="H52" i="112"/>
  <c r="H51" i="112"/>
  <c r="C14" i="112"/>
  <c r="R13" i="112"/>
  <c r="E12" i="112"/>
  <c r="D14" i="112"/>
  <c r="R12" i="112"/>
  <c r="W13" i="112"/>
  <c r="O14" i="112"/>
  <c r="W12" i="112"/>
  <c r="G13" i="112"/>
  <c r="T13" i="112"/>
  <c r="G12" i="112"/>
  <c r="P12" i="112"/>
  <c r="D13" i="112"/>
  <c r="O13" i="112"/>
  <c r="H14" i="112"/>
  <c r="Q14" i="112"/>
  <c r="T12" i="112"/>
  <c r="H13" i="112"/>
  <c r="V13" i="112"/>
  <c r="Q12" i="112"/>
  <c r="Q13" i="112"/>
  <c r="D12" i="112"/>
  <c r="H12" i="112"/>
  <c r="F13" i="112"/>
  <c r="M14" i="112"/>
  <c r="V12" i="112"/>
  <c r="J13" i="112"/>
  <c r="O12" i="112"/>
  <c r="S13" i="112"/>
  <c r="F12" i="112"/>
  <c r="E14" i="112"/>
  <c r="C12" i="112"/>
  <c r="P14" i="112"/>
  <c r="C13" i="112"/>
  <c r="M13" i="112"/>
  <c r="U13" i="112"/>
  <c r="G14" i="112"/>
  <c r="S12" i="112"/>
  <c r="E13" i="112"/>
  <c r="P13" i="112"/>
  <c r="M12" i="112"/>
  <c r="U12" i="112"/>
  <c r="X191" i="69"/>
  <c r="J149" i="42"/>
  <c r="J150" i="42"/>
  <c r="D78" i="47"/>
  <c r="C81" i="47" s="1"/>
  <c r="C95" i="44"/>
  <c r="J104" i="112" l="1"/>
  <c r="K112" i="47"/>
  <c r="K57" i="112" s="1"/>
  <c r="K113" i="47"/>
  <c r="K58" i="112" s="1"/>
  <c r="C100" i="44"/>
  <c r="C101" i="44" s="1"/>
  <c r="K112" i="44" s="1"/>
  <c r="K13" i="112" s="1"/>
  <c r="L149" i="42"/>
  <c r="L104" i="112" s="1"/>
  <c r="L150" i="42"/>
  <c r="D86" i="44"/>
  <c r="I112" i="44"/>
  <c r="I13" i="112" s="1"/>
  <c r="I111" i="44"/>
  <c r="I12" i="112" s="1"/>
  <c r="F106" i="44" a="1"/>
  <c r="F106" i="44" s="1"/>
  <c r="E84" i="44"/>
  <c r="G84" i="44" s="1"/>
  <c r="F48" i="44"/>
  <c r="F47" i="44"/>
  <c r="E86" i="44" s="1"/>
  <c r="F46" i="44"/>
  <c r="F45" i="44"/>
  <c r="F44" i="44"/>
  <c r="F43" i="44"/>
  <c r="E85" i="44" s="1"/>
  <c r="F42" i="44"/>
  <c r="F41" i="44"/>
  <c r="K122" i="45"/>
  <c r="K11" i="112" s="1"/>
  <c r="K120" i="45"/>
  <c r="K9" i="112" s="1"/>
  <c r="I99" i="45"/>
  <c r="I98" i="45"/>
  <c r="L112" i="47" l="1"/>
  <c r="L57" i="112" s="1"/>
  <c r="L113" i="47"/>
  <c r="L58" i="112" s="1"/>
  <c r="G143" i="42"/>
  <c r="G12" i="42" s="1" a="1"/>
  <c r="G12" i="42" s="1"/>
  <c r="X209" i="69" s="1"/>
  <c r="L112" i="44"/>
  <c r="L13" i="112" s="1"/>
  <c r="J111" i="44"/>
  <c r="J12" i="112" s="1"/>
  <c r="G144" i="42"/>
  <c r="G13" i="42" s="1" a="1"/>
  <c r="G13" i="42" s="1"/>
  <c r="X210" i="69" l="1"/>
  <c r="Q177" i="41"/>
  <c r="Q82" i="112" s="1"/>
  <c r="R177" i="41"/>
  <c r="R82" i="112" s="1"/>
  <c r="S177" i="41"/>
  <c r="S82" i="112" s="1"/>
  <c r="T177" i="41"/>
  <c r="T82" i="112" s="1"/>
  <c r="U177" i="41"/>
  <c r="U82" i="112" s="1"/>
  <c r="V177" i="41"/>
  <c r="V82" i="112" s="1"/>
  <c r="W177" i="41"/>
  <c r="W82" i="112" s="1"/>
  <c r="Q178" i="41"/>
  <c r="Q83" i="112" s="1"/>
  <c r="R178" i="41"/>
  <c r="R83" i="112" s="1"/>
  <c r="S178" i="41"/>
  <c r="S83" i="112" s="1"/>
  <c r="T178" i="41"/>
  <c r="T83" i="112" s="1"/>
  <c r="U178" i="41"/>
  <c r="U83" i="112" s="1"/>
  <c r="V178" i="41"/>
  <c r="V83" i="112" s="1"/>
  <c r="W178" i="41"/>
  <c r="W83" i="112" s="1"/>
  <c r="Q179" i="41"/>
  <c r="Q84" i="112" s="1"/>
  <c r="R179" i="41"/>
  <c r="R84" i="112" s="1"/>
  <c r="S179" i="41"/>
  <c r="S84" i="112" s="1"/>
  <c r="T179" i="41"/>
  <c r="T84" i="112" s="1"/>
  <c r="U179" i="41"/>
  <c r="U84" i="112" s="1"/>
  <c r="V179" i="41"/>
  <c r="V84" i="112" s="1"/>
  <c r="W179" i="41"/>
  <c r="W84" i="112" s="1"/>
  <c r="Q180" i="41"/>
  <c r="Q85" i="112" s="1"/>
  <c r="R180" i="41"/>
  <c r="R85" i="112" s="1"/>
  <c r="S180" i="41"/>
  <c r="S85" i="112" s="1"/>
  <c r="T180" i="41"/>
  <c r="T85" i="112" s="1"/>
  <c r="U180" i="41"/>
  <c r="U85" i="112" s="1"/>
  <c r="V180" i="41"/>
  <c r="V85" i="112" s="1"/>
  <c r="W180" i="41"/>
  <c r="W85" i="112" s="1"/>
  <c r="Q181" i="41"/>
  <c r="Q86" i="112" s="1"/>
  <c r="R181" i="41"/>
  <c r="R86" i="112" s="1"/>
  <c r="S181" i="41"/>
  <c r="S86" i="112" s="1"/>
  <c r="T181" i="41"/>
  <c r="T86" i="112" s="1"/>
  <c r="U181" i="41"/>
  <c r="U86" i="112" s="1"/>
  <c r="V181" i="41"/>
  <c r="V86" i="112" s="1"/>
  <c r="W181" i="41"/>
  <c r="W86" i="112" s="1"/>
  <c r="R176" i="41"/>
  <c r="R81" i="112" s="1"/>
  <c r="S176" i="41"/>
  <c r="S81" i="112" s="1"/>
  <c r="T176" i="41"/>
  <c r="T81" i="112" s="1"/>
  <c r="U176" i="41"/>
  <c r="U81" i="112" s="1"/>
  <c r="V176" i="41"/>
  <c r="V81" i="112" s="1"/>
  <c r="W176" i="41"/>
  <c r="W81" i="112" s="1"/>
  <c r="Q176" i="41"/>
  <c r="Q81" i="112" s="1"/>
  <c r="I177" i="41"/>
  <c r="I82" i="112" s="1"/>
  <c r="I189" i="41"/>
  <c r="I94" i="112" s="1"/>
  <c r="I178" i="41"/>
  <c r="I83" i="112" s="1"/>
  <c r="I190" i="41"/>
  <c r="I95" i="112" s="1"/>
  <c r="I179" i="41"/>
  <c r="I84" i="112" s="1"/>
  <c r="I191" i="41"/>
  <c r="I96" i="112" s="1"/>
  <c r="I180" i="41"/>
  <c r="I85" i="112" s="1"/>
  <c r="I192" i="41"/>
  <c r="I97" i="112" s="1"/>
  <c r="I181" i="41"/>
  <c r="I86" i="112" s="1"/>
  <c r="I193" i="41"/>
  <c r="I98" i="112" s="1"/>
  <c r="E93" i="41"/>
  <c r="E92" i="41"/>
  <c r="C93" i="41"/>
  <c r="C92" i="41"/>
  <c r="F92" i="41" s="1"/>
  <c r="I188" i="41"/>
  <c r="I93" i="112" s="1"/>
  <c r="I176" i="41"/>
  <c r="I81" i="112" s="1"/>
  <c r="J314" i="43"/>
  <c r="J80" i="112" s="1"/>
  <c r="I314" i="43"/>
  <c r="I80" i="112" s="1"/>
  <c r="I128" i="43"/>
  <c r="I129" i="43"/>
  <c r="I130" i="43"/>
  <c r="I127" i="43"/>
  <c r="H132" i="43"/>
  <c r="H131" i="43"/>
  <c r="H134" i="43"/>
  <c r="H133" i="43"/>
  <c r="G131" i="43"/>
  <c r="G134" i="43"/>
  <c r="G133" i="43"/>
  <c r="G132" i="43"/>
  <c r="I303" i="43" l="1"/>
  <c r="I69" i="112" s="1"/>
  <c r="I313" i="43"/>
  <c r="I79" i="112" s="1"/>
  <c r="I301" i="43"/>
  <c r="I67" i="112" s="1"/>
  <c r="I302" i="43"/>
  <c r="I68" i="112" s="1"/>
  <c r="I310" i="43"/>
  <c r="I76" i="112" s="1"/>
  <c r="I298" i="43"/>
  <c r="I64" i="112" s="1"/>
  <c r="I309" i="43"/>
  <c r="I75" i="112" s="1"/>
  <c r="I297" i="43"/>
  <c r="I63" i="112" s="1"/>
  <c r="I299" i="43"/>
  <c r="I65" i="112" s="1"/>
  <c r="I307" i="43"/>
  <c r="I73" i="112" s="1"/>
  <c r="I306" i="43"/>
  <c r="I72" i="112" s="1"/>
  <c r="I294" i="43"/>
  <c r="I60" i="112" s="1"/>
  <c r="I304" i="43"/>
  <c r="I70" i="112" s="1"/>
  <c r="I312" i="43"/>
  <c r="I78" i="112" s="1"/>
  <c r="I300" i="43"/>
  <c r="I66" i="112" s="1"/>
  <c r="I311" i="43"/>
  <c r="I77" i="112" s="1"/>
  <c r="I308" i="43"/>
  <c r="I74" i="112" s="1"/>
  <c r="I296" i="43"/>
  <c r="I62" i="112" s="1"/>
  <c r="I295" i="43"/>
  <c r="I61" i="112" s="1"/>
  <c r="I305" i="43"/>
  <c r="I71" i="112" s="1"/>
  <c r="X23" i="69"/>
  <c r="J306" i="43"/>
  <c r="J72" i="112" s="1"/>
  <c r="J308" i="43"/>
  <c r="J74" i="112" s="1"/>
  <c r="J177" i="41"/>
  <c r="J82" i="112" s="1"/>
  <c r="J181" i="41"/>
  <c r="J86" i="112" s="1"/>
  <c r="J307" i="43"/>
  <c r="J73" i="112" s="1"/>
  <c r="J299" i="43"/>
  <c r="J65" i="112" s="1"/>
  <c r="J189" i="41"/>
  <c r="J94" i="112" s="1"/>
  <c r="J193" i="41"/>
  <c r="J98" i="112" s="1"/>
  <c r="J298" i="43"/>
  <c r="J64" i="112" s="1"/>
  <c r="J178" i="41"/>
  <c r="J83" i="112" s="1"/>
  <c r="J313" i="43"/>
  <c r="J79" i="112" s="1"/>
  <c r="J305" i="43"/>
  <c r="J71" i="112" s="1"/>
  <c r="J297" i="43"/>
  <c r="J63" i="112" s="1"/>
  <c r="J190" i="41"/>
  <c r="J95" i="112" s="1"/>
  <c r="J312" i="43"/>
  <c r="J78" i="112" s="1"/>
  <c r="J304" i="43"/>
  <c r="J70" i="112" s="1"/>
  <c r="J296" i="43"/>
  <c r="J62" i="112" s="1"/>
  <c r="J176" i="41"/>
  <c r="J81" i="112" s="1"/>
  <c r="J179" i="41"/>
  <c r="J84" i="112" s="1"/>
  <c r="J311" i="43"/>
  <c r="J77" i="112" s="1"/>
  <c r="J303" i="43"/>
  <c r="J69" i="112" s="1"/>
  <c r="J295" i="43"/>
  <c r="J61" i="112" s="1"/>
  <c r="J191" i="41"/>
  <c r="J96" i="112" s="1"/>
  <c r="J302" i="43"/>
  <c r="J68" i="112" s="1"/>
  <c r="J294" i="43"/>
  <c r="J60" i="112" s="1"/>
  <c r="J188" i="41"/>
  <c r="J93" i="112" s="1"/>
  <c r="J180" i="41"/>
  <c r="J85" i="112" s="1"/>
  <c r="J300" i="43"/>
  <c r="J66" i="112" s="1"/>
  <c r="J310" i="43"/>
  <c r="J76" i="112" s="1"/>
  <c r="J309" i="43"/>
  <c r="J75" i="112" s="1"/>
  <c r="J301" i="43"/>
  <c r="J67" i="112" s="1"/>
  <c r="J192" i="41"/>
  <c r="J97" i="112" s="1"/>
  <c r="L314" i="43"/>
  <c r="L80" i="112" s="1"/>
  <c r="F93" i="41"/>
  <c r="K182" i="41" s="1"/>
  <c r="K87" i="112" s="1"/>
  <c r="I131" i="43"/>
  <c r="I134" i="43"/>
  <c r="I133" i="43"/>
  <c r="I132" i="43"/>
  <c r="L182" i="41" l="1"/>
  <c r="G289" i="43"/>
  <c r="G21" i="43" s="1" a="1"/>
  <c r="G21" i="43" s="1"/>
  <c r="V34" i="69" s="1"/>
  <c r="K186" i="41"/>
  <c r="K91" i="112" s="1"/>
  <c r="K187" i="41"/>
  <c r="K92" i="112" s="1"/>
  <c r="K183" i="41"/>
  <c r="K88" i="112" s="1"/>
  <c r="K184" i="41"/>
  <c r="K89" i="112" s="1"/>
  <c r="K185" i="41"/>
  <c r="K90" i="112" s="1"/>
  <c r="K177" i="41"/>
  <c r="K82" i="112" s="1"/>
  <c r="K178" i="41"/>
  <c r="K83" i="112" s="1"/>
  <c r="K179" i="41"/>
  <c r="K84" i="112" s="1"/>
  <c r="K180" i="41"/>
  <c r="K85" i="112" s="1"/>
  <c r="K181" i="41"/>
  <c r="K86" i="112" s="1"/>
  <c r="K176" i="41"/>
  <c r="K81" i="112" s="1"/>
  <c r="L295" i="43"/>
  <c r="L61" i="112" s="1"/>
  <c r="L308" i="43"/>
  <c r="L74" i="112" s="1"/>
  <c r="L310" i="43"/>
  <c r="L76" i="112" s="1"/>
  <c r="L305" i="43"/>
  <c r="L71" i="112" s="1"/>
  <c r="L299" i="43"/>
  <c r="L65" i="112" s="1"/>
  <c r="L309" i="43"/>
  <c r="L75" i="112" s="1"/>
  <c r="L304" i="43"/>
  <c r="L70" i="112" s="1"/>
  <c r="L297" i="43"/>
  <c r="L63" i="112" s="1"/>
  <c r="L307" i="43"/>
  <c r="L73" i="112" s="1"/>
  <c r="L294" i="43"/>
  <c r="L60" i="112" s="1"/>
  <c r="L298" i="43"/>
  <c r="L64" i="112" s="1"/>
  <c r="L303" i="43"/>
  <c r="L69" i="112" s="1"/>
  <c r="L296" i="43"/>
  <c r="L62" i="112" s="1"/>
  <c r="L306" i="43"/>
  <c r="L72" i="112" s="1"/>
  <c r="L301" i="43"/>
  <c r="L67" i="112" s="1"/>
  <c r="L300" i="43"/>
  <c r="L66" i="112" s="1"/>
  <c r="L311" i="43"/>
  <c r="L77" i="112" s="1"/>
  <c r="L302" i="43"/>
  <c r="L68" i="112" s="1"/>
  <c r="L313" i="43"/>
  <c r="L79" i="112" s="1"/>
  <c r="L312" i="43"/>
  <c r="L78" i="112" s="1"/>
  <c r="G155" i="41" l="1"/>
  <c r="L87" i="112"/>
  <c r="G280" i="43"/>
  <c r="G12" i="43" s="1" a="1"/>
  <c r="G12" i="43" s="1"/>
  <c r="V25" i="69" s="1"/>
  <c r="G285" i="43"/>
  <c r="G17" i="43" s="1" a="1"/>
  <c r="G17" i="43" s="1"/>
  <c r="G281" i="43"/>
  <c r="G13" i="43" s="1" a="1"/>
  <c r="G13" i="43" s="1"/>
  <c r="G273" i="43"/>
  <c r="F16" i="43" s="1" a="1"/>
  <c r="F16" i="43" s="1"/>
  <c r="G282" i="43"/>
  <c r="G14" i="43" s="1" a="1"/>
  <c r="G14" i="43" s="1"/>
  <c r="G272" i="43"/>
  <c r="F15" i="43" s="1" a="1"/>
  <c r="F15" i="43" s="1"/>
  <c r="U28" i="69" s="1"/>
  <c r="G271" i="43"/>
  <c r="F14" i="43" s="1" a="1"/>
  <c r="F14" i="43" s="1"/>
  <c r="U27" i="69" s="1"/>
  <c r="G283" i="43"/>
  <c r="G15" i="43" s="1" a="1"/>
  <c r="G15" i="43" s="1"/>
  <c r="V28" i="69" s="1"/>
  <c r="G278" i="43"/>
  <c r="F21" i="43" s="1" a="1"/>
  <c r="F21" i="43" s="1"/>
  <c r="G274" i="43"/>
  <c r="F17" i="43" s="1" a="1"/>
  <c r="F17" i="43" s="1"/>
  <c r="U30" i="69" s="1"/>
  <c r="L187" i="41"/>
  <c r="L92" i="112" s="1"/>
  <c r="L178" i="41"/>
  <c r="L83" i="112" s="1"/>
  <c r="L177" i="41"/>
  <c r="L82" i="112" s="1"/>
  <c r="L185" i="41"/>
  <c r="L90" i="112" s="1"/>
  <c r="G24" i="41" a="1"/>
  <c r="G24" i="41" s="1"/>
  <c r="V23" i="69" s="1"/>
  <c r="L184" i="41"/>
  <c r="L89" i="112" s="1"/>
  <c r="L183" i="41"/>
  <c r="L88" i="112" s="1"/>
  <c r="L186" i="41"/>
  <c r="L91" i="112" s="1"/>
  <c r="L189" i="41"/>
  <c r="L94" i="112" s="1"/>
  <c r="L176" i="41"/>
  <c r="L179" i="41"/>
  <c r="L84" i="112" s="1"/>
  <c r="L193" i="41"/>
  <c r="L191" i="41"/>
  <c r="L96" i="112" s="1"/>
  <c r="L188" i="41"/>
  <c r="L93" i="112" s="1"/>
  <c r="L190" i="41"/>
  <c r="L95" i="112" s="1"/>
  <c r="L181" i="41"/>
  <c r="L86" i="112" s="1"/>
  <c r="L180" i="41"/>
  <c r="L85" i="112" s="1"/>
  <c r="L192" i="41"/>
  <c r="L97" i="112" s="1"/>
  <c r="G284" i="43"/>
  <c r="G16" i="43" s="1" a="1"/>
  <c r="G16" i="43" s="1"/>
  <c r="G269" i="43"/>
  <c r="F12" i="43" s="1" a="1"/>
  <c r="F12" i="43" s="1"/>
  <c r="G279" i="43"/>
  <c r="G11" i="43" s="1" a="1"/>
  <c r="G11" i="43" s="1"/>
  <c r="G270" i="43"/>
  <c r="F13" i="43" s="1" a="1"/>
  <c r="F13" i="43" s="1"/>
  <c r="G288" i="43"/>
  <c r="G20" i="43" s="1" a="1"/>
  <c r="G20" i="43" s="1"/>
  <c r="G276" i="43"/>
  <c r="F19" i="43" s="1" a="1"/>
  <c r="F19" i="43" s="1"/>
  <c r="G277" i="43"/>
  <c r="F20" i="43" s="1" a="1"/>
  <c r="F20" i="43" s="1"/>
  <c r="G286" i="43"/>
  <c r="G18" i="43" s="1" a="1"/>
  <c r="G18" i="43" s="1"/>
  <c r="G275" i="43"/>
  <c r="F18" i="43" s="1" a="1"/>
  <c r="F18" i="43" s="1"/>
  <c r="G287" i="43"/>
  <c r="G19" i="43" s="1" a="1"/>
  <c r="G19" i="43" s="1"/>
  <c r="Q180" i="47"/>
  <c r="Q55" i="112" s="1"/>
  <c r="F180" i="47"/>
  <c r="F55" i="112" s="1"/>
  <c r="W181" i="47"/>
  <c r="W56" i="112" s="1"/>
  <c r="V181" i="47"/>
  <c r="V56" i="112" s="1"/>
  <c r="U181" i="47"/>
  <c r="U56" i="112" s="1"/>
  <c r="T181" i="47"/>
  <c r="T56" i="112" s="1"/>
  <c r="S181" i="47"/>
  <c r="S56" i="112" s="1"/>
  <c r="R181" i="47"/>
  <c r="R56" i="112" s="1"/>
  <c r="Q181" i="47"/>
  <c r="Q56" i="112" s="1"/>
  <c r="I181" i="47"/>
  <c r="I56" i="112" s="1"/>
  <c r="W180" i="47"/>
  <c r="W55" i="112" s="1"/>
  <c r="V180" i="47"/>
  <c r="V55" i="112" s="1"/>
  <c r="U180" i="47"/>
  <c r="U55" i="112" s="1"/>
  <c r="T180" i="47"/>
  <c r="T55" i="112" s="1"/>
  <c r="S180" i="47"/>
  <c r="S55" i="112" s="1"/>
  <c r="R180" i="47"/>
  <c r="R55" i="112" s="1"/>
  <c r="I180" i="47"/>
  <c r="I55" i="112" s="1"/>
  <c r="F175" i="47" a="1"/>
  <c r="F175" i="47" s="1"/>
  <c r="R146" i="47"/>
  <c r="R52" i="112" s="1"/>
  <c r="S146" i="47"/>
  <c r="S52" i="112" s="1"/>
  <c r="T146" i="47"/>
  <c r="T52" i="112" s="1"/>
  <c r="U146" i="47"/>
  <c r="U52" i="112" s="1"/>
  <c r="V146" i="47"/>
  <c r="V52" i="112" s="1"/>
  <c r="W146" i="47"/>
  <c r="W52" i="112" s="1"/>
  <c r="R147" i="47"/>
  <c r="R53" i="112" s="1"/>
  <c r="S147" i="47"/>
  <c r="S53" i="112" s="1"/>
  <c r="T147" i="47"/>
  <c r="T53" i="112" s="1"/>
  <c r="U147" i="47"/>
  <c r="U53" i="112" s="1"/>
  <c r="V147" i="47"/>
  <c r="V53" i="112" s="1"/>
  <c r="W147" i="47"/>
  <c r="W53" i="112" s="1"/>
  <c r="Q146" i="47"/>
  <c r="Q52" i="112" s="1"/>
  <c r="Q147" i="47"/>
  <c r="Q53" i="112" s="1"/>
  <c r="Q54" i="112"/>
  <c r="I146" i="47"/>
  <c r="I52" i="112" s="1"/>
  <c r="D147" i="47"/>
  <c r="D53" i="112" s="1"/>
  <c r="D54" i="112"/>
  <c r="D146" i="47"/>
  <c r="D52" i="112" s="1"/>
  <c r="E147" i="47"/>
  <c r="E53" i="112" s="1"/>
  <c r="E54" i="112"/>
  <c r="E146" i="47"/>
  <c r="E52" i="112" s="1"/>
  <c r="I147" i="47"/>
  <c r="I53" i="112" s="1"/>
  <c r="W54" i="112"/>
  <c r="V54" i="112"/>
  <c r="U54" i="112"/>
  <c r="T54" i="112"/>
  <c r="S54" i="112"/>
  <c r="R54" i="112"/>
  <c r="I54" i="112"/>
  <c r="F54" i="112"/>
  <c r="Q111" i="47"/>
  <c r="Q51" i="112" s="1"/>
  <c r="G100" i="45"/>
  <c r="G101" i="45"/>
  <c r="H100" i="45"/>
  <c r="H101" i="45"/>
  <c r="D101" i="45"/>
  <c r="D100" i="45"/>
  <c r="D111" i="47"/>
  <c r="E111" i="47"/>
  <c r="E51" i="112" s="1"/>
  <c r="D98" i="45"/>
  <c r="H98" i="45"/>
  <c r="G98" i="45"/>
  <c r="D99" i="45"/>
  <c r="H99" i="45"/>
  <c r="G99" i="45"/>
  <c r="G12" i="47" a="1"/>
  <c r="G12" i="47" s="1"/>
  <c r="G13" i="47" a="1"/>
  <c r="G13" i="47" s="1"/>
  <c r="G14" i="47" a="1"/>
  <c r="G14" i="47" s="1"/>
  <c r="G15" i="47" a="1"/>
  <c r="G15" i="47" s="1"/>
  <c r="G16" i="47" a="1"/>
  <c r="G16" i="47" s="1"/>
  <c r="G11" i="47" a="1"/>
  <c r="G11" i="47" s="1"/>
  <c r="W111" i="47"/>
  <c r="W51" i="112" s="1"/>
  <c r="V111" i="47"/>
  <c r="V51" i="112" s="1"/>
  <c r="U111" i="47"/>
  <c r="U51" i="112" s="1"/>
  <c r="T111" i="47"/>
  <c r="T51" i="112" s="1"/>
  <c r="S111" i="47"/>
  <c r="S51" i="112" s="1"/>
  <c r="R111" i="47"/>
  <c r="R51" i="112" s="1"/>
  <c r="I111" i="47"/>
  <c r="I51" i="112" s="1"/>
  <c r="F111" i="47"/>
  <c r="F51" i="112" s="1"/>
  <c r="F12" i="47" a="1"/>
  <c r="F12" i="47" s="1"/>
  <c r="F13" i="47" a="1"/>
  <c r="F13" i="47" s="1"/>
  <c r="F14" i="47" a="1"/>
  <c r="F14" i="47" s="1"/>
  <c r="F15" i="47" a="1"/>
  <c r="F15" i="47" s="1"/>
  <c r="F16" i="47" a="1"/>
  <c r="F16" i="47" s="1"/>
  <c r="F11" i="47" a="1"/>
  <c r="F11" i="47" s="1"/>
  <c r="D51" i="112" l="1"/>
  <c r="F107" i="47" a="1"/>
  <c r="F107" i="47" s="1"/>
  <c r="G107" i="47" s="1"/>
  <c r="H16" i="47" s="1" a="1"/>
  <c r="H16" i="47" s="1"/>
  <c r="V207" i="69" s="1"/>
  <c r="F105" i="47" a="1"/>
  <c r="F105" i="47" s="1"/>
  <c r="F106" i="47" a="1"/>
  <c r="F106" i="47" s="1"/>
  <c r="G106" i="47" s="1"/>
  <c r="H15" i="47" s="1" a="1"/>
  <c r="H15" i="47" s="1"/>
  <c r="V206" i="69" s="1"/>
  <c r="G149" i="41"/>
  <c r="F13" i="41" s="1" a="1"/>
  <c r="F13" i="41" s="1"/>
  <c r="U12" i="69" s="1"/>
  <c r="L81" i="112"/>
  <c r="G166" i="41"/>
  <c r="L98" i="112"/>
  <c r="D167" i="47"/>
  <c r="E167" i="47" s="1"/>
  <c r="D192" i="43"/>
  <c r="E192" i="43" s="1"/>
  <c r="D97" i="47"/>
  <c r="E97" i="47" s="1"/>
  <c r="D133" i="47"/>
  <c r="E133" i="47" s="1"/>
  <c r="D65" i="47"/>
  <c r="G164" i="41"/>
  <c r="U29" i="69"/>
  <c r="V27" i="69"/>
  <c r="U34" i="69"/>
  <c r="V26" i="69"/>
  <c r="V30" i="69"/>
  <c r="G162" i="41"/>
  <c r="G20" i="41" a="1"/>
  <c r="G20" i="41" s="1"/>
  <c r="V19" i="69" s="1"/>
  <c r="G16" i="41" a="1"/>
  <c r="G16" i="41" s="1"/>
  <c r="V15" i="69" s="1"/>
  <c r="G163" i="41"/>
  <c r="G165" i="41"/>
  <c r="G151" i="41"/>
  <c r="G158" i="41"/>
  <c r="G153" i="41"/>
  <c r="G161" i="41"/>
  <c r="G13" i="41" s="1" a="1"/>
  <c r="G13" i="41" s="1"/>
  <c r="V12" i="69" s="1"/>
  <c r="G159" i="41"/>
  <c r="G154" i="41"/>
  <c r="G150" i="41"/>
  <c r="G156" i="41"/>
  <c r="G160" i="41"/>
  <c r="G157" i="41"/>
  <c r="G152" i="41"/>
  <c r="S203" i="69"/>
  <c r="S205" i="69"/>
  <c r="S204" i="69"/>
  <c r="T202" i="69"/>
  <c r="T203" i="69"/>
  <c r="T205" i="69"/>
  <c r="T204" i="69"/>
  <c r="S202" i="69"/>
  <c r="T207" i="69"/>
  <c r="T206" i="69"/>
  <c r="S207" i="69"/>
  <c r="S206" i="69"/>
  <c r="U31" i="69"/>
  <c r="V29" i="69"/>
  <c r="V32" i="69"/>
  <c r="U32" i="69"/>
  <c r="V33" i="69"/>
  <c r="V24" i="69"/>
  <c r="U26" i="69"/>
  <c r="V31" i="69"/>
  <c r="U25" i="69"/>
  <c r="U33" i="69"/>
  <c r="J147" i="47"/>
  <c r="J53" i="112" s="1"/>
  <c r="J180" i="47"/>
  <c r="J55" i="112" s="1"/>
  <c r="J111" i="47"/>
  <c r="J51" i="112" s="1"/>
  <c r="J146" i="47"/>
  <c r="J52" i="112" s="1"/>
  <c r="J181" i="47"/>
  <c r="J56" i="112" s="1"/>
  <c r="J54" i="112"/>
  <c r="F142" i="47" a="1"/>
  <c r="F142" i="47" s="1"/>
  <c r="F141" i="47" a="1"/>
  <c r="F141" i="47" s="1"/>
  <c r="F176" i="47" a="1"/>
  <c r="F176" i="47" s="1"/>
  <c r="J98" i="45"/>
  <c r="D106" i="45" s="1"/>
  <c r="J99" i="45"/>
  <c r="D107" i="45" s="1"/>
  <c r="E12" i="69" l="1"/>
  <c r="E204" i="69"/>
  <c r="E65" i="47"/>
  <c r="H106" i="47"/>
  <c r="N112" i="47" s="1"/>
  <c r="N57" i="112" s="1"/>
  <c r="H107" i="47"/>
  <c r="N113" i="47" s="1"/>
  <c r="N58" i="112" s="1"/>
  <c r="H105" i="47"/>
  <c r="N111" i="47" s="1"/>
  <c r="N51" i="112" s="1"/>
  <c r="H141" i="47"/>
  <c r="H175" i="47"/>
  <c r="F15" i="41" a="1"/>
  <c r="F15" i="41" s="1"/>
  <c r="U14" i="69" s="1"/>
  <c r="G15" i="41" a="1"/>
  <c r="G15" i="41" s="1"/>
  <c r="V14" i="69" s="1"/>
  <c r="G17" i="41" a="1"/>
  <c r="G17" i="41" s="1"/>
  <c r="V16" i="69" s="1"/>
  <c r="F17" i="41" a="1"/>
  <c r="F17" i="41" s="1"/>
  <c r="U16" i="69" s="1"/>
  <c r="E16" i="69" s="1"/>
  <c r="G19" i="41" a="1"/>
  <c r="G19" i="41" s="1"/>
  <c r="V18" i="69" s="1"/>
  <c r="G23" i="41" a="1"/>
  <c r="G23" i="41" s="1"/>
  <c r="V22" i="69" s="1"/>
  <c r="G22" i="41" a="1"/>
  <c r="G22" i="41" s="1"/>
  <c r="V21" i="69" s="1"/>
  <c r="G21" i="41" a="1"/>
  <c r="G21" i="41" s="1"/>
  <c r="V20" i="69" s="1"/>
  <c r="G18" i="41" a="1"/>
  <c r="G18" i="41" s="1"/>
  <c r="V17" i="69" s="1"/>
  <c r="F22" i="41" a="1"/>
  <c r="F22" i="41" s="1"/>
  <c r="U21" i="69" s="1"/>
  <c r="G14" i="41" a="1"/>
  <c r="G14" i="41" s="1"/>
  <c r="V13" i="69" s="1"/>
  <c r="F19" i="41" a="1"/>
  <c r="F19" i="41" s="1"/>
  <c r="U18" i="69" s="1"/>
  <c r="F18" i="41" a="1"/>
  <c r="F18" i="41" s="1"/>
  <c r="U17" i="69" s="1"/>
  <c r="F23" i="41" a="1"/>
  <c r="F23" i="41" s="1"/>
  <c r="U22" i="69" s="1"/>
  <c r="F24" i="41" a="1"/>
  <c r="F24" i="41" s="1"/>
  <c r="U23" i="69" s="1"/>
  <c r="F20" i="41" a="1"/>
  <c r="F20" i="41" s="1"/>
  <c r="U19" i="69" s="1"/>
  <c r="E19" i="69" s="1"/>
  <c r="F16" i="41" a="1"/>
  <c r="F16" i="41" s="1"/>
  <c r="U15" i="69" s="1"/>
  <c r="E15" i="69" s="1"/>
  <c r="F14" i="41" a="1"/>
  <c r="F14" i="41" s="1"/>
  <c r="U13" i="69" s="1"/>
  <c r="F21" i="41" a="1"/>
  <c r="F21" i="41" s="1"/>
  <c r="U20" i="69" s="1"/>
  <c r="L180" i="47"/>
  <c r="L55" i="112" s="1"/>
  <c r="L111" i="47"/>
  <c r="L51" i="112" s="1"/>
  <c r="L147" i="47"/>
  <c r="L53" i="112" s="1"/>
  <c r="L146" i="47"/>
  <c r="L52" i="112" s="1"/>
  <c r="L181" i="47"/>
  <c r="L56" i="112" s="1"/>
  <c r="L54" i="112"/>
  <c r="E21" i="69" l="1"/>
  <c r="E20" i="69"/>
  <c r="E13" i="69"/>
  <c r="E22" i="69"/>
  <c r="E17" i="69"/>
  <c r="E14" i="69"/>
  <c r="E18" i="69"/>
  <c r="G105" i="47"/>
  <c r="H14" i="47" s="1" a="1"/>
  <c r="H14" i="47" s="1"/>
  <c r="N181" i="47"/>
  <c r="N56" i="112" s="1"/>
  <c r="N180" i="47"/>
  <c r="N55" i="112" s="1"/>
  <c r="N147" i="47"/>
  <c r="N53" i="112" s="1"/>
  <c r="N146" i="47"/>
  <c r="N52" i="112" s="1"/>
  <c r="N54" i="112"/>
  <c r="G176" i="47"/>
  <c r="J16" i="47" s="1" a="1"/>
  <c r="J16" i="47" s="1"/>
  <c r="G175" i="47"/>
  <c r="J15" i="47" s="1" a="1"/>
  <c r="J15" i="47" s="1"/>
  <c r="G141" i="47"/>
  <c r="I11" i="47" s="1" a="1"/>
  <c r="I11" i="47" s="1"/>
  <c r="G142" i="47"/>
  <c r="I12" i="47" s="1" a="1"/>
  <c r="I12" i="47" s="1"/>
  <c r="T154" i="44"/>
  <c r="T14" i="112" s="1"/>
  <c r="S154" i="44"/>
  <c r="S14" i="112" s="1"/>
  <c r="R154" i="44"/>
  <c r="R14" i="112" s="1"/>
  <c r="I154" i="44"/>
  <c r="I14" i="112" s="1"/>
  <c r="G148" i="42"/>
  <c r="G103" i="112" s="1"/>
  <c r="Q148" i="42"/>
  <c r="Q103" i="112" s="1"/>
  <c r="E12" i="45"/>
  <c r="E14" i="45"/>
  <c r="E11" i="45"/>
  <c r="F115" i="45" a="1"/>
  <c r="F115" i="45" s="1"/>
  <c r="F114" i="45" a="1"/>
  <c r="F114" i="45" s="1"/>
  <c r="F113" i="45" a="1"/>
  <c r="F113" i="45" s="1"/>
  <c r="F112" i="45" a="1"/>
  <c r="F112" i="45" s="1"/>
  <c r="D89" i="45"/>
  <c r="K121" i="45" s="1"/>
  <c r="K10" i="112" s="1"/>
  <c r="D87" i="45"/>
  <c r="K119" i="45" s="1"/>
  <c r="K8" i="112" s="1"/>
  <c r="F154" i="44"/>
  <c r="F14" i="112" s="1"/>
  <c r="F84" i="44"/>
  <c r="H84" i="44" s="1"/>
  <c r="I84" i="44" s="1"/>
  <c r="F85" i="44"/>
  <c r="H85" i="44" s="1"/>
  <c r="I85" i="44" s="1"/>
  <c r="G85" i="44"/>
  <c r="F86" i="44"/>
  <c r="H86" i="44" s="1"/>
  <c r="I86" i="44" s="1"/>
  <c r="G86" i="44"/>
  <c r="F149" i="44" a="1"/>
  <c r="F149" i="44" s="1"/>
  <c r="C145" i="44"/>
  <c r="E145" i="44" s="1"/>
  <c r="K154" i="44" s="1"/>
  <c r="K14" i="112" s="1"/>
  <c r="F88" i="36" a="1"/>
  <c r="F88" i="36" s="1"/>
  <c r="Q120" i="45"/>
  <c r="Q9" i="112" s="1"/>
  <c r="R120" i="45"/>
  <c r="R9" i="112" s="1"/>
  <c r="S120" i="45"/>
  <c r="S9" i="112" s="1"/>
  <c r="T120" i="45"/>
  <c r="T9" i="112" s="1"/>
  <c r="U120" i="45"/>
  <c r="U9" i="112" s="1"/>
  <c r="V120" i="45"/>
  <c r="V9" i="112" s="1"/>
  <c r="W120" i="45"/>
  <c r="W9" i="112" s="1"/>
  <c r="Q121" i="45"/>
  <c r="Q10" i="112" s="1"/>
  <c r="R121" i="45"/>
  <c r="R10" i="112" s="1"/>
  <c r="S121" i="45"/>
  <c r="S10" i="112" s="1"/>
  <c r="T121" i="45"/>
  <c r="T10" i="112" s="1"/>
  <c r="U121" i="45"/>
  <c r="U10" i="112" s="1"/>
  <c r="V121" i="45"/>
  <c r="V10" i="112" s="1"/>
  <c r="W121" i="45"/>
  <c r="W10" i="112" s="1"/>
  <c r="Q122" i="45"/>
  <c r="Q11" i="112" s="1"/>
  <c r="R122" i="45"/>
  <c r="R11" i="112" s="1"/>
  <c r="S122" i="45"/>
  <c r="S11" i="112" s="1"/>
  <c r="T122" i="45"/>
  <c r="T11" i="112" s="1"/>
  <c r="U122" i="45"/>
  <c r="U11" i="112" s="1"/>
  <c r="V122" i="45"/>
  <c r="V11" i="112" s="1"/>
  <c r="W122" i="45"/>
  <c r="W11" i="112" s="1"/>
  <c r="W119" i="45"/>
  <c r="W8" i="112" s="1"/>
  <c r="V119" i="45"/>
  <c r="V8" i="112" s="1"/>
  <c r="U119" i="45"/>
  <c r="U8" i="112" s="1"/>
  <c r="T119" i="45"/>
  <c r="T8" i="112" s="1"/>
  <c r="S119" i="45"/>
  <c r="S8" i="112" s="1"/>
  <c r="R119" i="45"/>
  <c r="R8" i="112" s="1"/>
  <c r="Q119" i="45"/>
  <c r="Q8" i="112" s="1"/>
  <c r="F120" i="45"/>
  <c r="F9" i="112" s="1"/>
  <c r="F121" i="45"/>
  <c r="F10" i="112" s="1"/>
  <c r="F122" i="45"/>
  <c r="F11" i="112" s="1"/>
  <c r="F119" i="45"/>
  <c r="F8" i="112" s="1"/>
  <c r="I119" i="45"/>
  <c r="I8" i="112" s="1"/>
  <c r="I120" i="45"/>
  <c r="I9" i="112" s="1"/>
  <c r="I121" i="45"/>
  <c r="I10" i="112" s="1"/>
  <c r="I122" i="45"/>
  <c r="I11" i="112" s="1"/>
  <c r="C60" i="45"/>
  <c r="C61" i="45"/>
  <c r="D61" i="45"/>
  <c r="C62" i="45"/>
  <c r="D62" i="45"/>
  <c r="D59" i="45"/>
  <c r="C59" i="45"/>
  <c r="F111" i="42"/>
  <c r="F101" i="112" s="1"/>
  <c r="Q78" i="42"/>
  <c r="Q99" i="112" s="1"/>
  <c r="Q111" i="42"/>
  <c r="Q101" i="112" s="1"/>
  <c r="S111" i="42"/>
  <c r="S101" i="112" s="1"/>
  <c r="T111" i="42"/>
  <c r="T101" i="112" s="1"/>
  <c r="U111" i="42"/>
  <c r="U101" i="112" s="1"/>
  <c r="V111" i="42"/>
  <c r="V101" i="112" s="1"/>
  <c r="R111" i="42"/>
  <c r="R101" i="112" s="1"/>
  <c r="W154" i="44"/>
  <c r="W14" i="112" s="1"/>
  <c r="V154" i="44"/>
  <c r="V14" i="112" s="1"/>
  <c r="U154" i="44"/>
  <c r="U14" i="112" s="1"/>
  <c r="I293" i="43"/>
  <c r="I59" i="112" s="1"/>
  <c r="C32" i="43"/>
  <c r="D32" i="43"/>
  <c r="C33" i="43"/>
  <c r="D33" i="43"/>
  <c r="C34" i="43"/>
  <c r="D34" i="43"/>
  <c r="C35" i="43"/>
  <c r="D35" i="43"/>
  <c r="C36" i="43"/>
  <c r="D36" i="43"/>
  <c r="C37" i="43"/>
  <c r="D37" i="43"/>
  <c r="C38" i="43"/>
  <c r="D38" i="43"/>
  <c r="C39" i="43"/>
  <c r="D39" i="43"/>
  <c r="C40" i="43"/>
  <c r="D40" i="43"/>
  <c r="C41" i="43"/>
  <c r="D41" i="43"/>
  <c r="D31" i="43"/>
  <c r="C31" i="43"/>
  <c r="D62" i="43" l="1"/>
  <c r="E62" i="43" s="1"/>
  <c r="D33" i="44"/>
  <c r="E33" i="44" s="1"/>
  <c r="D167" i="43"/>
  <c r="E167" i="43" s="1"/>
  <c r="D132" i="44"/>
  <c r="E132" i="44" s="1"/>
  <c r="D111" i="43"/>
  <c r="E111" i="43" s="1"/>
  <c r="D82" i="45"/>
  <c r="E82" i="45" s="1"/>
  <c r="D35" i="45"/>
  <c r="E35" i="45" s="1"/>
  <c r="D131" i="42"/>
  <c r="E131" i="42" s="1"/>
  <c r="I87" i="44"/>
  <c r="K111" i="44" s="1"/>
  <c r="K12" i="112" s="1"/>
  <c r="I148" i="42"/>
  <c r="I103" i="112" s="1"/>
  <c r="S183" i="69"/>
  <c r="S186" i="69"/>
  <c r="S185" i="69"/>
  <c r="S184" i="69"/>
  <c r="X207" i="69"/>
  <c r="E207" i="69" s="1"/>
  <c r="V205" i="69"/>
  <c r="E205" i="69" s="1"/>
  <c r="W203" i="69"/>
  <c r="E203" i="69" s="1"/>
  <c r="W202" i="69"/>
  <c r="E202" i="69" s="1"/>
  <c r="X206" i="69"/>
  <c r="E206" i="69" s="1"/>
  <c r="J122" i="45"/>
  <c r="J11" i="112" s="1"/>
  <c r="J121" i="45"/>
  <c r="J10" i="112" s="1"/>
  <c r="J154" i="44"/>
  <c r="J14" i="112" s="1"/>
  <c r="J293" i="43"/>
  <c r="J59" i="112" s="1"/>
  <c r="J148" i="42"/>
  <c r="J120" i="45"/>
  <c r="J9" i="112" s="1"/>
  <c r="J119" i="45"/>
  <c r="J8" i="112" s="1"/>
  <c r="G107" i="44"/>
  <c r="D12" i="44" s="1" a="1"/>
  <c r="D12" i="44" s="1"/>
  <c r="I100" i="45"/>
  <c r="J100" i="45" s="1"/>
  <c r="I101" i="45"/>
  <c r="J101" i="45" s="1"/>
  <c r="E12" i="43" a="1"/>
  <c r="E12" i="43" s="1"/>
  <c r="E19" i="43" a="1"/>
  <c r="E19" i="43" s="1"/>
  <c r="E18" i="43" a="1"/>
  <c r="E18" i="43" s="1"/>
  <c r="E17" i="43" a="1"/>
  <c r="E17" i="43" s="1"/>
  <c r="E16" i="43" a="1"/>
  <c r="E16" i="43" s="1"/>
  <c r="E11" i="43" a="1"/>
  <c r="E11" i="43" s="1"/>
  <c r="S24" i="69" s="1"/>
  <c r="E21" i="43" a="1"/>
  <c r="E21" i="43" s="1"/>
  <c r="E15" i="43" a="1"/>
  <c r="E15" i="43" s="1"/>
  <c r="E20" i="43" a="1"/>
  <c r="E20" i="43" s="1"/>
  <c r="E14" i="43" a="1"/>
  <c r="E14" i="43" s="1"/>
  <c r="E13" i="43" a="1"/>
  <c r="E13" i="43" s="1"/>
  <c r="J103" i="112" l="1"/>
  <c r="J102" i="112"/>
  <c r="H112" i="45"/>
  <c r="N119" i="45" s="1"/>
  <c r="N8" i="112" s="1"/>
  <c r="H149" i="44"/>
  <c r="N154" i="44" s="1"/>
  <c r="N14" i="112" s="1"/>
  <c r="H44" i="45"/>
  <c r="N50" i="45" s="1"/>
  <c r="N7" i="112" s="1"/>
  <c r="H106" i="44"/>
  <c r="N112" i="44" s="1"/>
  <c r="N13" i="112" s="1"/>
  <c r="H142" i="42"/>
  <c r="N102" i="112"/>
  <c r="L148" i="42"/>
  <c r="S31" i="69"/>
  <c r="E31" i="69" s="1"/>
  <c r="S33" i="69"/>
  <c r="E33" i="69" s="1"/>
  <c r="S34" i="69"/>
  <c r="E34" i="69" s="1"/>
  <c r="S26" i="69"/>
  <c r="E26" i="69" s="1"/>
  <c r="S27" i="69"/>
  <c r="E27" i="69" s="1"/>
  <c r="S28" i="69"/>
  <c r="E28" i="69" s="1"/>
  <c r="S25" i="69"/>
  <c r="E25" i="69" s="1"/>
  <c r="S29" i="69"/>
  <c r="E29" i="69" s="1"/>
  <c r="S32" i="69"/>
  <c r="E32" i="69" s="1"/>
  <c r="S30" i="69"/>
  <c r="E30" i="69" s="1"/>
  <c r="V191" i="69"/>
  <c r="E191" i="69" s="1"/>
  <c r="L154" i="44"/>
  <c r="L14" i="112" s="1"/>
  <c r="L119" i="45"/>
  <c r="L8" i="112" s="1"/>
  <c r="L122" i="45"/>
  <c r="L11" i="112" s="1"/>
  <c r="L120" i="45"/>
  <c r="L9" i="112" s="1"/>
  <c r="L293" i="43"/>
  <c r="L59" i="112" s="1"/>
  <c r="L121" i="45"/>
  <c r="L10" i="112" s="1"/>
  <c r="C106" i="45"/>
  <c r="E106" i="45" s="1"/>
  <c r="C107" i="45"/>
  <c r="E107" i="45" s="1"/>
  <c r="D11" i="45" a="1"/>
  <c r="D11" i="45" s="1"/>
  <c r="D13" i="45" a="1"/>
  <c r="D13" i="45" s="1"/>
  <c r="I111" i="42"/>
  <c r="I101" i="112" s="1"/>
  <c r="D107" i="42"/>
  <c r="D11" i="42" a="1"/>
  <c r="D11" i="42" s="1"/>
  <c r="G78" i="42"/>
  <c r="G99" i="112" s="1"/>
  <c r="D73" i="42"/>
  <c r="D74" i="42" s="1"/>
  <c r="I79" i="42"/>
  <c r="I100" i="112" s="1"/>
  <c r="L103" i="112" l="1"/>
  <c r="L102" i="112"/>
  <c r="N49" i="45"/>
  <c r="N6" i="112" s="1"/>
  <c r="N121" i="45"/>
  <c r="N10" i="112" s="1"/>
  <c r="N122" i="45"/>
  <c r="N11" i="112" s="1"/>
  <c r="N120" i="45"/>
  <c r="N9" i="112" s="1"/>
  <c r="N111" i="44"/>
  <c r="N12" i="112" s="1"/>
  <c r="D65" i="42"/>
  <c r="E65" i="42" s="1"/>
  <c r="D45" i="42"/>
  <c r="E45" i="42" s="1"/>
  <c r="D99" i="42"/>
  <c r="E99" i="42" s="1"/>
  <c r="F12" i="45" a="1"/>
  <c r="F12" i="45" s="1"/>
  <c r="X184" i="69" s="1"/>
  <c r="E184" i="69" s="1"/>
  <c r="G115" i="45"/>
  <c r="G112" i="45"/>
  <c r="N148" i="42"/>
  <c r="N103" i="112" s="1"/>
  <c r="N150" i="42"/>
  <c r="N149" i="42"/>
  <c r="N104" i="112" s="1"/>
  <c r="G142" i="42"/>
  <c r="G11" i="42" s="1" a="1"/>
  <c r="G11" i="42" s="1"/>
  <c r="X208" i="69" s="1"/>
  <c r="G268" i="43"/>
  <c r="F11" i="43" s="1" a="1"/>
  <c r="F11" i="43" s="1"/>
  <c r="F11" i="45" a="1"/>
  <c r="F11" i="45" s="1"/>
  <c r="X183" i="69" s="1"/>
  <c r="S208" i="69"/>
  <c r="R185" i="69"/>
  <c r="R183" i="69"/>
  <c r="F14" i="45" a="1"/>
  <c r="F14" i="45" s="1"/>
  <c r="G149" i="44"/>
  <c r="E11" i="44" s="1" a="1"/>
  <c r="E11" i="44" s="1"/>
  <c r="L111" i="44"/>
  <c r="L12" i="112" s="1"/>
  <c r="G113" i="45"/>
  <c r="G114" i="45"/>
  <c r="J78" i="42"/>
  <c r="J99" i="112" s="1"/>
  <c r="J79" i="42"/>
  <c r="J100" i="112" s="1"/>
  <c r="I78" i="42"/>
  <c r="I99" i="112" s="1"/>
  <c r="F13" i="45" a="1"/>
  <c r="F13" i="45" s="1"/>
  <c r="J111" i="42"/>
  <c r="J101" i="112" s="1"/>
  <c r="E183" i="69" l="1"/>
  <c r="H107" i="42"/>
  <c r="N111" i="42" s="1"/>
  <c r="N101" i="112" s="1"/>
  <c r="H74" i="42"/>
  <c r="N79" i="42" s="1"/>
  <c r="N100" i="112" s="1"/>
  <c r="H73" i="42"/>
  <c r="N78" i="42" s="1"/>
  <c r="N99" i="112" s="1"/>
  <c r="G106" i="44"/>
  <c r="D11" i="44" s="1" a="1"/>
  <c r="D11" i="44" s="1"/>
  <c r="V190" i="69" s="1"/>
  <c r="U24" i="69"/>
  <c r="E24" i="69" s="1"/>
  <c r="X190" i="69"/>
  <c r="X186" i="69"/>
  <c r="E186" i="69" s="1"/>
  <c r="X185" i="69"/>
  <c r="E185" i="69" s="1"/>
  <c r="L79" i="42"/>
  <c r="L100" i="112" s="1"/>
  <c r="L78" i="42"/>
  <c r="L99" i="112" s="1"/>
  <c r="L111" i="42"/>
  <c r="D13" i="42" a="1"/>
  <c r="D13" i="42" s="1"/>
  <c r="D12" i="42" a="1"/>
  <c r="D12" i="42" s="1"/>
  <c r="E190" i="69" l="1"/>
  <c r="L101" i="112"/>
  <c r="G107" i="42"/>
  <c r="F11" i="42" s="1" a="1"/>
  <c r="F11" i="42" s="1"/>
  <c r="S209" i="69"/>
  <c r="S210" i="69"/>
  <c r="E210" i="69" s="1"/>
  <c r="G73" i="42"/>
  <c r="E11" i="42" s="1" a="1"/>
  <c r="E11" i="42" s="1"/>
  <c r="G74" i="42"/>
  <c r="E12" i="42" s="1" a="1"/>
  <c r="E12" i="42" s="1"/>
  <c r="S11" i="69" l="1"/>
  <c r="E11" i="69" s="1"/>
  <c r="W208" i="69"/>
  <c r="V209" i="69"/>
  <c r="E209" i="69" s="1"/>
  <c r="V208" i="69"/>
  <c r="E208" i="69" s="1"/>
  <c r="S23" i="69" l="1"/>
  <c r="E23" i="69" s="1"/>
  <c r="F122" i="36"/>
  <c r="F325" i="112" s="1"/>
  <c r="U123" i="36" l="1"/>
  <c r="U326" i="112" s="1"/>
  <c r="F123" i="36"/>
  <c r="F326" i="112" s="1"/>
  <c r="F124" i="36"/>
  <c r="F327" i="112" s="1"/>
  <c r="F125" i="36"/>
  <c r="F328" i="112" s="1"/>
  <c r="F126" i="36"/>
  <c r="F329" i="112" s="1"/>
  <c r="F127" i="36"/>
  <c r="F330" i="112" s="1"/>
  <c r="F128" i="36"/>
  <c r="F331" i="112" s="1"/>
  <c r="F129" i="36"/>
  <c r="F332" i="112" s="1"/>
  <c r="F130" i="36"/>
  <c r="F333" i="112" s="1"/>
  <c r="F131" i="36"/>
  <c r="F334" i="112" s="1"/>
  <c r="F132" i="36"/>
  <c r="F335" i="112" s="1"/>
  <c r="F133" i="36"/>
  <c r="F336" i="112" s="1"/>
  <c r="F134" i="36"/>
  <c r="F337" i="112" s="1"/>
  <c r="F135" i="36"/>
  <c r="F338" i="112" s="1"/>
  <c r="F121" i="36"/>
  <c r="F324" i="112" s="1"/>
  <c r="I124" i="36"/>
  <c r="I327" i="112" s="1"/>
  <c r="F89" i="36" a="1"/>
  <c r="F89" i="36" s="1"/>
  <c r="Q122" i="36"/>
  <c r="Q325" i="112" s="1"/>
  <c r="R122" i="36"/>
  <c r="R325" i="112" s="1"/>
  <c r="S122" i="36"/>
  <c r="S325" i="112" s="1"/>
  <c r="T122" i="36"/>
  <c r="T325" i="112" s="1"/>
  <c r="U122" i="36"/>
  <c r="U325" i="112" s="1"/>
  <c r="V122" i="36"/>
  <c r="V325" i="112" s="1"/>
  <c r="W122" i="36"/>
  <c r="W325" i="112" s="1"/>
  <c r="Q123" i="36"/>
  <c r="Q326" i="112" s="1"/>
  <c r="R123" i="36"/>
  <c r="R326" i="112" s="1"/>
  <c r="S123" i="36"/>
  <c r="S326" i="112" s="1"/>
  <c r="T123" i="36"/>
  <c r="T326" i="112" s="1"/>
  <c r="V123" i="36"/>
  <c r="V326" i="112" s="1"/>
  <c r="W123" i="36"/>
  <c r="W326" i="112" s="1"/>
  <c r="Q124" i="36"/>
  <c r="Q327" i="112" s="1"/>
  <c r="R124" i="36"/>
  <c r="R327" i="112" s="1"/>
  <c r="S124" i="36"/>
  <c r="S327" i="112" s="1"/>
  <c r="T124" i="36"/>
  <c r="T327" i="112" s="1"/>
  <c r="U124" i="36"/>
  <c r="U327" i="112" s="1"/>
  <c r="V124" i="36"/>
  <c r="V327" i="112" s="1"/>
  <c r="W124" i="36"/>
  <c r="W327" i="112" s="1"/>
  <c r="Q125" i="36"/>
  <c r="Q328" i="112" s="1"/>
  <c r="R125" i="36"/>
  <c r="R328" i="112" s="1"/>
  <c r="S125" i="36"/>
  <c r="S328" i="112" s="1"/>
  <c r="T125" i="36"/>
  <c r="T328" i="112" s="1"/>
  <c r="U125" i="36"/>
  <c r="U328" i="112" s="1"/>
  <c r="V125" i="36"/>
  <c r="V328" i="112" s="1"/>
  <c r="W125" i="36"/>
  <c r="W328" i="112" s="1"/>
  <c r="Q126" i="36"/>
  <c r="Q329" i="112" s="1"/>
  <c r="R126" i="36"/>
  <c r="R329" i="112" s="1"/>
  <c r="S126" i="36"/>
  <c r="S329" i="112" s="1"/>
  <c r="T126" i="36"/>
  <c r="T329" i="112" s="1"/>
  <c r="U126" i="36"/>
  <c r="U329" i="112" s="1"/>
  <c r="V126" i="36"/>
  <c r="V329" i="112" s="1"/>
  <c r="W126" i="36"/>
  <c r="W329" i="112" s="1"/>
  <c r="Q127" i="36"/>
  <c r="Q330" i="112" s="1"/>
  <c r="R127" i="36"/>
  <c r="R330" i="112" s="1"/>
  <c r="S127" i="36"/>
  <c r="S330" i="112" s="1"/>
  <c r="T127" i="36"/>
  <c r="T330" i="112" s="1"/>
  <c r="U127" i="36"/>
  <c r="U330" i="112" s="1"/>
  <c r="V127" i="36"/>
  <c r="V330" i="112" s="1"/>
  <c r="W127" i="36"/>
  <c r="W330" i="112" s="1"/>
  <c r="Q128" i="36"/>
  <c r="Q331" i="112" s="1"/>
  <c r="R128" i="36"/>
  <c r="R331" i="112" s="1"/>
  <c r="S128" i="36"/>
  <c r="S331" i="112" s="1"/>
  <c r="T128" i="36"/>
  <c r="T331" i="112" s="1"/>
  <c r="U128" i="36"/>
  <c r="U331" i="112" s="1"/>
  <c r="V128" i="36"/>
  <c r="V331" i="112" s="1"/>
  <c r="W128" i="36"/>
  <c r="W331" i="112" s="1"/>
  <c r="Q129" i="36"/>
  <c r="Q332" i="112" s="1"/>
  <c r="R129" i="36"/>
  <c r="R332" i="112" s="1"/>
  <c r="S129" i="36"/>
  <c r="S332" i="112" s="1"/>
  <c r="T129" i="36"/>
  <c r="T332" i="112" s="1"/>
  <c r="U129" i="36"/>
  <c r="U332" i="112" s="1"/>
  <c r="V129" i="36"/>
  <c r="V332" i="112" s="1"/>
  <c r="W129" i="36"/>
  <c r="W332" i="112" s="1"/>
  <c r="Q130" i="36"/>
  <c r="Q333" i="112" s="1"/>
  <c r="R130" i="36"/>
  <c r="R333" i="112" s="1"/>
  <c r="S130" i="36"/>
  <c r="S333" i="112" s="1"/>
  <c r="T130" i="36"/>
  <c r="T333" i="112" s="1"/>
  <c r="U130" i="36"/>
  <c r="U333" i="112" s="1"/>
  <c r="V130" i="36"/>
  <c r="V333" i="112" s="1"/>
  <c r="W130" i="36"/>
  <c r="W333" i="112" s="1"/>
  <c r="Q131" i="36"/>
  <c r="Q334" i="112" s="1"/>
  <c r="R131" i="36"/>
  <c r="R334" i="112" s="1"/>
  <c r="S131" i="36"/>
  <c r="S334" i="112" s="1"/>
  <c r="T131" i="36"/>
  <c r="T334" i="112" s="1"/>
  <c r="U131" i="36"/>
  <c r="U334" i="112" s="1"/>
  <c r="V131" i="36"/>
  <c r="V334" i="112" s="1"/>
  <c r="W131" i="36"/>
  <c r="W334" i="112" s="1"/>
  <c r="Q132" i="36"/>
  <c r="Q335" i="112" s="1"/>
  <c r="R132" i="36"/>
  <c r="R335" i="112" s="1"/>
  <c r="S132" i="36"/>
  <c r="S335" i="112" s="1"/>
  <c r="T132" i="36"/>
  <c r="T335" i="112" s="1"/>
  <c r="U132" i="36"/>
  <c r="U335" i="112" s="1"/>
  <c r="V132" i="36"/>
  <c r="V335" i="112" s="1"/>
  <c r="W132" i="36"/>
  <c r="W335" i="112" s="1"/>
  <c r="Q133" i="36"/>
  <c r="Q336" i="112" s="1"/>
  <c r="R133" i="36"/>
  <c r="R336" i="112" s="1"/>
  <c r="S133" i="36"/>
  <c r="S336" i="112" s="1"/>
  <c r="T133" i="36"/>
  <c r="T336" i="112" s="1"/>
  <c r="U133" i="36"/>
  <c r="U336" i="112" s="1"/>
  <c r="V133" i="36"/>
  <c r="V336" i="112" s="1"/>
  <c r="W133" i="36"/>
  <c r="W336" i="112" s="1"/>
  <c r="Q134" i="36"/>
  <c r="Q337" i="112" s="1"/>
  <c r="R134" i="36"/>
  <c r="R337" i="112" s="1"/>
  <c r="S134" i="36"/>
  <c r="S337" i="112" s="1"/>
  <c r="T134" i="36"/>
  <c r="T337" i="112" s="1"/>
  <c r="U134" i="36"/>
  <c r="U337" i="112" s="1"/>
  <c r="V134" i="36"/>
  <c r="V337" i="112" s="1"/>
  <c r="W134" i="36"/>
  <c r="W337" i="112" s="1"/>
  <c r="Q135" i="36"/>
  <c r="Q338" i="112" s="1"/>
  <c r="R135" i="36"/>
  <c r="R338" i="112" s="1"/>
  <c r="S135" i="36"/>
  <c r="S338" i="112" s="1"/>
  <c r="T135" i="36"/>
  <c r="T338" i="112" s="1"/>
  <c r="U135" i="36"/>
  <c r="U338" i="112" s="1"/>
  <c r="V135" i="36"/>
  <c r="V338" i="112" s="1"/>
  <c r="W135" i="36"/>
  <c r="W338" i="112" s="1"/>
  <c r="W121" i="36"/>
  <c r="W324" i="112" s="1"/>
  <c r="V121" i="36"/>
  <c r="V324" i="112" s="1"/>
  <c r="U121" i="36"/>
  <c r="U324" i="112" s="1"/>
  <c r="T121" i="36"/>
  <c r="T324" i="112" s="1"/>
  <c r="S121" i="36"/>
  <c r="S324" i="112" s="1"/>
  <c r="R121" i="36"/>
  <c r="R324" i="112" s="1"/>
  <c r="Q121" i="36"/>
  <c r="Q324" i="112" s="1"/>
  <c r="F90" i="36" a="1"/>
  <c r="F90" i="36" s="1"/>
  <c r="F91" i="36" a="1"/>
  <c r="F91" i="36" s="1"/>
  <c r="F92" i="36" a="1"/>
  <c r="F92" i="36" s="1"/>
  <c r="F93" i="36" a="1"/>
  <c r="F93" i="36" s="1"/>
  <c r="L141" i="36" s="1"/>
  <c r="F94" i="36" a="1"/>
  <c r="F94" i="36" s="1"/>
  <c r="F95" i="36" a="1"/>
  <c r="F95" i="36" s="1"/>
  <c r="F96" i="36" a="1"/>
  <c r="F96" i="36" s="1"/>
  <c r="F97" i="36" a="1"/>
  <c r="F97" i="36" s="1"/>
  <c r="F98" i="36" a="1"/>
  <c r="F98" i="36" s="1"/>
  <c r="F99" i="36" a="1"/>
  <c r="F99" i="36" s="1"/>
  <c r="F100" i="36" a="1"/>
  <c r="F100" i="36" s="1"/>
  <c r="F101" i="36" a="1"/>
  <c r="F101" i="36" s="1"/>
  <c r="F102" i="36" a="1"/>
  <c r="F102" i="36" s="1"/>
  <c r="G108" i="36" l="1"/>
  <c r="E16" i="36" s="1" a="1"/>
  <c r="E16" i="36" s="1"/>
  <c r="R128" i="69" s="1"/>
  <c r="L344" i="112"/>
  <c r="I122" i="36"/>
  <c r="I325" i="112" s="1"/>
  <c r="I123" i="36"/>
  <c r="I326" i="112" s="1"/>
  <c r="I125" i="36"/>
  <c r="I328" i="112" s="1"/>
  <c r="I126" i="36"/>
  <c r="I329" i="112" s="1"/>
  <c r="I127" i="36"/>
  <c r="I330" i="112" s="1"/>
  <c r="I128" i="36"/>
  <c r="I331" i="112" s="1"/>
  <c r="I129" i="36"/>
  <c r="I332" i="112" s="1"/>
  <c r="I130" i="36"/>
  <c r="I333" i="112" s="1"/>
  <c r="I131" i="36"/>
  <c r="I334" i="112" s="1"/>
  <c r="I132" i="36"/>
  <c r="I335" i="112" s="1"/>
  <c r="I133" i="36"/>
  <c r="I336" i="112" s="1"/>
  <c r="I134" i="36"/>
  <c r="I337" i="112" s="1"/>
  <c r="I135" i="36"/>
  <c r="I338" i="112" s="1"/>
  <c r="I121" i="36"/>
  <c r="I324" i="112" s="1"/>
  <c r="J125" i="36"/>
  <c r="J328" i="112" s="1"/>
  <c r="J124" i="36" l="1"/>
  <c r="J327" i="112" s="1"/>
  <c r="J130" i="36"/>
  <c r="J333" i="112" s="1"/>
  <c r="J122" i="36"/>
  <c r="J325" i="112" s="1"/>
  <c r="J135" i="36"/>
  <c r="J338" i="112" s="1"/>
  <c r="J133" i="36"/>
  <c r="J336" i="112" s="1"/>
  <c r="J129" i="36"/>
  <c r="J332" i="112" s="1"/>
  <c r="J132" i="36"/>
  <c r="J335" i="112" s="1"/>
  <c r="J131" i="36"/>
  <c r="J334" i="112" s="1"/>
  <c r="J123" i="36"/>
  <c r="J326" i="112" s="1"/>
  <c r="J121" i="36"/>
  <c r="J324" i="112" s="1"/>
  <c r="J128" i="36"/>
  <c r="J331" i="112" s="1"/>
  <c r="J127" i="36"/>
  <c r="J330" i="112" s="1"/>
  <c r="J134" i="36"/>
  <c r="J337" i="112" s="1"/>
  <c r="J126" i="36"/>
  <c r="J329" i="112" s="1"/>
  <c r="G61" i="36"/>
  <c r="H61" i="36"/>
  <c r="G62" i="36"/>
  <c r="H62" i="36"/>
  <c r="G63" i="36"/>
  <c r="H63" i="36"/>
  <c r="G64" i="36"/>
  <c r="H64" i="36"/>
  <c r="F62" i="36"/>
  <c r="F63" i="36"/>
  <c r="F64" i="36"/>
  <c r="D78" i="36"/>
  <c r="E64" i="36"/>
  <c r="E63" i="36"/>
  <c r="E62" i="36"/>
  <c r="K325" i="112" l="1"/>
  <c r="K123" i="36"/>
  <c r="K127" i="36"/>
  <c r="K130" i="36"/>
  <c r="K333" i="112" s="1"/>
  <c r="K134" i="36"/>
  <c r="K337" i="112" s="1"/>
  <c r="K129" i="36"/>
  <c r="K332" i="112" s="1"/>
  <c r="K326" i="112"/>
  <c r="K124" i="36"/>
  <c r="K327" i="112" s="1"/>
  <c r="E78" i="36"/>
  <c r="K121" i="36" s="1"/>
  <c r="K324" i="112" s="1"/>
  <c r="F78" i="36"/>
  <c r="G78" i="36"/>
  <c r="K133" i="36"/>
  <c r="K336" i="112" s="1"/>
  <c r="K132" i="36"/>
  <c r="K335" i="112" s="1"/>
  <c r="K135" i="36"/>
  <c r="K125" i="36"/>
  <c r="K330" i="112"/>
  <c r="K128" i="36"/>
  <c r="K331" i="112" s="1"/>
  <c r="L127" i="36"/>
  <c r="K328" i="112"/>
  <c r="L330" i="112" l="1"/>
  <c r="K131" i="36"/>
  <c r="K334" i="112" s="1"/>
  <c r="L144" i="36"/>
  <c r="K126" i="36"/>
  <c r="K329" i="112" s="1"/>
  <c r="L139" i="36"/>
  <c r="L121" i="36"/>
  <c r="K338" i="112"/>
  <c r="L129" i="36"/>
  <c r="L123" i="36"/>
  <c r="L131" i="36"/>
  <c r="L134" i="36"/>
  <c r="L124" i="36"/>
  <c r="L128" i="36"/>
  <c r="L130" i="36"/>
  <c r="L122" i="36"/>
  <c r="L132" i="36"/>
  <c r="G94" i="36"/>
  <c r="E12" i="36" s="1" a="1"/>
  <c r="E12" i="36" s="1"/>
  <c r="L133" i="36"/>
  <c r="G111" i="36" l="1"/>
  <c r="E19" i="36" s="1" a="1"/>
  <c r="E19" i="36" s="1"/>
  <c r="R131" i="69" s="1"/>
  <c r="L347" i="112"/>
  <c r="G106" i="36"/>
  <c r="D19" i="36" s="1" a="1"/>
  <c r="D19" i="36" s="1"/>
  <c r="P131" i="69" s="1"/>
  <c r="E131" i="69" s="1"/>
  <c r="L342" i="112"/>
  <c r="L324" i="112"/>
  <c r="L327" i="112"/>
  <c r="L337" i="112"/>
  <c r="L334" i="112"/>
  <c r="L326" i="112"/>
  <c r="L332" i="112"/>
  <c r="L336" i="112"/>
  <c r="L335" i="112"/>
  <c r="L325" i="112"/>
  <c r="L333" i="112"/>
  <c r="L331" i="112"/>
  <c r="L126" i="36"/>
  <c r="G93" i="36" s="1"/>
  <c r="G88" i="36"/>
  <c r="D11" i="36" s="1" a="1"/>
  <c r="D11" i="36" s="1"/>
  <c r="P123" i="69" s="1"/>
  <c r="D43" i="36"/>
  <c r="R124" i="69"/>
  <c r="G91" i="36"/>
  <c r="D14" i="36" s="1" a="1"/>
  <c r="D14" i="36" s="1"/>
  <c r="G100" i="36"/>
  <c r="G13" i="36" s="1" a="1"/>
  <c r="G13" i="36" s="1"/>
  <c r="G97" i="36"/>
  <c r="E15" i="36" s="1" a="1"/>
  <c r="E15" i="36" s="1"/>
  <c r="G98" i="36"/>
  <c r="G11" i="36" s="1" a="1"/>
  <c r="G11" i="36" s="1"/>
  <c r="L135" i="36"/>
  <c r="L125" i="36"/>
  <c r="G95" i="36"/>
  <c r="E13" i="36" s="1" a="1"/>
  <c r="E13" i="36" s="1"/>
  <c r="G90" i="36"/>
  <c r="D13" i="36" s="1" a="1"/>
  <c r="D13" i="36" s="1"/>
  <c r="G99" i="36"/>
  <c r="G12" i="36" s="1" a="1"/>
  <c r="G12" i="36" s="1"/>
  <c r="G89" i="36"/>
  <c r="D12" i="36" s="1" a="1"/>
  <c r="D12" i="36" s="1"/>
  <c r="G101" i="36"/>
  <c r="G14" i="36" s="1" a="1"/>
  <c r="G14" i="36" s="1"/>
  <c r="G96" i="36"/>
  <c r="E14" i="36" s="1" a="1"/>
  <c r="E14" i="36" s="1"/>
  <c r="L329" i="112" l="1"/>
  <c r="L328" i="112"/>
  <c r="E43" i="36"/>
  <c r="E11" i="36" a="1"/>
  <c r="E11" i="36" s="1"/>
  <c r="R123" i="69" s="1"/>
  <c r="L146" i="36"/>
  <c r="L338" i="112"/>
  <c r="G102" i="36"/>
  <c r="G15" i="36" s="1" a="1"/>
  <c r="G15" i="36" s="1"/>
  <c r="H88" i="36"/>
  <c r="R127" i="69"/>
  <c r="R126" i="69"/>
  <c r="R125" i="69"/>
  <c r="U125" i="69"/>
  <c r="U123" i="69"/>
  <c r="U126" i="69"/>
  <c r="P124" i="69"/>
  <c r="U124" i="69"/>
  <c r="P126" i="69"/>
  <c r="P125" i="69"/>
  <c r="G92" i="36"/>
  <c r="D15" i="36" s="1" a="1"/>
  <c r="D15" i="36" s="1"/>
  <c r="E123" i="69" l="1"/>
  <c r="G113" i="36"/>
  <c r="G16" i="36" s="1" a="1"/>
  <c r="G16" i="36" s="1"/>
  <c r="U128" i="69" s="1"/>
  <c r="E128" i="69" s="1"/>
  <c r="L349" i="112"/>
  <c r="E125" i="69"/>
  <c r="E126" i="69"/>
  <c r="E124" i="69"/>
  <c r="N122" i="36"/>
  <c r="N325" i="112" s="1"/>
  <c r="N149" i="36"/>
  <c r="N352" i="112" s="1"/>
  <c r="N146" i="36"/>
  <c r="N349" i="112" s="1"/>
  <c r="N143" i="36"/>
  <c r="N346" i="112" s="1"/>
  <c r="N140" i="36"/>
  <c r="N343" i="112" s="1"/>
  <c r="N137" i="36"/>
  <c r="N340" i="112" s="1"/>
  <c r="N148" i="36"/>
  <c r="N351" i="112" s="1"/>
  <c r="N145" i="36"/>
  <c r="N348" i="112" s="1"/>
  <c r="N142" i="36"/>
  <c r="N345" i="112" s="1"/>
  <c r="N139" i="36"/>
  <c r="N342" i="112" s="1"/>
  <c r="N136" i="36"/>
  <c r="N339" i="112" s="1"/>
  <c r="N150" i="36"/>
  <c r="N353" i="112" s="1"/>
  <c r="N147" i="36"/>
  <c r="N350" i="112" s="1"/>
  <c r="N144" i="36"/>
  <c r="N347" i="112" s="1"/>
  <c r="N141" i="36"/>
  <c r="N344" i="112" s="1"/>
  <c r="N138" i="36"/>
  <c r="N341" i="112" s="1"/>
  <c r="N127" i="36"/>
  <c r="N330" i="112" s="1"/>
  <c r="N121" i="36"/>
  <c r="N324" i="112" s="1"/>
  <c r="N133" i="36"/>
  <c r="N336" i="112" s="1"/>
  <c r="N126" i="36"/>
  <c r="N329" i="112" s="1"/>
  <c r="N129" i="36"/>
  <c r="N332" i="112" s="1"/>
  <c r="N132" i="36"/>
  <c r="N335" i="112" s="1"/>
  <c r="N125" i="36"/>
  <c r="N328" i="112" s="1"/>
  <c r="N135" i="36"/>
  <c r="N338" i="112" s="1"/>
  <c r="N123" i="36"/>
  <c r="N326" i="112" s="1"/>
  <c r="N128" i="36"/>
  <c r="N331" i="112" s="1"/>
  <c r="N131" i="36"/>
  <c r="N334" i="112" s="1"/>
  <c r="N124" i="36"/>
  <c r="N327" i="112" s="1"/>
  <c r="N134" i="36"/>
  <c r="N337" i="112" s="1"/>
  <c r="N130" i="36"/>
  <c r="N333" i="112" s="1"/>
  <c r="U127" i="69"/>
  <c r="P127" i="69"/>
  <c r="I83" i="31"/>
  <c r="I84" i="31" s="1"/>
  <c r="I85" i="31" s="1"/>
  <c r="I86" i="31" s="1"/>
  <c r="E127" i="6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<sst xmlns="http://schemas.openxmlformats.org/spreadsheetml/2006/main" count="29471" uniqueCount="4311">
  <si>
    <t xml:space="preserve">Water Industry Common Value Framework </t>
  </si>
  <si>
    <t>Introduction</t>
  </si>
  <si>
    <t>Version</t>
  </si>
  <si>
    <r>
      <t xml:space="preserve">This is the Water Sector Common Value Framework (CVF). It provides a repository of monetary values for investment outcomes common to the UK Water Sector. It's </t>
    </r>
    <r>
      <rPr>
        <b/>
        <sz val="14"/>
        <color theme="0"/>
        <rFont val="Aptos"/>
        <family val="2"/>
      </rPr>
      <t>purpose</t>
    </r>
    <r>
      <rPr>
        <sz val="14"/>
        <color theme="0"/>
        <rFont val="Aptos"/>
        <family val="2"/>
      </rPr>
      <t xml:space="preserve"> is to allow all investment outcomes </t>
    </r>
    <r>
      <rPr>
        <i/>
        <sz val="14"/>
        <color theme="0"/>
        <rFont val="Aptos"/>
        <family val="2"/>
      </rPr>
      <t>i.e. financial and non-financial, those outcomes delivered to water companies, their customers, and the wider society</t>
    </r>
    <r>
      <rPr>
        <sz val="14"/>
        <color theme="0"/>
        <rFont val="Aptos"/>
        <family val="2"/>
      </rPr>
      <t xml:space="preserve">, to be incorporated into decision making to enable best value investment planning. 
The CVF has been developed through substantial engagement with companies and regulators in the UK Water Sector. This work has been funded through the Mainstreaming Nature-based Solutions to Deliver Greater Value programme, by the Ofwat Innovation Fund.
</t>
    </r>
  </si>
  <si>
    <t>Workbook version: v2.0</t>
  </si>
  <si>
    <t>Issue date: 1/8/2025</t>
  </si>
  <si>
    <t>Who should use the CVF</t>
  </si>
  <si>
    <r>
      <rPr>
        <b/>
        <sz val="12"/>
        <color theme="1"/>
        <rFont val="Aptos"/>
        <family val="2"/>
      </rPr>
      <t>UK water companies</t>
    </r>
    <r>
      <rPr>
        <sz val="12"/>
        <color theme="1"/>
        <rFont val="Aptos"/>
        <family val="2"/>
      </rPr>
      <t xml:space="preserve">
The UK water companies are the primary users for the CVF. The investment outcomes featured in the CVF are tailored to the business activities and operational remit of the UK water companies.
</t>
    </r>
    <r>
      <rPr>
        <b/>
        <sz val="12"/>
        <color theme="1"/>
        <rFont val="Aptos"/>
        <family val="2"/>
      </rPr>
      <t xml:space="preserve">NGOs and other organisations working with the UK water companies
</t>
    </r>
    <r>
      <rPr>
        <sz val="12"/>
        <color theme="1"/>
        <rFont val="Aptos"/>
        <family val="2"/>
      </rPr>
      <t xml:space="preserve">Organisations working with or seeking to work with water companies may wish to use the CVF to demonstrate the case for investment for partnership working opportunities.
</t>
    </r>
    <r>
      <rPr>
        <b/>
        <sz val="12"/>
        <color theme="1"/>
        <rFont val="Aptos"/>
        <family val="2"/>
      </rPr>
      <t>Water Sector regulators</t>
    </r>
    <r>
      <rPr>
        <sz val="12"/>
        <color theme="1"/>
        <rFont val="Aptos"/>
        <family val="2"/>
      </rPr>
      <t xml:space="preserve">
The regulators for the UK water sector may wish to reference the CVF so that they can promote a consistent best value approach to investment planning. They can also reference it to interrogate the audit trail of best value investment proposals by water companies. 
</t>
    </r>
  </si>
  <si>
    <t>When should the CVF be used</t>
  </si>
  <si>
    <t xml:space="preserve">The CVF is designed to be used for plan and programme level investment planning, including Drainage and Wastewater Management Plans (DWMP), Water Resource Management Plans (WRMP), Water Industry National Environment Programme (WINEP), National Environment Programme (NEP), and Price Reviews. 
The CVF is aligned with the latest Environment Agency Natural Capital Evidence and Metrics (NCEM) published in June 2025 (for the full methodology, see NCEM ALIGNMENT tab). The CVF can be used to bring environmental considerations into the outset of option development where limited information about the location and details of investment options are known. As options progress through to the latter stages of development or delivery, localised assessment of impact using the NCEM directly may be more appropriate.  </t>
  </si>
  <si>
    <t>Contacts and enquires</t>
  </si>
  <si>
    <t xml:space="preserve">The CVF has been developed by a core team from United Utilities, Arup and ARC, steered by the CVF Task and Finish Group, and built in close collaboration with a cross-company Practitioner Group, and a Regulatory Check and Challenge Group. For questions about the CVF, please contact us at:  </t>
  </si>
  <si>
    <t>How to GUIDE</t>
  </si>
  <si>
    <t xml:space="preserve">When you are ready to use the CVF, please go to the How to GUIDE tab for instructions on how to use the CVF. This tab includes:
- How to use the CVF within a Decision Support Tool (DST) and without one
- How to represent Nature Based Solutions (NBS)
- How to avoid double counting
- How to treat literature gaps in the CVF
</t>
  </si>
  <si>
    <t>CVF@arup.com</t>
  </si>
  <si>
    <t>Luke McLaughlin (UU)</t>
  </si>
  <si>
    <t>Lu Yang (Arup)</t>
  </si>
  <si>
    <t>Methodology</t>
  </si>
  <si>
    <t>Celia Austin (Arup)</t>
  </si>
  <si>
    <t xml:space="preserve">This section set out the methodology details of how the CVF and its valuations have been developed, including:
- Source and data overview
- Ofwat Collaborative Customer Research valuations
- Company specific WTP valuations
- Approach to confidence
</t>
  </si>
  <si>
    <t>The development of the CVF has been funded by:</t>
  </si>
  <si>
    <t>How is the CVF applied in investment planning</t>
  </si>
  <si>
    <t>How to avoid double counting</t>
  </si>
  <si>
    <t xml:space="preserve">UK Water Sector investment decision making is driven by risk and value. The diagram below illustrates how the CVF is applied in this context. The CVF provides a list of consequences (i.e. Service Measures) and severities (i.e. Impact Categories) for the users to select, and values for each Service Measure featured. The light blue elements denotes user input. </t>
  </si>
  <si>
    <r>
      <t xml:space="preserve">Double counting is when a monetised impact is included twice or more in a decision-making process. This means that benefits or disbenefits are not accurately represented. 
To avoid double counting, check the </t>
    </r>
    <r>
      <rPr>
        <b/>
        <sz val="12"/>
        <color theme="1"/>
        <rFont val="Aptos"/>
        <family val="2"/>
      </rPr>
      <t>DOUBLE COUNTING MATRIX</t>
    </r>
    <r>
      <rPr>
        <sz val="12"/>
        <color theme="1"/>
        <rFont val="Aptos"/>
        <family val="2"/>
      </rPr>
      <t xml:space="preserve"> tab for all service measures that will be used. Please also refer to individual service measure tabs to read the Guidance for use section at the top. This section contains detail on how to use the service measure and information on how to avoid double counting.</t>
    </r>
  </si>
  <si>
    <t>How to use the values in the CVF</t>
  </si>
  <si>
    <t xml:space="preserve">The values included on the VALUATION tab are annual values if not stated otherwise. Benefits are displayed as negative values and costs displayed as positive values.
To represent an inversed outcome to what the service measure is describing, simply enter the quantity as a negative number. For example, a residential property benefitting from an improved natural environment may have a valuation of -£7000 per property, but a home that experiences a loss of natural environment nearby would be counted as -1 quantity in the appraisal calculation, resulting in a calculation of -1 * -£7000 = £7000 disbenefit.
</t>
  </si>
  <si>
    <t>How to use the CVF</t>
  </si>
  <si>
    <t>The CVF has been designed to be configured within decision support tools (DST), although this is not a prerequisite for application.</t>
  </si>
  <si>
    <t>Using the CVF with a DST</t>
  </si>
  <si>
    <t>Using the CVF without a DST</t>
  </si>
  <si>
    <t>How to treat literature gaps in the CVF</t>
  </si>
  <si>
    <t>The CVF has a number of literature gaps despite the best effort to find suitable valuations for every impact pathway. However, it does represents the best information available at the time of development over 2024-25. These literature gaps have been categorised into High, Medium, and Low priorities. 
Notably, customer trust is an area with very limited or no research for the water sector, meaning nearly all valuations for this value metric are literature gaps. This, along with other value metrics relating to social capital impacts, is a growing field of research and so monetised valuations may be developed in future.
Private Costs/Benefits is another value metric where there are significant gaps in the CVF. This is because Private Costs/Benefits tend to be company specific. As this CVF has not been developed for any one company, Private Costs/Benefits have not been calculated, except where there is a sector wide valuation for an impact on a water company. It is expected that water companies will use their own calculated Private Costs/Benefits alongside the CVF.
Knowledge and evidence for the water and environment sector is constantly evolving. Evidence banks including the CVF will require periodic updates to capture the most up to date evidence. Users are also encouraged to fill these literature gaps with new research or private data where possible.</t>
  </si>
  <si>
    <t>How to represent NBS using the CVF</t>
  </si>
  <si>
    <t>Nature Based Solutions (NBS) should be represented by following the following guidance:</t>
  </si>
  <si>
    <t>Consider habitat change as a result of the NBS intervention</t>
  </si>
  <si>
    <t xml:space="preserve">Consider if the NBS will result in a change in land cover. If the answer is yes, the habitat impact (incl. biodiversity) (30) service measure should be used to represent this change. Use the table below to select the most appropriate impact category to represent the NBS. In the table, the NBS types in NCEM (2025) are mapped to the impact categories in the habitat impact SM.
If the NBS will not result in a change in land cover, consider if the NBS will result in a change in habitat condition. If the answer is yes, then choose the appropriate habitat type / condition to represent the NBS. For example, to represent the intervention of cover crop, 'farmland - poor' can be used as the pre-intervention habitat type, and 'farmland - good' can be used to represent the post-intervention habitat type. </t>
  </si>
  <si>
    <t>NBS interventions included in NCEM</t>
  </si>
  <si>
    <t>Impact categories to use in Service Measure 30 to represent this NBS</t>
  </si>
  <si>
    <t>River Restoration - in channel</t>
  </si>
  <si>
    <t>NA. Move directly to step 2.</t>
  </si>
  <si>
    <t>River Restoration - riparian zone</t>
  </si>
  <si>
    <t>Woodland (rural/urban), Wetland (rural/urban)</t>
  </si>
  <si>
    <t>Woodland creation</t>
  </si>
  <si>
    <t>Woodland (rural/urban)</t>
  </si>
  <si>
    <t>Floodplain and wetland restoration</t>
  </si>
  <si>
    <t>Wetland (rural/urban), Grassland (rural/urban)</t>
  </si>
  <si>
    <t>Coastal and estuarine restoration</t>
  </si>
  <si>
    <t>Coastal margins</t>
  </si>
  <si>
    <t>Soil and land management</t>
  </si>
  <si>
    <t>Select the most appropriate impact category depending on the existing habitat type where the intervention is applied. Select from: Farmland, Mountain, moorland and heath, Grassland (rural), Woodland (rural).</t>
  </si>
  <si>
    <t>Priority habitat creation and enhancement</t>
  </si>
  <si>
    <t>Select the most appropriate impact category depending on the existing habitat type where the intervention is applied. Select from: Coastal margins, Mountain, moorland and heath, Grassland (rural/urban), Woodland (rural/urban). For marine or freshwater habitat creation or enhancement, move to step 2.</t>
  </si>
  <si>
    <t>Improve fish and eel passage</t>
  </si>
  <si>
    <t>Blue-Green infrastructure/ SuDS (general)</t>
  </si>
  <si>
    <t>SuDS (high/medium/low)</t>
  </si>
  <si>
    <t>Blue-Green infrastructure / SuDS (for specific purpose of disconnection &amp; source control and surface water separation) - drainage</t>
  </si>
  <si>
    <t>Blue-Green infrastructure/ SuDS (online treatment) - drainage</t>
  </si>
  <si>
    <t>Constructed / treatment wetland for wastewater treatment</t>
  </si>
  <si>
    <t>Wetland (rural/urban)</t>
  </si>
  <si>
    <t>Consider the primary benefit(s) delivered by the NBS</t>
  </si>
  <si>
    <t>Consider the primary benefit delivered by the NBS. It is recommended that you use the following service measures to represent the primary benefit from the NBS. Please note that water regulation (i.e. flood management) benefit provided by NBS is picked up by the Habitat impact (30) service measure in the step above. 
The Rainwater management (11) service measure listed below covers the water resource and GHG impacts from rainwater management only, and therefore is ok to be used in conjunction with the Habitat impact (30) service measure.</t>
  </si>
  <si>
    <t>Service measure</t>
  </si>
  <si>
    <t>Unit of measure</t>
  </si>
  <si>
    <t>11. Rainwater management</t>
  </si>
  <si>
    <t>Ml/yr</t>
  </si>
  <si>
    <t>27. Quality of the water environment</t>
  </si>
  <si>
    <r>
      <t>km or km</t>
    </r>
    <r>
      <rPr>
        <vertAlign val="superscript"/>
        <sz val="12"/>
        <color theme="1"/>
        <rFont val="Aptos"/>
        <family val="2"/>
      </rPr>
      <t>2</t>
    </r>
  </si>
  <si>
    <t>28. Bathing water quality</t>
  </si>
  <si>
    <t>Nr bathing water</t>
  </si>
  <si>
    <t>33. Nutrient removal</t>
  </si>
  <si>
    <t>kg</t>
  </si>
  <si>
    <t>Consider the secondary benefit(s) delivered by the NBS</t>
  </si>
  <si>
    <t>Sometimes NBS interventions can deliver added benefit in addition to the primary benefit intended by the intervention. When representing NBS using this CVF, consider if any of the following added benefit would be relevant and use as appropriate.</t>
  </si>
  <si>
    <t>34. Amenity</t>
  </si>
  <si>
    <t>Nr homes impacted</t>
  </si>
  <si>
    <t>38. Recreation</t>
  </si>
  <si>
    <t>Nr visits</t>
  </si>
  <si>
    <t>39. Community engagement</t>
  </si>
  <si>
    <t>Nr people benefiting</t>
  </si>
  <si>
    <t>41. Enabling growth</t>
  </si>
  <si>
    <t>ha development unlocked</t>
  </si>
  <si>
    <t>43. Active travel opportunities</t>
  </si>
  <si>
    <t>km route created</t>
  </si>
  <si>
    <t>Sources and data overview</t>
  </si>
  <si>
    <r>
      <rPr>
        <sz val="12"/>
        <color theme="1"/>
        <rFont val="Aptos"/>
        <family val="2"/>
      </rPr>
      <t xml:space="preserve">Within the CVF, for each of the service measures identified, monetised valuations reflecting the impacts of benefits (positive outcomes) or disbenefits (negative outcomes) on the water company, society and the environment, have been defined. These monetised valuations are calculated using a range of different sources, which are described in more detail below. In some cases, multiple sources are required to calculate a final monetised valuation. A full list of sources used is available in the </t>
    </r>
    <r>
      <rPr>
        <b/>
        <sz val="12"/>
        <color theme="1"/>
        <rFont val="Aptos"/>
        <family val="2"/>
      </rPr>
      <t>REVIEWED SOURCES</t>
    </r>
    <r>
      <rPr>
        <sz val="12"/>
        <color theme="1"/>
        <rFont val="Aptos"/>
        <family val="2"/>
      </rPr>
      <t xml:space="preserve"> tab.</t>
    </r>
  </si>
  <si>
    <t>Valuation type</t>
  </si>
  <si>
    <t>Definition</t>
  </si>
  <si>
    <t>Approach</t>
  </si>
  <si>
    <t>Willingness to pay (WTP) studies</t>
  </si>
  <si>
    <t>Economic studies done using customer stated preference values, which are derived by surveying water company customers on what change in bills, i.e. what they would be willing to pay, for a positive change in service level. This can also be captured as 'willingness to accept' (WTA) a specific service issue if their bills were reduced, i.e. what value would a customer willingly receive in exchange for a negative outcome.</t>
  </si>
  <si>
    <t>Many utility companies commission WTP studies on their own customer base to determine monetised valuations for specific service issues. In this case, the CVF has the Ofwat Collaborative Customer Research as an England and Wales-wide WTP/WTA study ('PR24: Using collaborative customer research to set outcome delivery incentive rates', Ofwat, August 2023). The use of the Ofwat Collaborative Customer Research intends to create an England and Wales-wide baseline where a sector wide valuation is available for all service measures, but this may reduce some location specific detail. If a company has a valuation more relevant to their location, this can be used when inputting valuations into DSTs. More detail is provided on this below.
Where the Ofwat Collaborative Customer Research does not provide an appropriate valuation or data, the CVF has used company-specific studies or other sources. See below for Ofwat Collaborative Customer Research WTA valuation summaries (household and non-household)
Other company-specific studies are available and used where needed, but have inherent bias towards the area of the country and customer base that the study took place in. It is also difficult to compare WTP study values on a like-for-like basis as they are dependent on the language used in the stated preference studies (e.g. one customer base may be asked to judge their willingness to accept "poor river water quality near their property" and another set may be asked to just their willingness to accept "polluted river waters within 5 miles of their property"), and the other options presented to the customers, as customers are asked to rank their preferences of all options available.</t>
  </si>
  <si>
    <t>UK government referenced valuations</t>
  </si>
  <si>
    <t>Economic valuations of impacts on utility companies, society and the environment, which are developed by UK government departments or recommended in official government documents.</t>
  </si>
  <si>
    <t>UK government valuations are used in preference to wider literature values as they align to UK policy or ambition, and support use of universal valuations for consistent economic appraisal. They are well-researched and considered most relevant to economic appraisal in the UK, e.g. reflecting impacts to the UK's natural environment from carbon emissions as opposed to the calculated impact to the environment of a country with a different economy and ecosystem.</t>
  </si>
  <si>
    <t>Wider literature values</t>
  </si>
  <si>
    <t>Economic valuations of impacts on utility companies, society and the environment, which are published in external studies.</t>
  </si>
  <si>
    <t>Economic valuation is a growing area of study and currently evolving, with valuation of social, human and intellectual capitals being less mature. This means that valuations may not align to the desired outcome directly or may need converting. Calculations may require assumptions, which are stated where necessary.</t>
  </si>
  <si>
    <t>Ofwat Collaborative Customer Research valuations</t>
  </si>
  <si>
    <t>Below are the two main figures (figures 4.1 and 4.2) from 'PR24: Using collaborative customer research to set outcome delivery incentive rates', which show the resulting WTA valuations from the study. The table following the figures provides a summary of the Service Measures where the Ofwat valuations have been used and highlights any unit conversions.</t>
  </si>
  <si>
    <t>Source: Ofwat (2023) PR24: Using collaborative customer research to set outcome delivery incentive rates. Available online: https://www.ofwat.gov.uk/wp-content/uploads/2023/08/PR24-Using-collaborative-customer-research-to-set-outcome-delivery-incentive-rates-.pdf</t>
  </si>
  <si>
    <t>SM Ofwat research was used in</t>
  </si>
  <si>
    <t>Impact categories (categories which do not use the Ofwat Collaborative Research have been excluded from this table)</t>
  </si>
  <si>
    <t>Unit conversion</t>
  </si>
  <si>
    <t>Impact categories</t>
  </si>
  <si>
    <t>2) Drinking water quality (appearance, taste &amp; odour)</t>
  </si>
  <si>
    <t>Taste &amp; Odour Complaints - chlorine</t>
  </si>
  <si>
    <t>No conversion required, unit matches SM units (contacts per incident) as Ofwat valuation is assumed to be an incident that prompts a contact.</t>
  </si>
  <si>
    <t>Quality of place, Local economy</t>
  </si>
  <si>
    <t>Taste &amp; Odour Complaints - earthy/musty</t>
  </si>
  <si>
    <t>Taste &amp; Odour Complaints - petrol/diesel</t>
  </si>
  <si>
    <t>Taste &amp; Odour Complaints - other causes</t>
  </si>
  <si>
    <t>Appearance Complaints - discoloured water (brown/black/orange)</t>
  </si>
  <si>
    <t>Appearance Complaints - discoloured water (blue/green)</t>
  </si>
  <si>
    <t>Appearance Complaints - particles</t>
  </si>
  <si>
    <t>Appearance Complaints - white (air)</t>
  </si>
  <si>
    <t>Appearance Complaints - white (chalk)</t>
  </si>
  <si>
    <t>Appearance Complaints - animalcules</t>
  </si>
  <si>
    <t>Appearance Complaints - general conditions</t>
  </si>
  <si>
    <t>4) Planned interruptions</t>
  </si>
  <si>
    <t>3 to 6 hour interruption to Supply</t>
  </si>
  <si>
    <t>No conversion required, unit matches SM units (properties per interruption).</t>
  </si>
  <si>
    <t>6 to 12 hour interruption to Supply</t>
  </si>
  <si>
    <t>5) Unplanned interruptions</t>
  </si>
  <si>
    <t>&gt;3 to 6 Hour Interruption to Supply</t>
  </si>
  <si>
    <t>&gt;6 to 12 Hour Interruption to Supply</t>
  </si>
  <si>
    <t>&gt;12 to 24 Hour Interruption to Supply</t>
  </si>
  <si>
    <t>24+ Hour Interruption to Supply</t>
  </si>
  <si>
    <t>9) Water use restrictions</t>
  </si>
  <si>
    <t>Drought trigger level 2: Implementation of hosepipe ban</t>
  </si>
  <si>
    <t>No conversion required, unit matches SM units (properties per impacted event). Interpolation required to identify service issues in between those covered in the study.</t>
  </si>
  <si>
    <t>Drought trigger level 3: Implementation of drought permit / drought order</t>
  </si>
  <si>
    <t>Drought trigger level 4: Emergency conditions</t>
  </si>
  <si>
    <t>14) Internal sewer flooding</t>
  </si>
  <si>
    <t>Hydraulic - Internal flooding of residential living space</t>
  </si>
  <si>
    <t>No conversion required, unit matches SM units (properties per incident). Lower bound of valuation used to distinguish between hydraulic and FOC flooding.</t>
  </si>
  <si>
    <t>Hydraulic - Internal flooding of social infrastructure (e.g. schools, hospitals)</t>
  </si>
  <si>
    <t>Hydraulic - Internal flooding of commercial and industrial properties</t>
  </si>
  <si>
    <t>FOC - Internal flooding of residential living space</t>
  </si>
  <si>
    <t>FOC - Internal flooding of social infrastructure (e.g. schools, hospitals)</t>
  </si>
  <si>
    <t>FOC - Internal flooding of commercial and industrial properties</t>
  </si>
  <si>
    <t>15) External sewer flooding</t>
  </si>
  <si>
    <t>Hydraulic - External flooding of residential properties</t>
  </si>
  <si>
    <t>Hydraulic - External flooding of social infrastructure (e.g. schools, hospitals)</t>
  </si>
  <si>
    <t>Hydraulic - External flooding of commercial and industrial properties</t>
  </si>
  <si>
    <t>FOC - External flooding of residential properties</t>
  </si>
  <si>
    <t>FOC - External flooding of social infrastructure (e.g. schools, hospitals)</t>
  </si>
  <si>
    <t>FOC - External flooding of commercial and industrial properties</t>
  </si>
  <si>
    <t>26) Pollution incidents</t>
  </si>
  <si>
    <t>Category 1 pollution incident (wastewater) - Major incident</t>
  </si>
  <si>
    <t>Conversion from £ per incident per household, to £ per incident. Multiply by number of houses affected by pollution incident "nearby" which is given as a 5 mile radius in WTA study, using England &amp; Wales housing density.</t>
  </si>
  <si>
    <t>Quality of place</t>
  </si>
  <si>
    <t>Category 2 pollution incident (wastewater) - Significant impact</t>
  </si>
  <si>
    <t>Category 3 pollution incident (wastewater) - Minor impact</t>
  </si>
  <si>
    <t>28) Bathing water quality</t>
  </si>
  <si>
    <t>In class benefit on bathing water quality</t>
  </si>
  <si>
    <t>Conversion from £ per incident (bathing water) per household, to £ per bathing water. Multiply by number of houses affected, which is calculated by finding average number of houses per bathing waters across England &amp; Wales.</t>
  </si>
  <si>
    <t>Bathing water quality (poor to sufficient)</t>
  </si>
  <si>
    <t>Bathing water quality (sufficient to good)</t>
  </si>
  <si>
    <t>Bathing water quality (good to excellent)</t>
  </si>
  <si>
    <t>Company specific WTP valuations</t>
  </si>
  <si>
    <t>Many companies conduct their own WTP or WTA studies. These studies often represent a more locally relevant valuation that is considered more accurate for the geography that the company operates in, but is less applicable to the wider sector due to the bias towards that specific location and customer base. Furthermore, studies are often not directly comparable as they are dependent on the language used in the stated preference studies (e.g. one customer base may be asked to judge their willingness to accept "poor river water quality near their property" and another set may be asked to just their willingness to accept "polluted river waters within 5 miles of their property"), and the other options presented to the customers, as customers are asked to rank their preferences of all options available.
As this is a common value framework, the workbook has not included company specific valuations unless there is a gap in sector-wide studies. However, for more detailed options development and appraisal, it may be more appropriate for companies to use its own valuations. This substitution should be documented for auditability, including the source of the valuation, and learning shared back to the wider sector. In some cases the CVF may stand as a guide to demonstrate a particular methodology that can be applied in a company specific context.</t>
  </si>
  <si>
    <t>Approach to confidence</t>
  </si>
  <si>
    <t>For every valuation, the CVF has assigned a confidence in the quality of that valuation. This is to provide the user with as much information about the provenance and calculation of valuations as possible, and reflect the reliability and accuracy of the inputs into any following calculations. The CVF developers acknowledge the proposed confidence assessment approach is, like all approaches, not perfect but instead provides a rounded approximation of the confidence users should have in the valuations. Without detailed insight into the methods used to generate the source values from each study, the CVF is unable to provide a more sophisticated assessment of the confidence of a valuation or the statistical confidence as is used in academia. Unfortunately, not all sources provide this information so the workbook has proposed an overall assessment that can be applied to every valuation.
The overall confidence score used is based on 6 different criteria. The source, robustness, age, location, and transparency criteria are related to the weakest source used in the calculation if more than one source was used. The manipulation criteria is related to the complexity and limitations in the calculation used to apply the benefit transfer. The overall confidence score is calculated as follows:</t>
  </si>
  <si>
    <r>
      <t>1. For each criterion, the value option source/s are given a score of high (3), medium (2) or low (1), relating to the descriptors provided below.
2. An average score is taken to create an overall score.
3. There are a discrete number of overall scores, which range from 1.71 to 3.00 at the time of the derivation of this method. This range of scores is divided equally to give three confidence bands: an average score of &lt;= 2.14 is awarded</t>
    </r>
    <r>
      <rPr>
        <b/>
        <sz val="12"/>
        <color theme="1"/>
        <rFont val="Aptos"/>
        <family val="2"/>
      </rPr>
      <t xml:space="preserve"> red</t>
    </r>
    <r>
      <rPr>
        <sz val="12"/>
        <color theme="1"/>
        <rFont val="Aptos"/>
        <family val="2"/>
      </rPr>
      <t xml:space="preserve">, an average score &gt;2.14 and &lt;=2.57 is awarded </t>
    </r>
    <r>
      <rPr>
        <b/>
        <sz val="12"/>
        <color theme="1"/>
        <rFont val="Aptos"/>
        <family val="2"/>
      </rPr>
      <t>amber</t>
    </r>
    <r>
      <rPr>
        <sz val="12"/>
        <color theme="1"/>
        <rFont val="Aptos"/>
        <family val="2"/>
      </rPr>
      <t xml:space="preserve">, and an average score &gt;2.57 and &lt;=3 is awarded </t>
    </r>
    <r>
      <rPr>
        <b/>
        <sz val="12"/>
        <color theme="1"/>
        <rFont val="Aptos"/>
        <family val="2"/>
      </rPr>
      <t>green</t>
    </r>
    <r>
      <rPr>
        <sz val="12"/>
        <color theme="1"/>
        <rFont val="Aptos"/>
        <family val="2"/>
      </rPr>
      <t xml:space="preserve">. 
4. A cap is imposed using the manipulation score, as the degree of calculation from the original source value introduces a significant level of uncertainty to the valuations. Therefore, the average score cannot exceed 2.14 if the manipulation score is low or 2.57 if the manipulation score is medium. </t>
    </r>
  </si>
  <si>
    <t>Criteria</t>
  </si>
  <si>
    <t>High</t>
  </si>
  <si>
    <t>Medium</t>
  </si>
  <si>
    <t>Low</t>
  </si>
  <si>
    <t>Source</t>
  </si>
  <si>
    <t>Monetary values have been peer reviewed or are recommended / referenced in other, well recognised and accepted guidance / tools relevant to the water sector.</t>
  </si>
  <si>
    <t>The monetary values are recommended / referenced in other, well recognised and accepted guidance / tools relevant to another sector.</t>
  </si>
  <si>
    <t>Data or assumption based on poor evidence.</t>
  </si>
  <si>
    <t>Robustness</t>
  </si>
  <si>
    <t>Study has few limitations and is considered robust.</t>
  </si>
  <si>
    <t>Study has some limitations which may impact on the robustness of the value.</t>
  </si>
  <si>
    <t>Study has significant limitations and the use of the value comes with significant caveat.</t>
  </si>
  <si>
    <t>Age</t>
  </si>
  <si>
    <t>0 – 5 years</t>
  </si>
  <si>
    <t>6-10 years</t>
  </si>
  <si>
    <t>&gt;10 years</t>
  </si>
  <si>
    <t>Location</t>
  </si>
  <si>
    <t>Geographically relevant to UK</t>
  </si>
  <si>
    <t>Less geographically relevant e.g. Europe or relevant to a specific UK region</t>
  </si>
  <si>
    <t>Limited geographical relevance e.g. Asia</t>
  </si>
  <si>
    <t xml:space="preserve">Transparency </t>
  </si>
  <si>
    <t>Clear understanding of the valuation method and how the value should be applied.</t>
  </si>
  <si>
    <t>Meta-analysis or limited understanding of what the value represents.</t>
  </si>
  <si>
    <t>Unclear on what the value represents.</t>
  </si>
  <si>
    <t>Manipulation</t>
  </si>
  <si>
    <t xml:space="preserve">The original valuation can be used with no or very simple modification e.g. change units from ha to km2, applying inflation. </t>
  </si>
  <si>
    <t xml:space="preserve">The original valuation can be used with some modification e.g. applying household numbers. The calculation is simple or introduces low levels of uncertainty. </t>
  </si>
  <si>
    <t xml:space="preserve">The original valuation can be used with significant modification e.g. several additional data inputs are required to use the original source. The calculation is complex or introduces significant uncertainty. </t>
  </si>
  <si>
    <t>* please refrain from editing this table above, as it is used as a look up reference by the numbered tabs</t>
  </si>
  <si>
    <t>Confidence criteria score</t>
  </si>
  <si>
    <t>Overall confidence score</t>
  </si>
  <si>
    <t>Green</t>
  </si>
  <si>
    <t>&gt;2.57 and &lt;=3</t>
  </si>
  <si>
    <t>Amber</t>
  </si>
  <si>
    <t>&gt;2.14 and &lt;=2.57</t>
  </si>
  <si>
    <t>Red</t>
  </si>
  <si>
    <t>&lt;=2.14</t>
  </si>
  <si>
    <t>Alignment with NCEM (2025)</t>
  </si>
  <si>
    <t>About</t>
  </si>
  <si>
    <t>Access NCEM (2025)</t>
  </si>
  <si>
    <t xml:space="preserve">The Water Industry Natural Capital Evidence and Metrics (NCEM) published by the Environment Agency in June 2025 provides recommended natural capital evidence and metrics and guidance on how to apply them for use in water company options development and appraisal processes. The NCEM can be applied to any stage of the options development process. 
To ensure that the CVF is aligned to the NCEM and therefore can be confidently used by water companies in the early stages of the options development and appraisal processes, work has been undertaken to incorporate the values from the NCEM qualitative and monetary libraries. The table below shows the output of a systematic review of ecosystem service monetary values against values and sources used in the CVF, and any updates to the CVF made as a result.
</t>
  </si>
  <si>
    <t>To request a copy of NCEM (2025) please contact the Environment Agency Natural Capital Team at: naturalcapital@environment-agency.gov.uk</t>
  </si>
  <si>
    <t>Step no.</t>
  </si>
  <si>
    <t>Relevant CVF sheet</t>
  </si>
  <si>
    <t>Relevant NCEM sheet</t>
  </si>
  <si>
    <t>Approach taken to align CVF to NCEM</t>
  </si>
  <si>
    <t>How to, How to represent NBS</t>
  </si>
  <si>
    <t>Step 2 - ES Matrix (QUAL)</t>
  </si>
  <si>
    <t>Alignment of NBS intervention categories in the 'How to represent NBS' section with NCEM by adopting the NCEM intervention list of NBS.</t>
  </si>
  <si>
    <t>The 'Ecosystem service and intervention matrix' from NCEM was used to determine the most appropriate habitat impact categories to represent a given NBS in CVF.</t>
  </si>
  <si>
    <t>30 Habitat impact (incl. biodiversity)</t>
  </si>
  <si>
    <t xml:space="preserve">Cross-checked the impact pathways on tab 30 in the CVF against the 'Ecosystem service and intervention matrix' from NCEM to ensure that as a minimum, large positive / negative impacts indicated in matrix are carried through and represented in the CVF. </t>
  </si>
  <si>
    <t>Valuation tabs (multiple.)</t>
  </si>
  <si>
    <t>Step 4 - LIBRARY (MONETARY)</t>
  </si>
  <si>
    <t>Systematic checked each ecosystem service monetary values given by NCEM against monetary values used in CVF. Any discrepancies are resolved and logged in Table 1 below.</t>
  </si>
  <si>
    <t>Step 3 - LIBRARY (QUANT)</t>
  </si>
  <si>
    <t>Systematic checked each ecosystem service quantitative values given by NCEM against quantitative data used in the calculations in the CVF. Any discrepancies are resolved and logged in Table 2 below. Not all quantitative data from the NCEM QUANT library have been logged in Table 2. Omissions have been made where the quantitative data is not applicable to the CVF, for two reasons:
a) The monetised calculation used in the CVF already implicitly includes the quantitative data (e.g. farmland yield, air pollution removal).
b) The quantitative data is itself an input to the CVF (e.g. nutrient reduction, number of visitors).</t>
  </si>
  <si>
    <t>Table 1, alignment of monetary values with NCEM</t>
  </si>
  <si>
    <t>NCEM ecosystem service</t>
  </si>
  <si>
    <t>Values given in monetary library</t>
  </si>
  <si>
    <t>Number of values in group</t>
  </si>
  <si>
    <t>Unit</t>
  </si>
  <si>
    <t>Comment on alignment</t>
  </si>
  <si>
    <t>Change made to CVF</t>
  </si>
  <si>
    <t>Alignment</t>
  </si>
  <si>
    <t>Biodiversity</t>
  </si>
  <si>
    <t>Habitat specific biodiversity unit values</t>
  </si>
  <si>
    <t>£/biodiversity unit</t>
  </si>
  <si>
    <t>CVF (v1.0) includes non-habitat specific values derived from the same source (biodiversity markets).</t>
  </si>
  <si>
    <t>No change, aligned.</t>
  </si>
  <si>
    <t>Aligned</t>
  </si>
  <si>
    <t>Non-habitat specific biodiversity unit values</t>
  </si>
  <si>
    <t>CVF (v1.0) includes the same non-habitat specific values for biodiversity units.</t>
  </si>
  <si>
    <t>Cultivated plants &amp; reared animals</t>
  </si>
  <si>
    <t>Timber profit values</t>
  </si>
  <si>
    <t>£/year or £/m3 overbark/year</t>
  </si>
  <si>
    <t xml:space="preserve">Timber production is not explicitly included as a service measure. This is a result from consulting with the User Group and agreeing that this is not a common investment outcome. </t>
  </si>
  <si>
    <r>
      <t>CVF (v2.0) updated to include average gross margin per ha benefit to farmland from varied farming produce. To represent timber production benefits, users should follow NCEM guidance and use the O</t>
    </r>
    <r>
      <rPr>
        <i/>
        <sz val="12"/>
        <color theme="1"/>
        <rFont val="Aptos"/>
        <family val="2"/>
      </rPr>
      <t>ther Benefits and Avoidable Costs Service Measure (46)</t>
    </r>
    <r>
      <rPr>
        <sz val="12"/>
        <color theme="1"/>
        <rFont val="Aptos"/>
        <family val="2"/>
      </rPr>
      <t>.</t>
    </r>
  </si>
  <si>
    <t>Farm produce values</t>
  </si>
  <si>
    <t>£/ha/year</t>
  </si>
  <si>
    <t xml:space="preserve">CVF (v1.0) covers farmland habitat type under the Habitat Impact Service Measure (30). However, food production benefit associated with farmland was not included. NCEM provides local specific and non-location specific values for farmland productions. 
</t>
  </si>
  <si>
    <t>Education and Investigation</t>
  </si>
  <si>
    <t>Cost of nature-based school trip values</t>
  </si>
  <si>
    <t>£/pupil trip</t>
  </si>
  <si>
    <t>CVF (v1.0) includes central value from the same source for value per trip for educational visit and engaging with adults.</t>
  </si>
  <si>
    <t>Cost of educational trip to farms</t>
  </si>
  <si>
    <t>£/visit</t>
  </si>
  <si>
    <t>CVF (v1.0) aligned to alternative valuation (for nature-based trips) which is more relevant than value for trips to farms only.</t>
  </si>
  <si>
    <t>Global atmospheric regulation</t>
  </si>
  <si>
    <t>Abatement cost of carbon sequestration</t>
  </si>
  <si>
    <t>£/tCO2e</t>
  </si>
  <si>
    <t>CVF (v1.0) aligned to value for carbon abatement cost</t>
  </si>
  <si>
    <t>Local atmospheric regulation (air quality)</t>
  </si>
  <si>
    <t>Pollutant removal values</t>
  </si>
  <si>
    <t>£/tonne/year</t>
  </si>
  <si>
    <t>CVF (v1.0) uses recommended government appraisal values, which are based on the recommended values and source in NCEM.</t>
  </si>
  <si>
    <t>Physical/Mental Health &amp; Wellbeing</t>
  </si>
  <si>
    <t>Active visit value</t>
  </si>
  <si>
    <t>£/active visit/year</t>
  </si>
  <si>
    <t>CVF (v1.0) uses ENCA recommended value, which is based on NCEM recommended source and values.</t>
  </si>
  <si>
    <t>Quality of the Water Environment</t>
  </si>
  <si>
    <t>NWEBS WTP values</t>
  </si>
  <si>
    <t>£/km or £/km2</t>
  </si>
  <si>
    <t>CVF (v1.0) uses England &amp; Wales average values from the same source, for both rivers and transitional waters, lakes and coastal waters.</t>
  </si>
  <si>
    <t>Recreation</t>
  </si>
  <si>
    <t>ORVal values and ORVal derived values</t>
  </si>
  <si>
    <t>CVF (v1.0) uses ORVal derived value but not exact match, as NCEM values use different units. Underlying source and methodology aligned.</t>
  </si>
  <si>
    <t>No change, underlying source and methodology aligned.</t>
  </si>
  <si>
    <t>Mostly Aligned</t>
  </si>
  <si>
    <t>Bathing water WTP values</t>
  </si>
  <si>
    <t>£/household</t>
  </si>
  <si>
    <t>CVF (v1.0) uses Ofwat Collaborative Research study for bathing water improvement WTP valuations so is not aligned with NCEM. However, to adopt NCEM recommended values would cause the CVF bathing water quality valuations to be inconsistent with other service measures in the CVF, and WTP values recommended by NCEM are significantly older (2014 vs 2023 Ofwat study).</t>
  </si>
  <si>
    <t>No change, but misalignment noted.</t>
  </si>
  <si>
    <t>Volunteering</t>
  </si>
  <si>
    <t>Volunteering hour value</t>
  </si>
  <si>
    <t>£/volunteer hour</t>
  </si>
  <si>
    <t>CVF (v1.0) uses wellbeing valuation to capture the wellbeing benefit from volunteering. NCEM includes values capturing wellbeing benefit and benefit to the local economy, the latter of which was not originally included in the CVF (v1.0).</t>
  </si>
  <si>
    <t>CVF (v2.0) updated to include NCEM value capturing benefit to local economy as well as benefit to wellbeing.</t>
  </si>
  <si>
    <t>Water flow regulation</t>
  </si>
  <si>
    <t>Avoided cost of constructed reservoir</t>
  </si>
  <si>
    <t>£/m3/year</t>
  </si>
  <si>
    <t xml:space="preserve">This set of values represent the avoided cost per m3 of a constructed reservoir. This is less appropriate for use than the other set of values provided by NCEM because the cost of a reservoir may already be considered by alternative  options. </t>
  </si>
  <si>
    <t>No change, the more appropriate set of values from NCEM used.</t>
  </si>
  <si>
    <t>Flood control by habitat values</t>
  </si>
  <si>
    <t>CVF (v1.0) uses same source and methodology for water regulation of relevant habitats</t>
  </si>
  <si>
    <t>Water quality regulation</t>
  </si>
  <si>
    <t>Water quality benefits by habitat (wetlands)</t>
  </si>
  <si>
    <t>CVF (v1.0) uses same source and values for the relevant habitats, except where agreed by CVF User Group to capture impacts through alternative service measure (nutrient removal).</t>
  </si>
  <si>
    <t>Water quality benefits by nutrient removal</t>
  </si>
  <si>
    <t>£/kg</t>
  </si>
  <si>
    <t>CVF (v1.0) uses same source and values.</t>
  </si>
  <si>
    <t>Water supply</t>
  </si>
  <si>
    <t>Value of water abstracted for other industries</t>
  </si>
  <si>
    <t>£/m3</t>
  </si>
  <si>
    <t>Values not relevant to CVF as water companies valuing impacts to water for public supply.</t>
  </si>
  <si>
    <t>CVF (v2.0) updated to include the NCEM value capturing incremental social cost of water supply, in place of the resource rent value of water.</t>
  </si>
  <si>
    <t>Average incremental social cost of public water supply</t>
  </si>
  <si>
    <t xml:space="preserve">The previous version of the CVF (v1.0) used resource rent value of water (used in tabs 7, 10, 11, 12) as recommended by ENCA, which does not align to NCEM recommended value. The NCEM recommended value captures the social incremental cost of water supply, which is a closer alignment with the impact pathway the CVF is representing. </t>
  </si>
  <si>
    <t>Wild produce</t>
  </si>
  <si>
    <t>Landed price of shellfish</t>
  </si>
  <si>
    <t>£/tonne</t>
  </si>
  <si>
    <t>Table 2, alignment of quantitative values with NCEM</t>
  </si>
  <si>
    <t>Values given in quantitative library</t>
  </si>
  <si>
    <t>Coastal margins sequestration values</t>
  </si>
  <si>
    <t>tCO2/ha/year</t>
  </si>
  <si>
    <t>The quantitative value used in the CVF (v1.0) for this ecosystem service is from the set of values presented in NCEM. CVF (v1.0) uses central value on carbon sequestration rate for intertidal sediments.</t>
  </si>
  <si>
    <t>Enclosed farmland sequestration values/emission values</t>
  </si>
  <si>
    <t>The quantitative values used in the CVF (v1.0) for this ecosystem service are from the set of values presented in NCEM and from NCEM recommended source.</t>
  </si>
  <si>
    <t>Mountains, moorlands and heaths; Freshwaters - open waters, wetlands and floodplains sequestration/emissions values</t>
  </si>
  <si>
    <t xml:space="preserve">The quantitative values used in the CVF (v1.0) for this ecosystem service are from the set of values presented in NCEM and from NCEM recommended source. </t>
  </si>
  <si>
    <t>No change to source, values in CVF (v2.0) for peatland carbon emissions/sequestration updated to align with latest copy of Peatland Code document (source ID 122)</t>
  </si>
  <si>
    <t>Semi-natural grassland sequestration values</t>
  </si>
  <si>
    <t>Woodlands</t>
  </si>
  <si>
    <t>The quantitative values for woodland carbon sequestration differ from the values in the CVF (v1.0).</t>
  </si>
  <si>
    <t>CVF (v2.0) updated to use the Forest Research values as recommended in NCEM. CVF and NCEM now aligned.</t>
  </si>
  <si>
    <t>Physical/Mental Health &amp; Wellbeing, Recreation</t>
  </si>
  <si>
    <t>Proportion of recreational visits</t>
  </si>
  <si>
    <t>Nr visits or % of visits</t>
  </si>
  <si>
    <t>The quantitative values used in the CVF (v1.0) for health and recreation are from the set of values presented in NCEM, all based on ORVal, and from NCEM recommended source.</t>
  </si>
  <si>
    <t>Shellfish landing values</t>
  </si>
  <si>
    <t>ha of shellfish water per classification</t>
  </si>
  <si>
    <t>The quantitative values used in the CVF (v1.0) for shellfish landings come from the source recommended in NCEM.</t>
  </si>
  <si>
    <t>STEP 1:</t>
  </si>
  <si>
    <t>Select company</t>
  </si>
  <si>
    <t>Southern Water</t>
  </si>
  <si>
    <t>Company data*(auto populated)</t>
  </si>
  <si>
    <t>Value</t>
  </si>
  <si>
    <t>Total connected properties (water)</t>
  </si>
  <si>
    <t>Total household population</t>
  </si>
  <si>
    <t>Net operational GHG emissions - location based (kgCO2e / Ml treated water)</t>
  </si>
  <si>
    <t>Net operational GHG emissions - location based (kgCO2e / Ml sewage treated)</t>
  </si>
  <si>
    <t>Wastewater properties billed for sewage - wastewater - 2023-24 year end - Residential</t>
  </si>
  <si>
    <t>Wastewater properties billed for sewage - wastewater - 2023-24 year end - Business</t>
  </si>
  <si>
    <t>*see Standardised Data -&gt; company information to review and update these figures for your company</t>
  </si>
  <si>
    <t>STEP 2:</t>
  </si>
  <si>
    <t>Select appraisal period</t>
  </si>
  <si>
    <t>Appraisal period start year (i.e. base year)</t>
  </si>
  <si>
    <t>Appraisal period end year</t>
  </si>
  <si>
    <t>Appraisal period duration (calculated)</t>
  </si>
  <si>
    <t>Note: appraisal period assumes inclusion of start and end year</t>
  </si>
  <si>
    <t>CVF Overview</t>
  </si>
  <si>
    <r>
      <t xml:space="preserve">This sheet shows an overview of all the service measures included in the CVF, including their higher level grouping and the policy or sources they related to. Columns E, F and G correspond to:
</t>
    </r>
    <r>
      <rPr>
        <b/>
        <sz val="14"/>
        <color theme="0"/>
        <rFont val="Aptos"/>
        <family val="2"/>
      </rPr>
      <t>PC (Performance Commitment)</t>
    </r>
    <r>
      <rPr>
        <sz val="14"/>
        <color theme="0"/>
        <rFont val="Aptos"/>
        <family val="2"/>
      </rPr>
      <t xml:space="preserve">, these are service measures directly or closely related to PR24 performance commitments, i.e. services that must be fulfilled to the required level to meet regulatory commitments.
</t>
    </r>
    <r>
      <rPr>
        <b/>
        <sz val="14"/>
        <color theme="0"/>
        <rFont val="Aptos"/>
        <family val="2"/>
      </rPr>
      <t>NCEM (Natural Capital Evidence and Metrics)</t>
    </r>
    <r>
      <rPr>
        <sz val="14"/>
        <color theme="0"/>
        <rFont val="Aptos"/>
        <family val="2"/>
      </rPr>
      <t xml:space="preserve">, these are metrics identified in the EA's WINEP Wider Environmental Outcome Metrics document and the recent update, Water Industry Natural Capital Evidence and Metrics 2025 (NCEM), for use in WINEP options development and appraisal.
</t>
    </r>
    <r>
      <rPr>
        <b/>
        <sz val="14"/>
        <color theme="0"/>
        <rFont val="Aptos"/>
        <family val="2"/>
      </rPr>
      <t>Other</t>
    </r>
    <r>
      <rPr>
        <sz val="14"/>
        <color theme="0"/>
        <rFont val="Aptos"/>
        <family val="2"/>
      </rPr>
      <t>, these are other service measures not identified in the previous two sources.
The second table on this sheet shows the value metrics used in the CVF.</t>
    </r>
  </si>
  <si>
    <t>Grouping</t>
  </si>
  <si>
    <t>Ref</t>
  </si>
  <si>
    <t>Numbered sheet</t>
  </si>
  <si>
    <t>Units (where it is not stated, the unit is per year)</t>
  </si>
  <si>
    <t>PC</t>
  </si>
  <si>
    <t>NCEM</t>
  </si>
  <si>
    <t>other</t>
  </si>
  <si>
    <t>Water quality</t>
  </si>
  <si>
    <t>Drinking water quality (biological and chemical)</t>
  </si>
  <si>
    <t>Nr of samples</t>
  </si>
  <si>
    <t>Drinking water quality (appearance, taste and odour)</t>
  </si>
  <si>
    <t>Nr of contacts per incident</t>
  </si>
  <si>
    <t>Water quality (lead risk)</t>
  </si>
  <si>
    <t>Nr of properties</t>
  </si>
  <si>
    <t>O</t>
  </si>
  <si>
    <t>Water availability</t>
  </si>
  <si>
    <t>Planned interruptions</t>
  </si>
  <si>
    <t>Nr of properties per interruption</t>
  </si>
  <si>
    <t>Unplanned interruptions</t>
  </si>
  <si>
    <t>Nr of properties per incident</t>
  </si>
  <si>
    <t>Water pressure</t>
  </si>
  <si>
    <t>Leakage</t>
  </si>
  <si>
    <t>Ml/d</t>
  </si>
  <si>
    <t>Bursts</t>
  </si>
  <si>
    <t>No sheet</t>
  </si>
  <si>
    <t>Nr of incidents</t>
  </si>
  <si>
    <t>Water use restrictions</t>
  </si>
  <si>
    <t>Ml/d per event</t>
  </si>
  <si>
    <t>Water use</t>
  </si>
  <si>
    <t>l/head/day</t>
  </si>
  <si>
    <t>Rainwater management (separating / intercepting / harvesting surface water)</t>
  </si>
  <si>
    <t>Abstraction consent compliance</t>
  </si>
  <si>
    <t>Nr of events, m3 per event</t>
  </si>
  <si>
    <t>Reservoir act compliance</t>
  </si>
  <si>
    <t>Reservoir act compliance failure</t>
  </si>
  <si>
    <t>Nr of events</t>
  </si>
  <si>
    <t>Flooding</t>
  </si>
  <si>
    <t>Internal sewer flooding</t>
  </si>
  <si>
    <t>FOC and hydraulic, Nr of properties per incident</t>
  </si>
  <si>
    <t>External sewer flooding</t>
  </si>
  <si>
    <t>Internal surface water flooding</t>
  </si>
  <si>
    <t>External surface water flooding</t>
  </si>
  <si>
    <t>Wastewater treatment</t>
  </si>
  <si>
    <t>Final effluent quality </t>
  </si>
  <si>
    <t>cover both numeric and descriptive</t>
  </si>
  <si>
    <t>Final effluent compliance</t>
  </si>
  <si>
    <t>Nr of failures</t>
  </si>
  <si>
    <t>Intermittent discharge consent compliance (spills)</t>
  </si>
  <si>
    <t>incl network and treatment, Nr of events</t>
  </si>
  <si>
    <t>Wastewater network</t>
  </si>
  <si>
    <t>Blockages</t>
  </si>
  <si>
    <t>Collapse</t>
  </si>
  <si>
    <t>Bioresources</t>
  </si>
  <si>
    <t>Sludge treatment (including methods and final quality)</t>
  </si>
  <si>
    <t>Tonnes dry solids (TDS) per failure event</t>
  </si>
  <si>
    <t>Sludge disposal (e.g. landfill, incineration, land)</t>
  </si>
  <si>
    <t>Sludge compliance</t>
  </si>
  <si>
    <t>Nr of non-compliance</t>
  </si>
  <si>
    <t>Environment</t>
  </si>
  <si>
    <t>Pollution incidents</t>
  </si>
  <si>
    <t>Quality of the water environment</t>
  </si>
  <si>
    <t>km, km2</t>
  </si>
  <si>
    <t>Bathing water quality</t>
  </si>
  <si>
    <t>Nr of bathing water</t>
  </si>
  <si>
    <t>Shellfish water quality</t>
  </si>
  <si>
    <t>Area of water (ha)</t>
  </si>
  <si>
    <t>Habitat impact (incl. biodiversity)</t>
  </si>
  <si>
    <t>Area (ha) and condition (poor, moderate, good)</t>
  </si>
  <si>
    <t>Greenhouse gas emissions (including embodied and operational carbon)</t>
  </si>
  <si>
    <t>tCO2e</t>
  </si>
  <si>
    <t>Air pollution</t>
  </si>
  <si>
    <t>Tonnes</t>
  </si>
  <si>
    <t>Nutrient removal</t>
  </si>
  <si>
    <t>Kg</t>
  </si>
  <si>
    <t>Amenity</t>
  </si>
  <si>
    <t>No. homes impacted</t>
  </si>
  <si>
    <t>General</t>
  </si>
  <si>
    <t>External contacts</t>
  </si>
  <si>
    <t>Nr of complaints</t>
  </si>
  <si>
    <t>Nuisance</t>
  </si>
  <si>
    <t>Property days impacted</t>
  </si>
  <si>
    <t>Compliance Risk Index (CRI)</t>
  </si>
  <si>
    <t>Index</t>
  </si>
  <si>
    <t>Nr of visits</t>
  </si>
  <si>
    <t>Community engagement</t>
  </si>
  <si>
    <t xml:space="preserve">Number of people benefitting </t>
  </si>
  <si>
    <t>Employment</t>
  </si>
  <si>
    <t>Nr people</t>
  </si>
  <si>
    <t>Enabling growth</t>
  </si>
  <si>
    <t>£ per ha</t>
  </si>
  <si>
    <t>Traffic disruption</t>
  </si>
  <si>
    <t>Number of days disruption per event</t>
  </si>
  <si>
    <t>Active travel opportunities</t>
  </si>
  <si>
    <t>Health and safety (public &amp; employees)</t>
  </si>
  <si>
    <t>Number of people affected</t>
  </si>
  <si>
    <t>Security (physical / cyber)</t>
  </si>
  <si>
    <t>Nr of breach</t>
  </si>
  <si>
    <t>Other benefits and avoidable costs</t>
  </si>
  <si>
    <t>£000s</t>
  </si>
  <si>
    <t>Value metrics used in the CVF</t>
  </si>
  <si>
    <t>Financial capital</t>
  </si>
  <si>
    <t>Private costs</t>
  </si>
  <si>
    <t>Private benefits</t>
  </si>
  <si>
    <t>Natural capital</t>
  </si>
  <si>
    <t>Food provision</t>
  </si>
  <si>
    <t>Soil</t>
  </si>
  <si>
    <t>Water resources</t>
  </si>
  <si>
    <t>Water regulation</t>
  </si>
  <si>
    <t>Air quality</t>
  </si>
  <si>
    <t>GHG</t>
  </si>
  <si>
    <t>Temperature regulation</t>
  </si>
  <si>
    <t>Waste</t>
  </si>
  <si>
    <t>Social</t>
  </si>
  <si>
    <t>Trust</t>
  </si>
  <si>
    <t>Stakeholder relationship</t>
  </si>
  <si>
    <t>Local economy</t>
  </si>
  <si>
    <t>Human</t>
  </si>
  <si>
    <t>Skills and knowledge</t>
  </si>
  <si>
    <t>Health and wellbeing</t>
  </si>
  <si>
    <t>Safety and security</t>
  </si>
  <si>
    <t>Intellectual</t>
  </si>
  <si>
    <t>Routine and practices</t>
  </si>
  <si>
    <t>Structural resources</t>
  </si>
  <si>
    <t>Valuations summary</t>
  </si>
  <si>
    <t>Disbenefit</t>
  </si>
  <si>
    <t>Benefit</t>
  </si>
  <si>
    <t>&lt;/&gt;</t>
  </si>
  <si>
    <t>Not valued to avoid double counting</t>
  </si>
  <si>
    <t>AC</t>
  </si>
  <si>
    <t>Should be valued through the Other Benefits and Avoidable Costs SM (46)</t>
  </si>
  <si>
    <t>LG(H)</t>
  </si>
  <si>
    <t>Literature gap (high, medium, low priority)</t>
  </si>
  <si>
    <t>Value metrics</t>
  </si>
  <si>
    <t>SM Ref</t>
  </si>
  <si>
    <t>Units (all the units are per year)</t>
  </si>
  <si>
    <t>Value (sum)</t>
  </si>
  <si>
    <t>Internal threshold sample failure (near miss 30% PCV)</t>
  </si>
  <si>
    <t>Internal threshold sample failure (near miss 60% PCV)</t>
  </si>
  <si>
    <t>WQ parameter sample exceeds PCV at WTW - no health impact - lower estimate</t>
  </si>
  <si>
    <t>WQ parameter sample exceeds PCV at WTW - no health impact - higher estimate</t>
  </si>
  <si>
    <t>WQ parameter sample exceeds PCV at WTW - health impact - lower estimate</t>
  </si>
  <si>
    <t>WQ parameter sample exceeds PCV at WTW - health impact - higher estimate</t>
  </si>
  <si>
    <t>WQ parameter sample exceeds PCV at SR - no health impact - lower estimate</t>
  </si>
  <si>
    <t>WQ parameter sample exceeds PCV at SR - no health impact - higher estimate</t>
  </si>
  <si>
    <t>WQ parameter sample exceeds PCV at SR - health impact - lower estimate</t>
  </si>
  <si>
    <t>WQ parameter sample exceeds PCV at SR - health impact - higher estimate</t>
  </si>
  <si>
    <t>WQ parameter sample exceeds PCV at Customer Property - no health impact - lower estimate</t>
  </si>
  <si>
    <t>WQ parameter sample exceeds PCV at Customer Property - no health impact - higher estimate</t>
  </si>
  <si>
    <t>WQ parameter sample exceeds PCV at Customer Property - health impact - lower estimate</t>
  </si>
  <si>
    <t>WQ parameter sample exceeds PCV at Customer Property - health impact - higher estimate</t>
  </si>
  <si>
    <t>Properties with lead risk reduced</t>
  </si>
  <si>
    <t>0 to 3 Hour Interruption to Supply</t>
  </si>
  <si>
    <t xml:space="preserve">Pressure below acceptable level (Ofwat DG2) </t>
  </si>
  <si>
    <t>Properties at risk of addition to low pressure register</t>
  </si>
  <si>
    <t>Low pressure noticed by customer but above or at acceptable level</t>
  </si>
  <si>
    <t>High Pressure noticed by customer</t>
  </si>
  <si>
    <t>Water lost through leakage</t>
  </si>
  <si>
    <t>Reporting only</t>
  </si>
  <si>
    <t>Loss of resource yield / WAFU (water available for use)</t>
  </si>
  <si>
    <t>Drought trigger level 1: Issue of customer communication</t>
  </si>
  <si>
    <t>Nr of properties impacted per event</t>
  </si>
  <si>
    <t>Reduction in per capita consumption</t>
  </si>
  <si>
    <t>Treated effluent recycled as a potable substitute</t>
  </si>
  <si>
    <t>Grey water recycled as a potable substitute</t>
  </si>
  <si>
    <t>Groundwater recharge - Seriously water stressed areas</t>
  </si>
  <si>
    <t>ml/d</t>
  </si>
  <si>
    <t>Groundwater recharge - Areas not water stressed</t>
  </si>
  <si>
    <t>Surface water separated from combined</t>
  </si>
  <si>
    <t>Surface water intercepted/harvested</t>
  </si>
  <si>
    <t>Abstraction consent compliance failure</t>
  </si>
  <si>
    <t>Volume of over-abstraction</t>
  </si>
  <si>
    <t>m3 per event</t>
  </si>
  <si>
    <t>Non-compliance event</t>
  </si>
  <si>
    <t>Residential properties at risk from internal hydraulic flooding from a 1 in 50-year storm</t>
  </si>
  <si>
    <t>Internal flooding of residential living space</t>
  </si>
  <si>
    <t>Internal flooding of social infrastructure (e.g. schools, hospitals)</t>
  </si>
  <si>
    <t>Internal flooding of commercial and industrial properties</t>
  </si>
  <si>
    <t>External flooding of residential living space</t>
  </si>
  <si>
    <t>External flooding of social infrastructure (e.g. schools, hospitals)</t>
  </si>
  <si>
    <t>External flooding of commercial and industrial properties</t>
  </si>
  <si>
    <t>Final effluent quality</t>
  </si>
  <si>
    <t>Numeric Consent WwTW - Near Miss (Internal sample failure)</t>
  </si>
  <si>
    <t>Numeric Consent WwTW - OSM sample failure</t>
  </si>
  <si>
    <t>Numeric Consent WwTW - OSM sample failure (phosphorus)</t>
  </si>
  <si>
    <t>Descriptive failure (pass/fail) (sites &lt;250pp)</t>
  </si>
  <si>
    <t>Dry weather flow Q80 failure</t>
  </si>
  <si>
    <t>Nr of incidents per site</t>
  </si>
  <si>
    <t>Dry weather flow Q90 failure</t>
  </si>
  <si>
    <t>Failing 3 out of 5 years Q90</t>
  </si>
  <si>
    <t>Failing Full Flow to Treatment (FFT)</t>
  </si>
  <si>
    <t>Failure to record/report flow/sample correctly</t>
  </si>
  <si>
    <t>Network - Unconsented Spills</t>
  </si>
  <si>
    <t>Network - Unscreened Spills Outside of Consent (Breach)</t>
  </si>
  <si>
    <t>Network - Screened Spills Outside of Consent (Breach)</t>
  </si>
  <si>
    <t>Network - Breach of Consent Conditions (technical)</t>
  </si>
  <si>
    <t>Treatment - Unconsented Spills</t>
  </si>
  <si>
    <t>Treatment - Unscreened Spills Outside of Consent (Breach)</t>
  </si>
  <si>
    <t>Treatment - Screened Spills Outside of Consent (Breach)</t>
  </si>
  <si>
    <t>Treatment - Breach of Consent Conditions (technical)</t>
  </si>
  <si>
    <t>Sludge treatment</t>
  </si>
  <si>
    <t>Re-treatment through thickening and de-watering</t>
  </si>
  <si>
    <t>Re-treatment through liming</t>
  </si>
  <si>
    <t>Re-treatment through AD</t>
  </si>
  <si>
    <t>Re-treatment through AAD</t>
  </si>
  <si>
    <t>Third party treatment</t>
  </si>
  <si>
    <t>£ per failure event</t>
  </si>
  <si>
    <t>Conventional quality product</t>
  </si>
  <si>
    <t>Enhanced quality product</t>
  </si>
  <si>
    <t>Un-treated product</t>
  </si>
  <si>
    <t>Loss of generation (e.g. CHP, gas to grid failure)</t>
  </si>
  <si>
    <t>gWh per failure event</t>
  </si>
  <si>
    <t>Loss of nutrient recovery</t>
  </si>
  <si>
    <t>Tonnes per failure event</t>
  </si>
  <si>
    <t>Sludge disposal</t>
  </si>
  <si>
    <t>Sludge to landfill (instead of to land)</t>
  </si>
  <si>
    <t>Sludge to restoration (instead of to land)</t>
  </si>
  <si>
    <t>Sludge to incineration (instead of to land)</t>
  </si>
  <si>
    <t>Third party disposal</t>
  </si>
  <si>
    <t>Treatment compliance</t>
  </si>
  <si>
    <t>Disposal compliance</t>
  </si>
  <si>
    <t>Category 4 pollution incident (wastewater) - No impact</t>
  </si>
  <si>
    <t>In class benefit on river quality</t>
  </si>
  <si>
    <t>km</t>
  </si>
  <si>
    <t>Length of river improved (bad to poor)</t>
  </si>
  <si>
    <t>Length of river improved (poor to moderate)</t>
  </si>
  <si>
    <t>Length of river improved (moderate to good)</t>
  </si>
  <si>
    <t>Length of river improved (good to high)</t>
  </si>
  <si>
    <t>In class benefit on transitional water, coastal water, or lake water quality</t>
  </si>
  <si>
    <t>km2</t>
  </si>
  <si>
    <t>Area of transitional water, coastal water, or lake water improved (bad to poor)</t>
  </si>
  <si>
    <t>Area of transitional water, coastal water, or lake water improved (poor to moderate)</t>
  </si>
  <si>
    <t>Area of transitional water, coastal water, or lake water improved (moderate to good)</t>
  </si>
  <si>
    <t>Area of transitional water, coastal water, or lake water improved (good to high)</t>
  </si>
  <si>
    <t>In class benefit on shellfish water quality</t>
  </si>
  <si>
    <t>Shellfish water quality - class A</t>
  </si>
  <si>
    <t>Shellfish water quality - class B</t>
  </si>
  <si>
    <t>Shellfish water quality - class C</t>
  </si>
  <si>
    <t>Prohibited area</t>
  </si>
  <si>
    <t>SuDS - high benefits</t>
  </si>
  <si>
    <t>Ha of impermeable area managed using SuDS</t>
  </si>
  <si>
    <t>SuDS - medium benefits</t>
  </si>
  <si>
    <t>SuDS - low benefits</t>
  </si>
  <si>
    <t>Urban woodland --- good</t>
  </si>
  <si>
    <t>Area (ha) and Condition (poor, moderate, good)</t>
  </si>
  <si>
    <t>Urban woodland --- moderate</t>
  </si>
  <si>
    <t>Urban woodland --- poor</t>
  </si>
  <si>
    <t>Urban wetland ---  good</t>
  </si>
  <si>
    <t>Urban wetland --- moderate</t>
  </si>
  <si>
    <t>Urban wetland --- poor</t>
  </si>
  <si>
    <t>Urban grassland (greenspace) --- good</t>
  </si>
  <si>
    <t>Urban grassland (greenspace) --- moderate</t>
  </si>
  <si>
    <t>Urban grassland (greenspace) --- poor</t>
  </si>
  <si>
    <t>Rural woodland --- good</t>
  </si>
  <si>
    <t>Rural woodland --- moderate</t>
  </si>
  <si>
    <t>Rural woodland --- poor</t>
  </si>
  <si>
    <t>Rural wetland --- good</t>
  </si>
  <si>
    <t>Rural wetland --- moderate</t>
  </si>
  <si>
    <t>Rural wetland --- poor</t>
  </si>
  <si>
    <t>Rural grassland --- good</t>
  </si>
  <si>
    <t>Rural grassland --- moderate</t>
  </si>
  <si>
    <t>Rural grassland --- poor</t>
  </si>
  <si>
    <t>Farmland --- good</t>
  </si>
  <si>
    <t>Farmland --- moderate</t>
  </si>
  <si>
    <t>Farmland --- poor</t>
  </si>
  <si>
    <t>Mountain moor &amp; heath --- good</t>
  </si>
  <si>
    <t>Mountain moor &amp; heath --- moderate</t>
  </si>
  <si>
    <t>Mountain moor &amp; heath --- poor</t>
  </si>
  <si>
    <t>Peatland --- good</t>
  </si>
  <si>
    <t>Peatland --- moderate</t>
  </si>
  <si>
    <t>Peatland --- poor</t>
  </si>
  <si>
    <t>Coastal margins --- good</t>
  </si>
  <si>
    <t>Coastal margins --- moderate</t>
  </si>
  <si>
    <t>Coastal margins --- poor</t>
  </si>
  <si>
    <t>Bare ground / hard standing</t>
  </si>
  <si>
    <t>Area (ha)</t>
  </si>
  <si>
    <t>Biodiversity Unit --- high value</t>
  </si>
  <si>
    <t>Biodiversity Unit</t>
  </si>
  <si>
    <t>Biodiversity Unit --- central value</t>
  </si>
  <si>
    <t>Biodiversity Unit --- low value</t>
  </si>
  <si>
    <t>Biodiversity Unit --- watercourses only</t>
  </si>
  <si>
    <t>GHG emissions - direct e.g. combustion (scope 1)</t>
  </si>
  <si>
    <t>GHG emissions - indirect electricity (scope 2)</t>
  </si>
  <si>
    <t>GHG emissions - indirect other (scope 3)</t>
  </si>
  <si>
    <t xml:space="preserve">Air pollution emissions - NOx </t>
  </si>
  <si>
    <t xml:space="preserve">Air pollution emissions - SOx </t>
  </si>
  <si>
    <t>Air pollution emissions - NH3</t>
  </si>
  <si>
    <t>Air pollution emissions - PM2.5</t>
  </si>
  <si>
    <t>Removal of nitrates</t>
  </si>
  <si>
    <t>Removal of phosphorus</t>
  </si>
  <si>
    <t>Removal of sediment</t>
  </si>
  <si>
    <t>No. homes benefitting from improved natural environment</t>
  </si>
  <si>
    <t>No. businesses benefited from improved natural environment</t>
  </si>
  <si>
    <t>No. businesses impacted</t>
  </si>
  <si>
    <t>Customer Complaint</t>
  </si>
  <si>
    <t>Pressure Group Involvement</t>
  </si>
  <si>
    <t>Environmental Health Involvement</t>
  </si>
  <si>
    <t>Statutory Nuisance Abatement Notice</t>
  </si>
  <si>
    <t>Properties subjected to transient intolerable odour</t>
  </si>
  <si>
    <t>Properties subjected to chronic (seasonal) intolerable odour</t>
  </si>
  <si>
    <t>Properties subjected to noise</t>
  </si>
  <si>
    <t>CRI index</t>
  </si>
  <si>
    <t>LG (H)</t>
  </si>
  <si>
    <t>Recreational visits</t>
  </si>
  <si>
    <t>Fishing visits</t>
  </si>
  <si>
    <t>Educational visits (e.g. school engagement)</t>
  </si>
  <si>
    <t xml:space="preserve">Number of children benefitting </t>
  </si>
  <si>
    <t>Engaging with adults - STEM &amp; water based engagement</t>
  </si>
  <si>
    <t>Number of adults engaged</t>
  </si>
  <si>
    <t>Investment leveraged</t>
  </si>
  <si>
    <t>£s</t>
  </si>
  <si>
    <t>Time leveraged (through in-kind contribution)</t>
  </si>
  <si>
    <t>Hrs</t>
  </si>
  <si>
    <t>Company employees participating in volunteering</t>
  </si>
  <si>
    <t>Nr of people</t>
  </si>
  <si>
    <t>Non-company employees participating in volunteering</t>
  </si>
  <si>
    <t>People in apprenticeships</t>
  </si>
  <si>
    <t>People in graduate roles</t>
  </si>
  <si>
    <t>Employee training</t>
  </si>
  <si>
    <t>Enabling residential development - East Midlands</t>
  </si>
  <si>
    <t>ha</t>
  </si>
  <si>
    <t>Enabling residential development - West Midlands</t>
  </si>
  <si>
    <t xml:space="preserve">Enabling residential development - East </t>
  </si>
  <si>
    <t>Enabling residential development - Yorkshire and the Humber</t>
  </si>
  <si>
    <t>Enabling residential development - North East</t>
  </si>
  <si>
    <t>Enabling residential development - North West</t>
  </si>
  <si>
    <t>Enabling residential development - South East</t>
  </si>
  <si>
    <t>Enabling residential development - South West</t>
  </si>
  <si>
    <t>Enabling residential development - London</t>
  </si>
  <si>
    <t>Enabling industrial development - East Midlands</t>
  </si>
  <si>
    <t>Enabling industrial development - West Midlands</t>
  </si>
  <si>
    <t xml:space="preserve">Enabling industrial development - East </t>
  </si>
  <si>
    <t>Enabling industrial development - Yorkshire and the Humber</t>
  </si>
  <si>
    <t>Enabling industrial development - North East</t>
  </si>
  <si>
    <t>Enabling industrial development - North West</t>
  </si>
  <si>
    <t>Enabling industrial development - South East</t>
  </si>
  <si>
    <t>Enabling industrial development - South West</t>
  </si>
  <si>
    <t>Enabling industrial development - London</t>
  </si>
  <si>
    <t>Transport disruption</t>
  </si>
  <si>
    <t>Minor roads (B and C roads)</t>
  </si>
  <si>
    <t>Main roads (A and principal roads)</t>
  </si>
  <si>
    <t>Motorways</t>
  </si>
  <si>
    <t>Rail</t>
  </si>
  <si>
    <t>Cycling trips on newly created route</t>
  </si>
  <si>
    <t>Number of trips</t>
  </si>
  <si>
    <t>Walking trips on newly created route</t>
  </si>
  <si>
    <t>Near-miss</t>
  </si>
  <si>
    <t>Nr of</t>
  </si>
  <si>
    <t>Fatality</t>
  </si>
  <si>
    <t>Non-fatal injuries</t>
  </si>
  <si>
    <t>Injuries leading to 7 or more days absence</t>
  </si>
  <si>
    <t>Injuries leading up to 6 days absence</t>
  </si>
  <si>
    <t>Ill health</t>
  </si>
  <si>
    <t>Ill health leading to 7 or more days absence</t>
  </si>
  <si>
    <t>Ill health leading up to 6 days absence</t>
  </si>
  <si>
    <t>Failure to comply with HSE legislation</t>
  </si>
  <si>
    <t>Security (physical &amp; cyber)</t>
  </si>
  <si>
    <t>Physical security breach</t>
  </si>
  <si>
    <t>Cyber security breach - without outcome</t>
  </si>
  <si>
    <t>Cyber security breach - with outcome e.g. data loss</t>
  </si>
  <si>
    <t xml:space="preserve">Loss of customer data </t>
  </si>
  <si>
    <t>Nr of customer affected per breach</t>
  </si>
  <si>
    <t>Configuration specification</t>
  </si>
  <si>
    <t>The CVF has been developed to be configured within decision support software. The configuration specification in this tab will support the configuration process.</t>
  </si>
  <si>
    <t>Service measures</t>
  </si>
  <si>
    <t>Units</t>
  </si>
  <si>
    <t>Frequency</t>
  </si>
  <si>
    <t>Severity</t>
  </si>
  <si>
    <t>Quantity</t>
  </si>
  <si>
    <t>Input guidance</t>
  </si>
  <si>
    <t>Value application</t>
  </si>
  <si>
    <t>No</t>
  </si>
  <si>
    <t>Yes</t>
  </si>
  <si>
    <t>Multiple ICs can be selected</t>
  </si>
  <si>
    <t>Number of sample failures in a year</t>
  </si>
  <si>
    <t>Number of incidents in a year</t>
  </si>
  <si>
    <t>Number of contacts per incident</t>
  </si>
  <si>
    <r>
      <t xml:space="preserve">Consider if there is an impact on </t>
    </r>
    <r>
      <rPr>
        <sz val="11"/>
        <color rgb="FFFF0000"/>
        <rFont val="Aptos"/>
        <family val="2"/>
      </rPr>
      <t>external contacts</t>
    </r>
    <r>
      <rPr>
        <sz val="11"/>
        <rFont val="Aptos"/>
        <family val="2"/>
      </rPr>
      <t>.</t>
    </r>
  </si>
  <si>
    <t>Number of properties with risk reduced in a year</t>
  </si>
  <si>
    <t>Number of interruptions in a year</t>
  </si>
  <si>
    <t>Number of properties impacted per interruption</t>
  </si>
  <si>
    <t>Number</t>
  </si>
  <si>
    <r>
      <t xml:space="preserve">Consider also recording the number of </t>
    </r>
    <r>
      <rPr>
        <sz val="11"/>
        <color rgb="FFFF0000"/>
        <rFont val="Aptos"/>
        <family val="2"/>
      </rPr>
      <t>bursts</t>
    </r>
    <r>
      <rPr>
        <sz val="11"/>
        <color theme="1"/>
        <rFont val="Aptos"/>
        <family val="2"/>
      </rPr>
      <t xml:space="preserve"> if this is the cause of the interruption.</t>
    </r>
  </si>
  <si>
    <t>Number of properties in a year</t>
  </si>
  <si>
    <r>
      <t xml:space="preserve">Consider if there is an impact on </t>
    </r>
    <r>
      <rPr>
        <sz val="11"/>
        <color rgb="FFFF0000"/>
        <rFont val="Aptos"/>
        <family val="2"/>
      </rPr>
      <t>external contacts</t>
    </r>
    <r>
      <rPr>
        <sz val="11"/>
        <color theme="1"/>
        <rFont val="Aptos"/>
        <family val="2"/>
      </rPr>
      <t>.</t>
    </r>
  </si>
  <si>
    <t>Number of properties impacted per incident</t>
  </si>
  <si>
    <t>Ml/d lost in a year</t>
  </si>
  <si>
    <r>
      <t>Before application, the appraisal period should be updated in</t>
    </r>
    <r>
      <rPr>
        <sz val="11"/>
        <color rgb="FFFF0000"/>
        <rFont val="Aptos"/>
        <family val="2"/>
      </rPr>
      <t xml:space="preserve"> COMPANY INPUT </t>
    </r>
    <r>
      <rPr>
        <sz val="11"/>
        <color theme="1"/>
        <rFont val="Aptos"/>
        <family val="2"/>
      </rPr>
      <t>to make sure carbon values are correct.</t>
    </r>
  </si>
  <si>
    <r>
      <t xml:space="preserve">Consider if this would cause </t>
    </r>
    <r>
      <rPr>
        <sz val="11"/>
        <color rgb="FFFF0000"/>
        <rFont val="Aptos"/>
        <family val="2"/>
      </rPr>
      <t>unplanned interruptions</t>
    </r>
    <r>
      <rPr>
        <sz val="11"/>
        <color theme="1"/>
        <rFont val="Aptos"/>
        <family val="2"/>
      </rPr>
      <t xml:space="preserve"> to supply. </t>
    </r>
  </si>
  <si>
    <t>Number of events in a year</t>
  </si>
  <si>
    <t>Loss of resource yield in Ml/d per event</t>
  </si>
  <si>
    <r>
      <t>When</t>
    </r>
    <r>
      <rPr>
        <sz val="11"/>
        <color rgb="FFFF0000"/>
        <rFont val="Aptos"/>
        <family val="2"/>
      </rPr>
      <t xml:space="preserve"> drought trigger level 3 </t>
    </r>
    <r>
      <rPr>
        <sz val="11"/>
        <color theme="1"/>
        <rFont val="Aptos"/>
        <family val="2"/>
      </rPr>
      <t>or</t>
    </r>
    <r>
      <rPr>
        <sz val="11"/>
        <color rgb="FFFF0000"/>
        <rFont val="Aptos"/>
        <family val="2"/>
      </rPr>
      <t xml:space="preserve"> level 4</t>
    </r>
    <r>
      <rPr>
        <sz val="11"/>
        <color theme="1"/>
        <rFont val="Aptos"/>
        <family val="2"/>
      </rPr>
      <t xml:space="preserve"> is selected, if a reduction in abstraction can be quantified, the benefit to water resource should be represented using </t>
    </r>
    <r>
      <rPr>
        <sz val="11"/>
        <color rgb="FFFF0000"/>
        <rFont val="Aptos"/>
        <family val="2"/>
      </rPr>
      <t>avoided cost</t>
    </r>
    <r>
      <rPr>
        <sz val="11"/>
        <color theme="1"/>
        <rFont val="Aptos"/>
        <family val="2"/>
      </rPr>
      <t>.</t>
    </r>
  </si>
  <si>
    <t>Number of properties impact per event</t>
  </si>
  <si>
    <t>Change in per capita consumption in litre per head per day</t>
  </si>
  <si>
    <r>
      <t xml:space="preserve">Before application, the appraisal period should be updated in </t>
    </r>
    <r>
      <rPr>
        <sz val="11"/>
        <color rgb="FFFF0000"/>
        <rFont val="Aptos"/>
        <family val="2"/>
      </rPr>
      <t>COMPANY INPUT</t>
    </r>
    <r>
      <rPr>
        <sz val="11"/>
        <color theme="1"/>
        <rFont val="Aptos"/>
        <family val="2"/>
      </rPr>
      <t xml:space="preserve"> to make sure carbon values are correct.</t>
    </r>
  </si>
  <si>
    <t>Ml in a year</t>
  </si>
  <si>
    <t>Ml in a day</t>
  </si>
  <si>
    <t>Rainwater management</t>
  </si>
  <si>
    <r>
      <t xml:space="preserve">Consider if abstraction consent failure is caused by over-abstraction. If yes, enter the </t>
    </r>
    <r>
      <rPr>
        <sz val="11"/>
        <color rgb="FFFF0000"/>
        <rFont val="Aptos"/>
        <family val="2"/>
      </rPr>
      <t>volume of over-abstraction</t>
    </r>
    <r>
      <rPr>
        <sz val="11"/>
        <color theme="1"/>
        <rFont val="Aptos"/>
        <family val="2"/>
      </rPr>
      <t>.</t>
    </r>
  </si>
  <si>
    <t>When calculating the impact of over-abstraction, the m3 value should be multiplied by the Nr of events entered by the user</t>
  </si>
  <si>
    <t>m3 of over abstraction in a year</t>
  </si>
  <si>
    <r>
      <t xml:space="preserve">Consider if this would cause a health and safety impact, if yes, this should be valued using the </t>
    </r>
    <r>
      <rPr>
        <sz val="11"/>
        <color rgb="FFFF0000"/>
        <rFont val="Aptos"/>
        <family val="2"/>
      </rPr>
      <t>health and safety</t>
    </r>
    <r>
      <rPr>
        <sz val="11"/>
        <color theme="1"/>
        <rFont val="Aptos"/>
        <family val="2"/>
      </rPr>
      <t xml:space="preserve"> service measure.</t>
    </r>
  </si>
  <si>
    <t>Number of properties flooded per incident</t>
  </si>
  <si>
    <r>
      <t xml:space="preserve">Consider also recording the number of </t>
    </r>
    <r>
      <rPr>
        <sz val="11"/>
        <color rgb="FFFF0000"/>
        <rFont val="Aptos"/>
        <family val="2"/>
      </rPr>
      <t>blockages</t>
    </r>
    <r>
      <rPr>
        <sz val="11"/>
        <color theme="1"/>
        <rFont val="Aptos"/>
        <family val="2"/>
      </rPr>
      <t xml:space="preserve"> or </t>
    </r>
    <r>
      <rPr>
        <sz val="11"/>
        <color rgb="FFFF0000"/>
        <rFont val="Aptos"/>
        <family val="2"/>
      </rPr>
      <t xml:space="preserve">collapses </t>
    </r>
    <r>
      <rPr>
        <sz val="11"/>
        <color theme="1"/>
        <rFont val="Aptos"/>
        <family val="2"/>
      </rPr>
      <t xml:space="preserve">if this is the cause of flooding. </t>
    </r>
  </si>
  <si>
    <r>
      <t>Before application, the appraisal period should be updated in</t>
    </r>
    <r>
      <rPr>
        <sz val="11"/>
        <color rgb="FFFF0000"/>
        <rFont val="Aptos"/>
        <family val="2"/>
      </rPr>
      <t xml:space="preserve"> COMPANY INPUT</t>
    </r>
    <r>
      <rPr>
        <sz val="11"/>
        <color theme="1"/>
        <rFont val="Aptos"/>
        <family val="2"/>
      </rPr>
      <t xml:space="preserve"> to make sure carbon values are correct.</t>
    </r>
  </si>
  <si>
    <r>
      <t xml:space="preserve">Consider recording the number of </t>
    </r>
    <r>
      <rPr>
        <sz val="11"/>
        <color rgb="FFFF0000"/>
        <rFont val="Aptos"/>
        <family val="2"/>
      </rPr>
      <t>blockages</t>
    </r>
    <r>
      <rPr>
        <sz val="11"/>
        <color theme="1"/>
        <rFont val="Aptos"/>
        <family val="2"/>
      </rPr>
      <t xml:space="preserve"> or</t>
    </r>
    <r>
      <rPr>
        <sz val="11"/>
        <color rgb="FFFF0000"/>
        <rFont val="Aptos"/>
        <family val="2"/>
      </rPr>
      <t xml:space="preserve"> collapses </t>
    </r>
    <r>
      <rPr>
        <sz val="11"/>
        <color theme="1"/>
        <rFont val="Aptos"/>
        <family val="2"/>
      </rPr>
      <t xml:space="preserve">if this is the cause of flooding. </t>
    </r>
  </si>
  <si>
    <r>
      <t xml:space="preserve">Consider recording the number of </t>
    </r>
    <r>
      <rPr>
        <sz val="11"/>
        <color rgb="FFFF0000"/>
        <rFont val="Aptos"/>
        <family val="2"/>
      </rPr>
      <t>bursts</t>
    </r>
    <r>
      <rPr>
        <sz val="11"/>
        <color theme="1"/>
        <rFont val="Aptos"/>
        <family val="2"/>
      </rPr>
      <t xml:space="preserve"> if this is the cause of the interruption.</t>
    </r>
  </si>
  <si>
    <t xml:space="preserve">Yes </t>
  </si>
  <si>
    <t>Number of failures per year</t>
  </si>
  <si>
    <r>
      <t xml:space="preserve">Consider if this would cause </t>
    </r>
    <r>
      <rPr>
        <sz val="11"/>
        <color rgb="FFFF0000"/>
        <rFont val="Aptos"/>
        <family val="2"/>
      </rPr>
      <t>pollution incidents</t>
    </r>
    <r>
      <rPr>
        <sz val="11"/>
        <color theme="1"/>
        <rFont val="Aptos"/>
        <family val="2"/>
      </rPr>
      <t xml:space="preserve"> or impact on r</t>
    </r>
    <r>
      <rPr>
        <sz val="11"/>
        <color rgb="FFFF0000"/>
        <rFont val="Aptos"/>
        <family val="2"/>
      </rPr>
      <t>ecreation (angling)</t>
    </r>
    <r>
      <rPr>
        <sz val="11"/>
        <color theme="1"/>
        <rFont val="Aptos"/>
        <family val="2"/>
      </rPr>
      <t xml:space="preserve"> activities</t>
    </r>
  </si>
  <si>
    <t>Final effluent compliance - flow</t>
  </si>
  <si>
    <t>Number of incidents and number of sites affected in a year</t>
  </si>
  <si>
    <r>
      <t>Consider if this would cause p</t>
    </r>
    <r>
      <rPr>
        <sz val="11"/>
        <color rgb="FFFF0000"/>
        <rFont val="Aptos"/>
        <family val="2"/>
      </rPr>
      <t>ollution incidents</t>
    </r>
    <r>
      <rPr>
        <sz val="11"/>
        <color theme="1"/>
        <rFont val="Aptos"/>
        <family val="2"/>
      </rPr>
      <t xml:space="preserve"> or impact on r</t>
    </r>
    <r>
      <rPr>
        <sz val="11"/>
        <color rgb="FFFF0000"/>
        <rFont val="Aptos"/>
        <family val="2"/>
      </rPr>
      <t>ecreation (angling)</t>
    </r>
    <r>
      <rPr>
        <sz val="11"/>
        <color theme="1"/>
        <rFont val="Aptos"/>
        <family val="2"/>
      </rPr>
      <t xml:space="preserve"> activities</t>
    </r>
  </si>
  <si>
    <r>
      <t xml:space="preserve">Consider if this would cause </t>
    </r>
    <r>
      <rPr>
        <sz val="11"/>
        <color rgb="FFFF0000"/>
        <rFont val="Aptos"/>
        <family val="2"/>
      </rPr>
      <t>pollution incidents</t>
    </r>
    <r>
      <rPr>
        <sz val="11"/>
        <color theme="1"/>
        <rFont val="Aptos"/>
        <family val="2"/>
      </rPr>
      <t>, impact on receiving</t>
    </r>
    <r>
      <rPr>
        <sz val="11"/>
        <color rgb="FFFF0000"/>
        <rFont val="Aptos"/>
        <family val="2"/>
      </rPr>
      <t xml:space="preserve"> water quality</t>
    </r>
    <r>
      <rPr>
        <sz val="11"/>
        <color theme="1"/>
        <rFont val="Aptos"/>
        <family val="2"/>
      </rPr>
      <t xml:space="preserve"> (river quality, bathing water, or shellfish water), or on </t>
    </r>
    <r>
      <rPr>
        <sz val="11"/>
        <color rgb="FFFF0000"/>
        <rFont val="Aptos"/>
        <family val="2"/>
      </rPr>
      <t>recreation activities</t>
    </r>
    <r>
      <rPr>
        <sz val="11"/>
        <color theme="1"/>
        <rFont val="Aptos"/>
        <family val="2"/>
      </rPr>
      <t>.</t>
    </r>
  </si>
  <si>
    <r>
      <t xml:space="preserve">Consider if this would cause </t>
    </r>
    <r>
      <rPr>
        <sz val="11"/>
        <color rgb="FFFF0000"/>
        <rFont val="Aptos"/>
        <family val="2"/>
      </rPr>
      <t>sewer flooding</t>
    </r>
    <r>
      <rPr>
        <sz val="11"/>
        <color theme="1"/>
        <rFont val="Aptos"/>
        <family val="2"/>
      </rPr>
      <t xml:space="preserve"> or </t>
    </r>
    <r>
      <rPr>
        <sz val="11"/>
        <color rgb="FFFF0000"/>
        <rFont val="Aptos"/>
        <family val="2"/>
      </rPr>
      <t>pollution incidents.</t>
    </r>
  </si>
  <si>
    <t>Number of failure events in a year</t>
  </si>
  <si>
    <t>TDS per failure event</t>
  </si>
  <si>
    <r>
      <rPr>
        <sz val="11"/>
        <color rgb="FFFF0000"/>
        <rFont val="Aptos"/>
        <family val="2"/>
      </rPr>
      <t xml:space="preserve">Air quality </t>
    </r>
    <r>
      <rPr>
        <sz val="11"/>
        <color theme="1"/>
        <rFont val="Aptos"/>
        <family val="2"/>
      </rPr>
      <t>values should be uplifted by an additional 2% per annum to be consistent with interdepartmental guidance to reflects increases in willingness to pay for avoided health outcomes over time.</t>
    </r>
  </si>
  <si>
    <r>
      <t xml:space="preserve">Consider if there will be an impact on </t>
    </r>
    <r>
      <rPr>
        <sz val="11"/>
        <color rgb="FFFF0000"/>
        <rFont val="Aptos"/>
        <family val="2"/>
      </rPr>
      <t>nutrient removal</t>
    </r>
    <r>
      <rPr>
        <sz val="11"/>
        <color theme="1"/>
        <rFont val="Aptos"/>
        <family val="2"/>
      </rPr>
      <t>.</t>
    </r>
  </si>
  <si>
    <t>Consider if the preferred disposal route will be affected.</t>
  </si>
  <si>
    <t>Number of non-compliance events in a year</t>
  </si>
  <si>
    <t xml:space="preserve">Consider if there is an impact on sludge compliance. </t>
  </si>
  <si>
    <r>
      <t xml:space="preserve">Consider if this would impact on </t>
    </r>
    <r>
      <rPr>
        <sz val="11"/>
        <color rgb="FFFF0000"/>
        <rFont val="Aptos"/>
        <family val="2"/>
      </rPr>
      <t>recreation</t>
    </r>
    <r>
      <rPr>
        <sz val="11"/>
        <color theme="1"/>
        <rFont val="Aptos"/>
        <family val="2"/>
      </rPr>
      <t xml:space="preserve"> activities.</t>
    </r>
  </si>
  <si>
    <t>km of river improved in a year</t>
  </si>
  <si>
    <t>Deterioration should be represented using a negative km.</t>
  </si>
  <si>
    <t>km2 of water improved in a year</t>
  </si>
  <si>
    <t>Deterioration should be represented using a negative km2.</t>
  </si>
  <si>
    <t xml:space="preserve">Number of bathing waters improved in a year. </t>
  </si>
  <si>
    <t xml:space="preserve">Deterioration should be represented using a negative number of bathing waters. </t>
  </si>
  <si>
    <t xml:space="preserve">Area of shellfish water improved in a year. </t>
  </si>
  <si>
    <t>Deterioration should be represented using a negative ha.</t>
  </si>
  <si>
    <t>Area and condition of habitat affected</t>
  </si>
  <si>
    <r>
      <rPr>
        <i/>
        <sz val="11"/>
        <color theme="1"/>
        <rFont val="Aptos"/>
        <family val="2"/>
      </rPr>
      <t>Representing NbS</t>
    </r>
    <r>
      <rPr>
        <sz val="11"/>
        <color theme="1"/>
        <rFont val="Aptos"/>
        <family val="2"/>
      </rPr>
      <t xml:space="preserve">
- See GUIDE for guidance on how to represent NbS using the Habitat Impact (incl. biodiversity) Service Measure. 
</t>
    </r>
    <r>
      <rPr>
        <i/>
        <sz val="11"/>
        <color theme="1"/>
        <rFont val="Aptos"/>
        <family val="2"/>
      </rPr>
      <t>Representing rainwater management</t>
    </r>
    <r>
      <rPr>
        <sz val="11"/>
        <color theme="1"/>
        <rFont val="Aptos"/>
        <family val="2"/>
      </rPr>
      <t xml:space="preserve">
The Habitat Impact Service Measure should be used in combination with the </t>
    </r>
    <r>
      <rPr>
        <sz val="11"/>
        <color rgb="FFFF0000"/>
        <rFont val="Aptos"/>
        <family val="2"/>
      </rPr>
      <t>Rainwater Management</t>
    </r>
    <r>
      <rPr>
        <sz val="11"/>
        <color theme="1"/>
        <rFont val="Aptos"/>
        <family val="2"/>
      </rPr>
      <t xml:space="preserve"> Service Measure (11) to represent the impact of SuDS on surface water management. 
</t>
    </r>
    <r>
      <rPr>
        <i/>
        <sz val="11"/>
        <color theme="1"/>
        <rFont val="Aptos"/>
        <family val="2"/>
      </rPr>
      <t>To avoid double counting</t>
    </r>
    <r>
      <rPr>
        <sz val="11"/>
        <color theme="1"/>
        <rFont val="Aptos"/>
        <family val="2"/>
      </rPr>
      <t xml:space="preserve">
- The SuDS impact categories should not be used with the </t>
    </r>
    <r>
      <rPr>
        <sz val="11"/>
        <color rgb="FFFF0000"/>
        <rFont val="Aptos"/>
        <family val="2"/>
      </rPr>
      <t xml:space="preserve">sewer flooding </t>
    </r>
    <r>
      <rPr>
        <sz val="11"/>
        <color theme="1"/>
        <rFont val="Aptos"/>
        <family val="2"/>
      </rPr>
      <t xml:space="preserve">service measure as both capture water regulation and mental health values.
- The Biodiversity Unit impact categories should not be used with the other impact categories in this Service Measure to avoid double counting biodiversity value.
</t>
    </r>
    <r>
      <rPr>
        <i/>
        <sz val="11"/>
        <color theme="1"/>
        <rFont val="Aptos"/>
        <family val="2"/>
      </rPr>
      <t xml:space="preserve">Area of the intervention
</t>
    </r>
    <r>
      <rPr>
        <sz val="11"/>
        <color theme="1"/>
        <rFont val="Aptos"/>
        <family val="2"/>
      </rPr>
      <t>- The total sum of area entered pre- and post- intervention should be the same.</t>
    </r>
  </si>
  <si>
    <r>
      <t xml:space="preserve">Before application, the appraisal period should be updated in </t>
    </r>
    <r>
      <rPr>
        <sz val="11"/>
        <color rgb="FFFF0000"/>
        <rFont val="Aptos"/>
        <family val="2"/>
      </rPr>
      <t>COMPANY INPUT</t>
    </r>
    <r>
      <rPr>
        <sz val="11"/>
        <color theme="1"/>
        <rFont val="Aptos"/>
        <family val="2"/>
      </rPr>
      <t xml:space="preserve"> to make sure carbon values are correct.
</t>
    </r>
    <r>
      <rPr>
        <sz val="11"/>
        <color rgb="FFFF0000"/>
        <rFont val="Aptos"/>
        <family val="2"/>
      </rPr>
      <t>Air quality</t>
    </r>
    <r>
      <rPr>
        <sz val="11"/>
        <color theme="1"/>
        <rFont val="Aptos"/>
        <family val="2"/>
      </rPr>
      <t xml:space="preserve"> values should be uplifted by an additional 2% per annum to be consistent with interdepartmental guidance to reflects increases in willingness to pay for avoided health outcomes over time.</t>
    </r>
  </si>
  <si>
    <t>Number of biodiversity units generated (one off)</t>
  </si>
  <si>
    <t>tCO2e in a year</t>
  </si>
  <si>
    <t>Tonnes of air pollutants emitted in a year</t>
  </si>
  <si>
    <t>Nutrient removal (point source &amp; partnership working)</t>
  </si>
  <si>
    <t>Kg of nutrients removed in a year</t>
  </si>
  <si>
    <r>
      <t xml:space="preserve">Consider if this would impact on </t>
    </r>
    <r>
      <rPr>
        <sz val="11"/>
        <color rgb="FFFF0000"/>
        <rFont val="Aptos"/>
        <family val="2"/>
      </rPr>
      <t>quality of the water environment</t>
    </r>
    <r>
      <rPr>
        <sz val="11"/>
        <color theme="1"/>
        <rFont val="Aptos"/>
        <family val="2"/>
      </rPr>
      <t xml:space="preserve">, </t>
    </r>
    <r>
      <rPr>
        <sz val="11"/>
        <color rgb="FFFF0000"/>
        <rFont val="Aptos"/>
        <family val="2"/>
      </rPr>
      <t>bathing water quality</t>
    </r>
    <r>
      <rPr>
        <sz val="11"/>
        <color theme="1"/>
        <rFont val="Aptos"/>
        <family val="2"/>
      </rPr>
      <t xml:space="preserve">, or </t>
    </r>
    <r>
      <rPr>
        <sz val="11"/>
        <color rgb="FFFF0000"/>
        <rFont val="Aptos"/>
        <family val="2"/>
      </rPr>
      <t>shellfish water quality</t>
    </r>
    <r>
      <rPr>
        <sz val="11"/>
        <color theme="1"/>
        <rFont val="Aptos"/>
        <family val="2"/>
      </rPr>
      <t xml:space="preserve">. </t>
    </r>
  </si>
  <si>
    <t>Number of homes impacted in a year</t>
  </si>
  <si>
    <t>Number of businesses impacted in a year</t>
  </si>
  <si>
    <t>Number of complaints in a year</t>
  </si>
  <si>
    <t>Number of property days impacted in a year</t>
  </si>
  <si>
    <t>INDEX</t>
  </si>
  <si>
    <t>Change in CRI Index</t>
  </si>
  <si>
    <t>Number of visits in a year</t>
  </si>
  <si>
    <t>Angling visits</t>
  </si>
  <si>
    <t>Number of children benefitting in a year</t>
  </si>
  <si>
    <t>Number of adults engaged in a year</t>
  </si>
  <si>
    <t>£s in a year</t>
  </si>
  <si>
    <t>Hours in a year</t>
  </si>
  <si>
    <t>Number of people impacted in a year</t>
  </si>
  <si>
    <t>Employee volunteering</t>
  </si>
  <si>
    <t>Hectares impacted per year</t>
  </si>
  <si>
    <t>Transport Disruption</t>
  </si>
  <si>
    <t>Number of days of disruption per event</t>
  </si>
  <si>
    <r>
      <t xml:space="preserve">Before application, the appraisal period should be updated in </t>
    </r>
    <r>
      <rPr>
        <sz val="11"/>
        <color rgb="FFFF0000"/>
        <rFont val="Aptos"/>
        <family val="2"/>
      </rPr>
      <t>COMPANY INPUT</t>
    </r>
    <r>
      <rPr>
        <sz val="11"/>
        <rFont val="Aptos"/>
        <family val="2"/>
      </rPr>
      <t xml:space="preserve"> to make sure carbon values are correct.
</t>
    </r>
    <r>
      <rPr>
        <sz val="11"/>
        <color rgb="FFFF0000"/>
        <rFont val="Aptos"/>
        <family val="2"/>
      </rPr>
      <t xml:space="preserve">Air quality </t>
    </r>
    <r>
      <rPr>
        <sz val="11"/>
        <rFont val="Aptos"/>
        <family val="2"/>
      </rPr>
      <t>values should be uplifted by an additional 2% per annum to be consistent with interdepartmental guidance to reflects increases in willingness to pay for avoided health outcomes over time.</t>
    </r>
  </si>
  <si>
    <t>Number of trips in a year</t>
  </si>
  <si>
    <r>
      <t>Consider if this affects</t>
    </r>
    <r>
      <rPr>
        <sz val="11"/>
        <color rgb="FFFF0000"/>
        <rFont val="Aptos"/>
        <family val="2"/>
      </rPr>
      <t xml:space="preserve"> recreation</t>
    </r>
  </si>
  <si>
    <t>Health and safety</t>
  </si>
  <si>
    <t>Number of near misses in a year</t>
  </si>
  <si>
    <t>Number of people affected in a year</t>
  </si>
  <si>
    <t>Number of failures in a year</t>
  </si>
  <si>
    <t>Security </t>
  </si>
  <si>
    <t>Number of breaches in a year</t>
  </si>
  <si>
    <t>Number of customers affected per breach</t>
  </si>
  <si>
    <t>£ of avoidable costs in a year</t>
  </si>
  <si>
    <t>ODI Rates</t>
  </si>
  <si>
    <t>From PR24 Final Determinations</t>
  </si>
  <si>
    <t>£, 2022-23 FYA</t>
  </si>
  <si>
    <t>Performance Commitment (common PCs only)</t>
  </si>
  <si>
    <t>PC short code</t>
  </si>
  <si>
    <t>PC unit</t>
  </si>
  <si>
    <t>Anglian Water</t>
  </si>
  <si>
    <t>Dŵr Cymru</t>
  </si>
  <si>
    <t>Hafren Dyfrdwy</t>
  </si>
  <si>
    <t>Northumbrian Water</t>
  </si>
  <si>
    <t>Severn Trent Water</t>
  </si>
  <si>
    <t>South West Water</t>
  </si>
  <si>
    <t>Thames Water</t>
  </si>
  <si>
    <t xml:space="preserve">United Utilities </t>
  </si>
  <si>
    <t>Wessex Water</t>
  </si>
  <si>
    <t>Yorkshire Water</t>
  </si>
  <si>
    <t>Affinity Water</t>
  </si>
  <si>
    <t>Bristol Water</t>
  </si>
  <si>
    <t>South Staffordshire Water</t>
  </si>
  <si>
    <t>Portsmouth Water</t>
  </si>
  <si>
    <t>South East Water</t>
  </si>
  <si>
    <t>SES Water</t>
  </si>
  <si>
    <t>ISF</t>
  </si>
  <si>
    <t>Number of incidents per 10,000 sewer connections</t>
  </si>
  <si>
    <t>ESF</t>
  </si>
  <si>
    <t>Customer contacts</t>
  </si>
  <si>
    <t>WQC</t>
  </si>
  <si>
    <t>Number of contacts per 1,000 resident population</t>
  </si>
  <si>
    <t>CRI</t>
  </si>
  <si>
    <t>Water supply interruptions</t>
  </si>
  <si>
    <t>WSI</t>
  </si>
  <si>
    <t>Average number of minutes lost per customer (hh:mm:ss)</t>
  </si>
  <si>
    <t>River water quality</t>
  </si>
  <si>
    <t>RWQ</t>
  </si>
  <si>
    <t>Reduction in phosphorus as a percentage of load discharged from treatment works in 2020</t>
  </si>
  <si>
    <t>BWQ</t>
  </si>
  <si>
    <t>Bathing water quality (%)</t>
  </si>
  <si>
    <t>Total pollution incidents</t>
  </si>
  <si>
    <t>POL</t>
  </si>
  <si>
    <t>Total pollution incidents per 10,000 km of sewer length</t>
  </si>
  <si>
    <t>Serious pollution incidents</t>
  </si>
  <si>
    <t>SPL</t>
  </si>
  <si>
    <t>Number of serious pollution incidents</t>
  </si>
  <si>
    <t>Discharge permit compliance</t>
  </si>
  <si>
    <t>DPC</t>
  </si>
  <si>
    <t>Percentage compliance</t>
  </si>
  <si>
    <t>Storm overflows</t>
  </si>
  <si>
    <t>SOF</t>
  </si>
  <si>
    <t>Average number of spills per overflow - assuming 100% monitoring (number)</t>
  </si>
  <si>
    <t>LEA</t>
  </si>
  <si>
    <t>% Reduction from 2019-20 baseline</t>
  </si>
  <si>
    <t>Per capita consumption</t>
  </si>
  <si>
    <t>PCC</t>
  </si>
  <si>
    <t>Business demand</t>
  </si>
  <si>
    <t>NHH</t>
  </si>
  <si>
    <t>Repairs to burst mains</t>
  </si>
  <si>
    <t>MRP</t>
  </si>
  <si>
    <t>Repairs to burst mains per 1,000km of mains length</t>
  </si>
  <si>
    <t>Unplanned outage</t>
  </si>
  <si>
    <t>UNO</t>
  </si>
  <si>
    <t>Unplanned outage - %</t>
  </si>
  <si>
    <t>Sewer collapse</t>
  </si>
  <si>
    <t>SCO</t>
  </si>
  <si>
    <t>Number of sewer collapses per 1,000 km of all sewers</t>
  </si>
  <si>
    <t>BIO</t>
  </si>
  <si>
    <t>Total biodiversity units for area of land served (per 100km2)</t>
  </si>
  <si>
    <t>Greenhouse gas emissions (water)</t>
  </si>
  <si>
    <t>WGHG</t>
  </si>
  <si>
    <t>% reduction from 2024-25 baseline</t>
  </si>
  <si>
    <t>Greenhouse gas emissions (wastewater)</t>
  </si>
  <si>
    <t>WWGHG</t>
  </si>
  <si>
    <t>Double counting matrix</t>
  </si>
  <si>
    <r>
      <t xml:space="preserve">The CVF has accounted for the risk of double counting in its development. This covers instances where there is a risk of overlapping values within a single impact category, as well as instances where there is a risk of overlapping values across two service measures/impact categories. For the former, the risk of double counting has been avoided in all cases by only including one value where overlapping is suspected with the omitted impact denoted by the sign '&lt;/&gt;'. 
For the latter, where a risk of double counting across two service measures/impact categories is anticipated, decisions have been made case by case on how to treat the risk. In some cases, advice has been explicitly given that two service measures should not be used together. This is denoted by the </t>
    </r>
    <r>
      <rPr>
        <b/>
        <sz val="14"/>
        <color rgb="FFF95F35"/>
        <rFont val="Aptos"/>
        <family val="2"/>
      </rPr>
      <t>red cells</t>
    </r>
    <r>
      <rPr>
        <sz val="14"/>
        <color theme="0"/>
        <rFont val="Aptos"/>
        <family val="2"/>
      </rPr>
      <t xml:space="preserve"> in the matrix below and users should check the guidance located on the service measure tabs (the numbered tabs) before proceeding. 
In other cases, the overlapping value metric has only been valued in one of the two related service measures, allowing them to be used together. This is denoted by the </t>
    </r>
    <r>
      <rPr>
        <b/>
        <sz val="14"/>
        <color theme="9" tint="0.39997558519241921"/>
        <rFont val="Aptos"/>
        <family val="2"/>
      </rPr>
      <t>green cells</t>
    </r>
    <r>
      <rPr>
        <sz val="14"/>
        <color theme="0"/>
        <rFont val="Aptos"/>
        <family val="2"/>
      </rPr>
      <t xml:space="preserve"> in the matrix below. Where this is the case, prompts have been given in the guidance section on the respective service measure tabs (the numbered tabs) on how they should be used together. </t>
    </r>
  </si>
  <si>
    <t>Drinking water quality</t>
  </si>
  <si>
    <t xml:space="preserve">Drinking water quality </t>
  </si>
  <si>
    <t xml:space="preserve">Sludge treatment </t>
  </si>
  <si>
    <t xml:space="preserve">Sludge disposal </t>
  </si>
  <si>
    <t>Greenhouse gas emissions</t>
  </si>
  <si>
    <t>Service Measures</t>
  </si>
  <si>
    <t>Guidance for use</t>
  </si>
  <si>
    <r>
      <rPr>
        <b/>
        <i/>
        <sz val="11"/>
        <color theme="1"/>
        <rFont val="Aptos"/>
        <family val="2"/>
      </rPr>
      <t>Value application:</t>
    </r>
    <r>
      <rPr>
        <sz val="11"/>
        <color theme="1"/>
        <rFont val="Aptos"/>
        <family val="2"/>
      </rPr>
      <t xml:space="preserve">
- Quality of place / Local economy valuations use available company specific willingness to pay studies (WTP), selected based on the calculation that was closest to the impact category. A lower and upper value are provided based on available WTP studies. If a company has a more accurate value for their assets or customer base, please override with that value.
- Confirm the total number of connected residential properties (water) is correct in cell C132.
</t>
    </r>
    <r>
      <rPr>
        <b/>
        <i/>
        <sz val="11"/>
        <color theme="1"/>
        <rFont val="Aptos"/>
        <family val="2"/>
      </rPr>
      <t xml:space="preserve">When selecting whether to use the lower or upper value, consider: </t>
    </r>
    <r>
      <rPr>
        <i/>
        <sz val="11"/>
        <color theme="1"/>
        <rFont val="Aptos"/>
        <family val="2"/>
      </rPr>
      <t xml:space="preserve">
</t>
    </r>
    <r>
      <rPr>
        <sz val="11"/>
        <color theme="1"/>
        <rFont val="Aptos"/>
        <family val="2"/>
      </rPr>
      <t xml:space="preserve">- The location and extent of the impact of failure e.g. customer property vs. large WTW servicing a large population.
The methodology and results of Wessex Water's WTP research are available online (source ID 134).
</t>
    </r>
    <r>
      <rPr>
        <b/>
        <i/>
        <sz val="11"/>
        <color theme="1"/>
        <rFont val="Aptos"/>
        <family val="2"/>
      </rPr>
      <t>Company specific WTP valuations:</t>
    </r>
    <r>
      <rPr>
        <i/>
        <sz val="11"/>
        <color theme="1"/>
        <rFont val="Aptos"/>
        <family val="2"/>
      </rPr>
      <t xml:space="preserve">
</t>
    </r>
    <r>
      <rPr>
        <sz val="11"/>
        <color theme="1"/>
        <rFont val="Aptos"/>
        <family val="2"/>
      </rPr>
      <t xml:space="preserve">If you have access to WTP research relevant to your own customer base that covers this service measure, those values may be substituted in. Please provide documentation and valuation sources for auditability and share learning back to the sector.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</si>
  <si>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Final values</t>
  </si>
  <si>
    <r>
      <rPr>
        <b/>
        <i/>
        <sz val="11"/>
        <color theme="1"/>
        <rFont val="Aptos"/>
        <family val="2"/>
      </rPr>
      <t>AC</t>
    </r>
    <r>
      <rPr>
        <i/>
        <sz val="11"/>
        <color theme="1"/>
        <rFont val="Aptos"/>
        <family val="2"/>
      </rPr>
      <t xml:space="preserve"> = use the Other Benefits and Avoidable Costs Service Measure, </t>
    </r>
    <r>
      <rPr>
        <b/>
        <i/>
        <sz val="11"/>
        <color theme="1"/>
        <rFont val="Aptos"/>
        <family val="2"/>
      </rPr>
      <t>&lt;/&gt;</t>
    </r>
    <r>
      <rPr>
        <i/>
        <sz val="11"/>
        <color theme="1"/>
        <rFont val="Aptos"/>
        <family val="2"/>
      </rPr>
      <t xml:space="preserve"> = valuation excluded to avoid double counting, </t>
    </r>
    <r>
      <rPr>
        <b/>
        <i/>
        <sz val="11"/>
        <color theme="1"/>
        <rFont val="Aptos"/>
        <family val="2"/>
      </rPr>
      <t>LG(H/M/L)</t>
    </r>
    <r>
      <rPr>
        <i/>
        <sz val="11"/>
        <color theme="1"/>
        <rFont val="Aptos"/>
        <family val="2"/>
      </rPr>
      <t xml:space="preserve"> = literature gap (high/medium/low priority)</t>
    </r>
  </si>
  <si>
    <t>Outcomes</t>
  </si>
  <si>
    <t>Value metric</t>
  </si>
  <si>
    <t>Outcome</t>
  </si>
  <si>
    <t>Reduced customer trust in water quality performance</t>
  </si>
  <si>
    <t>Value summary</t>
  </si>
  <si>
    <t>Impact category</t>
  </si>
  <si>
    <t>Value option selected</t>
  </si>
  <si>
    <t>Unique ID</t>
  </si>
  <si>
    <t>Final value</t>
  </si>
  <si>
    <t>N/A</t>
  </si>
  <si>
    <t>/</t>
  </si>
  <si>
    <t>Quality of place and local economy</t>
  </si>
  <si>
    <t>Decreased quality of place</t>
  </si>
  <si>
    <t>Reduced productivity</t>
  </si>
  <si>
    <t>Value Option 1</t>
  </si>
  <si>
    <t>Source information</t>
  </si>
  <si>
    <t>Source ID</t>
  </si>
  <si>
    <t>Primary source</t>
  </si>
  <si>
    <t>Referenced in key database</t>
  </si>
  <si>
    <t>Publication year</t>
  </si>
  <si>
    <t>Location of study site - country</t>
  </si>
  <si>
    <t>Location of study site - region</t>
  </si>
  <si>
    <t>Number of observations</t>
  </si>
  <si>
    <t>UU (2018) Customer research triangulation report</t>
  </si>
  <si>
    <t>England</t>
  </si>
  <si>
    <t>UU region</t>
  </si>
  <si>
    <t>Unknown</t>
  </si>
  <si>
    <t>Confidence</t>
  </si>
  <si>
    <t>Confidence assessment</t>
  </si>
  <si>
    <t>Score</t>
  </si>
  <si>
    <t>Justification</t>
  </si>
  <si>
    <t>Transparency</t>
  </si>
  <si>
    <t>Input data</t>
  </si>
  <si>
    <t>Notes</t>
  </si>
  <si>
    <t>£'000 per 0.01% deterioration</t>
  </si>
  <si>
    <t xml:space="preserve">Household customers, 2017 price year, mean value. </t>
  </si>
  <si>
    <t>Non-household customers, 2017 price year, mean value</t>
  </si>
  <si>
    <t>Quality of place / local economy</t>
  </si>
  <si>
    <t>reduction in failures per 0.01% improvement in water quality pass rate</t>
  </si>
  <si>
    <t>Calculation</t>
  </si>
  <si>
    <t>Customer (impact category)</t>
  </si>
  <si>
    <t xml:space="preserve">Median WTA for deterioration (per 0.01%) </t>
  </si>
  <si>
    <t>Reduction in failures per 0.01% improvement in water quality pass rate</t>
  </si>
  <si>
    <t>Median WTP for deterioration (per failure)</t>
  </si>
  <si>
    <t>HH (quality of place)</t>
  </si>
  <si>
    <t>NHH (local economy)</t>
  </si>
  <si>
    <t>Value Option 2</t>
  </si>
  <si>
    <t>NERA / Wessex Water</t>
  </si>
  <si>
    <t>Wessex Water region</t>
  </si>
  <si>
    <t>£/hh/year</t>
  </si>
  <si>
    <t xml:space="preserve">This is household WTP for a service improvement from 50 to 25 test failures a year. Assume 2021 price as report was published Jan 2022. Note the Wessex WTP study provides WTP for HH customers; NHH customer values are presented as % of current perceived bill / customer / yr and we couldn't find this information. </t>
  </si>
  <si>
    <t>no. failures - deterioration</t>
  </si>
  <si>
    <t>This is the deterioration scenario.</t>
  </si>
  <si>
    <t>This is the status quo scenario.</t>
  </si>
  <si>
    <t>No. properties</t>
  </si>
  <si>
    <t>Assume this is residential properties</t>
  </si>
  <si>
    <t>Description</t>
  </si>
  <si>
    <t>Willingness to pay per test failure per household</t>
  </si>
  <si>
    <t>Willingness to pay across households</t>
  </si>
  <si>
    <t>Valuation method</t>
  </si>
  <si>
    <t>Value option 1</t>
  </si>
  <si>
    <t>Willingness to Pay</t>
  </si>
  <si>
    <t>Only value found in available WTP/WTA studies</t>
  </si>
  <si>
    <t>Value option 2</t>
  </si>
  <si>
    <t>LG(L)</t>
  </si>
  <si>
    <t>Valuation and source information</t>
  </si>
  <si>
    <t>Study year</t>
  </si>
  <si>
    <t>Base year</t>
  </si>
  <si>
    <t>Study year deflator</t>
  </si>
  <si>
    <t>Base year deflator</t>
  </si>
  <si>
    <t>Study year price</t>
  </si>
  <si>
    <t>Base year price</t>
  </si>
  <si>
    <t>Confidence score</t>
  </si>
  <si>
    <t>Recommended</t>
  </si>
  <si>
    <t>1-01</t>
  </si>
  <si>
    <t>1-02</t>
  </si>
  <si>
    <t>1-03</t>
  </si>
  <si>
    <t>1-04</t>
  </si>
  <si>
    <t>1-05</t>
  </si>
  <si>
    <t>1-06</t>
  </si>
  <si>
    <t>1-07</t>
  </si>
  <si>
    <t>1-08</t>
  </si>
  <si>
    <t>1-09</t>
  </si>
  <si>
    <t>1-10</t>
  </si>
  <si>
    <t>1-11</t>
  </si>
  <si>
    <t>1-12</t>
  </si>
  <si>
    <t>1-13</t>
  </si>
  <si>
    <t>1-14</t>
  </si>
  <si>
    <t>1-15</t>
  </si>
  <si>
    <t>1-16</t>
  </si>
  <si>
    <t>1-17</t>
  </si>
  <si>
    <t>1-18</t>
  </si>
  <si>
    <t>Reduced health and wellbeing</t>
  </si>
  <si>
    <t>LG(M)</t>
  </si>
  <si>
    <r>
      <rPr>
        <b/>
        <i/>
        <sz val="11"/>
        <color theme="1"/>
        <rFont val="Aptos"/>
        <family val="2"/>
      </rPr>
      <t>Value application:</t>
    </r>
    <r>
      <rPr>
        <sz val="11"/>
        <color theme="1"/>
        <rFont val="Aptos"/>
        <family val="2"/>
      </rPr>
      <t xml:space="preserve">
- Quality of place / Local economy valuations use Ofwat's Collaborative Customer Research (source ID 16). For the overall CVF, we have used the Ofwat Collaborative Customer Research values over triangulating company-specific Willingness to Pay values to promote consistency between companies. If you have access to WTP research relevant to your own customer base that covers this service measure, those values may be substituted in. Please provide documentation and valuation sources for auditability and share learning back to the sector.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</si>
  <si>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Reduced quality of place</t>
  </si>
  <si>
    <t>Wessex Water (2018) Appendix 1.1.E - Willingness to pay research 2 - Accent</t>
  </si>
  <si>
    <t>Wessex</t>
  </si>
  <si>
    <t>Confidences assessment</t>
  </si>
  <si>
    <t>Taste and odour</t>
  </si>
  <si>
    <t>£/hh/yr</t>
  </si>
  <si>
    <t>WTP for status quo to +1  situation -  taste and odour. Duration is "a few days". WW also produce a +1 to +2 scenario WTP. The SQ value is more conservative (+1 to +2 has a mean value of £1.75). The SQ was selected as it's more conservative. No. observations take from Table 11. This is the mean value. Note the unit of measure of this service measure is "Nr of contacts per incident" not £/hh/year. No NHH values.</t>
  </si>
  <si>
    <t>Appearance</t>
  </si>
  <si>
    <t>WTP for status quo to +1  situation -  discolouration. Duration is "a few hours" WW also produce a +1 to +2 scenario WTP. The SQ value is more conservative (+1 to +2 has a mean value of £1.75). The SQ was selected as it's more conservative. No. observations take from Table 11. This is the mean value. Note the unit of measure of this service measure is "Nr of contacts per incident" not £/hh/year. No NHH values.</t>
  </si>
  <si>
    <t>HD / Severn Trent (2019) Customer WTP Values for Service Improvements</t>
  </si>
  <si>
    <t>Wales</t>
  </si>
  <si>
    <t>Powys and Wrexham</t>
  </si>
  <si>
    <t>£/complaint/yr (domestic customers)</t>
  </si>
  <si>
    <r>
      <t xml:space="preserve">Powys, WTP for service improvement from 550 to 190 complaints p.a. for tap water </t>
    </r>
    <r>
      <rPr>
        <b/>
        <sz val="11"/>
        <color theme="1"/>
        <rFont val="Aptos"/>
        <family val="2"/>
      </rPr>
      <t>appearance</t>
    </r>
    <r>
      <rPr>
        <sz val="11"/>
        <color theme="1"/>
        <rFont val="Aptos"/>
        <family val="2"/>
      </rPr>
      <t>. Domestic customers.</t>
    </r>
  </si>
  <si>
    <r>
      <t xml:space="preserve">Powys, WTP for service improvement from 140 to 80 complaints p.a. for tap water </t>
    </r>
    <r>
      <rPr>
        <b/>
        <sz val="11"/>
        <color theme="1"/>
        <rFont val="Aptos"/>
        <family val="2"/>
      </rPr>
      <t>taste and smell.</t>
    </r>
    <r>
      <rPr>
        <sz val="11"/>
        <color theme="1"/>
        <rFont val="Aptos"/>
        <family val="2"/>
      </rPr>
      <t xml:space="preserve"> Domestic customers.</t>
    </r>
  </si>
  <si>
    <r>
      <t xml:space="preserve">Wrexham, WTP for service improvement from 550 to 190 complaints p.a. for tap water </t>
    </r>
    <r>
      <rPr>
        <b/>
        <sz val="11"/>
        <color theme="1"/>
        <rFont val="Aptos"/>
        <family val="2"/>
      </rPr>
      <t>appearance</t>
    </r>
    <r>
      <rPr>
        <sz val="11"/>
        <color theme="1"/>
        <rFont val="Aptos"/>
        <family val="2"/>
      </rPr>
      <t>. Domestic customers.</t>
    </r>
  </si>
  <si>
    <r>
      <t xml:space="preserve">Wrexham, WTP for service improvement from 140 to 80 complaints p.a. for tap water </t>
    </r>
    <r>
      <rPr>
        <b/>
        <sz val="11"/>
        <color theme="1"/>
        <rFont val="Aptos"/>
        <family val="2"/>
      </rPr>
      <t>taste and smell</t>
    </r>
    <r>
      <rPr>
        <sz val="11"/>
        <color theme="1"/>
        <rFont val="Aptos"/>
        <family val="2"/>
      </rPr>
      <t>. Domestic customers.</t>
    </r>
  </si>
  <si>
    <t>£ to reduce no. complaints by 90 p.a.</t>
  </si>
  <si>
    <r>
      <t xml:space="preserve">Powys, WTP for service improvement from 180 to 90 complaints p.a. </t>
    </r>
    <r>
      <rPr>
        <b/>
        <sz val="11"/>
        <color theme="1"/>
        <rFont val="Aptos"/>
        <family val="2"/>
      </rPr>
      <t>appearance</t>
    </r>
    <r>
      <rPr>
        <sz val="11"/>
        <color theme="1"/>
        <rFont val="Aptos"/>
        <family val="2"/>
      </rPr>
      <t xml:space="preserve">. Non-domestic customers. </t>
    </r>
  </si>
  <si>
    <t>£ to reduce no. complaints by 10 p.a.</t>
  </si>
  <si>
    <r>
      <t xml:space="preserve">Powys, WTP for service improvement from 60 to 50 complaints p.a. </t>
    </r>
    <r>
      <rPr>
        <b/>
        <sz val="11"/>
        <color theme="1"/>
        <rFont val="Aptos"/>
        <family val="2"/>
      </rPr>
      <t>taste and smell</t>
    </r>
    <r>
      <rPr>
        <sz val="11"/>
        <color theme="1"/>
        <rFont val="Aptos"/>
        <family val="2"/>
      </rPr>
      <t xml:space="preserve">. Non-domestic customers. </t>
    </r>
  </si>
  <si>
    <r>
      <t xml:space="preserve">Wrexham, WTP for service improvement from 550 to 190 complaints p.a. </t>
    </r>
    <r>
      <rPr>
        <b/>
        <sz val="11"/>
        <color theme="1"/>
        <rFont val="Aptos"/>
        <family val="2"/>
      </rPr>
      <t>appearance</t>
    </r>
    <r>
      <rPr>
        <sz val="11"/>
        <color theme="1"/>
        <rFont val="Aptos"/>
        <family val="2"/>
      </rPr>
      <t xml:space="preserve">. Non-domestic customers. </t>
    </r>
  </si>
  <si>
    <r>
      <t xml:space="preserve">Wrexham, WTP for service improvement from 140 to 80 complaints p.a. </t>
    </r>
    <r>
      <rPr>
        <b/>
        <sz val="11"/>
        <color theme="1"/>
        <rFont val="Aptos"/>
        <family val="2"/>
      </rPr>
      <t>taste and smell</t>
    </r>
    <r>
      <rPr>
        <sz val="11"/>
        <color theme="1"/>
        <rFont val="Aptos"/>
        <family val="2"/>
      </rPr>
      <t xml:space="preserve">. Non-domestic customers. </t>
    </r>
  </si>
  <si>
    <t>Calculations</t>
  </si>
  <si>
    <t>Region</t>
  </si>
  <si>
    <t>Property</t>
  </si>
  <si>
    <t>Customer</t>
  </si>
  <si>
    <t>Complaints pre-investment</t>
  </si>
  <si>
    <t>Complaints post-investment</t>
  </si>
  <si>
    <t>Reduction in complaints</t>
  </si>
  <si>
    <t>WTP for service improvement</t>
  </si>
  <si>
    <t>WTP per complaint per year</t>
  </si>
  <si>
    <t>Powys</t>
  </si>
  <si>
    <t>Domestic</t>
  </si>
  <si>
    <t>Wrexham</t>
  </si>
  <si>
    <t>Non-domestic</t>
  </si>
  <si>
    <t>Value Option 3</t>
  </si>
  <si>
    <t>Anglian Water (2018) 12H Valuation Completion report</t>
  </si>
  <si>
    <t>East Anglia</t>
  </si>
  <si>
    <t>Quality of place / local economy (unclear which customer type the values relate to)</t>
  </si>
  <si>
    <t>£/property</t>
  </si>
  <si>
    <t>Unscaled WTP for discolouration - persistent. Not clear if HH or NHH.  Note the unit of measure of this service measure is "Nr of contacts per incident" not £/property</t>
  </si>
  <si>
    <t>Unscaled WTP for taste and odour: one-off. Not clear if HH or NHH. Note the unit of measure of this service measure is "Nr of contacts per incident" not £/property</t>
  </si>
  <si>
    <t>Unscaled WTP for taste and odour: persistent. Not clear if HH or NHH. Note the unit of measure of this service measure is "Nr of contacts per incident" not £/property</t>
  </si>
  <si>
    <t>Scaled WTP for discolouration - persistent. Not clear if HH or NHH.  Note the unit of measure of this service measure is "Nr of contacts per incident" not £/property</t>
  </si>
  <si>
    <t>Scaled WTP for taste and odour: one-off. Not clear if HH or NHH.  Note the unit of measure of this service measure is "Nr of contacts per incident" not £/property</t>
  </si>
  <si>
    <t>Scaled WTP for taste and odour: persistent. Not clear if HH or NHH.  Note the unit of measure of this service measure is "Nr of contacts per incident" not £/property</t>
  </si>
  <si>
    <t>Value Option 4</t>
  </si>
  <si>
    <t>£/contact</t>
  </si>
  <si>
    <t>Appearance complaint, HH customer. Mean WTP for UU WTP Triangulation Report.</t>
  </si>
  <si>
    <t>Taste and odour complaint, HH customer. Mean WTP for UU WTP Triangulation Report.</t>
  </si>
  <si>
    <t>Appearance complaint, NHH customer. Mean WTP for UU WTP Triangulation Report.</t>
  </si>
  <si>
    <t>Taste and odour complaint, NHH customer. Mean WTP for UU WTP Triangulation Report.</t>
  </si>
  <si>
    <t>Value Option 5</t>
  </si>
  <si>
    <t>Ofwat (2023) PR24: Using collaborative customer research to set outcome delivery incentive rates.</t>
  </si>
  <si>
    <t>UK</t>
  </si>
  <si>
    <t>England and Wales</t>
  </si>
  <si>
    <t>12,567 household interviews, 3,728 non-household interviews</t>
  </si>
  <si>
    <t>£/incident</t>
  </si>
  <si>
    <t>WTA - assumes a 6-hour discolouration event.</t>
  </si>
  <si>
    <r>
      <t xml:space="preserve">WTA - note that the WTA for a 6-hour event is </t>
    </r>
    <r>
      <rPr>
        <b/>
        <sz val="11"/>
        <color theme="1"/>
        <rFont val="Aptos"/>
        <family val="2"/>
      </rPr>
      <t>lower</t>
    </r>
    <r>
      <rPr>
        <sz val="11"/>
        <color theme="1"/>
        <rFont val="Aptos"/>
        <family val="2"/>
      </rPr>
      <t xml:space="preserve"> than a 24-hour event. </t>
    </r>
  </si>
  <si>
    <t xml:space="preserve">WTA - assumes a 6-hour discolouration event. </t>
  </si>
  <si>
    <r>
      <t xml:space="preserve">WTA - note that the WTA for a 6-hour event is </t>
    </r>
    <r>
      <rPr>
        <b/>
        <sz val="11"/>
        <color theme="1"/>
        <rFont val="Aptos"/>
        <family val="2"/>
      </rPr>
      <t>higher</t>
    </r>
    <r>
      <rPr>
        <sz val="11"/>
        <color theme="1"/>
        <rFont val="Aptos"/>
        <family val="2"/>
      </rPr>
      <t xml:space="preserve"> than a 24-hour event.</t>
    </r>
  </si>
  <si>
    <t>Taste and odour / appearance</t>
  </si>
  <si>
    <t>Household valuation results</t>
  </si>
  <si>
    <t>WTA - £/incident</t>
  </si>
  <si>
    <t>Value option 5</t>
  </si>
  <si>
    <t>Willingness to Accept</t>
  </si>
  <si>
    <t>Uses industry-wide values</t>
  </si>
  <si>
    <t>2-1</t>
  </si>
  <si>
    <t>2-2</t>
  </si>
  <si>
    <t>2-3</t>
  </si>
  <si>
    <t>2-4</t>
  </si>
  <si>
    <t>2-5</t>
  </si>
  <si>
    <t>2-6</t>
  </si>
  <si>
    <t>2-7</t>
  </si>
  <si>
    <t>2-8</t>
  </si>
  <si>
    <t>2-9</t>
  </si>
  <si>
    <t>2-10</t>
  </si>
  <si>
    <t>2-11</t>
  </si>
  <si>
    <t>2-12</t>
  </si>
  <si>
    <t>2-13</t>
  </si>
  <si>
    <t>2-14</t>
  </si>
  <si>
    <t>2-15</t>
  </si>
  <si>
    <t>2-16</t>
  </si>
  <si>
    <t>2-17</t>
  </si>
  <si>
    <t>2-18</t>
  </si>
  <si>
    <t>2-19</t>
  </si>
  <si>
    <t>2-20</t>
  </si>
  <si>
    <t>2-21</t>
  </si>
  <si>
    <t>2-22</t>
  </si>
  <si>
    <t>Summary</t>
  </si>
  <si>
    <r>
      <rPr>
        <b/>
        <i/>
        <sz val="11"/>
        <color theme="1"/>
        <rFont val="Aptos"/>
        <family val="2"/>
      </rPr>
      <t>Value application:</t>
    </r>
    <r>
      <rPr>
        <sz val="11"/>
        <color theme="1"/>
        <rFont val="Aptos"/>
        <family val="2"/>
      </rPr>
      <t xml:space="preserve">
- Quality of place / Local economy valuations use available company specific willingness to pay studies, selected based on the calculation that was closest to the impact category. If a company has a more accurate value for their assets or customer base, please override with that value.
</t>
    </r>
    <r>
      <rPr>
        <b/>
        <i/>
        <sz val="11"/>
        <color theme="1"/>
        <rFont val="Aptos"/>
        <family val="2"/>
      </rPr>
      <t>To avoid double counting:</t>
    </r>
    <r>
      <rPr>
        <i/>
        <sz val="11"/>
        <color theme="1"/>
        <rFont val="Aptos"/>
        <family val="2"/>
      </rPr>
      <t xml:space="preserve">
</t>
    </r>
    <r>
      <rPr>
        <sz val="11"/>
        <color theme="1"/>
        <rFont val="Aptos"/>
        <family val="2"/>
      </rPr>
      <t xml:space="preserve">- A valuation for health &amp; wellbeing is not provided to avoid double counting with the quality of place / local economy value metrics which use customer research valuations. These valuations implicitly include a health and wellbeing benefit. 
</t>
    </r>
  </si>
  <si>
    <t>Improved water quality as a result of reduced lead pipe usage for properties</t>
  </si>
  <si>
    <t>Improved customer trust in drinking water quality from reduced lead risk</t>
  </si>
  <si>
    <t>Improved quality of place for customers as a result of reduced lead risk in properties</t>
  </si>
  <si>
    <t>Improvement to local economy from reduction in lead pipe risk in commercial properties</t>
  </si>
  <si>
    <t>Value metric (if using value for more than one value metric)</t>
  </si>
  <si>
    <t>Number of customers</t>
  </si>
  <si>
    <t>Total customers, from UU Triangulation report (2017)</t>
  </si>
  <si>
    <t>Number of HH customers</t>
  </si>
  <si>
    <t>Total household customers, from UU Triangulation report (2017)</t>
  </si>
  <si>
    <t>£ / deterioration in water quality</t>
  </si>
  <si>
    <t>Mean WTA for deterioration of 0.06% (from 99.96% to 99.90%) for household customers</t>
  </si>
  <si>
    <t>Mean WTA for deterioration of 0.06% (from 99.96% to 99.90%) for non-household customers</t>
  </si>
  <si>
    <t>Customer numbers</t>
  </si>
  <si>
    <t>Household</t>
  </si>
  <si>
    <t>Non-household</t>
  </si>
  <si>
    <t>Total</t>
  </si>
  <si>
    <t>Total customers</t>
  </si>
  <si>
    <t>Service level range</t>
  </si>
  <si>
    <t>Water quality pass rate</t>
  </si>
  <si>
    <t>£'000 per 0.01%</t>
  </si>
  <si>
    <t>Mean WTA for 0.1% deterioration</t>
  </si>
  <si>
    <t>Valuation per failure</t>
  </si>
  <si>
    <t>£ / failure</t>
  </si>
  <si>
    <t>0.01% improvement equates to 20 less failures, i.e. £2,905,000 / 20 = £145,250 per failure.</t>
  </si>
  <si>
    <t>Lead pipe valuation per failure</t>
  </si>
  <si>
    <t>UU Triangulation study states that for CRI scoring, lead is given a weighting twice the average failure.</t>
  </si>
  <si>
    <t>Value for risk of leading to CRI failure</t>
  </si>
  <si>
    <t>Only a 1 in 50 risk of contributing to a CRI failure. This is considered to be a reasonable value for a lead pipe replacement.</t>
  </si>
  <si>
    <t>Mean WTP for reduced lead risk</t>
  </si>
  <si>
    <t>Value scaled by water quality WTA value for HH and NHH properties</t>
  </si>
  <si>
    <t>£</t>
  </si>
  <si>
    <t>WTP (Powys) per customer per year for "financial support for removing lead pipes". Domestic customers</t>
  </si>
  <si>
    <t>WTP (Wrexham) per customer per year for "financial support for removing lead pipes". Domestic customers</t>
  </si>
  <si>
    <t>WTP (Powys) per customer per year for "financial support for removing lead pipes". Non-domestic customers</t>
  </si>
  <si>
    <t>WTP (Wrexham) per customer per year for "financial support for removing lead pipes". Non-domestic customers</t>
  </si>
  <si>
    <t>Thames Water (2023) TMS22 Enhancement Case: Long Term Water Quality Strategy Lead</t>
  </si>
  <si>
    <t>Thames Water area</t>
  </si>
  <si>
    <t>£/year</t>
  </si>
  <si>
    <t>Customer supported cost for Thames Water to replace all Thames-owned lead pipes 2025 to 2050. Value is additional cost on bill per year. Source: section 4.8</t>
  </si>
  <si>
    <t>WTP study that most closely aligns to service measure impact categories. No Ofwat Collaborative Customer Research valuation available.</t>
  </si>
  <si>
    <t>3-1</t>
  </si>
  <si>
    <t>3-2</t>
  </si>
  <si>
    <t>Reduced customer trust in water service due to supply interruption</t>
  </si>
  <si>
    <t>Inconvenience to household customers</t>
  </si>
  <si>
    <t>Interruption to business activities</t>
  </si>
  <si>
    <t>Ofwat (2023) PR24: Using collaborative customer research to set outcome delivery incentive rates</t>
  </si>
  <si>
    <t>£ / incident</t>
  </si>
  <si>
    <t>Household customer WTA valuation for "planned water supply interruption (6h)". 2021-22 prices.</t>
  </si>
  <si>
    <t>Non-household customer WTA valuation for "planned water supply interruption (6h)". 2021-22 prices. Note that NHH values have significantly wider confidence intervals than HH.</t>
  </si>
  <si>
    <t>Household value</t>
  </si>
  <si>
    <t>Non-household value</t>
  </si>
  <si>
    <t>Scaled using unplanned interruption values, see SM 'Unplanned supply interruptions'</t>
  </si>
  <si>
    <t>WTA</t>
  </si>
  <si>
    <t>Ofwat collaborative customer research source</t>
  </si>
  <si>
    <t>4-1</t>
  </si>
  <si>
    <t>4-2</t>
  </si>
  <si>
    <t>4-3</t>
  </si>
  <si>
    <t>4-4</t>
  </si>
  <si>
    <r>
      <rPr>
        <b/>
        <i/>
        <sz val="11"/>
        <color theme="1"/>
        <rFont val="Aptos"/>
        <family val="2"/>
      </rPr>
      <t>Value application:</t>
    </r>
    <r>
      <rPr>
        <sz val="11"/>
        <color theme="1"/>
        <rFont val="Aptos"/>
        <family val="2"/>
      </rPr>
      <t xml:space="preserve">
- Quality of place / Local economy valuations use Ofwat's Collaborative Customer Research (source ID 16). For the overall CVF, we have used the Ofwat Collaborative Customer Research values over triangulating company-specific Willingness to Pay values to promote consistency between companies. If you have access to WTP research relevant to your own customer base that covers this service measure, those values may be substituted in. Please provide documentation and valuation sources for auditability and share learning back to the sector.
</t>
    </r>
    <r>
      <rPr>
        <i/>
        <sz val="11"/>
        <color theme="1"/>
        <rFont val="Aptos"/>
        <family val="2"/>
      </rPr>
      <t xml:space="preserve">
</t>
    </r>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</si>
  <si>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Household customer WTA for "unexpected water supply interruption (6h)". 2021-22 prices.</t>
  </si>
  <si>
    <t>Household customer WTA for "unexpected water supply interruption (24h)". 2021-22 prices.</t>
  </si>
  <si>
    <t>Non-householder customer WTA for "unexpected water supply interruption (6h)". 2021-22 prices. Note that NHH values have greater confidence intervals than HH.</t>
  </si>
  <si>
    <t>Non-householder customer WTA for "unexpected water supply interruption (24h)". 2021-22 prices. Note that NHH values have greater confidence intervals than HH.</t>
  </si>
  <si>
    <t>Interpolation of 3-6 hour categories, and 12-24 hour categories, assuming impacts increase linearly.</t>
  </si>
  <si>
    <t>Extrapolation out to &gt;24 hour category, assuming impacts increase linearly.</t>
  </si>
  <si>
    <t>Ofwat collaborative research valuations</t>
  </si>
  <si>
    <t>5-1</t>
  </si>
  <si>
    <t>5-2</t>
  </si>
  <si>
    <t>5-3</t>
  </si>
  <si>
    <t>5-4</t>
  </si>
  <si>
    <t>5-5</t>
  </si>
  <si>
    <t>5-6</t>
  </si>
  <si>
    <t>5-7</t>
  </si>
  <si>
    <t>5-8</t>
  </si>
  <si>
    <t>Reduced customer trust due to unexpected change in water pressure</t>
  </si>
  <si>
    <t>Negative impact on quality of place due to unexpected change in water pressure</t>
  </si>
  <si>
    <t>Reduced economic productivity due to reduced water pressure</t>
  </si>
  <si>
    <t>Pressure below acceptable level</t>
  </si>
  <si>
    <t>Household customer WTA  for "unexpected low water pressure (6h)". 2021-22 prices.
Source does not state what exact pressure is considered 'low'.</t>
  </si>
  <si>
    <t>Non-household customer WTA  for "unexpected low water pressure (6h)". 2021-22 prices.
Source does not state what exact pressure is considered 'low'.</t>
  </si>
  <si>
    <t>Ofwat collaborative customer research valuation</t>
  </si>
  <si>
    <t>6-1</t>
  </si>
  <si>
    <t>6-2</t>
  </si>
  <si>
    <t>6-3</t>
  </si>
  <si>
    <t>6-4</t>
  </si>
  <si>
    <r>
      <rPr>
        <b/>
        <i/>
        <sz val="11"/>
        <color theme="1"/>
        <rFont val="Aptos"/>
        <family val="2"/>
      </rPr>
      <t>Value application:</t>
    </r>
    <r>
      <rPr>
        <sz val="11"/>
        <color theme="1"/>
        <rFont val="Aptos"/>
        <family val="2"/>
      </rPr>
      <t xml:space="preserve">
- Before application, the appraisal period should be updated in COMPANY INPUT to make sure carbon values are correct (for the GHG value metric).
- The units for this service measure are megalitres per day, Ml/d, to align with regulatory reporting.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</si>
  <si>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Water removed from the natural environment</t>
  </si>
  <si>
    <t>NIC (2018) Analysis of the costs of water resource management options to enhance drought resilience</t>
  </si>
  <si>
    <t>Average incremental social cost of public water supply.
Recommended by NCEM (2025) as reflective of value of water for public water supply (as opposed to other industries e.g. manufacturing or agricultural use)</t>
  </si>
  <si>
    <t xml:space="preserve">Value </t>
  </si>
  <si>
    <t>5-year average resource rent value of raw water abstraction for public water supply divided by 5-year average of direct abstraction of raw water for public water supply</t>
  </si>
  <si>
    <t>£/m3 (2023 price)</t>
  </si>
  <si>
    <t>Resource rent of water - Megalitre</t>
  </si>
  <si>
    <t>£/Ml (2023 price)</t>
  </si>
  <si>
    <t>Resource rent of water - Megalitre day</t>
  </si>
  <si>
    <t>£/Mld (2023 price)</t>
  </si>
  <si>
    <t>HM Treasury (2022) The Green Book: CENTRAL GOVERNMENT GUIDANCE ON APPRAISAL AND EVALUATION</t>
  </si>
  <si>
    <t>ENCA</t>
  </si>
  <si>
    <t>£/megalitre</t>
  </si>
  <si>
    <t>2020/21 price -  the industry average present value lifetime cost of providing a million litres (a mega litre) per day. This can be interpreted as the typical economic cost of replacing a marginal mega litre of water and may be suitable for high-level assessment of the value of water resource impacts. However regional variation can be significant, because options to augment resources are constrained to varying degrees, in part reflecting wider water scarcity. Care should therefore be taken in using these figures.</t>
  </si>
  <si>
    <t>Social cost of water</t>
  </si>
  <si>
    <t>Most relevant, aligns with WINEP/NCEM</t>
  </si>
  <si>
    <t>7-1</t>
  </si>
  <si>
    <t>Carbon emissions from treating water</t>
  </si>
  <si>
    <t>Discover Water (2024) Energy and emissions: Greenhouse gas emissions from English and Welsh water companies</t>
  </si>
  <si>
    <t>BEIS (2021) Valuing greenhouse gas emissions in policy appraisal.</t>
  </si>
  <si>
    <t>kgCO2e per megalitre of treated water</t>
  </si>
  <si>
    <t>Company specific value for treating 1 megalitre of water</t>
  </si>
  <si>
    <t>£/tCO2e, 2020 prices</t>
  </si>
  <si>
    <t xml:space="preserve">£2020 price - average of central values over 50-year appraisal period. See GHG valuations tab in supporting information for more detail on how this was calculated. </t>
  </si>
  <si>
    <t>Net operational GHG (kgCO2e/Ml) of treated water - location based</t>
  </si>
  <si>
    <t>kgCO2e/Ml</t>
  </si>
  <si>
    <t>Net operational GHG (tCO2e/Ml) of treated water - location based</t>
  </si>
  <si>
    <t>tCO2e/Ml/d</t>
  </si>
  <si>
    <t>Net operational GHG (tCO2e/Mld) of treated water - location based</t>
  </si>
  <si>
    <t>£/Mld</t>
  </si>
  <si>
    <t>£/Ml/d</t>
  </si>
  <si>
    <t>Value option 3</t>
  </si>
  <si>
    <t xml:space="preserve">Financial </t>
  </si>
  <si>
    <t>Company-specific carbon intensity data, also uses UK gov values for carbon</t>
  </si>
  <si>
    <t>7-2</t>
  </si>
  <si>
    <t>Reduced customer trust in water company performance</t>
  </si>
  <si>
    <t>Water Use Restrictions</t>
  </si>
  <si>
    <r>
      <rPr>
        <b/>
        <i/>
        <sz val="11"/>
        <color theme="1"/>
        <rFont val="Aptos"/>
        <family val="2"/>
      </rPr>
      <t>Avoidable costs:</t>
    </r>
    <r>
      <rPr>
        <sz val="11"/>
        <color theme="1"/>
        <rFont val="Aptos"/>
        <family val="2"/>
      </rPr>
      <t xml:space="preserve">
- The impact of drought on </t>
    </r>
    <r>
      <rPr>
        <i/>
        <sz val="11"/>
        <color theme="1"/>
        <rFont val="Aptos"/>
        <family val="2"/>
      </rPr>
      <t>water resources</t>
    </r>
    <r>
      <rPr>
        <sz val="11"/>
        <color theme="1"/>
        <rFont val="Aptos"/>
        <family val="2"/>
      </rPr>
      <t xml:space="preserve"> should be valued through the </t>
    </r>
    <r>
      <rPr>
        <i/>
        <sz val="11"/>
        <color theme="1"/>
        <rFont val="Aptos"/>
        <family val="2"/>
      </rPr>
      <t xml:space="preserve">Other benefits and avoidable costs </t>
    </r>
    <r>
      <rPr>
        <sz val="11"/>
        <color theme="1"/>
        <rFont val="Aptos"/>
        <family val="2"/>
      </rPr>
      <t xml:space="preserve">(46) service measure on a company-specific basis. 
- When drought trigger level 3 or level 4 is selected, if a reduction in abstraction can be quantified, the benefit to water resources should be represented using the Other benefits and avoidable costs (46) service measure.
</t>
    </r>
    <r>
      <rPr>
        <b/>
        <i/>
        <sz val="11"/>
        <color theme="1"/>
        <rFont val="Aptos"/>
        <family val="2"/>
      </rPr>
      <t>To avoid double counting:</t>
    </r>
    <r>
      <rPr>
        <sz val="11"/>
        <color theme="1"/>
        <rFont val="Aptos"/>
        <family val="2"/>
      </rPr>
      <t xml:space="preserve">
- The </t>
    </r>
    <r>
      <rPr>
        <i/>
        <sz val="11"/>
        <color theme="1"/>
        <rFont val="Aptos"/>
        <family val="2"/>
      </rPr>
      <t>health and wellbeing</t>
    </r>
    <r>
      <rPr>
        <sz val="11"/>
        <color theme="1"/>
        <rFont val="Aptos"/>
        <family val="2"/>
      </rPr>
      <t xml:space="preserve"> impact of drought measures is not included to avoid double counting with </t>
    </r>
    <r>
      <rPr>
        <i/>
        <sz val="11"/>
        <color theme="1"/>
        <rFont val="Aptos"/>
        <family val="2"/>
      </rPr>
      <t>quality of place</t>
    </r>
    <r>
      <rPr>
        <sz val="11"/>
        <color theme="1"/>
        <rFont val="Aptos"/>
        <family val="2"/>
      </rPr>
      <t xml:space="preserve">. </t>
    </r>
    <r>
      <rPr>
        <i/>
        <sz val="11"/>
        <color theme="1"/>
        <rFont val="Aptos"/>
        <family val="2"/>
      </rPr>
      <t xml:space="preserve">
</t>
    </r>
    <r>
      <rPr>
        <b/>
        <i/>
        <sz val="11"/>
        <color theme="1"/>
        <rFont val="Aptos"/>
        <family val="2"/>
      </rPr>
      <t>Value application:</t>
    </r>
    <r>
      <rPr>
        <i/>
        <sz val="11"/>
        <color theme="1"/>
        <rFont val="Aptos"/>
        <family val="2"/>
      </rPr>
      <t xml:space="preserve">
</t>
    </r>
    <r>
      <rPr>
        <sz val="11"/>
        <color theme="1"/>
        <rFont val="Aptos"/>
        <family val="2"/>
      </rPr>
      <t xml:space="preserve">- Quality of place / Local economy valuations use Ofwat's Collaborative Customer Research (source ID 16). For the overall CVF, we have used the Ofwat Collaborative Customer Research values over triangulating company-specific Willingness to Pay values to promote consistency between companies. If you have access to WTP research relevant to your own customer base that covers this service measure, those values may be substituted in. Please provide documentation and valuation sources for auditability and share learning back to the sector.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</si>
  <si>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Loss of water resources</t>
  </si>
  <si>
    <t>Loss of water resourcing</t>
  </si>
  <si>
    <t xml:space="preserve">Local economy </t>
  </si>
  <si>
    <t xml:space="preserve">Willingness to accept from Ofwat's collaborative research. Assumed that, based on survey design, units are £/household property/incident. Values from Fig 4.1. Note that only 50% of companies were able to provide meaningful data to support this valuation. </t>
  </si>
  <si>
    <t xml:space="preserve">Willingness to accept from Ofwat's collaborative research. Assumed that, based on survey design, units are £/non-household property/incident. Values from Fig 4.2. Note that only 50% of companies were able to provide meaningful data to support this valuation. </t>
  </si>
  <si>
    <t>Valuation</t>
  </si>
  <si>
    <t>Input</t>
  </si>
  <si>
    <t>Average of level 2 and level 4</t>
  </si>
  <si>
    <t>Ofwat collaborative research brings together WTA across all companies</t>
  </si>
  <si>
    <t>9-1</t>
  </si>
  <si>
    <t>Water use restriction</t>
  </si>
  <si>
    <t>9-2</t>
  </si>
  <si>
    <t>9-3</t>
  </si>
  <si>
    <t>9-4</t>
  </si>
  <si>
    <t>9-5</t>
  </si>
  <si>
    <t>9-6</t>
  </si>
  <si>
    <t>Reduced health and wellbeing as a result of drought restrictions</t>
  </si>
  <si>
    <r>
      <rPr>
        <b/>
        <i/>
        <sz val="11"/>
        <color theme="1"/>
        <rFont val="Aptos"/>
        <family val="2"/>
      </rPr>
      <t>Value application:</t>
    </r>
    <r>
      <rPr>
        <sz val="11"/>
        <color theme="1"/>
        <rFont val="Aptos"/>
        <family val="2"/>
      </rPr>
      <t xml:space="preserve">
- Before application, the appraisal period should be updated in COMPANY INPUT to make sure carbon values are correct (for the </t>
    </r>
    <r>
      <rPr>
        <i/>
        <sz val="11"/>
        <color theme="1"/>
        <rFont val="Aptos"/>
        <family val="2"/>
      </rPr>
      <t>GHG</t>
    </r>
    <r>
      <rPr>
        <sz val="11"/>
        <color theme="1"/>
        <rFont val="Aptos"/>
        <family val="2"/>
      </rPr>
      <t xml:space="preserve"> value metric).
</t>
    </r>
    <r>
      <rPr>
        <b/>
        <i/>
        <sz val="11"/>
        <color theme="1"/>
        <rFont val="Aptos"/>
        <family val="2"/>
      </rPr>
      <t>Guide to units:</t>
    </r>
    <r>
      <rPr>
        <sz val="11"/>
        <color theme="1"/>
        <rFont val="Aptos"/>
        <family val="2"/>
      </rPr>
      <t xml:space="preserve">
- The impact category 'Reduction in per capita consumption' has units litres per head per day, l/head/day, to align with regulatory reporting and targets. In this context, total heads refers to the total household population served by a water company.
</t>
    </r>
    <r>
      <rPr>
        <b/>
        <i/>
        <sz val="11"/>
        <color theme="1"/>
        <rFont val="Aptos"/>
        <family val="2"/>
      </rPr>
      <t>Private benefits:</t>
    </r>
    <r>
      <rPr>
        <sz val="11"/>
        <color theme="1"/>
        <rFont val="Aptos"/>
        <family val="2"/>
      </rPr>
      <t xml:space="preserve">
- If there are any private financial benefit to the water company e.g. through energy saving, this should be entered using the Other benefits and avoidable costs (46) service measure on a case-specific basis. </t>
    </r>
  </si>
  <si>
    <t>Private Benefits</t>
  </si>
  <si>
    <t xml:space="preserve">GHG </t>
  </si>
  <si>
    <t>Avoided abstraction of water</t>
  </si>
  <si>
    <t>Location of study cite - country</t>
  </si>
  <si>
    <t>£/cubic metre</t>
  </si>
  <si>
    <t>NIC (2018)</t>
  </si>
  <si>
    <t>number of people per household</t>
  </si>
  <si>
    <t>ONS (2023)</t>
  </si>
  <si>
    <t>Average household size - England</t>
  </si>
  <si>
    <t>ONS (2022)</t>
  </si>
  <si>
    <t>Average household size - Scotland</t>
  </si>
  <si>
    <t>Average household size - Wales</t>
  </si>
  <si>
    <t>No. households - England</t>
  </si>
  <si>
    <t>No. households - Scotland</t>
  </si>
  <si>
    <t>No. households - Wales</t>
  </si>
  <si>
    <t>Total household population (dynamic value based on company selected)</t>
  </si>
  <si>
    <t>Ofwat (2024)</t>
  </si>
  <si>
    <t>Conversions</t>
  </si>
  <si>
    <t>Converting cubic metres to litres</t>
  </si>
  <si>
    <t>1m3 = 1,000L</t>
  </si>
  <si>
    <t>£/ 1,000 litres</t>
  </si>
  <si>
    <t>1,000L to 1L</t>
  </si>
  <si>
    <t>£/ litres</t>
  </si>
  <si>
    <t>Heads</t>
  </si>
  <si>
    <t>heads</t>
  </si>
  <si>
    <t>Resource rent of water - litre / household / day (annualised)</t>
  </si>
  <si>
    <t>£/l/head/day</t>
  </si>
  <si>
    <t>£/l/head/day (annualised)</t>
  </si>
  <si>
    <t>Inverse of ONS cost as a benefit to the natural resource.</t>
  </si>
  <si>
    <t>Converting litres to megalitres</t>
  </si>
  <si>
    <t>£/million litres</t>
  </si>
  <si>
    <t xml:space="preserve">ONS, resource rent </t>
  </si>
  <si>
    <t xml:space="preserve">Inverse of ONS cost as a benefit to the natural resource. </t>
  </si>
  <si>
    <t>CIRIA (2019) B£ST W047b B£ST Guidance - Guidance to assess the benefits of blue and green infrastructure using B£ST Release Version 5</t>
  </si>
  <si>
    <t>B£ST</t>
  </si>
  <si>
    <t>UK Wide</t>
  </si>
  <si>
    <t>Groundwater recharge</t>
  </si>
  <si>
    <t>Rainfall Reduction factor</t>
  </si>
  <si>
    <t>no</t>
  </si>
  <si>
    <t>Hydrologically Effective Rainfall (HER) represents the remaining rainfall in any one year after considering the demands of evaporation and water uptake by vegetation. The HER that remains is available to work its way into the groundwater system via infiltration. Average annual total HER is, therefore, a useful measure of average annual total recharge in groundwater dominated catchments and total runoff in surface water dominated catchments.</t>
  </si>
  <si>
    <t>Environment Agency / B£ST</t>
  </si>
  <si>
    <t>Scotland</t>
  </si>
  <si>
    <t>Northern Ireland</t>
  </si>
  <si>
    <t>United Kingdom</t>
  </si>
  <si>
    <t>Average incremental social costs of groundwater schemes</t>
  </si>
  <si>
    <r>
      <rPr>
        <b/>
        <sz val="11"/>
        <color theme="1"/>
        <rFont val="Aptos"/>
        <family val="2"/>
      </rPr>
      <t>Seriously water stressed areas</t>
    </r>
    <r>
      <rPr>
        <sz val="11"/>
        <color theme="1"/>
        <rFont val="Aptos"/>
        <family val="2"/>
      </rPr>
      <t>: Use in areas of serious water stress (generally areas covered by Affinity Water, Essex &amp; Suffolk Water, South East Water, Southern Water, Sutton &amp; East Surrey Water and Thames Water)</t>
    </r>
  </si>
  <si>
    <t>Mid</t>
  </si>
  <si>
    <r>
      <rPr>
        <b/>
        <sz val="11"/>
        <color theme="1"/>
        <rFont val="Aptos"/>
        <family val="2"/>
      </rPr>
      <t xml:space="preserve">Areas not water stressed: </t>
    </r>
    <r>
      <rPr>
        <sz val="11"/>
        <color theme="1"/>
        <rFont val="Aptos"/>
        <family val="2"/>
      </rPr>
      <t>Use in all other areas</t>
    </r>
  </si>
  <si>
    <t>Discount value factor</t>
  </si>
  <si>
    <t>Greenbook default discount rate</t>
  </si>
  <si>
    <t>HM Treasury</t>
  </si>
  <si>
    <t>Additional amount of groundwater (m3/yr)</t>
  </si>
  <si>
    <t>Monetised value (£/m3)</t>
  </si>
  <si>
    <t xml:space="preserve">Present value before confidence applied for 1m3 </t>
  </si>
  <si>
    <t>Confidence in calculation: Quantity*</t>
  </si>
  <si>
    <t>Confidence in calculation: Valuation (£)**</t>
  </si>
  <si>
    <t>Present value after confidence applied (£/m3/year)</t>
  </si>
  <si>
    <t>Present value after confidence applied (£/Ml/d)</t>
  </si>
  <si>
    <r>
      <rPr>
        <b/>
        <sz val="11"/>
        <color theme="1"/>
        <rFont val="Aptos"/>
        <family val="2"/>
      </rPr>
      <t>Seriously water stressed areas</t>
    </r>
    <r>
      <rPr>
        <sz val="11"/>
        <color theme="1"/>
        <rFont val="Aptos"/>
        <family val="2"/>
      </rPr>
      <t>: Average incremental social costs of groundwater schemes</t>
    </r>
  </si>
  <si>
    <r>
      <rPr>
        <b/>
        <sz val="11"/>
        <color theme="1"/>
        <rFont val="Aptos"/>
        <family val="2"/>
      </rPr>
      <t>Areas not water stressed:</t>
    </r>
    <r>
      <rPr>
        <sz val="11"/>
        <color theme="1"/>
        <rFont val="Aptos"/>
        <family val="2"/>
      </rPr>
      <t xml:space="preserve"> Average incremental social costs of groundwater schemes</t>
    </r>
  </si>
  <si>
    <t>*This is down to the assessor - it is a confidence score to be applied on certainty of the volume of additional ground water. Set to 75%</t>
  </si>
  <si>
    <t>**This is down to the assessor - it is a confidence score to be applied on valuation of additional ground water. Set to 75% here.</t>
  </si>
  <si>
    <t>Financial</t>
  </si>
  <si>
    <t>Reliable source and logical application</t>
  </si>
  <si>
    <t>Location of study city - country</t>
  </si>
  <si>
    <t>10-1</t>
  </si>
  <si>
    <t>10-2</t>
  </si>
  <si>
    <t>10-3</t>
  </si>
  <si>
    <t>10-4</t>
  </si>
  <si>
    <t>10-5</t>
  </si>
  <si>
    <t>GHG emissions</t>
  </si>
  <si>
    <t>GHG Emissions</t>
  </si>
  <si>
    <t>Avoided GHG emissions as a result of reduced consumption</t>
  </si>
  <si>
    <t xml:space="preserve">Discover Water (2024) Energy and emissions: Greenhouse gas emissions from English and Welsh water companies. </t>
  </si>
  <si>
    <t>Reduction in per capita consumption / treated effluent recycled as a potable solution / grey water treated as a potable solution</t>
  </si>
  <si>
    <t xml:space="preserve">£/tCO2e </t>
  </si>
  <si>
    <t>BEIS (2021)</t>
  </si>
  <si>
    <t>Weighted average household occupancy for England, Scotland and Wales</t>
  </si>
  <si>
    <t>kgCO2e / Ml treated water</t>
  </si>
  <si>
    <t>Net operational GHG emissions - water treatment - company specific</t>
  </si>
  <si>
    <t>Discover Water (2024)</t>
  </si>
  <si>
    <t>kgCO2e / Ml sewage treated</t>
  </si>
  <si>
    <t>Net operational GHG emissions - sewage treatment - company specific</t>
  </si>
  <si>
    <t>tCO2e / Ml treated water</t>
  </si>
  <si>
    <t>tCO2e / Ml sewage treated</t>
  </si>
  <si>
    <t>tCO2e/Ml</t>
  </si>
  <si>
    <t>Whole process avoided emissions as a result of reduced capita consumption.</t>
  </si>
  <si>
    <t>tCO2e/l</t>
  </si>
  <si>
    <t>Conversion from megalitre to litre</t>
  </si>
  <si>
    <t>£/l</t>
  </si>
  <si>
    <t>Value of carbon per litre</t>
  </si>
  <si>
    <t>days</t>
  </si>
  <si>
    <t>Days per year</t>
  </si>
  <si>
    <t>Annualised value of carbon per litre per head per day</t>
  </si>
  <si>
    <t>Reduction in per capita consumption, inverse as a benefit</t>
  </si>
  <si>
    <t>£/tCO2e  (2020)</t>
  </si>
  <si>
    <t xml:space="preserve">Quantifying only the emissions associated with increasing waste water treatment and reduced abstraction emissions. Emissions per wastewater treatment minus avoided abstraction emissions. </t>
  </si>
  <si>
    <t>£/Ml</t>
  </si>
  <si>
    <t>Carbon value of treating 1Ml.</t>
  </si>
  <si>
    <t>Emissions per wastewater treatment minus avoided abstraction emissions</t>
  </si>
  <si>
    <t>£/Ml/yr</t>
  </si>
  <si>
    <t>Carbon price</t>
  </si>
  <si>
    <t>UK government carbon prices and sector-specific carbon emissions</t>
  </si>
  <si>
    <t>10-6</t>
  </si>
  <si>
    <t>10-7</t>
  </si>
  <si>
    <t>10-8</t>
  </si>
  <si>
    <t>Reduced trust as a result of using recycled grey water as a substitute to water abstraction</t>
  </si>
  <si>
    <t xml:space="preserve">Trust in the water company as a result of reducing consumption </t>
  </si>
  <si>
    <r>
      <rPr>
        <b/>
        <i/>
        <sz val="11"/>
        <color theme="1"/>
        <rFont val="Aptos"/>
        <family val="2"/>
      </rPr>
      <t>Value application:</t>
    </r>
    <r>
      <rPr>
        <sz val="11"/>
        <color theme="1"/>
        <rFont val="Aptos"/>
        <family val="2"/>
      </rPr>
      <t xml:space="preserve">
- This service measure captures the water resource and energy use benefits linked to rainwater management activities. For flooding and pollution benefits, please use other service measures as appropriate. 
- This service measure uses 5 year average resource rent value for water abstracted for public water supply, which is calculated in the tab 'Water resource rent'. The calculation is done over the 5 most recent years of data at the time of this workbook being created (2018-2022 using data from ONS (2024) Natural Capital Accounts). To change the years used in the resource rent calculation, please edit them on the 'Water resource rent' tab.
- Before application, the appraisal period should be updated in COMPANY INPUT to make sure carbon values are correct (for the GHG value metric).
</t>
    </r>
    <r>
      <rPr>
        <b/>
        <i/>
        <sz val="11"/>
        <color theme="1"/>
        <rFont val="Aptos"/>
        <family val="2"/>
      </rPr>
      <t>Private benefits:</t>
    </r>
    <r>
      <rPr>
        <sz val="11"/>
        <color theme="1"/>
        <rFont val="Aptos"/>
        <family val="2"/>
      </rPr>
      <t xml:space="preserve">
- If there are any private financial benefit from surface water separation or interception to the water company, this should be entered using the Other benefits and avoidable costs (46) service measure on a case-specific basis. </t>
    </r>
  </si>
  <si>
    <t>Water Resources</t>
  </si>
  <si>
    <t>Reduced necessity for abstraction</t>
  </si>
  <si>
    <t>£ / cubic metre</t>
  </si>
  <si>
    <t>Metric</t>
  </si>
  <si>
    <t>Unit (2023 Prices)</t>
  </si>
  <si>
    <t>Resource rent of water - cubic metre</t>
  </si>
  <si>
    <t>Resource rent of water - Litre</t>
  </si>
  <si>
    <t>Avoided cost</t>
  </si>
  <si>
    <t>11-01</t>
  </si>
  <si>
    <t>Greenhouse Gas Emissions</t>
  </si>
  <si>
    <t>Reduced greenhouse gas emissions</t>
  </si>
  <si>
    <t>Discover Water (2024) Energy and emissions: Greenhouse gas emissions from English and Welsh water companies. Available online: https://www.discoverwater.co.uk/energy-emissions (Accessed 27 Feb 25)</t>
  </si>
  <si>
    <t xml:space="preserve"> </t>
  </si>
  <si>
    <t>Surface water separated from combined &amp; Surface water intercepted/harvested</t>
  </si>
  <si>
    <t>Whole process of avoided emissions as a result of separating surface water from combined</t>
  </si>
  <si>
    <t>Whole process of avoided emissions as a result of surface water intercepted</t>
  </si>
  <si>
    <t>UK government values</t>
  </si>
  <si>
    <t>11-02</t>
  </si>
  <si>
    <t>11-03</t>
  </si>
  <si>
    <t>Increased trust as a result of managing rainwater for customers</t>
  </si>
  <si>
    <t>Abstraction Consent Compliance</t>
  </si>
  <si>
    <r>
      <rPr>
        <b/>
        <i/>
        <sz val="11"/>
        <color theme="1"/>
        <rFont val="Aptos"/>
        <family val="2"/>
      </rPr>
      <t>Value application:</t>
    </r>
    <r>
      <rPr>
        <sz val="11"/>
        <color theme="1"/>
        <rFont val="Aptos"/>
        <family val="2"/>
      </rPr>
      <t xml:space="preserve">
- This service measure uses 5 year average resource rent value for water abstracted for public water supply, which is calculated in the tab 'Water resource rent'. The calculation is done over the 5 most recent years of data at the time of this workbook being created (2018-2022 using data from ONS (2024) Natural Capital Accounts). To change the years used in the resource rent calculation, please edit them on the 'Water resource rent' tab.
</t>
    </r>
    <r>
      <rPr>
        <b/>
        <i/>
        <sz val="11"/>
        <color theme="1"/>
        <rFont val="Aptos"/>
        <family val="2"/>
      </rPr>
      <t>To avoid double counting:</t>
    </r>
    <r>
      <rPr>
        <sz val="11"/>
        <color theme="1"/>
        <rFont val="Aptos"/>
        <family val="2"/>
      </rPr>
      <t xml:space="preserve">
- Water regulation and biodiversity valuations are not included to avoid double counting with the water resources valuation.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
</t>
    </r>
  </si>
  <si>
    <t>Water Regulation</t>
  </si>
  <si>
    <t>Quality of Place</t>
  </si>
  <si>
    <t>Water resource depletion</t>
  </si>
  <si>
    <t>Water Resource Management Plans (reported in HM Treasury Green Book 2020)</t>
  </si>
  <si>
    <t>HM Treasury Green Book</t>
  </si>
  <si>
    <t>Industry average present value lifetime cost of providing a million litres (a mega litre) per day included in the most recent Management Plans. Can be interpreted as the typical economic cost of replacing a marginal mega litre of water and may be suitable for high-level assessment of the value of water resource impacts. However regional variation can be significant, because options to augment resources are constrained to varying degrees, in part reflecting wider water scarcity. Care should therefore be taken in using these figures.</t>
  </si>
  <si>
    <t>Resource rent</t>
  </si>
  <si>
    <t xml:space="preserve">Most appropriate of the two sources available as the valuation method is more directly applicable </t>
  </si>
  <si>
    <t>12-01</t>
  </si>
  <si>
    <t xml:space="preserve">Abstraction consent compliance </t>
  </si>
  <si>
    <t>Reduced water regulation</t>
  </si>
  <si>
    <t>Negative impact surrounding wildlife</t>
  </si>
  <si>
    <t>Negative public perception</t>
  </si>
  <si>
    <t>Reduced quality of place for local population</t>
  </si>
  <si>
    <r>
      <rPr>
        <b/>
        <i/>
        <sz val="11"/>
        <color theme="1"/>
        <rFont val="Aptos"/>
        <family val="2"/>
      </rPr>
      <t>Value application:</t>
    </r>
    <r>
      <rPr>
        <sz val="11"/>
        <color theme="1"/>
        <rFont val="Aptos"/>
        <family val="2"/>
      </rPr>
      <t xml:space="preserve">
- If there is any anticipated health and safety or safety and security impact of reservoir act non-compliance, please use the health and safety (44) service measure to capture it.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</si>
  <si>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 xml:space="preserve">Health and wellbeing </t>
  </si>
  <si>
    <t>Negative impact on health and wellbeing of local population</t>
  </si>
  <si>
    <t>Greater exposure to accidents and injuries</t>
  </si>
  <si>
    <t>Internal Sewer Flooding</t>
  </si>
  <si>
    <r>
      <rPr>
        <b/>
        <i/>
        <sz val="11"/>
        <color theme="1"/>
        <rFont val="Aptos"/>
        <family val="2"/>
      </rPr>
      <t>To avoid double counting:</t>
    </r>
    <r>
      <rPr>
        <i/>
        <sz val="11"/>
        <color theme="1"/>
        <rFont val="Aptos"/>
        <family val="2"/>
      </rPr>
      <t xml:space="preserve">
</t>
    </r>
    <r>
      <rPr>
        <sz val="11"/>
        <color theme="1"/>
        <rFont val="Aptos"/>
        <family val="2"/>
      </rPr>
      <t>- The SuDS impact categories of Habitat Impact (incl. biodiversity) (30) should not be used with internal or external sewer flooding service measures as these both capture water regulation and mental health values.</t>
    </r>
    <r>
      <rPr>
        <i/>
        <sz val="11"/>
        <color theme="1"/>
        <rFont val="Aptos"/>
        <family val="2"/>
      </rPr>
      <t xml:space="preserve">
</t>
    </r>
    <r>
      <rPr>
        <b/>
        <i/>
        <sz val="11"/>
        <color theme="1"/>
        <rFont val="Aptos"/>
        <family val="2"/>
      </rPr>
      <t>Value application:</t>
    </r>
    <r>
      <rPr>
        <sz val="11"/>
        <color theme="1"/>
        <rFont val="Aptos"/>
        <family val="2"/>
      </rPr>
      <t xml:space="preserve">
- Before application, the appraisal period should be updated in COMPANY INPUT to make sure carbon values are correct (for the GHG value metric).</t>
    </r>
    <r>
      <rPr>
        <i/>
        <sz val="11"/>
        <color theme="1"/>
        <rFont val="Aptos"/>
        <family val="2"/>
      </rPr>
      <t xml:space="preserve">
</t>
    </r>
    <r>
      <rPr>
        <sz val="11"/>
        <color theme="1"/>
        <rFont val="Aptos"/>
        <family val="2"/>
      </rPr>
      <t xml:space="preserve">- Quality of place / Local economy valuations use Ofwat's Collaborative Customer Research (source ID 16). For the overall CVF, we have used the Ofwat Collaborative Customer Research values over triangulating company-specific Willingness to Pay values to promote consistency between companies. If you have access to WTP research relevant to your own customer base that covers this service measure, those values may be substituted in. Please provide documentation and valuation sources for auditability and share learning back to the sector.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</si>
  <si>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Local Economy</t>
  </si>
  <si>
    <t>Health and Wellbeing</t>
  </si>
  <si>
    <t>Increased greenhouse gas emissions</t>
  </si>
  <si>
    <t>EA (2020) Carbonomics report</t>
  </si>
  <si>
    <t>kgCO2e</t>
  </si>
  <si>
    <t>Used MCM and Carbonomics values to determine tCO2e from damage to residential properties as a result of flood events. The FCERM carbon impacts tool (link below) is the development of this study but as the conversion rates are from damage values to carbon the Carbonomics study is the most appropriate for our valuation. We have used the carbon damage value for a short duration major flood storm with no warning to a depth of 30cm for residential sector average.
https://www.gov.uk/government/publications/fcerm-carbon-impacts-tool</t>
  </si>
  <si>
    <t>Hydraulic/FOC - Internal flooding of residential living space</t>
  </si>
  <si>
    <t>2020 prices</t>
  </si>
  <si>
    <t>For information - MCM property types</t>
  </si>
  <si>
    <t>MCM code</t>
  </si>
  <si>
    <t>Property Type</t>
  </si>
  <si>
    <t>Residential Sector Average</t>
  </si>
  <si>
    <t>Detached</t>
  </si>
  <si>
    <t>Semi-detached</t>
  </si>
  <si>
    <t>Terrace</t>
  </si>
  <si>
    <t>Bungalow</t>
  </si>
  <si>
    <t>Flat</t>
  </si>
  <si>
    <t>£ per property</t>
  </si>
  <si>
    <t>Abatement cost</t>
  </si>
  <si>
    <t>14-01</t>
  </si>
  <si>
    <t>14-02</t>
  </si>
  <si>
    <t>Reputational damage from sewer flooding</t>
  </si>
  <si>
    <t>Reduced perception of quality of place</t>
  </si>
  <si>
    <t>PJM Economics (2023) Collaborative ODI Research Final Survey Values Report</t>
  </si>
  <si>
    <t>WTA (£ per incident)</t>
  </si>
  <si>
    <t>"The relative impact for all 26 service incidents were obtained via an econometric analysis of responses to the impact stated preference exercise." "The valuation estimates for the 26 service incidents were obtained by combining the results from the compensation exercise and the impact exercise." "The confidence ranges around valuations were relatively narrow for households. For nonhouseholds, the confidence ranges were slightly wider, reflecting a substantially smaller sample size of the non-household survey in comparison to the household survey."
Study does not distinguish between Hydraulic and FOC. Under the assumption that hydraulic sewer flooding is more likely be repeated when compared to FOC, the lower value of the range will be used for FOC and the higher value for hydraulic.</t>
  </si>
  <si>
    <t>WTA (£ per incident), lower CI bound</t>
  </si>
  <si>
    <t>14-03</t>
  </si>
  <si>
    <t>14-04</t>
  </si>
  <si>
    <t xml:space="preserve">Interruptions to business output </t>
  </si>
  <si>
    <t xml:space="preserve">"The relative impact for all 26 service incidents were obtained via an econometric analysis of responses to the impact stated preference exercise." "The valuation estimates for the 26 service incidents were obtained by combining the results from the compensation exercise and the impact exercise." "The confidence ranges around valuations were relatively narrow for households. For nonhouseholds, the confidence ranges were slightly wider, reflecting a substantially smaller sample size of the non-household survey in comparison to the household survey."
Study does not distinguish between Hydraulic and FOC. Under the assumption that hydraulic sewer flooding is more likely be repeated when compared to FOC, the lower value of the range will be used for FOC and the higher value for hydraulic. </t>
  </si>
  <si>
    <t>Reduction of business output</t>
  </si>
  <si>
    <t>Uses Ofwat's collaborative customer research</t>
  </si>
  <si>
    <t>14-05</t>
  </si>
  <si>
    <t>14-06</t>
  </si>
  <si>
    <t>14-07</t>
  </si>
  <si>
    <t>14-08</t>
  </si>
  <si>
    <t>EA (2021) Mental health costs of flooding and erosion</t>
  </si>
  <si>
    <t>FCERM Appraisal Guidance</t>
  </si>
  <si>
    <t>£ per adult per flood event</t>
  </si>
  <si>
    <t xml:space="preserve">The mental health costs of flooding from increases in anxiety, depression and PTSD. This includes the cost of treatment, loss of employment, co-morbidity, the proportion of people seeking treatment and the assumption that mental health effects will last on average two years after each flood
</t>
  </si>
  <si>
    <t>Average number of adults per property UK</t>
  </si>
  <si>
    <t>Note</t>
  </si>
  <si>
    <t>£ per Mental health costs per adult - 0-30cm flood depth</t>
  </si>
  <si>
    <r>
      <t>To account for a greater probability of reoccurrence for hydraulic flooding compared to FOC, a mark up is applied to the final calculated value. The estimated difference between hydraulic and FOC flooding for value option 2, using WTP data from</t>
    </r>
    <r>
      <rPr>
        <i/>
        <sz val="11"/>
        <color theme="1"/>
        <rFont val="Aptos"/>
        <family val="2"/>
      </rPr>
      <t xml:space="preserve"> 'Ofwat (2023) PR24: Using collaborative customer research to set outcome delivery incentive rates'</t>
    </r>
    <r>
      <rPr>
        <sz val="11"/>
        <color theme="1"/>
        <rFont val="Aptos"/>
        <family val="2"/>
      </rPr>
      <t xml:space="preserve"> has been used to calculate a ratio. This has been applied as mark up rather than a mark down as the original study is in an FCERM context will be using frequencies which align more closely with FOC.</t>
    </r>
  </si>
  <si>
    <t>Average of number of adults per property</t>
  </si>
  <si>
    <t>£ per Mental health costs per adult - 0-30cm flood depth per household (FOC)</t>
  </si>
  <si>
    <t>Hydraulic/FOC Mark up (Ratio)</t>
  </si>
  <si>
    <t>£ per Mental health costs per adult - 0-30cm flood depth per household (Hydraulic)</t>
  </si>
  <si>
    <t>Value option 4</t>
  </si>
  <si>
    <t>14-09</t>
  </si>
  <si>
    <t>14-10</t>
  </si>
  <si>
    <t>External Sewer Flooding</t>
  </si>
  <si>
    <t>Hydraulic - External flooding of residential living space</t>
  </si>
  <si>
    <t>Used MCM and Carbonomics values to determine tCO2e from damage to residential properties as a result of flood events. The FCERM carbon impacts tool (link below) is the development of this study but as the conversion rates are from damage values to carbon the Carbonomics study is the most appropriate for our evaluation. This is for a short duration major flood storm with no warning to a depth of -30cm for residential sector average. Assumed that external flooding relates to areas below a property threshold i.e. 0m. Therefore, assumed that -0.3m relates to external property flooding. https://www.gov.uk/government/publications/fcerm-carbon-impacts-tool</t>
  </si>
  <si>
    <t>FOC - External flooding of residential living space</t>
  </si>
  <si>
    <t>Hydraulic/FOC - External flooding of residential living space</t>
  </si>
  <si>
    <t>£ / property</t>
  </si>
  <si>
    <t>15-01</t>
  </si>
  <si>
    <t>15-02</t>
  </si>
  <si>
    <t xml:space="preserve">"The relative impact for all 26 service incidents were obtained via an econometric analysis of responses to the impact stated preference exercise." "The valuation estimates for the 26 service incidents were obtained by combining the results from the compensation exercise and the impact exercise." "The confidence ranges around valuations were relatively narrow for households. For nonhouseholds, the confidence ranges were slightly wider, reflecting a substantially smaller sample size of the non-household survey in comparison to the household survey."
Study does not distinguish between Hydraulic and FOC. Study does not distinguish between Hydraulic and FOC. Under the assumption that hydraulic sewer flooding is more likely be repeated when compared to FOC, the lower value of the range will be used for FOC and the higher value for hydraulic. </t>
  </si>
  <si>
    <t>15-03</t>
  </si>
  <si>
    <t>15-04</t>
  </si>
  <si>
    <t>"The relative impact for all 26 service incidents were obtained via an econometric analysis of responses to the impact stated preference exercise." "The valuation estimates for the 26 service incidents were obtained by combining the results from the compensation exercise and the impact exercise." "The confidence ranges around valuations were relatively narrow for households. For nonhouseholds, the confidence ranges were slightly wider, reflecting a substantially smaller sample size of the non-household survey in comparison to the household survey."
Study does not distinguish between Hydraulic and FOC. Study does not distinguish between Hydraulic and FOC. Under the assumption that hydraulic sewer flooding is more likely be repeated when compared to FOC, the lower value of the range will be used for FOC and the higher value for hydraulic. In the absence of the actual lower range figure for FOC, a value has been estimated using the red lines on the figure below.</t>
  </si>
  <si>
    <t>15-05</t>
  </si>
  <si>
    <t>15-06</t>
  </si>
  <si>
    <t>15-07</t>
  </si>
  <si>
    <t>15-08</t>
  </si>
  <si>
    <t>EA Mental health costs of flooding and erosion (2021)</t>
  </si>
  <si>
    <t>£ of wellbeing damages per household per external sewer flooding</t>
  </si>
  <si>
    <t>The aggregated wellbeing value per incident can be interpreted as an estimate of the total sum across households of the willingness to pay to avoid one incident based on the experiences of "Anglian Water customers who reside in neighbourhoods that are affected by the incidents. The wellbeing value per incident per property can be interpreted as an average estimate of a typical properties’ willingness to pay to avoid an incident of a given type."</t>
  </si>
  <si>
    <t>£ Mental health costs - 0-30cm flood depth per household</t>
  </si>
  <si>
    <t>Due to a data gap for external flooding, the internal flooding data has been amended using the ratio between internal and external sewer flooding. Additionally, to account for a greater probability of reoccurrence for hydraulic flooding compared to FOC, a mark up is applied to the final calculated value. The estimated difference between hydraulic and FOC flooding for value option 2, using WTP data from 'Ofwat (2023) PR24: Using collaborative customer research to set outcome delivery incentive rates' has been used to calculate a ratio. This has been applied as mark up rather than a mark down as the original study is in an FCERM context will be using frequencies which align more closely with FOC.</t>
  </si>
  <si>
    <t>£ external flooding of residential properties (FOC)</t>
  </si>
  <si>
    <t>£ external flooding of residential properties (Hydraulic)</t>
  </si>
  <si>
    <t>15-09</t>
  </si>
  <si>
    <t>15-10</t>
  </si>
  <si>
    <r>
      <rPr>
        <b/>
        <i/>
        <sz val="11"/>
        <color theme="1"/>
        <rFont val="Aptos"/>
        <family val="2"/>
      </rPr>
      <t>To avoid double counting:</t>
    </r>
    <r>
      <rPr>
        <i/>
        <sz val="11"/>
        <color theme="1"/>
        <rFont val="Aptos"/>
        <family val="2"/>
      </rPr>
      <t xml:space="preserve">
</t>
    </r>
    <r>
      <rPr>
        <sz val="11"/>
        <color theme="1"/>
        <rFont val="Aptos"/>
        <family val="2"/>
      </rPr>
      <t>- The SuDS impact categories of Habitat Impact (incl. biodiversity) (30) should not be used with internal or external surface water flooding service measures as these both capture water regulation and mental health values.</t>
    </r>
    <r>
      <rPr>
        <i/>
        <sz val="11"/>
        <color theme="1"/>
        <rFont val="Aptos"/>
        <family val="2"/>
      </rPr>
      <t xml:space="preserve">
</t>
    </r>
    <r>
      <rPr>
        <b/>
        <i/>
        <sz val="11"/>
        <color theme="1"/>
        <rFont val="Aptos"/>
        <family val="2"/>
      </rPr>
      <t>Value application:</t>
    </r>
    <r>
      <rPr>
        <sz val="11"/>
        <color theme="1"/>
        <rFont val="Aptos"/>
        <family val="2"/>
      </rPr>
      <t xml:space="preserve">
- Before application, the appraisal period should be updated in COMPANY INPUT to make sure carbon values are correct (for the GHG value metric).</t>
    </r>
    <r>
      <rPr>
        <i/>
        <sz val="11"/>
        <color theme="1"/>
        <rFont val="Aptos"/>
        <family val="2"/>
      </rPr>
      <t xml:space="preserve"> 
</t>
    </r>
    <r>
      <rPr>
        <b/>
        <i/>
        <sz val="11"/>
        <color theme="1"/>
        <rFont val="Aptos"/>
        <family val="2"/>
      </rPr>
      <t>Private costs:</t>
    </r>
    <r>
      <rPr>
        <i/>
        <sz val="11"/>
        <color theme="1"/>
        <rFont val="Aptos"/>
        <family val="2"/>
      </rPr>
      <t xml:space="preserve">
As with all relevant service measures, companies should calculate private costs separately and include them in assessments to create a full picture.</t>
    </r>
  </si>
  <si>
    <t>Increased GHG emissions following flood event</t>
  </si>
  <si>
    <t>UK wide</t>
  </si>
  <si>
    <t>kg CO2e</t>
  </si>
  <si>
    <t>Used MCM and Carbonomics values to determine kg CO2e from damage to residential properties as a result of flood events. No other available values have been found. 
This is for a short duration major flood storm with no warning to a depth of 30cm for residential sector average.</t>
  </si>
  <si>
    <t>EA (2020)</t>
  </si>
  <si>
    <t xml:space="preserve">£2020 price - average of central values over selected appraisal period. See GHG valuations tab in supporting information for more detail on how this was calculated. </t>
  </si>
  <si>
    <t>40 / 58</t>
  </si>
  <si>
    <t>BEIS (2021) / DECC(2009)</t>
  </si>
  <si>
    <t>Input / calculation</t>
  </si>
  <si>
    <t>£ / property (2020 price)</t>
  </si>
  <si>
    <t>Uses UK-specific carbon values and recognised flood damage data</t>
  </si>
  <si>
    <t>16-1</t>
  </si>
  <si>
    <t>Internal Flooding (non-sewer) - surface water</t>
  </si>
  <si>
    <t>MCM (2024) MCM Simplified benefit: cost appraisal tool for flood risk management</t>
  </si>
  <si>
    <t xml:space="preserve">Generic national Weighted Annual Average Damage (WAAD) estimates for broader-scale, high-level scoping analysis. These are national average, per property, annual damage estimates and have been developed for residential properties across flood events with different probabilities and levels of flood warning service. 
Assumes a flood depth of up to 0.3m for a residential property. </t>
  </si>
  <si>
    <t>38</t>
  </si>
  <si>
    <t>MCM (2024)</t>
  </si>
  <si>
    <t>Anglian Water (2018) Valuation of the impact of roadworks and flooding using the wellbeing valuation method</t>
  </si>
  <si>
    <t>Anglian Water area</t>
  </si>
  <si>
    <t>"The relative impact for all 26 service incidents were obtained via an econometric analysis of responses to the impact stated preference exercise." "The valuation estimates for the 26 service incidents were obtained by combining the results from the compensation exercise and the impact exercise." "The confidence ranges around valuations were relatively narrow for households. For nonhouseholds, the confidence ranges were slightly wider, reflecting a substantially smaller sample size of the non-household survey in comparison to the household survey."</t>
  </si>
  <si>
    <t>Ofwat (2023)</t>
  </si>
  <si>
    <t>0.326 : 1</t>
  </si>
  <si>
    <t>Ratio of impacts of water flooding (internal) to internal sewer flooding</t>
  </si>
  <si>
    <t>Calculation of ratio: £54,312 : £166,549 = 0.326 : 1, see calculation below
Calculated from two valuations from Anglian study that produces both valuations for surface water flooding and internal sewer flooding. Most studies only address one type of flooding, as surface water and sewer flooding tend to be treated as part of distinct sub-sectors. Use of this singular source to produce a ratio allows for conversion between sewer flooding impacts and surface water flooding impacts.</t>
  </si>
  <si>
    <t>Anglian Water (2018)</t>
  </si>
  <si>
    <t>Anglian Water (2018):</t>
  </si>
  <si>
    <t>Calculation of ratio</t>
  </si>
  <si>
    <t>Water flooding (internal) wellbeing value per incident per affected property</t>
  </si>
  <si>
    <t>Internal sewer flooding wellbeing value per incident per affected property</t>
  </si>
  <si>
    <t>Ratio of surface water flooding (internal) to internal sewer flooding</t>
  </si>
  <si>
    <t>ratio to internal sewer flooding as 1</t>
  </si>
  <si>
    <t>Scaling of sewer flooding valuation</t>
  </si>
  <si>
    <t>Internal sewer flooding valuation</t>
  </si>
  <si>
    <t>Resulting internal surface water flooding valuation</t>
  </si>
  <si>
    <t>16-6</t>
  </si>
  <si>
    <t>16-2</t>
  </si>
  <si>
    <t>Statistical analysis of historical flood events</t>
  </si>
  <si>
    <t>These valuations are used in government economic analysis on flooding - funded by DEFRA and utilised by the Environment Agency. However they are not comparable to sewer flooding valuations so are not consistent</t>
  </si>
  <si>
    <t>WTA scaled</t>
  </si>
  <si>
    <t>Consistent with sewer flooding valuations and use of Ofwat study</t>
  </si>
  <si>
    <t>Disruption to businesses and public service</t>
  </si>
  <si>
    <t>MCM</t>
  </si>
  <si>
    <t>£/m2</t>
  </si>
  <si>
    <t xml:space="preserve">See below table from MCM. Assume a depth of 0.25m. </t>
  </si>
  <si>
    <t>Calculation - average floor space</t>
  </si>
  <si>
    <t>Type</t>
  </si>
  <si>
    <t>Values</t>
  </si>
  <si>
    <t>Assumptions</t>
  </si>
  <si>
    <t>Social infrastructure</t>
  </si>
  <si>
    <t>Rateable properties, 2019-20 (count)</t>
  </si>
  <si>
    <t>NDR stock of properties tables 2023 (Table SOP7.1 - Other sector - England and Wales)</t>
  </si>
  <si>
    <t>Used "other" to represent social infrastructure. "Other" includes assembly and leisure, education, health, hotels, guest and boarding, self-catering etc., non-residential institutions, offices, other retain, residential institutions, storage and distribution, transport and utilities. 
Used England and Wales data for calculations to create a national average floorspace.</t>
  </si>
  <si>
    <t xml:space="preserve">Valuation Office (2023) </t>
  </si>
  <si>
    <t>70/71</t>
  </si>
  <si>
    <t>Rateable floorspace, 2020 (m2)</t>
  </si>
  <si>
    <t>NDR business floorspace tables 2023, (Table FS5.1 - Other sector - England &amp; Wales)</t>
  </si>
  <si>
    <t>Average floor space</t>
  </si>
  <si>
    <t>m2/property</t>
  </si>
  <si>
    <t>Commercial and industrial</t>
  </si>
  <si>
    <t>NDR stock of properties tables 2023 (Table SOP4.1 - Retail - England &amp; Wales)</t>
  </si>
  <si>
    <t>Used "retail" to represent commercial and industrial properties.
Used England and Wales data for calculations to create a national average floorspace.</t>
  </si>
  <si>
    <t>NDR business floorspace tables 2023 (Table FS2.1 - Retail - England &amp; Wales)</t>
  </si>
  <si>
    <t>Impact</t>
  </si>
  <si>
    <t>Value (2024 price)</t>
  </si>
  <si>
    <t xml:space="preserve">Generic national Weighted Annual Average Damage (WAAD) estimates for broader-scale, high-level scoping analysis. These are national average, per property, annual damage estimates and have been developed for residential properties across flood events with different probabilities and levels of flood warning service. </t>
  </si>
  <si>
    <t xml:space="preserve">Assumes a flood depth of up to 0.25m for a non-residential property. </t>
  </si>
  <si>
    <t>MCM (2024) Multicoloured Manual - Chapter 5 - Additional Tables - Fluvial Depth/Damage curves - Short w. Cellar (no warning)</t>
  </si>
  <si>
    <t>Public buildings, flood depth 0.25m</t>
  </si>
  <si>
    <t>See calculation below for retail and industry buildings</t>
  </si>
  <si>
    <t>Calculation uses retail and industrial buildings from indicative damages below</t>
  </si>
  <si>
    <t xml:space="preserve"> Short Duration No Warning (With Cellar) - 2024-2025 Price base</t>
  </si>
  <si>
    <t xml:space="preserve">MCM Direct damage data (£ per square metre). Depth in metres (m) </t>
  </si>
  <si>
    <t>INDICATIVE</t>
  </si>
  <si>
    <t>NEW MCM CODE</t>
  </si>
  <si>
    <t>SECTOR TYPE</t>
  </si>
  <si>
    <t>Data Quality Score</t>
  </si>
  <si>
    <t>Retail</t>
  </si>
  <si>
    <t>Offices</t>
  </si>
  <si>
    <t>Warehouses</t>
  </si>
  <si>
    <t>Leisure and Sport</t>
  </si>
  <si>
    <t>NOT APPLICABLE - CONSTITUENT CATEGORIES TOO DIVERSE</t>
  </si>
  <si>
    <t xml:space="preserve">Leisure </t>
  </si>
  <si>
    <t>Sport</t>
  </si>
  <si>
    <t>Playing Field</t>
  </si>
  <si>
    <t>Sports Centre</t>
  </si>
  <si>
    <t>Marina</t>
  </si>
  <si>
    <t>Sports Stadium</t>
  </si>
  <si>
    <t>Public Buildings</t>
  </si>
  <si>
    <t>Industry</t>
  </si>
  <si>
    <t>Miscellaneous</t>
  </si>
  <si>
    <t>Car park</t>
  </si>
  <si>
    <t>SubStation</t>
  </si>
  <si>
    <t>NRP sector average</t>
  </si>
  <si>
    <t>Sector type (MCM)</t>
  </si>
  <si>
    <t>Property type (valuation office agency)</t>
  </si>
  <si>
    <t>England and Wales Rateable properties</t>
  </si>
  <si>
    <t>England and Wales floorspace (m2)</t>
  </si>
  <si>
    <t>Shops</t>
  </si>
  <si>
    <t>Valuation Office Agency (2023)</t>
  </si>
  <si>
    <t>Industrial</t>
  </si>
  <si>
    <t>Public buildings</t>
  </si>
  <si>
    <t>Other sector</t>
  </si>
  <si>
    <t>Sector type</t>
  </si>
  <si>
    <t>Damage (£/m2)</t>
  </si>
  <si>
    <t>Average floorspace (m2)</t>
  </si>
  <si>
    <t>Average damage (£)</t>
  </si>
  <si>
    <t>Weight</t>
  </si>
  <si>
    <t>Contribution</t>
  </si>
  <si>
    <t>Weighted average</t>
  </si>
  <si>
    <t>Value Option 6</t>
  </si>
  <si>
    <t>Internal flooding of properties</t>
  </si>
  <si>
    <t>Internal sewer flooding valuation (NHH)</t>
  </si>
  <si>
    <t>Resulting internal surface water flooding valuation (NHH)</t>
  </si>
  <si>
    <t>16-7</t>
  </si>
  <si>
    <t>16-8</t>
  </si>
  <si>
    <t>16-3</t>
  </si>
  <si>
    <t>16-4</t>
  </si>
  <si>
    <t>Health &amp; Wellbeing</t>
  </si>
  <si>
    <t xml:space="preserve"> Negative impact on mental health</t>
  </si>
  <si>
    <t>Value Option 7</t>
  </si>
  <si>
    <t>Environment Agency (2021) Mental health costs of flooding and erosion</t>
  </si>
  <si>
    <t>Mental health losses per adult per flood event, 0-30cm flooding (2018 price)</t>
  </si>
  <si>
    <t>2021 estimate</t>
  </si>
  <si>
    <t>Weight - households in England</t>
  </si>
  <si>
    <t>Weight - households in Wales</t>
  </si>
  <si>
    <t>Weighted average - adults per household in England and Wales</t>
  </si>
  <si>
    <t>Mental health losses per property per flood event (2018 price) England and Wales average</t>
  </si>
  <si>
    <t>Damage costs</t>
  </si>
  <si>
    <t xml:space="preserve">The EA value is selected as it is recommended for use by the UK government for calculating flood related damages. </t>
  </si>
  <si>
    <t>16-5</t>
  </si>
  <si>
    <r>
      <rPr>
        <b/>
        <i/>
        <sz val="11"/>
        <color theme="1"/>
        <rFont val="Aptos"/>
        <family val="2"/>
      </rPr>
      <t>To avoid double counting:</t>
    </r>
    <r>
      <rPr>
        <i/>
        <sz val="11"/>
        <color theme="1"/>
        <rFont val="Aptos"/>
        <family val="2"/>
      </rPr>
      <t xml:space="preserve">
</t>
    </r>
    <r>
      <rPr>
        <sz val="11"/>
        <color theme="1"/>
        <rFont val="Aptos"/>
        <family val="2"/>
      </rPr>
      <t>- The SuDS impact categories of Habitat Impact (incl. biodiversity) (30) should not be used with internal or external surface water flooding service measures as these both capture water regulation and mental health values.</t>
    </r>
    <r>
      <rPr>
        <i/>
        <sz val="11"/>
        <color theme="1"/>
        <rFont val="Aptos"/>
        <family val="2"/>
      </rPr>
      <t xml:space="preserve">
</t>
    </r>
    <r>
      <rPr>
        <b/>
        <i/>
        <sz val="11"/>
        <color theme="1"/>
        <rFont val="Aptos"/>
        <family val="2"/>
      </rPr>
      <t>Value application:</t>
    </r>
    <r>
      <rPr>
        <sz val="11"/>
        <color theme="1"/>
        <rFont val="Aptos"/>
        <family val="2"/>
      </rPr>
      <t xml:space="preserve">
- Before application, the appraisal period should be updated in COMPANY INPUT to make sure carbon values are correct (for the GHG value metric).</t>
    </r>
    <r>
      <rPr>
        <i/>
        <sz val="11"/>
        <color theme="1"/>
        <rFont val="Aptos"/>
        <family val="2"/>
      </rPr>
      <t xml:space="preserve"> 
</t>
    </r>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</si>
  <si>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 xml:space="preserve">Value metric </t>
  </si>
  <si>
    <t>Used MCM and Carbonomics values to determine tCO2e from damage to residential properties as a result of flood events. No other available values have been found. 
This is for a short duration major flood storm with no warning to a depth of -30cm for residential sector average. Assumed that external flooding relates to areas below a property threshold i.e. 0m. Therefore, assumed that -0.3m relates to external property flooding.</t>
  </si>
  <si>
    <t>17-1</t>
  </si>
  <si>
    <t>External Flooding (non-sewer) - surface water</t>
  </si>
  <si>
    <t>Generic national Weighted Annual Average Damage (WAAD) estimates for broader-scale, high-level scoping analysis. These are national average, per property, annual damage estimates and have been developed for residential properties across flood events with different probabilities and levels of flood warning service. 
Assumed that external flooding relates to areas below a property threshold i.e. 0m. Therefore, assumed that -0.3m relates to external property flooding.</t>
  </si>
  <si>
    <t>Calculation of ratio: £54,312 : £166,549 = 0.326 : 1, see calculation below
Calculated from two valuations from Anglian study that produces both valuations for surface water flooding and internal sewer flooding. Most studies only address one type of flooding, as surface water and sewer flooding tend to be treated as part of distinct sub-sectors. Use of this singular source to produce a ratio allows for conversion between sewer flooding impacts and surface water flooding impacts.
The ratio here is derived from internal flooding valuations. We apply these to external flooding in the absence of other data.</t>
  </si>
  <si>
    <t>External sewer flooding valuation</t>
  </si>
  <si>
    <t>Resulting external surface water flooding valuation</t>
  </si>
  <si>
    <t>17-6</t>
  </si>
  <si>
    <t>17-2</t>
  </si>
  <si>
    <t xml:space="preserve">See below table from MCM. Assume a depth of -0.25m. </t>
  </si>
  <si>
    <t>Assumed that external flooding relates to areas below a property threshold i.e. 0m. Therefore, assumed that -0.25m relates to external property flooding.</t>
  </si>
  <si>
    <t xml:space="preserve">Assumes a flood depth of -0.25m for a non-residential property. </t>
  </si>
  <si>
    <t>External flooding of properties</t>
  </si>
  <si>
    <t>External sewer flooding valuation (NHH)</t>
  </si>
  <si>
    <t>Resulting external surface water flooding valuation (NHH)</t>
  </si>
  <si>
    <t>17-7</t>
  </si>
  <si>
    <t>17-8</t>
  </si>
  <si>
    <t>17-3</t>
  </si>
  <si>
    <t>17-4</t>
  </si>
  <si>
    <t>EA (2021)</t>
  </si>
  <si>
    <t>£ per incident per affected property</t>
  </si>
  <si>
    <t>Internal sewer flooding (residential)</t>
  </si>
  <si>
    <t>Scaling internal to external flooding</t>
  </si>
  <si>
    <t>Scale effect of internal flooding on mental health to value for external flooding</t>
  </si>
  <si>
    <t>Damage cost</t>
  </si>
  <si>
    <t>17-5</t>
  </si>
  <si>
    <r>
      <rPr>
        <b/>
        <i/>
        <sz val="11"/>
        <color theme="1"/>
        <rFont val="Aptos"/>
        <family val="2"/>
      </rPr>
      <t>Value application:</t>
    </r>
    <r>
      <rPr>
        <sz val="11"/>
        <color theme="1"/>
        <rFont val="Aptos"/>
        <family val="2"/>
      </rPr>
      <t xml:space="preserve">
- If impact on river or other water bodies water quality is expected, please use the Quality of the water environment SM (27). The Quality of the water environment SM includes impact on recreation, biodiversity, and quality of place as a result of a change in river or other water bodies water quality. Therefore, please do not use the Recreation SM (38) in conjunction to avoid double counting. 
</t>
    </r>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</si>
  <si>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Water Quality</t>
  </si>
  <si>
    <t>Water quality, recreation, biodiversity, quality of place, health and wellbeing</t>
  </si>
  <si>
    <t>Reduction in water quality</t>
  </si>
  <si>
    <t>Obstruction to recreation</t>
  </si>
  <si>
    <t>Reduced biodiversity</t>
  </si>
  <si>
    <t>Negative impact on health and wellbeing</t>
  </si>
  <si>
    <t>Reduction is water quality</t>
  </si>
  <si>
    <t>To be measured through SM Quality of the water environment</t>
  </si>
  <si>
    <t>Private costs, trust</t>
  </si>
  <si>
    <t>Cost of failure</t>
  </si>
  <si>
    <t>Reputational damage</t>
  </si>
  <si>
    <t>Final Effluent Compliance</t>
  </si>
  <si>
    <r>
      <rPr>
        <b/>
        <i/>
        <sz val="11"/>
        <color theme="1"/>
        <rFont val="Aptos"/>
        <family val="2"/>
      </rPr>
      <t>Value application:</t>
    </r>
    <r>
      <rPr>
        <i/>
        <sz val="11"/>
        <color theme="1"/>
        <rFont val="Aptos"/>
        <family val="2"/>
      </rPr>
      <t xml:space="preserve">
</t>
    </r>
    <r>
      <rPr>
        <sz val="11"/>
        <color theme="1"/>
        <rFont val="Aptos"/>
        <family val="2"/>
      </rPr>
      <t xml:space="preserve">- If impact on river or other water bodies water quality is expected, please use the Quality of the water environment SM (27). The Quality of the water environment SM includes impact on recreation, biodiversity, and quality of place as a result of a change in river or other water bodies water quality. Therefore, please do not use the Recreation SM (38) in conjunction to avoid double counting. </t>
    </r>
    <r>
      <rPr>
        <i/>
        <sz val="11"/>
        <color theme="1"/>
        <rFont val="Aptos"/>
        <family val="2"/>
      </rPr>
      <t xml:space="preserve">
</t>
    </r>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</si>
  <si>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Intermittent discharge consent compliance (Spills)</t>
  </si>
  <si>
    <r>
      <rPr>
        <b/>
        <i/>
        <sz val="11"/>
        <color theme="1"/>
        <rFont val="Aptos"/>
        <family val="2"/>
      </rPr>
      <t>Value application</t>
    </r>
    <r>
      <rPr>
        <i/>
        <sz val="11"/>
        <color theme="1"/>
        <rFont val="Aptos"/>
        <family val="2"/>
      </rPr>
      <t xml:space="preserve">
</t>
    </r>
    <r>
      <rPr>
        <sz val="11"/>
        <color theme="1"/>
        <rFont val="Aptos"/>
        <family val="2"/>
      </rPr>
      <t xml:space="preserve">- There is a universal private benefits valuation provided, based on literature. If a company has private costs calculated separately these can be used as overrides.
- Before application, the appraisal period should be updated in COMPANY INPUT to make sure carbon values are correct.
</t>
    </r>
    <r>
      <rPr>
        <b/>
        <i/>
        <sz val="11"/>
        <color theme="1"/>
        <rFont val="Aptos"/>
        <family val="2"/>
      </rPr>
      <t>To avoid double counting:</t>
    </r>
    <r>
      <rPr>
        <sz val="11"/>
        <color theme="1"/>
        <rFont val="Aptos"/>
        <family val="2"/>
      </rPr>
      <t xml:space="preserve">
- Valuations for the soil value metric are not provided to avoid double counting with Sludge disposal (e.g. landfill, incineration, land) (24) service measure.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</si>
  <si>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Private benefit</t>
  </si>
  <si>
    <t>Export of energy to the grid</t>
  </si>
  <si>
    <t>DESNZ (2024) Prices of fuels purchased by non-domestic consumers in the UK</t>
  </si>
  <si>
    <t>Mukawa et al (2022) Energy Potential of Biogas from Sewage Sludge after Thermal Hydrolysis and Digestion</t>
  </si>
  <si>
    <t>Poland</t>
  </si>
  <si>
    <t>Tarnow</t>
  </si>
  <si>
    <t>Utility Week (2021) Anglian spreads the word on its yield-boosting AD technology</t>
  </si>
  <si>
    <t>Re-treatment through AD, AAD</t>
  </si>
  <si>
    <t>Tonnes dry solids (TDS)</t>
  </si>
  <si>
    <t>Amount of sewage sludge processed in study</t>
  </si>
  <si>
    <t>Nm3 biogas</t>
  </si>
  <si>
    <t>Yield of biogas from sewage sludge</t>
  </si>
  <si>
    <t>GJ</t>
  </si>
  <si>
    <t>Energy potential of the biogas produced</t>
  </si>
  <si>
    <t>p/kWh</t>
  </si>
  <si>
    <t>Prices of fuels purchased by non-domestic consumers in the UK, including Climate Change Levy, annual price, table 3.4.2 (Annual inc CCL). Value for Electricity: Large business, 2023</t>
  </si>
  <si>
    <t>%</t>
  </si>
  <si>
    <t>Increase in gas yields, AAD vs AD (AAD higher)</t>
  </si>
  <si>
    <t>AD or AAD</t>
  </si>
  <si>
    <t>Comment</t>
  </si>
  <si>
    <t>Energy produced per dry tonne of sewage sludge</t>
  </si>
  <si>
    <t>GJ/tds</t>
  </si>
  <si>
    <t>AAD</t>
  </si>
  <si>
    <t>kWh/tds</t>
  </si>
  <si>
    <t>Conversion from gigajoules to kilowatt-hours: 1GJ = 277.778kWh</t>
  </si>
  <si>
    <t>Potential revenue from exporting energy to the national grid</t>
  </si>
  <si>
    <t>p/tds</t>
  </si>
  <si>
    <t>£/tds</t>
  </si>
  <si>
    <t>AD</t>
  </si>
  <si>
    <t>AAD has 12.5% increase in gas yields</t>
  </si>
  <si>
    <t>Theodoulou et al (undated) Sludge Hydrolysis: Comparing Performance Of Biological &amp; Thermal Advanced Digestion Full Scale Facilities</t>
  </si>
  <si>
    <t>undated</t>
  </si>
  <si>
    <t>0.65-0.86</t>
  </si>
  <si>
    <t>MWh/tds</t>
  </si>
  <si>
    <t>Electricity output, advanced digestion by biological hydrolysis</t>
  </si>
  <si>
    <t>0.55-0.63</t>
  </si>
  <si>
    <t>Electricity output, advanced digestion by thermal hydrolysis</t>
  </si>
  <si>
    <t>Average electricity output from advanced anaerobic digestion methods</t>
  </si>
  <si>
    <t>Average of minimum electricity output from thermal hydrolysis and maximum output from biological hydrolysis</t>
  </si>
  <si>
    <t>Increase in air pollution from gas being flared but not generating energy and from baseline grid power which needs to be used by the company instead of the power generated from bioresources</t>
  </si>
  <si>
    <r>
      <rPr>
        <b/>
        <sz val="11"/>
        <color theme="1"/>
        <rFont val="Aptos"/>
        <family val="2"/>
      </rPr>
      <t>Guidance on this valuation:</t>
    </r>
    <r>
      <rPr>
        <sz val="11"/>
        <color theme="1"/>
        <rFont val="Aptos"/>
        <family val="2"/>
      </rPr>
      <t xml:space="preserve">
Due to the complexity of assessing air pollution from sludge treatment and the multiple components affecting CHP generation and loss of generation, we were unable to determine a valuation for this impact category outcome, as it was not possible to align values from varied sources in a meaningful way. The known sources that could be used in such a calculation are provided below for reference or future use. The valuation is given as a literature gap.</t>
    </r>
  </si>
  <si>
    <t>DEFRA (2023) Air quality appraisal: damage cost guidance</t>
  </si>
  <si>
    <t>UK average</t>
  </si>
  <si>
    <t>Not available</t>
  </si>
  <si>
    <t>Giwa et al (2017) Gas flaring attendant impacts of criteria and particulate pollutants: A case of Niger Delta region of Nigeria</t>
  </si>
  <si>
    <t>Nigeria</t>
  </si>
  <si>
    <t>Niger Delta</t>
  </si>
  <si>
    <t>NAEI (2024) Emissions from point sources 2022</t>
  </si>
  <si>
    <t>Statista (2024) Annual electricity production in the UK from 2000 to 2022.</t>
  </si>
  <si>
    <t>Increased GHG emissions</t>
  </si>
  <si>
    <t>IRENA (unknown) Avoided emissions calculator</t>
  </si>
  <si>
    <t>Global</t>
  </si>
  <si>
    <t>Retreatment through AD, AAD</t>
  </si>
  <si>
    <t>GWh</t>
  </si>
  <si>
    <t>Electricity generated from renewables (bioenergy). Green bar, see image below</t>
  </si>
  <si>
    <t>Avoided emissions from using bioenergy. See image below</t>
  </si>
  <si>
    <t>See value option 1</t>
  </si>
  <si>
    <t>Energy generated from renewables</t>
  </si>
  <si>
    <t>kWh</t>
  </si>
  <si>
    <t>Avoided emissions</t>
  </si>
  <si>
    <t>tCO2e/kWh</t>
  </si>
  <si>
    <t>Energy produced from biogas</t>
  </si>
  <si>
    <t>Conversion from GJ to kWh: multiply by 277.778</t>
  </si>
  <si>
    <t>Energy produced from biogas per tonnes dry solid</t>
  </si>
  <si>
    <t>kWh/TDS</t>
  </si>
  <si>
    <t>Avoided emissions (tonnes CO2e per TDS)</t>
  </si>
  <si>
    <t>tCO2e/TDS</t>
  </si>
  <si>
    <t>For impact categories 'Retreatment through AD/AAD'</t>
  </si>
  <si>
    <t>Avoided emissions (tonnes CO2e per gWh)</t>
  </si>
  <si>
    <t>tCO2e/gWh</t>
  </si>
  <si>
    <t>For impact category 'Loss of generation'</t>
  </si>
  <si>
    <t>Conversion to £/TDS or £/gWh</t>
  </si>
  <si>
    <t>£/TDS</t>
  </si>
  <si>
    <t>These will be negative as they are benefits, due to the emissions being avoided through biogas energy generation</t>
  </si>
  <si>
    <t>£/gWh</t>
  </si>
  <si>
    <t>This would be a benefit, except the impact category is 'loss of generation' therefore those emissions are incurred from non-renewable energy, so the value is a disbenefit</t>
  </si>
  <si>
    <t>Energy price</t>
  </si>
  <si>
    <t>Source selected for consistency so we can use the volume of gas value for other calculations</t>
  </si>
  <si>
    <t>Damage cost avoided</t>
  </si>
  <si>
    <t>Best source available</t>
  </si>
  <si>
    <t>23-1</t>
  </si>
  <si>
    <t>23-2</t>
  </si>
  <si>
    <t>23-3</t>
  </si>
  <si>
    <t>Source discounted as another source is more preferable for consistency</t>
  </si>
  <si>
    <t>23-4</t>
  </si>
  <si>
    <t>23-5</t>
  </si>
  <si>
    <t>23-6</t>
  </si>
  <si>
    <t>23-7</t>
  </si>
  <si>
    <r>
      <rPr>
        <b/>
        <i/>
        <sz val="11"/>
        <color theme="1"/>
        <rFont val="Aptos"/>
        <family val="2"/>
      </rPr>
      <t>Value application</t>
    </r>
    <r>
      <rPr>
        <i/>
        <sz val="11"/>
        <color theme="1"/>
        <rFont val="Aptos"/>
        <family val="2"/>
      </rPr>
      <t xml:space="preserve">
</t>
    </r>
    <r>
      <rPr>
        <sz val="11"/>
        <color theme="1"/>
        <rFont val="Aptos"/>
        <family val="2"/>
      </rPr>
      <t>- There is a universal private costs valuation provided, based on literature. If a company has private costs calculated separately these can be used as overrides.
- Before application, the appraisal period should be updated in COMPANY INPUT to make sure carbon values are correct.</t>
    </r>
    <r>
      <rPr>
        <i/>
        <sz val="11"/>
        <color theme="1"/>
        <rFont val="Aptos"/>
        <family val="2"/>
      </rPr>
      <t xml:space="preserve">
</t>
    </r>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</si>
  <si>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Waste disposal costs to company</t>
  </si>
  <si>
    <t>WRAP (2024) Gate Fees Report 2023/24</t>
  </si>
  <si>
    <t>Mean gate fee for non-hazardous landfill, excluding landfill tax, reported by local authorities 2023/24. Cost per tonne of material that is sent to non-hazardous landfill. The source notes that "11 gate fees were identified as being outliers or related to waste inputs lower than 1000 tonnes per annum and were therefore removed from the dataset. As a result the number of gate fee responses is low, and results should be treated with caution. "</t>
  </si>
  <si>
    <t>Mean gate fee for energy from waste facilities for residual waste excluding bulky waste containing persistent organic pollutants (POPs), 2023/24, cost per tonne.</t>
  </si>
  <si>
    <t>Tarpani &amp; Azapagic (2018) Life cycle costs of advanced treatment techniques for wastewater reuse and resource recovery from sewage sludge</t>
  </si>
  <si>
    <t>Cost of waste disposal and transport for waste to landfill (inert)</t>
  </si>
  <si>
    <t>This study is an analysis of life-cycle costs for different treatment and use options for sludge. The costs of waste management (WMC) include landfilling and incineration of waste and they are shown in Table 8, together with the transportation costs (TC), which include transport of materials, chemicals and wastes; transport of recovered resources to the point of sale is excluded. The infrastructure for heat and electricity distribution is also excluded as that is already in existence regardless of sludge treatment. 
Values taken from a WRAP study published in 2013 on the cost of alternative waste treatment options. 
We have not chosen this source as it is older and does not align as closely.</t>
  </si>
  <si>
    <t>Cost of waste disposal and transport for waste to landfill (sanitary)</t>
  </si>
  <si>
    <t>Cost of waste disposal and transport for waste to landfill (hazardous)</t>
  </si>
  <si>
    <t>Cost of waste disposal and transport to incineration</t>
  </si>
  <si>
    <t>Increased spend on chemical fertilisers due to sludge sent to other sources</t>
  </si>
  <si>
    <t>AHDB (2023) Nutrient Management Guide (RB209) Section 2 Organic Materials</t>
  </si>
  <si>
    <t>AHDB (2025) GB Fertiliser Prices</t>
  </si>
  <si>
    <t>AHDB (2023) Nutrient Management Guide (RB209) Section 1 Principles of nutrient management</t>
  </si>
  <si>
    <t>Sludge sent to landfill, restoration, incineration</t>
  </si>
  <si>
    <t>Dry matter %</t>
  </si>
  <si>
    <t>Digested cake, dry matter %, for nitrogen, phosphate, potash, sulphur and magnesium. Source: tables 2.14 and 2.16, Section 2 Organic materials</t>
  </si>
  <si>
    <t>kg/tonne</t>
  </si>
  <si>
    <t>Total nitrogen (N), fresh-weight basis, typical total nitrogen content of biosolids in digested cake. Source: table 2.14, Section 2 Organic materials</t>
  </si>
  <si>
    <t>Total phosphate (P2O5), fresh-weight basis, typical total phosphate content of biosolids in digested cake. Source: table 2.16, Section 2 Organic materials</t>
  </si>
  <si>
    <t>Total potash (K2O), fresh-weight basis, typical total potash content of biosolids in digested cake. Source: table 2.16, Section 2 Organic materials</t>
  </si>
  <si>
    <t>% nutrient content</t>
  </si>
  <si>
    <t>Midpoint value for typical % nutrient content N, ammonium nitrate fertilisers. Source: p38, Section 1 Principles of nutrient management</t>
  </si>
  <si>
    <t>Midpoint value for typical % nutrient content P2O5, TSP fertilisers. Source: p38, Section 1 Principles of nutrient management</t>
  </si>
  <si>
    <t>Value for typical % nutrient content K2O, MOP fertilisers. Source: p38, Section 1 Principles of nutrient management</t>
  </si>
  <si>
    <t>Average market price of UK ammonium nitrate, Feb 24 to Jan 25, 2024 prices</t>
  </si>
  <si>
    <t>Average market price of muriate of potash (MOP), Feb 24 to Jan 25, 2024 prices</t>
  </si>
  <si>
    <t>Average market price of triple super phosphate (TSP), Feb 24 to Jan 25, 2024 prices</t>
  </si>
  <si>
    <t>GB fertiliser prices, £2024</t>
  </si>
  <si>
    <t>Date</t>
  </si>
  <si>
    <t>AN UK (ammonium nitrate)</t>
  </si>
  <si>
    <t>MOP (muriate of potash)</t>
  </si>
  <si>
    <t>TSP (triple super phosphate)</t>
  </si>
  <si>
    <t>Value - N</t>
  </si>
  <si>
    <t>Value - P2O5</t>
  </si>
  <si>
    <t>Value - K2O</t>
  </si>
  <si>
    <t>Biosolid nutrient content in fresh digested cake</t>
  </si>
  <si>
    <t>Biosolid nutrient % in fresh digested cake</t>
  </si>
  <si>
    <t>% fresh</t>
  </si>
  <si>
    <t>Convert kg to tonne by dividing by 1000</t>
  </si>
  <si>
    <t>Biosolid nutrient % in dry digested cake</t>
  </si>
  <si>
    <t>% dry</t>
  </si>
  <si>
    <t>Biosolid nutrient content in dry digested cake</t>
  </si>
  <si>
    <t>Nutrient content in fertiliser</t>
  </si>
  <si>
    <t>Fertiliser equivalent to provide same nutrients as 1 tonne sludge</t>
  </si>
  <si>
    <t>tonne</t>
  </si>
  <si>
    <t>Price per tonne of fertiliser</t>
  </si>
  <si>
    <t>Price of fertiliser equivalent</t>
  </si>
  <si>
    <t>2024 prices</t>
  </si>
  <si>
    <t>Pradel &amp; Reverdy (2013) Assessing GHG emissions from sludge treatment and disposal routes: the method behind GESTABoues tool</t>
  </si>
  <si>
    <t>France</t>
  </si>
  <si>
    <t>Nordahl et al (2020) Life-Cycle Greenhouse Gas Emissions and Human Health Trade-Oﬀs of Organic Waste Management Strategies</t>
  </si>
  <si>
    <t>USA</t>
  </si>
  <si>
    <t>USA-wide</t>
  </si>
  <si>
    <t>FWR (2016) Sewage Sludge Operational and Environmental Issues</t>
  </si>
  <si>
    <t>Sludge sent to landfill</t>
  </si>
  <si>
    <t>kg CO2/tonne</t>
  </si>
  <si>
    <t>kg/tonne of CO2 emitted from organic waste</t>
  </si>
  <si>
    <t>20-35%</t>
  </si>
  <si>
    <t>% dry matter</t>
  </si>
  <si>
    <t>% dry matter contained in dewatered sludge, typical values</t>
  </si>
  <si>
    <t>Sludge sent to landfill, incineration</t>
  </si>
  <si>
    <t>N2O emissions from sludge land application, dry sludge value. See table 2 below</t>
  </si>
  <si>
    <t>Sludge sent to incineration</t>
  </si>
  <si>
    <t>N2O emissions from sludge sent to incineration, temperature unknown value used. See table 2 below</t>
  </si>
  <si>
    <t>Sludge to landfill</t>
  </si>
  <si>
    <t>Tonnes CO2 emitted per tonne organic waste sent to landfill</t>
  </si>
  <si>
    <t>tCO2/tonne organic waste</t>
  </si>
  <si>
    <t>Average % dry matter contained in dewatered sludge</t>
  </si>
  <si>
    <t>tCO2 per tonne of dry solid</t>
  </si>
  <si>
    <t>tCO2/tonne dry solid</t>
  </si>
  <si>
    <t>Sludge to land</t>
  </si>
  <si>
    <t>NO2 to CO2e conversion</t>
  </si>
  <si>
    <t>Conversion from mass of NO2 to CO2e: multiply by 298</t>
  </si>
  <si>
    <t>Conversion to tCO2e</t>
  </si>
  <si>
    <t>tCO2e/tonne</t>
  </si>
  <si>
    <t>Sludge to incineration</t>
  </si>
  <si>
    <t>Disposal routes</t>
  </si>
  <si>
    <t>Route</t>
  </si>
  <si>
    <t>To landfill</t>
  </si>
  <si>
    <t>tCO2/TDS</t>
  </si>
  <si>
    <t>To land</t>
  </si>
  <si>
    <t>To restoration</t>
  </si>
  <si>
    <t>Assumed same as to land</t>
  </si>
  <si>
    <t>Conversion to £/TDS</t>
  </si>
  <si>
    <t>Gate fees</t>
  </si>
  <si>
    <t>Recent reputable source</t>
  </si>
  <si>
    <t>Market value</t>
  </si>
  <si>
    <t>Recent market value equivalent</t>
  </si>
  <si>
    <t>Best available source</t>
  </si>
  <si>
    <t>Reduced quality of place as a result of sludge disposal methods</t>
  </si>
  <si>
    <t>24-1</t>
  </si>
  <si>
    <t>24-2</t>
  </si>
  <si>
    <t>24-3</t>
  </si>
  <si>
    <t>24-4</t>
  </si>
  <si>
    <t>24-5</t>
  </si>
  <si>
    <t>24-6</t>
  </si>
  <si>
    <t>24-7</t>
  </si>
  <si>
    <r>
      <rPr>
        <b/>
        <i/>
        <sz val="11"/>
        <color theme="1"/>
        <rFont val="Aptos"/>
        <family val="2"/>
      </rPr>
      <t>Value application:</t>
    </r>
    <r>
      <rPr>
        <sz val="11"/>
        <color theme="1"/>
        <rFont val="Aptos"/>
        <family val="2"/>
      </rPr>
      <t xml:space="preserve">
If a company has private costs calculated separately for these impact categories these can be used, otherwise they are considered literature gaps and further research is required.
</t>
    </r>
    <r>
      <rPr>
        <i/>
        <sz val="11"/>
        <color theme="1"/>
        <rFont val="Aptos"/>
        <family val="2"/>
      </rPr>
      <t xml:space="preserve">
</t>
    </r>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</si>
  <si>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Private costs, Trust</t>
  </si>
  <si>
    <t>Costs incurred by company due to sludge non-compliance</t>
  </si>
  <si>
    <t>Reduced customer trust in water service due to sludge non-compliance</t>
  </si>
  <si>
    <r>
      <rPr>
        <b/>
        <i/>
        <sz val="11"/>
        <color theme="1"/>
        <rFont val="Aptos"/>
        <family val="2"/>
      </rPr>
      <t>To avoid double counting:</t>
    </r>
    <r>
      <rPr>
        <sz val="11"/>
        <color theme="1"/>
        <rFont val="Aptos"/>
        <family val="2"/>
      </rPr>
      <t xml:space="preserve">
- Valuations are not provided for biodiversity or health &amp; wellbeing value metrics, as the WTP-derived valuation used for quality of place includes impact on wildlife and health risks to river users (see WTP incident description in images below). Therefore, to include separate valuations for biodiversity and health &amp; wellbeing outcomes would be to double count with the valuation provided under quality of place.
- A valuation for the recreation value metric is not provided to avoid double counting with the Recreation (38) service measure.
</t>
    </r>
    <r>
      <rPr>
        <b/>
        <i/>
        <sz val="11"/>
        <color theme="1"/>
        <rFont val="Aptos"/>
        <family val="2"/>
      </rPr>
      <t>Value application:</t>
    </r>
    <r>
      <rPr>
        <sz val="11"/>
        <color theme="1"/>
        <rFont val="Aptos"/>
        <family val="2"/>
      </rPr>
      <t xml:space="preserve">
- Please note that impacts on water quality of pollution incidents are transient, temporal and relative to the type of incident. Potential proxy to consider would be extent, duration, or fish killed. Therefore in this case we have marked the value metric as a literature gap.
</t>
    </r>
    <r>
      <rPr>
        <b/>
        <i/>
        <sz val="11"/>
        <color theme="1"/>
        <rFont val="Aptos"/>
        <family val="2"/>
      </rPr>
      <t>Company specific WTP valuations:</t>
    </r>
    <r>
      <rPr>
        <sz val="11"/>
        <color theme="1"/>
        <rFont val="Aptos"/>
        <family val="2"/>
      </rPr>
      <t xml:space="preserve">
If you have access to WTP research relevant to your own customer base that covers this service measure, those values may be substituted in. Please provide documentation and valuation sources for auditability and share learning back to the sector.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</si>
  <si>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 xml:space="preserve">Recreation </t>
  </si>
  <si>
    <t>Negative impact on quality of place from pollution incidents</t>
  </si>
  <si>
    <t xml:space="preserve">Ofwat - PR24: Using collaborative customer research to set outcome delivery incentive rates </t>
  </si>
  <si>
    <t>WTA £/incident/household</t>
  </si>
  <si>
    <t xml:space="preserve">Significant pollution incident nearby (4 weeks) - household. Taken from  household figure 4.1. </t>
  </si>
  <si>
    <t xml:space="preserve">Significant pollution incident elsewhere (4 weeks) - household. Taken from  household figure 4.1. </t>
  </si>
  <si>
    <t xml:space="preserve">Minor pollution incident nearby (1 day) - household. Taken from  household figure 4.1. </t>
  </si>
  <si>
    <t xml:space="preserve">Minor pollution incident elsewhere (1 day) - household. Taken from  household figure 4.1. </t>
  </si>
  <si>
    <t>WTA £/incident/non-household</t>
  </si>
  <si>
    <t>Significant pollution incident nearby (4 weeks) - non-household. Taken from  non-household figure 4.2.</t>
  </si>
  <si>
    <t>Significant pollution incident elsewhere (4 weeks) - non-household. Taken from  non-household figure 4.2.</t>
  </si>
  <si>
    <t>Minor pollution incident nearby (1 day) - non-household. Taken from  non-household figure 4.2.</t>
  </si>
  <si>
    <t>Minor pollution incident elsewhere (1 day) - non-household. Taken from  non-household figure 4.2.</t>
  </si>
  <si>
    <t>Area of England in hectares</t>
  </si>
  <si>
    <t>Sourced from file 'SAM_CTRY_DEC_2023_UK'. AREALHECT, land area, area to mean high water excluding area of inland water (therefore not including inland lakes that could not have properties on them)</t>
  </si>
  <si>
    <t>Area of Wales in hectares</t>
  </si>
  <si>
    <t>Scaled WTA based on difference between significant and minor pollution incidents. No WTA for major incident included in Ofwat study. 
Ofwat definition: Category 1 – major, serious, persistent and/or extensive impact or effect on the environment, people and/or property (source ID 135)</t>
  </si>
  <si>
    <t>Ofwat PR 24 Appendix A (pg 115) definition of significant pollution nearby: untreated sewage spill, less than 5 miles away, significant damage to river, harm to wildlife and health risks to river users, visible sewage litter, river is back to normal in 4 weeks. 
Assuming Ofwat category 2 definition is best appropriate match: Category 2 – significant impact or effect on the environment, people and/or property.</t>
  </si>
  <si>
    <t xml:space="preserve"> Ofwat PR 24 Appendix A (pg 115) definition of minor pollution nearby: untreated sewage spill, less than 5 miles away,  damage to river is minor, river is back to normal in 1 day. 
Assuming Ofwat category 3 definition is best appropriate match: Category 3 – minor or minimal impact or effect on the environment, people and/or property.</t>
  </si>
  <si>
    <t>Total water companies number of residential properties - wastewater connections</t>
  </si>
  <si>
    <t>Total water companies number of business properties - wastewater connections</t>
  </si>
  <si>
    <t>Area of England, sq miles</t>
  </si>
  <si>
    <t>Convert from hectares to sq miles = divide by 259</t>
  </si>
  <si>
    <t>Area of Wales, sq miles</t>
  </si>
  <si>
    <t>Area of England and Wales, sq miles</t>
  </si>
  <si>
    <t>Residential property density in England and Wales, props per sq mile</t>
  </si>
  <si>
    <t>Use total properties and total area to generate overall housing density for England and Wales.</t>
  </si>
  <si>
    <t>Number of properties in 5 miles radius, England and Wales</t>
  </si>
  <si>
    <t>Ofwat collaborative research appendix shows service issue description of significant/minor pollution incident nearby is "less than 5 miles away". Therefore use 5 mile radius for houses considered impacted.</t>
  </si>
  <si>
    <t>£/incident for cat 1</t>
  </si>
  <si>
    <t>£/incident for cat 2</t>
  </si>
  <si>
    <t>£/incident for cat 3</t>
  </si>
  <si>
    <t>WTA £/incident</t>
  </si>
  <si>
    <t>26-1</t>
  </si>
  <si>
    <t>26-2</t>
  </si>
  <si>
    <t>26-3</t>
  </si>
  <si>
    <t>Reduction in water quality as a result of pollution incident</t>
  </si>
  <si>
    <t xml:space="preserve">Impact of pollution incidents are transient, temporal and relative to the type of incident. Potential proxy to consider would be extent, duration, or fish killed. </t>
  </si>
  <si>
    <t>Reduction in customer trust as a result of pollution incident</t>
  </si>
  <si>
    <r>
      <rPr>
        <b/>
        <i/>
        <sz val="11"/>
        <color theme="1"/>
        <rFont val="Aptos"/>
        <family val="2"/>
      </rPr>
      <t>To avoid double counting:</t>
    </r>
    <r>
      <rPr>
        <sz val="11"/>
        <color theme="1"/>
        <rFont val="Aptos"/>
        <family val="2"/>
      </rPr>
      <t xml:space="preserve">
- We do not recommend using this service measure alongside Recreation (38), unless you can identify specific and distinct impact pathways that are captured by both service measures. If there is not a clear and distinct impact pathway, use either this service measure or Recreation (38).
- Do not use this SM alongside Bathing water quality (28) unless assessing impacts to separate and distinct waters. This SM is for impacts to non-designated waters. Any impacts to waters designated as bathing waters should be captured using Bathing water quality (28)</t>
    </r>
  </si>
  <si>
    <t>Recreation, biodiversity, quality of place</t>
  </si>
  <si>
    <t>Increased recreational visits</t>
  </si>
  <si>
    <t>Non-use</t>
  </si>
  <si>
    <t>Increased non-use value</t>
  </si>
  <si>
    <t>Improved biodiversity</t>
  </si>
  <si>
    <t>Environment Agency (2013) Updating the National Water Environment Benefit Survey values: summary of the peer review</t>
  </si>
  <si>
    <t>National average</t>
  </si>
  <si>
    <t>National Water Environment Benefits Survey</t>
  </si>
  <si>
    <t>£17,400 per km</t>
  </si>
  <si>
    <t>National average for improving water quality in all rivers, from bad to poor.</t>
  </si>
  <si>
    <t>£20,000 per km</t>
  </si>
  <si>
    <t>National average for improving water quality in all rivers, from poor to moderate</t>
  </si>
  <si>
    <t>£23,200 per km</t>
  </si>
  <si>
    <t>National average for improving water quality in all rivers, from moderate to good</t>
  </si>
  <si>
    <t>£6,400 per km2</t>
  </si>
  <si>
    <t>National average for improving water quality in all transitional waters, lakes and coastal waters, from bad to poor.</t>
  </si>
  <si>
    <t>£7,400 per km2</t>
  </si>
  <si>
    <t>National average for improving water quality in all transitional waters, lakes and coastal waters, from poor to moderate</t>
  </si>
  <si>
    <t>£8,500 per km2</t>
  </si>
  <si>
    <t>National average for improving water quality in all transitional waters, lakes and coastal waters, from moderate to good</t>
  </si>
  <si>
    <t>NWEBS values recreation, amenity and non-use values, so it does not include improvements to provisioning and regulating services as a result of measures. Water quality benefits will also vary spatially. For example, for river basins with higher population densities, benefits in NWEBS are above the national averages. All are annual values in 2012 prices. NWEBS provides specific catchment values - see original source for more information</t>
  </si>
  <si>
    <t>As the NWEBS values include recreation, amenity and non-use values, we have split the overall values equally across the three outcome metrics</t>
  </si>
  <si>
    <t>This calculation estimates the value of an improvement in water quality from good to high</t>
  </si>
  <si>
    <t>Water quality improvement</t>
  </si>
  <si>
    <t>Increment</t>
  </si>
  <si>
    <t>Value - recreation, amenity, non-use</t>
  </si>
  <si>
    <t>Difference</t>
  </si>
  <si>
    <t>Value - recreation</t>
  </si>
  <si>
    <t>Value - amenity</t>
  </si>
  <si>
    <t>Value - non-use</t>
  </si>
  <si>
    <t>Rivers</t>
  </si>
  <si>
    <t>Bad to poor</t>
  </si>
  <si>
    <t>Poor to moderate</t>
  </si>
  <si>
    <t>Moderate to good</t>
  </si>
  <si>
    <t>Good to high (calculated)</t>
  </si>
  <si>
    <t>Transitional waters, lakes and coastal waters</t>
  </si>
  <si>
    <t>This calculation estimates the value of in-class water quality improvements</t>
  </si>
  <si>
    <t>Average</t>
  </si>
  <si>
    <t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t>
  </si>
  <si>
    <t>Improved quality of place</t>
  </si>
  <si>
    <t>27-1</t>
  </si>
  <si>
    <t>27-2</t>
  </si>
  <si>
    <t>27-3</t>
  </si>
  <si>
    <t>27-4</t>
  </si>
  <si>
    <t>27-5</t>
  </si>
  <si>
    <t>27-6</t>
  </si>
  <si>
    <t>27-7</t>
  </si>
  <si>
    <t>27-8</t>
  </si>
  <si>
    <t>27-9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</si>
  <si>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</si>
  <si>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</si>
  <si>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</si>
  <si>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</si>
  <si>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</si>
  <si>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</si>
  <si>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</si>
  <si>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</si>
  <si>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</si>
  <si>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</si>
  <si>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</si>
  <si>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</si>
  <si>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</si>
  <si>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</si>
  <si>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</si>
  <si>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</si>
  <si>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</si>
  <si>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</si>
  <si>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</si>
  <si>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</si>
  <si>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</si>
  <si>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Reduced customer trust in quality of the water environment</t>
  </si>
  <si>
    <t>Reduction in health problems as a result of improved water quality, e.g. reduced infections.</t>
  </si>
  <si>
    <t>Currently no valuations identified as impact on health such as waterborne infections, although there is public knowledge of the impact in the UK.</t>
  </si>
  <si>
    <r>
      <rPr>
        <b/>
        <i/>
        <sz val="11"/>
        <color theme="1"/>
        <rFont val="Aptos"/>
        <family val="2"/>
      </rPr>
      <t>To avoid double counting:</t>
    </r>
    <r>
      <rPr>
        <sz val="11"/>
        <color theme="1"/>
        <rFont val="Aptos"/>
        <family val="2"/>
      </rPr>
      <t xml:space="preserve">
- Valuation for the recreation and health &amp; wellbeing value metrics are not included to avoid double counting with quality of place and local economy.
</t>
    </r>
    <r>
      <rPr>
        <b/>
        <i/>
        <sz val="11"/>
        <color theme="1"/>
        <rFont val="Aptos"/>
        <family val="2"/>
      </rPr>
      <t>Value application:</t>
    </r>
    <r>
      <rPr>
        <i/>
        <sz val="11"/>
        <color theme="1"/>
        <rFont val="Aptos"/>
        <family val="2"/>
      </rPr>
      <t xml:space="preserve">
</t>
    </r>
    <r>
      <rPr>
        <sz val="11"/>
        <color theme="1"/>
        <rFont val="Aptos"/>
        <family val="2"/>
      </rPr>
      <t>- Quality of place / Local economy valuations use Ofwat's Collaborative Customer Research (source ID 16). For the overall CVF, we have used the Ofwat Collaborative Customer Research values over triangulating company-specific Willingness to Pay values to promote consistency between companies. If you have access to WTP research relevant to your own customer base that covers this service measure, those values may be substituted in. Please provide documentation and valuation sources for auditability and share learning back to the sector.</t>
    </r>
  </si>
  <si>
    <t>Health &amp; wellbeing</t>
  </si>
  <si>
    <t>Recreation, Quality of place, Local economy</t>
  </si>
  <si>
    <t>Improved access to bathing waters for recreation</t>
  </si>
  <si>
    <t>Improvement in bathing water boosts local economy</t>
  </si>
  <si>
    <t>Environment Agency (2013) Updating the National Water Environment Benefit Survey values: summary of the peer review.</t>
  </si>
  <si>
    <t>Defra (2025) Bathing water data</t>
  </si>
  <si>
    <t>Recreation, Quality of place</t>
  </si>
  <si>
    <t>£000s / km2</t>
  </si>
  <si>
    <t>Central value for England &amp; Wales for improvement 'bad to poor' = poor to sufficient; 'poor to mod' = sufficient to good; 'mod to good' = sufficient to excellent. 
NWEBS value includes recreation, amenity and non-use values, but not improvements to provisioning and regulating services. Water quality benefits will vary spatially. Annual values in 2012 prices.
Unable to convert into valuations per bathing water as no data available on area of bathing waters in England &amp; Wales.</t>
  </si>
  <si>
    <t>Scottish Government (2018) Value of bathing waters and influence of bathing water quality: final research report, August 2018</t>
  </si>
  <si>
    <t>Ofwat (2024) PR24 Final Determinations Models</t>
  </si>
  <si>
    <t>NRW (2018) Bathing water report 2018</t>
  </si>
  <si>
    <t>£ / household / year</t>
  </si>
  <si>
    <t>Bathing water status - beach visited most often. WTP for improvement from 'poor for 5 years' to 'sufficient'</t>
  </si>
  <si>
    <t>Table 6.5: Value of improvements in Bathing water quality improved (online survey data). Based on analysis of the choice experiment responses, values for improvements in BWQ and beach characteristics – in terms of WTP per household and in total for national improvements – are presented. WTP for each attribute is determined by the ratio of the marginal utility associated with a one unit increase in the attribute and the marginal utility associated with a one unit increase in cost (i.e. in respondents’ water bill).</t>
  </si>
  <si>
    <t>Bathing water status - beach visited most often. WTP for improvement from 'poor for 5 years' to 'good'</t>
  </si>
  <si>
    <t>Bathing water status - beach visited most often. WTP for improvement from 'poor for 5 years' to 'excellent'</t>
  </si>
  <si>
    <t>Total residential properties</t>
  </si>
  <si>
    <t>England and Wales, 2023-24. Sum of all residential properties billed for sewage (i.e. all wastewater household customers) from all wastewater companies in England and Wales. Source: Base costs wastewater model 1, BP inputs, residential properties billed for sewage.</t>
  </si>
  <si>
    <t>Bathing waters in England</t>
  </si>
  <si>
    <t>Number of designated bathing waters in England in 2018</t>
  </si>
  <si>
    <t>Bathing waters in Wales</t>
  </si>
  <si>
    <t>Number of designated bathing waters in Wales in 2018</t>
  </si>
  <si>
    <t>Bathing water quality improvement</t>
  </si>
  <si>
    <t>Improvement valuation (£/household/year)</t>
  </si>
  <si>
    <t>Improvement per bathing water (£/bathing water)</t>
  </si>
  <si>
    <t>Difference between improvement groups</t>
  </si>
  <si>
    <t>Poor to sufficient</t>
  </si>
  <si>
    <t>-</t>
  </si>
  <si>
    <t>Sufficient to good</t>
  </si>
  <si>
    <t>Good to excellent</t>
  </si>
  <si>
    <t>NRW (2022) Bathing water report 2022</t>
  </si>
  <si>
    <t>WTA for household valuations, 'coastal bathing water is neither excellent nor good quality'. 2021-22 prices.</t>
  </si>
  <si>
    <t>WTA for household valuations, 'coastal bathing water is not excellent quality'. 2021-22 prices.</t>
  </si>
  <si>
    <t>WTA for non-household valuations, 'coastal bathing water is neither excellent nor good quality'. 2021-22 prices.</t>
  </si>
  <si>
    <t>WTA for non-household valuations, 'coastal bathing water is not excellent quality'. 2021-22 prices.</t>
  </si>
  <si>
    <t>Number of designated bathing waters in England in 2022</t>
  </si>
  <si>
    <t>Number of designated bathing waters in Wales in 2022</t>
  </si>
  <si>
    <t>Total business properties</t>
  </si>
  <si>
    <t>England and Wales, 2023-24. Sum of all business properties billed for sewage (i.e. all wastewater non-household customers) from all wastewater companies in England and Wales. Source: Base costs wastewater model 1, BP inputs, business properties billed for sewage.</t>
  </si>
  <si>
    <t>Collaborative customer research value (£/incident) - Household</t>
  </si>
  <si>
    <t>Extrapolated excellent quality value (£/incident) - Household</t>
  </si>
  <si>
    <t>Collaborative customer research value (£/incident) - Non-household</t>
  </si>
  <si>
    <t>Extrapolated excellent quality value (£/incident) - Non-household</t>
  </si>
  <si>
    <t>In this case we take 'incident', the general unit used in the Collaborative Customer Research, to mean value per property for one bathing water.</t>
  </si>
  <si>
    <t>Value - household</t>
  </si>
  <si>
    <t>Value - non-household</t>
  </si>
  <si>
    <t>Properties per bathing water</t>
  </si>
  <si>
    <t>Valuation - Household</t>
  </si>
  <si>
    <t>Valuation - Non-household</t>
  </si>
  <si>
    <t>Difference between improvement groups - HH</t>
  </si>
  <si>
    <t>Difference between improvement groups - NHH</t>
  </si>
  <si>
    <t>£ / water improved</t>
  </si>
  <si>
    <t>Description is 'improvement to excellent' so not clear what the starting point is, assume good to excellent. Valuations split by household (HH) and non-household (NHH) - apply to quality of place and local economy respectively.</t>
  </si>
  <si>
    <t>Central value for North West for improvement 'bad to poor' = poor to sufficient; 'poor to mod' = sufficient to good; 'mod to good' = sufficient to excellent. 
NWEBS value includes recreation, amenity and non-use values, but not improvements to provisioning and regulating services. Water quality benefits will vary spatially. Annual values in 2012 prices</t>
  </si>
  <si>
    <t>UU WTP valuation (£/water improved) - HH</t>
  </si>
  <si>
    <t>Scaled using NWEBS (£/water improve) - HH</t>
  </si>
  <si>
    <t>UU WTP valuation (£/water improved) - NHH</t>
  </si>
  <si>
    <t>Scaled using NWEBS (£/water improve) - NHH</t>
  </si>
  <si>
    <t>Do not need to convert NWEBS values from £000s/km2 to £/km2 as using ratio not absolute values</t>
  </si>
  <si>
    <t>£ / 1% beaches improved</t>
  </si>
  <si>
    <t>Source: Table 9. WTP value for bathing waters of 'less than good quality'.</t>
  </si>
  <si>
    <t>Number of bathing waters in company area</t>
  </si>
  <si>
    <t>Designated before 2018 (as WTP study was done in 2017). There have since been more sites designated, but the valuation was based on 1% of beaches improved in 2017.</t>
  </si>
  <si>
    <t>Number of wastewater and dual HH customers</t>
  </si>
  <si>
    <t>From Wessex SMF, supplied by Wessex Water during the framework development.</t>
  </si>
  <si>
    <t>Number of wastewater and dual NHH customers</t>
  </si>
  <si>
    <t>WTP value for bathing waters of less than good quality</t>
  </si>
  <si>
    <t>£ / bathing water</t>
  </si>
  <si>
    <t>Original value for 1% of bathing waters = 1% of 48 bathing waters = 0.48 bathing waters. Convert to value per bathing water</t>
  </si>
  <si>
    <t>Combined HH + NHH value (£/bathing water)</t>
  </si>
  <si>
    <t>HH only - split by customer numbers</t>
  </si>
  <si>
    <t>NHH only - split by customer numbers</t>
  </si>
  <si>
    <t>Value scaled using NWEBS.</t>
  </si>
  <si>
    <t>Scaled. Value of improvement from poor to sufficient, total benefits compared to poor status. Scaled value selected as study comparisons to other secondary data show the scaled values more in line with 3rd parties.</t>
  </si>
  <si>
    <t>Scaled. Value of improvement from poor to good, total benefits compared to poor status. Scaled value selected as study comparisons to other secondary data show the scaled values more in line with 3rd parties.</t>
  </si>
  <si>
    <t>Scaled. Value of improvement from poor to excellent, total benefits compared to poor status. Scaled value selected as study comparisons to other secondary data show the scaled values more in line with 3rd parties.</t>
  </si>
  <si>
    <t>Number of HH wastewater customers</t>
  </si>
  <si>
    <t>Customer numbers used in WTP study (2018)</t>
  </si>
  <si>
    <t>Number of NHH wastewater customers</t>
  </si>
  <si>
    <t>Original value calculated as improvement from poor to good, so need to calculate improvement from sufficient to good.</t>
  </si>
  <si>
    <t>Original value calculated as improvement from poor to excellent, so need to calculate improvement from good to excellent.</t>
  </si>
  <si>
    <t>Cannot use alongside WTP values as studies not clear on what is being valued by customers and water company studies considered to have greater level of confidence.</t>
  </si>
  <si>
    <t>Ofwat Collaborative Customer Research source</t>
  </si>
  <si>
    <t>Ofwat PR24 Collaborative Customer Research used where available. If not appropriate, companies can select company specific WTP valuations. Valuation is negative as the impact category produces a positive outcome</t>
  </si>
  <si>
    <t>28-1</t>
  </si>
  <si>
    <t>WTP</t>
  </si>
  <si>
    <t>Risk of double counting with Ofwat valuations</t>
  </si>
  <si>
    <t>28-2</t>
  </si>
  <si>
    <t>28-3</t>
  </si>
  <si>
    <t>28-4</t>
  </si>
  <si>
    <t>28-5</t>
  </si>
  <si>
    <t>28-6</t>
  </si>
  <si>
    <t>28-7</t>
  </si>
  <si>
    <t>28-8</t>
  </si>
  <si>
    <t>28-9</t>
  </si>
  <si>
    <t>28-10</t>
  </si>
  <si>
    <t>28-11</t>
  </si>
  <si>
    <t>28-12</t>
  </si>
  <si>
    <t>28-13</t>
  </si>
  <si>
    <t>Only if Collaborative Customer Research value not suitable</t>
  </si>
  <si>
    <t>Captures WTP views of only one water company</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</si>
  <si>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</si>
  <si>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</si>
  <si>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</si>
  <si>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</si>
  <si>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</si>
  <si>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</si>
  <si>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</si>
  <si>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</si>
  <si>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</si>
  <si>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</si>
  <si>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</si>
  <si>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</si>
  <si>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</si>
  <si>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</si>
  <si>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</si>
  <si>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</si>
  <si>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</si>
  <si>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</si>
  <si>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</si>
  <si>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</si>
  <si>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</si>
  <si>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</si>
  <si>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</si>
  <si>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Improved biodiversity as a result of improved bathing water quality</t>
  </si>
  <si>
    <t>Not recommended to monetise by EA WINEP Wider Outcomes Metrics, as that will lead to double counting unless there is a valuation for a specific habitat type or situation, e.g. SSSIs. Currently literature gap.</t>
  </si>
  <si>
    <t>Reduced customer trust in bathing water quality</t>
  </si>
  <si>
    <r>
      <rPr>
        <b/>
        <i/>
        <sz val="11"/>
        <color theme="1"/>
        <rFont val="Aptos"/>
        <family val="2"/>
      </rPr>
      <t>To avoid double counting:</t>
    </r>
    <r>
      <rPr>
        <sz val="11"/>
        <color theme="1"/>
        <rFont val="Aptos"/>
        <family val="2"/>
      </rPr>
      <t xml:space="preserve">
- Valuations for local economy are not provided to avoid double counting with the food provision valuation, due to the related impact of the sale of shellfish, benefiting the economy.</t>
    </r>
  </si>
  <si>
    <t>*not valued to avoid double counting with food provision</t>
  </si>
  <si>
    <t>Reduced customer trust in shellfish water quality</t>
  </si>
  <si>
    <t>Improvement in biodiversity from improvement to shellfish water quality</t>
  </si>
  <si>
    <t>Dvarskas et al (2020) Quantiﬁcation and Valuation of Nitrogen Removal Services Provided by Commercial Shellﬁsh Aquaculture at the Subwatershed Scale</t>
  </si>
  <si>
    <t>Greenwich Bay, Conneticut</t>
  </si>
  <si>
    <t>ONS (2021) Average Sterling exchange rate: US Dollar</t>
  </si>
  <si>
    <t>Shellfish water</t>
  </si>
  <si>
    <t>Acres</t>
  </si>
  <si>
    <t>Area of Greenwich Bay used for shellfishing (sea floor) in 2020</t>
  </si>
  <si>
    <t>US dollars</t>
  </si>
  <si>
    <t>Smallest estimate of cost of removing total nitrogen that shellfish remove from Greenwich Bay area, based on WWTP upgrades alone. Other estimates are larger (nutrient credits, other engineering replacement solutions), 2016 dollars</t>
  </si>
  <si>
    <t>1GBP to USD, 2016</t>
  </si>
  <si>
    <t>Annual average sterling exchange rate to US Dollar, 2016, from https://www.ons.gov.uk/economy/nationalaccounts/balanceofpayments/timeseries/auss/diop</t>
  </si>
  <si>
    <t>Conversion</t>
  </si>
  <si>
    <t>Updated value</t>
  </si>
  <si>
    <t>Acres to hectares</t>
  </si>
  <si>
    <t>Hectares</t>
  </si>
  <si>
    <t>US dollars to £, 2016 conversion</t>
  </si>
  <si>
    <t>Value per ha</t>
  </si>
  <si>
    <t>£/ha</t>
  </si>
  <si>
    <t>Environment Agency / University of Portsmouth (2020) Valuing the Solent Marine Sites Habitats and Species: A natural Capital Study of Benthic Ecosystem Services and how they Contribute to Water Quality Regulation</t>
  </si>
  <si>
    <t>Solent</t>
  </si>
  <si>
    <t>Total average value per ha (median, annualised) of nitrogen reduction by native oysters on the UK's southeast coast. Based on the cost of replacing artificial substitutes with the ecological service of waste remediation where cost is a proxy for nitrogen removal benefits of this regulation. Assume study year price is also 2020.</t>
  </si>
  <si>
    <t>Total average value per ha (median, annualised) of phosphorus removal by native oysters on the UK's southeast coast. Based on the cost of replacing artificial substitutes with the ecological service of waste remediation where cost is a proxy for phosphorus removal benefits of this regulation. Assume study year price is also 2020.</t>
  </si>
  <si>
    <t>Food provision value metric - Shellfish water quality - class A. Used for scaling.</t>
  </si>
  <si>
    <t>Food provision value metric - Shellfish water quality - class B. Used for scaling.</t>
  </si>
  <si>
    <t>Food provision value metric - Shellfish water quality - class C. Used for scaling.</t>
  </si>
  <si>
    <t>Class</t>
  </si>
  <si>
    <t>Total average value per ha of N and P reduction by native oyster's on the UK's southeast cost - sum of input rows</t>
  </si>
  <si>
    <t>Assume class B based on table below</t>
  </si>
  <si>
    <t>£/ha/yr</t>
  </si>
  <si>
    <t>Total average value per ha of N and P reduction by native oyster's on the UK's southeast cost - scaled based on food provision metric</t>
  </si>
  <si>
    <t>Class A</t>
  </si>
  <si>
    <t>Class C</t>
  </si>
  <si>
    <t>In class benefit</t>
  </si>
  <si>
    <t>Replacement cost</t>
  </si>
  <si>
    <t>UK-specific value</t>
  </si>
  <si>
    <t>29-1</t>
  </si>
  <si>
    <t>29-2</t>
  </si>
  <si>
    <t>29-3</t>
  </si>
  <si>
    <t>29-4</t>
  </si>
  <si>
    <t>29-5</t>
  </si>
  <si>
    <t>Food provision, Local economy</t>
  </si>
  <si>
    <t>Shellfish yield</t>
  </si>
  <si>
    <t>Benefit to local economy from shellfishing industry through yield of shellfish.</t>
  </si>
  <si>
    <t>Marine Management Organisation (2024) UK sea fisheries annual statistics report 2023.</t>
  </si>
  <si>
    <t>Cefas (2024) Shellfish Classification Zones of England and Wales</t>
  </si>
  <si>
    <t>Total tonnes shellfish landed, England, 2023. Source: table 2.13a, Section 2 Landings tables. Assumed UK vessels only.</t>
  </si>
  <si>
    <t>Total value shellfish landed, England, 2023. Source: table 2.13a, Section 2 Landings tables. Assumed UK vessels only.</t>
  </si>
  <si>
    <t>Total tonnes shellfish landed, Wales, 2023. Source: table 2.13b, Section 2 Landings tables.</t>
  </si>
  <si>
    <t>Total value shellfish landed, Wales, 2023. Source: table 2.13b, Section 2 Landings tables.</t>
  </si>
  <si>
    <t>Improvement in yield</t>
  </si>
  <si>
    <t>Inline with the WINEP methodology (2021), assumed a 10% improvement in yield for each increment of the shellfish water classification</t>
  </si>
  <si>
    <t>Total area of shellfish zones under classification (Ha)</t>
  </si>
  <si>
    <t>Summed across all zones in England and Wales, see below (value summary - shellfish zones). Conservative approach taken, meaning that any water which is seasonal between two classification has been assumed to be the worse classification. Zones with errors in classification (value 0) have been ignored.</t>
  </si>
  <si>
    <t>Total underlying value for England and Wales</t>
  </si>
  <si>
    <t>Total shellfish landed in 2023</t>
  </si>
  <si>
    <t>Total value of shellfish landed in 2023</t>
  </si>
  <si>
    <t>Total value of shellfish per tonne, 2023</t>
  </si>
  <si>
    <t>Classification group</t>
  </si>
  <si>
    <t>Yield</t>
  </si>
  <si>
    <t>Prohibited</t>
  </si>
  <si>
    <t>Tonnes / ha</t>
  </si>
  <si>
    <t>Calculated as total shellfish yield divided by total class A, B or C area. Prohibited area not included.</t>
  </si>
  <si>
    <t>Class B</t>
  </si>
  <si>
    <t>Following WINEP methodology, apply 10% improvement in yield for each increment in classification</t>
  </si>
  <si>
    <t>£ / ha</t>
  </si>
  <si>
    <t>Calculated as class yield multiplied by value.</t>
  </si>
  <si>
    <t>In class improvement</t>
  </si>
  <si>
    <t>Class A to Class B</t>
  </si>
  <si>
    <t>Class B to Class C</t>
  </si>
  <si>
    <t>Only suitable source identified</t>
  </si>
  <si>
    <t>&lt;/&gt;*</t>
  </si>
  <si>
    <t>Outcome not valued to avoid double counting with food provision</t>
  </si>
  <si>
    <t>29-6</t>
  </si>
  <si>
    <t>29-7</t>
  </si>
  <si>
    <t>29-8</t>
  </si>
  <si>
    <t>29-9</t>
  </si>
  <si>
    <t>29-10</t>
  </si>
  <si>
    <t>Shellfish zones</t>
  </si>
  <si>
    <t>MAIN_AREA_</t>
  </si>
  <si>
    <t>PRODUCTION</t>
  </si>
  <si>
    <t>CZ_Name</t>
  </si>
  <si>
    <t>CLASSIFICA</t>
  </si>
  <si>
    <t>AREA</t>
  </si>
  <si>
    <t>SPECIES</t>
  </si>
  <si>
    <t>Seasonality</t>
  </si>
  <si>
    <t>M054</t>
  </si>
  <si>
    <t>Poole</t>
  </si>
  <si>
    <t>SW Brownsea Island</t>
  </si>
  <si>
    <t>N oysters</t>
  </si>
  <si>
    <t>A</t>
  </si>
  <si>
    <t>South Deep</t>
  </si>
  <si>
    <t>B</t>
  </si>
  <si>
    <t>M013</t>
  </si>
  <si>
    <t>West Mersea</t>
  </si>
  <si>
    <t>Little Ditch</t>
  </si>
  <si>
    <t>C</t>
  </si>
  <si>
    <t>M012</t>
  </si>
  <si>
    <t>Colne</t>
  </si>
  <si>
    <t>Pyefleet Channel</t>
  </si>
  <si>
    <t>M014</t>
  </si>
  <si>
    <t>Blackwater</t>
  </si>
  <si>
    <t>St Peter's &amp; Batchelor</t>
  </si>
  <si>
    <t>1st October to 31st July</t>
  </si>
  <si>
    <t>B (LT)</t>
  </si>
  <si>
    <t>Ray Channel</t>
  </si>
  <si>
    <t>1st November to 31st July</t>
  </si>
  <si>
    <t>B C (seas)</t>
  </si>
  <si>
    <t>M017</t>
  </si>
  <si>
    <t>North Kent</t>
  </si>
  <si>
    <t>Kentish Flats</t>
  </si>
  <si>
    <t>A B (seas)</t>
  </si>
  <si>
    <t>M016</t>
  </si>
  <si>
    <t>Thames Estuary</t>
  </si>
  <si>
    <t>Barrow Deep</t>
  </si>
  <si>
    <t>1st December to 30th September</t>
  </si>
  <si>
    <t>M039</t>
  </si>
  <si>
    <t>Milford Haven</t>
  </si>
  <si>
    <t>Tethys Oyster</t>
  </si>
  <si>
    <t>Black Deep</t>
  </si>
  <si>
    <t>M. varia</t>
  </si>
  <si>
    <t>M070</t>
  </si>
  <si>
    <t>Fowey</t>
  </si>
  <si>
    <t>Ropehaven Outer</t>
  </si>
  <si>
    <t>Ensis spp</t>
  </si>
  <si>
    <t>M073</t>
  </si>
  <si>
    <t>Roach</t>
  </si>
  <si>
    <t>Middleway</t>
  </si>
  <si>
    <t>M mercenaria</t>
  </si>
  <si>
    <t>1st May to 31st August (reverting to Class C all other times)</t>
  </si>
  <si>
    <t>Phoenix</t>
  </si>
  <si>
    <t>Cockles</t>
  </si>
  <si>
    <t>Maplin West</t>
  </si>
  <si>
    <t>Maplin Central</t>
  </si>
  <si>
    <t>M045</t>
  </si>
  <si>
    <t>Dee</t>
  </si>
  <si>
    <t>Salisbury</t>
  </si>
  <si>
    <t>Ropehaven</t>
  </si>
  <si>
    <t>Mussels</t>
  </si>
  <si>
    <t>M033</t>
  </si>
  <si>
    <t>Percuil</t>
  </si>
  <si>
    <t>Percuil Relay</t>
  </si>
  <si>
    <t>M090</t>
  </si>
  <si>
    <t>Lyme Bay</t>
  </si>
  <si>
    <t>Site 2</t>
  </si>
  <si>
    <t>1st Mar to 31st Dec</t>
  </si>
  <si>
    <t>Mevagissey</t>
  </si>
  <si>
    <t>St Austell South</t>
  </si>
  <si>
    <t>M097</t>
  </si>
  <si>
    <t>Car y Mor</t>
  </si>
  <si>
    <t>Carn ar Wig</t>
  </si>
  <si>
    <t>M082</t>
  </si>
  <si>
    <t>Brixham</t>
  </si>
  <si>
    <t>Torquay Mussels</t>
  </si>
  <si>
    <t>Mytilus spp</t>
  </si>
  <si>
    <t>M001</t>
  </si>
  <si>
    <t>Holy Island</t>
  </si>
  <si>
    <t>Ross Links</t>
  </si>
  <si>
    <t>P oysters</t>
  </si>
  <si>
    <t>Paglesham Reach</t>
  </si>
  <si>
    <t>Ray Creek</t>
  </si>
  <si>
    <t>St Peter's Flats</t>
  </si>
  <si>
    <t>M094</t>
  </si>
  <si>
    <t>Porlock</t>
  </si>
  <si>
    <t>Porlock East relay</t>
  </si>
  <si>
    <t>Oyster Perch</t>
  </si>
  <si>
    <t>Porlock Relay</t>
  </si>
  <si>
    <t>Mersea Flats West</t>
  </si>
  <si>
    <t>Porlock Relay 2</t>
  </si>
  <si>
    <t>P. oysters</t>
  </si>
  <si>
    <t>North Kent Coast</t>
  </si>
  <si>
    <t>North Woolpack</t>
  </si>
  <si>
    <t>O. edulis</t>
  </si>
  <si>
    <t>M034</t>
  </si>
  <si>
    <t>Porthallow</t>
  </si>
  <si>
    <t>Porthallow Cove North</t>
  </si>
  <si>
    <t>Fal (Lower)</t>
  </si>
  <si>
    <t>Restronguet Creek</t>
  </si>
  <si>
    <t>Outer Blackwater</t>
  </si>
  <si>
    <t>East Bank</t>
  </si>
  <si>
    <t>Class A Season â€“ 1st February to 30th September (Class B at all other times</t>
  </si>
  <si>
    <t>Poole Harbour North</t>
  </si>
  <si>
    <t>1st June â€“ 30th September</t>
  </si>
  <si>
    <t>M015</t>
  </si>
  <si>
    <t>Crouch</t>
  </si>
  <si>
    <t>Easter Reach</t>
  </si>
  <si>
    <t>Seasonal A -1 Nov-30June</t>
  </si>
  <si>
    <t>Brands Bay</t>
  </si>
  <si>
    <t>SNLA 1 March to 31 December</t>
  </si>
  <si>
    <t>M mercenarai</t>
  </si>
  <si>
    <t>Seasonal A-1 Mar-31 Oct</t>
  </si>
  <si>
    <t>M. mercenaria</t>
  </si>
  <si>
    <t>1 March and 31 December</t>
  </si>
  <si>
    <t>Tapes spp</t>
  </si>
  <si>
    <t>1 March to 31 December</t>
  </si>
  <si>
    <t>Maplin East</t>
  </si>
  <si>
    <t>Buxey Sands</t>
  </si>
  <si>
    <t>1st December to 31st July</t>
  </si>
  <si>
    <t>Dengie Flats</t>
  </si>
  <si>
    <t>M048</t>
  </si>
  <si>
    <t>Morecambe Bay - Roosebeck</t>
  </si>
  <si>
    <t>Central East</t>
  </si>
  <si>
    <t>East Barrows</t>
  </si>
  <si>
    <t>West Barrows</t>
  </si>
  <si>
    <t>Barrows</t>
  </si>
  <si>
    <t>C. edule</t>
  </si>
  <si>
    <t>St Just</t>
  </si>
  <si>
    <t>Site 1</t>
  </si>
  <si>
    <t>SNLA 1 February to 31 November (buffer period 1-31 January)</t>
  </si>
  <si>
    <t>Morecambe Roosebeck</t>
  </si>
  <si>
    <t>Foulney</t>
  </si>
  <si>
    <t>Fishcombe Cove</t>
  </si>
  <si>
    <t>Seasonal A (1 June-December)</t>
  </si>
  <si>
    <t>Mytilus spp.</t>
  </si>
  <si>
    <t>1 April and 31 December</t>
  </si>
  <si>
    <t>Paglesham Pool</t>
  </si>
  <si>
    <t>CLass A 1 December to 31 August (buffer period 1-31 November)</t>
  </si>
  <si>
    <t>WestBeach</t>
  </si>
  <si>
    <t>SNLA 1 March until 31 July.</t>
  </si>
  <si>
    <t>Class A 1 November - 31 July (reverting to class B at all other times)</t>
  </si>
  <si>
    <t>Roosebeck bed 1</t>
  </si>
  <si>
    <t>SEASONAL A-1 Jan-30 Sept</t>
  </si>
  <si>
    <t>West Brownsea</t>
  </si>
  <si>
    <t>C. gigas</t>
  </si>
  <si>
    <t>SNLA (Buffer 1 to 31 May) Class A 1 June to 30 Sept</t>
  </si>
  <si>
    <t>Inner Roach</t>
  </si>
  <si>
    <t>Barlinghall Creek</t>
  </si>
  <si>
    <t>Salcott Channel</t>
  </si>
  <si>
    <t>M026</t>
  </si>
  <si>
    <t>Exe</t>
  </si>
  <si>
    <t>Starcross to Powderham</t>
  </si>
  <si>
    <t>M023</t>
  </si>
  <si>
    <t>Beaulieu</t>
  </si>
  <si>
    <t>Landing Stage</t>
  </si>
  <si>
    <t>Helford</t>
  </si>
  <si>
    <t>East of Groyne Point</t>
  </si>
  <si>
    <t>South of Porth Navas Bar</t>
  </si>
  <si>
    <t>Lympstone</t>
  </si>
  <si>
    <t>Mylor Bank</t>
  </si>
  <si>
    <t>M varia</t>
  </si>
  <si>
    <t>Fal (Upper)</t>
  </si>
  <si>
    <t>King Harry Reach</t>
  </si>
  <si>
    <t>Lantivet Bay</t>
  </si>
  <si>
    <t>St Austell Bay</t>
  </si>
  <si>
    <t>Landrion Point to Gerrans Poin</t>
  </si>
  <si>
    <t>Mevagissey Bay</t>
  </si>
  <si>
    <t>Pentewan</t>
  </si>
  <si>
    <t>M020</t>
  </si>
  <si>
    <t>PORTSMOUTH HARBOUR</t>
  </si>
  <si>
    <t>Fareham Lake</t>
  </si>
  <si>
    <t>M021</t>
  </si>
  <si>
    <t>Southampton Water</t>
  </si>
  <si>
    <t>Hamble Estuary</t>
  </si>
  <si>
    <t>Southampton Water - Off Fawley</t>
  </si>
  <si>
    <t>M066</t>
  </si>
  <si>
    <t>Lune</t>
  </si>
  <si>
    <t>Pilling Sands</t>
  </si>
  <si>
    <t>1st December to 31st May</t>
  </si>
  <si>
    <t>M076</t>
  </si>
  <si>
    <t>Swale</t>
  </si>
  <si>
    <t>Swale Outer</t>
  </si>
  <si>
    <t>M071</t>
  </si>
  <si>
    <t>Three Rivers</t>
  </si>
  <si>
    <t>Tywi</t>
  </si>
  <si>
    <t>North Margate Sand and Pan San</t>
  </si>
  <si>
    <t>C.edule</t>
  </si>
  <si>
    <t>M046</t>
  </si>
  <si>
    <t>Ribble</t>
  </si>
  <si>
    <t>Penfold South</t>
  </si>
  <si>
    <t>C edule</t>
  </si>
  <si>
    <t>M037</t>
  </si>
  <si>
    <t>Swansea</t>
  </si>
  <si>
    <t>Queens Dock</t>
  </si>
  <si>
    <t>Ribbles Walls North</t>
  </si>
  <si>
    <t>M025</t>
  </si>
  <si>
    <t>Portland Harbour</t>
  </si>
  <si>
    <t>Site A</t>
  </si>
  <si>
    <t>M052</t>
  </si>
  <si>
    <t>Duddon</t>
  </si>
  <si>
    <t>Duddon Sands</t>
  </si>
  <si>
    <t>Wyre Approaches</t>
  </si>
  <si>
    <t>Wyre Estuary</t>
  </si>
  <si>
    <t>M009</t>
  </si>
  <si>
    <t>Butley</t>
  </si>
  <si>
    <t>Butley Oysterage</t>
  </si>
  <si>
    <t>M031</t>
  </si>
  <si>
    <t>Yealm</t>
  </si>
  <si>
    <t>Fox Cove</t>
  </si>
  <si>
    <t>1 November to 31 August</t>
  </si>
  <si>
    <t>M030</t>
  </si>
  <si>
    <t>Bigbury and Avon</t>
  </si>
  <si>
    <t>South Hexdown</t>
  </si>
  <si>
    <t>M019</t>
  </si>
  <si>
    <t>Langstone</t>
  </si>
  <si>
    <t>Langstone Channel</t>
  </si>
  <si>
    <t>West Bank</t>
  </si>
  <si>
    <t>M028</t>
  </si>
  <si>
    <t>Dart</t>
  </si>
  <si>
    <t>Waddeton</t>
  </si>
  <si>
    <t>C gigas</t>
  </si>
  <si>
    <t>Sandridge Boathouse</t>
  </si>
  <si>
    <t>Tolverne</t>
  </si>
  <si>
    <t>Coombe Creek</t>
  </si>
  <si>
    <t>Maggoty Bank</t>
  </si>
  <si>
    <t>Grimes Bar</t>
  </si>
  <si>
    <t>Mylor Creek</t>
  </si>
  <si>
    <t>Bridgemarsh</t>
  </si>
  <si>
    <t>M010</t>
  </si>
  <si>
    <t>Deben</t>
  </si>
  <si>
    <t>Girlings Hard</t>
  </si>
  <si>
    <t>Tollesbury North</t>
  </si>
  <si>
    <t>Strood Channel</t>
  </si>
  <si>
    <t>Main Channel Central</t>
  </si>
  <si>
    <t>Main Channel Outer</t>
  </si>
  <si>
    <t>Central Blackwater</t>
  </si>
  <si>
    <t>Goldhanger</t>
  </si>
  <si>
    <t>Osea South</t>
  </si>
  <si>
    <t>Mersea Flats East</t>
  </si>
  <si>
    <t>Outer Crouch</t>
  </si>
  <si>
    <t>South Oaze</t>
  </si>
  <si>
    <t>Westbeach</t>
  </si>
  <si>
    <t>Swale Causeway</t>
  </si>
  <si>
    <t>King Harry &amp; Channals Creek</t>
  </si>
  <si>
    <t>Parson's Bank</t>
  </si>
  <si>
    <t>M024</t>
  </si>
  <si>
    <t>Chilling to Gilkicker</t>
  </si>
  <si>
    <t>Portsmouth Harbour</t>
  </si>
  <si>
    <t>East Harbour</t>
  </si>
  <si>
    <t>West Harbour</t>
  </si>
  <si>
    <t>Whitstable Bay</t>
  </si>
  <si>
    <t>Turnaware Bar</t>
  </si>
  <si>
    <t>Porth Navas Quay</t>
  </si>
  <si>
    <t>Ryde Middle &amp; Sturbridge</t>
  </si>
  <si>
    <t>Tollesbury - Old Hall Creek</t>
  </si>
  <si>
    <t>M018</t>
  </si>
  <si>
    <t>Chichester Harbour</t>
  </si>
  <si>
    <t>Thorney</t>
  </si>
  <si>
    <t>West Cant and Scrapsgate â€“ TEC</t>
  </si>
  <si>
    <t>East Cant, Middle and Red Sand</t>
  </si>
  <si>
    <t>M087</t>
  </si>
  <si>
    <t>Start Bay</t>
  </si>
  <si>
    <t>Off Strete</t>
  </si>
  <si>
    <t>S solida</t>
  </si>
  <si>
    <t>Fambridge</t>
  </si>
  <si>
    <t>Portsmouth</t>
  </si>
  <si>
    <t>South East Langstone Harbour</t>
  </si>
  <si>
    <t>Tipner Bridge West</t>
  </si>
  <si>
    <t>Wareham Channel</t>
  </si>
  <si>
    <t>Rockley</t>
  </si>
  <si>
    <t>Whitley Lake</t>
  </si>
  <si>
    <t>Wych Lake</t>
  </si>
  <si>
    <t>Pollard</t>
  </si>
  <si>
    <t>M005</t>
  </si>
  <si>
    <t>Brancaster</t>
  </si>
  <si>
    <t>M038</t>
  </si>
  <si>
    <t>Burry Inlet</t>
  </si>
  <si>
    <t>Northside: west</t>
  </si>
  <si>
    <t>Whiteford Point</t>
  </si>
  <si>
    <t>Southend Flats</t>
  </si>
  <si>
    <t>West Kirby</t>
  </si>
  <si>
    <t>Caldy Blacks</t>
  </si>
  <si>
    <t>Thurstaston</t>
  </si>
  <si>
    <t>M042</t>
  </si>
  <si>
    <t>Menai Strait - West</t>
  </si>
  <si>
    <t>Traeth Melynog</t>
  </si>
  <si>
    <t>M004</t>
  </si>
  <si>
    <t>The Wash</t>
  </si>
  <si>
    <t>Heacham and Hunstanton</t>
  </si>
  <si>
    <t>M003</t>
  </si>
  <si>
    <t>Witham and Welland outer</t>
  </si>
  <si>
    <t>Freiston to Wainfleet</t>
  </si>
  <si>
    <t>Central West</t>
  </si>
  <si>
    <t>M055</t>
  </si>
  <si>
    <t>Menai Straits - East</t>
  </si>
  <si>
    <t>Lavan West</t>
  </si>
  <si>
    <t>Lavan East</t>
  </si>
  <si>
    <t>M058</t>
  </si>
  <si>
    <t>Liverpool Bay - Wirral</t>
  </si>
  <si>
    <t>Leasowe and New Brighton</t>
  </si>
  <si>
    <t>Three RIvers</t>
  </si>
  <si>
    <t>Gwendraeth</t>
  </si>
  <si>
    <t>None</t>
  </si>
  <si>
    <t>Swale Entrance</t>
  </si>
  <si>
    <t>Morecambe</t>
  </si>
  <si>
    <t>Newbiggin</t>
  </si>
  <si>
    <t>Nene Mouth</t>
  </si>
  <si>
    <t>M043</t>
  </si>
  <si>
    <t>Anglesey - Inland Sea</t>
  </si>
  <si>
    <t>Gorsedd y Penrhyn</t>
  </si>
  <si>
    <t>M035</t>
  </si>
  <si>
    <t>Camel</t>
  </si>
  <si>
    <t>Porthilly Cove</t>
  </si>
  <si>
    <t>Pont Pill</t>
  </si>
  <si>
    <t>M006</t>
  </si>
  <si>
    <t>Blakeney</t>
  </si>
  <si>
    <t>Wells - The Pool</t>
  </si>
  <si>
    <t>Pwll</t>
  </si>
  <si>
    <t>Tregothan/Ruan Pontoon</t>
  </si>
  <si>
    <t>King Harry Mussel Lines</t>
  </si>
  <si>
    <t>Stonner Point</t>
  </si>
  <si>
    <t>Shottisham Creek</t>
  </si>
  <si>
    <t>M036</t>
  </si>
  <si>
    <t>Taw/Torridge</t>
  </si>
  <si>
    <t>Outer Estuary (Main Beds)</t>
  </si>
  <si>
    <t>Coolstone</t>
  </si>
  <si>
    <t>Thames Estaury</t>
  </si>
  <si>
    <t>North Sheppy</t>
  </si>
  <si>
    <t>M027</t>
  </si>
  <si>
    <t>Teign</t>
  </si>
  <si>
    <t>Gas Works</t>
  </si>
  <si>
    <t>Mylor</t>
  </si>
  <si>
    <t>Exe Approaches</t>
  </si>
  <si>
    <t>Dawlish to Powderham</t>
  </si>
  <si>
    <t>M044</t>
  </si>
  <si>
    <t>Conwy</t>
  </si>
  <si>
    <t>Morfa, Gamlwys &amp; Green Island</t>
  </si>
  <si>
    <t>Scabs &amp; Cae Conwy</t>
  </si>
  <si>
    <t>Welland and WItham Inner</t>
  </si>
  <si>
    <t>Welland and Witham Outer</t>
  </si>
  <si>
    <t>Mare Tail, Gat and Toft</t>
  </si>
  <si>
    <t>Heacham &amp; Hunstanton</t>
  </si>
  <si>
    <t>Menai Straits - West</t>
  </si>
  <si>
    <t>Llanfair</t>
  </si>
  <si>
    <t>Barras</t>
  </si>
  <si>
    <t>M059</t>
  </si>
  <si>
    <t>Silloth</t>
  </si>
  <si>
    <t>Silloth - South</t>
  </si>
  <si>
    <t>East Bank Mussels</t>
  </si>
  <si>
    <t>West Brownsea Relay Area Buffe</t>
  </si>
  <si>
    <t>Lifeboat Slip</t>
  </si>
  <si>
    <t>Areas 3 &amp; 4</t>
  </si>
  <si>
    <t>Area A</t>
  </si>
  <si>
    <t>Area 6</t>
  </si>
  <si>
    <t>Area 1</t>
  </si>
  <si>
    <t>Areas 5 &amp; B</t>
  </si>
  <si>
    <t>Areas 2 &amp; B</t>
  </si>
  <si>
    <t>Ball Hill production area</t>
  </si>
  <si>
    <t>Gentle Jane</t>
  </si>
  <si>
    <t>Menai Strait West</t>
  </si>
  <si>
    <t>Abermenai</t>
  </si>
  <si>
    <t>West of Southend Pier</t>
  </si>
  <si>
    <t>Thornham</t>
  </si>
  <si>
    <t>Porthilly Rock</t>
  </si>
  <si>
    <t>East of Southend Pier</t>
  </si>
  <si>
    <t>South Side</t>
  </si>
  <si>
    <t>Spinny Marsh</t>
  </si>
  <si>
    <t>Longwood</t>
  </si>
  <si>
    <t>Percuil - All Beds</t>
  </si>
  <si>
    <t>Fleet</t>
  </si>
  <si>
    <t>Fleet - Bed F1</t>
  </si>
  <si>
    <t>Areas 2-3</t>
  </si>
  <si>
    <t>Higher Gurrow Point</t>
  </si>
  <si>
    <t>Ball Hill</t>
  </si>
  <si>
    <t>Swale Inner</t>
  </si>
  <si>
    <t>Longlands</t>
  </si>
  <si>
    <t>Brandy Hole</t>
  </si>
  <si>
    <t>Taw Torridge</t>
  </si>
  <si>
    <t>Zeta Berth</t>
  </si>
  <si>
    <t>1 February to 30 June (buffer period 1-31 January)</t>
  </si>
  <si>
    <t>SEASONAL B (1 May-30 Nov)</t>
  </si>
  <si>
    <t>Ouse Mouth</t>
  </si>
  <si>
    <t>Power Station</t>
  </si>
  <si>
    <t>Seasonal B (1 Jan-31 July)</t>
  </si>
  <si>
    <t>Conwy Bridge</t>
  </si>
  <si>
    <t>SNLB 1 October to 30 April</t>
  </si>
  <si>
    <t>Seasonal B (1 April-28/29 Feb)</t>
  </si>
  <si>
    <t>Gas Works 2</t>
  </si>
  <si>
    <t>Thorn</t>
  </si>
  <si>
    <t>1 December to 31 May</t>
  </si>
  <si>
    <t>Seasonal B-1 Nov-30 April</t>
  </si>
  <si>
    <t>Southampton water</t>
  </si>
  <si>
    <t>Bird Pile</t>
  </si>
  <si>
    <t>Paulsgrove and Portchester</t>
  </si>
  <si>
    <t>Leigh Foreshore</t>
  </si>
  <si>
    <t>Dalton's Point</t>
  </si>
  <si>
    <t>Southside: South East 4</t>
  </si>
  <si>
    <t>South Mid</t>
  </si>
  <si>
    <t>Taf</t>
  </si>
  <si>
    <t>Penfold North</t>
  </si>
  <si>
    <t>Netley</t>
  </si>
  <si>
    <t>Weston Shelf</t>
  </si>
  <si>
    <t>M032</t>
  </si>
  <si>
    <t>Plymouth</t>
  </si>
  <si>
    <t>Plym - All Beds</t>
  </si>
  <si>
    <t>Tamar - All beds above Henn Po</t>
  </si>
  <si>
    <t>Itchen Bridge</t>
  </si>
  <si>
    <t>M085</t>
  </si>
  <si>
    <t>Mersey</t>
  </si>
  <si>
    <t>Mersey (Wallasey)</t>
  </si>
  <si>
    <t>M063</t>
  </si>
  <si>
    <t>Medina</t>
  </si>
  <si>
    <t>Dodnor</t>
  </si>
  <si>
    <t>Thurstaston East</t>
  </si>
  <si>
    <t>Bailey's Hard</t>
  </si>
  <si>
    <t>Lychett Bay</t>
  </si>
  <si>
    <t>Wisemans</t>
  </si>
  <si>
    <t>Turnaware Point Relay</t>
  </si>
  <si>
    <t>Prinstead</t>
  </si>
  <si>
    <t>Eling</t>
  </si>
  <si>
    <t>Aldingham</t>
  </si>
  <si>
    <t>Fal</t>
  </si>
  <si>
    <t>Ruan Creek</t>
  </si>
  <si>
    <t>Ribble Channel</t>
  </si>
  <si>
    <t>All species</t>
  </si>
  <si>
    <t>S. solida</t>
  </si>
  <si>
    <t>Swalecliffe</t>
  </si>
  <si>
    <t>P. maximus</t>
  </si>
  <si>
    <t>Fareham Lake Middle</t>
  </si>
  <si>
    <t>Hythe</t>
  </si>
  <si>
    <t>Catherinehole Scar</t>
  </si>
  <si>
    <t>Classification</t>
  </si>
  <si>
    <t>Total area (ha)</t>
  </si>
  <si>
    <t>Habitat Impact (incl. biodiversity)</t>
  </si>
  <si>
    <r>
      <rPr>
        <b/>
        <i/>
        <sz val="11"/>
        <color theme="1"/>
        <rFont val="Aptos"/>
        <family val="2"/>
      </rPr>
      <t>Value application</t>
    </r>
    <r>
      <rPr>
        <i/>
        <sz val="11"/>
        <color theme="1"/>
        <rFont val="Aptos"/>
        <family val="2"/>
      </rPr>
      <t xml:space="preserve">
</t>
    </r>
    <r>
      <rPr>
        <sz val="11"/>
        <color theme="1"/>
        <rFont val="Aptos"/>
        <family val="2"/>
      </rPr>
      <t xml:space="preserve">- Before application, the appraisal period should be updated in COMPANY INPUT to make sure carbon values are correct.
- </t>
    </r>
    <r>
      <rPr>
        <i/>
        <sz val="11"/>
        <color theme="1"/>
        <rFont val="Aptos"/>
        <family val="2"/>
      </rPr>
      <t xml:space="preserve">Air quality </t>
    </r>
    <r>
      <rPr>
        <sz val="11"/>
        <color theme="1"/>
        <rFont val="Aptos"/>
        <family val="2"/>
      </rPr>
      <t>values should be uplifted by an additional 2% per annum to be consistent with interdepartmental guidance to reflects increases in willingness to pay for avoided health outcomes over time.
- To represent Biodiversity Unit gained from creation/improvement of watercourses, please use the Biodiversity Unit - watercourses only impact category. For Biodiversity Unit gained from any other habitat types, please use Biodiversity Unit (high/medium/low) as appropriate.</t>
    </r>
    <r>
      <rPr>
        <i/>
        <sz val="11"/>
        <color theme="1"/>
        <rFont val="Aptos"/>
        <family val="2"/>
      </rPr>
      <t xml:space="preserve">
</t>
    </r>
    <r>
      <rPr>
        <b/>
        <i/>
        <sz val="11"/>
        <color theme="1"/>
        <rFont val="Aptos"/>
        <family val="2"/>
      </rPr>
      <t>To avoid double counting</t>
    </r>
    <r>
      <rPr>
        <i/>
        <sz val="11"/>
        <color theme="1"/>
        <rFont val="Aptos"/>
        <family val="2"/>
      </rPr>
      <t xml:space="preserve">
</t>
    </r>
    <r>
      <rPr>
        <sz val="11"/>
        <color theme="1"/>
        <rFont val="Aptos"/>
        <family val="2"/>
      </rPr>
      <t>To avoid double counting:
- The SuDS impact categories should not be used with the sewer/clean water flooding service measures (14-17) as both capture water regulation and mental health values.
- The SuDS and urban impact categories should not be used with Amenity SM (34) as both capture quality of place benefits
- The Biodiversity Unit impact categories should not be used with the other impact categories in this Service Measure to avoid double counting biodiversity value.</t>
    </r>
    <r>
      <rPr>
        <i/>
        <sz val="11"/>
        <color theme="1"/>
        <rFont val="Aptos"/>
        <family val="2"/>
      </rPr>
      <t xml:space="preserve">
</t>
    </r>
    <r>
      <rPr>
        <sz val="11"/>
        <color theme="1"/>
        <rFont val="Aptos"/>
        <family val="2"/>
      </rPr>
      <t>- Water quality impacts on habitats: SuDS, urban wetland, rural wetland, urban woodland, and rural woodland, should be valued through the Nutrient removal (33) SM on agreement from the User Group during CVF development.</t>
    </r>
  </si>
  <si>
    <t>The table below provides guidance on how habitat condition 'good', 'moderate', and 'poor' can be selected.</t>
  </si>
  <si>
    <t>High benefits</t>
  </si>
  <si>
    <t>Medium benefits</t>
  </si>
  <si>
    <t>Low benefits</t>
  </si>
  <si>
    <t>SuDS</t>
  </si>
  <si>
    <t>Where SuDS provide multiple environmental and social benefits beyond water management. They often act as community assets - supporting recreation, education, and well-being while enhancing air quality and urban cooling.</t>
  </si>
  <si>
    <t xml:space="preserve">Where SuDS provide effective flood regulation and water quality improvements but offer limited ecological or social co-benefits. </t>
  </si>
  <si>
    <t>Where SuDS only provide flood regulation or water quality benefits.</t>
  </si>
  <si>
    <t>Good</t>
  </si>
  <si>
    <t>Moderate</t>
  </si>
  <si>
    <t>Poor</t>
  </si>
  <si>
    <t>Woodland (urban &amp; rural)</t>
  </si>
  <si>
    <t>Structurally diverse and rich in native species. It includes a mix of tree ages and shows signs of natural regeneration. Good tree health with low mortality and no major pests, disease or damage. There are no invasive plant species present.</t>
  </si>
  <si>
    <t xml:space="preserve">Some structural and species diversity with more than half of the area composed of native species. There is a mix of tree ages and some regeneration. Fair tree health with minor signs of pests or disease. Invasive plant species may be present but small in area. </t>
  </si>
  <si>
    <t>Poor condition, lacks structural and species diversity, with little or no natural regeneration. Tree health is poor, with visible signs of mortality, disease, or pest damage. Invasive plant species are widespread with clear evidence of disturbance. Clear signs of nutrient enrichment.</t>
  </si>
  <si>
    <t>Wetland (urban &amp; rural), Peatland</t>
  </si>
  <si>
    <t xml:space="preserve">Consistently high water table, with saturated ground or standing water visible. Vegetation is typical and featuring wetland species. Water inputs are clean and unpolluted with no signs of artificial drainage or nutrient enrichment. Invasive species are absent, and scrub or bare ground cover is minimal. </t>
  </si>
  <si>
    <t>Some natural wetland features but shows inconsistency in water levels, vegetation structure, or species composition.  Low levels of scrub, bare ground, or early signs of disturbance may be present. Ecological potential remains, but signs of stress are evident.</t>
  </si>
  <si>
    <t xml:space="preserve">Significant degradation, with water levels often low or artificial drainage affecting hydrology. Typical wetland plants are sparse. Pollution, invasive species, excessive scrub, or extensive bare ground are common. </t>
  </si>
  <si>
    <t>Urban grassland</t>
  </si>
  <si>
    <t xml:space="preserve">Rich variety of native wildflowers and grasses. The vegetation is structurally varied with a mix of shorter and taller areas that support a wide range of wildlife. Bare ground occurs only in small, natural patches, while scrub and bracken are minimal. No signs of invasive species, damaging activities, or poor management. </t>
  </si>
  <si>
    <t>Some diversity of native species and a degree of structural variation, but lacks the richness or balance seen in healthier grasslands. Some scrub or bracken may be present, and there may be early signs of disturbance. The habitat remains functional but shows evidence of ecological decline or reduced value for wildlife.</t>
  </si>
  <si>
    <t>Narrow range of grasses or non-native species, with little structural variety or botanical interest. Scrub, bracken, or bare ground may be widespread. Common signs of poor management, invasive species, and heavy damage. The habitat lacks ecological function and offers little benefit for biodiversity.</t>
  </si>
  <si>
    <t>Farmland</t>
  </si>
  <si>
    <t xml:space="preserve">Well-managed soils that support sustainable farming and ecosystem health. Farmers use minimal tillage or no‑till methods, preserving soil structure, moisture, and microorganisms. Nutrients are recycled through cover crops, compost or manure. Water infiltrates easily, with minimal runoff or erosion. </t>
  </si>
  <si>
    <t xml:space="preserve">Signs of good soil management but with some shortcomings. Fields may still be regularly tilled, reducing soil stability and biological activity. Water movement may cause occasional runoff or minor erosion. Soil compaction or bare patches may occur leading to nutrient loss. </t>
  </si>
  <si>
    <t>Clear signs of degraded soil structure and unsustainable practices. Soils are frequently ploughed or heavily disturbed, with little or no organic cover between crops. Water runoff, erosion, or surface crusting is common. Compaction is widespread. Nutrients leach easily or are over-applied in patches.</t>
  </si>
  <si>
    <t>Mountain, moors &amp; heath</t>
  </si>
  <si>
    <t>Diverse mix of typical heathland plants is present, including a healthy variety of dwarf shrubs and heather at different life stages. Small areas of bare ground are visible and beneficial for wildlife. There are no signs of invasive species, artificial disturbance, or pollution. Grazing or browsing is balanced.</t>
  </si>
  <si>
    <t xml:space="preserve">Some key heathland features but lacks the full ecological balance of a thriving site. Bare ground may be either too sparse or too widespread, and scrub or gorse may be beginning to encroach. There may be signs of past disturbance, light damage, or small patches of invasive species. </t>
  </si>
  <si>
    <t>Absence of distinctive heathland structure and species, where key heathland plants may be replaced by grasses, scrub, or bracken. Invasive species may be widespread, and there are visible signs of damage. Bare ground may be missing or excessive.</t>
  </si>
  <si>
    <t xml:space="preserve">Shaped by natural coastal processes, with little or no human interference. Native vegetation forms clear and continuous zones that blend naturally into neighbouring coastal habitats. There are no visible signs of pollution, nuisance algal growth, or invasive species. Litter is minimal, and signs of human use are rare. </t>
  </si>
  <si>
    <t xml:space="preserve">Some signs of disturbance. Coastal processes may be slightly altered, and vegetation patterns may be uneven in places. Invasive species or algal growth may occur in small areas, and some litter or light human use may be noticeable. </t>
  </si>
  <si>
    <t xml:space="preserve">Significantly altered or fragmented. Natural coastal processes are disrupted and vegetation zones are indistinct or damaged. Invasive species, algal blooms, or visible pollution may be widespread. Signs of litter, trampling, or other damage are common. 
</t>
  </si>
  <si>
    <t>High value</t>
  </si>
  <si>
    <t>Central value</t>
  </si>
  <si>
    <t>Low value</t>
  </si>
  <si>
    <t>Biodiversity unit</t>
  </si>
  <si>
    <t>Habitat types that are scarce on Biodiversity market, such as high distinctiveness woodland, wet woodland, and mixed deciduous woodland.</t>
  </si>
  <si>
    <t>Habitat types that are less common on Biodiversity market, such as medium distinctiveness woodland, lowland meadow, lakes/ ponds (non priority habitat), individual trees, and traditional orchard.</t>
  </si>
  <si>
    <t>Habitat types in abundant supply on Biodiversity market, such as other neutral grassland and heathland &amp; scrub.</t>
  </si>
  <si>
    <t>LG (L)</t>
  </si>
  <si>
    <t>Providing additional water sources for supply</t>
  </si>
  <si>
    <t>Water UK / Stantec (2021) Storm overflow evidence project</t>
  </si>
  <si>
    <t>SuDS - low benefit</t>
  </si>
  <si>
    <t>£/ha impermeable area removed</t>
  </si>
  <si>
    <t>Increased infiltration to groundwater, helping to maintain natural hydrology, increase availability of water for abstraction or reduce treatment costs. Assumes a "typical" mix of SuDS measures including a range of green infrastructure with some grey infrastructure to connect them together. Numbers derived from B£ST with typical population numbers to calculate benefits per ha. 2021 price.</t>
  </si>
  <si>
    <t>SuDS - high benefit</t>
  </si>
  <si>
    <t>Value (£/ha)</t>
  </si>
  <si>
    <t>Taken directly from Water UK  / Stantec (source 116) report</t>
  </si>
  <si>
    <t>SuDS - medium benefit</t>
  </si>
  <si>
    <t>Average of two value above</t>
  </si>
  <si>
    <t>Morris and Camino (2011) UK NEA Working Paper Economic Assessment of Freshwater, Wetland and Floodplain (FWF) Ecosystem Services</t>
  </si>
  <si>
    <t>UK coastal wetland - extra contribution above default estimate - surface and groundwater supply</t>
  </si>
  <si>
    <t>If all coastal wetlands are assumed to generate surface and groundwater supply services, the aggregate value is £16/ha/yr. £2010.</t>
  </si>
  <si>
    <t>UK coastal wetland - marginal value of extra provision - surface and groundwater supply</t>
  </si>
  <si>
    <t>This is the marginal benefit of increasing the coastal wetland stock by 10%. Note extending the area by 10% is associated with lower marginal benefit per ha because of diminishing returns to scale. £2010.</t>
  </si>
  <si>
    <t xml:space="preserve">This is the average of the extra contribution / marginal benefit. An average is used because some habitats will be new and some will be expanding existing wetlands. </t>
  </si>
  <si>
    <t xml:space="preserve">This assumes 75% of the benefit of a good habitat is achieved. </t>
  </si>
  <si>
    <t xml:space="preserve">This assumes 50% of the benefit of a good habitat is achieved. </t>
  </si>
  <si>
    <t>Based on B£ST</t>
  </si>
  <si>
    <t>This is a recent piece of work carried out for the Storm Overflow Evidence Project and is UK specific valuation</t>
  </si>
  <si>
    <t>Cost of alternatives (sources of water)</t>
  </si>
  <si>
    <t>This is the only value found available. We have decided to include as it is from a reputable source vetted by Defra</t>
  </si>
  <si>
    <t>30-1</t>
  </si>
  <si>
    <t>Habitat impact</t>
  </si>
  <si>
    <t>30-2</t>
  </si>
  <si>
    <t>30-3</t>
  </si>
  <si>
    <t>30-4</t>
  </si>
  <si>
    <t>30-5</t>
  </si>
  <si>
    <t>30-6</t>
  </si>
  <si>
    <t>Improved water quality</t>
  </si>
  <si>
    <t xml:space="preserve">UK Inland Wetlands - marginal value of extra provision - water quality improvement </t>
  </si>
  <si>
    <t>If all inland wetlands are assumed to generate water quality improvement services, the aggregate value is £436/ha/yr. £2010.</t>
  </si>
  <si>
    <t xml:space="preserve">UK Inland Wetlands - extra contribution above default estimate - water quality improvement </t>
  </si>
  <si>
    <t>This is the marginal benefit of increasing the inland wetland stock by 10%. Note extending the area by 10% is associated with lower marginal benefit per ha because of diminishing returns to scale. £2010.</t>
  </si>
  <si>
    <t xml:space="preserve">UK Coastal Wetlands - marginal value of extra provision - water quality improvement </t>
  </si>
  <si>
    <t>If all coastal wetlands are assumed to generate water quality improvement services, the aggregate value is £2676/ha/yr. £2010.</t>
  </si>
  <si>
    <t xml:space="preserve">UK Coastal Wetlands - extra contribution above default estimate - water quality improvement </t>
  </si>
  <si>
    <t>Urban wetland ---  moderate</t>
  </si>
  <si>
    <t>Urban wetland ---  poor</t>
  </si>
  <si>
    <t>Cranfield University (2011) The total costs of soil degradation in England and Wales</t>
  </si>
  <si>
    <t>Mechanism</t>
  </si>
  <si>
    <t>Soil erosion</t>
  </si>
  <si>
    <t>Cost of N in rivers and lakes (£)</t>
  </si>
  <si>
    <t>£000, 2009</t>
  </si>
  <si>
    <t>Cost f N in transitional waters (£)</t>
  </si>
  <si>
    <t>Cost of P in freshwater lakes (£)</t>
  </si>
  <si>
    <t>Soil compaction</t>
  </si>
  <si>
    <t>Cost of N in transitional waters (£)</t>
  </si>
  <si>
    <t>Land use</t>
  </si>
  <si>
    <t>Urban</t>
  </si>
  <si>
    <t>Area affected by compaction (%)</t>
  </si>
  <si>
    <t>Horticulture</t>
  </si>
  <si>
    <t>Arable intensive</t>
  </si>
  <si>
    <t>Arable extensive</t>
  </si>
  <si>
    <t>Grassland improved</t>
  </si>
  <si>
    <t>Grassland unimproved</t>
  </si>
  <si>
    <t>Rough grassland</t>
  </si>
  <si>
    <t>Forestry**</t>
  </si>
  <si>
    <t>Woodland</t>
  </si>
  <si>
    <t>Wildscape</t>
  </si>
  <si>
    <t>Clay</t>
  </si>
  <si>
    <t>Silt</t>
  </si>
  <si>
    <t>Sand</t>
  </si>
  <si>
    <t>Peat</t>
  </si>
  <si>
    <t>Erosion rates for land use/soil type category (t ha-1 yr-1)</t>
  </si>
  <si>
    <t>Forestry</t>
  </si>
  <si>
    <t>Total area (calculated)</t>
  </si>
  <si>
    <t>Area of each soilscape  category (ha)</t>
  </si>
  <si>
    <t>This works out the water quality costs of different mechanisms leading to nutrient loss</t>
  </si>
  <si>
    <t>Mechanism and cost description</t>
  </si>
  <si>
    <t>£(2009 price)</t>
  </si>
  <si>
    <t>Soil erosion - water quality cost - all habitats</t>
  </si>
  <si>
    <t>Soil compaction - water quality cost - all habitats</t>
  </si>
  <si>
    <t xml:space="preserve">This works out total soil erosion for each land use type (t/yr) by multiplying erosion rate by area of land. The calculation then weights erosion across land use types and multiplies this by the water quality cost caused by soil erosion mechanism. </t>
  </si>
  <si>
    <t>Soil erosion - t/yr</t>
  </si>
  <si>
    <t>Total soil erosion</t>
  </si>
  <si>
    <t>Cost associated with LU type across entire area</t>
  </si>
  <si>
    <t>Cost per ha</t>
  </si>
  <si>
    <t>Calculated by multiplying soil erosion rate by area of land use type</t>
  </si>
  <si>
    <t xml:space="preserve">total </t>
  </si>
  <si>
    <t>soil erosion (£ per tonne)</t>
  </si>
  <si>
    <t>This calculation works out £/ha per year erosion value for different land use</t>
  </si>
  <si>
    <t>Soil erosion cost per land use (£/ha)</t>
  </si>
  <si>
    <t>This calculation works out the cost of compaction per ha (Calculated by estimating the area affected by compaction and distributing compaction costs across these areas)</t>
  </si>
  <si>
    <t>Area affected by compaction (ha)</t>
  </si>
  <si>
    <t>soil erosion (£ per ha)</t>
  </si>
  <si>
    <t>This calculation works out the water quality cost from erosion and compaction for the impact categories we are concerned with. It assumes the values calculated above are the maximum cost i.e. a poor habitat. Values for moderate and good habitats and calculated by multiplying the "poor" values by 0.75 and 0.5 respectively.</t>
  </si>
  <si>
    <t>Cost (£/ha 2009)</t>
  </si>
  <si>
    <t>Arable intensive / extensive</t>
  </si>
  <si>
    <t>Farmland -- poor</t>
  </si>
  <si>
    <t>Farmland -- moderate</t>
  </si>
  <si>
    <t>Farmland -- good</t>
  </si>
  <si>
    <t>Urban woodland -- poor</t>
  </si>
  <si>
    <t>Urban woodland -- moderate</t>
  </si>
  <si>
    <t>Urban woodland -- good</t>
  </si>
  <si>
    <t>Rural woodland -- poor</t>
  </si>
  <si>
    <t>Rural woodland -- moderate</t>
  </si>
  <si>
    <t>Rural woodland -- good</t>
  </si>
  <si>
    <t>Mountain moor &amp; heath -- poor</t>
  </si>
  <si>
    <t>Mountain moor &amp; heath -- moderate</t>
  </si>
  <si>
    <t>Mountain moor &amp; heath -- good</t>
  </si>
  <si>
    <t>This is the only value found available. We have decided to include as it is vetted by Defra.</t>
  </si>
  <si>
    <t xml:space="preserve"> /</t>
  </si>
  <si>
    <t>Unclear</t>
  </si>
  <si>
    <t>30-7</t>
  </si>
  <si>
    <t>30-8</t>
  </si>
  <si>
    <t>30-9</t>
  </si>
  <si>
    <t>30-10</t>
  </si>
  <si>
    <t>Agreed with User Group to avoid double counting with the Nutrient removal service measure.</t>
  </si>
  <si>
    <t>30-11</t>
  </si>
  <si>
    <t>30-12</t>
  </si>
  <si>
    <t>30-13</t>
  </si>
  <si>
    <t>30-14</t>
  </si>
  <si>
    <t>30-15</t>
  </si>
  <si>
    <t>30-16</t>
  </si>
  <si>
    <t>30-17</t>
  </si>
  <si>
    <t>30-18</t>
  </si>
  <si>
    <t>30-19</t>
  </si>
  <si>
    <t>30-20</t>
  </si>
  <si>
    <t>30-21</t>
  </si>
  <si>
    <t>30-22</t>
  </si>
  <si>
    <t>30-23</t>
  </si>
  <si>
    <t>30-24</t>
  </si>
  <si>
    <t>30-25</t>
  </si>
  <si>
    <t>30-26</t>
  </si>
  <si>
    <t>30-27</t>
  </si>
  <si>
    <t>Reduced flood risk</t>
  </si>
  <si>
    <t>Reduced risk of surface water and sewer flooding (also includes mental health impact of flooding). Assumes a "typical" mix of SuDS measures including a range of green infrastructure with some grey infrastructure to connect them together. Numbers derived from B£ST with typical population numbers to calculate benefits per ha. 2021 price.</t>
  </si>
  <si>
    <t>If all coastal wetlands are assumed to generate flood control and storm buffering services, the aggregate value is £3730/ha/yr. £2010.</t>
  </si>
  <si>
    <t>"Good" - This is the average of the extra contribution / marginal benefit. An average is used because some habitats will be new and some will be expanding existing wetlands. £2010.</t>
  </si>
  <si>
    <t>"Moderate" - This assumes 75% of the benefit of a good habitat is achieved. £2010.</t>
  </si>
  <si>
    <t>"Poor" - This assumes 50% of the benefit of a good habitat is achieved. £2010.</t>
  </si>
  <si>
    <t>Forest Research (2019) Valuing flood regulation services of existing forest cover to inform natural capital accounts</t>
  </si>
  <si>
    <t>Great Britain</t>
  </si>
  <si>
    <t>Unit (£2018)</t>
  </si>
  <si>
    <t>Average value for GB woodland providing flood water storage service</t>
  </si>
  <si>
    <t xml:space="preserve">Valuation method: replacement cost (rather than damage cost) approach to valuing the flood regulation service of woodland by applying annualised average capital and operating costs of flood reservoir storage that would be required in the absence of the ecosystem service.
Average value for GB woodland providing flood water storage service. See study for country breakdown and public / private forest breakdown. For example, England's woodland has a higher average per hectare value of £139.6m / 1.21 m ha = £115/ha. The estimates are experimental. </t>
  </si>
  <si>
    <t xml:space="preserve">"Good" - This is the average of the extra contribution / marginal benefit. An average is used because some habitats will be new and some will be expanding existing wetlands. 
"Moderate" - This assumes 75% of the benefit of a good habitat is achieved. 
"Poor" - This assumes 50% of the benefit of a good habitat is achieved. </t>
  </si>
  <si>
    <t>Reducing flood risk</t>
  </si>
  <si>
    <t>Calculated using B£ST</t>
  </si>
  <si>
    <t>Recently completed, geographically relevant</t>
  </si>
  <si>
    <t>Value option 7</t>
  </si>
  <si>
    <t>Value option 6</t>
  </si>
  <si>
    <t>Unclear - value transfer function informed by evidence of wetlands across Europe and applied to UK site</t>
  </si>
  <si>
    <t>Improved air quality</t>
  </si>
  <si>
    <t>Value Option 8</t>
  </si>
  <si>
    <t>ONS (2024) UK Natural Capital Accounts: 2024 - detailed summary tables</t>
  </si>
  <si>
    <t>Input data and calculations</t>
  </si>
  <si>
    <t>Habitat</t>
  </si>
  <si>
    <t>Annual value of air regulation services from habitat (£million, 2023)</t>
  </si>
  <si>
    <t>Annual value of air regulation services from habitat (£, 2023)</t>
  </si>
  <si>
    <t>Habitat coverage (km2)</t>
  </si>
  <si>
    <t>Habitat coverage (ha)</t>
  </si>
  <si>
    <t>Annual value of air regulation (£/ha, 2023)</t>
  </si>
  <si>
    <t>Broadleaf woodland</t>
  </si>
  <si>
    <t>2023 values for  UK, all pollutants</t>
  </si>
  <si>
    <t>Coniferous woodland</t>
  </si>
  <si>
    <t>Enclosed farmland</t>
  </si>
  <si>
    <t>Freshwater, wetlands, and floodplains</t>
  </si>
  <si>
    <t>Mountains, moorland, and heath</t>
  </si>
  <si>
    <t>Semi-natural grassland</t>
  </si>
  <si>
    <t>Urban trees</t>
  </si>
  <si>
    <t>Final calculation</t>
  </si>
  <si>
    <t>Value (£/ha, 2023 prices)</t>
  </si>
  <si>
    <t>Habitat type in ONS Natural Capital Account</t>
  </si>
  <si>
    <t xml:space="preserve">"Good" - Assumes that the ONS values represent a good habitat
"Moderate" - This assumes 75% of the benefit of a good habitat is achieved. 
"Poor" - This assumes 50% of the benefit of a good habitat is achieved. </t>
  </si>
  <si>
    <t>Value Option 9</t>
  </si>
  <si>
    <t>Air pollution regulation benefit of SuDS. Assumes a "typical" mix of SuDS measures including a range of green infrastructure with some grey infrastructure to connect them together. Numbers derived from B£ST with typical population numbers to calculate benefits per ha. 2021 price.</t>
  </si>
  <si>
    <t>Value option 9</t>
  </si>
  <si>
    <t>Value option 8</t>
  </si>
  <si>
    <t>QALY</t>
  </si>
  <si>
    <t>Recently published values, geographically relevant, quoted in ENCA</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</si>
  <si>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</si>
  <si>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</si>
  <si>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</si>
  <si>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</si>
  <si>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</si>
  <si>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</si>
  <si>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</si>
  <si>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</si>
  <si>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</si>
  <si>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</si>
  <si>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</si>
  <si>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</si>
  <si>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</si>
  <si>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</si>
  <si>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</si>
  <si>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</si>
  <si>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</si>
  <si>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</si>
  <si>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</si>
  <si>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</si>
  <si>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</si>
  <si>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</si>
  <si>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</si>
  <si>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</si>
  <si>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</si>
  <si>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</si>
  <si>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</si>
  <si>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</si>
  <si>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</si>
  <si>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</si>
  <si>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Carbon sequestration</t>
  </si>
  <si>
    <t>Value Option 10</t>
  </si>
  <si>
    <t>BEIS (2021) Valuing greenhouse gas emissions in policy appraisal</t>
  </si>
  <si>
    <t>Woodland sequestration values</t>
  </si>
  <si>
    <t>Value (tCO2e/ha/yr)</t>
  </si>
  <si>
    <t>Woodland type</t>
  </si>
  <si>
    <t>Source description</t>
  </si>
  <si>
    <t>Broadleaves light management</t>
  </si>
  <si>
    <t>Forest Research (2022), Table 2.4a Carbon sequestration by woodland options (2022-2100): 1 ha created in 2022, total woodland column. See table 2.1 for description of woodland types.</t>
  </si>
  <si>
    <t>Natural recolonisation, rapid</t>
  </si>
  <si>
    <t>Natural recolonisation, gradual</t>
  </si>
  <si>
    <t>Production broadleaves</t>
  </si>
  <si>
    <t>Production pine</t>
  </si>
  <si>
    <t>Moderate growing conifer unthinned</t>
  </si>
  <si>
    <t>Fast growing conifer unthinned</t>
  </si>
  <si>
    <t>Moderate growing conifer thinned</t>
  </si>
  <si>
    <t>Fast growing conifer thinned</t>
  </si>
  <si>
    <t>Fast growing Sitka spruce thinned</t>
  </si>
  <si>
    <t>Conifer mixture</t>
  </si>
  <si>
    <t>Complex mixture/broadleaf mixture</t>
  </si>
  <si>
    <t>Selected option for habitat type</t>
  </si>
  <si>
    <t>Justification for selection</t>
  </si>
  <si>
    <t>-6.7</t>
  </si>
  <si>
    <t>DEFRA ENCA recommends " Sequestration rates are much higher during vigorous growth periods and tail off as trees get older. For more precise, site-based sequestration factors, see Woodland Carbon Code Look-Up tables".</t>
  </si>
  <si>
    <t>-14.5</t>
  </si>
  <si>
    <t>Table 2.2 - Mixed native broadleaved woodland (30 years)</t>
  </si>
  <si>
    <t>Average of all woodland types from Forest Research (2022)</t>
  </si>
  <si>
    <t>This value is chosen to align with NCEM quantitative library carbon sequestration values.</t>
  </si>
  <si>
    <t>The Natural England study is a published comprehensive literature review for British habitat types. The evidence is more recent than the Christie et al study for 2010/2011. Therefore, we propose to utilise this rate.</t>
  </si>
  <si>
    <t>Zero and min till (Table 3.12)</t>
  </si>
  <si>
    <t>Land under arable (Table 3.12)</t>
  </si>
  <si>
    <t>Arable-erosion (Table 3.12)</t>
  </si>
  <si>
    <t>Peatland</t>
  </si>
  <si>
    <t>Near natural fen peatland, with a high water table for most of the year, and characterised by typical fen vegetation for the geography and geology of the area.</t>
  </si>
  <si>
    <t>The values from the Peatland Carbon Code are selected. These values are quoted both in ENCA and the NCEM (2025) workbook.</t>
  </si>
  <si>
    <t>Peatland in drained condition</t>
  </si>
  <si>
    <t>Peatland in 'actively eroding' or bare peat condition</t>
  </si>
  <si>
    <t>Grassland</t>
  </si>
  <si>
    <t>-0.397</t>
  </si>
  <si>
    <t>-1.59</t>
  </si>
  <si>
    <t xml:space="preserve"> Table 3.2 - Arable reversion to low input grassland</t>
  </si>
  <si>
    <t>Mountain moor &amp; heath</t>
  </si>
  <si>
    <t>-0.675</t>
  </si>
  <si>
    <t>Most relevant rate available.</t>
  </si>
  <si>
    <t>Coastal margin</t>
  </si>
  <si>
    <t>-1.98</t>
  </si>
  <si>
    <t>Rate from Table 6.2- Intertidal sediments</t>
  </si>
  <si>
    <t>The Natural England study is a published comprehensive literature review for British habitat types and is considered best available information.</t>
  </si>
  <si>
    <t>Wetland</t>
  </si>
  <si>
    <t>-16.12</t>
  </si>
  <si>
    <t>Rate from Table 5.2 - 'Ponds'</t>
  </si>
  <si>
    <t>Value (£/tCO2e, 2020 prices)</t>
  </si>
  <si>
    <t>Average of central values over appraisal period</t>
  </si>
  <si>
    <t>Value (£/ha, 2020 price)</t>
  </si>
  <si>
    <t>To differentiate between different habitat conditions, the sequestration rates from the table above have been assigned to good condition habitats. Then a factor of 0.75 has been applied to represent a moderate condition habitat, and a factor of 0.5 has been applied to represent a poor condition habitat.</t>
  </si>
  <si>
    <t>Value Option 11</t>
  </si>
  <si>
    <t>Carbon sequestration by SuDS. Assumes a "typical" mix of SuDS measures including a range of green infrastructure with some grey infrastructure to connect them together. Numbers derived from B£ST with typical population numbers to calculate benefits per ha. 2021 price.</t>
  </si>
  <si>
    <t>Value option 11</t>
  </si>
  <si>
    <t>Value option 10</t>
  </si>
  <si>
    <t>Carbon valuation</t>
  </si>
  <si>
    <t>UK government carbon values</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</si>
  <si>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</si>
  <si>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</si>
  <si>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</si>
  <si>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</si>
  <si>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</si>
  <si>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</si>
  <si>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</si>
  <si>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</si>
  <si>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</si>
  <si>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</si>
  <si>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</si>
  <si>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</si>
  <si>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</si>
  <si>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</si>
  <si>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</si>
  <si>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</si>
  <si>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</si>
  <si>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</si>
  <si>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</si>
  <si>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</si>
  <si>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</si>
  <si>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</si>
  <si>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</si>
  <si>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</si>
  <si>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</si>
  <si>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</si>
  <si>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</si>
  <si>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</si>
  <si>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</si>
  <si>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</si>
  <si>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</si>
  <si>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</si>
  <si>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Value Option 12</t>
  </si>
  <si>
    <t>Willis et al (2003) The social and environmental benefits of forests in Great Britain</t>
  </si>
  <si>
    <t>&gt;400</t>
  </si>
  <si>
    <t>Value (£/ha, 2015 price)</t>
  </si>
  <si>
    <t>Semi-natural woodland</t>
  </si>
  <si>
    <t xml:space="preserve">Average non-use biodiversity value of ancient and semi-natural woodland, based on Willis et al (2003) willingness to pay estimates. </t>
  </si>
  <si>
    <t xml:space="preserve">Forestry Commission economists have updated the Willis et al (2003) estimates of biodiversity non-use values with updated areas of relevant woodland and to 2015 prices. The area of woodland in scope is reckoned as 1.03 million hectares, consisting of ancient and semi-natural woodland, new broadleaf planting and conifer restocking / replanting. The updated aggregate GB value is £788m (2015 prices), giving an average value of £767 / ha. However, there are wide variations around this as below. Yet all estimates should be treated with much caution in view of the age and methods of the original study. </t>
  </si>
  <si>
    <t>Newly planted broadleaf</t>
  </si>
  <si>
    <t xml:space="preserve">Average non-use biodiversity value of newly planted broadleaf, based on Willis et al (2003) willingness to pay estimates. </t>
  </si>
  <si>
    <t>Restructuring conifers (low) and general restocking (high)</t>
  </si>
  <si>
    <t>£149-297</t>
  </si>
  <si>
    <t xml:space="preserve">Average non-use biodiversity value of restructuring conifers (low) and general restocking (high), based on Willis et al (2003) willingness to pay estimates. </t>
  </si>
  <si>
    <t>Value option 12</t>
  </si>
  <si>
    <t>Dated, but challenging to find studies that segregate use and non-use value, and as this is presented in ENCA it is deemed suitable</t>
  </si>
  <si>
    <t>30-90</t>
  </si>
  <si>
    <t>30-91</t>
  </si>
  <si>
    <t>30-92</t>
  </si>
  <si>
    <t>30-93</t>
  </si>
  <si>
    <t>30-94</t>
  </si>
  <si>
    <t>30-95</t>
  </si>
  <si>
    <t>Improved amenity</t>
  </si>
  <si>
    <t>Amenity value of SuDS. Assumes a "typical" mix of SuDS measures including a range of green infrastructure with some grey infrastructure to connect them together. Numbers derived from B£ST with typical population numbers to calculate benefits per ha. 2021 price.</t>
  </si>
  <si>
    <t>Value Option 13</t>
  </si>
  <si>
    <t>Gibbons et al (2014) The amenity value of English nature: a hedonic price approach</t>
  </si>
  <si>
    <t xml:space="preserve">Habitat </t>
  </si>
  <si>
    <t>Increase in house price</t>
  </si>
  <si>
    <t>Freshwater</t>
  </si>
  <si>
    <t>Increase in house prices (%) per 1 hectare increase in freshwater within 1km grid square</t>
  </si>
  <si>
    <t>Property type</t>
  </si>
  <si>
    <t>£/property (England and Wales, 2023)</t>
  </si>
  <si>
    <t>Flat or maisonette in converted house</t>
  </si>
  <si>
    <t>Purpose built flat or maisonette</t>
  </si>
  <si>
    <t>Semi Detached</t>
  </si>
  <si>
    <t>Terraced</t>
  </si>
  <si>
    <t>All dwellings</t>
  </si>
  <si>
    <t>Density of new dwellings / ha</t>
  </si>
  <si>
    <t>Density of new dwellings 2021-2022</t>
  </si>
  <si>
    <t>Increase in house prices (%)</t>
  </si>
  <si>
    <t>Increase in amenity value resulting from increase in habitat</t>
  </si>
  <si>
    <t>Uses average of coniferous and broadleaf woodland. Value for "moderate" and "poor" quality habitats are calculated by multiplying the value for "good" quality habitat by 0.75 and 0.5, respectively.</t>
  </si>
  <si>
    <t>Urban wetland -- good</t>
  </si>
  <si>
    <t>Uses value for freshwater. Value for "moderate" and "poor" quality habitats are calculated by multiplying the value for "good" quality habitat by 0.75 and 0.5, respectively.</t>
  </si>
  <si>
    <t>Urban wetland -- moderate</t>
  </si>
  <si>
    <t>Urban wetland -- poor</t>
  </si>
  <si>
    <t>Value Option 14</t>
  </si>
  <si>
    <t>GLA Economics (2010) Valuing housing and green spaces: understanding local amenities, the built environment and house prices in London</t>
  </si>
  <si>
    <t>London</t>
  </si>
  <si>
    <t>Park space in Greater London</t>
  </si>
  <si>
    <t>Increase in house price within 1km</t>
  </si>
  <si>
    <t xml:space="preserve">Relevant for small parks. This is broadly consistent with the more comprehensive and regionally disaggregated ONS (2019a) analysis. Quality attributes are not accounted for in the estimate.  It is reasonable to scale the 0.08% premium in proportion to the size of the park. </t>
  </si>
  <si>
    <t>Regional or metropolitan park in London</t>
  </si>
  <si>
    <t>1.9-2.9</t>
  </si>
  <si>
    <t>Increase in house price within 600 metres</t>
  </si>
  <si>
    <t xml:space="preserve">Relevant for larger parks. This is broadly consistent with the more comprehensive and regionally disaggregated ONS (2019a) analysis. Quality attributes are not accounted for in the estimate. </t>
  </si>
  <si>
    <t>Urban grassland -- good</t>
  </si>
  <si>
    <t>Uses value for small parks. Value for "moderate" and "poor" quality habitats are calculated by multiplying the value for "good" quality habitat by 0.75 and 0.5, respectively.</t>
  </si>
  <si>
    <t>Urban grassland -- moderate</t>
  </si>
  <si>
    <t>Urban grassland -- Poor</t>
  </si>
  <si>
    <t>Value option 13</t>
  </si>
  <si>
    <t>Hedonic pricing</t>
  </si>
  <si>
    <t>This is the only available source of valuation found that match the unit of measure required. We have included it as it has been vetted by Defra.</t>
  </si>
  <si>
    <t>Value option 14</t>
  </si>
  <si>
    <t>30-96</t>
  </si>
  <si>
    <t>30-97</t>
  </si>
  <si>
    <t>30-98</t>
  </si>
  <si>
    <t>30-99</t>
  </si>
  <si>
    <t>30-100</t>
  </si>
  <si>
    <t>30-101</t>
  </si>
  <si>
    <t>30-102</t>
  </si>
  <si>
    <t>30-103</t>
  </si>
  <si>
    <t>30-104</t>
  </si>
  <si>
    <t>30-105</t>
  </si>
  <si>
    <t>30-106</t>
  </si>
  <si>
    <t>30-107</t>
  </si>
  <si>
    <t>Improve skills and knowledge through education</t>
  </si>
  <si>
    <t>Value Option 15</t>
  </si>
  <si>
    <t>Educational benefit of SuDS. Assumes a "typical" mix of SuDS measures including a range of green infrastructure with some grey infrastructure to connect them together. Numbers derived from B£ST with typical population numbers to calculate benefits per ha. 2021 price.</t>
  </si>
  <si>
    <t>Recent and UK Specific</t>
  </si>
  <si>
    <t>30-108</t>
  </si>
  <si>
    <t>30-109</t>
  </si>
  <si>
    <t>30-110</t>
  </si>
  <si>
    <t>Improved health and wellbeing</t>
  </si>
  <si>
    <t>Improved health outcomes for those with a view over greenspace. Assumes a "typical" mix of SuDS measures including a range of green infrastructure with some grey infrastructure to connect them together. Numbers derived from B£ST with typical population numbers to calculate benefits per ha. 2021 price.</t>
  </si>
  <si>
    <t>Value option 15</t>
  </si>
  <si>
    <t>Biodiversity units</t>
  </si>
  <si>
    <t>Value Option 16</t>
  </si>
  <si>
    <t>Defra / eftec</t>
  </si>
  <si>
    <t>National average price of a biodiversity unit</t>
  </si>
  <si>
    <t>£/BU</t>
  </si>
  <si>
    <t>Analysis in the report shows that urban local planning authorities (LPAs) are more likely to show scarcity. 52 of the 58 LPAs with scarcity are predominantly urban.</t>
  </si>
  <si>
    <t>Price of a biodiversity unit in LPAs with risk of scarcity</t>
  </si>
  <si>
    <t>Derived from report - national average</t>
  </si>
  <si>
    <t>Mid-value between national average and price in LPAs with scarcity</t>
  </si>
  <si>
    <t>Derived from report - price in LPAs with scarcity</t>
  </si>
  <si>
    <t>Value Option 17</t>
  </si>
  <si>
    <t>Biodiversity Units UK</t>
  </si>
  <si>
    <t>Watercourses - All Watercourses</t>
  </si>
  <si>
    <t>This price is based on where prices are settled at the end of Q3 2024</t>
  </si>
  <si>
    <t>Value option 16</t>
  </si>
  <si>
    <t>Market price</t>
  </si>
  <si>
    <t>Analysis demonstrating market price of Biodiversity Units, readily transferable, specific to England and endorsed by Defra</t>
  </si>
  <si>
    <t>Value option 17</t>
  </si>
  <si>
    <t>30-114</t>
  </si>
  <si>
    <t>Latest value as recommended by NCEM</t>
  </si>
  <si>
    <t>30-111</t>
  </si>
  <si>
    <t>30-112</t>
  </si>
  <si>
    <t>30-113</t>
  </si>
  <si>
    <t>Benefit to local economy from farm produce profit</t>
  </si>
  <si>
    <t>EA (2025) Natural Capital Evidence and Metrics</t>
  </si>
  <si>
    <t>Gross margin per hectare for feed wheat</t>
  </si>
  <si>
    <t>Gross margin per hectare for dairy cow</t>
  </si>
  <si>
    <t>Gross margin per hectare for beef</t>
  </si>
  <si>
    <t>Gross margin per hectare for sheep (lowland)</t>
  </si>
  <si>
    <t>Average of all farmland activities given farmland habitat type does not specific type of farm.</t>
  </si>
  <si>
    <t>Standard approach of moderate value being 0.75 of good value</t>
  </si>
  <si>
    <t>Standard approach of poor value being 0.5 of good value</t>
  </si>
  <si>
    <t>5 year average gross margin</t>
  </si>
  <si>
    <t>Referenced in NCEM</t>
  </si>
  <si>
    <t>30-115</t>
  </si>
  <si>
    <t>30-116</t>
  </si>
  <si>
    <t>30-117</t>
  </si>
  <si>
    <r>
      <rPr>
        <b/>
        <i/>
        <sz val="11"/>
        <color theme="1"/>
        <rFont val="Aptos"/>
        <family val="2"/>
      </rPr>
      <t>Value application:</t>
    </r>
    <r>
      <rPr>
        <sz val="11"/>
        <color theme="1"/>
        <rFont val="Aptos"/>
        <family val="2"/>
      </rPr>
      <t xml:space="preserve">
- The value used for monetised impact per tCO2e is calculated from a time series in the tab 'Carbon values' in the Standard Data section. The years used to calculate the carbon impact are determined by the user, who can select the start and end year of the appraisal on the tab Company Info. Note that the £/tCO2e value is used across a number of SMs, including this one.</t>
    </r>
  </si>
  <si>
    <t>Carbon emissions</t>
  </si>
  <si>
    <t>GHG emissions (scope 1, 2, 3)</t>
  </si>
  <si>
    <t>See tab 'GHG emissions valuations' supporting tab. 2020 prices. For years beyond 2050, assume 1.5% inflation per year as per guidance. Appraisal period input on GHG emissions valuations tab.</t>
  </si>
  <si>
    <t>"Target-consistent" or "abatement cost" approach to carbon valuation</t>
  </si>
  <si>
    <t>31-1</t>
  </si>
  <si>
    <t>31-2</t>
  </si>
  <si>
    <t>31-3</t>
  </si>
  <si>
    <t>Reduced customer trust in water company due to emission of green house gases from company activities</t>
  </si>
  <si>
    <r>
      <rPr>
        <b/>
        <i/>
        <sz val="11"/>
        <color theme="1"/>
        <rFont val="Aptos"/>
        <family val="2"/>
      </rPr>
      <t>Value application:</t>
    </r>
    <r>
      <rPr>
        <sz val="11"/>
        <color theme="1"/>
        <rFont val="Aptos"/>
        <family val="2"/>
      </rPr>
      <t xml:space="preserve">
- Air quality values should be uplifted by an additional 2% per annum to be consistent with interdepartmental guidance to reflects increases in willingness to pay for avoided health outcomes over time.</t>
    </r>
  </si>
  <si>
    <t>Negative impact to habitats as a result of air pollution</t>
  </si>
  <si>
    <t>L Jones et al.(2014) Assessment of the impacts of air pollution on Ecosystem Services - Final Report</t>
  </si>
  <si>
    <t>£/tonne of NO2</t>
  </si>
  <si>
    <t>Central annual damage costs (benefit) of (reduced) atmospheric nitrogen pollution on biodiversity. Values are in 2014 prices. The main habitats affected are heathlands and acid grasslands. Incorporated into DEFRA damages costs, so are not additive. Estimates are calculated on a spatial habitat basis making use of Christie et al (2011) non-use values for "appreciation of biodiversity".</t>
  </si>
  <si>
    <t>£/tonne of NH3</t>
  </si>
  <si>
    <t xml:space="preserve">Value summary </t>
  </si>
  <si>
    <t>Negative impact to habitats</t>
  </si>
  <si>
    <t>Referenced within ENCA</t>
  </si>
  <si>
    <t>32-1</t>
  </si>
  <si>
    <t>32-2</t>
  </si>
  <si>
    <t>Reduced trust from customers/stakeholders in water company as a result of air pollution</t>
  </si>
  <si>
    <t>Negative impact to health and wellbeing as a result of air pollution</t>
  </si>
  <si>
    <t>£/tonne NOx</t>
  </si>
  <si>
    <t xml:space="preserve">National average damage cost values for air quality appraisal - central values. These are in 2022 prices and are a subset of the overall set of damage cost values, which can be found in the guidance document, along with low and high damage cost ranges. Biodiversity damage costs are incorporated in NOx and NH3 valuations, and are not additive. </t>
  </si>
  <si>
    <t>£/tonne SO2</t>
  </si>
  <si>
    <t>£/tonne NH3</t>
  </si>
  <si>
    <t>£/tonne VOC</t>
  </si>
  <si>
    <t>£/tonne PM2.5</t>
  </si>
  <si>
    <r>
      <t xml:space="preserve">Central annual damage costs (benefit) of (reduced) atmospheric nitrogen pollution on </t>
    </r>
    <r>
      <rPr>
        <b/>
        <sz val="11"/>
        <color theme="1"/>
        <rFont val="Aptos"/>
        <family val="2"/>
      </rPr>
      <t>biodiversity</t>
    </r>
    <r>
      <rPr>
        <sz val="11"/>
        <color theme="1"/>
        <rFont val="Aptos"/>
        <family val="2"/>
      </rPr>
      <t>. Values are in 2014 prices. The main habitats affected are heathlands and acid grasslands. Incorporated into DEFRA damages costs, so are not additive. Estimates are calculated on a spatial habitat basis making use of Christie et al (2011) non-use values for "appreciation of biodiversity".</t>
    </r>
  </si>
  <si>
    <t>Inflate biodiversity impacts to same price year (2022)</t>
  </si>
  <si>
    <t>Pollutant</t>
  </si>
  <si>
    <t>NOx</t>
  </si>
  <si>
    <t>Biodiversity (Jones, 2014)</t>
  </si>
  <si>
    <t>NH3</t>
  </si>
  <si>
    <t>Health and wellbeing + biodiversity (Defra, 2023)</t>
  </si>
  <si>
    <t>Remove biodiversity costs (to reduce risk of double counting)</t>
  </si>
  <si>
    <t>Biodiversity + health and wellbeing (£/tonne, 2022)</t>
  </si>
  <si>
    <t>Biodiversity (£/tonne, 2022 price)</t>
  </si>
  <si>
    <t>Health and wellbeing (£/tonne, 2022 price)</t>
  </si>
  <si>
    <t>Negative impact to health and wellbeing</t>
  </si>
  <si>
    <t>32-3</t>
  </si>
  <si>
    <t>32-4</t>
  </si>
  <si>
    <t>32-5</t>
  </si>
  <si>
    <t>32-6</t>
  </si>
  <si>
    <r>
      <rPr>
        <b/>
        <i/>
        <sz val="11"/>
        <color theme="1"/>
        <rFont val="Aptos"/>
        <family val="2"/>
      </rPr>
      <t>To avoid double counting:</t>
    </r>
    <r>
      <rPr>
        <i/>
        <sz val="11"/>
        <color theme="1"/>
        <rFont val="Aptos"/>
        <family val="2"/>
      </rPr>
      <t xml:space="preserve">
</t>
    </r>
    <r>
      <rPr>
        <sz val="11"/>
        <color theme="1"/>
        <rFont val="Aptos"/>
        <family val="2"/>
      </rPr>
      <t xml:space="preserve">- The valuations for stakeholder relationships value metric are not included to avoid double counting with Community engagement (39) service measure.
</t>
    </r>
    <r>
      <rPr>
        <b/>
        <i/>
        <sz val="11"/>
        <color theme="1"/>
        <rFont val="Aptos"/>
        <family val="2"/>
      </rPr>
      <t>Private benefits:</t>
    </r>
    <r>
      <rPr>
        <sz val="11"/>
        <color theme="1"/>
        <rFont val="Aptos"/>
        <family val="2"/>
      </rPr>
      <t xml:space="preserve">
- If there are any private financial benefit from the removal of nutrients to the water company, this should be entered using the Other benefits and avoidable costs (46) service measure on a case-specific basis. </t>
    </r>
  </si>
  <si>
    <t>Stakeholder relationships</t>
  </si>
  <si>
    <t>Improvements to water quality through pollutant removal</t>
  </si>
  <si>
    <t>Gooday, RD. et al (2015) Farmscoper Extension Defra Project SCF0104</t>
  </si>
  <si>
    <t xml:space="preserve">annual value of reducing a kilogram of nitrate in water from agricultural sources. For low / high estimates, the original study gave a range of approximately + / - 30% around the central estimate. 2021 prices in version 5 of the Farmscoper tool. </t>
  </si>
  <si>
    <t xml:space="preserve">annual value of reducing a kilogram of phosphorus in water from agricultural sources. For low / high estimates, the original study gave a range of approximately + / - 20% around the central estimate. 2021 prices in version 5 of the Farmscoper tool. 	</t>
  </si>
  <si>
    <t xml:space="preserve">annual value of reducing a kilogram of sediment in water from agricultural sources. For low / high estimates, the original study gave a range of approximately + / - 25% around the central estimate. 2021 prices in version 5 of the Farmscoper tool. </t>
  </si>
  <si>
    <t>Option value 1</t>
  </si>
  <si>
    <t>Based on pollutant specific benefits of pollutant removal in a UK context.</t>
  </si>
  <si>
    <t>33-1</t>
  </si>
  <si>
    <t>33-2</t>
  </si>
  <si>
    <t>33-3</t>
  </si>
  <si>
    <r>
      <rPr>
        <b/>
        <i/>
        <sz val="11"/>
        <color theme="1"/>
        <rFont val="Aptos"/>
        <family val="2"/>
      </rPr>
      <t>Value application:</t>
    </r>
    <r>
      <rPr>
        <i/>
        <sz val="11"/>
        <color theme="1"/>
        <rFont val="Aptos"/>
        <family val="2"/>
      </rPr>
      <t xml:space="preserve">
</t>
    </r>
    <r>
      <rPr>
        <sz val="11"/>
        <color theme="1"/>
        <rFont val="Aptos"/>
        <family val="2"/>
      </rPr>
      <t>- The assessment of amenity is related to proximity to land types or features, e.g. green space or inland waters. A home or business benefitting from improved natural environment does not necessarily only benefit from an improved view but may also benefit from improved sense of place or improved access through proximity. The Mourato et al (2010) source used here only captures impact of view on health, rather than overall amenity, but is included as the only source found which captures impacts to health.
To avoid double counting
- This service measure should not be used with the SuDS and urban impact categories under Habitat Impact SM (30) as both capture quality of place benefits.</t>
    </r>
  </si>
  <si>
    <t>Value Metrics</t>
  </si>
  <si>
    <t>No. businesses benefitting from improved natural environment</t>
  </si>
  <si>
    <t>RICS 2007 - Urban Parks, Open Space and Residential Property Values</t>
  </si>
  <si>
    <t>Green space</t>
  </si>
  <si>
    <t>Local park</t>
  </si>
  <si>
    <t>% Change in house prices</t>
  </si>
  <si>
    <t xml:space="preserve">Value represents when parks are created or significantly enhanced in quality and there are homes within 450m. </t>
  </si>
  <si>
    <t>City park</t>
  </si>
  <si>
    <t>Open space</t>
  </si>
  <si>
    <t>Commercial</t>
  </si>
  <si>
    <t>Non-detached</t>
  </si>
  <si>
    <t>No. properties in England and Wales</t>
  </si>
  <si>
    <t>ONS (2023) Housing England and Wales</t>
  </si>
  <si>
    <t>£/property (England and Wales)</t>
  </si>
  <si>
    <t>ONS (2024) House price data</t>
  </si>
  <si>
    <t>Mean rateable value per m2 floor space (£/m2 2023)</t>
  </si>
  <si>
    <t>MCM (2023) Chapter 5 Table 5.4</t>
  </si>
  <si>
    <t>Non-residential, England</t>
  </si>
  <si>
    <t xml:space="preserve">This is only provided for England (not Wales, Scotland, Northern Ireland). A breakdown by region is also provided. </t>
  </si>
  <si>
    <t>Floor area (m2)</t>
  </si>
  <si>
    <t>MCM (2023) Chapter 5 Table 5.2</t>
  </si>
  <si>
    <t>Floor area is provided for a range of property types, however some of these are very large. To remain conservative, the smallest (retail) is used. This is compared to e.g. Warehouses which have a floor area of 3270 m2.</t>
  </si>
  <si>
    <t>This calculation is finding an average House value for 'Flat' by using the average between both applicable property types</t>
  </si>
  <si>
    <t>Building Type</t>
  </si>
  <si>
    <t>Avg House Price (£)</t>
  </si>
  <si>
    <t>This calculation is finding an average House value for 'Non-Detached' by using the average between both applicable property types</t>
  </si>
  <si>
    <t>Non-Detached</t>
  </si>
  <si>
    <r>
      <t xml:space="preserve">This calculation estimates a value for </t>
    </r>
    <r>
      <rPr>
        <b/>
        <sz val="11"/>
        <color theme="1"/>
        <rFont val="Aptos"/>
        <family val="2"/>
      </rPr>
      <t xml:space="preserve">residential </t>
    </r>
    <r>
      <rPr>
        <sz val="11"/>
        <color theme="1"/>
        <rFont val="Aptos"/>
        <family val="2"/>
      </rPr>
      <t xml:space="preserve">quality of place using % increase in house price when in proximity of a greenspace. </t>
    </r>
  </si>
  <si>
    <t>Volume</t>
  </si>
  <si>
    <t>Avg House Price</t>
  </si>
  <si>
    <t>Open space % increase*</t>
  </si>
  <si>
    <t>House price increase</t>
  </si>
  <si>
    <t>Weighting calculations**</t>
  </si>
  <si>
    <t xml:space="preserve">House price difference </t>
  </si>
  <si>
    <t>Weighted Contribution**</t>
  </si>
  <si>
    <t>Totals</t>
  </si>
  <si>
    <t>* 'Open space' has been used from the original study to ensure the value is not impacted by significant outliers - this is a conservative figure</t>
  </si>
  <si>
    <t>** Weighted values have been calculated to account for the significantly higher quantity of non-detached properties in England and Wales</t>
  </si>
  <si>
    <r>
      <t xml:space="preserve">This calculation estimates the value of a </t>
    </r>
    <r>
      <rPr>
        <b/>
        <sz val="11"/>
        <color theme="1"/>
        <rFont val="Aptos"/>
        <family val="2"/>
      </rPr>
      <t>non-residential property</t>
    </r>
    <r>
      <rPr>
        <sz val="11"/>
        <color theme="1"/>
        <rFont val="Aptos"/>
        <family val="2"/>
      </rPr>
      <t xml:space="preserve"> in England based on rateable value and floor area</t>
    </r>
  </si>
  <si>
    <t>Indicative floor space of retail property in England (m2)</t>
  </si>
  <si>
    <t>Indicative value of a non-residential property in England (£2023)</t>
  </si>
  <si>
    <r>
      <t>This calculation estimates a value for</t>
    </r>
    <r>
      <rPr>
        <b/>
        <sz val="11"/>
        <color theme="1"/>
        <rFont val="Aptos"/>
        <family val="2"/>
      </rPr>
      <t xml:space="preserve"> non-residential</t>
    </r>
    <r>
      <rPr>
        <sz val="11"/>
        <color theme="1"/>
        <rFont val="Aptos"/>
        <family val="2"/>
      </rPr>
      <t xml:space="preserve"> quality of place using % increase in house price when in proximity of a greenspace. </t>
    </r>
  </si>
  <si>
    <t>RICS (2007) % change in commercial property prices (Open space)*</t>
  </si>
  <si>
    <t>England and Wales average property value (2023 price)</t>
  </si>
  <si>
    <t>Value increase (£2023)</t>
  </si>
  <si>
    <t>34-1</t>
  </si>
  <si>
    <t>11/12/13</t>
  </si>
  <si>
    <t>34-2</t>
  </si>
  <si>
    <t>11/23/24</t>
  </si>
  <si>
    <t>Mourato et al (2010) Economic Analysis of Cultural Services Final Report, December 2010</t>
  </si>
  <si>
    <t>£135 - £452</t>
  </si>
  <si>
    <t>£ / person / year</t>
  </si>
  <si>
    <t xml:space="preserve">Health value in terms of quality of life change from a view of green space from home (compared to no view). Wellbeing survey data converted to a 'Health Utility' score to represent amenity. Converted using econometric modelling. The range is a result of the underlying study using prevention of non-fatal injury as a basis of valuation. </t>
  </si>
  <si>
    <t>Residents per household</t>
  </si>
  <si>
    <t>Census 2021</t>
  </si>
  <si>
    <t>Mourato et al (2010)</t>
  </si>
  <si>
    <t>Health Utility Value / person</t>
  </si>
  <si>
    <t>Health utility value per household</t>
  </si>
  <si>
    <t>Low Estimate</t>
  </si>
  <si>
    <t>High Estimate</t>
  </si>
  <si>
    <t>Quality adjusted life years</t>
  </si>
  <si>
    <t>Reasonably high confidence score using reputable data from sources referenced in Government tools and workbooks</t>
  </si>
  <si>
    <t>34-3</t>
  </si>
  <si>
    <t>14/23</t>
  </si>
  <si>
    <r>
      <rPr>
        <b/>
        <i/>
        <sz val="11"/>
        <color theme="1"/>
        <rFont val="Aptos"/>
        <family val="2"/>
      </rPr>
      <t>Value application:</t>
    </r>
    <r>
      <rPr>
        <sz val="11"/>
        <color theme="1"/>
        <rFont val="Aptos"/>
        <family val="2"/>
      </rPr>
      <t xml:space="preserve">
- This service measure only captures the impact of customer complaints on </t>
    </r>
    <r>
      <rPr>
        <i/>
        <sz val="11"/>
        <color theme="1"/>
        <rFont val="Aptos"/>
        <family val="2"/>
      </rPr>
      <t xml:space="preserve">local economy </t>
    </r>
    <r>
      <rPr>
        <sz val="11"/>
        <color theme="1"/>
        <rFont val="Aptos"/>
        <family val="2"/>
      </rPr>
      <t>from a</t>
    </r>
    <r>
      <rPr>
        <i/>
        <sz val="11"/>
        <color theme="1"/>
        <rFont val="Aptos"/>
        <family val="2"/>
      </rPr>
      <t xml:space="preserve"> </t>
    </r>
    <r>
      <rPr>
        <sz val="11"/>
        <color theme="1"/>
        <rFont val="Aptos"/>
        <family val="2"/>
      </rPr>
      <t>lost productivity</t>
    </r>
    <r>
      <rPr>
        <i/>
        <sz val="11"/>
        <color theme="1"/>
        <rFont val="Aptos"/>
        <family val="2"/>
      </rPr>
      <t xml:space="preserve"> </t>
    </r>
    <r>
      <rPr>
        <sz val="11"/>
        <color theme="1"/>
        <rFont val="Aptos"/>
        <family val="2"/>
      </rPr>
      <t xml:space="preserve">perspective of the caller. Any local economy impact from disruption to businesses due to water supply issues should be represented using drinking water quality service measures (1 and 2).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</si>
  <si>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ONS (2024) Subregional productivity: labour productivity indices by city region</t>
  </si>
  <si>
    <t>Table A3: Current Price (smoothed) GVA (B) per hour worked (£); City Regions, 2004 - 2022. National average value in 2022. The authors note that these values are not suitable for national level analyses, only regional level.</t>
  </si>
  <si>
    <t>Assuming average customer call duration of 1 hour</t>
  </si>
  <si>
    <t>GVA per hour worked</t>
  </si>
  <si>
    <t>Productivity lost per complaint</t>
  </si>
  <si>
    <t>ONS (2025) Output per hour worked, UK</t>
  </si>
  <si>
    <t>Table 6: Annual output per hour worked Whole economy, Current price (CP) in GBP. This is the value for 2023. Published in 2025, base year 2022.</t>
  </si>
  <si>
    <t>Customer complaint</t>
  </si>
  <si>
    <t>GVA</t>
  </si>
  <si>
    <t xml:space="preserve">This value is more suitable for regional analysis that will be completed by companies. </t>
  </si>
  <si>
    <t>35-1</t>
  </si>
  <si>
    <t>External contact</t>
  </si>
  <si>
    <t>Trust &amp; Private costs</t>
  </si>
  <si>
    <t xml:space="preserve">Reduced trust from customers/stakeholders in water company </t>
  </si>
  <si>
    <r>
      <rPr>
        <b/>
        <i/>
        <sz val="11"/>
        <color theme="1"/>
        <rFont val="Aptos"/>
        <family val="2"/>
      </rPr>
      <t>Private costs:</t>
    </r>
    <r>
      <rPr>
        <i/>
        <sz val="11"/>
        <color theme="1"/>
        <rFont val="Aptos"/>
        <family val="2"/>
      </rPr>
      <t xml:space="preserve">
</t>
    </r>
    <r>
      <rPr>
        <sz val="11"/>
        <color theme="1"/>
        <rFont val="Aptos"/>
        <family val="2"/>
      </rPr>
      <t>As with all relevant service measures, companies should calculate private costs separately and include them in assessments to create a full picture.</t>
    </r>
  </si>
  <si>
    <t>Negative impact on quality of place due to odour</t>
  </si>
  <si>
    <t>Ham et al (2013) The valuation of landfill disamenities in Birmingham</t>
  </si>
  <si>
    <t>Birmingham</t>
  </si>
  <si>
    <t>% property price reduction</t>
  </si>
  <si>
    <t xml:space="preserve">Average 2.6% lower property prices within 3km of a landfill site in Birmingham. The range of values is driven by the distance of the property from the disamenity site. To aggregate values, an estimate of the number and value of properties within relevant distance bands from the disamenity site is needed to determine the total value of these properties.			</t>
  </si>
  <si>
    <t>Average UK house price</t>
  </si>
  <si>
    <t>Housing market: simple average house prices, by dwelling type and region, United Kingdom, from 1986 (round to nearest £1000s). All dwelling average United Kingdom, 2023  - £330,000</t>
  </si>
  <si>
    <t>Reduction in house price within 3km from landfill site</t>
  </si>
  <si>
    <t>Reduction in house value due to disamenity impact</t>
  </si>
  <si>
    <t>Value divided by the number of days in a year to represent daily inconvenience</t>
  </si>
  <si>
    <t>Valuation assumes that the  dis-amenity impact of a wastewater treatment work is similar to that of a landfill. We have also assumed the same dis-amenity value per day for chronic and transient events due to a lack of better available research</t>
  </si>
  <si>
    <t>36-1</t>
  </si>
  <si>
    <t>36-2</t>
  </si>
  <si>
    <t>Reduction in customer trust as a result of nuisance</t>
  </si>
  <si>
    <t>Negative impact on individuals health and wellbeing as a result of noise exposure</t>
  </si>
  <si>
    <t>ONS (2023) Urban natural capital accounts</t>
  </si>
  <si>
    <t>NA</t>
  </si>
  <si>
    <t xml:space="preserve">ONS (2023) Experimental lower-bound value of the health benefits to individuals living in UK buildings (within noise bands above 60 dBA) benefiting from road noise mitigation of at least 1 decibel by urban vegetation in 2020. Based on use of OS Master Map to identify relevant vegetation. Corresponds to 167,000 buildings benefiting from the service, and uses Defra's marginal damage costs of noise. Jones et al (2023) adopt a more sophisticated modelling approach for Greater Manchester which estimates avoided damage costs of £1.9m for that area.  </t>
  </si>
  <si>
    <t>DEFRA (2024) Calculated by dividing the £16.6 million avoided damage costs above by 167,000 households. Relevant for when urban woodland might be lost (or created, after sufficient growth) which is located between traffic and population. Should be treated as provisional and experimental</t>
  </si>
  <si>
    <t>£/household/day</t>
  </si>
  <si>
    <t>Divided by days in a year</t>
  </si>
  <si>
    <t>Avoided damage costs</t>
  </si>
  <si>
    <t>Based on vegetation specific noise reduction benefits</t>
  </si>
  <si>
    <t>36-3</t>
  </si>
  <si>
    <r>
      <rPr>
        <b/>
        <i/>
        <sz val="11"/>
        <color theme="1"/>
        <rFont val="Aptos"/>
        <family val="2"/>
      </rPr>
      <t>To avoid double counting:</t>
    </r>
    <r>
      <rPr>
        <sz val="11"/>
        <color theme="1"/>
        <rFont val="Aptos"/>
        <family val="2"/>
      </rPr>
      <t xml:space="preserve">
- If capturing recreation benefits as a result of river or other water body water quality improvements, use the Quality of the water environment</t>
    </r>
    <r>
      <rPr>
        <i/>
        <sz val="11"/>
        <color theme="1"/>
        <rFont val="Aptos"/>
        <family val="2"/>
      </rPr>
      <t xml:space="preserve"> </t>
    </r>
    <r>
      <rPr>
        <sz val="11"/>
        <color theme="1"/>
        <rFont val="Aptos"/>
        <family val="2"/>
      </rPr>
      <t xml:space="preserve">(27) service measure and not this service measure.
- If an intervention is expected to impact on </t>
    </r>
    <r>
      <rPr>
        <i/>
        <sz val="11"/>
        <color theme="1"/>
        <rFont val="Aptos"/>
        <family val="2"/>
      </rPr>
      <t xml:space="preserve">fishing visits </t>
    </r>
    <r>
      <rPr>
        <sz val="11"/>
        <color theme="1"/>
        <rFont val="Aptos"/>
        <family val="2"/>
      </rPr>
      <t xml:space="preserve">but has no impact on river or other water body water quality, use this service measure and not service measure (27). 
</t>
    </r>
    <r>
      <rPr>
        <b/>
        <i/>
        <sz val="11"/>
        <color theme="1"/>
        <rFont val="Aptos"/>
        <family val="2"/>
      </rPr>
      <t>Value application:</t>
    </r>
    <r>
      <rPr>
        <sz val="11"/>
        <color theme="1"/>
        <rFont val="Aptos"/>
        <family val="2"/>
      </rPr>
      <t xml:space="preserve">
- Local economy</t>
    </r>
    <r>
      <rPr>
        <i/>
        <sz val="11"/>
        <color theme="1"/>
        <rFont val="Aptos"/>
        <family val="2"/>
      </rPr>
      <t xml:space="preserve"> </t>
    </r>
    <r>
      <rPr>
        <sz val="11"/>
        <color theme="1"/>
        <rFont val="Aptos"/>
        <family val="2"/>
      </rPr>
      <t xml:space="preserve">values include trip-related expenditure and avoidance of public health costs. </t>
    </r>
  </si>
  <si>
    <t>Local economy - trip-related expenditure</t>
  </si>
  <si>
    <t>Benefit to the local economy as a result of recreational and fishing visits and trip-related expenditure</t>
  </si>
  <si>
    <t>Local economy - avoidance of public health costs</t>
  </si>
  <si>
    <t>Benefit to the local economy as a result of recreational and fishing visits and resultant avoidance of public health costs</t>
  </si>
  <si>
    <t>Outdoor Recreation Valuation Tool (ORVal: Version 2.0) (2018)</t>
  </si>
  <si>
    <t>£/trip</t>
  </si>
  <si>
    <t>ORVal (2018) - Farmland, woodland - average values per visit in England based on aggregate site selection of the relevant land covers in ORVal. 2016 prices.</t>
  </si>
  <si>
    <t>days spent angling</t>
  </si>
  <si>
    <t>EA (2018)</t>
  </si>
  <si>
    <t>£ contributed to the economy</t>
  </si>
  <si>
    <t>EA (2018) 2015 prices</t>
  </si>
  <si>
    <t>£ spent / angling day</t>
  </si>
  <si>
    <t>Market valuation</t>
  </si>
  <si>
    <t>Valuation used in WINEP 2021 methodology</t>
  </si>
  <si>
    <t>38-1</t>
  </si>
  <si>
    <t>38-2</t>
  </si>
  <si>
    <t>ENCA - Physical Health tab</t>
  </si>
  <si>
    <t>£ / active visit / week</t>
  </si>
  <si>
    <t xml:space="preserve">Exchange value. £3.07 inflated to 2022/23 prices. Based on White et al (2016) and Claxton et al (2015) valuation of NHS resources adding one QALY to the lives of NHS patients. Average value is based on the estimate of a gain of 0.010677 QALYs from one active visit every week per year, and applying the cost-based QALY of £15,000 = £160 / year for 52 active visits (2018 prices). White et al estimate that around 43% of visits are active (but include people who do not meet weekly physical activity guidelines).
This value represents the reduction in spending in public health and has been added to the trip-related expenditure value to give an overall total to the local economy. </t>
  </si>
  <si>
    <t>QALY method has sufficient guidance on applying the valuation</t>
  </si>
  <si>
    <t>38-3</t>
  </si>
  <si>
    <t>38-4</t>
  </si>
  <si>
    <t>Benefit to individuals health and wellbeing as a result of recreational and fishing visits</t>
  </si>
  <si>
    <t>Revaluing Parks and Green Spaces, Fields in trust</t>
  </si>
  <si>
    <t xml:space="preserve">BEST - Emotional health benefit from increased use of local park or green space. Used low value where emotional  and wellbeing are expected to improve. </t>
  </si>
  <si>
    <t>Wellbeing valuation</t>
  </si>
  <si>
    <t>EA study including information on what valuation represents</t>
  </si>
  <si>
    <t>Location of study sit - country</t>
  </si>
  <si>
    <t>38-5</t>
  </si>
  <si>
    <t>38-6</t>
  </si>
  <si>
    <r>
      <rPr>
        <b/>
        <i/>
        <sz val="11"/>
        <color theme="1"/>
        <rFont val="Aptos"/>
        <family val="2"/>
      </rPr>
      <t xml:space="preserve">Value application:
</t>
    </r>
    <r>
      <rPr>
        <sz val="11"/>
        <color theme="1"/>
        <rFont val="Aptos"/>
        <family val="2"/>
      </rPr>
      <t>- For company/non-company employees participating in volunteering, the unit is number of people. The valuations associated with these impact categories assume the duration of volunteering is 1 day, which is 8 hours.</t>
    </r>
    <r>
      <rPr>
        <b/>
        <i/>
        <sz val="11"/>
        <color theme="1"/>
        <rFont val="Aptos"/>
        <family val="2"/>
      </rPr>
      <t xml:space="preserve">
Private benefits:</t>
    </r>
    <r>
      <rPr>
        <sz val="11"/>
        <color theme="1"/>
        <rFont val="Aptos"/>
        <family val="2"/>
      </rPr>
      <t xml:space="preserve">
- The impact of</t>
    </r>
    <r>
      <rPr>
        <i/>
        <sz val="11"/>
        <color theme="1"/>
        <rFont val="Aptos"/>
        <family val="2"/>
      </rPr>
      <t xml:space="preserve"> investment leveraged</t>
    </r>
    <r>
      <rPr>
        <sz val="11"/>
        <color theme="1"/>
        <rFont val="Aptos"/>
        <family val="2"/>
      </rPr>
      <t xml:space="preserve"> on </t>
    </r>
    <r>
      <rPr>
        <i/>
        <sz val="11"/>
        <color theme="1"/>
        <rFont val="Aptos"/>
        <family val="2"/>
      </rPr>
      <t>local economy</t>
    </r>
    <r>
      <rPr>
        <sz val="11"/>
        <color theme="1"/>
        <rFont val="Aptos"/>
        <family val="2"/>
      </rPr>
      <t xml:space="preserve"> should be value through the Other benefits and avoidable costs</t>
    </r>
    <r>
      <rPr>
        <i/>
        <sz val="11"/>
        <color theme="1"/>
        <rFont val="Aptos"/>
        <family val="2"/>
      </rPr>
      <t xml:space="preserve"> </t>
    </r>
    <r>
      <rPr>
        <sz val="11"/>
        <color theme="1"/>
        <rFont val="Aptos"/>
        <family val="2"/>
      </rPr>
      <t xml:space="preserve">(46) service measure on a case-specific basis. 
</t>
    </r>
    <r>
      <rPr>
        <b/>
        <i/>
        <sz val="11"/>
        <color theme="1"/>
        <rFont val="Aptos"/>
        <family val="2"/>
      </rPr>
      <t>Private costs:</t>
    </r>
    <r>
      <rPr>
        <sz val="11"/>
        <color theme="1"/>
        <rFont val="Aptos"/>
        <family val="2"/>
      </rPr>
      <t xml:space="preserve">
As with all relevant service measures, companies should calculate private costs separately and include them in assessments to create a full picture.</t>
    </r>
  </si>
  <si>
    <t>Increased trust from customers/stakeholders in water company</t>
  </si>
  <si>
    <t>Improved stakeholder relationships</t>
  </si>
  <si>
    <t>Improved productivity</t>
  </si>
  <si>
    <t>ONS (2017) Changes in the value and division of unpaid volunteering in the UK: 2000 to 2015</t>
  </si>
  <si>
    <t>£/hour</t>
  </si>
  <si>
    <r>
      <t>Replacement cost of an average formal volunteer hour, based on a methodology to value unpaid voluntary activity in the Household Satellite Accounts. This value is an estimate of what the same activity would cost if it was being provided by a paid person, in the market. ONS estimate a national value of frequent volunteer activity at £23.9 billion based on 2.12 billion frequent volunteer hours in 2012/13 i.e. £11.27/h</t>
    </r>
    <r>
      <rPr>
        <sz val="11"/>
        <rFont val="Aptos"/>
        <family val="2"/>
      </rPr>
      <t xml:space="preserve">our. Ideally, these replacement costs would reflect the level of skill of the voluntary activity. </t>
    </r>
    <r>
      <rPr>
        <sz val="11"/>
        <color theme="1"/>
        <rFont val="Aptos"/>
        <family val="2"/>
      </rPr>
      <t xml:space="preserve">This methodology is used by Natural England (2019), which calculates a slightly lower hourly rate from ONS (2013) by incorrectly including non-frequent volunteer activity in the calculation. </t>
    </r>
  </si>
  <si>
    <t>Month and year</t>
  </si>
  <si>
    <t>AWE Regular Pay Index</t>
  </si>
  <si>
    <t>ONS (2024) EARN01: Average weekly earnings</t>
  </si>
  <si>
    <t>From Table 5 AWE Regular Pay Index</t>
  </si>
  <si>
    <t>This calculation updates to an annual 2024 value using the Average Weekly (regular) Earnings Index</t>
  </si>
  <si>
    <t>Original value</t>
  </si>
  <si>
    <t>Adjustment</t>
  </si>
  <si>
    <t>2024 value</t>
  </si>
  <si>
    <t>Conversion to day of volunteering</t>
  </si>
  <si>
    <t>1 day of volunteering</t>
  </si>
  <si>
    <t>£/person for 1 day</t>
  </si>
  <si>
    <t>Assume 1 day is 8 hours</t>
  </si>
  <si>
    <t>ONS Subregional productivity: labour productivity indices by city region</t>
  </si>
  <si>
    <t>Nexus</t>
  </si>
  <si>
    <t>GVA per hour worked (2022 prices). This figure is taken from the 'UK less Extra-Regio'. However, values are also available for city regions of the UK</t>
  </si>
  <si>
    <t>We have opted for the GVA added per volunteering hour instead of the replacement cost of the volunteering hours as this is a more complete representation of the value created.</t>
  </si>
  <si>
    <t>Replacement cost of volunteering hour</t>
  </si>
  <si>
    <t>For volunteering days done by employees or non-employees this is not expected to be an exact replacement of their usual skilled paid role. Therefore the value created by their volunteering is better represented by a value for value created from all volunteering hours, rather than their GVA.</t>
  </si>
  <si>
    <t>39-1</t>
  </si>
  <si>
    <t>39-7</t>
  </si>
  <si>
    <t>39-8</t>
  </si>
  <si>
    <t>Skills and Knowledge</t>
  </si>
  <si>
    <t>Improved skills and knowledge</t>
  </si>
  <si>
    <t>ENCA &amp; WINEP</t>
  </si>
  <si>
    <t>Educational visits (e.g. school engagement), Engaging with adults - STEM &amp; water based engagement</t>
  </si>
  <si>
    <t xml:space="preserve">Of the available values reviewed, this is the most suitable in terms of units, understanding of method, and confidence in price year.
Indicative average cost of an additional nature-based school trip per pupil as an "investment" in ecological knowledge. The unit values per trip are inferred by dividing the total cost range of £851,364 - £1,323,683 by the estimated number of children (51,724) attending the visits.  Total costs cover vehicle costs and entry fees (paid for by parents) and the cost of travel and waiting times. It is considered that the benefits would be at least as great as these costs. </t>
  </si>
  <si>
    <t>Option 3</t>
  </si>
  <si>
    <t>Additional cost</t>
  </si>
  <si>
    <t>Of the available values reviewed, this is the most suitable in terms of units, understanding of method, and confidence in price year.</t>
  </si>
  <si>
    <t>Option 4</t>
  </si>
  <si>
    <t>39-2</t>
  </si>
  <si>
    <t>39-3</t>
  </si>
  <si>
    <t>Improved Wellbeing</t>
  </si>
  <si>
    <t>HM Treasury (2021) Green Book supplementary guidance: wellbeing</t>
  </si>
  <si>
    <t>£/person</t>
  </si>
  <si>
    <t>Value of volunteering at least once a year to a volunteer's wellbeing. It is sourced from Lawton et al (2021) which uses data from the British Household Panel Survey and Understanding Society datasets to estimate the causal change in an individual's wellbeing from volunteering. £911 per volunteer per year on average (assume typically one day of volunteering per person per year).</t>
  </si>
  <si>
    <t>wellbeing valuation</t>
  </si>
  <si>
    <t>Compared to the value provided by HACT, the method is more transparent including the base year. This value is from a recent study (original source 2021) and relates strongly to the impact pathway.</t>
  </si>
  <si>
    <t>39-5</t>
  </si>
  <si>
    <t>39-6</t>
  </si>
  <si>
    <t>There is no service measure specific guidance for use for this service measure. Please follow the general guidance provided on the HOW TO tab where relevant.</t>
  </si>
  <si>
    <t>Increased customer / stakeholder trust in water company</t>
  </si>
  <si>
    <t>Increased earning leads to increased spending power, boosting local economy</t>
  </si>
  <si>
    <t>St Martin's Group (2021) The real costs and benefits of apprenticeships - Technical data report</t>
  </si>
  <si>
    <t>GVA - Value / Apprentice / year
'Having established the wage rates granted to apprentices and their supervisors and the time divide between usual work and the different types of training, we can form an estimate for apprentices’ productive contribution over a typical year. This is found by taking an employee’s labour costs and multiplying by the GVA to employment costs ratio, while also considering the fact that apprentices’ productivity falls short of a fully-trained employee.
Based on the work of Hasluck et al (2008), we estimate that the productive capacity of the typical apprentice is around two-thirds that of a fully-trained employee. From this, we estimate that the productive contribution of a typical apprentice stands at £33,800 per year. It is important to note that this estimate relates to the average apprentice in the UK and divergence would be exhibited amongst apprenticeship standards, apprenticeship levels, and regions.</t>
  </si>
  <si>
    <t>The economic gross value added by another filled job. This figure is taken from the 'UK less Extra-Regio'. However, values are also available for city regions of the UK</t>
  </si>
  <si>
    <t>Best available</t>
  </si>
  <si>
    <t>40-1</t>
  </si>
  <si>
    <t>40-2</t>
  </si>
  <si>
    <t>EN:ABLE Communities CIO (2016) EN:ABLE Communities CIO Trustees' Annual Report for the period from 25 August 2015 to 31 July 2016</t>
  </si>
  <si>
    <t>Yorkshire &amp; the Humber</t>
  </si>
  <si>
    <t>This is the social value return on investment value for vocational training of apprentices (EMP1407). The HACT Value Calculator gives the value of currently being enrolled on an apprenticeship as £2,353 - this is the sum of the vocational training value (EMP1407) and part-time employment value (EMP1403, which has a value of £1,229). As this section is concerned with skills and knowledge, only the vocational training value is presented here. EMP1403 is captured under health and wellbeing.</t>
  </si>
  <si>
    <t>a Social Return on Investment framework (SROI)</t>
  </si>
  <si>
    <t>Best available evidence</t>
  </si>
  <si>
    <t>40-3</t>
  </si>
  <si>
    <t>Improved wellbeing</t>
  </si>
  <si>
    <t>This is the social value return on part-time employment value for apprentices (EMP1403). The HACT Value Calculator gives the value of currently being enrolled on an apprenticeship as £2,353 - this is the sum of the vocational training value (EMP1407) and part-time employment value (EMP1403). The value for EMP1407 is captured under skills and knowledge.</t>
  </si>
  <si>
    <t>This is the social value on an individual moving from unemployment to full time employment aged &lt;25 (EMP1401). The HACT Value Calculator gives the value of moving from unemployment to full time employment (aged &lt;35) as £13,446 - this is being used as a proxy to represent the social benefit of employing a graduate.</t>
  </si>
  <si>
    <t>This is the social value on an individual undertaking general training for a job; including training for a new job, to increase skills for a job or to improve skills for a job (EMP1610). The HACT Value Calculator gives the value of an individual undertaking general training for a job (unspecified age) as £1567 per person per year.</t>
  </si>
  <si>
    <t>Social Return on Investment framework (SROI)</t>
  </si>
  <si>
    <t>40-4</t>
  </si>
  <si>
    <t>40-5</t>
  </si>
  <si>
    <t>40-6</t>
  </si>
  <si>
    <t>Enabling Industrial development - North West</t>
  </si>
  <si>
    <t>Increased area of land available for economic activity</t>
  </si>
  <si>
    <t>ONS (2020) Land value estimates for policy appraisal 2019</t>
  </si>
  <si>
    <t xml:space="preserve">England </t>
  </si>
  <si>
    <t>Local authority</t>
  </si>
  <si>
    <t>East Midlands</t>
  </si>
  <si>
    <t>Amber Valley</t>
  </si>
  <si>
    <t>Values represent the increase in land value when repurposed for residential properties. The valuations have been undertaken using a truncated residual valuation model. Essentially, this involves valuing the proposed development (the sale price of the proposed scheme) and deducting the development costs, including allowances for base build cost, developer profit, marketing costs, fees, finance etc., to leave a “residual” for the site value.</t>
  </si>
  <si>
    <t>Ashfield</t>
  </si>
  <si>
    <t>Bassetlaw</t>
  </si>
  <si>
    <t>Blaby</t>
  </si>
  <si>
    <t>Bolsover</t>
  </si>
  <si>
    <t>Boston</t>
  </si>
  <si>
    <t>Broxtowe</t>
  </si>
  <si>
    <t>Charnwood</t>
  </si>
  <si>
    <t>Chesterfield</t>
  </si>
  <si>
    <t>Corby</t>
  </si>
  <si>
    <t>Daventry</t>
  </si>
  <si>
    <t>Derby</t>
  </si>
  <si>
    <t>Derbyshire Dales</t>
  </si>
  <si>
    <t>East Northamptonshire</t>
  </si>
  <si>
    <t>Erewash</t>
  </si>
  <si>
    <t>Gedling</t>
  </si>
  <si>
    <t>Harborough</t>
  </si>
  <si>
    <t>High Peak</t>
  </si>
  <si>
    <t>Hinckley and Bosworth</t>
  </si>
  <si>
    <t>Kettering</t>
  </si>
  <si>
    <t>Leicester</t>
  </si>
  <si>
    <t>Lincoln</t>
  </si>
  <si>
    <t>Mansfield</t>
  </si>
  <si>
    <t>Melton</t>
  </si>
  <si>
    <t>Newark and Sherwood</t>
  </si>
  <si>
    <t>North East Derbyshire</t>
  </si>
  <si>
    <t>North West Leicestershire</t>
  </si>
  <si>
    <t>Northampton</t>
  </si>
  <si>
    <t>Nottingham</t>
  </si>
  <si>
    <t>Oadby and Wigston</t>
  </si>
  <si>
    <t>Rushcliffe</t>
  </si>
  <si>
    <t>Rutland</t>
  </si>
  <si>
    <t>South Derbyshire</t>
  </si>
  <si>
    <t>South Holland</t>
  </si>
  <si>
    <t>South Kesteven</t>
  </si>
  <si>
    <t>South Northamptonshire</t>
  </si>
  <si>
    <t>Wellingborough</t>
  </si>
  <si>
    <t>West Midlands</t>
  </si>
  <si>
    <t>Bromsgrove</t>
  </si>
  <si>
    <t>Cannock Chase</t>
  </si>
  <si>
    <t>Coventry</t>
  </si>
  <si>
    <t>Dudley</t>
  </si>
  <si>
    <t>East Staffordshire</t>
  </si>
  <si>
    <t>Herefordshire, County of</t>
  </si>
  <si>
    <t>Lichfield</t>
  </si>
  <si>
    <t>Malvern Hills</t>
  </si>
  <si>
    <t>Newcastle-under-Lyme</t>
  </si>
  <si>
    <t>North Warwickshire</t>
  </si>
  <si>
    <t>Nuneaton and Bedworth</t>
  </si>
  <si>
    <t>Redditch</t>
  </si>
  <si>
    <t>Rugby</t>
  </si>
  <si>
    <t>Sandwell</t>
  </si>
  <si>
    <t>Shropshire</t>
  </si>
  <si>
    <t>Solihull</t>
  </si>
  <si>
    <t>South Staffordshire</t>
  </si>
  <si>
    <t>Stafford</t>
  </si>
  <si>
    <t>Staffordshire Moorlands</t>
  </si>
  <si>
    <t>Stoke-on-Trent</t>
  </si>
  <si>
    <t>Stratford-on-Avon</t>
  </si>
  <si>
    <t>Tamworth</t>
  </si>
  <si>
    <t>Telford and Wrekin</t>
  </si>
  <si>
    <t>Walsall</t>
  </si>
  <si>
    <t>Warwick</t>
  </si>
  <si>
    <t>Wolverhampton</t>
  </si>
  <si>
    <t>Worcester</t>
  </si>
  <si>
    <t>Wychavon</t>
  </si>
  <si>
    <t>Wyre Forest</t>
  </si>
  <si>
    <t>East</t>
  </si>
  <si>
    <t>Babergh</t>
  </si>
  <si>
    <t>Basildon</t>
  </si>
  <si>
    <t>Bedford</t>
  </si>
  <si>
    <t>Braintree</t>
  </si>
  <si>
    <t>Breckland</t>
  </si>
  <si>
    <t>Brentwood</t>
  </si>
  <si>
    <t>Broadland</t>
  </si>
  <si>
    <t>Broxbourne</t>
  </si>
  <si>
    <t>Cambridge</t>
  </si>
  <si>
    <t>Castle Point</t>
  </si>
  <si>
    <t>Central Bedfordshire</t>
  </si>
  <si>
    <t>Chelmsford</t>
  </si>
  <si>
    <t>Colchester</t>
  </si>
  <si>
    <t>Dacorum</t>
  </si>
  <si>
    <t>East Cambridgeshire</t>
  </si>
  <si>
    <t>East Hertfordshire</t>
  </si>
  <si>
    <t>East Lindsey</t>
  </si>
  <si>
    <t>Epping Forest</t>
  </si>
  <si>
    <t>Fenland</t>
  </si>
  <si>
    <t>West Suffolk</t>
  </si>
  <si>
    <t>Great Yarmouth</t>
  </si>
  <si>
    <t>Harlow</t>
  </si>
  <si>
    <t>Hertsmere</t>
  </si>
  <si>
    <t>Huntingdonshire</t>
  </si>
  <si>
    <t>Ipswich</t>
  </si>
  <si>
    <t>King's Lynn and West Norfolk</t>
  </si>
  <si>
    <t>Luton</t>
  </si>
  <si>
    <t>Maldon</t>
  </si>
  <si>
    <t>Mid Suffolk</t>
  </si>
  <si>
    <t>North Hertfordshire</t>
  </si>
  <si>
    <t>North Kesteven</t>
  </si>
  <si>
    <t>North Norfolk</t>
  </si>
  <si>
    <t>Norwich</t>
  </si>
  <si>
    <t>Peterborough</t>
  </si>
  <si>
    <t>Rochford</t>
  </si>
  <si>
    <t>South Cambridgeshire</t>
  </si>
  <si>
    <t>South Norfolk</t>
  </si>
  <si>
    <t>Southend-on-Sea</t>
  </si>
  <si>
    <t>St Albans</t>
  </si>
  <si>
    <t>St. Edmundsbury</t>
  </si>
  <si>
    <t>Stevenage</t>
  </si>
  <si>
    <t>East Suffolk</t>
  </si>
  <si>
    <t>Tendring</t>
  </si>
  <si>
    <t>Thurrock</t>
  </si>
  <si>
    <t>Uttlesford</t>
  </si>
  <si>
    <t>Watford</t>
  </si>
  <si>
    <t>Waveney (now merged with East Suffolk)</t>
  </si>
  <si>
    <t>Welwyn Hatfield</t>
  </si>
  <si>
    <t>West Lindsey</t>
  </si>
  <si>
    <t>Yorkshire and The Humber</t>
  </si>
  <si>
    <t>Barnsley</t>
  </si>
  <si>
    <t>Bradford</t>
  </si>
  <si>
    <t>Calderdale</t>
  </si>
  <si>
    <t>Craven</t>
  </si>
  <si>
    <t>Doncaster</t>
  </si>
  <si>
    <t>East Riding of Yorkshire</t>
  </si>
  <si>
    <t>Hambleton</t>
  </si>
  <si>
    <t>Harrogate</t>
  </si>
  <si>
    <t>Kingston upon Hull, City of</t>
  </si>
  <si>
    <t>Kirklees</t>
  </si>
  <si>
    <t>Leeds</t>
  </si>
  <si>
    <t>North East Lincolnshire</t>
  </si>
  <si>
    <t>North Lincolnshire</t>
  </si>
  <si>
    <t>Richmondshire</t>
  </si>
  <si>
    <t>Rotherham</t>
  </si>
  <si>
    <t>Ryedale</t>
  </si>
  <si>
    <t>Scarborough</t>
  </si>
  <si>
    <t>Selby</t>
  </si>
  <si>
    <t>Sheffield</t>
  </si>
  <si>
    <t>Wakefield</t>
  </si>
  <si>
    <t>York</t>
  </si>
  <si>
    <t>North East</t>
  </si>
  <si>
    <t>Darlington</t>
  </si>
  <si>
    <t>County Durham</t>
  </si>
  <si>
    <t>Gateshead</t>
  </si>
  <si>
    <t>Hartlepool</t>
  </si>
  <si>
    <t>Middlesbrough</t>
  </si>
  <si>
    <t>Newcastle upon Tyne</t>
  </si>
  <si>
    <t>North Tyneside</t>
  </si>
  <si>
    <t>Northumberland</t>
  </si>
  <si>
    <t>Redcar and Cleveland</t>
  </si>
  <si>
    <t>South Tyneside</t>
  </si>
  <si>
    <t>Stockton-on-Tees</t>
  </si>
  <si>
    <t>Sunderland</t>
  </si>
  <si>
    <t>North West</t>
  </si>
  <si>
    <t>Allerdale</t>
  </si>
  <si>
    <t>Barrow-in-Furness</t>
  </si>
  <si>
    <t>Blackburn with Darwen</t>
  </si>
  <si>
    <t>Blackpool</t>
  </si>
  <si>
    <t>Bolton</t>
  </si>
  <si>
    <t>Burnley</t>
  </si>
  <si>
    <t>Bury</t>
  </si>
  <si>
    <t>Carlisle</t>
  </si>
  <si>
    <t>Cheshire East</t>
  </si>
  <si>
    <t>Cheshire West and Chester</t>
  </si>
  <si>
    <t>Chorley</t>
  </si>
  <si>
    <t>Copeland</t>
  </si>
  <si>
    <t>Eden</t>
  </si>
  <si>
    <t>Fylde</t>
  </si>
  <si>
    <t>Halton</t>
  </si>
  <si>
    <t>Hyndburn</t>
  </si>
  <si>
    <t>Knowsley</t>
  </si>
  <si>
    <t>Lancaster</t>
  </si>
  <si>
    <t>Liverpool</t>
  </si>
  <si>
    <t>Manchester</t>
  </si>
  <si>
    <t>Oldham</t>
  </si>
  <si>
    <t>Pendle</t>
  </si>
  <si>
    <t>Preston</t>
  </si>
  <si>
    <t>Ribble Valley</t>
  </si>
  <si>
    <t>Rochdale</t>
  </si>
  <si>
    <t>Rossendale</t>
  </si>
  <si>
    <t>Salford</t>
  </si>
  <si>
    <t>Sefton</t>
  </si>
  <si>
    <t>South Lakeland</t>
  </si>
  <si>
    <t>South Ribble</t>
  </si>
  <si>
    <t>St. Helens</t>
  </si>
  <si>
    <t>Stockport</t>
  </si>
  <si>
    <t>Tameside</t>
  </si>
  <si>
    <t>Trafford</t>
  </si>
  <si>
    <t>Warrington</t>
  </si>
  <si>
    <t>West Lancashire</t>
  </si>
  <si>
    <t>Wigan</t>
  </si>
  <si>
    <t>Wirral</t>
  </si>
  <si>
    <t>Wyre</t>
  </si>
  <si>
    <t>South East</t>
  </si>
  <si>
    <t>Adur</t>
  </si>
  <si>
    <t>Arun</t>
  </si>
  <si>
    <t>Ashford</t>
  </si>
  <si>
    <t>Aylesbury Vale</t>
  </si>
  <si>
    <t>Basingstoke and Deane</t>
  </si>
  <si>
    <t>Bracknell Forest</t>
  </si>
  <si>
    <t>Brighton and Hove</t>
  </si>
  <si>
    <t>Canterbury</t>
  </si>
  <si>
    <t>Cherwell</t>
  </si>
  <si>
    <t>Chichester</t>
  </si>
  <si>
    <t>Chiltern</t>
  </si>
  <si>
    <t>Crawley</t>
  </si>
  <si>
    <t>Dartford</t>
  </si>
  <si>
    <t>Dover</t>
  </si>
  <si>
    <t>East Hampshire</t>
  </si>
  <si>
    <t>Eastbourne</t>
  </si>
  <si>
    <t>Eastleigh</t>
  </si>
  <si>
    <t>Elmbridge</t>
  </si>
  <si>
    <t>Epsom and Ewell</t>
  </si>
  <si>
    <t>Fareham</t>
  </si>
  <si>
    <t>Gosport</t>
  </si>
  <si>
    <t>Gravesham</t>
  </si>
  <si>
    <t>Guildford</t>
  </si>
  <si>
    <t>Hart</t>
  </si>
  <si>
    <t>Hastings</t>
  </si>
  <si>
    <t>Havant</t>
  </si>
  <si>
    <t>Horsham</t>
  </si>
  <si>
    <t>Isle of Wight</t>
  </si>
  <si>
    <t>Lewes</t>
  </si>
  <si>
    <t>Maidstone</t>
  </si>
  <si>
    <t>Medway</t>
  </si>
  <si>
    <t>Mid Sussex</t>
  </si>
  <si>
    <t>Milton Keynes</t>
  </si>
  <si>
    <t>Mole Valley</t>
  </si>
  <si>
    <t>New Forest</t>
  </si>
  <si>
    <t>Oxford</t>
  </si>
  <si>
    <t>Reading</t>
  </si>
  <si>
    <t>Reigate and Banstead</t>
  </si>
  <si>
    <t>Rother</t>
  </si>
  <si>
    <t>Runnymede</t>
  </si>
  <si>
    <t>Rushmoor</t>
  </si>
  <si>
    <t>Sevenoaks</t>
  </si>
  <si>
    <t>Folkestone and Hythe</t>
  </si>
  <si>
    <t>Slough</t>
  </si>
  <si>
    <t>South Bucks</t>
  </si>
  <si>
    <t>South Oxfordshire</t>
  </si>
  <si>
    <t>Southampton</t>
  </si>
  <si>
    <t>Spelthorne</t>
  </si>
  <si>
    <t>Surrey Heath</t>
  </si>
  <si>
    <t>Tandridge</t>
  </si>
  <si>
    <t>Test Valley</t>
  </si>
  <si>
    <t>Thanet</t>
  </si>
  <si>
    <t>Tonbridge and Malling</t>
  </si>
  <si>
    <t>Tunbridge Wells</t>
  </si>
  <si>
    <t>Vale of White Horse</t>
  </si>
  <si>
    <t>Waverley</t>
  </si>
  <si>
    <t>Wealden</t>
  </si>
  <si>
    <t>West Berkshire</t>
  </si>
  <si>
    <t>West Oxfordshire</t>
  </si>
  <si>
    <t>Winchester</t>
  </si>
  <si>
    <t>Windsor and Maidenhead</t>
  </si>
  <si>
    <t>Woking</t>
  </si>
  <si>
    <t>Wokingham</t>
  </si>
  <si>
    <t>Worthing</t>
  </si>
  <si>
    <t>Wycombe</t>
  </si>
  <si>
    <t>South West</t>
  </si>
  <si>
    <t>Bath and North East Somerset</t>
  </si>
  <si>
    <t>Bournemouth</t>
  </si>
  <si>
    <t>Bristol, City of</t>
  </si>
  <si>
    <t>Cheltenham</t>
  </si>
  <si>
    <t>Christchurch</t>
  </si>
  <si>
    <t>Cornwall</t>
  </si>
  <si>
    <t>Cotswold</t>
  </si>
  <si>
    <t>East Devon</t>
  </si>
  <si>
    <t>East Dorset</t>
  </si>
  <si>
    <t>Exeter</t>
  </si>
  <si>
    <t>Forest of Dean</t>
  </si>
  <si>
    <t>Gloucester</t>
  </si>
  <si>
    <t>Isles of Scilly</t>
  </si>
  <si>
    <t>Mendip</t>
  </si>
  <si>
    <t>Mid Devon</t>
  </si>
  <si>
    <t>North Devon</t>
  </si>
  <si>
    <t>North Dorset</t>
  </si>
  <si>
    <t>North Somerset</t>
  </si>
  <si>
    <t>Purbeck</t>
  </si>
  <si>
    <t>Sedgemoor</t>
  </si>
  <si>
    <t>South Gloucestershire</t>
  </si>
  <si>
    <t>South Hams</t>
  </si>
  <si>
    <t>South Somerset</t>
  </si>
  <si>
    <t>Stroud</t>
  </si>
  <si>
    <t>Swindon</t>
  </si>
  <si>
    <t>Taunton Deane</t>
  </si>
  <si>
    <t>Teignbridge</t>
  </si>
  <si>
    <t>Tewkesbury</t>
  </si>
  <si>
    <t>Torbay</t>
  </si>
  <si>
    <t>Torridge</t>
  </si>
  <si>
    <t>West Devon</t>
  </si>
  <si>
    <t>West Dorset</t>
  </si>
  <si>
    <t>West Somerset</t>
  </si>
  <si>
    <t>Weymouth and Portland</t>
  </si>
  <si>
    <t>Wiltshire</t>
  </si>
  <si>
    <t>Barking and Dagenham</t>
  </si>
  <si>
    <t>Barnet</t>
  </si>
  <si>
    <t>Bexley</t>
  </si>
  <si>
    <t>Brent</t>
  </si>
  <si>
    <t>Bromley London</t>
  </si>
  <si>
    <t>Camden</t>
  </si>
  <si>
    <t>City of London</t>
  </si>
  <si>
    <t>Croydon</t>
  </si>
  <si>
    <t>Ealing</t>
  </si>
  <si>
    <t>Enfield</t>
  </si>
  <si>
    <t>Greenwich</t>
  </si>
  <si>
    <t>Hackney</t>
  </si>
  <si>
    <t>Hammersmith &amp; Fulham</t>
  </si>
  <si>
    <t>Haringey</t>
  </si>
  <si>
    <t>Harrow</t>
  </si>
  <si>
    <t>Havering</t>
  </si>
  <si>
    <t>Hillingdon</t>
  </si>
  <si>
    <t>Hounslow</t>
  </si>
  <si>
    <t>Islington</t>
  </si>
  <si>
    <t>Kensington &amp; Chelsea</t>
  </si>
  <si>
    <t>Kingston upon Thames</t>
  </si>
  <si>
    <t>Lambeth</t>
  </si>
  <si>
    <t>Lewisham</t>
  </si>
  <si>
    <t>Merton</t>
  </si>
  <si>
    <t>Newham</t>
  </si>
  <si>
    <t>Redbridge</t>
  </si>
  <si>
    <t>Richmond upon Thames</t>
  </si>
  <si>
    <t>Southwark</t>
  </si>
  <si>
    <t>Sutton</t>
  </si>
  <si>
    <t>Tower Hamlets</t>
  </si>
  <si>
    <t>Waltham Forest</t>
  </si>
  <si>
    <t>Wandsworth</t>
  </si>
  <si>
    <t>Westminster</t>
  </si>
  <si>
    <t>Regional Average</t>
  </si>
  <si>
    <t>Average taken of uplift values for each local authority</t>
  </si>
  <si>
    <t>The industrial and commercial values from the ONS - Land value estimates for policy appraisal source do not explicitly state that they have used the same residual valuation methodology as the residential. Taking into account the structure of the report, the values provided and the format we have assumed that the same methodology has been used
'Values represent the increase in land value when repurposed for residential properties. The valuations have been undertaken using a truncated residual valuation model. Essentially, this involves valuing the proposed development (the sale price of the proposed scheme) and deducting the development costs, including allowances for base build cost, developer profit, marketing costs, fees, finance etc., to leave a “residual” for the site value.</t>
  </si>
  <si>
    <t>Uplift</t>
  </si>
  <si>
    <t>UK government guidance and data with accompanying high confidence score</t>
  </si>
  <si>
    <t>41-01</t>
  </si>
  <si>
    <t>41-02</t>
  </si>
  <si>
    <t>41-03</t>
  </si>
  <si>
    <t>41-04</t>
  </si>
  <si>
    <t>41-05</t>
  </si>
  <si>
    <t>41-06</t>
  </si>
  <si>
    <t>41-07</t>
  </si>
  <si>
    <t>41-08</t>
  </si>
  <si>
    <t>41-09</t>
  </si>
  <si>
    <t>41-10</t>
  </si>
  <si>
    <t>41-11</t>
  </si>
  <si>
    <t>41-12</t>
  </si>
  <si>
    <t>41-13</t>
  </si>
  <si>
    <t>41-14</t>
  </si>
  <si>
    <t>41-15</t>
  </si>
  <si>
    <t>41-16</t>
  </si>
  <si>
    <t>41-17</t>
  </si>
  <si>
    <t>41-18</t>
  </si>
  <si>
    <r>
      <rPr>
        <b/>
        <i/>
        <sz val="11"/>
        <color theme="1"/>
        <rFont val="Aptos"/>
        <family val="2"/>
      </rPr>
      <t>Value application:</t>
    </r>
    <r>
      <rPr>
        <sz val="11"/>
        <color theme="1"/>
        <rFont val="Aptos"/>
        <family val="2"/>
      </rPr>
      <t xml:space="preserve">
- Before application, the appraisal period should be updated in COMPANY INPUT to make sure carbon values are correct.
</t>
    </r>
    <r>
      <rPr>
        <i/>
        <sz val="11"/>
        <color theme="1"/>
        <rFont val="Aptos"/>
        <family val="2"/>
      </rPr>
      <t xml:space="preserve">- Air quality </t>
    </r>
    <r>
      <rPr>
        <sz val="11"/>
        <color theme="1"/>
        <rFont val="Aptos"/>
        <family val="2"/>
      </rPr>
      <t>values should be uplifted by an additional 2% per annum to be consistent with interdepartmental guidance to reflects increases in willingness to pay for avoided health outcomes over time.</t>
    </r>
  </si>
  <si>
    <t>Negative impact on local economy due to travel disruption</t>
  </si>
  <si>
    <t>MCM (2024) Multicoloured Manual - Chapter 6 Other losses - Tables and Figures</t>
  </si>
  <si>
    <t>Multicoloured Manual</t>
  </si>
  <si>
    <t>Vehicle type</t>
  </si>
  <si>
    <t>pence per km (2023 price)</t>
  </si>
  <si>
    <t>km/h</t>
  </si>
  <si>
    <t>Car</t>
  </si>
  <si>
    <t>The average speed on local urban roads in the 12 months to September 24 was 16.3 mph which is equivalent to 26 km/h. The average on rural roads is 33.8mph, equivalent to 54 km/h. Assume a speed of 40km/h using Table 6.11 below.
The MCM resource cost cover GVA impact, vehicle operating costs, and indirect costs e.g. env impact, wear and tear on infrastructure</t>
  </si>
  <si>
    <t>LGV</t>
  </si>
  <si>
    <t>OGV1</t>
  </si>
  <si>
    <t>OGV2</t>
  </si>
  <si>
    <t>PSV</t>
  </si>
  <si>
    <t>Assumes a speed of 23.7 mph which is equivalent to 38 km/h. This is the average speed on A roads in England in the 12 months to September 24. Assume a speed of 40km/h using Table 6.11 below.</t>
  </si>
  <si>
    <t xml:space="preserve">The average speed on the Strategic Road Network in England in the 12 months to September 24 was 56.2 mph. Equivalent to 90km/h. Use average of 80 and 100 km/h in Table 6.11 below.
</t>
  </si>
  <si>
    <t>Resource costs not available at this speed - use 80 km/h in Table 6.11 below.</t>
  </si>
  <si>
    <t>Resource costs not available at this speed - use 50 km/h in Table 6.11 below.</t>
  </si>
  <si>
    <t>Road type</t>
  </si>
  <si>
    <t>Motor vehicle flow by road class in GB (TRA0301) - 000 vehicles per day</t>
  </si>
  <si>
    <t>Motor vehicle flow by road class in GB (TRA0301) - vehicles per day</t>
  </si>
  <si>
    <t>Major Roads: Motorway [note 1]</t>
  </si>
  <si>
    <t>Represents motorways</t>
  </si>
  <si>
    <t>Major Roads: All 'A' Roads</t>
  </si>
  <si>
    <t>Represents A roads</t>
  </si>
  <si>
    <t>All Minor Roads</t>
  </si>
  <si>
    <t>Represents minor roads</t>
  </si>
  <si>
    <t>Road Type</t>
  </si>
  <si>
    <t>Road Management</t>
  </si>
  <si>
    <t>Rural Urban Classification</t>
  </si>
  <si>
    <t>Vehicle</t>
  </si>
  <si>
    <t>Road traffic - 2023 (TRA0104)</t>
  </si>
  <si>
    <t>Motorway</t>
  </si>
  <si>
    <t>All</t>
  </si>
  <si>
    <t>Cars and Taxis</t>
  </si>
  <si>
    <t>[note 4]</t>
  </si>
  <si>
    <t>Billion vehicle miles</t>
  </si>
  <si>
    <t>Light Commercial Vehicles</t>
  </si>
  <si>
    <t>[note 4] [note 8]</t>
  </si>
  <si>
    <t>Heavy Goods Vehicles</t>
  </si>
  <si>
    <t>[note 4] [note 9]</t>
  </si>
  <si>
    <t>Motorcycles</t>
  </si>
  <si>
    <t>Buses and Coaches</t>
  </si>
  <si>
    <t>All Motor Vehicles</t>
  </si>
  <si>
    <t>'A' Road</t>
  </si>
  <si>
    <t>Trunk</t>
  </si>
  <si>
    <t>Rural</t>
  </si>
  <si>
    <t>[note 5] [note 7]</t>
  </si>
  <si>
    <t>[note 5] [note 7] [note 8]</t>
  </si>
  <si>
    <t>[note 5] [note 7] [note 9]</t>
  </si>
  <si>
    <t>Principal</t>
  </si>
  <si>
    <t>[note 6] [note 7]</t>
  </si>
  <si>
    <t>[note 6] [note 7] [note 8]</t>
  </si>
  <si>
    <t>[note 6] [note 7] [note 9]</t>
  </si>
  <si>
    <t>Minor Road</t>
  </si>
  <si>
    <t>[note 7]</t>
  </si>
  <si>
    <t>[note 7] [note 8]</t>
  </si>
  <si>
    <t>[note 7] [note 9]</t>
  </si>
  <si>
    <t>All Roads</t>
  </si>
  <si>
    <t>[no notes]</t>
  </si>
  <si>
    <t>[note 8]</t>
  </si>
  <si>
    <t>[note 9]</t>
  </si>
  <si>
    <t>Area type</t>
  </si>
  <si>
    <t>Average minimum travel time to reach the nearest key services by mode of travel, rural and urban areas, England, 2019 (minutes)</t>
  </si>
  <si>
    <t>Public transport - PSV</t>
  </si>
  <si>
    <t>All urban</t>
  </si>
  <si>
    <t>The average minimum journey time to access a range of 8 key local services from where people live.</t>
  </si>
  <si>
    <t>All rural</t>
  </si>
  <si>
    <t>2024 average delay in England (seconds per vehicle per mile)</t>
  </si>
  <si>
    <t>Strategic Road Network</t>
  </si>
  <si>
    <t>Local A roads</t>
  </si>
  <si>
    <t xml:space="preserve">This method works out the number of each type of vehicle that could be disrupted on a "typical" stretch of each road type. It uses resource cost to determine the economic impact of disruption. It works out the duration of a typical disruption for all vehicles passing through an affected area in a day. The valuation is based on the method described in Source 85, the Multicoloured Manual, which is used for flood risk appraisals. </t>
  </si>
  <si>
    <t>This calculation assumes that the distance travelled by each vehicle type is proportionate to the number of vehicles on that type on the road. This is used to weight AADF of all vehicles between types.</t>
  </si>
  <si>
    <t>% miles by vehicle type</t>
  </si>
  <si>
    <t>Vehicles disrupted per day</t>
  </si>
  <si>
    <t>91/90</t>
  </si>
  <si>
    <t>A road</t>
  </si>
  <si>
    <t>Minor roads</t>
  </si>
  <si>
    <t>This calculation works out the distance travelled during the minimum average journey time to reach key services. It then applies the average disruption duration per vehicle per mile to work out the duration of a delay on this journey. Note that data isn't available for HGVs so a weighted average delay for cars and public service vehicles (PSVs) is used for all vehicle types. Minimum travel time is the average minimum travel time to reach the nearest key services in England (2019). Source ID is provided in brackets.</t>
  </si>
  <si>
    <t>Minimum journey time (minutes) (96)</t>
  </si>
  <si>
    <t>AADF (90/91)</t>
  </si>
  <si>
    <t>Total AADF</t>
  </si>
  <si>
    <t>Speed (km/hr) (86/87)</t>
  </si>
  <si>
    <t>Minimum distance travelled (km) per vehicle</t>
  </si>
  <si>
    <t>Minimum distance travelled (miles) per vehicle</t>
  </si>
  <si>
    <t>Delay (seconds per vehicle per mile) (100/101)</t>
  </si>
  <si>
    <t>Delay per vehicle (minutes)</t>
  </si>
  <si>
    <t>Weighted average delay (minutes)</t>
  </si>
  <si>
    <t>This calculation works out the resource cost of 24 hours of disruption for a single vehicle.</t>
  </si>
  <si>
    <t>Average speed (km/h)</t>
  </si>
  <si>
    <t>Resource cost (pence per km)</t>
  </si>
  <si>
    <t>Resource cost (pence per vehicle per hour)</t>
  </si>
  <si>
    <t>Resource cost (£ per vehicle per hour disruption)</t>
  </si>
  <si>
    <t>£ per vehicle per average disruption</t>
  </si>
  <si>
    <t>This calculation works out the resource cost of a typical disruption. An average of OGV disruption costs is used to represent HGVs.</t>
  </si>
  <si>
    <t>£ per vehicle per vehicle per average disruption</t>
  </si>
  <si>
    <t>No. vehicles disrupted per day</t>
  </si>
  <si>
    <t>£ per day of disruption</t>
  </si>
  <si>
    <t>Total across vehicle types (£/day)</t>
  </si>
  <si>
    <t>HGV</t>
  </si>
  <si>
    <t>Main roads</t>
  </si>
  <si>
    <t>This table summarises the results</t>
  </si>
  <si>
    <t>DfT (2024) TAG Data Book v1.24</t>
  </si>
  <si>
    <t>Value of time (source: DfT (2021) TAG data book. Available from: https://www.gov.uk/government/publications/tag-data-book)</t>
  </si>
  <si>
    <t xml:space="preserve">Table A 1.3.1: Values of Working (Employers' Business) Time by Mode </t>
  </si>
  <si>
    <t xml:space="preserve">DfT value of time represent people's WTP to reduce journey time, adjusted for income. </t>
  </si>
  <si>
    <t>(£ per hour, 2010 prices, 2010 values)</t>
  </si>
  <si>
    <t>Factor cost</t>
  </si>
  <si>
    <t>Perceived cost</t>
  </si>
  <si>
    <t>Car driver</t>
  </si>
  <si>
    <t>Car passenger</t>
  </si>
  <si>
    <t>LGV (driver or passenger)</t>
  </si>
  <si>
    <t>OGV (driver or passenger)</t>
  </si>
  <si>
    <t>PSV driver</t>
  </si>
  <si>
    <t>PSV passenger</t>
  </si>
  <si>
    <t>Taxi driver</t>
  </si>
  <si>
    <t>Taxi / Minicab passenger</t>
  </si>
  <si>
    <t>Rail passenger</t>
  </si>
  <si>
    <t>Underground passenger</t>
  </si>
  <si>
    <t xml:space="preserve">Walker </t>
  </si>
  <si>
    <t>Cyclist</t>
  </si>
  <si>
    <t>Motorcyclist</t>
  </si>
  <si>
    <t>Average of all working persons</t>
  </si>
  <si>
    <t xml:space="preserve">Values of Non-Working Time by Trip Purpose </t>
  </si>
  <si>
    <t>Trip Purpose</t>
  </si>
  <si>
    <t>Commuting</t>
  </si>
  <si>
    <t>Other</t>
  </si>
  <si>
    <t>Table A 1.3.4: Proportion of trips made in work and non-work time</t>
  </si>
  <si>
    <t>Journey Purpose</t>
  </si>
  <si>
    <t>All week average</t>
  </si>
  <si>
    <t xml:space="preserve">Work </t>
  </si>
  <si>
    <t xml:space="preserve">Commuting </t>
  </si>
  <si>
    <t xml:space="preserve">Other </t>
  </si>
  <si>
    <t>Vehicles per day</t>
  </si>
  <si>
    <t>Average disruption duration (minutes) - calculated in value option 1.</t>
  </si>
  <si>
    <t>Additional travel time (hours / day of disruption)</t>
  </si>
  <si>
    <t>A weighted average of market price of work, commuting and other travels have been used to calculate the average value of time (£ per hour)</t>
  </si>
  <si>
    <t>Value of time (2022 price)</t>
  </si>
  <si>
    <t>Proportions of travel</t>
  </si>
  <si>
    <t>Weighted average of value of time</t>
  </si>
  <si>
    <t>Calculation of value of time for additional time spent travelling</t>
  </si>
  <si>
    <t>Road types</t>
  </si>
  <si>
    <t>Value of additional time travelled (2010 price)</t>
  </si>
  <si>
    <t>£ / day of disruption</t>
  </si>
  <si>
    <t>Resource cost</t>
  </si>
  <si>
    <t>Value option 1 covers more of the costs associated with disruption that option 2</t>
  </si>
  <si>
    <t>42-6</t>
  </si>
  <si>
    <t>42-7</t>
  </si>
  <si>
    <t>42-8</t>
  </si>
  <si>
    <t xml:space="preserve">Reduced air quality </t>
  </si>
  <si>
    <t>DESNZ (2023) Green Book supplementary guidance: valuation of energy use and greenhouse gas emissions for appraisal</t>
  </si>
  <si>
    <t>Table 14: Regional air quality activity costs for the transport sector, 2022 p/litre</t>
  </si>
  <si>
    <t>Car petrol</t>
  </si>
  <si>
    <t>Car diesel</t>
  </si>
  <si>
    <t>LGV petrol</t>
  </si>
  <si>
    <t>LGV diesel</t>
  </si>
  <si>
    <t>Rigid HGV diesel</t>
  </si>
  <si>
    <t>Articulated HGV diesel</t>
  </si>
  <si>
    <t>Transport average</t>
  </si>
  <si>
    <t>Average speed (mph)</t>
  </si>
  <si>
    <t>The average speed on local urban roads in the 12 months to September 24</t>
  </si>
  <si>
    <t>The average speed on A roads in England in the 12 months to September 24</t>
  </si>
  <si>
    <t>The average speed on the SRN in England in the 12 months to September 24</t>
  </si>
  <si>
    <t>Motor vehicle flow per day (no.)</t>
  </si>
  <si>
    <t>Fuel consumption - l/100km (2020)</t>
  </si>
  <si>
    <t xml:space="preserve">Petrol cars </t>
  </si>
  <si>
    <t>Diesel cars</t>
  </si>
  <si>
    <t>Petrol LGVs</t>
  </si>
  <si>
    <t>Diesel LGVs</t>
  </si>
  <si>
    <t>Average vehicle</t>
  </si>
  <si>
    <t>Delay (minutes)</t>
  </si>
  <si>
    <t>Calculated in value option 1</t>
  </si>
  <si>
    <t>Additional distance travelled</t>
  </si>
  <si>
    <t>km/day disruption</t>
  </si>
  <si>
    <t xml:space="preserve">Assumed that every vehicle passing through the road section is delayed, either through diversion of slowed traffic. To quantify the air quality and GHG impact of transport disruption, we have assumed all disruption will result in a diversion. </t>
  </si>
  <si>
    <t>Additional fuel consumed</t>
  </si>
  <si>
    <t xml:space="preserve">Assumed that there is a 10 minutes delay experienced per vehicle, either through diversion of slowed traffic. To quantify the air quality and GHG impact of transport disruption, we have assumed all disruption will result in a diversion. </t>
  </si>
  <si>
    <t>Air quality damage cost - average vehicle (p/litre)</t>
  </si>
  <si>
    <t>£/day of disruption (2022 price)</t>
  </si>
  <si>
    <t>Activity costs</t>
  </si>
  <si>
    <t>Based on UK-specific data and costs</t>
  </si>
  <si>
    <t>42-1</t>
  </si>
  <si>
    <t>42-2</t>
  </si>
  <si>
    <t>42-3</t>
  </si>
  <si>
    <t>Vehicle and fuel type - conversion factor</t>
  </si>
  <si>
    <t>kg CO2e / km</t>
  </si>
  <si>
    <t>Average car, unknown fuel type</t>
  </si>
  <si>
    <t>This is the average number of vehicles passing per day on a typical stretch of road.</t>
  </si>
  <si>
    <t>tCO2e/day of disruption</t>
  </si>
  <si>
    <t>£/day disruption</t>
  </si>
  <si>
    <t>Carbon appraisal values</t>
  </si>
  <si>
    <t>42-4</t>
  </si>
  <si>
    <t>42-5</t>
  </si>
  <si>
    <t>Reduced customer trust in water company</t>
  </si>
  <si>
    <r>
      <rPr>
        <b/>
        <i/>
        <sz val="11"/>
        <color theme="1"/>
        <rFont val="Aptos"/>
        <family val="2"/>
      </rPr>
      <t>To avoid double counting:</t>
    </r>
    <r>
      <rPr>
        <sz val="11"/>
        <color theme="1"/>
        <rFont val="Aptos"/>
        <family val="2"/>
      </rPr>
      <t xml:space="preserve">
- Valuations are not provided for the </t>
    </r>
    <r>
      <rPr>
        <i/>
        <sz val="11"/>
        <color theme="1"/>
        <rFont val="Aptos"/>
        <family val="2"/>
      </rPr>
      <t>recreation</t>
    </r>
    <r>
      <rPr>
        <sz val="11"/>
        <color theme="1"/>
        <rFont val="Aptos"/>
        <family val="2"/>
      </rPr>
      <t xml:space="preserve"> value metric to avoid double counting with the Recreation (38) service measure. </t>
    </r>
  </si>
  <si>
    <t>New recreational opportunities</t>
  </si>
  <si>
    <t>Improved health and wellbeing as a result of physical activity</t>
  </si>
  <si>
    <t>World Health Organisation (2024) HEAT v5.3.0.</t>
  </si>
  <si>
    <t>World Health Organisation (2024) Health economic assessment tool (HEAT) for walking and for cycling - methods and user guide on physical activity, air pollution, road fatalities and carbon impact assessments: 2024 updated</t>
  </si>
  <si>
    <t xml:space="preserve">This table includes all the input data used to generate the health and wellbeing valuation. </t>
  </si>
  <si>
    <t xml:space="preserve">It assumes that each trip fulfils an individual's recommended weekly activity level, which is 150 minutes, but the valuation is reduced to account for a large proportion of the population already achieving this level. </t>
  </si>
  <si>
    <t>All-cause mortality refers to the relative risk of all-cause mortality among cyclists or pedestrians compared with non-cyclists or pedestrians</t>
  </si>
  <si>
    <t>Walking</t>
  </si>
  <si>
    <t>Selection</t>
  </si>
  <si>
    <t>User interface</t>
  </si>
  <si>
    <t>Basic</t>
  </si>
  <si>
    <t>Active travel mode</t>
  </si>
  <si>
    <t>Geographic scale</t>
  </si>
  <si>
    <t>The United Kingdom</t>
  </si>
  <si>
    <t>Country</t>
  </si>
  <si>
    <t>Comparison</t>
  </si>
  <si>
    <t>Single case</t>
  </si>
  <si>
    <t>Reference year</t>
  </si>
  <si>
    <t>Impact calculated over how many years</t>
  </si>
  <si>
    <t>Impact considered</t>
  </si>
  <si>
    <t>Physical activity</t>
  </si>
  <si>
    <t>Data source</t>
  </si>
  <si>
    <t>Hypothetical scenario</t>
  </si>
  <si>
    <t>Data unit or type</t>
  </si>
  <si>
    <t>Minutes</t>
  </si>
  <si>
    <t>Walking data (minutes per person per day)</t>
  </si>
  <si>
    <t>Assumes the individual gets 150 mins activity from their trip, the 150 mins is divided over the year.</t>
  </si>
  <si>
    <t>Population type</t>
  </si>
  <si>
    <t>General population</t>
  </si>
  <si>
    <t>Age range</t>
  </si>
  <si>
    <t>20-64</t>
  </si>
  <si>
    <t>Total population</t>
  </si>
  <si>
    <t>% population within age range assessed</t>
  </si>
  <si>
    <t>Population size used for assessment</t>
  </si>
  <si>
    <t>All-cause mortality per 100,000</t>
  </si>
  <si>
    <t>Default, original source is https://www.who.int/data/gho/data/themes/mortality-and-global-health-estimates/ghe-leading-causes-of-death</t>
  </si>
  <si>
    <t>Monetization currency</t>
  </si>
  <si>
    <t>Local currency unit</t>
  </si>
  <si>
    <t>Value of statistical life</t>
  </si>
  <si>
    <t>Default</t>
  </si>
  <si>
    <t>Cycling speed (km/hr)</t>
  </si>
  <si>
    <t>Economic value of impact</t>
  </si>
  <si>
    <t>2022 price</t>
  </si>
  <si>
    <t>Cycling</t>
  </si>
  <si>
    <t>Percentage of population achieving 150 minutes of exercise a week</t>
  </si>
  <si>
    <t>Sport England (2024)</t>
  </si>
  <si>
    <t>Percentage of population not achieving 150 minutes of exercise a week</t>
  </si>
  <si>
    <t>Value / calculation</t>
  </si>
  <si>
    <t>Economic value of one walking trip</t>
  </si>
  <si>
    <t>Economic value of one cycling trip</t>
  </si>
  <si>
    <t>Economic value of one walking trip - Adjusted for % population not achieving 150 mins activity per week</t>
  </si>
  <si>
    <t>Economic value of one cycling trip - Adjusted for % population not achieving 150 mins activity per week</t>
  </si>
  <si>
    <t>Value of statistical life (WTP)</t>
  </si>
  <si>
    <t>Referenced in B£ST and applicable to SM</t>
  </si>
  <si>
    <t>43-1</t>
  </si>
  <si>
    <t>Active travel</t>
  </si>
  <si>
    <t>43-2</t>
  </si>
  <si>
    <t>https://iris.who.int/bitstream/handle/10665/379361/9789289058377-eng.pdf?sequence=1</t>
  </si>
  <si>
    <r>
      <rPr>
        <b/>
        <i/>
        <sz val="11"/>
        <color theme="1"/>
        <rFont val="Aptos"/>
        <family val="2"/>
      </rPr>
      <t>Value application:</t>
    </r>
    <r>
      <rPr>
        <sz val="11"/>
        <color theme="1"/>
        <rFont val="Aptos"/>
        <family val="2"/>
      </rPr>
      <t xml:space="preserve">
- This service measure should be used for the public as well as company own employees.
- When using this Service Measure, the 'non-fatal injuries' impact category should not be used together with the 'injuries leading to 7 or more days absence' or 'injuries leading up to 6 days absence'. If the type of non-fatal injuries is known (i.e. up to 6 days or 7 or more, please use the respective impact category, otherwise, use the non-fatal injuries impact category. The same advice should be followed for the ill health impact categories. 
- There is a universal private costs valuation provided, based on literature. If a company has private costs calculated separately these can be used as overrides.
</t>
    </r>
    <r>
      <rPr>
        <b/>
        <i/>
        <sz val="11"/>
        <color theme="1"/>
        <rFont val="Aptos"/>
        <family val="2"/>
      </rPr>
      <t>To avoid double counting:</t>
    </r>
    <r>
      <rPr>
        <sz val="11"/>
        <color theme="1"/>
        <rFont val="Aptos"/>
        <family val="2"/>
      </rPr>
      <t xml:space="preserve">
- Valuations are not provided for the </t>
    </r>
    <r>
      <rPr>
        <i/>
        <sz val="11"/>
        <color theme="1"/>
        <rFont val="Aptos"/>
        <family val="2"/>
      </rPr>
      <t xml:space="preserve">health and wellbeing value </t>
    </r>
    <r>
      <rPr>
        <sz val="11"/>
        <color theme="1"/>
        <rFont val="Aptos"/>
        <family val="2"/>
      </rPr>
      <t>metric to avoid double counting with the</t>
    </r>
    <r>
      <rPr>
        <i/>
        <sz val="11"/>
        <color theme="1"/>
        <rFont val="Aptos"/>
        <family val="2"/>
      </rPr>
      <t xml:space="preserve"> safety and security</t>
    </r>
    <r>
      <rPr>
        <sz val="11"/>
        <color theme="1"/>
        <rFont val="Aptos"/>
        <family val="2"/>
      </rPr>
      <t xml:space="preserve"> value metric.</t>
    </r>
  </si>
  <si>
    <t>Private costs, local economy, safety and security</t>
  </si>
  <si>
    <t>Cost to employer/water company as a result of reduced productivity</t>
  </si>
  <si>
    <t>Cost to government as a result of increased health and social care costs</t>
  </si>
  <si>
    <t>Costs to the individual to represent the loss of life or quality of life</t>
  </si>
  <si>
    <t>HSE (2023) Appraisal values or 'unit costs'</t>
  </si>
  <si>
    <t>Britain</t>
  </si>
  <si>
    <t>£ per case (2023)</t>
  </si>
  <si>
    <t>Financial costs to employers</t>
  </si>
  <si>
    <t>Financial costs to government</t>
  </si>
  <si>
    <t>Human and financial rounded costs to the individual</t>
  </si>
  <si>
    <t>Reputable source and UK context</t>
  </si>
  <si>
    <t>44-1</t>
  </si>
  <si>
    <t>44-2</t>
  </si>
  <si>
    <t>44-3</t>
  </si>
  <si>
    <t>44-4</t>
  </si>
  <si>
    <t>44-5</t>
  </si>
  <si>
    <t>44-6</t>
  </si>
  <si>
    <t>44-7</t>
  </si>
  <si>
    <t>44-8</t>
  </si>
  <si>
    <t>44-9</t>
  </si>
  <si>
    <t>44-10</t>
  </si>
  <si>
    <t>44-11</t>
  </si>
  <si>
    <t>44-12</t>
  </si>
  <si>
    <t>44-13</t>
  </si>
  <si>
    <t>44-14</t>
  </si>
  <si>
    <t>44-15</t>
  </si>
  <si>
    <t>44-16</t>
  </si>
  <si>
    <t>44-17</t>
  </si>
  <si>
    <t>44-18</t>
  </si>
  <si>
    <t>44-19</t>
  </si>
  <si>
    <t>44-20</t>
  </si>
  <si>
    <t>44-21</t>
  </si>
  <si>
    <t>Cost to employer/water company as a result of</t>
  </si>
  <si>
    <t>Security (physical &amp; cyber)</t>
  </si>
  <si>
    <r>
      <rPr>
        <b/>
        <i/>
        <sz val="11"/>
        <color theme="1"/>
        <rFont val="Aptos"/>
        <family val="2"/>
      </rPr>
      <t>Value application:</t>
    </r>
    <r>
      <rPr>
        <sz val="11"/>
        <color theme="1"/>
        <rFont val="Aptos"/>
        <family val="2"/>
      </rPr>
      <t xml:space="preserve">
- There is a universal private costs valuation provided, based on literature. If a company has private costs calculated separately these can be used as overrides.
</t>
    </r>
    <r>
      <rPr>
        <b/>
        <i/>
        <sz val="11"/>
        <color theme="1"/>
        <rFont val="Aptos"/>
        <family val="2"/>
      </rPr>
      <t>To avoid double counting:</t>
    </r>
    <r>
      <rPr>
        <sz val="11"/>
        <color theme="1"/>
        <rFont val="Aptos"/>
        <family val="2"/>
      </rPr>
      <t xml:space="preserve">
- For the </t>
    </r>
    <r>
      <rPr>
        <i/>
        <sz val="11"/>
        <color theme="1"/>
        <rFont val="Aptos"/>
        <family val="2"/>
      </rPr>
      <t xml:space="preserve">loss of customer data </t>
    </r>
    <r>
      <rPr>
        <sz val="11"/>
        <color theme="1"/>
        <rFont val="Aptos"/>
        <family val="2"/>
      </rPr>
      <t xml:space="preserve">impact category, no valuation is provided for the trust value metric to avoid double counting with  the </t>
    </r>
    <r>
      <rPr>
        <i/>
        <sz val="11"/>
        <color theme="1"/>
        <rFont val="Aptos"/>
        <family val="2"/>
      </rPr>
      <t>cyber security breach - breach with outcome</t>
    </r>
    <r>
      <rPr>
        <sz val="11"/>
        <color theme="1"/>
        <rFont val="Aptos"/>
        <family val="2"/>
      </rPr>
      <t xml:space="preserve"> impact category.
- No valuation is provided for the </t>
    </r>
    <r>
      <rPr>
        <i/>
        <sz val="11"/>
        <color theme="1"/>
        <rFont val="Aptos"/>
        <family val="2"/>
      </rPr>
      <t xml:space="preserve">structural resources </t>
    </r>
    <r>
      <rPr>
        <sz val="11"/>
        <color theme="1"/>
        <rFont val="Aptos"/>
        <family val="2"/>
      </rPr>
      <t xml:space="preserve">value metric to avoid double counting with the </t>
    </r>
    <r>
      <rPr>
        <i/>
        <sz val="11"/>
        <color theme="1"/>
        <rFont val="Aptos"/>
        <family val="2"/>
      </rPr>
      <t>routine and practices</t>
    </r>
    <r>
      <rPr>
        <sz val="11"/>
        <color theme="1"/>
        <rFont val="Aptos"/>
        <family val="2"/>
      </rPr>
      <t xml:space="preserve"> value metric. </t>
    </r>
  </si>
  <si>
    <t>Private costs, local economy, health and wellbeing, safety and security, routines and practices</t>
  </si>
  <si>
    <t>Costs to water company as a result of dealing with the security breach</t>
  </si>
  <si>
    <t>Cost to the health and justice systems</t>
  </si>
  <si>
    <t>Negative impact on emotional wellbeing</t>
  </si>
  <si>
    <t>Negative impact on physical health</t>
  </si>
  <si>
    <t>Loss of staff productivity and intellectual property</t>
  </si>
  <si>
    <t>Home Office (2018) The economic and social costs of crime second edition.</t>
  </si>
  <si>
    <t>Notes - colour coded against extract</t>
  </si>
  <si>
    <t>average £/ breach (2015/16 prices)</t>
  </si>
  <si>
    <t>An average value of property stolen/damaged for all commercial crimes from Table 1 has been used to represent the private cost of a breach.</t>
  </si>
  <si>
    <t>An average value of costs relating to health services, victim services, police costs and other CJS costs for all commercial crimes from Table 1 has been used to represent the cost to local economy.</t>
  </si>
  <si>
    <t>An average value of physical and emotional harm for all commercial crimes from Table 1 has been used. The value has been split in half between health &amp; wellbeing and safety &amp; security.</t>
  </si>
  <si>
    <t>Average £/nr of customers affected (2015/16)</t>
  </si>
  <si>
    <t>The physical and emotional harm value for individual cybercrime has been used to represent the wellbeing impact on customers from loss of customer data.</t>
  </si>
  <si>
    <t>An average value of lost output for all commercial crimes from Table 1 has been used to represent the lost productivity. Not placed under local economy as this reflects UU's internal impact.</t>
  </si>
  <si>
    <t>Option 1</t>
  </si>
  <si>
    <t>Reputable source and based on survey data</t>
  </si>
  <si>
    <t>45-1</t>
  </si>
  <si>
    <t>45-2</t>
  </si>
  <si>
    <t>45-3</t>
  </si>
  <si>
    <t>45-4</t>
  </si>
  <si>
    <t>45-5</t>
  </si>
  <si>
    <t>45-6</t>
  </si>
  <si>
    <t>Private costs, Routines and practices</t>
  </si>
  <si>
    <t>Department for Digital, Culture, Media &amp; Sport (2022) Cyber Security Breaches Survey 2022</t>
  </si>
  <si>
    <t>average £/ breach (2022 prices)</t>
  </si>
  <si>
    <t xml:space="preserve">We have used the short-term direct cost in Table 5.2 below to represent the private costs to deal with the service failure (mean cost for medium / large businesses). Includes any payments to external IT consultants or contractors to investigate or fix the problem, any payments to the attackers or money stolen.
	</t>
  </si>
  <si>
    <t>We have used the staff costs and indirect costs reported in Table 5.4 and Table 5.5 below to represent the loss of staff productivity and loss of know how under routine and practices (mean cost for medium / large businesses). "Time they spent investigating or fixing any problems caused by the breach. The cost of any time when staff could not do their jobs;
the value of lost files or intellectual property; and the cost of any devices or equipment that needed replacing".</t>
  </si>
  <si>
    <t>Option 2</t>
  </si>
  <si>
    <t>Data produced by the UK Gov based on latest annual survey</t>
  </si>
  <si>
    <t>45-7</t>
  </si>
  <si>
    <t>45-8</t>
  </si>
  <si>
    <t>45-9</t>
  </si>
  <si>
    <t>45-10</t>
  </si>
  <si>
    <t>Cost of reputational damage as a result of security breach</t>
  </si>
  <si>
    <t>Oxford Economics (2014) Cyber-attacks: Effects on UK Companies</t>
  </si>
  <si>
    <t xml:space="preserve">Notes </t>
  </si>
  <si>
    <t>£ million/breach</t>
  </si>
  <si>
    <t>Reputational median. The value is reported from UK firm surveys so is not specific to the water industry and includes firms of different sizes. However the study is UK specific. The median value has been used to provide a conservative approach.</t>
  </si>
  <si>
    <t>£/breach</t>
  </si>
  <si>
    <t>Based on UK specific cyber attack survey data</t>
  </si>
  <si>
    <t>45-11</t>
  </si>
  <si>
    <t>Reference (including date accessed)</t>
  </si>
  <si>
    <t>Hyperlink to website</t>
  </si>
  <si>
    <t>Related service measure(s)</t>
  </si>
  <si>
    <t>Environment Agency (2013) Updating the National Water Environment Benefit Survey values: summary of the peer review. Available at: https://www.gov.uk/government/publications/updating-the-national-water-environment-benefit-survey-values-summary-of-the-peer-review (Accessed 5 December 2024)</t>
  </si>
  <si>
    <t>Link</t>
  </si>
  <si>
    <t>27, 28</t>
  </si>
  <si>
    <t>Defra (2024) ENCA Services Databook. Available at: https://www.gov.uk/guidance/enabling-a-natural-capital-approach-enca (Accessed 11 December 2024)</t>
  </si>
  <si>
    <t>30, 36, 38</t>
  </si>
  <si>
    <t xml:space="preserve">CIRIA (2019) B£ST W047b B£ST Guidance - Guidance to assess the benefits of blue and green infrastructure using B£ST Release Version 5. </t>
  </si>
  <si>
    <t xml:space="preserve">Environment Agency (2021) WINEP Wider Environmental Outcome Metrics to use in the WINEP Options Development and Appraisal. </t>
  </si>
  <si>
    <t>Reference source, not used in any specific valuation</t>
  </si>
  <si>
    <t>St Martins Group/Cebr (2021)The real costs and benefits of apprenticeships
(Accessed 11 December 2024)</t>
  </si>
  <si>
    <t xml:space="preserve">Link </t>
  </si>
  <si>
    <t>35, 39, 40</t>
  </si>
  <si>
    <t>Wessex Water (2018) Appendix 1.1.E - Willingness to pay research 2 - Accent. Available at: https://corporate.wessexwater.co.uk/media/hx5a0fit/0101e-willingness-to-pay-research-2-accent.pdf#page=25.45 (Accessed 16 Dec 24)</t>
  </si>
  <si>
    <t>2, 28</t>
  </si>
  <si>
    <t>HD / Severn Trent (2019) Customer WTP Values for Service Improvements. Available at: https://www.hdcymru.co.uk/content/dam/hdcymru/about-us/pr19/updated-plan/2.8-willingness-to-pay.pdf (Accessed 16 Dec 24)</t>
  </si>
  <si>
    <t>2, 3</t>
  </si>
  <si>
    <t>Anglian Water (2018) 12H Valuation Completion report. Available at: https://www.anglianwater.co.uk/siteassets/household/about-us/pr19-12h-valuation-completion-report.pdf (Accessed 16 Dec 24)</t>
  </si>
  <si>
    <t>EN:ABLE Communities CIO (2016) EN:ABLE Communities CIO Trustees' Annual Report for the period from 25 August 2015 to 31 July 2016. Available online: https://register-of-charities.charitycommission.gov.uk/en/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8360025&amp;_uk_gov_ccew_onereg_charitydetails_web_portlet_CharityDetailsPortlet_priv_r_p_mvcRenderCommandName=%2Faccounts-and-annual-returns&amp;_uk_gov_ccew_onereg_charitydetails_web_portlet_CharityDetailsPortlet_priv_r_p_organisationNumber=5064537 (Accessed 19 Dec 24)</t>
  </si>
  <si>
    <t>RICS (2007) Urban Parks, Open Space and Residential Property Values</t>
  </si>
  <si>
    <t>ONS (2023) Housing, England and Wales: Census 2021. Available online: https://www.ons.gov.uk/peoplepopulationandcommunity/housing/bulletins/housingenglandandwales/census2021#:~:text=7.8%20million%20households%20(31.5%25%20of,million%20(24.6%25)%20in%202011 (Accessed 19 Dec 24)</t>
  </si>
  <si>
    <t>ONS (2024) House price data: annual tables - Table 26. Available online: https://www.ons.gov.uk/economy/inflationandpriceindices/datasets/housepriceindexannualtables2039 (Accessed 19 Dec 24)</t>
  </si>
  <si>
    <t>Mourato et al (2010) Economic Analysis of Cultural Services Final Report, December 2010. Available online: http://uknea.unep-wcmc.org/LinkClick.aspx?fileticket=COKihFXhPpc%3D&amp;tabid=82 (Accessed 19 Dec 24)</t>
  </si>
  <si>
    <t>34, 39</t>
  </si>
  <si>
    <t>PJM Economics (2023) Collaborative ODI Research Final Survey Values Report. Available online: https://www.ofwat.gov.uk/wp-content/uploads/2023/08/3524m_FinalReport_v3.pdf (Accessed 19 Dec 24)</t>
  </si>
  <si>
    <t>14, 15</t>
  </si>
  <si>
    <t>Ofwat (2023) PR24: Using collaborative customer research to set outcome delivery incentive rates. Available online: https://www.ofwat.gov.uk/wp-content/uploads/2023/08/PR24-Using-collaborative-customer-research-to-set-outcome-delivery-incentive-rates-.pdf (Accessed 19 Dec 24)</t>
  </si>
  <si>
    <t>2, 4, 5, 6, 9, 14, 15, 26, 28</t>
  </si>
  <si>
    <t xml:space="preserve">Eyquem (2024) Natural Asset Management and Nature-based Solutions at the Watershed-Scale Approaches from Canada. </t>
  </si>
  <si>
    <t>Sourced from event material shared by CIWEM, not publicly available.</t>
  </si>
  <si>
    <t>L Jones et al.(2014) Assessment of the impacts of air pollution on Ecosystem Services - Final Report. Available online: https://randd.defra.gov.uk/ProjectDetails?ProjectId=18679 (Accessed 19 Dec 2024)</t>
  </si>
  <si>
    <t>DEFRA (2023) Air quality appraisal: damage cost guidance. Available online: https://www.gov.uk/government/publications/assess-the-impact-of-air-quality/air-quality-appraisal-damage-cost-guidance (Accessed 19 Dec 2024)</t>
  </si>
  <si>
    <t>23, 32</t>
  </si>
  <si>
    <t>39, 40</t>
  </si>
  <si>
    <t>HSE (2023) Appraisal values or 'unit costs'. Available online: https://www.hse.gov.uk/statistics/economics/eauappraisal.htm (Accessed 23 Dec 2024)</t>
  </si>
  <si>
    <t>National Infrastructure Commission (NIC) and Decker, C. (2018). Analysis of the costs of water resource management options to enhance drought resilience. Available online: https://nic.org.uk/app/uploads/Reg-Economics-Limited-for-NIC-2018-Analysis-of-the-costs-of-water.pdf (Accessed 29 July 2025)</t>
  </si>
  <si>
    <t>7, 10, 11, 12</t>
  </si>
  <si>
    <t>Priest et al (2023) MCM Handbook, Chapter 5, Tables and Figures. Available online: https://www.mcm-online.co.uk/handbook/ (Accessed 7 Jan 25)</t>
  </si>
  <si>
    <t>Census (2021) Families and households in the UK: 2023. Available online: https://www.ons.gov.uk/peoplepopulationandcommunity/birthsdeathsandmarriages/families/bulletins/familiesandhouseholds/2023 (Accessed 7 Jan 25)</t>
  </si>
  <si>
    <t>ONS (2017) Changes in the value and division of unpaid volunteering in the UK: 2000 to 2005. Available online: https://www.ons.gov.uk/economy/nationalaccounts/satelliteaccounts/articles/changesinthevalueanddivisionofunpaidcareworkintheuk/2015#time-and-participation-in-formal-volunteering-in-the-uk-between-2000-and-2015 (Accessed 7 Jan 25)</t>
  </si>
  <si>
    <t>ONS (2024) EARN01: Average weekly earnings. Available online: https://www.ons.gov.uk/employmentandlabourmarket/peopleinwork/earningsandworkinghours/datasets/averageweeklyearningsearn01 (Accessed 7 Jan 24)</t>
  </si>
  <si>
    <t>Forest Research (2022). Quantifying the sustainable forestry carbon cycle. (Table 2.4a, “Total Woodland”). Available online: https://www.forestresearch.gov.uk/publications/quantifying-the-sustainable-forestry-carbon-cycle-report-download-page/ (Accessed 29 July 25)</t>
  </si>
  <si>
    <t>N/A, reference number not used</t>
  </si>
  <si>
    <t>Scottish Government (2018) Value of bathing waters and influence of bathing water quality: final research report, August 2018. Available online: https://www.gov.scot/publications/value-bathing-waters-influence-bathing-water-quality-final-research-report/pages/8/ (Accessed 21 Jan 2025)</t>
  </si>
  <si>
    <t>DCWW SMF</t>
  </si>
  <si>
    <t>Marine Management Organisation (2024) UK sea fisheries annual statistics report 2023. Available online: https://www.gov.uk/government/statistics/uk-sea-fisheries-annual-statistics-report-2023 (Accessed 27 Jan 25)</t>
  </si>
  <si>
    <t>Nexus, ENCA</t>
  </si>
  <si>
    <t>Cefas (2024) Shellfish Classification Zones of England and Wales. Available online: https://data.cefas.co.uk/view/79 (Accessed 27 Jan 25)</t>
  </si>
  <si>
    <t>ONS (2023) Urban natural capital accounts, UK: 2023</t>
  </si>
  <si>
    <t>Dwelling Stock Estimates, England: 31 March 2022</t>
  </si>
  <si>
    <t>General public reference for housing numbers</t>
  </si>
  <si>
    <t>Noise pollution: economic analysis</t>
  </si>
  <si>
    <t>(36), (Noise pollution)</t>
  </si>
  <si>
    <t>Climate Change Committee - Impacts of climate change on meeting Government outcomes in England (Paul Watkiss Associates) Supporting case study - Heat preventable deaths</t>
  </si>
  <si>
    <t>(Indoor/outdoor temperature regulation)</t>
  </si>
  <si>
    <t>MCM (2024) MCM Simplified benefit:cost appraisal tool for flood risk management</t>
  </si>
  <si>
    <t>16, 17</t>
  </si>
  <si>
    <t>Environment Agency (2021) Mental health costs of flooding and erosion. Available online: https://www.gov.uk/government/publications/mental-health-costs-of-flooding-and-erosion/mental-health-costs-of-flooding-and-erosion (Accessed 30 Jan 2025)</t>
  </si>
  <si>
    <t>BEIS (2021) Valuing greenhouse gas emissions in policy appraisal. Available online: https://www.gov.uk/government/publications/valuing-greenhouse-gas-emissions-in-policy-appraisal (Accessed 30 Jan 25)</t>
  </si>
  <si>
    <t>7, 10, 11, 14, 15, 16, 17, 23, 24, 30, 31, 42</t>
  </si>
  <si>
    <t>Dvarskas et al (2020) Quantiﬁcation and Valuation of Nitrogen Removal Services Provided by Commercial Shellﬁsh Aquaculture at the Subwatershed Scale. Available online: https://pubs.acs.org/doi/epdf/10.1021/acs.est.0c03066?ref=article_openPDF (Accessed 3 Feb 25)</t>
  </si>
  <si>
    <t>ONS (2021) Average Sterling exchange rate: US Dollar. Available online: https://www.ons.gov.uk/economy/nationalaccounts/balanceofpayments/timeseries/auss/diop (Accessed 03 Feb 25)</t>
  </si>
  <si>
    <t>Defra (2025) Bathing water data. Available online: https://environment.data.gov.uk/bwq/profiles/data.html (Accessed 04 Feb 25)</t>
  </si>
  <si>
    <t>Wessex SMF</t>
  </si>
  <si>
    <t>Wessex Water (2018) Appendix 1.1.D - Willingness to pay research 1 - Accent. Available at: https://corporate.wessexwater.co.uk/media/wljndwg2/0101d-willingness-to-pay-research-1-accent.pdf (Accessed 04 Feb 25)</t>
  </si>
  <si>
    <t>(28)</t>
  </si>
  <si>
    <t>ONS (2024) UK natural capital accounts: 2024. Available at: https://www.ons.gov.uk/economy/environmentalaccounts/bulletins/uknaturalcapitalaccounts/2024#data-sources-and-quality (Accessed 07 Feb 25)</t>
  </si>
  <si>
    <t>Environmental Agency (2018) A survey of freshwater angling in England. Phase 1 - summary. Available at: https://www.gov.uk/government/publications/a-survey-of-freshwater-angling-in-england/a-survey-of-freshwater-angling-in-england-phase-1-summary (Accessed 08 Feb 25)</t>
  </si>
  <si>
    <t>Environmental Agency (2008) Greenhouse gas emissions of water supply and demand management options . Available at: https://assets.publishing.service.gov.uk/media/5a7cbfd4e5274a38e5756843/scho0708bofv-e-e.pdf (Accessed 07 Feb 25)</t>
  </si>
  <si>
    <t>(10)</t>
  </si>
  <si>
    <t>ONS (2023) National Household Size. Available at: https://www.google.com/url?sa=t&amp;rct=j&amp;q=&amp;esrc=s&amp;source=web&amp;cd=&amp;ved=2ahUKEwjsx6va652LAxUoTUEAHbnuMAAQFnoECBUQAQ&amp;url=https%3A%2F%2Fwww.ons.gov.uk%2Ffile%3Furi%3D%2Fpeoplepopulationandcommunity%2Fbirthsdeathsandmarriages%2Ffamilies%2Fdatasets%2Fhouseholdsbyhouseholdsizeregionsofenglandandgbconstituentcountries%2F2023%2Fhouseholdsizebyregionscountries2023.xlsx&amp;usg=AOvVaw0FyhP5G-TXxx2rcXaCnuX3&amp;opi=89978449 (Accessed 07 Feb 25)</t>
  </si>
  <si>
    <t>General public reference for housing density</t>
  </si>
  <si>
    <t>Outdoor Recreation Valuation Tool (ORVal: Version 2.0) (2018) . Available at: https://www.leep.exeter.ac.uk/orval/. (Accessed 08 Feb 25)</t>
  </si>
  <si>
    <t>Fields in Trust (2018) Revaluing Parks and Green Spaces. Available at: https://fieldsintrust.org/insights/revaluing-parks-and-green-spaces (Accessed 09 Feb 25)</t>
  </si>
  <si>
    <t>Ofwat (2024) PR24 Final Determinations Models. Available online: https://www.ofwat.gov.uk/regulated-companies/price-review/2024-price-review/final-determinations-models/ (Accessed 11 Feb 25)</t>
  </si>
  <si>
    <t>NRW (2018) Bathing water report 2018. Available online: https://naturalresources.wales/media/688821/wales-bathing-water-report-2018.pdf (Accessed 11 Feb 25)</t>
  </si>
  <si>
    <t>ONS (2023) UK natural capital accounts: 2023</t>
  </si>
  <si>
    <t>ENCA, Nexus</t>
  </si>
  <si>
    <t xml:space="preserve">EA - Greenhouse has emissions of water supply and demand management </t>
  </si>
  <si>
    <t>Home Office (2018) The economic and social costs of crime second edition. Available at: https://www.gov.uk/government/publications/the-economic-and-social-costs-of-crime (Accessed 24 Feb 25)</t>
  </si>
  <si>
    <t>Green Book</t>
  </si>
  <si>
    <t>DECC (2009) Carbon valuation in UK policy appraisal: a revised approach. Available online: https://www.gov.uk/government/publications/carbon-valuation-in-uk-policy-appraisal-a-revised-approach (Accessed 24 Feb 25)</t>
  </si>
  <si>
    <t>(31)</t>
  </si>
  <si>
    <t>Valuation Office Agency (2020) Non-domestic rating: stock of properties including business floorspace, 2020 - Table SOP7.0. Available online: https://www.gov.uk/government/statistics/non-domestic-rating-stock-of-properties-2020 (Accessed24 Feb 25)</t>
  </si>
  <si>
    <t>General public reference for non-domestic property numbers</t>
  </si>
  <si>
    <t>ONS (2022) Households by household size, regions of England and GB constituent countries. Available online: https://www.ons.gov.uk/peoplepopulationandcommunity/birthsdeathsandmarriages/families/datasets/householdsbyhouseholdsizeregionsofenglandandukconstituentcountries (Accessed 24 Feb 25)</t>
  </si>
  <si>
    <t>Anglian Water (2018) Valuation of the impact of roadworks and flooding using the wellbeing valuation method. Available online: https://www.anglianwater.co.uk/siteassets/household/about-us/pr19-12f-valuation-of-the-impact-of-roadworks-and-flooding-using-the-wellbeing-valuation-method.pdf (Accessed 24 Feb 25)</t>
  </si>
  <si>
    <t>(14), (15), (16), (17), (42)</t>
  </si>
  <si>
    <t>Department for Digital, Culture, Media &amp; Sport (2022) Cyber Security Breaches Survey 2022. Available at: https://www.gov.uk/government/statistics/cyber-security-breaches-survey-2022/cyber-security-breaches-survey-2022#annex-a-guide-to-statistical-reliability (Accessed 24 Feb 25)</t>
  </si>
  <si>
    <t>Previously published by the EA but no longer publicly available.</t>
  </si>
  <si>
    <t>14, 15, 16, 17</t>
  </si>
  <si>
    <t>14, 15, 16</t>
  </si>
  <si>
    <t>World Health Organisation (2024) HEAT v5.3.0. Available online: https://www.heatwalkingcycling.org/?&amp;heat_locale=en-US&amp;heat_lang=en#homepage (Accessed 26 February 2025)</t>
  </si>
  <si>
    <t>World Health Organisation (2024) Health economic assessment tool (HEAT) for walking and for cycling - methods and user guide on physical activity, air pollution, road fatalities and carbon impact assessments: 2024 updated. Available online: https://iris.who.int/bitstream/handle/10665/379361/9789289058377-eng.pdf?sequence=1 (Accessed 26 February 2025)</t>
  </si>
  <si>
    <t>Sport England (2024) Active Lives Adult Survey November 2022-23 Report. Available online: https://sportengland-production-files.s3.eu-west-2.amazonaws.com/s3fs-public/2024-04/Active%20Lives%20Adult%20Survey%20November%202022-23%20Report.pdf?VersionId=veYJTP_2n55UdOmX3PAXH7dJr1GA24vs (Accessed 26 Feb 25)</t>
  </si>
  <si>
    <t>MCM (2024) Multicoloured Manual - Chapter 5 - Additional Tables - Fluvial Depth/Damage curves - Short w. Cellar (no warning). Available online: https://www.mcm-online.co.uk/handbook/ (Accessed 26 Feb 2025)</t>
  </si>
  <si>
    <t>Valuation Office Agency (2023) Non-domestic rating: stock of properties 2023 - Table SOP1.1. Available online: https://www.gov.uk/government/statistics/non-domestic-rating-stock-of-properties-including-business-floorspace-2023 (Accessed 26 Feb 25)</t>
  </si>
  <si>
    <t>Valuation Office Agency (2023) Non-domestic rating: stock of properties including business floorspace, 2023 - NDR Business Floorspace Tables, 2023. Available online: https://www.gov.uk/government/statistics/non-domestic-rating-stock-of-properties-including-business-floorspace-2023 (Accessed 26 Feb 25)</t>
  </si>
  <si>
    <t>NRW (2022) Bathing water report 2022. Available online: https://naturalresources.wales/media/696486/wales-bathing-water-report-2022-final.pdf (Accessed 27 Feb 25)</t>
  </si>
  <si>
    <t>Ofwat (2024) PR24 Final Determinations Models - Performance Commitment Levels - Per Capital Consumption. Available online: https://www.ofwat.gov.uk/regulated-companies/price-review/2024-price-review/final-determinations-models/ (Accessed 11 Feb 25)</t>
  </si>
  <si>
    <t>7, 10, 11</t>
  </si>
  <si>
    <t>Oxford Economics (2014) Cyber-attacks: Effects on UK Companies. Available at: https://oeservices.oxfordeconomics.com/publication/open/250836 (Accessed 28 Feb 25)</t>
  </si>
  <si>
    <t>Thames Water (2023) TMS22 Enhancement Case: Long Term Water Quality Strategy Lead. Available online: https://www.thameswater.co.uk/media-library/home/about-us/regulation/our-five-year-plan/pr24-2023/water-quality-lead.pdf (Accessed 27 Feb 2025)</t>
  </si>
  <si>
    <t>ONS (2024) UK Natural capital accounts: 2024, summary tables. Available online: https://www.ons.gov.uk/economy/environmentalaccounts/datasets/uknaturalcapitalaccounts2024 (Accessed 3 March 24)</t>
  </si>
  <si>
    <t>7, 12</t>
  </si>
  <si>
    <t>Mukawa et al (2022) Energy Potential of Biogas from Sewage Sludge after Thermal Hydrolysis and Digestion. Available online: https://www.researchgate.net/publication/362146041_Energy_Potential_of_Biogas_from_Sewage_Sludge_after_Thermal_Hydrolysis_and_Digestion (Accessed 03 Mar 25)</t>
  </si>
  <si>
    <t>Ofgem (2024) Smart Export Guarantee Annual Report - April 2023 to March 2024. Available online: https://www.ofgem.gov.uk/publications/smart-export-guarantee-annual-report-april-2023-march-2024. (Accessed 03 Mar 25)</t>
  </si>
  <si>
    <t>Utility Week (2021) Anglian spreads the word on its yield-boosting AD technology. Available online: https://utilityweek.co.uk/anglian-spreads-the-word-on-its-yield-boosting-ad-technology/ (Accessed 03 Mar 25)</t>
  </si>
  <si>
    <t>Theodoulou et al (undated) Sludge Hydrolysis: Comparing Performance Of Biological &amp; Thermal Advanced Digestion Full Scale Facilities. Available online: https://conferences.aquaenviro.co.uk/wp-content/uploads/sites/7/2017/03/Michael-Theodoulou.pdf (Accessed 03 Mar 25)</t>
  </si>
  <si>
    <t>Environment Agency / University of Portsmouth (2020) Valuing the Solent Marine Sites Habitats and Species: A natural Capital Study of Benthic Ecosystem Services and how they Contribute to Water Quality Regulation. Available online: https://solentforum.org/services/Information_Hubs/Natural_capital/ENV6003066R_Solent%20Natural_Capital_Project_(Final%20Report).pdf (Accessed 4 March 25)</t>
  </si>
  <si>
    <t>Wozniacka (2024) Ecosystem Services of Commercially Important Bivalves in the UK: Nutrient removal services. Available online: https://www.seafish.org/about-us/news-blogs/the-environmental-and-economic-benefits-of-bivalve-aquaculture-in-the-uk/ (Accessed 4 March 2025)</t>
  </si>
  <si>
    <t>Gooday, RD. et al (2015) Farmscoper Extension Defra Project SCF0104. Available at: https://randd.defra.gov.uk/ProjectDetails?ProjectId=18702 (Accessed 04 March 25)</t>
  </si>
  <si>
    <t>MCM (2024) Multicoloured Manual - Chapter 6 Other losses - Tables and Figures. Available online: https://www.mcm-online.co.uk/chapter-6/ (Accessed 5 March 25)</t>
  </si>
  <si>
    <t>DfT (2024) Table CGN0503 - Monthly average speeds on local 'A' roads in England. Available online: https://www.gov.uk/government/statistical-data-sets/average-speed-delay-and-reliability-of-travel-times-cgn (Accessed 5 March 25)</t>
  </si>
  <si>
    <t>DfT (2024)Table CGN0404 - Average speed on the Strategic Road Network in England: Monthly and Year ending from April 2015. Available online:  https://www.gov.uk/government/statistical-data-sets/average-speed-delay-and-reliability-of-travel-times-cgn (Accessed 5 March 25)</t>
  </si>
  <si>
    <t>Ham et al (2013) The valuation of landfill disamenities in Birmingham. Available at: https://www.sciencedirect.com/science/article/abs/pii/S0921800912003680 (accessed 05 March 25)</t>
  </si>
  <si>
    <t>DfT (2024) Traffic counts AADF. Available online: https://www.gov.uk/government/statistical-data-sets/road-traffic-statistics-tra (Accessed 5 March 25)</t>
  </si>
  <si>
    <t>DfT (2024) TRA0301 Motor vehicle flow by road class in Great Britain. Available online: https://www.gov.uk/government/statistical-data-sets/road-traffic-statistics-tra (Accessed 5 March 25)</t>
  </si>
  <si>
    <t>DfT (2024) TRA014 Miles by vehicle and road type. Available online: https://www.gov.uk/government/statistical-data-sets/road-traffic-statistics-tra (Accessed 5 March 25)</t>
  </si>
  <si>
    <t>DfT (2024) TAG Data Book v1.24. Available online: https://www.gov.uk/government/publications/tag-data-book (Accessed 5 March 25)</t>
  </si>
  <si>
    <t>DESNZ (2023) Green Book supplementary guidance: valuation of energy use and greenhouse gas emissions for appraisal. Data tables 1 to 19: supporting the toolkit and the guidance. Available online: https://www.gov.uk/government/publications/valuation-of-energy-use-and-greenhouse-gas-emissions-for-appraisal (Accessed 6 March 25)</t>
  </si>
  <si>
    <t>DfT (2021) Table ENV0103 (TSGB0303) Average new car and light goods vehicle field consumption. Available online: https://www.google.com/search?q=TSGB0303&amp;rlz=1C1GCKA_enGB1091GB1091&amp;oq=TSGB0303&amp;gs_lcrp=EgZjaHJvbWUyBggAEEUYOTIKCAEQABiiBBiJBdIBBzI0NGowajeoAgCwAgA&amp;sourceid=chrome&amp;ie=UTF-8 (Accessed 6 March 25)</t>
  </si>
  <si>
    <t>DESNZ/Defra (2025) UK Government GHG Conversion Factors for Company Reporting. Conversion factors 2024 full see for advanced users. Available online: https://www.gov.uk/government/publications/greenhouse-gas-reporting-conversion-factors-2024 (Accessed 6 March 25)</t>
  </si>
  <si>
    <t>DfT (2021) Journey time statistics, England: 2019 table JST0102. Available online: https://www.gov.uk/government/collections/journey-time-statistics (Accessed 6 March 25)</t>
  </si>
  <si>
    <t>DfT (2021) Road Congestion Statistics - Table CGN0402. Available online: https://assets.publishing.service.gov.uk/media/61b77ef0d3bf7f055fce74d8/cgn0403.ods (Accessed 6 March 25)</t>
  </si>
  <si>
    <t>DfT (2021) Road Congestion Statistics - Table CGN0502. Available online: https://assets.publishing.service.gov.uk/media/61b77ef0d3bf7f055fce74d8/cgn0403.ods (Accessed 6 March 25)</t>
  </si>
  <si>
    <t>DfT (2023) Road congestion and travel time statistics table index. Available online: https://www.gov.uk/government/statistics/road-congestion-and-reliability-statistics-table-index (Accessed 6 March 25)</t>
  </si>
  <si>
    <t>DfT (2025) Table CGN0405a - Average delay overall on the Strategic Road Network in England: Monthly and Year ending from April 2015. Available online: https://www.gov.uk/government/statistical-data-sets/average-speed-delay-and-reliability-of-travel-times-cgn (Accessed 6 March 25)</t>
  </si>
  <si>
    <t>DfT (2025) Table CGN0504a - Monthly and 12 month rolling average delay compared to free flow on local 'A' roads in England. Available online: https://www.gov.uk/government/statistical-data-sets/average-speed-delay-and-reliability-of-travel-times-cgn (Accessed 6 March 25)</t>
  </si>
  <si>
    <t>WRAP (2024) Gate Fees Report 2023/24. Available online: https://www.wrap.ngo/resources/report/uk-gate-fees-report-2023-24 (Accessed 07 Feb 25)</t>
  </si>
  <si>
    <t>Tarpani &amp; Azapagic (2018) Life cycle costs of advanced treatment techniques for wastewater reuse and resource recovery from sewage sludge. Available online: https://pure.manchester.ac.uk/ws/files/76760751/LCC_of_advanced_treatment_options_and_sludge.pdf. (Accessed 07 Mar 25)</t>
  </si>
  <si>
    <t>AHDB (2023) Nutrient Management Guide (RB209) Section 2 Organic Materials. Available online: https://ahdb.org.uk/knowledge-library/rb209-section-2-organic-materials (Accessed 07 Mar 25)</t>
  </si>
  <si>
    <t>AHDB (2025) GB Fertiliser Prices. Available online: https://ahdb.org.uk/GB-fertiliser-prices (Accessed 07 Mar 24)</t>
  </si>
  <si>
    <t>AHDB (2023) Nutrient Management Guide (RB209) Section 1 Principles of nutrient management. Available online: https://ahdb.org.uk/knowledge-library/rb209-section-1-principles-of-nutrient-management-and-fertiliser-use (Accessed 07 Mar 25)</t>
  </si>
  <si>
    <t>Nordahl et al (2020) Life-Cycle Greenhouse Gas Emissions and Human Health Trade-Oﬀs of Organic Waste Management Strategies. Available online: https://pubs.acs.org/doi/10.1021/acs.est.0c00364. (Accessed 07 Mar 25)</t>
  </si>
  <si>
    <t>FWR (2016) Sewage Sludge Operational and Environmental Issues. Available online: https://fwr.org/publication/sewage-sludge-operational-and-environmental-issues/ (Accessed 07 Mar 25)</t>
  </si>
  <si>
    <t>Pradel &amp; Reverdy (2013) Assessing GHG emissions from sludge treatment and disposal routes: the method behind GESTABoues tool. Available online: https://hal.science/hal-00781673/document (Accessed 07 Mar 25)</t>
  </si>
  <si>
    <t>IRENA (unknown) Avoided emissions calculator. Available online: https://www.irena.org/Data/View-data-by-topic/Climate-Change/Avoided-Emissions-Calculator. (Accessed 07 Mar 25)</t>
  </si>
  <si>
    <t>Giwa et al (2017) Gas flaring attendant impacts of criteria and particulate pollutants: A case of Niger Delta region of Nigeria. Available online: https://www.sciencedirect.com/science/article/pii/S1018363917300363 (Accessed 07 Mar 25)</t>
  </si>
  <si>
    <t>ONS (2025) Output per hour worked, UK. Available online: https://www.ons.gov.uk/economy/economicoutputandproductivity/productivitymeasures/datasets/outputperhourworkeduk (Accessed 11 March 25)</t>
  </si>
  <si>
    <t>Ofwat (2024) PR24 Performance Commitment Model Customer Contacts about Water Quality. Available online: https://www.ofwat.gov.uk/regulated-companies/price-review/2024-price-review/final-determinations-models/ (Accessed 12 March 25)</t>
  </si>
  <si>
    <t>Stantec (2021) Storm overflow evidence project. Available online: https://assets.publishing.service.gov.uk/government/uploads/system/uploads/attachment_data/file/1030980/storm-overflows-evidence-project.pdf (Accessed 12 March 25)</t>
  </si>
  <si>
    <t>Morris and Camino (2011) UK NEA Working Paper Economic Assessment of Freshwater, Wetland and Floodplain (FWF) Ecosystem Services. Available online: http://uknea.unep-wcmc.org/LinkClick.aspx?fileticket=lVLEq%2bxAI%2bQ%3d&amp;tabid=82 (Accessed 12 March 25)</t>
  </si>
  <si>
    <t>Cranfield University (2011) The total costs of soil degradation in England and Wales. Available online: https://sciencesearch.defra.gov.uk/ProjectDetails?ProjectId=16992 (Accessed 12 March 25)</t>
  </si>
  <si>
    <t>Forest Research (2019) Valuing flood regulation services of existing forest cover to inform natural capital accounts. Available online: https://www.forestresearch.gov.uk/publications/valuing-flood-regulation-services-of-existing-forest-cover-to-inform-natural-capital-accounts/ (Accessed 13 March 25)</t>
  </si>
  <si>
    <t>ONS (2024) UK Natural Capital Accounts: 2024 - detailed summary tables. Available online: https://www.ons.gov.uk/economy/environmentalaccounts/datasets/uknaturalcapitalaccounts2024detailedsummary (Accessed 13 March 2025)</t>
  </si>
  <si>
    <t>Christie et al (2011) Economic valuation of the benefits of ecosystem services delivered by the UK BAP. Available online: https://www.cbd.int/financial/values/uk-bapvalue.pdf (Accessed 13 March 25)</t>
  </si>
  <si>
    <t>WINEP</t>
  </si>
  <si>
    <t>Peatland Carbon Code (2023) Field protocol assessing eligibility, determining baseline condition category and monitoring change. Available online: https://www.iucn-uk-peatlandprogramme.org/sites/default/files/2023-03/FieldProtocol_%20v2_clean_0.pdf (Accessed 13 March 25)</t>
  </si>
  <si>
    <t>Natural England (2021) Carbon storage and sequestration by habitat: a review of the evidence (second edition). Available online: https://publications.naturalengland.org.uk/publication/5419124441481216 (Accessed 13 March 25)</t>
  </si>
  <si>
    <t>Willis et al (2003) The social and environmental benefits of forests in Great Britain. Available online: https://www.forestry.gov.scot/publications/665-the-social-and-environmental-benefits-of-forests-in-great-britain-main-report#:~:text=Forests%20in%20Britain%20produce%20social,and%20protection%20of%20archaeological%20artefacts. (Accessed 13 March 2024)</t>
  </si>
  <si>
    <t>Gibbons et al (2014) The amenity value of English nature: a hedonic price approach. Available online: https://eprints.lse.ac.uk/49375/1/__lse.ac.uk_storage_LIBRARY_Secondary_libfile_shared_repository_Content_Mourato%2C%20S_Mourato_amenity_%20value_English_Mourato_amenity_value_english_2014.pdf (Accessed 13 March 25)</t>
  </si>
  <si>
    <t>Department for Levelling Up, Housing &amp; Communities (2022) Land use change statistics – new residential addresses 2021 to 2022 statistical release. Available online: https://www.gov.uk/government/statistics/land-use-change-statistics-2021-to-2022/land-use-change-statistics-new-residential-addresses-2021-to-2022 (Accessed 13 March 25)</t>
  </si>
  <si>
    <t>GLA Economics (2010) Valuing housing and green spaces: understanding local amenities, the built environment and house prices in London. Available online: https://www.london.gov.uk/sites/default/files/gla_migrate_files_destination/GLAE-wp-42.pdf (Accessed 13 March 2025)</t>
  </si>
  <si>
    <t>NAEI (2024) Emissions from point sources 2022. Available online: https://naei.energysecurity.gov.uk/sites/default/files/2024-12/NAEIPointsSources_2022_3.xlsx (Accessed 13 Mar 25)</t>
  </si>
  <si>
    <t>Statista (2024) Annual electricity production in the UK from 2000 to 2022. Available online: https://www.statista.com/statistics/550212/electricity-production-uk/ (Accessed 13 Mar 25)</t>
  </si>
  <si>
    <t>DESNZ (2024) Prices of fuels purchased by non-domestic consumers in the UK. Available online: https://www.gov.uk/government/statistical-data-sets/gas-and-electricity-prices-in-the-non-domestic-sector. (Accessed 14 Mar 25)</t>
  </si>
  <si>
    <t>ONS (2024) Standard Area Measurements for Administrative Areas (Dec 2023) in the UK. Available online: https://geoportal.statistics.gov.uk/datasets/ons::standard-area-measurements-for-administrative-areas-december-2023-in-the-uk/about (Accessed 18 Mar 25)</t>
  </si>
  <si>
    <t>Defra / eftec (2021) Biodiversity Net Gain: Market analysis study Final Report. Available online: https://randd.defra.gov.uk/ProjectDetails?ProjectID=20608 (Accessed 26 March 2025)</t>
  </si>
  <si>
    <t>Environment Agency (2025) Multiple benefits of nature-based solutions: evidence and matrices. Available online: https://www.gov.uk/government/publications/multiple-benefits-of-nature-based-solutions-an-evidence-synthesis (Accessed 26 March 2025)</t>
  </si>
  <si>
    <t>NERA / Wessex Water (2022) Estimating Customers' Willingness to Pay for Changes in Service at PR24. Available online: https://corporate.wessexwater.co.uk/media/bvgnva4o/willingness-to-pay-outcomes-final-report-2022.pdf (Accessed 27 March 2025)</t>
  </si>
  <si>
    <t>Environment Agency (2016) Incidents and their classification: the Common Incident Classification Scheme. Available online: https://www.ofwat.gov.uk/wp-content/uploads/2017/12/20171129-Incidents-and-their-classification-the-Common-Incident-Classification-Scheme-CICS-23.09.16.pdf (Accessed 27 March 2025)</t>
  </si>
  <si>
    <t>United Utilities (2018) Customer research triangulation Chapter 5: Supplementary document. Available online: https://www.unitedutilities.com/globalassets/z_corporate-site/pr19/supplementary/s3004_customer_research_triangulation.pdf (Accessed 31 March 25)</t>
  </si>
  <si>
    <t>1, 2, 3, 28</t>
  </si>
  <si>
    <t>Environment Agency (2025) Water Industry Natural Capital Evidence and Metrics, Version 1, June 2025. Available by request from the Environment Agency Natural Capital Team.</t>
  </si>
  <si>
    <t>Biodiversity Units UK (2024) Key Insights from Biodiversity Units UK's October 2024 Pricing Report. Available from: https://biodiversity-units.uk/news-insights/key-insights-from-biodiversity-units-uks-october-2024-pricing-report</t>
  </si>
  <si>
    <t>Unique ID (SM-Valuation)</t>
  </si>
  <si>
    <t>Publication year2</t>
  </si>
  <si>
    <t>39-4</t>
  </si>
  <si>
    <t>GDP deflators at market prices, and money GDP June 2024 (Quarterly National Accounts). Available online: https://www.gov.uk/government/statistics/gdp-deflators-at-market-prices-and-money-gdp-june-2024-quarterly-national-accounts (Accessed 21 August 24)</t>
  </si>
  <si>
    <t>GDP DEFLATORS AT MARKET PRICES, AND MONEY GDP</t>
  </si>
  <si>
    <t>Outturn data are as at the Quarterly National Accounts from ONS - last updated 28 June 2024.</t>
  </si>
  <si>
    <t>Forecast data are consistent with OBR EFO data as at Budget 6 March 2024.</t>
  </si>
  <si>
    <t>Financial year</t>
  </si>
  <si>
    <t>Calendar year</t>
  </si>
  <si>
    <t xml:space="preserve">GDP deflator at market prices </t>
  </si>
  <si>
    <r>
      <t>Money GDP</t>
    </r>
    <r>
      <rPr>
        <vertAlign val="superscript"/>
        <sz val="10"/>
        <rFont val="Aptos"/>
        <family val="2"/>
      </rPr>
      <t xml:space="preserve"> (3), (4)</t>
    </r>
  </si>
  <si>
    <r>
      <t>Money GDP</t>
    </r>
    <r>
      <rPr>
        <vertAlign val="superscript"/>
        <sz val="10"/>
        <rFont val="Aptos"/>
        <family val="2"/>
      </rPr>
      <t xml:space="preserve"> (3)</t>
    </r>
  </si>
  <si>
    <t>2023-24 = 100</t>
  </si>
  <si>
    <t>per cent change on previous year</t>
  </si>
  <si>
    <t>Cash £ million
Non-Season-ally Adjusted</t>
  </si>
  <si>
    <t>Cash £ million
Seasonally Adjusted</t>
  </si>
  <si>
    <t>2023 = 100</t>
  </si>
  <si>
    <t>Cash £ million
Non-Seasonally Adjusted</t>
  </si>
  <si>
    <t>Footnotes</t>
  </si>
  <si>
    <t>Extrapolated (2024 onwards)</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</si>
  <si>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</si>
  <si>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</si>
  <si>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</si>
  <si>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</si>
  <si>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</si>
  <si>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</si>
  <si>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</si>
  <si>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</si>
  <si>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</si>
  <si>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</si>
  <si>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</si>
  <si>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</si>
  <si>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</si>
  <si>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</si>
  <si>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</si>
  <si>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</si>
  <si>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</si>
  <si>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</si>
  <si>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</si>
  <si>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</si>
  <si>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</si>
  <si>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</si>
  <si>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</si>
  <si>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</si>
  <si>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</si>
  <si>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</si>
  <si>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</si>
  <si>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</si>
  <si>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</si>
  <si>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</si>
  <si>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</si>
  <si>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</si>
  <si>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</si>
  <si>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</si>
  <si>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</si>
  <si>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</si>
  <si>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</si>
  <si>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</si>
  <si>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</si>
  <si>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</si>
  <si>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</si>
  <si>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</si>
  <si>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</si>
  <si>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</si>
  <si>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</si>
  <si>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</si>
  <si>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</si>
  <si>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</si>
  <si>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</si>
  <si>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</si>
  <si>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</si>
  <si>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</si>
  <si>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 xml:space="preserve">  </t>
  </si>
  <si>
    <t>2007-08</t>
  </si>
  <si>
    <t>2008-09</t>
  </si>
  <si>
    <t>2009-10</t>
  </si>
  <si>
    <t>2010-11</t>
  </si>
  <si>
    <t>2011-12</t>
  </si>
  <si>
    <t>2012-13</t>
  </si>
  <si>
    <t>2013-14</t>
  </si>
  <si>
    <t>2014-15</t>
  </si>
  <si>
    <t>2015-16</t>
  </si>
  <si>
    <t>2016-17</t>
  </si>
  <si>
    <t>2017-18</t>
  </si>
  <si>
    <t>2018-19</t>
  </si>
  <si>
    <t>2019-20</t>
  </si>
  <si>
    <t>2020-21</t>
  </si>
  <si>
    <t>2021-22</t>
  </si>
  <si>
    <t>2022-23</t>
  </si>
  <si>
    <t>2023-24</t>
  </si>
  <si>
    <r>
      <t>2024-25</t>
    </r>
    <r>
      <rPr>
        <vertAlign val="superscript"/>
        <sz val="10"/>
        <rFont val="Aptos"/>
        <family val="2"/>
      </rPr>
      <t xml:space="preserve"> (1), (2)</t>
    </r>
  </si>
  <si>
    <t>1, 2</t>
  </si>
  <si>
    <r>
      <t>2025-26</t>
    </r>
    <r>
      <rPr>
        <vertAlign val="superscript"/>
        <sz val="10"/>
        <rFont val="Aptos"/>
        <family val="2"/>
      </rPr>
      <t xml:space="preserve"> (1), (2)</t>
    </r>
  </si>
  <si>
    <r>
      <t>2026-27</t>
    </r>
    <r>
      <rPr>
        <vertAlign val="superscript"/>
        <sz val="10"/>
        <rFont val="Aptos"/>
        <family val="2"/>
      </rPr>
      <t xml:space="preserve"> (1), (2)</t>
    </r>
  </si>
  <si>
    <r>
      <t>2027-28</t>
    </r>
    <r>
      <rPr>
        <vertAlign val="superscript"/>
        <sz val="10"/>
        <rFont val="Aptos"/>
        <family val="2"/>
      </rPr>
      <t xml:space="preserve"> (1), (2)</t>
    </r>
  </si>
  <si>
    <r>
      <t>2028-29</t>
    </r>
    <r>
      <rPr>
        <vertAlign val="superscript"/>
        <sz val="10"/>
        <rFont val="Aptos"/>
        <family val="2"/>
      </rPr>
      <t xml:space="preserve"> (1), (2)</t>
    </r>
  </si>
  <si>
    <t>Sources and footnotes:</t>
  </si>
  <si>
    <t>GDP Deflator:</t>
  </si>
  <si>
    <t>Financial years 1955-56 to 2023-24 taken from ONS series L8GG in data tables: Table N.</t>
  </si>
  <si>
    <t>https://www.ons.gov.uk/file?uri=/economy/grossdomesticproductgdp/datasets/uksecondestimateofgdpdatatables/quarter1jantomar2024quarterlynationalaccounts/quarterlynationalaccountsdatatables.xlsx</t>
  </si>
  <si>
    <t>Calendar years 1955 to 2023 taken from ONS series MNF2 in data tables: Table O.</t>
  </si>
  <si>
    <t>For years 2024-25 to 2028-29 (2024 to 2028): taken from the Office for Budget Responsibility (OBR) GDP deflator forecasts as of March 2024 EFO detailed forecast tables.</t>
  </si>
  <si>
    <t>https://obr.uk/efo/economic-and-fiscal-outlook-march-2024/</t>
  </si>
  <si>
    <t>Money GDP:</t>
  </si>
  <si>
    <t>For years 1955-56 to 2023-24 (1955 to 2023): ONS data for money GDP not seasonally adjusted series BKTL in data tables: Table N.</t>
  </si>
  <si>
    <t>For years 1955-56 to 2023-24: ONS data for money GDP seasonally adjusted series YBHA in data tables: Table N.</t>
  </si>
  <si>
    <t>Footnotes:</t>
  </si>
  <si>
    <t>(1)</t>
  </si>
  <si>
    <t>For years 2024-25 to 2028-29 (2024 to 2028), this presentation only shows percentage changes in line with data taken from the OBR GDP deflator forecasts as of March 2024 EFO detailed forecast tables.</t>
  </si>
  <si>
    <t>(2)</t>
  </si>
  <si>
    <t>For years 2024-25 to 2028-29 (2024 to 2028), money GDP forecasts from the OBR as of the Budget, March 2024.</t>
  </si>
  <si>
    <t>(3)</t>
  </si>
  <si>
    <t>Non-Seasonally adjusted money GDP (BKTL) from 1955-56 to 2023-24 (1955 to 2023) consistent with ONS Quarterly National Accounts release of 28 June 2024.</t>
  </si>
  <si>
    <t>(4)</t>
  </si>
  <si>
    <t>Seasonally adjusted money GDP (YBHA) from 1955-56 to 2022-23 consistent with ONS Quarterly National Accounts release of 28 June 2024.</t>
  </si>
  <si>
    <t>(5)</t>
  </si>
  <si>
    <t xml:space="preserve">For further information and the 'User's Guide' to these series, please visit the following page on the GOV.UK website at: </t>
  </si>
  <si>
    <t>https://www.gov.uk/government/publications/gross-domestic-product-gdp-deflators-user-guide</t>
  </si>
  <si>
    <t>(6)</t>
  </si>
  <si>
    <t xml:space="preserve">For practical examples of how to use the GDP deflator series, please visit the following page on the GOV.UK website at: </t>
  </si>
  <si>
    <t>https://www.gov.uk/government/publications/how-to-use-the-gdp-deflator-series-practical-examples</t>
  </si>
  <si>
    <t>Greenhouse gas emissions appraisal values</t>
  </si>
  <si>
    <t>Carbon Values</t>
  </si>
  <si>
    <t>Carbon values and sensitivities 2020-2125, £/tCO2e. 2020 prices.</t>
  </si>
  <si>
    <t>Central</t>
  </si>
  <si>
    <t>For years beyond 2050, apply 1.5% inflation every year as per guidance.</t>
  </si>
  <si>
    <t>To change carbon appraisal period please go to COMPANY INFO tab</t>
  </si>
  <si>
    <t>Current inflation year (manually update)</t>
  </si>
  <si>
    <t>End appraisal year</t>
  </si>
  <si>
    <t>Assumes inclusion of start and end year</t>
  </si>
  <si>
    <t>Appraisal period (years)</t>
  </si>
  <si>
    <t xml:space="preserve">Please review your company data and update if required. </t>
  </si>
  <si>
    <t>Total connected properties - water - 2023-24 year end</t>
  </si>
  <si>
    <t>These values are total sum of connected residential and business properties, see base costs water model 1</t>
  </si>
  <si>
    <t>Company</t>
  </si>
  <si>
    <t>United Utilities</t>
  </si>
  <si>
    <t>Essex and Suffolk</t>
  </si>
  <si>
    <t>South Staffordshire region</t>
  </si>
  <si>
    <t>Cambridge region</t>
  </si>
  <si>
    <t>Water and wastewater carbon intensity - location based</t>
  </si>
  <si>
    <t>Company - Water UK</t>
  </si>
  <si>
    <t>Company - Ofwat (to align with dropdown)</t>
  </si>
  <si>
    <t>Net operational GHG (kgCO2e) per megalitre of treated water - location based</t>
  </si>
  <si>
    <t>Net operational GHG emissions (kgCO2e) per megalitre of treated sewage - location based</t>
  </si>
  <si>
    <t>Affinity</t>
  </si>
  <si>
    <t>Anglian</t>
  </si>
  <si>
    <t>Bristol</t>
  </si>
  <si>
    <t>Northumbrian and Essex &amp; Suffolk</t>
  </si>
  <si>
    <t>Severn Trent</t>
  </si>
  <si>
    <t>South Staffordshire incorporating Cambridge</t>
  </si>
  <si>
    <t>Southern</t>
  </si>
  <si>
    <t>Thames</t>
  </si>
  <si>
    <t>Yorkshire</t>
  </si>
  <si>
    <t>Wastewater properties billed for sewage - wastewater - 2023-24 year end</t>
  </si>
  <si>
    <t>Residential properties</t>
  </si>
  <si>
    <t>Business properties</t>
  </si>
  <si>
    <t>Nr of properties,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</si>
</sst>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
    <numFmt numFmtId="165" formatCode="0.0"/>
    <numFmt numFmtId="166" formatCode="0.0000"/>
    <numFmt numFmtId="167" formatCode="#\ ##0"/>
    <numFmt numFmtId="168" formatCode="&quot;to &quot;0.0000;&quot;to &quot;\-0.0000;&quot;to 0&quot;"/>
    <numFmt numFmtId="169" formatCode="#,##0;\-#,##0;\-"/>
    <numFmt numFmtId="170" formatCode="[&lt;0.0001]&quot;&lt;0.0001&quot;;0.0000"/>
    <numFmt numFmtId="171" formatCode="#,##0.0,,;\-#,##0.0,,;\-"/>
    <numFmt numFmtId="172" formatCode="#,##0,;\-#,##0,;\-"/>
    <numFmt numFmtId="173" formatCode="0.0%;\-0.0%;\-"/>
    <numFmt numFmtId="174" formatCode="#,##0.0,,;\-#,##0.0,,"/>
    <numFmt numFmtId="175" formatCode="#,##0,;\-#,##0,"/>
    <numFmt numFmtId="176" formatCode="0.0%;\-0.0%"/>
    <numFmt numFmtId="177" formatCode="#,##0.0_-;\(#,##0.0\);_-* &quot;-&quot;??_-"/>
    <numFmt numFmtId="178" formatCode="_-[$€-2]* #,##0.00_-;\-[$€-2]* #,##0.00_-;_-[$€-2]* &quot;-&quot;??_-"/>
    <numFmt numFmtId="179" formatCode="&quot;£&quot;#,##0"/>
    <numFmt numFmtId="180" formatCode="&quot;£&quot;#,##0.00"/>
    <numFmt numFmtId="181" formatCode="&quot;£&quot;#,##0.000;[Red]\-&quot;£&quot;#,##0.000"/>
    <numFmt numFmtId="182" formatCode="_-* #,##0_-;\-* #,##0_-;_-* &quot;-&quot;??_-;_-@_-"/>
    <numFmt numFmtId="183" formatCode="0.0%"/>
    <numFmt numFmtId="184" formatCode="_-&quot;£&quot;* #,##0_-;\-&quot;£&quot;* #,##0_-;_-&quot;£&quot;* &quot;-&quot;??_-;_-@_-"/>
    <numFmt numFmtId="185" formatCode="#,##0.000"/>
    <numFmt numFmtId="186" formatCode="#,##0_ ;\-#,##0\ "/>
    <numFmt numFmtId="187" formatCode="0000"/>
    <numFmt numFmtId="188" formatCode="&quot;£&quot;#,##0.0;[Red]\-&quot;£&quot;#,##0.0"/>
    <numFmt numFmtId="189" formatCode="0.00000"/>
    <numFmt numFmtId="190" formatCode="#,##0.0"/>
    <numFmt numFmtId="191" formatCode="#,##0_);\(#,##0\);&quot;-&quot;_)"/>
    <numFmt numFmtId="192" formatCode="_-[$€-2]* #,##0.000_-;\-[$€-2]* #,##0.000_-;_-[$€-2]* &quot;-&quot;??_-"/>
    <numFmt numFmtId="193" formatCode="General_)"/>
    <numFmt numFmtId="194" formatCode="_(* #,##0_);_(* \(#,##0\);_(* &quot; - &quot;_);_(@_)"/>
    <numFmt numFmtId="195" formatCode="&quot;$&quot;#,##0.0;[Red]\-&quot;$&quot;#,##0.0"/>
    <numFmt numFmtId="196" formatCode="_-[$€-2]* #,##0.0_-;\-[$€-2]* #,##0.0_-;_-[$€-2]* &quot;-&quot;??_-"/>
    <numFmt numFmtId="197" formatCode="&quot;$&quot;#,##0_);\(&quot;$&quot;#,##0\)"/>
    <numFmt numFmtId="198" formatCode="#,##0_);[Red]\(#,##0\);&quot;-&quot;_);[Blue]&quot;Error-&quot;@"/>
    <numFmt numFmtId="199" formatCode="#,##0.0_);[Red]\(#,##0.0\);&quot;-&quot;_);[Blue]&quot;Error-&quot;@"/>
    <numFmt numFmtId="200" formatCode="#,##0.00_);[Red]\(#,##0.00\);&quot;-&quot;_);[Blue]&quot;Error-&quot;@"/>
    <numFmt numFmtId="201" formatCode="&quot;£&quot;* #,##0_);[Red]&quot;£&quot;* \(#,##0\);&quot;£&quot;* &quot;-&quot;_);[Blue]&quot;Error-&quot;@"/>
    <numFmt numFmtId="202" formatCode="&quot;£&quot;* #,##0.0_);[Red]&quot;£&quot;* \(#,##0.0\);&quot;£&quot;* &quot;-&quot;_);[Blue]&quot;Error-&quot;@"/>
    <numFmt numFmtId="203" formatCode="&quot;£&quot;* #,##0.00_);[Red]&quot;£&quot;* \(#,##0.00\);&quot;£&quot;* &quot;-&quot;_);[Blue]&quot;Error-&quot;@"/>
    <numFmt numFmtId="204" formatCode="dd\ mmm\ yyyy_)"/>
    <numFmt numFmtId="205" formatCode="dd/mm/yy_)"/>
    <numFmt numFmtId="206" formatCode="0%_);[Red]\-0%_);0%_);[Blue]&quot;Error-&quot;@"/>
    <numFmt numFmtId="207" formatCode="0.0%_);[Red]\-0.0%_);0.0%_);[Blue]&quot;Error-&quot;@"/>
    <numFmt numFmtId="208" formatCode="0.00%_);[Red]\-0.00%_);0.00%_);[Blue]&quot;Error-&quot;@"/>
    <numFmt numFmtId="209" formatCode="0;0;\-"/>
    <numFmt numFmtId="210" formatCode="[Red]&quot;Err&quot;;[Red]&quot;Err&quot;;&quot;OK&quot;"/>
    <numFmt numFmtId="211" formatCode="#,##0;\(#,##0\)"/>
    <numFmt numFmtId="212" formatCode="#,##0.0;\(#,##0.0\)"/>
    <numFmt numFmtId="213" formatCode="#,##0.00;\(#,##0.00\)"/>
    <numFmt numFmtId="214" formatCode="#,##0.000;[Red]\(#,##0.000\)"/>
    <numFmt numFmtId="215" formatCode="#,##0_%_);\(#,##0\)_%;**;@_%_)"/>
    <numFmt numFmtId="216" formatCode="#,##0.00_%_);\(#,##0.00\)_%;**;@_%_)"/>
    <numFmt numFmtId="217" formatCode="#,##0.00_%_);\(#,##0.00\)_%;#,##0.00_%_);@_%_)"/>
    <numFmt numFmtId="218" formatCode="#,##0.000_%_);\(#,##0.000\)_%;**;@_%_)"/>
    <numFmt numFmtId="219" formatCode="#,##0.0_%_);\(#,##0.0\)_%;**;@_%_)"/>
    <numFmt numFmtId="220" formatCode="&quot;$&quot;#,##0_);[Red]\(&quot;$&quot;#,##0\)"/>
    <numFmt numFmtId="221" formatCode="[$¥-411]#,##0"/>
    <numFmt numFmtId="222" formatCode="_(&quot;$&quot;* #,##0.00_);_(&quot;$&quot;* \(#,##0.00\);_(&quot;$&quot;* &quot;-&quot;??_);_(@_)"/>
    <numFmt numFmtId="223" formatCode="&quot;$&quot;#,##0.00_%_);\(&quot;$&quot;#,##0.00\)_%;**;@_%_)"/>
    <numFmt numFmtId="224" formatCode="&quot;$&quot;#,##0.000_%_);\(&quot;$&quot;#,##0.000\)_%;**;@_%_)"/>
    <numFmt numFmtId="225" formatCode="&quot;$&quot;#,##0.0_%_);\(&quot;$&quot;#,##0.0\)_%;**;@_%_)"/>
    <numFmt numFmtId="226" formatCode="#,##0_);\(#,##0.0\)"/>
    <numFmt numFmtId="227" formatCode="0_ ;\-0\ "/>
    <numFmt numFmtId="228" formatCode="###0.00_)"/>
    <numFmt numFmtId="229" formatCode="000"/>
    <numFmt numFmtId="230" formatCode="m/d/yy_%_);;**"/>
    <numFmt numFmtId="231" formatCode="m/d/yy\ h:mm"/>
    <numFmt numFmtId="232" formatCode="#,###.00;\-#,##0.00;\-"/>
    <numFmt numFmtId="233" formatCode="000.00"/>
    <numFmt numFmtId="234" formatCode="_(* #,##0_);_(* \(#,##0\);_(* &quot;&quot;\ \-\ &quot;&quot;_);_(@_)"/>
    <numFmt numFmtId="235" formatCode="_-* #,##0\ _D_M_-;\-* #,##0\ _D_M_-;_-* &quot;-&quot;\ _D_M_-;_-@_-"/>
    <numFmt numFmtId="236" formatCode="_-* #,##0.00\ _D_M_-;\-* #,##0.00\ _D_M_-;_-* &quot;-&quot;??\ _D_M_-;_-@_-"/>
    <numFmt numFmtId="237" formatCode="_([$€]* #,##0.00_);_([$€]* \(#,##0.00\);_([$€]* &quot;-&quot;??_);_(@_)"/>
    <numFmt numFmtId="238" formatCode="[Magenta]&quot;Err&quot;;[Magenta]&quot;Err&quot;;[Blue]&quot;OK&quot;"/>
    <numFmt numFmtId="239" formatCode="[Blue]&quot;P&quot;;;[Red]&quot;O&quot;"/>
    <numFmt numFmtId="240" formatCode="General\ &quot;.&quot;"/>
    <numFmt numFmtId="241" formatCode="#,##0_);[Red]\(#,##0\);\-_)"/>
    <numFmt numFmtId="242" formatCode="0.0_)%;[Red]\(0.0%\);0.0_)%"/>
    <numFmt numFmtId="243" formatCode="[Red][&gt;1]&quot;&gt;100 %&quot;;[Red]\(0.0%\);0.0_)%"/>
    <numFmt numFmtId="244" formatCode="[&gt;0.5]#,##0;[&lt;-0.5]\-#,##0;\-"/>
    <numFmt numFmtId="245" formatCode="_-[$$-409]* #,##0.0_ ;_-[$$-409]* \-#,##0.0\ ;_-[$$-409]* &quot;-&quot;??_ ;_-@_ "/>
    <numFmt numFmtId="246" formatCode="#,##0.0_);\(#,##0.0\)"/>
    <numFmt numFmtId="247" formatCode="0.0;\(0.0\)"/>
    <numFmt numFmtId="248" formatCode="0.0;;&quot;TBD&quot;"/>
    <numFmt numFmtId="249" formatCode="_-* #,##0\ _F_-;\-* #,##0\ _F_-;_-* &quot;-&quot;\ _F_-;_-@_-"/>
    <numFmt numFmtId="250" formatCode="_-* #,##0.00\ _F_-;\-* #,##0.00\ _F_-;_-* &quot;-&quot;??\ _F_-;_-@_-"/>
    <numFmt numFmtId="251" formatCode="_(&quot;$&quot;* #,##0_);_(&quot;$&quot;* \(#,##0\);_(&quot;$&quot;* &quot;-&quot;_);_(@_)"/>
    <numFmt numFmtId="252" formatCode="_-* #,##0\ &quot;F&quot;_-;\-* #,##0\ &quot;F&quot;_-;_-* &quot;-&quot;\ &quot;F&quot;_-;_-@_-"/>
    <numFmt numFmtId="253" formatCode="_-* #,##0.00\ &quot;F&quot;_-;\-* #,##0.00\ &quot;F&quot;_-;_-* &quot;-&quot;??\ &quot;F&quot;_-;_-@_-"/>
    <numFmt numFmtId="254" formatCode="#,##0.0_x_)_);&quot;NM&quot;_x_)_);#,##0.0_x_)_);@_x_)_)"/>
    <numFmt numFmtId="255" formatCode="#,##0.0000\ ;[Red]\(#,##0.0000\)"/>
    <numFmt numFmtId="256" formatCode="[$$-C09]#,##0.0"/>
    <numFmt numFmtId="257" formatCode="#,##0.0_ ;\-#,##0.0\ "/>
    <numFmt numFmtId="258" formatCode="#,##0.0,,_);\(#,##0.0,,\);\-_)"/>
    <numFmt numFmtId="259" formatCode="#,##0_);\(#,##0\);\-_)"/>
    <numFmt numFmtId="260" formatCode="#,##0.0,_);\(#,##0.0,\);\-_)"/>
    <numFmt numFmtId="261" formatCode="#,##0.00_);\(#,##0.00\);\-_)"/>
    <numFmt numFmtId="262" formatCode="_(#,##0.0_);\(#,##0.0\);_(&quot;-&quot;_)"/>
    <numFmt numFmtId="263" formatCode="#,##0.0_);\(#,##0.0\);&quot;-&quot;;@"/>
    <numFmt numFmtId="264" formatCode="#,##0.0000"/>
    <numFmt numFmtId="265" formatCode="0.0%_);\(0.0%\);**;@_%_)"/>
    <numFmt numFmtId="266" formatCode="%#."/>
    <numFmt numFmtId="267" formatCode="##0.0"/>
    <numFmt numFmtId="268" formatCode="##0.0\ \e"/>
    <numFmt numFmtId="269" formatCode="###.0"/>
    <numFmt numFmtId="270" formatCode="##.0"/>
    <numFmt numFmtId="271" formatCode="mmm\ dd\,\ yyyy"/>
    <numFmt numFmtId="272" formatCode="mmm\-yyyy"/>
    <numFmt numFmtId="273" formatCode="yyyy"/>
    <numFmt numFmtId="274" formatCode="&quot;$&quot;#,##0.00_);[Red]\(&quot;$&quot;#,##0.00\)"/>
    <numFmt numFmtId="275" formatCode="\+#,##0.00;[Red]\-#,##0.00"/>
    <numFmt numFmtId="276" formatCode="_-* #,##0.000_-;\-* #,##0.000_-;_-* &quot;-&quot;???_-;_-@_-"/>
    <numFmt numFmtId="277" formatCode="_-* #,##0.00000_-;\-* #,##0.00000_-;_-* &quot;-&quot;?????_-;_-@_-"/>
    <numFmt numFmtId="278" formatCode="00000"/>
    <numFmt numFmtId="279" formatCode="&quot;$&quot;#,##0.0_);\(&quot;$&quot;#,##0.00\)"/>
    <numFmt numFmtId="280" formatCode="dd\ mmm\ yy"/>
    <numFmt numFmtId="281" formatCode="#,###,##0"/>
    <numFmt numFmtId="282" formatCode="_-&quot;€&quot;\ * #,##0.00_-;\-&quot;€&quot;\ * #,##0.00_-;_-&quot;€&quot;\ * &quot;-&quot;??_-;_-@_-"/>
    <numFmt numFmtId="283" formatCode="_-* #,##0\ &quot;DM&quot;_-;\-* #,##0\ &quot;DM&quot;_-;_-* &quot;-&quot;\ &quot;DM&quot;_-;_-@_-"/>
    <numFmt numFmtId="284" formatCode="_-* #,##0.00\ &quot;DM&quot;_-;\-* #,##0.00\ &quot;DM&quot;_-;_-* &quot;-&quot;??\ &quot;DM&quot;_-;_-@_-"/>
    <numFmt numFmtId="285" formatCode="####_)"/>
    <numFmt numFmtId="286" formatCode="0.000000"/>
    <numFmt numFmtId="287" formatCode="_-* #,##0.00000_-;\-* #,##0.00000_-;_-* &quot;-&quot;??_-;_-@_-"/>
  </numFmts>
  <fonts count="408">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1"/>
      <scheme val="minor"/>
    </font>
    <font>
      <sz val="10"/>
      <name val="Arial"/>
      <family val="2"/>
    </font>
    <font>
      <b/>
      <sz val="15"/>
      <color theme="3"/>
      <name val="Arial"/>
      <family val="2"/>
    </font>
    <font>
      <b/>
      <sz val="13"/>
      <color theme="3"/>
      <name val="Arial"/>
      <family val="2"/>
    </font>
    <font>
      <b/>
      <sz val="11"/>
      <color theme="3"/>
      <name val="Arial"/>
      <family val="2"/>
    </font>
    <font>
      <sz val="18"/>
      <color theme="3"/>
      <name val="Arial"/>
      <family val="2"/>
    </font>
    <font>
      <b/>
      <sz val="11"/>
      <color theme="1"/>
      <name val="Arial"/>
      <family val="2"/>
    </font>
    <font>
      <sz val="11"/>
      <name val="Arial"/>
      <family val="2"/>
    </font>
    <font>
      <sz val="11"/>
      <color theme="1"/>
      <name val="Aptos"/>
      <family val="2"/>
    </font>
    <font>
      <sz val="11"/>
      <name val="Calibri"/>
      <family val="2"/>
      <scheme val="minor"/>
    </font>
    <font>
      <b/>
      <sz val="11"/>
      <color theme="1"/>
      <name val="Aptos"/>
      <family val="2"/>
    </font>
    <font>
      <sz val="8"/>
      <name val="Arial"/>
      <family val="2"/>
    </font>
    <font>
      <sz val="11"/>
      <color indexed="8"/>
      <name val="Calibri"/>
      <family val="2"/>
    </font>
    <font>
      <u/>
      <sz val="10"/>
      <color indexed="12"/>
      <name val="Arial"/>
      <family val="2"/>
    </font>
    <font>
      <b/>
      <sz val="10"/>
      <name val="Arial"/>
      <family val="2"/>
    </font>
    <font>
      <i/>
      <sz val="10"/>
      <name val="Arial"/>
      <family val="2"/>
    </font>
    <font>
      <sz val="10"/>
      <name val="System"/>
    </font>
    <font>
      <sz val="10"/>
      <name val="System"/>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System"/>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0"/>
      <color theme="10"/>
      <name val="System"/>
      <family val="2"/>
    </font>
    <font>
      <u/>
      <sz val="11"/>
      <color theme="10"/>
      <name val="Calibri"/>
      <family val="2"/>
    </font>
    <font>
      <sz val="12"/>
      <color theme="1"/>
      <name val="Arial"/>
      <family val="2"/>
    </font>
    <font>
      <sz val="10"/>
      <color theme="1"/>
      <name val="Arial"/>
      <family val="2"/>
    </font>
    <font>
      <u/>
      <sz val="12"/>
      <color theme="10"/>
      <name val="Arial"/>
      <family val="2"/>
    </font>
    <font>
      <sz val="11"/>
      <color theme="1"/>
      <name val="Arial"/>
      <family val="2"/>
    </font>
    <font>
      <sz val="11"/>
      <name val="Aptos"/>
      <family val="2"/>
    </font>
    <font>
      <sz val="11"/>
      <color theme="3"/>
      <name val="Aptos"/>
      <family val="2"/>
    </font>
    <font>
      <sz val="11"/>
      <color theme="1"/>
      <name val="Aptos"/>
      <family val="2"/>
    </font>
    <font>
      <sz val="11"/>
      <color rgb="FFFF0000"/>
      <name val="Aptos"/>
      <family val="2"/>
    </font>
    <font>
      <b/>
      <sz val="11"/>
      <name val="Aptos"/>
      <family val="2"/>
    </font>
    <font>
      <b/>
      <sz val="11"/>
      <color theme="0"/>
      <name val="Aptos"/>
      <family val="2"/>
    </font>
    <font>
      <i/>
      <sz val="11"/>
      <color theme="1"/>
      <name val="Aptos"/>
      <family val="2"/>
    </font>
    <font>
      <b/>
      <i/>
      <sz val="11"/>
      <color theme="0"/>
      <name val="Aptos"/>
      <family val="2"/>
    </font>
    <font>
      <i/>
      <sz val="11"/>
      <name val="Aptos"/>
      <family val="2"/>
    </font>
    <font>
      <b/>
      <sz val="11"/>
      <color theme="8"/>
      <name val="Aptos"/>
      <family val="2"/>
    </font>
    <font>
      <b/>
      <i/>
      <sz val="11"/>
      <color theme="1"/>
      <name val="Aptos"/>
      <family val="2"/>
    </font>
    <font>
      <sz val="8"/>
      <color theme="1"/>
      <name val="Aptos"/>
      <family val="2"/>
    </font>
    <font>
      <sz val="10"/>
      <color theme="1"/>
      <name val="Aptos"/>
      <family val="2"/>
    </font>
    <font>
      <sz val="10"/>
      <name val="Aptos"/>
      <family val="2"/>
    </font>
    <font>
      <b/>
      <u/>
      <sz val="12"/>
      <name val="Aptos"/>
      <family val="2"/>
    </font>
    <font>
      <b/>
      <u/>
      <sz val="10"/>
      <name val="Aptos"/>
      <family val="2"/>
    </font>
    <font>
      <u/>
      <sz val="10"/>
      <color indexed="12"/>
      <name val="Aptos"/>
      <family val="2"/>
    </font>
    <font>
      <b/>
      <sz val="10"/>
      <name val="Aptos"/>
      <family val="2"/>
    </font>
    <font>
      <vertAlign val="superscript"/>
      <sz val="10"/>
      <name val="Aptos"/>
      <family val="2"/>
    </font>
    <font>
      <sz val="10"/>
      <color indexed="8"/>
      <name val="Aptos"/>
      <family val="2"/>
    </font>
    <font>
      <b/>
      <sz val="14"/>
      <color theme="1"/>
      <name val="Aptos"/>
      <family val="2"/>
    </font>
    <font>
      <b/>
      <sz val="14"/>
      <name val="Calibri"/>
      <family val="2"/>
      <scheme val="minor"/>
    </font>
    <font>
      <sz val="10"/>
      <name val="Calibri"/>
      <family val="2"/>
      <scheme val="minor"/>
    </font>
    <font>
      <sz val="10"/>
      <color theme="1"/>
      <name val="Calibri"/>
      <family val="2"/>
      <scheme val="minor"/>
    </font>
    <font>
      <b/>
      <sz val="15"/>
      <name val="Calibri"/>
      <family val="2"/>
      <scheme val="minor"/>
    </font>
    <font>
      <b/>
      <sz val="13"/>
      <color rgb="FF000000"/>
      <name val="Calibri"/>
      <family val="2"/>
    </font>
    <font>
      <b/>
      <sz val="14"/>
      <name val="Arial"/>
      <family val="2"/>
    </font>
    <font>
      <b/>
      <sz val="11"/>
      <name val="Arial"/>
      <family val="2"/>
    </font>
    <font>
      <u/>
      <sz val="11"/>
      <color indexed="12"/>
      <name val="Arial"/>
      <family val="2"/>
    </font>
    <font>
      <sz val="10"/>
      <color rgb="FF000000"/>
      <name val="Arial"/>
      <family val="2"/>
    </font>
    <font>
      <b/>
      <sz val="16"/>
      <color rgb="FFFF0000"/>
      <name val="Calibri"/>
      <family val="2"/>
      <scheme val="minor"/>
    </font>
    <font>
      <sz val="11"/>
      <color theme="1"/>
      <name val="Aptos"/>
      <family val="2"/>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8"/>
      <color theme="3"/>
      <name val="Calibri Light"/>
      <family val="2"/>
      <scheme val="major"/>
    </font>
    <font>
      <b/>
      <sz val="11"/>
      <color theme="3"/>
      <name val="Calibri"/>
      <family val="2"/>
      <scheme val="minor"/>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0"/>
      <name val="Arial"/>
      <family val="2"/>
    </font>
    <font>
      <sz val="10"/>
      <color indexed="9"/>
      <name val="Arial"/>
      <family val="2"/>
    </font>
    <font>
      <sz val="14"/>
      <name val="Arial"/>
      <family val="2"/>
    </font>
    <font>
      <sz val="10"/>
      <color indexed="12"/>
      <name val="Arial"/>
      <family val="2"/>
    </font>
    <font>
      <b/>
      <sz val="10"/>
      <color indexed="12"/>
      <name val="Arial"/>
      <family val="2"/>
    </font>
    <font>
      <b/>
      <sz val="9"/>
      <name val="Arial"/>
      <family val="2"/>
    </font>
    <font>
      <sz val="9"/>
      <color indexed="8"/>
      <name val="Arial"/>
      <family val="2"/>
    </font>
    <font>
      <b/>
      <sz val="9"/>
      <color indexed="9"/>
      <name val="Arial"/>
      <family val="2"/>
    </font>
    <font>
      <sz val="10"/>
      <color indexed="8"/>
      <name val="Calibri"/>
      <family val="2"/>
    </font>
    <font>
      <sz val="8"/>
      <color indexed="8"/>
      <name val="Arial"/>
      <family val="2"/>
    </font>
    <font>
      <u/>
      <sz val="10"/>
      <color rgb="FF0000FF"/>
      <name val="Arial"/>
      <family val="2"/>
    </font>
    <font>
      <b/>
      <sz val="10"/>
      <color theme="0"/>
      <name val="Arial"/>
      <family val="2"/>
    </font>
    <font>
      <b/>
      <sz val="13"/>
      <color theme="3"/>
      <name val="Calibri"/>
      <family val="2"/>
      <scheme val="minor"/>
    </font>
    <font>
      <sz val="11"/>
      <color rgb="FF9C6500"/>
      <name val="Calibri"/>
      <family val="2"/>
      <scheme val="minor"/>
    </font>
    <font>
      <u/>
      <sz val="10"/>
      <color theme="10"/>
      <name val="Arial"/>
      <family val="2"/>
    </font>
    <font>
      <i/>
      <sz val="10"/>
      <color indexed="8"/>
      <name val="Arial"/>
      <family val="2"/>
    </font>
    <font>
      <b/>
      <sz val="10"/>
      <color theme="1"/>
      <name val="Arial"/>
      <family val="2"/>
    </font>
    <font>
      <sz val="10"/>
      <name val="Times New Roman"/>
      <family val="1"/>
    </font>
    <font>
      <sz val="10"/>
      <color rgb="FFFF0000"/>
      <name val="Arial"/>
      <family val="2"/>
    </font>
    <font>
      <sz val="12"/>
      <name val="Arial"/>
      <family val="2"/>
    </font>
    <font>
      <sz val="8"/>
      <color indexed="12"/>
      <name val="Arial"/>
      <family val="2"/>
    </font>
    <font>
      <sz val="10"/>
      <color indexed="8"/>
      <name val="MS Sans Serif"/>
      <family val="2"/>
    </font>
    <font>
      <sz val="10"/>
      <name val="Helv"/>
      <charset val="204"/>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2"/>
      <color indexed="9"/>
      <name val="Arial"/>
      <family val="2"/>
    </font>
    <font>
      <sz val="10"/>
      <color theme="0"/>
      <name val="Gill Sans MT"/>
      <family val="2"/>
    </font>
    <font>
      <sz val="10"/>
      <color theme="0"/>
      <name val="Arial"/>
      <family val="2"/>
    </font>
    <font>
      <sz val="9"/>
      <color theme="0"/>
      <name val="Arial"/>
      <family val="2"/>
    </font>
    <font>
      <sz val="8"/>
      <color indexed="12"/>
      <name val="Palatino"/>
      <family val="1"/>
    </font>
    <font>
      <sz val="10"/>
      <name val="Gill Sans MT"/>
      <family val="2"/>
    </font>
    <font>
      <sz val="10"/>
      <color indexed="56"/>
      <name val="Arial"/>
      <family val="2"/>
    </font>
    <font>
      <sz val="8"/>
      <name val="Calibri"/>
      <family val="2"/>
      <scheme val="minor"/>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10"/>
      <color indexed="8"/>
      <name val="Wingdings 2"/>
      <family val="1"/>
    </font>
    <font>
      <b/>
      <sz val="8"/>
      <name val="Tahoma"/>
      <family val="2"/>
    </font>
    <font>
      <sz val="9.5"/>
      <color indexed="23"/>
      <name val="Helvetica-Black"/>
    </font>
    <font>
      <sz val="7"/>
      <name val="Palatino"/>
      <family val="1"/>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5"/>
      <color indexed="56"/>
      <name val="Arial"/>
      <family val="2"/>
    </font>
    <font>
      <b/>
      <sz val="15"/>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Arial"/>
      <family val="2"/>
    </font>
    <font>
      <sz val="11"/>
      <color indexed="8"/>
      <name val="Arial"/>
      <family val="2"/>
    </font>
    <font>
      <b/>
      <sz val="13"/>
      <color indexed="62"/>
      <name val="Gill Sans MT"/>
      <family val="2"/>
    </font>
    <font>
      <sz val="10"/>
      <name val="Palatino"/>
      <family val="1"/>
    </font>
    <font>
      <b/>
      <sz val="9"/>
      <name val="Calibri Light"/>
      <family val="2"/>
      <scheme val="major"/>
    </font>
    <font>
      <b/>
      <sz val="11"/>
      <color indexed="56"/>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2"/>
      <name val="Times New Roman"/>
      <family val="1"/>
    </font>
    <font>
      <u/>
      <sz val="9"/>
      <color indexed="12"/>
      <name val="Geneva"/>
      <family val="2"/>
    </font>
    <font>
      <u/>
      <sz val="12"/>
      <color indexed="12"/>
      <name val="Arial"/>
      <family val="2"/>
    </font>
    <font>
      <u/>
      <sz val="11"/>
      <color indexed="12"/>
      <name val="Calibri"/>
      <family val="2"/>
    </font>
    <font>
      <i/>
      <u/>
      <sz val="9"/>
      <color indexed="12"/>
      <name val="Arial"/>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2"/>
      <color indexed="52"/>
      <name val="Arial"/>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0"/>
      <color indexed="16"/>
      <name val="Helvetica-Black"/>
    </font>
    <font>
      <sz val="10"/>
      <name val="Helvetica"/>
      <family val="2"/>
    </font>
    <font>
      <sz val="1"/>
      <color indexed="8"/>
      <name val="Courier"/>
      <family val="3"/>
    </font>
    <font>
      <b/>
      <sz val="6"/>
      <name val="Frutiger sc65 bold"/>
      <family val="2"/>
    </font>
    <font>
      <b/>
      <sz val="8"/>
      <name val="Frutiger sc65 bold"/>
      <family val="2"/>
    </font>
    <font>
      <sz val="10"/>
      <color indexed="62"/>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2"/>
      <color indexed="20"/>
      <name val="Arial"/>
      <family val="2"/>
    </font>
    <font>
      <b/>
      <sz val="18"/>
      <color indexed="56"/>
      <name val="Cambria"/>
      <family val="1"/>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
      <sz val="11"/>
      <color theme="0"/>
      <name val="Aptos"/>
      <family val="2"/>
    </font>
    <font>
      <sz val="11"/>
      <color theme="1"/>
      <name val="Aptos"/>
      <family val="2"/>
    </font>
    <font>
      <sz val="11"/>
      <color theme="1"/>
      <name val="Aptos"/>
      <family val="2"/>
    </font>
    <font>
      <sz val="10"/>
      <color theme="1"/>
      <name val="Times New Roman"/>
      <family val="1"/>
    </font>
    <font>
      <sz val="8"/>
      <color rgb="FF000000"/>
      <name val="Times New Roman"/>
      <family val="1"/>
    </font>
    <font>
      <sz val="8"/>
      <color theme="1"/>
      <name val="Times New Roman"/>
      <family val="1"/>
    </font>
    <font>
      <sz val="11"/>
      <color rgb="FF000000"/>
      <name val="Aptos"/>
      <family val="2"/>
    </font>
    <font>
      <u/>
      <sz val="11"/>
      <color indexed="12"/>
      <name val="Aptos"/>
      <family val="2"/>
    </font>
    <font>
      <b/>
      <sz val="16"/>
      <name val="Aptos"/>
      <family val="2"/>
    </font>
    <font>
      <sz val="16"/>
      <color theme="1"/>
      <name val="Aptos"/>
      <family val="2"/>
    </font>
    <font>
      <b/>
      <sz val="24"/>
      <color theme="1"/>
      <name val="Aptos"/>
      <family val="2"/>
    </font>
    <font>
      <b/>
      <i/>
      <sz val="12"/>
      <color theme="1"/>
      <name val="Aptos"/>
      <family val="2"/>
    </font>
    <font>
      <b/>
      <sz val="24"/>
      <name val="Aptos"/>
      <family val="2"/>
    </font>
    <font>
      <sz val="11"/>
      <color theme="1"/>
      <name val="Aptos"/>
      <family val="2"/>
    </font>
    <font>
      <sz val="14"/>
      <color theme="1"/>
      <name val="Aptos"/>
      <family val="2"/>
    </font>
    <font>
      <b/>
      <sz val="14"/>
      <name val="Aptos"/>
      <family val="2"/>
    </font>
    <font>
      <b/>
      <sz val="14"/>
      <color theme="0"/>
      <name val="Aptos"/>
      <family val="2"/>
    </font>
    <font>
      <i/>
      <sz val="14"/>
      <color theme="1"/>
      <name val="Aptos"/>
      <family val="2"/>
    </font>
    <font>
      <i/>
      <sz val="14"/>
      <color theme="0"/>
      <name val="Aptos"/>
      <family val="2"/>
    </font>
    <font>
      <sz val="14"/>
      <name val="Aptos"/>
      <family val="2"/>
    </font>
    <font>
      <i/>
      <sz val="11"/>
      <color theme="0"/>
      <name val="Aptos"/>
      <family val="2"/>
    </font>
    <font>
      <sz val="12"/>
      <color theme="1"/>
      <name val="Aptos"/>
      <family val="2"/>
    </font>
    <font>
      <b/>
      <sz val="12"/>
      <color theme="1"/>
      <name val="Aptos"/>
      <family val="2"/>
    </font>
    <font>
      <sz val="14"/>
      <color theme="0"/>
      <name val="Aptos"/>
      <family val="2"/>
    </font>
    <font>
      <sz val="12"/>
      <name val="Aptos"/>
      <family val="2"/>
    </font>
    <font>
      <vertAlign val="superscript"/>
      <sz val="12"/>
      <color theme="1"/>
      <name val="Aptos"/>
      <family val="2"/>
    </font>
    <font>
      <sz val="12"/>
      <color rgb="FFFF0000"/>
      <name val="Aptos"/>
      <family val="2"/>
    </font>
    <font>
      <i/>
      <sz val="12"/>
      <color theme="3"/>
      <name val="Aptos"/>
      <family val="2"/>
    </font>
    <font>
      <sz val="12"/>
      <color theme="3"/>
      <name val="Aptos"/>
      <family val="2"/>
    </font>
    <font>
      <i/>
      <sz val="12"/>
      <color theme="1"/>
      <name val="Aptos"/>
      <family val="2"/>
    </font>
    <font>
      <sz val="12"/>
      <color theme="1"/>
      <name val="Aptos"/>
    </font>
    <font>
      <sz val="11"/>
      <color theme="1"/>
      <name val="Aptos"/>
    </font>
    <font>
      <b/>
      <sz val="14"/>
      <color rgb="FFF95F35"/>
      <name val="Aptos"/>
      <family val="2"/>
    </font>
    <font>
      <b/>
      <sz val="14"/>
      <color theme="9" tint="0.39997558519241921"/>
      <name val="Aptos"/>
      <family val="2"/>
    </font>
    <font>
      <b/>
      <sz val="12"/>
      <name val="Aptos"/>
      <family val="2"/>
    </font>
    <font>
      <i/>
      <sz val="11"/>
      <color theme="1"/>
      <name val="Aptos"/>
    </font>
    <font>
      <b/>
      <sz val="11"/>
      <name val="Aptos"/>
    </font>
    <font>
      <b/>
      <sz val="11"/>
      <color theme="1"/>
      <name val="Aptos"/>
    </font>
    <font>
      <sz val="11"/>
      <name val="Aptos"/>
    </font>
    <font>
      <b/>
      <sz val="11"/>
      <color theme="0"/>
      <name val="Aptos"/>
    </font>
    <font>
      <u/>
      <sz val="12"/>
      <color indexed="12"/>
      <name val="Aptos"/>
      <family val="2"/>
    </font>
    <font>
      <sz val="14"/>
      <color theme="1"/>
      <name val="Aptos"/>
    </font>
    <font>
      <b/>
      <sz val="18"/>
      <color theme="1"/>
      <name val="Aptos"/>
      <family val="2"/>
    </font>
  </fonts>
  <fills count="20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8"/>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0"/>
        <bgColor rgb="FF000000"/>
      </patternFill>
    </fill>
    <fill>
      <patternFill patternType="solid">
        <fgColor theme="5"/>
        <bgColor indexed="64"/>
      </patternFill>
    </fill>
    <fill>
      <patternFill patternType="solid">
        <fgColor theme="6"/>
        <bgColor indexed="64"/>
      </patternFill>
    </fill>
    <fill>
      <patternFill patternType="solid">
        <fgColor rgb="FFFFFF00"/>
        <bgColor indexed="64"/>
      </patternFill>
    </fill>
    <fill>
      <patternFill patternType="solid">
        <fgColor theme="2" tint="-4.9989318521683403E-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0000"/>
        <bgColor indexed="64"/>
      </patternFill>
    </fill>
    <fill>
      <patternFill patternType="solid">
        <fgColor rgb="FFFA9600"/>
        <bgColor indexed="64"/>
      </patternFill>
    </fill>
    <fill>
      <patternFill patternType="solid">
        <fgColor rgb="FFFABF8F"/>
        <bgColor indexed="64"/>
      </patternFill>
    </fill>
    <fill>
      <patternFill patternType="solid">
        <fgColor rgb="FFFF9E01"/>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
      <patternFill patternType="solid">
        <fgColor rgb="FFFFEB9C"/>
        <bgColor indexed="64"/>
      </patternFill>
    </fill>
    <fill>
      <patternFill patternType="solid">
        <fgColor rgb="FFFFC7CE"/>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theme="1"/>
        <bgColor indexed="64"/>
      </patternFill>
    </fill>
    <fill>
      <patternFill patternType="solid">
        <fgColor rgb="FF008000"/>
        <bgColor indexed="64"/>
      </patternFill>
    </fill>
    <fill>
      <patternFill patternType="solid">
        <fgColor rgb="FFCCFFCC"/>
        <bgColor indexed="64"/>
      </patternFill>
    </fill>
    <fill>
      <patternFill patternType="solid">
        <fgColor indexed="42"/>
        <bgColor indexed="64"/>
      </patternFill>
    </fill>
    <fill>
      <patternFill patternType="solid">
        <fgColor theme="4" tint="0.79998168889431442"/>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3"/>
      </patternFill>
    </fill>
    <fill>
      <patternFill patternType="solid">
        <fgColor indexed="27"/>
        <bgColor indexed="64"/>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2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62"/>
        <bgColor indexed="64"/>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7"/>
        <bgColor indexed="64"/>
      </patternFill>
    </fill>
    <fill>
      <patternFill patternType="solid">
        <fgColor indexed="54"/>
      </patternFill>
    </fill>
    <fill>
      <patternFill patternType="solid">
        <fgColor indexed="28"/>
      </patternFill>
    </fill>
    <fill>
      <patternFill patternType="solid">
        <fgColor theme="9"/>
        <bgColor indexed="64"/>
      </patternFill>
    </fill>
    <fill>
      <patternFill patternType="solid">
        <fgColor theme="9" tint="0.59996337778862885"/>
        <bgColor indexed="64"/>
      </patternFill>
    </fill>
    <fill>
      <patternFill patternType="solid">
        <fgColor indexed="18"/>
        <bgColor indexed="64"/>
      </patternFill>
    </fill>
    <fill>
      <patternFill patternType="solid">
        <fgColor indexed="9"/>
      </patternFill>
    </fill>
    <fill>
      <patternFill patternType="solid">
        <fgColor rgb="FFF2F2F2"/>
        <bgColor indexed="64"/>
      </patternFill>
    </fill>
    <fill>
      <patternFill patternType="solid">
        <fgColor rgb="FFA5A5A5"/>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rgb="FFFFFFFF"/>
        <bgColor rgb="FFFFFFFF"/>
      </patternFill>
    </fill>
    <fill>
      <patternFill patternType="solid">
        <fgColor theme="0"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theme="5" tint="0.59999389629810485"/>
        <bgColor rgb="FF000000"/>
      </patternFill>
    </fill>
    <fill>
      <patternFill patternType="solid">
        <fgColor theme="6" tint="0.79998168889431442"/>
        <bgColor indexed="64"/>
      </patternFill>
    </fill>
    <fill>
      <patternFill patternType="solid">
        <fgColor theme="5" tint="0.59999389629810485"/>
        <bgColor indexed="64"/>
      </patternFill>
    </fill>
    <fill>
      <patternFill patternType="solid">
        <fgColor rgb="FF00B050"/>
        <bgColor indexed="64"/>
      </patternFill>
    </fill>
    <fill>
      <patternFill patternType="solid">
        <fgColor theme="5" tint="0.79998168889431442"/>
        <bgColor rgb="FF000000"/>
      </patternFill>
    </fill>
    <fill>
      <patternFill patternType="solid">
        <fgColor rgb="FFF95F35"/>
        <bgColor indexed="64"/>
      </patternFill>
    </fill>
    <fill>
      <patternFill patternType="solid">
        <fgColor rgb="FF5BB557"/>
        <bgColor indexed="64"/>
      </patternFill>
    </fill>
    <fill>
      <patternFill patternType="solid">
        <fgColor theme="5"/>
        <bgColor rgb="FF000000"/>
      </patternFill>
    </fill>
  </fills>
  <borders count="1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rgb="FF000000"/>
      </bottom>
      <diagonal/>
    </border>
    <border>
      <left style="medium">
        <color rgb="FFFF6600"/>
      </left>
      <right/>
      <top style="medium">
        <color rgb="FFFF6600"/>
      </top>
      <bottom style="thin">
        <color rgb="FFFF6600"/>
      </bottom>
      <diagonal/>
    </border>
    <border>
      <left/>
      <right/>
      <top style="medium">
        <color rgb="FFFF6600"/>
      </top>
      <bottom style="thin">
        <color rgb="FFFF6600"/>
      </bottom>
      <diagonal/>
    </border>
    <border>
      <left/>
      <right style="medium">
        <color rgb="FFFF6600"/>
      </right>
      <top style="medium">
        <color rgb="FFFF6600"/>
      </top>
      <bottom style="thin">
        <color rgb="FFFF6600"/>
      </bottom>
      <diagonal/>
    </border>
    <border>
      <left style="medium">
        <color rgb="FFFF6600"/>
      </left>
      <right style="thin">
        <color rgb="FFFF6600"/>
      </right>
      <top/>
      <bottom/>
      <diagonal/>
    </border>
    <border>
      <left style="thin">
        <color rgb="FFFF6600"/>
      </left>
      <right style="thin">
        <color rgb="FFFF6600"/>
      </right>
      <top/>
      <bottom/>
      <diagonal/>
    </border>
    <border>
      <left style="thin">
        <color rgb="FFFF6600"/>
      </left>
      <right style="medium">
        <color rgb="FFFF6600"/>
      </right>
      <top/>
      <bottom/>
      <diagonal/>
    </border>
    <border>
      <left style="medium">
        <color rgb="FFFF6600"/>
      </left>
      <right style="thin">
        <color rgb="FFFF6600"/>
      </right>
      <top style="medium">
        <color rgb="FFFF6600"/>
      </top>
      <bottom style="thin">
        <color rgb="FFFF6600"/>
      </bottom>
      <diagonal/>
    </border>
    <border>
      <left style="thin">
        <color rgb="FFFF6600"/>
      </left>
      <right style="thin">
        <color rgb="FFFF6600"/>
      </right>
      <top style="medium">
        <color rgb="FFFF6600"/>
      </top>
      <bottom style="thin">
        <color rgb="FFFF6600"/>
      </bottom>
      <diagonal/>
    </border>
    <border>
      <left style="thin">
        <color rgb="FFFF6600"/>
      </left>
      <right style="medium">
        <color rgb="FFFF6600"/>
      </right>
      <top style="medium">
        <color rgb="FFFF6600"/>
      </top>
      <bottom style="thin">
        <color rgb="FFFF6600"/>
      </bottom>
      <diagonal/>
    </border>
    <border>
      <left style="medium">
        <color rgb="FFFF6600"/>
      </left>
      <right style="thin">
        <color rgb="FFFF6600"/>
      </right>
      <top style="thin">
        <color rgb="FFFF6600"/>
      </top>
      <bottom style="thin">
        <color rgb="FFFF6600"/>
      </bottom>
      <diagonal/>
    </border>
    <border>
      <left style="thin">
        <color rgb="FFFF6600"/>
      </left>
      <right style="thin">
        <color rgb="FFFF6600"/>
      </right>
      <top style="thin">
        <color rgb="FFFF6600"/>
      </top>
      <bottom style="thin">
        <color rgb="FFFF6600"/>
      </bottom>
      <diagonal/>
    </border>
    <border>
      <left style="thin">
        <color rgb="FFFF6600"/>
      </left>
      <right style="medium">
        <color rgb="FFFF6600"/>
      </right>
      <top style="thin">
        <color rgb="FFFF6600"/>
      </top>
      <bottom style="thin">
        <color rgb="FFFF6600"/>
      </bottom>
      <diagonal/>
    </border>
    <border>
      <left style="thin">
        <color rgb="FFFF6600"/>
      </left>
      <right/>
      <top style="thin">
        <color rgb="FFFF6600"/>
      </top>
      <bottom style="thin">
        <color rgb="FFFF6600"/>
      </bottom>
      <diagonal/>
    </border>
    <border>
      <left/>
      <right/>
      <top style="thin">
        <color rgb="FFFF6600"/>
      </top>
      <bottom style="thin">
        <color rgb="FFFF6600"/>
      </bottom>
      <diagonal/>
    </border>
    <border>
      <left/>
      <right style="medium">
        <color rgb="FFFF6600"/>
      </right>
      <top style="thin">
        <color rgb="FFFF6600"/>
      </top>
      <bottom style="thin">
        <color rgb="FFFF6600"/>
      </bottom>
      <diagonal/>
    </border>
    <border>
      <left style="medium">
        <color rgb="FFFF6600"/>
      </left>
      <right style="thin">
        <color rgb="FFFF6600"/>
      </right>
      <top style="thin">
        <color rgb="FFFF6600"/>
      </top>
      <bottom/>
      <diagonal/>
    </border>
    <border>
      <left style="thin">
        <color rgb="FFFF6600"/>
      </left>
      <right style="thin">
        <color rgb="FFFF6600"/>
      </right>
      <top style="thin">
        <color rgb="FFFF6600"/>
      </top>
      <bottom/>
      <diagonal/>
    </border>
    <border>
      <left style="thin">
        <color rgb="FFFF6600"/>
      </left>
      <right style="medium">
        <color rgb="FFFF6600"/>
      </right>
      <top style="thin">
        <color rgb="FFFF6600"/>
      </top>
      <bottom/>
      <diagonal/>
    </border>
    <border>
      <left style="medium">
        <color rgb="FFFF6600"/>
      </left>
      <right style="thin">
        <color rgb="FFFF6600"/>
      </right>
      <top style="thin">
        <color rgb="FFFF6600"/>
      </top>
      <bottom style="medium">
        <color rgb="FFFF6600"/>
      </bottom>
      <diagonal/>
    </border>
    <border>
      <left style="thin">
        <color rgb="FFFF6600"/>
      </left>
      <right style="thin">
        <color rgb="FFFF6600"/>
      </right>
      <top style="thin">
        <color rgb="FFFF6600"/>
      </top>
      <bottom style="medium">
        <color rgb="FFFF6600"/>
      </bottom>
      <diagonal/>
    </border>
    <border>
      <left style="thin">
        <color rgb="FFFF6600"/>
      </left>
      <right style="medium">
        <color rgb="FFFF6600"/>
      </right>
      <top style="thin">
        <color rgb="FFFF6600"/>
      </top>
      <bottom style="medium">
        <color rgb="FFFF6600"/>
      </bottom>
      <diagonal/>
    </border>
    <border>
      <left style="medium">
        <color rgb="FFDC6D30"/>
      </left>
      <right/>
      <top style="medium">
        <color rgb="FFDC6D30"/>
      </top>
      <bottom/>
      <diagonal/>
    </border>
    <border>
      <left/>
      <right/>
      <top style="medium">
        <color rgb="FFDC6D30"/>
      </top>
      <bottom/>
      <diagonal/>
    </border>
    <border>
      <left/>
      <right style="medium">
        <color rgb="FFDC6D30"/>
      </right>
      <top style="medium">
        <color rgb="FFDC6D30"/>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medium">
        <color indexed="64"/>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indexed="64"/>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right/>
      <top/>
      <bottom style="double">
        <color indexed="28"/>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ck">
        <color indexed="49"/>
      </bottom>
      <diagonal/>
    </border>
    <border>
      <left/>
      <right/>
      <top/>
      <bottom style="thick">
        <color theme="4" tint="0.49967955565050204"/>
      </bottom>
      <diagonal/>
    </border>
    <border>
      <left/>
      <right/>
      <top/>
      <bottom style="medium">
        <color indexed="49"/>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theme="0" tint="-0.14999847407452621"/>
      </top>
      <bottom style="thin">
        <color theme="0" tint="-0.149998474074526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8131">
    <xf numFmtId="0" fontId="0" fillId="0" borderId="0"/>
    <xf numFmtId="0" fontId="5" fillId="0" borderId="0"/>
    <xf numFmtId="0" fontId="6" fillId="0" borderId="0"/>
    <xf numFmtId="0" fontId="10"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0" borderId="4" applyNumberFormat="0" applyFill="0" applyAlignment="0" applyProtection="0"/>
    <xf numFmtId="0" fontId="6" fillId="0" borderId="0"/>
    <xf numFmtId="0" fontId="6" fillId="0" borderId="0"/>
    <xf numFmtId="0" fontId="6" fillId="0" borderId="0"/>
    <xf numFmtId="0" fontId="6" fillId="0" borderId="0"/>
    <xf numFmtId="0" fontId="40" fillId="0" borderId="11" applyNumberFormat="0" applyFill="0" applyProtection="0">
      <alignment horizontal="center"/>
    </xf>
    <xf numFmtId="165" fontId="6" fillId="0" borderId="0" applyFont="0" applyFill="0" applyBorder="0" applyProtection="0">
      <alignment horizontal="right"/>
    </xf>
    <xf numFmtId="165" fontId="6" fillId="0" borderId="0" applyFont="0" applyFill="0" applyBorder="0" applyProtection="0">
      <alignment horizontal="right"/>
    </xf>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164" fontId="6" fillId="0" borderId="0" applyFont="0" applyFill="0" applyBorder="0" applyProtection="0">
      <alignment horizontal="right"/>
    </xf>
    <xf numFmtId="164" fontId="6" fillId="0" borderId="0" applyFont="0" applyFill="0" applyBorder="0" applyProtection="0">
      <alignment horizontal="right"/>
    </xf>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166" fontId="6" fillId="0" borderId="0" applyFont="0" applyFill="0" applyBorder="0" applyProtection="0">
      <alignment horizontal="right"/>
    </xf>
    <xf numFmtId="166" fontId="6" fillId="0" borderId="0" applyFont="0" applyFill="0" applyBorder="0" applyProtection="0">
      <alignment horizontal="right"/>
    </xf>
    <xf numFmtId="0" fontId="23" fillId="20"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7" borderId="0" applyNumberFormat="0" applyBorder="0" applyAlignment="0" applyProtection="0"/>
    <xf numFmtId="0" fontId="24" fillId="11" borderId="0" applyNumberFormat="0" applyBorder="0" applyAlignment="0" applyProtection="0"/>
    <xf numFmtId="177" fontId="6" fillId="0" borderId="0" applyBorder="0"/>
    <xf numFmtId="0" fontId="25" fillId="28" borderId="12" applyNumberFormat="0" applyAlignment="0" applyProtection="0"/>
    <xf numFmtId="0" fontId="26" fillId="29" borderId="13" applyNumberFormat="0" applyAlignment="0" applyProtection="0"/>
    <xf numFmtId="166" fontId="41" fillId="0" borderId="0" applyFont="0" applyFill="0" applyBorder="0" applyProtection="0">
      <alignment horizontal="right"/>
    </xf>
    <xf numFmtId="168" fontId="41" fillId="0" borderId="0" applyFont="0" applyFill="0" applyBorder="0" applyProtection="0">
      <alignment horizontal="left"/>
    </xf>
    <xf numFmtId="43" fontId="6"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56" fillId="0" borderId="14" applyNumberFormat="0" applyBorder="0" applyAlignment="0" applyProtection="0">
      <alignment horizontal="right" vertical="center"/>
    </xf>
    <xf numFmtId="178" fontId="6" fillId="0" borderId="0" applyFont="0" applyFill="0" applyBorder="0" applyAlignment="0" applyProtection="0"/>
    <xf numFmtId="0" fontId="27" fillId="0" borderId="0" applyNumberFormat="0" applyFill="0" applyBorder="0" applyAlignment="0" applyProtection="0"/>
    <xf numFmtId="0" fontId="57" fillId="0" borderId="0">
      <alignment horizontal="right"/>
      <protection locked="0"/>
    </xf>
    <xf numFmtId="0" fontId="42" fillId="0" borderId="0">
      <alignment horizontal="left"/>
    </xf>
    <xf numFmtId="0" fontId="43"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28" fillId="12" borderId="0" applyNumberFormat="0" applyBorder="0" applyAlignment="0" applyProtection="0"/>
    <xf numFmtId="38" fontId="16" fillId="30" borderId="0" applyNumberFormat="0" applyBorder="0" applyAlignment="0" applyProtection="0"/>
    <xf numFmtId="0" fontId="44" fillId="31" borderId="15" applyProtection="0">
      <alignment horizontal="right"/>
    </xf>
    <xf numFmtId="0" fontId="45" fillId="31" borderId="0" applyProtection="0">
      <alignment horizontal="left"/>
    </xf>
    <xf numFmtId="0" fontId="29" fillId="0" borderId="16" applyNumberFormat="0" applyFill="0" applyAlignment="0" applyProtection="0"/>
    <xf numFmtId="0" fontId="58" fillId="0" borderId="0">
      <alignment vertical="top" wrapText="1"/>
    </xf>
    <xf numFmtId="0" fontId="58" fillId="0" borderId="0">
      <alignment vertical="top" wrapText="1"/>
    </xf>
    <xf numFmtId="0" fontId="58" fillId="0" borderId="0">
      <alignment vertical="top" wrapText="1"/>
    </xf>
    <xf numFmtId="0" fontId="58" fillId="0" borderId="0">
      <alignment vertical="top" wrapText="1"/>
    </xf>
    <xf numFmtId="0" fontId="30" fillId="0" borderId="17" applyNumberFormat="0" applyFill="0" applyAlignment="0" applyProtection="0"/>
    <xf numFmtId="169" fontId="59" fillId="0" borderId="0" applyNumberFormat="0" applyFill="0" applyAlignment="0" applyProtection="0"/>
    <xf numFmtId="0" fontId="31" fillId="0" borderId="18" applyNumberFormat="0" applyFill="0" applyAlignment="0" applyProtection="0"/>
    <xf numFmtId="169" fontId="60" fillId="0" borderId="0" applyNumberFormat="0" applyFill="0" applyAlignment="0" applyProtection="0"/>
    <xf numFmtId="0" fontId="31" fillId="0" borderId="0" applyNumberFormat="0" applyFill="0" applyBorder="0" applyAlignment="0" applyProtection="0"/>
    <xf numFmtId="169" fontId="19" fillId="0" borderId="0" applyNumberFormat="0" applyFill="0" applyAlignment="0" applyProtection="0"/>
    <xf numFmtId="169" fontId="46" fillId="0" borderId="0" applyNumberFormat="0" applyFill="0" applyAlignment="0" applyProtection="0"/>
    <xf numFmtId="169" fontId="20" fillId="0" borderId="0" applyNumberFormat="0" applyFill="0" applyAlignment="0" applyProtection="0"/>
    <xf numFmtId="169" fontId="20" fillId="0" borderId="0" applyNumberFormat="0" applyFont="0" applyFill="0" applyBorder="0" applyAlignment="0" applyProtection="0"/>
    <xf numFmtId="169" fontId="20" fillId="0" borderId="0" applyNumberFormat="0" applyFont="0" applyFill="0" applyBorder="0" applyAlignment="0" applyProtection="0"/>
    <xf numFmtId="0" fontId="18"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7" fillId="0" borderId="0" applyFill="0" applyBorder="0" applyProtection="0">
      <alignment horizontal="left"/>
    </xf>
    <xf numFmtId="10" fontId="16" fillId="32" borderId="5" applyNumberFormat="0" applyBorder="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44" fillId="0" borderId="19" applyProtection="0">
      <alignment horizontal="right"/>
    </xf>
    <xf numFmtId="0" fontId="44" fillId="0" borderId="15" applyProtection="0">
      <alignment horizontal="right"/>
    </xf>
    <xf numFmtId="0" fontId="44" fillId="0" borderId="20" applyProtection="0">
      <alignment horizontal="center"/>
      <protection locked="0"/>
    </xf>
    <xf numFmtId="0" fontId="33" fillId="0" borderId="21" applyNumberFormat="0" applyFill="0" applyAlignment="0" applyProtection="0"/>
    <xf numFmtId="0" fontId="6" fillId="0" borderId="0"/>
    <xf numFmtId="0" fontId="6" fillId="0" borderId="0"/>
    <xf numFmtId="1" fontId="6" fillId="0" borderId="0" applyFont="0" applyFill="0" applyBorder="0" applyProtection="0">
      <alignment horizontal="right"/>
    </xf>
    <xf numFmtId="1" fontId="6" fillId="0" borderId="0" applyFont="0" applyFill="0" applyBorder="0" applyProtection="0">
      <alignment horizontal="right"/>
    </xf>
    <xf numFmtId="0" fontId="34" fillId="33"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167" fontId="22" fillId="0" borderId="0"/>
    <xf numFmtId="0" fontId="6" fillId="0" borderId="0">
      <alignment vertical="top"/>
    </xf>
    <xf numFmtId="0" fontId="4" fillId="0" borderId="0"/>
    <xf numFmtId="0" fontId="4" fillId="0" borderId="0"/>
    <xf numFmtId="0" fontId="4" fillId="0" borderId="0"/>
    <xf numFmtId="0" fontId="4" fillId="0" borderId="0"/>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4" fillId="0" borderId="0"/>
    <xf numFmtId="0" fontId="6" fillId="0" borderId="0">
      <alignment vertical="top"/>
    </xf>
    <xf numFmtId="0" fontId="4" fillId="0" borderId="0"/>
    <xf numFmtId="0" fontId="6" fillId="0" borderId="0">
      <alignment vertical="top"/>
    </xf>
    <xf numFmtId="0" fontId="4" fillId="0" borderId="0"/>
    <xf numFmtId="0" fontId="6" fillId="0" borderId="0">
      <alignment vertical="top"/>
    </xf>
    <xf numFmtId="0" fontId="4" fillId="0" borderId="0"/>
    <xf numFmtId="167" fontId="22" fillId="0" borderId="0"/>
    <xf numFmtId="0" fontId="6" fillId="0" borderId="0">
      <alignment vertical="top"/>
    </xf>
    <xf numFmtId="0" fontId="4" fillId="0" borderId="0"/>
    <xf numFmtId="0" fontId="6" fillId="0" borderId="0">
      <alignment vertical="top"/>
    </xf>
    <xf numFmtId="167" fontId="21" fillId="0" borderId="0"/>
    <xf numFmtId="0" fontId="4" fillId="0" borderId="0"/>
    <xf numFmtId="0" fontId="6" fillId="0" borderId="0">
      <alignment vertical="top"/>
    </xf>
    <xf numFmtId="0" fontId="4" fillId="0" borderId="0"/>
    <xf numFmtId="0" fontId="4" fillId="0" borderId="0"/>
    <xf numFmtId="0" fontId="6" fillId="0" borderId="0">
      <alignment vertical="top"/>
    </xf>
    <xf numFmtId="0" fontId="4" fillId="0" borderId="0"/>
    <xf numFmtId="167" fontId="22" fillId="0" borderId="0"/>
    <xf numFmtId="0" fontId="17" fillId="0" borderId="0"/>
    <xf numFmtId="0" fontId="6" fillId="0" borderId="0"/>
    <xf numFmtId="0" fontId="4" fillId="0" borderId="0"/>
    <xf numFmtId="0" fontId="6" fillId="0" borderId="0">
      <alignment vertical="top"/>
    </xf>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78" fillId="0" borderId="0"/>
    <xf numFmtId="0" fontId="4" fillId="0" borderId="0"/>
    <xf numFmtId="0" fontId="78" fillId="0" borderId="0"/>
    <xf numFmtId="0" fontId="4" fillId="0" borderId="0"/>
    <xf numFmtId="0" fontId="78" fillId="0" borderId="0"/>
    <xf numFmtId="0" fontId="4" fillId="0" borderId="0"/>
    <xf numFmtId="0" fontId="78" fillId="0" borderId="0"/>
    <xf numFmtId="0" fontId="4" fillId="0" borderId="0"/>
    <xf numFmtId="0" fontId="78" fillId="0" borderId="0"/>
    <xf numFmtId="0" fontId="4" fillId="0" borderId="0"/>
    <xf numFmtId="0" fontId="78" fillId="0" borderId="0"/>
    <xf numFmtId="0" fontId="6" fillId="0" borderId="0"/>
    <xf numFmtId="167" fontId="22" fillId="0" borderId="0"/>
    <xf numFmtId="0" fontId="48" fillId="0" borderId="0"/>
    <xf numFmtId="0" fontId="79" fillId="0" borderId="0"/>
    <xf numFmtId="167" fontId="22" fillId="0" borderId="0"/>
    <xf numFmtId="0" fontId="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 fillId="0" borderId="0"/>
    <xf numFmtId="167" fontId="22"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 fillId="0" borderId="0"/>
    <xf numFmtId="0" fontId="6" fillId="0" borderId="0"/>
    <xf numFmtId="0" fontId="4" fillId="0" borderId="0"/>
    <xf numFmtId="167" fontId="22" fillId="0" borderId="0"/>
    <xf numFmtId="0" fontId="6" fillId="0" borderId="0"/>
    <xf numFmtId="167" fontId="21" fillId="0" borderId="0"/>
    <xf numFmtId="0" fontId="6" fillId="0" borderId="0"/>
    <xf numFmtId="0" fontId="6" fillId="0" borderId="0"/>
    <xf numFmtId="167" fontId="22" fillId="0" borderId="0"/>
    <xf numFmtId="0" fontId="6" fillId="0" borderId="0">
      <alignment vertical="top"/>
    </xf>
    <xf numFmtId="167" fontId="22" fillId="0" borderId="0"/>
    <xf numFmtId="0" fontId="6" fillId="0" borderId="0">
      <alignment vertical="top"/>
    </xf>
    <xf numFmtId="167" fontId="22" fillId="0" borderId="0"/>
    <xf numFmtId="0" fontId="6" fillId="0" borderId="0">
      <alignment vertical="top"/>
    </xf>
    <xf numFmtId="167" fontId="22" fillId="0" borderId="0"/>
    <xf numFmtId="0" fontId="6" fillId="0" borderId="0">
      <alignment vertical="top"/>
    </xf>
    <xf numFmtId="0" fontId="6" fillId="34" borderId="22" applyNumberFormat="0" applyFont="0" applyAlignment="0" applyProtection="0"/>
    <xf numFmtId="0" fontId="4" fillId="9" borderId="10" applyNumberFormat="0" applyFont="0" applyAlignment="0" applyProtection="0"/>
    <xf numFmtId="0" fontId="35" fillId="28" borderId="23" applyNumberFormat="0" applyAlignment="0" applyProtection="0"/>
    <xf numFmtId="40" fontId="62" fillId="35" borderId="0">
      <alignment horizontal="right"/>
    </xf>
    <xf numFmtId="0" fontId="63" fillId="35" borderId="0">
      <alignment horizontal="right"/>
    </xf>
    <xf numFmtId="0" fontId="64" fillId="35" borderId="24"/>
    <xf numFmtId="0" fontId="64" fillId="0" borderId="0" applyBorder="0">
      <alignment horizontal="centerContinuous"/>
    </xf>
    <xf numFmtId="0" fontId="65" fillId="0" borderId="0" applyBorder="0">
      <alignment horizontal="centerContinuous"/>
    </xf>
    <xf numFmtId="170" fontId="6" fillId="0" borderId="0" applyFont="0" applyFill="0" applyBorder="0" applyProtection="0">
      <alignment horizontal="right"/>
    </xf>
    <xf numFmtId="170" fontId="6" fillId="0" borderId="0" applyFont="0" applyFill="0" applyBorder="0" applyProtection="0">
      <alignment horizontal="right"/>
    </xf>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6" fillId="0" borderId="0"/>
    <xf numFmtId="2" fontId="66" fillId="36" borderId="25" applyAlignment="0" applyProtection="0">
      <protection locked="0"/>
    </xf>
    <xf numFmtId="0" fontId="67" fillId="32" borderId="25" applyNumberFormat="0" applyAlignment="0" applyProtection="0"/>
    <xf numFmtId="0" fontId="68" fillId="37" borderId="5" applyNumberFormat="0" applyAlignment="0" applyProtection="0">
      <alignment horizontal="center" vertical="center"/>
    </xf>
    <xf numFmtId="4" fontId="48" fillId="38" borderId="23" applyNumberFormat="0" applyProtection="0">
      <alignment vertical="center"/>
    </xf>
    <xf numFmtId="4" fontId="69" fillId="38" borderId="23" applyNumberFormat="0" applyProtection="0">
      <alignment vertical="center"/>
    </xf>
    <xf numFmtId="4" fontId="48" fillId="38" borderId="23" applyNumberFormat="0" applyProtection="0">
      <alignment horizontal="left" vertical="center" indent="1"/>
    </xf>
    <xf numFmtId="4" fontId="48" fillId="38" borderId="23" applyNumberFormat="0" applyProtection="0">
      <alignment horizontal="left" vertical="center" indent="1"/>
    </xf>
    <xf numFmtId="0" fontId="6" fillId="39" borderId="23" applyNumberFormat="0" applyProtection="0">
      <alignment horizontal="left" vertical="center" indent="1"/>
    </xf>
    <xf numFmtId="4" fontId="48" fillId="40" borderId="23" applyNumberFormat="0" applyProtection="0">
      <alignment horizontal="right" vertical="center"/>
    </xf>
    <xf numFmtId="4" fontId="48" fillId="41" borderId="23" applyNumberFormat="0" applyProtection="0">
      <alignment horizontal="right" vertical="center"/>
    </xf>
    <xf numFmtId="4" fontId="48" fillId="42" borderId="23" applyNumberFormat="0" applyProtection="0">
      <alignment horizontal="right" vertical="center"/>
    </xf>
    <xf numFmtId="4" fontId="48" fillId="43" borderId="23" applyNumberFormat="0" applyProtection="0">
      <alignment horizontal="right" vertical="center"/>
    </xf>
    <xf numFmtId="4" fontId="48" fillId="44" borderId="23" applyNumberFormat="0" applyProtection="0">
      <alignment horizontal="right" vertical="center"/>
    </xf>
    <xf numFmtId="4" fontId="48" fillId="45" borderId="23" applyNumberFormat="0" applyProtection="0">
      <alignment horizontal="right" vertical="center"/>
    </xf>
    <xf numFmtId="4" fontId="48" fillId="46" borderId="23" applyNumberFormat="0" applyProtection="0">
      <alignment horizontal="right" vertical="center"/>
    </xf>
    <xf numFmtId="4" fontId="48" fillId="47" borderId="23" applyNumberFormat="0" applyProtection="0">
      <alignment horizontal="right" vertical="center"/>
    </xf>
    <xf numFmtId="4" fontId="48" fillId="48" borderId="23" applyNumberFormat="0" applyProtection="0">
      <alignment horizontal="right" vertical="center"/>
    </xf>
    <xf numFmtId="4" fontId="70" fillId="49" borderId="23" applyNumberFormat="0" applyProtection="0">
      <alignment horizontal="left" vertical="center" indent="1"/>
    </xf>
    <xf numFmtId="4" fontId="48" fillId="50" borderId="26" applyNumberFormat="0" applyProtection="0">
      <alignment horizontal="left" vertical="center" indent="1"/>
    </xf>
    <xf numFmtId="4" fontId="71" fillId="51" borderId="0" applyNumberFormat="0" applyProtection="0">
      <alignment horizontal="left" vertical="center" indent="1"/>
    </xf>
    <xf numFmtId="0" fontId="6" fillId="39" borderId="23" applyNumberFormat="0" applyProtection="0">
      <alignment horizontal="left" vertical="center" indent="1"/>
    </xf>
    <xf numFmtId="4" fontId="48" fillId="50" borderId="23" applyNumberFormat="0" applyProtection="0">
      <alignment horizontal="left" vertical="center" indent="1"/>
    </xf>
    <xf numFmtId="4" fontId="48" fillId="52" borderId="23" applyNumberFormat="0" applyProtection="0">
      <alignment horizontal="left" vertical="center" indent="1"/>
    </xf>
    <xf numFmtId="0" fontId="6" fillId="52" borderId="23" applyNumberFormat="0" applyProtection="0">
      <alignment horizontal="left" vertical="center" indent="1"/>
    </xf>
    <xf numFmtId="0" fontId="6" fillId="52" borderId="23" applyNumberFormat="0" applyProtection="0">
      <alignment horizontal="left" vertical="center" indent="1"/>
    </xf>
    <xf numFmtId="0" fontId="6" fillId="37" borderId="23" applyNumberFormat="0" applyProtection="0">
      <alignment horizontal="left" vertical="center" indent="1"/>
    </xf>
    <xf numFmtId="0" fontId="6" fillId="37" borderId="23" applyNumberFormat="0" applyProtection="0">
      <alignment horizontal="left" vertical="center" indent="1"/>
    </xf>
    <xf numFmtId="0" fontId="6" fillId="30" borderId="23" applyNumberFormat="0" applyProtection="0">
      <alignment horizontal="left" vertical="center" indent="1"/>
    </xf>
    <xf numFmtId="0" fontId="6" fillId="30" borderId="23" applyNumberFormat="0" applyProtection="0">
      <alignment horizontal="left" vertical="center" indent="1"/>
    </xf>
    <xf numFmtId="0" fontId="6" fillId="39" borderId="23" applyNumberFormat="0" applyProtection="0">
      <alignment horizontal="left" vertical="center" indent="1"/>
    </xf>
    <xf numFmtId="0" fontId="6" fillId="39" borderId="23" applyNumberFormat="0" applyProtection="0">
      <alignment horizontal="left" vertical="center" indent="1"/>
    </xf>
    <xf numFmtId="4" fontId="48" fillId="32" borderId="23" applyNumberFormat="0" applyProtection="0">
      <alignment vertical="center"/>
    </xf>
    <xf numFmtId="4" fontId="69" fillId="32" borderId="23" applyNumberFormat="0" applyProtection="0">
      <alignment vertical="center"/>
    </xf>
    <xf numFmtId="4" fontId="48" fillId="32" borderId="23" applyNumberFormat="0" applyProtection="0">
      <alignment horizontal="left" vertical="center" indent="1"/>
    </xf>
    <xf numFmtId="4" fontId="48" fillId="32" borderId="23" applyNumberFormat="0" applyProtection="0">
      <alignment horizontal="left" vertical="center" indent="1"/>
    </xf>
    <xf numFmtId="4" fontId="48" fillId="50" borderId="23" applyNumberFormat="0" applyProtection="0">
      <alignment horizontal="right" vertical="center"/>
    </xf>
    <xf numFmtId="4" fontId="69" fillId="50" borderId="23" applyNumberFormat="0" applyProtection="0">
      <alignment horizontal="right" vertical="center"/>
    </xf>
    <xf numFmtId="0" fontId="6" fillId="39" borderId="23" applyNumberFormat="0" applyProtection="0">
      <alignment horizontal="left" vertical="center" indent="1"/>
    </xf>
    <xf numFmtId="0" fontId="6" fillId="39" borderId="23" applyNumberFormat="0" applyProtection="0">
      <alignment horizontal="left" vertical="center" indent="1"/>
    </xf>
    <xf numFmtId="0" fontId="72" fillId="0" borderId="0"/>
    <xf numFmtId="4" fontId="73" fillId="50" borderId="23" applyNumberFormat="0" applyProtection="0">
      <alignment horizontal="right" vertical="center"/>
    </xf>
    <xf numFmtId="0" fontId="6" fillId="0" borderId="0"/>
    <xf numFmtId="0" fontId="49" fillId="35" borderId="27">
      <alignment horizontal="center"/>
    </xf>
    <xf numFmtId="3" fontId="50" fillId="35" borderId="0"/>
    <xf numFmtId="3" fontId="49" fillId="35" borderId="0"/>
    <xf numFmtId="0" fontId="50" fillId="35" borderId="0"/>
    <xf numFmtId="0" fontId="49" fillId="35" borderId="0"/>
    <xf numFmtId="0" fontId="50" fillId="35" borderId="0">
      <alignment horizontal="center"/>
    </xf>
    <xf numFmtId="0" fontId="51" fillId="0" borderId="0">
      <alignment wrapText="1"/>
    </xf>
    <xf numFmtId="0" fontId="51" fillId="0" borderId="0">
      <alignment wrapText="1"/>
    </xf>
    <xf numFmtId="0" fontId="51" fillId="0" borderId="0">
      <alignment wrapText="1"/>
    </xf>
    <xf numFmtId="0" fontId="52" fillId="53" borderId="0">
      <alignment horizontal="right" vertical="top" wrapText="1"/>
    </xf>
    <xf numFmtId="0" fontId="52" fillId="53" borderId="0">
      <alignment horizontal="right" vertical="top" wrapText="1"/>
    </xf>
    <xf numFmtId="0" fontId="52" fillId="53" borderId="0">
      <alignment horizontal="right" vertical="top" wrapText="1"/>
    </xf>
    <xf numFmtId="0" fontId="53" fillId="0" borderId="0"/>
    <xf numFmtId="0" fontId="53" fillId="0" borderId="0"/>
    <xf numFmtId="0" fontId="53" fillId="0" borderId="0"/>
    <xf numFmtId="0" fontId="54" fillId="0" borderId="0"/>
    <xf numFmtId="0" fontId="54" fillId="0" borderId="0"/>
    <xf numFmtId="0" fontId="55" fillId="0" borderId="0"/>
    <xf numFmtId="0" fontId="55" fillId="0" borderId="0"/>
    <xf numFmtId="171" fontId="16" fillId="0" borderId="0">
      <alignment wrapText="1"/>
      <protection locked="0"/>
    </xf>
    <xf numFmtId="171" fontId="16" fillId="0" borderId="0">
      <alignment wrapText="1"/>
      <protection locked="0"/>
    </xf>
    <xf numFmtId="171" fontId="52" fillId="54" borderId="0">
      <alignment wrapText="1"/>
      <protection locked="0"/>
    </xf>
    <xf numFmtId="171" fontId="52" fillId="54" borderId="0">
      <alignment wrapText="1"/>
      <protection locked="0"/>
    </xf>
    <xf numFmtId="171" fontId="52" fillId="54" borderId="0">
      <alignment wrapText="1"/>
      <protection locked="0"/>
    </xf>
    <xf numFmtId="171" fontId="52" fillId="54" borderId="0">
      <alignment wrapText="1"/>
      <protection locked="0"/>
    </xf>
    <xf numFmtId="172" fontId="16" fillId="0" borderId="0">
      <alignment wrapText="1"/>
      <protection locked="0"/>
    </xf>
    <xf numFmtId="172" fontId="16" fillId="0" borderId="0">
      <alignment wrapText="1"/>
      <protection locked="0"/>
    </xf>
    <xf numFmtId="172" fontId="16" fillId="0" borderId="0">
      <alignment wrapText="1"/>
      <protection locked="0"/>
    </xf>
    <xf numFmtId="172" fontId="52" fillId="54" borderId="0">
      <alignment wrapText="1"/>
      <protection locked="0"/>
    </xf>
    <xf numFmtId="172" fontId="52" fillId="54" borderId="0">
      <alignment wrapText="1"/>
      <protection locked="0"/>
    </xf>
    <xf numFmtId="172" fontId="52" fillId="54" borderId="0">
      <alignment wrapText="1"/>
      <protection locked="0"/>
    </xf>
    <xf numFmtId="172" fontId="52" fillId="54" borderId="0">
      <alignment wrapText="1"/>
      <protection locked="0"/>
    </xf>
    <xf numFmtId="172" fontId="52" fillId="54" borderId="0">
      <alignment wrapText="1"/>
      <protection locked="0"/>
    </xf>
    <xf numFmtId="173" fontId="16" fillId="0" borderId="0">
      <alignment wrapText="1"/>
      <protection locked="0"/>
    </xf>
    <xf numFmtId="173" fontId="16" fillId="0" borderId="0">
      <alignment wrapText="1"/>
      <protection locked="0"/>
    </xf>
    <xf numFmtId="173" fontId="52" fillId="54" borderId="0">
      <alignment wrapText="1"/>
      <protection locked="0"/>
    </xf>
    <xf numFmtId="173" fontId="52" fillId="54" borderId="0">
      <alignment wrapText="1"/>
      <protection locked="0"/>
    </xf>
    <xf numFmtId="173" fontId="52" fillId="54" borderId="0">
      <alignment wrapText="1"/>
      <protection locked="0"/>
    </xf>
    <xf numFmtId="173" fontId="52" fillId="54" borderId="0">
      <alignment wrapText="1"/>
      <protection locked="0"/>
    </xf>
    <xf numFmtId="174" fontId="52" fillId="53" borderId="28">
      <alignment wrapText="1"/>
    </xf>
    <xf numFmtId="174" fontId="52" fillId="53" borderId="28">
      <alignment wrapText="1"/>
    </xf>
    <xf numFmtId="175" fontId="52" fillId="53" borderId="28">
      <alignment wrapText="1"/>
    </xf>
    <xf numFmtId="175" fontId="52" fillId="53" borderId="28">
      <alignment wrapText="1"/>
    </xf>
    <xf numFmtId="175" fontId="52" fillId="53" borderId="28">
      <alignment wrapText="1"/>
    </xf>
    <xf numFmtId="176" fontId="52" fillId="53" borderId="28">
      <alignment wrapText="1"/>
    </xf>
    <xf numFmtId="176" fontId="52" fillId="53" borderId="28">
      <alignment wrapText="1"/>
    </xf>
    <xf numFmtId="0" fontId="53" fillId="0" borderId="29">
      <alignment horizontal="right"/>
    </xf>
    <xf numFmtId="0" fontId="53" fillId="0" borderId="29">
      <alignment horizontal="right"/>
    </xf>
    <xf numFmtId="0" fontId="53" fillId="0" borderId="29">
      <alignment horizontal="right"/>
    </xf>
    <xf numFmtId="40" fontId="74" fillId="0" borderId="0"/>
    <xf numFmtId="0" fontId="36"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37" fillId="0" borderId="30" applyNumberFormat="0" applyFill="0" applyAlignment="0" applyProtection="0"/>
    <xf numFmtId="0" fontId="38" fillId="0" borderId="0" applyNumberFormat="0" applyFill="0" applyBorder="0" applyAlignment="0" applyProtection="0"/>
    <xf numFmtId="0" fontId="16" fillId="0" borderId="0"/>
    <xf numFmtId="0" fontId="3" fillId="0" borderId="0"/>
    <xf numFmtId="0" fontId="80" fillId="0" borderId="0" applyNumberFormat="0" applyFill="0" applyBorder="0" applyAlignment="0" applyProtection="0"/>
    <xf numFmtId="0" fontId="3" fillId="0" borderId="0"/>
    <xf numFmtId="44"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0" fontId="79" fillId="0" borderId="0"/>
    <xf numFmtId="187" fontId="6" fillId="35" borderId="80">
      <alignment horizontal="right" vertical="top"/>
    </xf>
    <xf numFmtId="0" fontId="6" fillId="35" borderId="80">
      <alignment horizontal="left" indent="5"/>
    </xf>
    <xf numFmtId="187" fontId="6" fillId="35" borderId="5" applyNumberFormat="0">
      <alignment horizontal="right" vertical="top"/>
    </xf>
    <xf numFmtId="0" fontId="6" fillId="35" borderId="5">
      <alignment horizontal="left" indent="3"/>
    </xf>
    <xf numFmtId="187" fontId="19" fillId="35" borderId="5" applyNumberFormat="0">
      <alignment horizontal="right" vertical="top"/>
    </xf>
    <xf numFmtId="0" fontId="19" fillId="35" borderId="5">
      <alignment horizontal="left" indent="1"/>
    </xf>
    <xf numFmtId="0" fontId="19" fillId="35" borderId="5"/>
    <xf numFmtId="3" fontId="19" fillId="35" borderId="5">
      <alignment horizontal="right"/>
    </xf>
    <xf numFmtId="0" fontId="19" fillId="35" borderId="5">
      <alignment horizontal="right" vertical="top"/>
    </xf>
    <xf numFmtId="0" fontId="19" fillId="35" borderId="5">
      <alignment horizontal="left" indent="2"/>
    </xf>
    <xf numFmtId="3" fontId="19" fillId="35" borderId="5">
      <alignment horizontal="right"/>
    </xf>
    <xf numFmtId="187" fontId="6" fillId="35" borderId="5" applyNumberFormat="0">
      <alignment horizontal="right" vertical="top"/>
    </xf>
    <xf numFmtId="0" fontId="6" fillId="35" borderId="5">
      <alignment horizontal="left" indent="3"/>
    </xf>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6" fillId="0" borderId="0" applyNumberFormat="0" applyFill="0" applyAlignment="0" applyProtection="0"/>
    <xf numFmtId="0" fontId="75" fillId="0" borderId="0" applyNumberFormat="0" applyFill="0" applyAlignment="0" applyProtection="0"/>
    <xf numFmtId="0" fontId="107" fillId="0" borderId="0" applyNumberFormat="0" applyFill="0" applyBorder="0" applyAlignment="0" applyProtection="0"/>
    <xf numFmtId="0" fontId="108" fillId="0" borderId="0" applyNumberFormat="0" applyFill="0" applyAlignment="0" applyProtection="0"/>
    <xf numFmtId="0" fontId="109" fillId="0" borderId="0" applyNumberFormat="0" applyFill="0" applyAlignment="0" applyProtection="0"/>
    <xf numFmtId="0" fontId="110" fillId="0" borderId="0" applyNumberFormat="0" applyFill="0" applyBorder="0" applyAlignment="0" applyProtection="0">
      <alignment vertical="top"/>
      <protection locked="0"/>
    </xf>
    <xf numFmtId="0" fontId="2" fillId="0" borderId="0"/>
    <xf numFmtId="0" fontId="111" fillId="0" borderId="0" applyNumberFormat="0" applyFill="0" applyBorder="0" applyAlignment="0" applyProtection="0"/>
    <xf numFmtId="0" fontId="81" fillId="0" borderId="0" applyNumberFormat="0" applyFill="0" applyBorder="0" applyProtection="0">
      <alignment vertical="top"/>
    </xf>
    <xf numFmtId="0" fontId="112" fillId="0" borderId="0" applyNumberFormat="0" applyFill="0" applyBorder="0" applyAlignment="0" applyProtection="0"/>
    <xf numFmtId="43" fontId="2" fillId="0" borderId="0" applyFont="0" applyFill="0" applyBorder="0" applyAlignment="0" applyProtection="0"/>
    <xf numFmtId="0" fontId="75" fillId="0" borderId="0" applyNumberFormat="0" applyFill="0" applyAlignment="0" applyProtection="0"/>
    <xf numFmtId="0" fontId="78" fillId="0" borderId="0"/>
    <xf numFmtId="0" fontId="129" fillId="0" borderId="0"/>
    <xf numFmtId="0" fontId="130" fillId="0" borderId="0"/>
    <xf numFmtId="0" fontId="127" fillId="106" borderId="0"/>
    <xf numFmtId="0" fontId="124" fillId="104" borderId="0"/>
    <xf numFmtId="0" fontId="131" fillId="107" borderId="0"/>
    <xf numFmtId="0" fontId="132" fillId="107" borderId="96"/>
    <xf numFmtId="0" fontId="122" fillId="0" borderId="0"/>
    <xf numFmtId="0" fontId="123" fillId="101" borderId="0"/>
    <xf numFmtId="0" fontId="123" fillId="102" borderId="0"/>
    <xf numFmtId="0" fontId="122" fillId="103" borderId="0"/>
    <xf numFmtId="0" fontId="125" fillId="105" borderId="0"/>
    <xf numFmtId="0" fontId="126" fillId="0" borderId="0"/>
    <xf numFmtId="0" fontId="128" fillId="0" borderId="0"/>
    <xf numFmtId="0" fontId="78" fillId="0" borderId="0"/>
    <xf numFmtId="0" fontId="78" fillId="0" borderId="0"/>
    <xf numFmtId="0" fontId="124" fillId="0" borderId="0"/>
    <xf numFmtId="0" fontId="78" fillId="0" borderId="0"/>
    <xf numFmtId="0" fontId="129" fillId="0" borderId="0"/>
    <xf numFmtId="0" fontId="129" fillId="0" borderId="0"/>
    <xf numFmtId="0" fontId="78" fillId="0" borderId="0"/>
    <xf numFmtId="0" fontId="133" fillId="0" borderId="0"/>
    <xf numFmtId="43" fontId="6" fillId="0" borderId="0" applyFont="0" applyFill="0" applyBorder="0" applyAlignment="0" applyProtection="0"/>
    <xf numFmtId="0" fontId="143" fillId="0" borderId="0" applyNumberFormat="0" applyFill="0" applyBorder="0" applyAlignment="0" applyProtection="0"/>
    <xf numFmtId="0" fontId="1" fillId="0" borderId="0"/>
    <xf numFmtId="0" fontId="111" fillId="0" borderId="0"/>
    <xf numFmtId="9" fontId="6" fillId="0" borderId="0" applyFont="0" applyFill="0" applyBorder="0" applyAlignment="0" applyProtection="0"/>
    <xf numFmtId="0" fontId="120" fillId="0" borderId="0" applyNumberFormat="0" applyFill="0" applyBorder="0" applyAlignment="0" applyProtection="0"/>
    <xf numFmtId="9" fontId="79"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xf numFmtId="0" fontId="6" fillId="0" borderId="0"/>
    <xf numFmtId="9" fontId="153" fillId="0" borderId="0">
      <alignment horizontal="right"/>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1" fontId="6" fillId="0" borderId="0" applyFill="0" applyBorder="0" applyAlignment="0" applyProtection="0"/>
    <xf numFmtId="0" fontId="6" fillId="0" borderId="0"/>
    <xf numFmtId="0" fontId="6" fillId="0" borderId="0"/>
    <xf numFmtId="0" fontId="6" fillId="0" borderId="0"/>
    <xf numFmtId="192" fontId="6" fillId="0" borderId="0"/>
    <xf numFmtId="0" fontId="6" fillId="0" borderId="0"/>
    <xf numFmtId="192" fontId="6" fillId="0" borderId="0"/>
    <xf numFmtId="0" fontId="6" fillId="0" borderId="0"/>
    <xf numFmtId="192" fontId="6" fillId="0" borderId="0"/>
    <xf numFmtId="0" fontId="6" fillId="0" borderId="0"/>
    <xf numFmtId="192" fontId="6" fillId="0" borderId="0"/>
    <xf numFmtId="19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54" fillId="0" borderId="0"/>
    <xf numFmtId="0" fontId="155" fillId="0" borderId="0"/>
    <xf numFmtId="0" fontId="15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155" fillId="0" borderId="0"/>
    <xf numFmtId="0" fontId="6" fillId="0" borderId="0"/>
    <xf numFmtId="0" fontId="6" fillId="0" borderId="0"/>
    <xf numFmtId="0" fontId="6" fillId="0" borderId="0"/>
    <xf numFmtId="0" fontId="155" fillId="0" borderId="0"/>
    <xf numFmtId="0" fontId="6" fillId="0" borderId="0"/>
    <xf numFmtId="0" fontId="6" fillId="0" borderId="0"/>
    <xf numFmtId="0" fontId="6" fillId="0" borderId="0"/>
    <xf numFmtId="0" fontId="6" fillId="0" borderId="0"/>
    <xf numFmtId="0" fontId="6" fillId="0" borderId="0"/>
    <xf numFmtId="0" fontId="154" fillId="0" borderId="0"/>
    <xf numFmtId="0" fontId="154"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154" fillId="0" borderId="0"/>
    <xf numFmtId="0" fontId="6" fillId="0" borderId="0"/>
    <xf numFmtId="0" fontId="6" fillId="0" borderId="0"/>
    <xf numFmtId="193" fontId="156" fillId="0" borderId="0"/>
    <xf numFmtId="19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2" fontId="6" fillId="0" borderId="0"/>
    <xf numFmtId="0" fontId="6" fillId="0" borderId="0"/>
    <xf numFmtId="0" fontId="6" fillId="0" borderId="0"/>
    <xf numFmtId="192" fontId="6" fillId="0" borderId="0"/>
    <xf numFmtId="0" fontId="6" fillId="0" borderId="0"/>
    <xf numFmtId="192" fontId="6" fillId="0" borderId="0"/>
    <xf numFmtId="0" fontId="6" fillId="0" borderId="0"/>
    <xf numFmtId="192" fontId="6" fillId="0" borderId="0"/>
    <xf numFmtId="0" fontId="6" fillId="0" borderId="0"/>
    <xf numFmtId="192" fontId="6" fillId="0" borderId="0"/>
    <xf numFmtId="192" fontId="6" fillId="0" borderId="0"/>
    <xf numFmtId="0" fontId="6" fillId="0" borderId="0"/>
    <xf numFmtId="0" fontId="6" fillId="0" borderId="0"/>
    <xf numFmtId="194" fontId="139" fillId="0" borderId="0">
      <alignment horizontal="right" vertical="top"/>
    </xf>
    <xf numFmtId="165" fontId="6" fillId="0" borderId="0" applyFont="0" applyFill="0" applyBorder="0" applyProtection="0">
      <alignment horizontal="right"/>
    </xf>
    <xf numFmtId="165" fontId="6" fillId="0" borderId="0" applyFont="0" applyFill="0" applyBorder="0" applyProtection="0">
      <alignment horizontal="right"/>
    </xf>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57" fillId="10" borderId="0" applyNumberFormat="0" applyBorder="0" applyAlignment="0" applyProtection="0"/>
    <xf numFmtId="0" fontId="17" fillId="10"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 fillId="113" borderId="0"/>
    <xf numFmtId="0" fontId="1" fillId="113" borderId="0"/>
    <xf numFmtId="0" fontId="1" fillId="113" borderId="0"/>
    <xf numFmtId="0" fontId="1" fillId="113" borderId="0"/>
    <xf numFmtId="0" fontId="1" fillId="113" borderId="0"/>
    <xf numFmtId="0" fontId="17" fillId="39" borderId="0"/>
    <xf numFmtId="0" fontId="17" fillId="10" borderId="0" applyNumberFormat="0" applyBorder="0" applyAlignment="0" applyProtection="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10" borderId="0" applyNumberFormat="0" applyBorder="0" applyAlignment="0" applyProtection="0"/>
    <xf numFmtId="0" fontId="158" fillId="34" borderId="0" applyNumberFormat="0" applyBorder="0" applyAlignment="0" applyProtection="0"/>
    <xf numFmtId="0" fontId="17" fillId="16" borderId="0" applyNumberFormat="0" applyBorder="0" applyAlignment="0" applyProtection="0"/>
    <xf numFmtId="0" fontId="17" fillId="39" borderId="0"/>
    <xf numFmtId="0" fontId="17" fillId="39" borderId="0"/>
    <xf numFmtId="0" fontId="17" fillId="39" borderId="0"/>
    <xf numFmtId="0" fontId="17" fillId="39" borderId="0"/>
    <xf numFmtId="0" fontId="17" fillId="39" borderId="0"/>
    <xf numFmtId="0" fontId="159" fillId="35" borderId="0"/>
    <xf numFmtId="0" fontId="17" fillId="39" borderId="0"/>
    <xf numFmtId="0" fontId="159" fillId="35" borderId="0"/>
    <xf numFmtId="0" fontId="17" fillId="39" borderId="0"/>
    <xf numFmtId="0" fontId="159" fillId="35" borderId="0"/>
    <xf numFmtId="0" fontId="17" fillId="39" borderId="0"/>
    <xf numFmtId="0" fontId="159" fillId="35" borderId="0"/>
    <xf numFmtId="0" fontId="159" fillId="35" borderId="0"/>
    <xf numFmtId="0" fontId="17" fillId="39" borderId="0"/>
    <xf numFmtId="0" fontId="17" fillId="39" borderId="0"/>
    <xf numFmtId="0" fontId="17" fillId="39" borderId="0"/>
    <xf numFmtId="0" fontId="17" fillId="39" borderId="0"/>
    <xf numFmtId="0" fontId="17" fillId="39" borderId="0"/>
    <xf numFmtId="0" fontId="17" fillId="10" borderId="0" applyNumberFormat="0" applyBorder="0" applyAlignment="0" applyProtection="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7" fillId="39" borderId="0"/>
    <xf numFmtId="0" fontId="159" fillId="35" borderId="0"/>
    <xf numFmtId="0" fontId="17" fillId="39" borderId="0"/>
    <xf numFmtId="0" fontId="159" fillId="35" borderId="0"/>
    <xf numFmtId="0" fontId="17" fillId="39" borderId="0"/>
    <xf numFmtId="0" fontId="159" fillId="35" borderId="0"/>
    <xf numFmtId="0" fontId="159" fillId="35" borderId="0"/>
    <xf numFmtId="0" fontId="17" fillId="39" borderId="0"/>
    <xf numFmtId="0" fontId="17" fillId="39" borderId="0"/>
    <xf numFmtId="0" fontId="79" fillId="113" borderId="0"/>
    <xf numFmtId="0" fontId="17" fillId="39" borderId="0"/>
    <xf numFmtId="0" fontId="160" fillId="75" borderId="0" applyNumberFormat="0" applyBorder="0" applyAlignment="0" applyProtection="0"/>
    <xf numFmtId="0" fontId="17" fillId="39" borderId="0"/>
    <xf numFmtId="0" fontId="17" fillId="39" borderId="0"/>
    <xf numFmtId="0" fontId="17" fillId="39"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57" fillId="11" borderId="0" applyNumberFormat="0" applyBorder="0" applyAlignment="0" applyProtection="0"/>
    <xf numFmtId="0" fontId="17" fillId="11"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 fillId="114" borderId="0"/>
    <xf numFmtId="0" fontId="1" fillId="114" borderId="0"/>
    <xf numFmtId="0" fontId="1" fillId="114" borderId="0"/>
    <xf numFmtId="0" fontId="1" fillId="114" borderId="0"/>
    <xf numFmtId="0" fontId="1" fillId="114" borderId="0"/>
    <xf numFmtId="0" fontId="17" fillId="40" borderId="0"/>
    <xf numFmtId="0" fontId="17" fillId="11" borderId="0" applyNumberFormat="0" applyBorder="0" applyAlignment="0" applyProtection="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11" borderId="0" applyNumberFormat="0" applyBorder="0" applyAlignment="0" applyProtection="0"/>
    <xf numFmtId="0" fontId="158" fillId="27" borderId="0" applyNumberFormat="0" applyBorder="0" applyAlignment="0" applyProtection="0"/>
    <xf numFmtId="0" fontId="17" fillId="17" borderId="0" applyNumberFormat="0" applyBorder="0" applyAlignment="0" applyProtection="0"/>
    <xf numFmtId="0" fontId="17" fillId="40" borderId="0"/>
    <xf numFmtId="0" fontId="17" fillId="40" borderId="0"/>
    <xf numFmtId="0" fontId="17" fillId="40" borderId="0"/>
    <xf numFmtId="0" fontId="17" fillId="40" borderId="0"/>
    <xf numFmtId="0" fontId="17" fillId="40" borderId="0"/>
    <xf numFmtId="0" fontId="159" fillId="36" borderId="0"/>
    <xf numFmtId="0" fontId="17" fillId="40" borderId="0"/>
    <xf numFmtId="0" fontId="159" fillId="36" borderId="0"/>
    <xf numFmtId="0" fontId="17" fillId="40" borderId="0"/>
    <xf numFmtId="0" fontId="159" fillId="36" borderId="0"/>
    <xf numFmtId="0" fontId="17" fillId="40" borderId="0"/>
    <xf numFmtId="0" fontId="159" fillId="36" borderId="0"/>
    <xf numFmtId="0" fontId="159" fillId="36" borderId="0"/>
    <xf numFmtId="0" fontId="17" fillId="40" borderId="0"/>
    <xf numFmtId="0" fontId="17" fillId="40" borderId="0"/>
    <xf numFmtId="0" fontId="17" fillId="40" borderId="0"/>
    <xf numFmtId="0" fontId="17" fillId="40" borderId="0"/>
    <xf numFmtId="0" fontId="17" fillId="40" borderId="0"/>
    <xf numFmtId="0" fontId="17" fillId="11" borderId="0" applyNumberFormat="0" applyBorder="0" applyAlignment="0" applyProtection="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7" fillId="40" borderId="0"/>
    <xf numFmtId="0" fontId="159" fillId="36" borderId="0"/>
    <xf numFmtId="0" fontId="17" fillId="40" borderId="0"/>
    <xf numFmtId="0" fontId="159" fillId="36" borderId="0"/>
    <xf numFmtId="0" fontId="17" fillId="40" borderId="0"/>
    <xf numFmtId="0" fontId="159" fillId="36" borderId="0"/>
    <xf numFmtId="0" fontId="159" fillId="36" borderId="0"/>
    <xf numFmtId="0" fontId="17" fillId="40" borderId="0"/>
    <xf numFmtId="0" fontId="17" fillId="40" borderId="0"/>
    <xf numFmtId="0" fontId="79" fillId="114" borderId="0"/>
    <xf numFmtId="0" fontId="17" fillId="40" borderId="0"/>
    <xf numFmtId="0" fontId="160" fillId="79" borderId="0" applyNumberFormat="0" applyBorder="0" applyAlignment="0" applyProtection="0"/>
    <xf numFmtId="0" fontId="17" fillId="40" borderId="0"/>
    <xf numFmtId="0" fontId="17" fillId="40" borderId="0"/>
    <xf numFmtId="0" fontId="17" fillId="40"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57" fillId="12" borderId="0" applyNumberFormat="0" applyBorder="0" applyAlignment="0" applyProtection="0"/>
    <xf numFmtId="0" fontId="17" fillId="12" borderId="0" applyNumberFormat="0" applyBorder="0" applyAlignment="0" applyProtection="0"/>
    <xf numFmtId="0" fontId="157" fillId="111" borderId="0" applyNumberFormat="0" applyBorder="0" applyAlignment="0" applyProtection="0"/>
    <xf numFmtId="0" fontId="157" fillId="111" borderId="0" applyNumberFormat="0" applyBorder="0" applyAlignment="0" applyProtection="0"/>
    <xf numFmtId="0" fontId="1" fillId="115" borderId="0"/>
    <xf numFmtId="0" fontId="1" fillId="115" borderId="0"/>
    <xf numFmtId="0" fontId="1" fillId="115" borderId="0"/>
    <xf numFmtId="0" fontId="1" fillId="115" borderId="0"/>
    <xf numFmtId="0" fontId="1" fillId="115" borderId="0"/>
    <xf numFmtId="0" fontId="17" fillId="111" borderId="0"/>
    <xf numFmtId="0" fontId="17" fillId="12" borderId="0" applyNumberFormat="0" applyBorder="0" applyAlignment="0" applyProtection="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2" borderId="0" applyNumberFormat="0" applyBorder="0" applyAlignment="0" applyProtection="0"/>
    <xf numFmtId="0" fontId="158" fillId="28" borderId="0" applyNumberFormat="0" applyBorder="0" applyAlignment="0" applyProtection="0"/>
    <xf numFmtId="0" fontId="17" fillId="34" borderId="0" applyNumberFormat="0" applyBorder="0" applyAlignment="0" applyProtection="0"/>
    <xf numFmtId="0" fontId="17" fillId="111" borderId="0"/>
    <xf numFmtId="0" fontId="17" fillId="111" borderId="0"/>
    <xf numFmtId="0" fontId="17" fillId="111" borderId="0"/>
    <xf numFmtId="0" fontId="17" fillId="111" borderId="0"/>
    <xf numFmtId="0" fontId="17" fillId="111" borderId="0"/>
    <xf numFmtId="0" fontId="159" fillId="32" borderId="0"/>
    <xf numFmtId="0" fontId="17" fillId="111" borderId="0"/>
    <xf numFmtId="0" fontId="159" fillId="32" borderId="0"/>
    <xf numFmtId="0" fontId="17" fillId="111" borderId="0"/>
    <xf numFmtId="0" fontId="159" fillId="32" borderId="0"/>
    <xf numFmtId="0" fontId="17" fillId="111" borderId="0"/>
    <xf numFmtId="0" fontId="159" fillId="32" borderId="0"/>
    <xf numFmtId="0" fontId="159" fillId="32" borderId="0"/>
    <xf numFmtId="0" fontId="17" fillId="111" borderId="0"/>
    <xf numFmtId="0" fontId="17" fillId="111" borderId="0"/>
    <xf numFmtId="0" fontId="17" fillId="111" borderId="0"/>
    <xf numFmtId="0" fontId="17" fillId="111" borderId="0"/>
    <xf numFmtId="0" fontId="17" fillId="111" borderId="0"/>
    <xf numFmtId="0" fontId="17" fillId="12" borderId="0" applyNumberFormat="0" applyBorder="0" applyAlignment="0" applyProtection="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7" fillId="111" borderId="0"/>
    <xf numFmtId="0" fontId="159" fillId="32" borderId="0"/>
    <xf numFmtId="0" fontId="17" fillId="111" borderId="0"/>
    <xf numFmtId="0" fontId="159" fillId="32" borderId="0"/>
    <xf numFmtId="0" fontId="17" fillId="111" borderId="0"/>
    <xf numFmtId="0" fontId="159" fillId="32" borderId="0"/>
    <xf numFmtId="0" fontId="159" fillId="32" borderId="0"/>
    <xf numFmtId="0" fontId="17" fillId="111" borderId="0"/>
    <xf numFmtId="0" fontId="17" fillId="111" borderId="0"/>
    <xf numFmtId="0" fontId="79" fillId="115" borderId="0"/>
    <xf numFmtId="0" fontId="17" fillId="111" borderId="0"/>
    <xf numFmtId="0" fontId="160" fillId="83" borderId="0" applyNumberFormat="0" applyBorder="0" applyAlignment="0" applyProtection="0"/>
    <xf numFmtId="0" fontId="17" fillId="111" borderId="0"/>
    <xf numFmtId="0" fontId="17" fillId="111" borderId="0"/>
    <xf numFmtId="0" fontId="17" fillId="111"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57" fillId="13" borderId="0" applyNumberFormat="0" applyBorder="0" applyAlignment="0" applyProtection="0"/>
    <xf numFmtId="0" fontId="17" fillId="13" borderId="0" applyNumberFormat="0" applyBorder="0" applyAlignment="0" applyProtection="0"/>
    <xf numFmtId="0" fontId="157" fillId="116" borderId="0" applyNumberFormat="0" applyBorder="0" applyAlignment="0" applyProtection="0"/>
    <xf numFmtId="0" fontId="157" fillId="116" borderId="0" applyNumberFormat="0" applyBorder="0" applyAlignment="0" applyProtection="0"/>
    <xf numFmtId="0" fontId="1" fillId="117" borderId="0"/>
    <xf numFmtId="0" fontId="1" fillId="117" borderId="0"/>
    <xf numFmtId="0" fontId="1" fillId="117" borderId="0"/>
    <xf numFmtId="0" fontId="1" fillId="117" borderId="0"/>
    <xf numFmtId="0" fontId="1" fillId="117" borderId="0"/>
    <xf numFmtId="0" fontId="17" fillId="116" borderId="0"/>
    <xf numFmtId="0" fontId="17" fillId="13" borderId="0" applyNumberFormat="0" applyBorder="0" applyAlignment="0" applyProtection="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3" borderId="0" applyNumberFormat="0" applyBorder="0" applyAlignment="0" applyProtection="0"/>
    <xf numFmtId="0" fontId="158" fillId="118" borderId="0" applyNumberFormat="0" applyBorder="0" applyAlignment="0" applyProtection="0"/>
    <xf numFmtId="0" fontId="17" fillId="15" borderId="0" applyNumberFormat="0" applyBorder="0" applyAlignment="0" applyProtection="0"/>
    <xf numFmtId="0" fontId="17" fillId="116" borderId="0"/>
    <xf numFmtId="0" fontId="17" fillId="116" borderId="0"/>
    <xf numFmtId="0" fontId="17" fillId="116" borderId="0"/>
    <xf numFmtId="0" fontId="17" fillId="116" borderId="0"/>
    <xf numFmtId="0" fontId="17" fillId="116" borderId="0"/>
    <xf numFmtId="0" fontId="159" fillId="35" borderId="0"/>
    <xf numFmtId="0" fontId="17" fillId="116" borderId="0"/>
    <xf numFmtId="0" fontId="159" fillId="35" borderId="0"/>
    <xf numFmtId="0" fontId="17" fillId="116" borderId="0"/>
    <xf numFmtId="0" fontId="159" fillId="35" borderId="0"/>
    <xf numFmtId="0" fontId="17" fillId="116" borderId="0"/>
    <xf numFmtId="0" fontId="159" fillId="35" borderId="0"/>
    <xf numFmtId="0" fontId="159" fillId="35" borderId="0"/>
    <xf numFmtId="0" fontId="17" fillId="116" borderId="0"/>
    <xf numFmtId="0" fontId="17" fillId="116" borderId="0"/>
    <xf numFmtId="0" fontId="17" fillId="116" borderId="0"/>
    <xf numFmtId="0" fontId="17" fillId="116" borderId="0"/>
    <xf numFmtId="0" fontId="17" fillId="116" borderId="0"/>
    <xf numFmtId="0" fontId="17" fillId="13" borderId="0" applyNumberFormat="0" applyBorder="0" applyAlignment="0" applyProtection="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59" fillId="35" borderId="0"/>
    <xf numFmtId="0" fontId="17" fillId="116" borderId="0"/>
    <xf numFmtId="0" fontId="159" fillId="35" borderId="0"/>
    <xf numFmtId="0" fontId="17" fillId="116" borderId="0"/>
    <xf numFmtId="0" fontId="159" fillId="35" borderId="0"/>
    <xf numFmtId="0" fontId="159" fillId="35" borderId="0"/>
    <xf numFmtId="0" fontId="17" fillId="116" borderId="0"/>
    <xf numFmtId="0" fontId="17" fillId="116" borderId="0"/>
    <xf numFmtId="0" fontId="79" fillId="117" borderId="0"/>
    <xf numFmtId="0" fontId="17" fillId="116" borderId="0"/>
    <xf numFmtId="0" fontId="160" fillId="87" borderId="0" applyNumberFormat="0" applyBorder="0" applyAlignment="0" applyProtection="0"/>
    <xf numFmtId="0" fontId="17" fillId="116" borderId="0"/>
    <xf numFmtId="0" fontId="17" fillId="116" borderId="0"/>
    <xf numFmtId="0" fontId="17" fillId="116"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57" fillId="14" borderId="0" applyNumberFormat="0" applyBorder="0" applyAlignment="0" applyProtection="0"/>
    <xf numFmtId="0" fontId="17" fillId="14" borderId="0" applyNumberFormat="0" applyBorder="0" applyAlignment="0" applyProtection="0"/>
    <xf numFmtId="0" fontId="157" fillId="119" borderId="0" applyNumberFormat="0" applyBorder="0" applyAlignment="0" applyProtection="0"/>
    <xf numFmtId="0" fontId="157" fillId="119" borderId="0" applyNumberFormat="0" applyBorder="0" applyAlignment="0" applyProtection="0"/>
    <xf numFmtId="0" fontId="1" fillId="120" borderId="0"/>
    <xf numFmtId="0" fontId="1" fillId="120" borderId="0"/>
    <xf numFmtId="0" fontId="1" fillId="120" borderId="0"/>
    <xf numFmtId="0" fontId="1" fillId="120" borderId="0"/>
    <xf numFmtId="0" fontId="1" fillId="120" borderId="0"/>
    <xf numFmtId="0" fontId="17" fillId="119" borderId="0"/>
    <xf numFmtId="0" fontId="17" fillId="14" borderId="0" applyNumberFormat="0" applyBorder="0" applyAlignment="0" applyProtection="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4" borderId="0" applyNumberFormat="0" applyBorder="0" applyAlignment="0" applyProtection="0"/>
    <xf numFmtId="0" fontId="158" fillId="121" borderId="0" applyNumberFormat="0" applyBorder="0" applyAlignment="0" applyProtection="0"/>
    <xf numFmtId="0" fontId="17" fillId="119" borderId="0"/>
    <xf numFmtId="0" fontId="17" fillId="119" borderId="0"/>
    <xf numFmtId="0" fontId="17" fillId="119" borderId="0"/>
    <xf numFmtId="0" fontId="17" fillId="119" borderId="0"/>
    <xf numFmtId="0" fontId="17" fillId="119" borderId="0"/>
    <xf numFmtId="0" fontId="159" fillId="120" borderId="0"/>
    <xf numFmtId="0" fontId="17" fillId="119" borderId="0"/>
    <xf numFmtId="0" fontId="159" fillId="120" borderId="0"/>
    <xf numFmtId="0" fontId="17" fillId="119" borderId="0"/>
    <xf numFmtId="0" fontId="159" fillId="120" borderId="0"/>
    <xf numFmtId="0" fontId="17" fillId="119" borderId="0"/>
    <xf numFmtId="0" fontId="159" fillId="120" borderId="0"/>
    <xf numFmtId="0" fontId="159" fillId="120" borderId="0"/>
    <xf numFmtId="0" fontId="17" fillId="119" borderId="0"/>
    <xf numFmtId="0" fontId="17" fillId="119" borderId="0"/>
    <xf numFmtId="0" fontId="17" fillId="119" borderId="0"/>
    <xf numFmtId="0" fontId="17" fillId="119" borderId="0"/>
    <xf numFmtId="0" fontId="17" fillId="119" borderId="0"/>
    <xf numFmtId="0" fontId="17" fillId="14" borderId="0" applyNumberFormat="0" applyBorder="0" applyAlignment="0" applyProtection="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7" fillId="119" borderId="0"/>
    <xf numFmtId="0" fontId="159" fillId="120" borderId="0"/>
    <xf numFmtId="0" fontId="17" fillId="119" borderId="0"/>
    <xf numFmtId="0" fontId="17" fillId="119" borderId="0"/>
    <xf numFmtId="0" fontId="159" fillId="120" borderId="0"/>
    <xf numFmtId="0" fontId="159" fillId="120" borderId="0"/>
    <xf numFmtId="0" fontId="17" fillId="119" borderId="0"/>
    <xf numFmtId="0" fontId="17" fillId="119" borderId="0"/>
    <xf numFmtId="0" fontId="79" fillId="120" borderId="0"/>
    <xf numFmtId="0" fontId="17" fillId="119" borderId="0"/>
    <xf numFmtId="0" fontId="160" fillId="91" borderId="0" applyNumberFormat="0" applyBorder="0" applyAlignment="0" applyProtection="0"/>
    <xf numFmtId="0" fontId="17" fillId="119" borderId="0"/>
    <xf numFmtId="0" fontId="17" fillId="119" borderId="0"/>
    <xf numFmtId="0" fontId="17" fillId="119"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57" fillId="15" borderId="0" applyNumberFormat="0" applyBorder="0" applyAlignment="0" applyProtection="0"/>
    <xf numFmtId="0" fontId="17" fillId="15"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 fillId="122" borderId="0"/>
    <xf numFmtId="0" fontId="1" fillId="122" borderId="0"/>
    <xf numFmtId="0" fontId="1" fillId="122" borderId="0"/>
    <xf numFmtId="0" fontId="1" fillId="122" borderId="0"/>
    <xf numFmtId="0" fontId="1" fillId="122" borderId="0"/>
    <xf numFmtId="0" fontId="17" fillId="36" borderId="0"/>
    <xf numFmtId="0" fontId="17" fillId="15" borderId="0" applyNumberFormat="0" applyBorder="0" applyAlignment="0" applyProtection="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15" borderId="0" applyNumberFormat="0" applyBorder="0" applyAlignment="0" applyProtection="0"/>
    <xf numFmtId="0" fontId="158" fillId="33" borderId="0" applyNumberFormat="0" applyBorder="0" applyAlignment="0" applyProtection="0"/>
    <xf numFmtId="0" fontId="17" fillId="34" borderId="0" applyNumberFormat="0" applyBorder="0" applyAlignment="0" applyProtection="0"/>
    <xf numFmtId="0" fontId="17" fillId="36" borderId="0"/>
    <xf numFmtId="0" fontId="17" fillId="36" borderId="0"/>
    <xf numFmtId="0" fontId="17" fillId="36" borderId="0"/>
    <xf numFmtId="0" fontId="17" fillId="36" borderId="0"/>
    <xf numFmtId="0" fontId="17" fillId="36" borderId="0"/>
    <xf numFmtId="0" fontId="159" fillId="122" borderId="0"/>
    <xf numFmtId="0" fontId="17" fillId="36" borderId="0"/>
    <xf numFmtId="0" fontId="159" fillId="122" borderId="0"/>
    <xf numFmtId="0" fontId="17" fillId="36" borderId="0"/>
    <xf numFmtId="0" fontId="159" fillId="122" borderId="0"/>
    <xf numFmtId="0" fontId="17" fillId="36" borderId="0"/>
    <xf numFmtId="0" fontId="159" fillId="122" borderId="0"/>
    <xf numFmtId="0" fontId="159" fillId="122" borderId="0"/>
    <xf numFmtId="0" fontId="17" fillId="36" borderId="0"/>
    <xf numFmtId="0" fontId="17" fillId="36" borderId="0"/>
    <xf numFmtId="0" fontId="17" fillId="36" borderId="0"/>
    <xf numFmtId="0" fontId="17" fillId="36" borderId="0"/>
    <xf numFmtId="0" fontId="17" fillId="36" borderId="0"/>
    <xf numFmtId="0" fontId="17" fillId="15" borderId="0" applyNumberFormat="0" applyBorder="0" applyAlignment="0" applyProtection="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7" fillId="36" borderId="0"/>
    <xf numFmtId="0" fontId="159" fillId="122" borderId="0"/>
    <xf numFmtId="0" fontId="17" fillId="36" borderId="0"/>
    <xf numFmtId="0" fontId="17" fillId="36" borderId="0"/>
    <xf numFmtId="0" fontId="159" fillId="122" borderId="0"/>
    <xf numFmtId="0" fontId="159" fillId="122" borderId="0"/>
    <xf numFmtId="0" fontId="17" fillId="36" borderId="0"/>
    <xf numFmtId="0" fontId="17" fillId="36" borderId="0"/>
    <xf numFmtId="0" fontId="79" fillId="122" borderId="0"/>
    <xf numFmtId="0" fontId="17" fillId="36" borderId="0"/>
    <xf numFmtId="0" fontId="160" fillId="95" borderId="0" applyNumberFormat="0" applyBorder="0" applyAlignment="0" applyProtection="0"/>
    <xf numFmtId="0" fontId="17" fillId="36" borderId="0"/>
    <xf numFmtId="0" fontId="17" fillId="36" borderId="0"/>
    <xf numFmtId="0" fontId="17" fillId="36" borderId="0"/>
    <xf numFmtId="0" fontId="17" fillId="123" borderId="0" applyNumberFormat="0" applyBorder="0" applyAlignment="0" applyProtection="0"/>
    <xf numFmtId="0" fontId="17" fillId="124" borderId="0"/>
    <xf numFmtId="0" fontId="17" fillId="15" borderId="0" applyNumberFormat="0" applyBorder="0" applyAlignment="0" applyProtection="0"/>
    <xf numFmtId="0" fontId="17" fillId="36" borderId="0"/>
    <xf numFmtId="0" fontId="17" fillId="12" borderId="0" applyNumberFormat="0" applyBorder="0" applyAlignment="0" applyProtection="0"/>
    <xf numFmtId="0" fontId="17" fillId="111" borderId="0"/>
    <xf numFmtId="0" fontId="17" fillId="28" borderId="0" applyNumberFormat="0" applyBorder="0" applyAlignment="0" applyProtection="0"/>
    <xf numFmtId="0" fontId="17" fillId="30" borderId="0"/>
    <xf numFmtId="0" fontId="17" fillId="123" borderId="0" applyNumberFormat="0" applyBorder="0" applyAlignment="0" applyProtection="0"/>
    <xf numFmtId="0" fontId="17" fillId="124" borderId="0"/>
    <xf numFmtId="0" fontId="17" fillId="15" borderId="0" applyNumberFormat="0" applyBorder="0" applyAlignment="0" applyProtection="0"/>
    <xf numFmtId="0" fontId="17" fillId="36" borderId="0"/>
    <xf numFmtId="164" fontId="6" fillId="0" borderId="0" applyFont="0" applyFill="0" applyBorder="0" applyProtection="0">
      <alignment horizontal="right"/>
    </xf>
    <xf numFmtId="164" fontId="6" fillId="0" borderId="0" applyFont="0" applyFill="0" applyBorder="0" applyProtection="0">
      <alignment horizontal="right"/>
    </xf>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57" fillId="16" borderId="0" applyNumberFormat="0" applyBorder="0" applyAlignment="0" applyProtection="0"/>
    <xf numFmtId="0" fontId="17" fillId="16"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 fillId="126" borderId="0"/>
    <xf numFmtId="0" fontId="1" fillId="126" borderId="0"/>
    <xf numFmtId="0" fontId="1" fillId="126" borderId="0"/>
    <xf numFmtId="0" fontId="1" fillId="126" borderId="0"/>
    <xf numFmtId="0" fontId="1" fillId="126" borderId="0"/>
    <xf numFmtId="0" fontId="17" fillId="125" borderId="0"/>
    <xf numFmtId="0" fontId="17" fillId="16" borderId="0" applyNumberFormat="0" applyBorder="0" applyAlignment="0" applyProtection="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6" borderId="0" applyNumberFormat="0" applyBorder="0" applyAlignment="0" applyProtection="0"/>
    <xf numFmtId="0" fontId="158" fillId="34" borderId="0" applyNumberFormat="0" applyBorder="0" applyAlignment="0" applyProtection="0"/>
    <xf numFmtId="0" fontId="17" fillId="14" borderId="0" applyNumberFormat="0" applyBorder="0" applyAlignment="0" applyProtection="0"/>
    <xf numFmtId="0" fontId="17" fillId="125" borderId="0"/>
    <xf numFmtId="0" fontId="17" fillId="125" borderId="0"/>
    <xf numFmtId="0" fontId="17" fillId="125" borderId="0"/>
    <xf numFmtId="0" fontId="17" fillId="125" borderId="0"/>
    <xf numFmtId="0" fontId="17" fillId="125" borderId="0"/>
    <xf numFmtId="0" fontId="159" fillId="30" borderId="0"/>
    <xf numFmtId="0" fontId="17" fillId="125" borderId="0"/>
    <xf numFmtId="0" fontId="159" fillId="30" borderId="0"/>
    <xf numFmtId="0" fontId="17" fillId="125" borderId="0"/>
    <xf numFmtId="0" fontId="159" fillId="30" borderId="0"/>
    <xf numFmtId="0" fontId="17" fillId="125" borderId="0"/>
    <xf numFmtId="0" fontId="159" fillId="30" borderId="0"/>
    <xf numFmtId="0" fontId="159" fillId="30" borderId="0"/>
    <xf numFmtId="0" fontId="17" fillId="125" borderId="0"/>
    <xf numFmtId="0" fontId="17" fillId="125" borderId="0"/>
    <xf numFmtId="0" fontId="17" fillId="125" borderId="0"/>
    <xf numFmtId="0" fontId="17" fillId="125" borderId="0"/>
    <xf numFmtId="0" fontId="17" fillId="125" borderId="0"/>
    <xf numFmtId="0" fontId="17" fillId="16" borderId="0" applyNumberFormat="0" applyBorder="0" applyAlignment="0" applyProtection="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59" fillId="30" borderId="0"/>
    <xf numFmtId="0" fontId="17" fillId="125" borderId="0"/>
    <xf numFmtId="0" fontId="159" fillId="30" borderId="0"/>
    <xf numFmtId="0" fontId="17" fillId="125" borderId="0"/>
    <xf numFmtId="0" fontId="159" fillId="30" borderId="0"/>
    <xf numFmtId="0" fontId="159" fillId="30" borderId="0"/>
    <xf numFmtId="0" fontId="17" fillId="125" borderId="0"/>
    <xf numFmtId="0" fontId="17" fillId="125" borderId="0"/>
    <xf numFmtId="0" fontId="79" fillId="126" borderId="0"/>
    <xf numFmtId="0" fontId="17" fillId="125" borderId="0"/>
    <xf numFmtId="0" fontId="160" fillId="76" borderId="0" applyNumberFormat="0" applyBorder="0" applyAlignment="0" applyProtection="0"/>
    <xf numFmtId="0" fontId="17" fillId="125" borderId="0"/>
    <xf numFmtId="0" fontId="17" fillId="125" borderId="0"/>
    <xf numFmtId="0" fontId="17" fillId="125"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57" fillId="17" borderId="0" applyNumberFormat="0" applyBorder="0" applyAlignment="0" applyProtection="0"/>
    <xf numFmtId="0" fontId="17" fillId="17"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 fillId="127" borderId="0"/>
    <xf numFmtId="0" fontId="1" fillId="127" borderId="0"/>
    <xf numFmtId="0" fontId="1" fillId="127" borderId="0"/>
    <xf numFmtId="0" fontId="1" fillId="127" borderId="0"/>
    <xf numFmtId="0" fontId="1" fillId="127" borderId="0"/>
    <xf numFmtId="0" fontId="17" fillId="41" borderId="0"/>
    <xf numFmtId="0" fontId="17" fillId="17" borderId="0" applyNumberFormat="0" applyBorder="0" applyAlignment="0" applyProtection="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17" borderId="0" applyNumberFormat="0" applyBorder="0" applyAlignment="0" applyProtection="0"/>
    <xf numFmtId="0" fontId="158" fillId="27" borderId="0" applyNumberFormat="0" applyBorder="0" applyAlignment="0" applyProtection="0"/>
    <xf numFmtId="0" fontId="17" fillId="41" borderId="0"/>
    <xf numFmtId="0" fontId="17" fillId="41" borderId="0"/>
    <xf numFmtId="0" fontId="17" fillId="41" borderId="0"/>
    <xf numFmtId="0" fontId="17" fillId="41" borderId="0"/>
    <xf numFmtId="0" fontId="17" fillId="41" borderId="0"/>
    <xf numFmtId="0" fontId="159" fillId="127" borderId="0"/>
    <xf numFmtId="0" fontId="17" fillId="41" borderId="0"/>
    <xf numFmtId="0" fontId="159" fillId="127" borderId="0"/>
    <xf numFmtId="0" fontId="17" fillId="41" borderId="0"/>
    <xf numFmtId="0" fontId="159" fillId="127" borderId="0"/>
    <xf numFmtId="0" fontId="17" fillId="41" borderId="0"/>
    <xf numFmtId="0" fontId="159" fillId="127" borderId="0"/>
    <xf numFmtId="0" fontId="159" fillId="127" borderId="0"/>
    <xf numFmtId="0" fontId="17" fillId="41" borderId="0"/>
    <xf numFmtId="0" fontId="17" fillId="41" borderId="0"/>
    <xf numFmtId="0" fontId="17" fillId="41" borderId="0"/>
    <xf numFmtId="0" fontId="17" fillId="41" borderId="0"/>
    <xf numFmtId="0" fontId="17" fillId="41" borderId="0"/>
    <xf numFmtId="0" fontId="17" fillId="17" borderId="0" applyNumberFormat="0" applyBorder="0" applyAlignment="0" applyProtection="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7" fillId="41" borderId="0"/>
    <xf numFmtId="0" fontId="159" fillId="127" borderId="0"/>
    <xf numFmtId="0" fontId="17" fillId="41" borderId="0"/>
    <xf numFmtId="0" fontId="17" fillId="41" borderId="0"/>
    <xf numFmtId="0" fontId="159" fillId="127" borderId="0"/>
    <xf numFmtId="0" fontId="159" fillId="127" borderId="0"/>
    <xf numFmtId="0" fontId="17" fillId="41" borderId="0"/>
    <xf numFmtId="0" fontId="17" fillId="41" borderId="0"/>
    <xf numFmtId="0" fontId="79" fillId="127" borderId="0"/>
    <xf numFmtId="0" fontId="17" fillId="41" borderId="0"/>
    <xf numFmtId="0" fontId="160" fillId="80" borderId="0" applyNumberFormat="0" applyBorder="0" applyAlignment="0" applyProtection="0"/>
    <xf numFmtId="0" fontId="17" fillId="41" borderId="0"/>
    <xf numFmtId="0" fontId="17" fillId="41" borderId="0"/>
    <xf numFmtId="0" fontId="17" fillId="41"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57" fillId="18" borderId="0" applyNumberFormat="0" applyBorder="0" applyAlignment="0" applyProtection="0"/>
    <xf numFmtId="0" fontId="17" fillId="1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 fillId="128" borderId="0"/>
    <xf numFmtId="0" fontId="1" fillId="128" borderId="0"/>
    <xf numFmtId="0" fontId="1" fillId="128" borderId="0"/>
    <xf numFmtId="0" fontId="1" fillId="128" borderId="0"/>
    <xf numFmtId="0" fontId="1" fillId="128" borderId="0"/>
    <xf numFmtId="0" fontId="17" fillId="48" borderId="0"/>
    <xf numFmtId="0" fontId="17" fillId="18" borderId="0" applyNumberFormat="0" applyBorder="0" applyAlignment="0" applyProtection="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18" borderId="0" applyNumberFormat="0" applyBorder="0" applyAlignment="0" applyProtection="0"/>
    <xf numFmtId="0" fontId="158" fillId="28" borderId="0" applyNumberFormat="0" applyBorder="0" applyAlignment="0" applyProtection="0"/>
    <xf numFmtId="0" fontId="17" fillId="33" borderId="0" applyNumberFormat="0" applyBorder="0" applyAlignment="0" applyProtection="0"/>
    <xf numFmtId="0" fontId="17" fillId="48" borderId="0"/>
    <xf numFmtId="0" fontId="17" fillId="48" borderId="0"/>
    <xf numFmtId="0" fontId="17" fillId="48" borderId="0"/>
    <xf numFmtId="0" fontId="17" fillId="48" borderId="0"/>
    <xf numFmtId="0" fontId="17" fillId="48" borderId="0"/>
    <xf numFmtId="0" fontId="159" fillId="38" borderId="0"/>
    <xf numFmtId="0" fontId="17" fillId="48" borderId="0"/>
    <xf numFmtId="0" fontId="159" fillId="38" borderId="0"/>
    <xf numFmtId="0" fontId="17" fillId="48" borderId="0"/>
    <xf numFmtId="0" fontId="159" fillId="38" borderId="0"/>
    <xf numFmtId="0" fontId="17" fillId="48" borderId="0"/>
    <xf numFmtId="0" fontId="159" fillId="38" borderId="0"/>
    <xf numFmtId="0" fontId="159" fillId="38" borderId="0"/>
    <xf numFmtId="0" fontId="17" fillId="48" borderId="0"/>
    <xf numFmtId="0" fontId="17" fillId="48" borderId="0"/>
    <xf numFmtId="0" fontId="17" fillId="48" borderId="0"/>
    <xf numFmtId="0" fontId="17" fillId="48" borderId="0"/>
    <xf numFmtId="0" fontId="17" fillId="48" borderId="0"/>
    <xf numFmtId="0" fontId="17" fillId="18" borderId="0" applyNumberFormat="0" applyBorder="0" applyAlignment="0" applyProtection="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7" fillId="48" borderId="0"/>
    <xf numFmtId="0" fontId="159" fillId="38" borderId="0"/>
    <xf numFmtId="0" fontId="17" fillId="48" borderId="0"/>
    <xf numFmtId="0" fontId="159" fillId="38" borderId="0"/>
    <xf numFmtId="0" fontId="17" fillId="48" borderId="0"/>
    <xf numFmtId="0" fontId="159" fillId="38" borderId="0"/>
    <xf numFmtId="0" fontId="159" fillId="38" borderId="0"/>
    <xf numFmtId="0" fontId="17" fillId="48" borderId="0"/>
    <xf numFmtId="0" fontId="17" fillId="48" borderId="0"/>
    <xf numFmtId="0" fontId="79" fillId="128" borderId="0"/>
    <xf numFmtId="0" fontId="17" fillId="48" borderId="0"/>
    <xf numFmtId="0" fontId="160" fillId="84" borderId="0" applyNumberFormat="0" applyBorder="0" applyAlignment="0" applyProtection="0"/>
    <xf numFmtId="0" fontId="17" fillId="48" borderId="0"/>
    <xf numFmtId="0" fontId="17" fillId="48" borderId="0"/>
    <xf numFmtId="0" fontId="17" fillId="48"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57" fillId="13" borderId="0" applyNumberFormat="0" applyBorder="0" applyAlignment="0" applyProtection="0"/>
    <xf numFmtId="0" fontId="17" fillId="13" borderId="0" applyNumberFormat="0" applyBorder="0" applyAlignment="0" applyProtection="0"/>
    <xf numFmtId="0" fontId="157" fillId="116" borderId="0" applyNumberFormat="0" applyBorder="0" applyAlignment="0" applyProtection="0"/>
    <xf numFmtId="0" fontId="157" fillId="116" borderId="0" applyNumberFormat="0" applyBorder="0" applyAlignment="0" applyProtection="0"/>
    <xf numFmtId="0" fontId="1" fillId="129" borderId="0"/>
    <xf numFmtId="0" fontId="1" fillId="129" borderId="0"/>
    <xf numFmtId="0" fontId="1" fillId="129" borderId="0"/>
    <xf numFmtId="0" fontId="1" fillId="129" borderId="0"/>
    <xf numFmtId="0" fontId="1" fillId="129" borderId="0"/>
    <xf numFmtId="0" fontId="17" fillId="116" borderId="0"/>
    <xf numFmtId="0" fontId="17" fillId="13" borderId="0" applyNumberFormat="0" applyBorder="0" applyAlignment="0" applyProtection="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3" borderId="0" applyNumberFormat="0" applyBorder="0" applyAlignment="0" applyProtection="0"/>
    <xf numFmtId="0" fontId="158" fillId="118" borderId="0" applyNumberFormat="0" applyBorder="0" applyAlignment="0" applyProtection="0"/>
    <xf numFmtId="0" fontId="17" fillId="11" borderId="0" applyNumberFormat="0" applyBorder="0" applyAlignment="0" applyProtection="0"/>
    <xf numFmtId="0" fontId="17" fillId="116" borderId="0"/>
    <xf numFmtId="0" fontId="17" fillId="116" borderId="0"/>
    <xf numFmtId="0" fontId="17" fillId="116" borderId="0"/>
    <xf numFmtId="0" fontId="17" fillId="116" borderId="0"/>
    <xf numFmtId="0" fontId="17" fillId="116" borderId="0"/>
    <xf numFmtId="0" fontId="159" fillId="30" borderId="0"/>
    <xf numFmtId="0" fontId="17" fillId="116" borderId="0"/>
    <xf numFmtId="0" fontId="159" fillId="30" borderId="0"/>
    <xf numFmtId="0" fontId="17" fillId="116" borderId="0"/>
    <xf numFmtId="0" fontId="159" fillId="30" borderId="0"/>
    <xf numFmtId="0" fontId="17" fillId="116" borderId="0"/>
    <xf numFmtId="0" fontId="159" fillId="30" borderId="0"/>
    <xf numFmtId="0" fontId="159" fillId="30" borderId="0"/>
    <xf numFmtId="0" fontId="17" fillId="116" borderId="0"/>
    <xf numFmtId="0" fontId="17" fillId="116" borderId="0"/>
    <xf numFmtId="0" fontId="17" fillId="116" borderId="0"/>
    <xf numFmtId="0" fontId="17" fillId="116" borderId="0"/>
    <xf numFmtId="0" fontId="17" fillId="116" borderId="0"/>
    <xf numFmtId="0" fontId="17" fillId="13" borderId="0" applyNumberFormat="0" applyBorder="0" applyAlignment="0" applyProtection="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7" fillId="116" borderId="0"/>
    <xf numFmtId="0" fontId="159" fillId="30" borderId="0"/>
    <xf numFmtId="0" fontId="17" fillId="116" borderId="0"/>
    <xf numFmtId="0" fontId="159" fillId="30" borderId="0"/>
    <xf numFmtId="0" fontId="17" fillId="116" borderId="0"/>
    <xf numFmtId="0" fontId="159" fillId="30" borderId="0"/>
    <xf numFmtId="0" fontId="159" fillId="30" borderId="0"/>
    <xf numFmtId="0" fontId="17" fillId="116" borderId="0"/>
    <xf numFmtId="0" fontId="17" fillId="116" borderId="0"/>
    <xf numFmtId="0" fontId="79" fillId="129" borderId="0"/>
    <xf numFmtId="0" fontId="17" fillId="116" borderId="0"/>
    <xf numFmtId="0" fontId="160" fillId="88" borderId="0" applyNumberFormat="0" applyBorder="0" applyAlignment="0" applyProtection="0"/>
    <xf numFmtId="0" fontId="17" fillId="116" borderId="0"/>
    <xf numFmtId="0" fontId="17" fillId="116" borderId="0"/>
    <xf numFmtId="0" fontId="17" fillId="116"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57" fillId="16" borderId="0" applyNumberFormat="0" applyBorder="0" applyAlignment="0" applyProtection="0"/>
    <xf numFmtId="0" fontId="17" fillId="16"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 fillId="130" borderId="0"/>
    <xf numFmtId="0" fontId="1" fillId="130" borderId="0"/>
    <xf numFmtId="0" fontId="1" fillId="130" borderId="0"/>
    <xf numFmtId="0" fontId="1" fillId="130" borderId="0"/>
    <xf numFmtId="0" fontId="1" fillId="130" borderId="0"/>
    <xf numFmtId="0" fontId="17" fillId="125" borderId="0"/>
    <xf numFmtId="0" fontId="17" fillId="16" borderId="0" applyNumberFormat="0" applyBorder="0" applyAlignment="0" applyProtection="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6" borderId="0" applyNumberFormat="0" applyBorder="0" applyAlignment="0" applyProtection="0"/>
    <xf numFmtId="0" fontId="158" fillId="121" borderId="0" applyNumberFormat="0" applyBorder="0" applyAlignment="0" applyProtection="0"/>
    <xf numFmtId="0" fontId="17" fillId="14" borderId="0" applyNumberFormat="0" applyBorder="0" applyAlignment="0" applyProtection="0"/>
    <xf numFmtId="0" fontId="17" fillId="125" borderId="0"/>
    <xf numFmtId="0" fontId="17" fillId="125" borderId="0"/>
    <xf numFmtId="0" fontId="17" fillId="125" borderId="0"/>
    <xf numFmtId="0" fontId="17" fillId="125" borderId="0"/>
    <xf numFmtId="0" fontId="17" fillId="125" borderId="0"/>
    <xf numFmtId="0" fontId="159" fillId="130" borderId="0"/>
    <xf numFmtId="0" fontId="17" fillId="125" borderId="0"/>
    <xf numFmtId="0" fontId="159" fillId="130" borderId="0"/>
    <xf numFmtId="0" fontId="17" fillId="125" borderId="0"/>
    <xf numFmtId="0" fontId="159" fillId="130" borderId="0"/>
    <xf numFmtId="0" fontId="17" fillId="125" borderId="0"/>
    <xf numFmtId="0" fontId="159" fillId="130" borderId="0"/>
    <xf numFmtId="0" fontId="159" fillId="130" borderId="0"/>
    <xf numFmtId="0" fontId="17" fillId="125" borderId="0"/>
    <xf numFmtId="0" fontId="17" fillId="125" borderId="0"/>
    <xf numFmtId="0" fontId="17" fillId="125" borderId="0"/>
    <xf numFmtId="0" fontId="17" fillId="125" borderId="0"/>
    <xf numFmtId="0" fontId="17" fillId="125" borderId="0"/>
    <xf numFmtId="0" fontId="17" fillId="16" borderId="0" applyNumberFormat="0" applyBorder="0" applyAlignment="0" applyProtection="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7" fillId="125" borderId="0"/>
    <xf numFmtId="0" fontId="159" fillId="130" borderId="0"/>
    <xf numFmtId="0" fontId="17" fillId="125" borderId="0"/>
    <xf numFmtId="0" fontId="17" fillId="125" borderId="0"/>
    <xf numFmtId="0" fontId="159" fillId="130" borderId="0"/>
    <xf numFmtId="0" fontId="159" fillId="130" borderId="0"/>
    <xf numFmtId="0" fontId="17" fillId="125" borderId="0"/>
    <xf numFmtId="0" fontId="17" fillId="125" borderId="0"/>
    <xf numFmtId="0" fontId="79" fillId="130" borderId="0"/>
    <xf numFmtId="0" fontId="17" fillId="125" borderId="0"/>
    <xf numFmtId="0" fontId="160" fillId="92" borderId="0" applyNumberFormat="0" applyBorder="0" applyAlignment="0" applyProtection="0"/>
    <xf numFmtId="0" fontId="17" fillId="125" borderId="0"/>
    <xf numFmtId="0" fontId="17" fillId="125" borderId="0"/>
    <xf numFmtId="0" fontId="17" fillId="125"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57" fillId="19" borderId="0" applyNumberFormat="0" applyBorder="0" applyAlignment="0" applyProtection="0"/>
    <xf numFmtId="0" fontId="17" fillId="1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 fillId="131" borderId="0"/>
    <xf numFmtId="0" fontId="1" fillId="131" borderId="0"/>
    <xf numFmtId="0" fontId="1" fillId="131" borderId="0"/>
    <xf numFmtId="0" fontId="1" fillId="131" borderId="0"/>
    <xf numFmtId="0" fontId="1" fillId="131" borderId="0"/>
    <xf numFmtId="0" fontId="17" fillId="43" borderId="0"/>
    <xf numFmtId="0" fontId="17" fillId="19" borderId="0" applyNumberFormat="0" applyBorder="0" applyAlignment="0" applyProtection="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19" borderId="0" applyNumberFormat="0" applyBorder="0" applyAlignment="0" applyProtection="0"/>
    <xf numFmtId="0" fontId="158" fillId="33" borderId="0" applyNumberFormat="0" applyBorder="0" applyAlignment="0" applyProtection="0"/>
    <xf numFmtId="0" fontId="17" fillId="34" borderId="0" applyNumberFormat="0" applyBorder="0" applyAlignment="0" applyProtection="0"/>
    <xf numFmtId="0" fontId="17" fillId="43" borderId="0"/>
    <xf numFmtId="0" fontId="17" fillId="43" borderId="0"/>
    <xf numFmtId="0" fontId="17" fillId="43" borderId="0"/>
    <xf numFmtId="0" fontId="17" fillId="43" borderId="0"/>
    <xf numFmtId="0" fontId="17" fillId="43" borderId="0"/>
    <xf numFmtId="0" fontId="159" fillId="36" borderId="0"/>
    <xf numFmtId="0" fontId="17" fillId="43" borderId="0"/>
    <xf numFmtId="0" fontId="159" fillId="36" borderId="0"/>
    <xf numFmtId="0" fontId="17" fillId="43" borderId="0"/>
    <xf numFmtId="0" fontId="159" fillId="36" borderId="0"/>
    <xf numFmtId="0" fontId="17" fillId="43" borderId="0"/>
    <xf numFmtId="0" fontId="159" fillId="36" borderId="0"/>
    <xf numFmtId="0" fontId="159" fillId="36" borderId="0"/>
    <xf numFmtId="0" fontId="17" fillId="43" borderId="0"/>
    <xf numFmtId="0" fontId="17" fillId="43" borderId="0"/>
    <xf numFmtId="0" fontId="17" fillId="43" borderId="0"/>
    <xf numFmtId="0" fontId="17" fillId="43" borderId="0"/>
    <xf numFmtId="0" fontId="17" fillId="43" borderId="0"/>
    <xf numFmtId="0" fontId="17" fillId="19" borderId="0" applyNumberFormat="0" applyBorder="0" applyAlignment="0" applyProtection="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7" fillId="43" borderId="0"/>
    <xf numFmtId="0" fontId="159" fillId="36" borderId="0"/>
    <xf numFmtId="0" fontId="17" fillId="43" borderId="0"/>
    <xf numFmtId="0" fontId="159" fillId="36" borderId="0"/>
    <xf numFmtId="0" fontId="17" fillId="43" borderId="0"/>
    <xf numFmtId="0" fontId="159" fillId="36" borderId="0"/>
    <xf numFmtId="0" fontId="159" fillId="36" borderId="0"/>
    <xf numFmtId="0" fontId="17" fillId="43" borderId="0"/>
    <xf numFmtId="0" fontId="17" fillId="43" borderId="0"/>
    <xf numFmtId="0" fontId="79" fillId="131" borderId="0"/>
    <xf numFmtId="0" fontId="17" fillId="43" borderId="0"/>
    <xf numFmtId="0" fontId="160" fillId="96" borderId="0" applyNumberFormat="0" applyBorder="0" applyAlignment="0" applyProtection="0"/>
    <xf numFmtId="0" fontId="17" fillId="43" borderId="0"/>
    <xf numFmtId="0" fontId="17" fillId="43" borderId="0"/>
    <xf numFmtId="0" fontId="17" fillId="43" borderId="0"/>
    <xf numFmtId="0" fontId="17" fillId="121" borderId="0" applyNumberFormat="0" applyBorder="0" applyAlignment="0" applyProtection="0"/>
    <xf numFmtId="0" fontId="17" fillId="132" borderId="0"/>
    <xf numFmtId="0" fontId="17" fillId="15" borderId="0" applyNumberFormat="0" applyBorder="0" applyAlignment="0" applyProtection="0"/>
    <xf numFmtId="0" fontId="17" fillId="36" borderId="0"/>
    <xf numFmtId="0" fontId="17" fillId="12" borderId="0" applyNumberFormat="0" applyBorder="0" applyAlignment="0" applyProtection="0"/>
    <xf numFmtId="0" fontId="17" fillId="111" borderId="0"/>
    <xf numFmtId="0" fontId="17" fillId="28" borderId="0" applyNumberFormat="0" applyBorder="0" applyAlignment="0" applyProtection="0"/>
    <xf numFmtId="0" fontId="17" fillId="30" borderId="0"/>
    <xf numFmtId="0" fontId="17" fillId="121" borderId="0" applyNumberFormat="0" applyBorder="0" applyAlignment="0" applyProtection="0"/>
    <xf numFmtId="0" fontId="17" fillId="132" borderId="0"/>
    <xf numFmtId="0" fontId="17" fillId="15" borderId="0" applyNumberFormat="0" applyBorder="0" applyAlignment="0" applyProtection="0"/>
    <xf numFmtId="0" fontId="17" fillId="36" borderId="0"/>
    <xf numFmtId="166" fontId="6" fillId="0" borderId="0" applyFont="0" applyFill="0" applyBorder="0" applyProtection="0">
      <alignment horizontal="right"/>
    </xf>
    <xf numFmtId="166" fontId="6" fillId="0" borderId="0" applyFont="0" applyFill="0" applyBorder="0" applyProtection="0">
      <alignment horizontal="right"/>
    </xf>
    <xf numFmtId="0" fontId="161" fillId="0" borderId="0" applyNumberFormat="0" applyFont="0" applyFill="0" applyBorder="0" applyProtection="0">
      <alignment horizontal="left" vertical="center" indent="5"/>
    </xf>
    <xf numFmtId="0" fontId="161" fillId="0" borderId="0" applyNumberFormat="0" applyFont="0" applyFill="0" applyBorder="0" applyProtection="0">
      <alignment horizontal="left" vertical="center" indent="5"/>
    </xf>
    <xf numFmtId="49" fontId="162" fillId="0" borderId="50">
      <alignment horizontal="left" vertical="center" indent="5"/>
    </xf>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163" fillId="20" borderId="0" applyNumberFormat="0" applyBorder="0" applyAlignment="0" applyProtection="0"/>
    <xf numFmtId="0" fontId="23" fillId="20" borderId="0" applyNumberFormat="0" applyBorder="0" applyAlignment="0" applyProtection="0"/>
    <xf numFmtId="0" fontId="163" fillId="133" borderId="0" applyNumberFormat="0" applyBorder="0" applyAlignment="0" applyProtection="0"/>
    <xf numFmtId="0" fontId="163" fillId="133" borderId="0" applyNumberFormat="0" applyBorder="0" applyAlignment="0" applyProtection="0"/>
    <xf numFmtId="0" fontId="119" fillId="134" borderId="0"/>
    <xf numFmtId="0" fontId="23" fillId="133" borderId="0"/>
    <xf numFmtId="0" fontId="23" fillId="20" borderId="0" applyNumberFormat="0" applyBorder="0" applyAlignment="0" applyProtection="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20" borderId="0" applyNumberFormat="0" applyBorder="0" applyAlignment="0" applyProtection="0"/>
    <xf numFmtId="0" fontId="23" fillId="34" borderId="0" applyNumberFormat="0" applyBorder="0" applyAlignment="0" applyProtection="0"/>
    <xf numFmtId="0" fontId="23" fillId="14" borderId="0" applyNumberFormat="0" applyBorder="0" applyAlignment="0" applyProtection="0"/>
    <xf numFmtId="0" fontId="23" fillId="133" borderId="0"/>
    <xf numFmtId="0" fontId="23" fillId="133" borderId="0"/>
    <xf numFmtId="0" fontId="23" fillId="133" borderId="0"/>
    <xf numFmtId="0" fontId="23" fillId="133" borderId="0"/>
    <xf numFmtId="0" fontId="23" fillId="133" borderId="0"/>
    <xf numFmtId="0" fontId="164" fillId="135" borderId="0"/>
    <xf numFmtId="0" fontId="23" fillId="133" borderId="0"/>
    <xf numFmtId="0" fontId="164" fillId="135" borderId="0"/>
    <xf numFmtId="0" fontId="23" fillId="133" borderId="0"/>
    <xf numFmtId="0" fontId="23" fillId="133" borderId="0"/>
    <xf numFmtId="0" fontId="164" fillId="135" borderId="0"/>
    <xf numFmtId="0" fontId="23" fillId="133" borderId="0"/>
    <xf numFmtId="0" fontId="23" fillId="133" borderId="0"/>
    <xf numFmtId="0" fontId="23" fillId="133" borderId="0"/>
    <xf numFmtId="0" fontId="23" fillId="133" borderId="0"/>
    <xf numFmtId="0" fontId="23" fillId="133" borderId="0"/>
    <xf numFmtId="0" fontId="23" fillId="20" borderId="0" applyNumberFormat="0" applyBorder="0" applyAlignment="0" applyProtection="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23" fillId="133" borderId="0"/>
    <xf numFmtId="0" fontId="164" fillId="135" borderId="0"/>
    <xf numFmtId="0" fontId="23" fillId="133" borderId="0"/>
    <xf numFmtId="0" fontId="164" fillId="135" borderId="0"/>
    <xf numFmtId="0" fontId="23" fillId="133" borderId="0"/>
    <xf numFmtId="0" fontId="164" fillId="135" borderId="0"/>
    <xf numFmtId="0" fontId="23" fillId="133" borderId="0"/>
    <xf numFmtId="0" fontId="23" fillId="133" borderId="0"/>
    <xf numFmtId="0" fontId="165" fillId="134" borderId="0"/>
    <xf numFmtId="0" fontId="23" fillId="133" borderId="0"/>
    <xf numFmtId="0" fontId="166" fillId="77" borderId="0" applyNumberFormat="0" applyBorder="0" applyAlignment="0" applyProtection="0"/>
    <xf numFmtId="0" fontId="23" fillId="133" borderId="0"/>
    <xf numFmtId="0" fontId="23" fillId="133" borderId="0"/>
    <xf numFmtId="0" fontId="23" fillId="133"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163" fillId="17" borderId="0" applyNumberFormat="0" applyBorder="0" applyAlignment="0" applyProtection="0"/>
    <xf numFmtId="0" fontId="23" fillId="17"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19" fillId="136" borderId="0"/>
    <xf numFmtId="0" fontId="23" fillId="41" borderId="0"/>
    <xf numFmtId="0" fontId="23" fillId="17" borderId="0" applyNumberFormat="0" applyBorder="0" applyAlignment="0" applyProtection="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17" borderId="0" applyNumberFormat="0" applyBorder="0" applyAlignment="0" applyProtection="0"/>
    <xf numFmtId="0" fontId="23" fillId="27" borderId="0" applyNumberFormat="0" applyBorder="0" applyAlignment="0" applyProtection="0"/>
    <xf numFmtId="0" fontId="23" fillId="41" borderId="0"/>
    <xf numFmtId="0" fontId="23" fillId="41" borderId="0"/>
    <xf numFmtId="0" fontId="23" fillId="41" borderId="0"/>
    <xf numFmtId="0" fontId="23" fillId="41" borderId="0"/>
    <xf numFmtId="0" fontId="23" fillId="41" borderId="0"/>
    <xf numFmtId="0" fontId="164" fillId="136" borderId="0"/>
    <xf numFmtId="0" fontId="23" fillId="41" borderId="0"/>
    <xf numFmtId="0" fontId="164" fillId="136" borderId="0"/>
    <xf numFmtId="0" fontId="23" fillId="41" borderId="0"/>
    <xf numFmtId="0" fontId="23" fillId="41" borderId="0"/>
    <xf numFmtId="0" fontId="164" fillId="136" borderId="0"/>
    <xf numFmtId="0" fontId="23" fillId="41" borderId="0"/>
    <xf numFmtId="0" fontId="23" fillId="41" borderId="0"/>
    <xf numFmtId="0" fontId="23" fillId="41" borderId="0"/>
    <xf numFmtId="0" fontId="23" fillId="41" borderId="0"/>
    <xf numFmtId="0" fontId="23" fillId="41" borderId="0"/>
    <xf numFmtId="0" fontId="23" fillId="17" borderId="0" applyNumberFormat="0" applyBorder="0" applyAlignment="0" applyProtection="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23" fillId="41" borderId="0"/>
    <xf numFmtId="0" fontId="164" fillId="136" borderId="0"/>
    <xf numFmtId="0" fontId="23" fillId="41" borderId="0"/>
    <xf numFmtId="0" fontId="23" fillId="41" borderId="0"/>
    <xf numFmtId="0" fontId="164" fillId="136" borderId="0"/>
    <xf numFmtId="0" fontId="23" fillId="41" borderId="0"/>
    <xf numFmtId="0" fontId="23" fillId="41" borderId="0"/>
    <xf numFmtId="0" fontId="165" fillId="136" borderId="0"/>
    <xf numFmtId="0" fontId="23" fillId="41" borderId="0"/>
    <xf numFmtId="0" fontId="166" fillId="81" borderId="0" applyNumberFormat="0" applyBorder="0" applyAlignment="0" applyProtection="0"/>
    <xf numFmtId="0" fontId="23" fillId="41" borderId="0"/>
    <xf numFmtId="0" fontId="23" fillId="41" borderId="0"/>
    <xf numFmtId="0" fontId="23" fillId="41"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163" fillId="18" borderId="0" applyNumberFormat="0" applyBorder="0" applyAlignment="0" applyProtection="0"/>
    <xf numFmtId="0" fontId="23" fillId="1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19" fillId="137" borderId="0"/>
    <xf numFmtId="0" fontId="23" fillId="48" borderId="0"/>
    <xf numFmtId="0" fontId="23" fillId="18" borderId="0" applyNumberFormat="0" applyBorder="0" applyAlignment="0" applyProtection="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8" borderId="0"/>
    <xf numFmtId="0" fontId="23" fillId="48" borderId="0"/>
    <xf numFmtId="0" fontId="23" fillId="48" borderId="0"/>
    <xf numFmtId="0" fontId="23" fillId="48" borderId="0"/>
    <xf numFmtId="0" fontId="23" fillId="48" borderId="0"/>
    <xf numFmtId="0" fontId="164" fillId="38" borderId="0"/>
    <xf numFmtId="0" fontId="23" fillId="48" borderId="0"/>
    <xf numFmtId="0" fontId="164" fillId="38" borderId="0"/>
    <xf numFmtId="0" fontId="23" fillId="48" borderId="0"/>
    <xf numFmtId="0" fontId="23" fillId="48" borderId="0"/>
    <xf numFmtId="0" fontId="164" fillId="3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23" fillId="48" borderId="0"/>
    <xf numFmtId="0" fontId="164" fillId="38" borderId="0"/>
    <xf numFmtId="0" fontId="23" fillId="48" borderId="0"/>
    <xf numFmtId="0" fontId="164" fillId="38" borderId="0"/>
    <xf numFmtId="0" fontId="23" fillId="48" borderId="0"/>
    <xf numFmtId="0" fontId="164" fillId="38" borderId="0"/>
    <xf numFmtId="0" fontId="23" fillId="48" borderId="0"/>
    <xf numFmtId="0" fontId="23" fillId="48" borderId="0"/>
    <xf numFmtId="0" fontId="165" fillId="137" borderId="0"/>
    <xf numFmtId="0" fontId="23" fillId="48" borderId="0"/>
    <xf numFmtId="0" fontId="166" fillId="85" borderId="0" applyNumberFormat="0" applyBorder="0" applyAlignment="0" applyProtection="0"/>
    <xf numFmtId="0" fontId="23" fillId="48" borderId="0"/>
    <xf numFmtId="0" fontId="23" fillId="48" borderId="0"/>
    <xf numFmtId="0" fontId="23" fillId="4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163" fillId="21" borderId="0" applyNumberFormat="0" applyBorder="0" applyAlignment="0" applyProtection="0"/>
    <xf numFmtId="0" fontId="23" fillId="21" borderId="0" applyNumberFormat="0" applyBorder="0" applyAlignment="0" applyProtection="0"/>
    <xf numFmtId="0" fontId="163" fillId="138" borderId="0" applyNumberFormat="0" applyBorder="0" applyAlignment="0" applyProtection="0"/>
    <xf numFmtId="0" fontId="163" fillId="138" borderId="0" applyNumberFormat="0" applyBorder="0" applyAlignment="0" applyProtection="0"/>
    <xf numFmtId="0" fontId="119" fillId="139" borderId="0"/>
    <xf numFmtId="0" fontId="23" fillId="140" borderId="0"/>
    <xf numFmtId="0" fontId="23" fillId="21" borderId="0" applyNumberFormat="0" applyBorder="0" applyAlignment="0" applyProtection="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21" borderId="0" applyNumberFormat="0" applyBorder="0" applyAlignment="0" applyProtection="0"/>
    <xf numFmtId="0" fontId="23" fillId="20" borderId="0" applyNumberFormat="0" applyBorder="0" applyAlignment="0" applyProtection="0"/>
    <xf numFmtId="0" fontId="23" fillId="11" borderId="0" applyNumberFormat="0" applyBorder="0" applyAlignment="0" applyProtection="0"/>
    <xf numFmtId="0" fontId="23" fillId="138" borderId="0"/>
    <xf numFmtId="0" fontId="23" fillId="138" borderId="0"/>
    <xf numFmtId="0" fontId="23" fillId="138" borderId="0"/>
    <xf numFmtId="0" fontId="23" fillId="138" borderId="0"/>
    <xf numFmtId="0" fontId="23" fillId="138" borderId="0"/>
    <xf numFmtId="0" fontId="164" fillId="30" borderId="0"/>
    <xf numFmtId="0" fontId="23" fillId="138" borderId="0"/>
    <xf numFmtId="0" fontId="164" fillId="30" borderId="0"/>
    <xf numFmtId="0" fontId="23" fillId="138" borderId="0"/>
    <xf numFmtId="0" fontId="23" fillId="138" borderId="0"/>
    <xf numFmtId="0" fontId="164" fillId="30" borderId="0"/>
    <xf numFmtId="0" fontId="23" fillId="138" borderId="0"/>
    <xf numFmtId="0" fontId="23" fillId="138" borderId="0"/>
    <xf numFmtId="0" fontId="23" fillId="138" borderId="0"/>
    <xf numFmtId="0" fontId="23" fillId="138" borderId="0"/>
    <xf numFmtId="0" fontId="23" fillId="138" borderId="0"/>
    <xf numFmtId="0" fontId="23" fillId="21" borderId="0" applyNumberFormat="0" applyBorder="0" applyAlignment="0" applyProtection="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164" fillId="30" borderId="0"/>
    <xf numFmtId="0" fontId="23" fillId="138" borderId="0"/>
    <xf numFmtId="0" fontId="164" fillId="30" borderId="0"/>
    <xf numFmtId="0" fontId="23" fillId="138" borderId="0"/>
    <xf numFmtId="0" fontId="164" fillId="30" borderId="0"/>
    <xf numFmtId="0" fontId="23" fillId="138" borderId="0"/>
    <xf numFmtId="0" fontId="23" fillId="138" borderId="0"/>
    <xf numFmtId="0" fontId="165" fillId="139" borderId="0"/>
    <xf numFmtId="0" fontId="23" fillId="138" borderId="0"/>
    <xf numFmtId="0" fontId="166" fillId="89" borderId="0" applyNumberFormat="0" applyBorder="0" applyAlignment="0" applyProtection="0"/>
    <xf numFmtId="0" fontId="23" fillId="138" borderId="0"/>
    <xf numFmtId="0" fontId="23" fillId="138" borderId="0"/>
    <xf numFmtId="0" fontId="23" fillId="138"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163" fillId="22" borderId="0" applyNumberFormat="0" applyBorder="0" applyAlignment="0" applyProtection="0"/>
    <xf numFmtId="0" fontId="23" fillId="22" borderId="0" applyNumberFormat="0" applyBorder="0" applyAlignment="0" applyProtection="0"/>
    <xf numFmtId="0" fontId="163" fillId="135" borderId="0" applyNumberFormat="0" applyBorder="0" applyAlignment="0" applyProtection="0"/>
    <xf numFmtId="0" fontId="163" fillId="135" borderId="0" applyNumberFormat="0" applyBorder="0" applyAlignment="0" applyProtection="0"/>
    <xf numFmtId="0" fontId="119" fillId="141" borderId="0"/>
    <xf numFmtId="0" fontId="23" fillId="135" borderId="0"/>
    <xf numFmtId="0" fontId="23" fillId="22" borderId="0" applyNumberFormat="0" applyBorder="0" applyAlignment="0" applyProtection="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22" borderId="0" applyNumberFormat="0" applyBorder="0" applyAlignment="0" applyProtection="0"/>
    <xf numFmtId="0" fontId="23" fillId="121" borderId="0" applyNumberFormat="0" applyBorder="0" applyAlignment="0" applyProtection="0"/>
    <xf numFmtId="0" fontId="23" fillId="14" borderId="0" applyNumberFormat="0" applyBorder="0" applyAlignment="0" applyProtection="0"/>
    <xf numFmtId="0" fontId="23" fillId="135" borderId="0"/>
    <xf numFmtId="0" fontId="23" fillId="135" borderId="0"/>
    <xf numFmtId="0" fontId="23" fillId="135" borderId="0"/>
    <xf numFmtId="0" fontId="23" fillId="135" borderId="0"/>
    <xf numFmtId="0" fontId="23" fillId="135" borderId="0"/>
    <xf numFmtId="0" fontId="164" fillId="141" borderId="0"/>
    <xf numFmtId="0" fontId="23" fillId="135" borderId="0"/>
    <xf numFmtId="0" fontId="164" fillId="141" borderId="0"/>
    <xf numFmtId="0" fontId="23" fillId="135" borderId="0"/>
    <xf numFmtId="0" fontId="23" fillId="135" borderId="0"/>
    <xf numFmtId="0" fontId="164" fillId="141" borderId="0"/>
    <xf numFmtId="0" fontId="23" fillId="135" borderId="0"/>
    <xf numFmtId="0" fontId="23" fillId="135" borderId="0"/>
    <xf numFmtId="0" fontId="23" fillId="135" borderId="0"/>
    <xf numFmtId="0" fontId="23" fillId="135" borderId="0"/>
    <xf numFmtId="0" fontId="23" fillId="135" borderId="0"/>
    <xf numFmtId="0" fontId="23" fillId="22" borderId="0" applyNumberFormat="0" applyBorder="0" applyAlignment="0" applyProtection="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164" fillId="141" borderId="0"/>
    <xf numFmtId="0" fontId="23" fillId="135" borderId="0"/>
    <xf numFmtId="0" fontId="23" fillId="135" borderId="0"/>
    <xf numFmtId="0" fontId="164" fillId="141" borderId="0"/>
    <xf numFmtId="0" fontId="23" fillId="135" borderId="0"/>
    <xf numFmtId="0" fontId="23" fillId="135" borderId="0"/>
    <xf numFmtId="0" fontId="165" fillId="141" borderId="0"/>
    <xf numFmtId="0" fontId="23" fillId="135" borderId="0"/>
    <xf numFmtId="0" fontId="166" fillId="93" borderId="0" applyNumberFormat="0" applyBorder="0" applyAlignment="0" applyProtection="0"/>
    <xf numFmtId="0" fontId="23" fillId="135" borderId="0"/>
    <xf numFmtId="0" fontId="23" fillId="135" borderId="0"/>
    <xf numFmtId="0" fontId="23" fillId="135"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163" fillId="23" borderId="0" applyNumberFormat="0" applyBorder="0" applyAlignment="0" applyProtection="0"/>
    <xf numFmtId="0" fontId="23" fillId="23" borderId="0" applyNumberFormat="0" applyBorder="0" applyAlignment="0" applyProtection="0"/>
    <xf numFmtId="0" fontId="163" fillId="44" borderId="0" applyNumberFormat="0" applyBorder="0" applyAlignment="0" applyProtection="0"/>
    <xf numFmtId="0" fontId="163" fillId="44" borderId="0" applyNumberFormat="0" applyBorder="0" applyAlignment="0" applyProtection="0"/>
    <xf numFmtId="0" fontId="119" fillId="142" borderId="0"/>
    <xf numFmtId="0" fontId="23" fillId="44" borderId="0"/>
    <xf numFmtId="0" fontId="23" fillId="23" borderId="0" applyNumberFormat="0" applyBorder="0" applyAlignment="0" applyProtection="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23"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44" borderId="0"/>
    <xf numFmtId="0" fontId="23" fillId="44" borderId="0"/>
    <xf numFmtId="0" fontId="23" fillId="44" borderId="0"/>
    <xf numFmtId="0" fontId="23" fillId="44" borderId="0"/>
    <xf numFmtId="0" fontId="23" fillId="44" borderId="0"/>
    <xf numFmtId="0" fontId="164" fillId="36" borderId="0"/>
    <xf numFmtId="0" fontId="23" fillId="44" borderId="0"/>
    <xf numFmtId="0" fontId="164" fillId="36" borderId="0"/>
    <xf numFmtId="0" fontId="23" fillId="44" borderId="0"/>
    <xf numFmtId="0" fontId="23" fillId="44" borderId="0"/>
    <xf numFmtId="0" fontId="164" fillId="36" borderId="0"/>
    <xf numFmtId="0" fontId="23" fillId="44" borderId="0"/>
    <xf numFmtId="0" fontId="23" fillId="44" borderId="0"/>
    <xf numFmtId="0" fontId="23" fillId="44" borderId="0"/>
    <xf numFmtId="0" fontId="23" fillId="44" borderId="0"/>
    <xf numFmtId="0" fontId="23" fillId="44" borderId="0"/>
    <xf numFmtId="0" fontId="23" fillId="23" borderId="0" applyNumberFormat="0" applyBorder="0" applyAlignment="0" applyProtection="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23" fillId="44" borderId="0"/>
    <xf numFmtId="0" fontId="164" fillId="36" borderId="0"/>
    <xf numFmtId="0" fontId="23" fillId="44" borderId="0"/>
    <xf numFmtId="0" fontId="164" fillId="36" borderId="0"/>
    <xf numFmtId="0" fontId="23" fillId="44" borderId="0"/>
    <xf numFmtId="0" fontId="164" fillId="36" borderId="0"/>
    <xf numFmtId="0" fontId="23" fillId="44" borderId="0"/>
    <xf numFmtId="0" fontId="23" fillId="44" borderId="0"/>
    <xf numFmtId="0" fontId="165" fillId="142" borderId="0"/>
    <xf numFmtId="0" fontId="23" fillId="44" borderId="0"/>
    <xf numFmtId="0" fontId="166" fillId="97" borderId="0" applyNumberFormat="0" applyBorder="0" applyAlignment="0" applyProtection="0"/>
    <xf numFmtId="0" fontId="23" fillId="44" borderId="0"/>
    <xf numFmtId="0" fontId="23" fillId="44" borderId="0"/>
    <xf numFmtId="0" fontId="23" fillId="44" borderId="0"/>
    <xf numFmtId="0" fontId="23" fillId="143" borderId="0" applyNumberFormat="0" applyBorder="0" applyAlignment="0" applyProtection="0"/>
    <xf numFmtId="0" fontId="23" fillId="144" borderId="0"/>
    <xf numFmtId="0" fontId="23" fillId="25" borderId="0" applyNumberFormat="0" applyBorder="0" applyAlignment="0" applyProtection="0"/>
    <xf numFmtId="0" fontId="23" fillId="42" borderId="0"/>
    <xf numFmtId="0" fontId="23" fillId="11" borderId="0" applyNumberFormat="0" applyBorder="0" applyAlignment="0" applyProtection="0"/>
    <xf numFmtId="0" fontId="23" fillId="40" borderId="0"/>
    <xf numFmtId="0" fontId="23" fillId="10" borderId="0" applyNumberFormat="0" applyBorder="0" applyAlignment="0" applyProtection="0"/>
    <xf numFmtId="0" fontId="23" fillId="39" borderId="0"/>
    <xf numFmtId="0" fontId="23" fillId="143" borderId="0" applyNumberFormat="0" applyBorder="0" applyAlignment="0" applyProtection="0"/>
    <xf numFmtId="0" fontId="23" fillId="144" borderId="0"/>
    <xf numFmtId="0" fontId="23" fillId="15" borderId="0" applyNumberFormat="0" applyBorder="0" applyAlignment="0" applyProtection="0"/>
    <xf numFmtId="0" fontId="23" fillId="36" borderId="0"/>
    <xf numFmtId="192" fontId="41" fillId="0" borderId="0"/>
    <xf numFmtId="192" fontId="41" fillId="0" borderId="0"/>
    <xf numFmtId="192" fontId="41" fillId="0" borderId="0"/>
    <xf numFmtId="192" fontId="41" fillId="0" borderId="0"/>
    <xf numFmtId="192" fontId="41" fillId="0" borderId="0"/>
    <xf numFmtId="192" fontId="41" fillId="0" borderId="0"/>
    <xf numFmtId="192" fontId="41" fillId="0" borderId="0"/>
    <xf numFmtId="192" fontId="41" fillId="0" borderId="0"/>
    <xf numFmtId="178" fontId="41" fillId="0"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163" fillId="24" borderId="0" applyNumberFormat="0" applyBorder="0" applyAlignment="0" applyProtection="0"/>
    <xf numFmtId="0" fontId="23" fillId="24" borderId="0" applyNumberFormat="0" applyBorder="0" applyAlignment="0" applyProtection="0"/>
    <xf numFmtId="0" fontId="163" fillId="145" borderId="0" applyNumberFormat="0" applyBorder="0" applyAlignment="0" applyProtection="0"/>
    <xf numFmtId="0" fontId="163" fillId="145" borderId="0" applyNumberFormat="0" applyBorder="0" applyAlignment="0" applyProtection="0"/>
    <xf numFmtId="0" fontId="119" fillId="146" borderId="0"/>
    <xf numFmtId="0" fontId="23" fillId="145" borderId="0"/>
    <xf numFmtId="0" fontId="23" fillId="24" borderId="0" applyNumberFormat="0" applyBorder="0" applyAlignment="0" applyProtection="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24" borderId="0" applyNumberFormat="0" applyBorder="0" applyAlignment="0" applyProtection="0"/>
    <xf numFmtId="0" fontId="23" fillId="147" borderId="0" applyNumberFormat="0" applyBorder="0" applyAlignment="0" applyProtection="0"/>
    <xf numFmtId="0" fontId="23" fillId="148" borderId="0" applyNumberFormat="0" applyBorder="0" applyAlignment="0" applyProtection="0"/>
    <xf numFmtId="0" fontId="23" fillId="145" borderId="0"/>
    <xf numFmtId="0" fontId="23" fillId="145" borderId="0"/>
    <xf numFmtId="0" fontId="23" fillId="145" borderId="0"/>
    <xf numFmtId="0" fontId="23" fillId="145" borderId="0"/>
    <xf numFmtId="0" fontId="23" fillId="145" borderId="0"/>
    <xf numFmtId="0" fontId="164" fillId="135" borderId="0"/>
    <xf numFmtId="0" fontId="23" fillId="145" borderId="0"/>
    <xf numFmtId="0" fontId="164" fillId="135" borderId="0"/>
    <xf numFmtId="0" fontId="23" fillId="145" borderId="0"/>
    <xf numFmtId="0" fontId="23" fillId="145" borderId="0"/>
    <xf numFmtId="0" fontId="164" fillId="135" borderId="0"/>
    <xf numFmtId="0" fontId="23" fillId="145" borderId="0"/>
    <xf numFmtId="0" fontId="23" fillId="145" borderId="0"/>
    <xf numFmtId="0" fontId="23" fillId="145" borderId="0"/>
    <xf numFmtId="0" fontId="23" fillId="145" borderId="0"/>
    <xf numFmtId="0" fontId="23" fillId="145" borderId="0"/>
    <xf numFmtId="0" fontId="23" fillId="24" borderId="0" applyNumberFormat="0" applyBorder="0" applyAlignment="0" applyProtection="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23" fillId="145" borderId="0"/>
    <xf numFmtId="0" fontId="164" fillId="135" borderId="0"/>
    <xf numFmtId="0" fontId="23" fillId="145" borderId="0"/>
    <xf numFmtId="0" fontId="164" fillId="135" borderId="0"/>
    <xf numFmtId="0" fontId="23" fillId="145" borderId="0"/>
    <xf numFmtId="0" fontId="164" fillId="135" borderId="0"/>
    <xf numFmtId="0" fontId="23" fillId="145" borderId="0"/>
    <xf numFmtId="0" fontId="23" fillId="145" borderId="0"/>
    <xf numFmtId="0" fontId="165" fillId="146" borderId="0"/>
    <xf numFmtId="0" fontId="23" fillId="145" borderId="0"/>
    <xf numFmtId="0" fontId="166" fillId="74" borderId="0" applyNumberFormat="0" applyBorder="0" applyAlignment="0" applyProtection="0"/>
    <xf numFmtId="0" fontId="23" fillId="145" borderId="0"/>
    <xf numFmtId="0" fontId="23" fillId="145" borderId="0"/>
    <xf numFmtId="0" fontId="23" fillId="145"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163" fillId="25" borderId="0" applyNumberFormat="0" applyBorder="0" applyAlignment="0" applyProtection="0"/>
    <xf numFmtId="0" fontId="23" fillId="25"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119" fillId="56" borderId="0"/>
    <xf numFmtId="0" fontId="23" fillId="42" borderId="0"/>
    <xf numFmtId="0" fontId="23" fillId="25" borderId="0" applyNumberFormat="0" applyBorder="0" applyAlignment="0" applyProtection="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25" borderId="0" applyNumberFormat="0" applyBorder="0" applyAlignment="0" applyProtection="0"/>
    <xf numFmtId="0" fontId="23" fillId="14" borderId="0" applyNumberFormat="0" applyBorder="0" applyAlignment="0" applyProtection="0"/>
    <xf numFmtId="0" fontId="23" fillId="27" borderId="0" applyNumberFormat="0" applyBorder="0" applyAlignment="0" applyProtection="0"/>
    <xf numFmtId="0" fontId="23" fillId="42" borderId="0"/>
    <xf numFmtId="0" fontId="23" fillId="42" borderId="0"/>
    <xf numFmtId="0" fontId="23" fillId="42" borderId="0"/>
    <xf numFmtId="0" fontId="23" fillId="42" borderId="0"/>
    <xf numFmtId="0" fontId="23" fillId="42" borderId="0"/>
    <xf numFmtId="0" fontId="164" fillId="56" borderId="0"/>
    <xf numFmtId="0" fontId="23" fillId="42" borderId="0"/>
    <xf numFmtId="0" fontId="164" fillId="56" borderId="0"/>
    <xf numFmtId="0" fontId="23" fillId="42" borderId="0"/>
    <xf numFmtId="0" fontId="23" fillId="42" borderId="0"/>
    <xf numFmtId="0" fontId="164" fillId="56" borderId="0"/>
    <xf numFmtId="0" fontId="23" fillId="42" borderId="0"/>
    <xf numFmtId="0" fontId="23" fillId="42" borderId="0"/>
    <xf numFmtId="0" fontId="23" fillId="42" borderId="0"/>
    <xf numFmtId="0" fontId="23" fillId="42" borderId="0"/>
    <xf numFmtId="0" fontId="23" fillId="42" borderId="0"/>
    <xf numFmtId="0" fontId="23" fillId="25" borderId="0" applyNumberFormat="0" applyBorder="0" applyAlignment="0" applyProtection="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23" fillId="42" borderId="0"/>
    <xf numFmtId="0" fontId="164" fillId="56" borderId="0"/>
    <xf numFmtId="0" fontId="23" fillId="42" borderId="0"/>
    <xf numFmtId="0" fontId="23" fillId="42" borderId="0"/>
    <xf numFmtId="0" fontId="164" fillId="56" borderId="0"/>
    <xf numFmtId="0" fontId="23" fillId="42" borderId="0"/>
    <xf numFmtId="0" fontId="23" fillId="42" borderId="0"/>
    <xf numFmtId="0" fontId="165" fillId="56" borderId="0"/>
    <xf numFmtId="0" fontId="23" fillId="42" borderId="0"/>
    <xf numFmtId="0" fontId="166" fillId="78" borderId="0" applyNumberFormat="0" applyBorder="0" applyAlignment="0" applyProtection="0"/>
    <xf numFmtId="0" fontId="23" fillId="42" borderId="0"/>
    <xf numFmtId="0" fontId="23" fillId="42" borderId="0"/>
    <xf numFmtId="0" fontId="23" fillId="42"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163" fillId="26" borderId="0" applyNumberFormat="0" applyBorder="0" applyAlignment="0" applyProtection="0"/>
    <xf numFmtId="0" fontId="23" fillId="2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19" fillId="57" borderId="0"/>
    <xf numFmtId="0" fontId="23" fillId="46" borderId="0"/>
    <xf numFmtId="0" fontId="23" fillId="26" borderId="0" applyNumberFormat="0" applyBorder="0" applyAlignment="0" applyProtection="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26"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6" borderId="0"/>
    <xf numFmtId="0" fontId="23" fillId="46" borderId="0"/>
    <xf numFmtId="0" fontId="23" fillId="46" borderId="0"/>
    <xf numFmtId="0" fontId="23" fillId="46" borderId="0"/>
    <xf numFmtId="0" fontId="23" fillId="46" borderId="0"/>
    <xf numFmtId="0" fontId="164" fillId="57" borderId="0"/>
    <xf numFmtId="0" fontId="23" fillId="46" borderId="0"/>
    <xf numFmtId="0" fontId="164" fillId="57" borderId="0"/>
    <xf numFmtId="0" fontId="23" fillId="46" borderId="0"/>
    <xf numFmtId="0" fontId="23" fillId="46" borderId="0"/>
    <xf numFmtId="0" fontId="164" fillId="57" borderId="0"/>
    <xf numFmtId="0" fontId="23" fillId="46" borderId="0"/>
    <xf numFmtId="0" fontId="23" fillId="46" borderId="0"/>
    <xf numFmtId="0" fontId="23" fillId="46" borderId="0"/>
    <xf numFmtId="0" fontId="23" fillId="46" borderId="0"/>
    <xf numFmtId="0" fontId="23" fillId="46" borderId="0"/>
    <xf numFmtId="0" fontId="23" fillId="26" borderId="0" applyNumberFormat="0" applyBorder="0" applyAlignment="0" applyProtection="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23" fillId="46" borderId="0"/>
    <xf numFmtId="0" fontId="164" fillId="57" borderId="0"/>
    <xf numFmtId="0" fontId="23" fillId="46" borderId="0"/>
    <xf numFmtId="0" fontId="23" fillId="46" borderId="0"/>
    <xf numFmtId="0" fontId="164" fillId="57" borderId="0"/>
    <xf numFmtId="0" fontId="23" fillId="46" borderId="0"/>
    <xf numFmtId="0" fontId="23" fillId="46" borderId="0"/>
    <xf numFmtId="0" fontId="165" fillId="57" borderId="0"/>
    <xf numFmtId="0" fontId="23" fillId="46" borderId="0"/>
    <xf numFmtId="0" fontId="166" fillId="82" borderId="0" applyNumberFormat="0" applyBorder="0" applyAlignment="0" applyProtection="0"/>
    <xf numFmtId="0" fontId="23" fillId="46" borderId="0"/>
    <xf numFmtId="0" fontId="23" fillId="46" borderId="0"/>
    <xf numFmtId="0" fontId="23" fillId="46"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163" fillId="21" borderId="0" applyNumberFormat="0" applyBorder="0" applyAlignment="0" applyProtection="0"/>
    <xf numFmtId="0" fontId="23" fillId="21" borderId="0" applyNumberFormat="0" applyBorder="0" applyAlignment="0" applyProtection="0"/>
    <xf numFmtId="0" fontId="163" fillId="138" borderId="0" applyNumberFormat="0" applyBorder="0" applyAlignment="0" applyProtection="0"/>
    <xf numFmtId="0" fontId="163" fillId="138" borderId="0" applyNumberFormat="0" applyBorder="0" applyAlignment="0" applyProtection="0"/>
    <xf numFmtId="0" fontId="119" fillId="149" borderId="0"/>
    <xf numFmtId="0" fontId="23" fillId="140" borderId="0"/>
    <xf numFmtId="0" fontId="23" fillId="21" borderId="0" applyNumberFormat="0" applyBorder="0" applyAlignment="0" applyProtection="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21" borderId="0" applyNumberFormat="0" applyBorder="0" applyAlignment="0" applyProtection="0"/>
    <xf numFmtId="0" fontId="23" fillId="20" borderId="0" applyNumberFormat="0" applyBorder="0" applyAlignment="0" applyProtection="0"/>
    <xf numFmtId="0" fontId="23" fillId="150" borderId="0" applyNumberFormat="0" applyBorder="0" applyAlignment="0" applyProtection="0"/>
    <xf numFmtId="0" fontId="23" fillId="138" borderId="0"/>
    <xf numFmtId="0" fontId="23" fillId="138" borderId="0"/>
    <xf numFmtId="0" fontId="23" fillId="138" borderId="0"/>
    <xf numFmtId="0" fontId="23" fillId="138" borderId="0"/>
    <xf numFmtId="0" fontId="23" fillId="138" borderId="0"/>
    <xf numFmtId="0" fontId="164" fillId="51" borderId="0"/>
    <xf numFmtId="0" fontId="23" fillId="138" borderId="0"/>
    <xf numFmtId="0" fontId="164" fillId="51" borderId="0"/>
    <xf numFmtId="0" fontId="23" fillId="138" borderId="0"/>
    <xf numFmtId="0" fontId="23" fillId="138" borderId="0"/>
    <xf numFmtId="0" fontId="164" fillId="51" borderId="0"/>
    <xf numFmtId="0" fontId="23" fillId="138" borderId="0"/>
    <xf numFmtId="0" fontId="23" fillId="138" borderId="0"/>
    <xf numFmtId="0" fontId="23" fillId="138" borderId="0"/>
    <xf numFmtId="0" fontId="23" fillId="138" borderId="0"/>
    <xf numFmtId="0" fontId="23" fillId="138" borderId="0"/>
    <xf numFmtId="0" fontId="23" fillId="21" borderId="0" applyNumberFormat="0" applyBorder="0" applyAlignment="0" applyProtection="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23" fillId="138" borderId="0"/>
    <xf numFmtId="0" fontId="164" fillId="51" borderId="0"/>
    <xf numFmtId="0" fontId="23" fillId="138" borderId="0"/>
    <xf numFmtId="0" fontId="164" fillId="51" borderId="0"/>
    <xf numFmtId="0" fontId="23" fillId="138" borderId="0"/>
    <xf numFmtId="0" fontId="164" fillId="51" borderId="0"/>
    <xf numFmtId="0" fontId="23" fillId="138" borderId="0"/>
    <xf numFmtId="0" fontId="23" fillId="138" borderId="0"/>
    <xf numFmtId="0" fontId="165" fillId="149" borderId="0"/>
    <xf numFmtId="0" fontId="23" fillId="138" borderId="0"/>
    <xf numFmtId="0" fontId="166" fillId="86" borderId="0" applyNumberFormat="0" applyBorder="0" applyAlignment="0" applyProtection="0"/>
    <xf numFmtId="0" fontId="23" fillId="138" borderId="0"/>
    <xf numFmtId="0" fontId="23" fillId="138" borderId="0"/>
    <xf numFmtId="0" fontId="23" fillId="138"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163" fillId="22" borderId="0" applyNumberFormat="0" applyBorder="0" applyAlignment="0" applyProtection="0"/>
    <xf numFmtId="0" fontId="23" fillId="22" borderId="0" applyNumberFormat="0" applyBorder="0" applyAlignment="0" applyProtection="0"/>
    <xf numFmtId="0" fontId="163" fillId="135" borderId="0" applyNumberFormat="0" applyBorder="0" applyAlignment="0" applyProtection="0"/>
    <xf numFmtId="0" fontId="163" fillId="135" borderId="0" applyNumberFormat="0" applyBorder="0" applyAlignment="0" applyProtection="0"/>
    <xf numFmtId="0" fontId="119" fillId="5" borderId="0"/>
    <xf numFmtId="0" fontId="23" fillId="135" borderId="0"/>
    <xf numFmtId="0" fontId="23" fillId="22" borderId="0" applyNumberFormat="0" applyBorder="0" applyAlignment="0" applyProtection="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22" borderId="0" applyNumberFormat="0" applyBorder="0" applyAlignment="0" applyProtection="0"/>
    <xf numFmtId="0" fontId="23" fillId="151" borderId="0" applyNumberFormat="0" applyBorder="0" applyAlignment="0" applyProtection="0"/>
    <xf numFmtId="0" fontId="23" fillId="135" borderId="0"/>
    <xf numFmtId="0" fontId="23" fillId="135" borderId="0"/>
    <xf numFmtId="0" fontId="23" fillId="135" borderId="0"/>
    <xf numFmtId="0" fontId="23" fillId="135" borderId="0"/>
    <xf numFmtId="0" fontId="23" fillId="135" borderId="0"/>
    <xf numFmtId="0" fontId="164" fillId="5" borderId="0"/>
    <xf numFmtId="0" fontId="23" fillId="135" borderId="0"/>
    <xf numFmtId="0" fontId="164" fillId="5" borderId="0"/>
    <xf numFmtId="0" fontId="23" fillId="135" borderId="0"/>
    <xf numFmtId="0" fontId="23" fillId="135" borderId="0"/>
    <xf numFmtId="0" fontId="164" fillId="5" borderId="0"/>
    <xf numFmtId="0" fontId="23" fillId="135" borderId="0"/>
    <xf numFmtId="0" fontId="23" fillId="135" borderId="0"/>
    <xf numFmtId="0" fontId="23" fillId="135" borderId="0"/>
    <xf numFmtId="0" fontId="23" fillId="135" borderId="0"/>
    <xf numFmtId="0" fontId="23" fillId="135" borderId="0"/>
    <xf numFmtId="0" fontId="23" fillId="22" borderId="0" applyNumberFormat="0" applyBorder="0" applyAlignment="0" applyProtection="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23" fillId="135" borderId="0"/>
    <xf numFmtId="0" fontId="164" fillId="5" borderId="0"/>
    <xf numFmtId="0" fontId="23" fillId="135" borderId="0"/>
    <xf numFmtId="0" fontId="23" fillId="135" borderId="0"/>
    <xf numFmtId="0" fontId="164" fillId="5" borderId="0"/>
    <xf numFmtId="0" fontId="23" fillId="135" borderId="0"/>
    <xf numFmtId="0" fontId="23" fillId="135" borderId="0"/>
    <xf numFmtId="0" fontId="165" fillId="5" borderId="0"/>
    <xf numFmtId="0" fontId="23" fillId="135" borderId="0"/>
    <xf numFmtId="0" fontId="166" fillId="90" borderId="0" applyNumberFormat="0" applyBorder="0" applyAlignment="0" applyProtection="0"/>
    <xf numFmtId="0" fontId="23" fillId="135" borderId="0"/>
    <xf numFmtId="0" fontId="23" fillId="135" borderId="0"/>
    <xf numFmtId="0" fontId="23" fillId="13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163" fillId="27" borderId="0" applyNumberFormat="0" applyBorder="0" applyAlignment="0" applyProtection="0"/>
    <xf numFmtId="0" fontId="23" fillId="27"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19" fillId="152" borderId="0"/>
    <xf numFmtId="0" fontId="23" fillId="45" borderId="0"/>
    <xf numFmtId="0" fontId="23" fillId="27" borderId="0" applyNumberFormat="0" applyBorder="0" applyAlignment="0" applyProtection="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27" borderId="0" applyNumberFormat="0" applyBorder="0" applyAlignment="0" applyProtection="0"/>
    <xf numFmtId="0" fontId="23" fillId="17" borderId="0" applyNumberFormat="0" applyBorder="0" applyAlignment="0" applyProtection="0"/>
    <xf numFmtId="0" fontId="23" fillId="25" borderId="0" applyNumberFormat="0" applyBorder="0" applyAlignment="0" applyProtection="0"/>
    <xf numFmtId="0" fontId="23" fillId="45" borderId="0"/>
    <xf numFmtId="0" fontId="23" fillId="45" borderId="0"/>
    <xf numFmtId="0" fontId="23" fillId="45" borderId="0"/>
    <xf numFmtId="0" fontId="23" fillId="45" borderId="0"/>
    <xf numFmtId="0" fontId="23" fillId="45" borderId="0"/>
    <xf numFmtId="0" fontId="164" fillId="152" borderId="0"/>
    <xf numFmtId="0" fontId="23" fillId="45" borderId="0"/>
    <xf numFmtId="0" fontId="164" fillId="152" borderId="0"/>
    <xf numFmtId="0" fontId="23" fillId="45" borderId="0"/>
    <xf numFmtId="0" fontId="23" fillId="45" borderId="0"/>
    <xf numFmtId="0" fontId="164" fillId="152" borderId="0"/>
    <xf numFmtId="0" fontId="23" fillId="45" borderId="0"/>
    <xf numFmtId="0" fontId="23" fillId="45" borderId="0"/>
    <xf numFmtId="0" fontId="23" fillId="45" borderId="0"/>
    <xf numFmtId="0" fontId="23" fillId="45" borderId="0"/>
    <xf numFmtId="0" fontId="23" fillId="45" borderId="0"/>
    <xf numFmtId="0" fontId="23" fillId="27" borderId="0" applyNumberFormat="0" applyBorder="0" applyAlignment="0" applyProtection="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23" fillId="45" borderId="0"/>
    <xf numFmtId="0" fontId="164" fillId="152" borderId="0"/>
    <xf numFmtId="0" fontId="23" fillId="45" borderId="0"/>
    <xf numFmtId="0" fontId="23" fillId="45" borderId="0"/>
    <xf numFmtId="0" fontId="164" fillId="152" borderId="0"/>
    <xf numFmtId="0" fontId="23" fillId="45" borderId="0"/>
    <xf numFmtId="0" fontId="23" fillId="45" borderId="0"/>
    <xf numFmtId="0" fontId="165" fillId="152" borderId="0"/>
    <xf numFmtId="0" fontId="23" fillId="45" borderId="0"/>
    <xf numFmtId="0" fontId="166" fillId="94" borderId="0" applyNumberFormat="0" applyBorder="0" applyAlignment="0" applyProtection="0"/>
    <xf numFmtId="0" fontId="23" fillId="45" borderId="0"/>
    <xf numFmtId="0" fontId="23" fillId="45" borderId="0"/>
    <xf numFmtId="0" fontId="23" fillId="45" borderId="0"/>
    <xf numFmtId="195" fontId="150" fillId="125" borderId="114">
      <alignment horizontal="center" vertical="center"/>
    </xf>
    <xf numFmtId="0" fontId="167" fillId="0" borderId="0" applyNumberFormat="0" applyFill="0" applyBorder="0" applyAlignment="0">
      <protection locked="0"/>
    </xf>
    <xf numFmtId="0" fontId="168" fillId="0" borderId="0"/>
    <xf numFmtId="4" fontId="162" fillId="119" borderId="5">
      <alignment horizontal="right" vertical="center"/>
    </xf>
    <xf numFmtId="0" fontId="19" fillId="38" borderId="0" applyNumberFormat="0" applyFont="0" applyAlignment="0">
      <alignment vertical="top"/>
    </xf>
    <xf numFmtId="0" fontId="6" fillId="38" borderId="0" applyNumberFormat="0" applyFont="0" applyAlignment="0">
      <alignment vertical="top" wrapText="1"/>
    </xf>
    <xf numFmtId="0" fontId="6" fillId="38" borderId="0" applyNumberFormat="0" applyFont="0" applyAlignment="0">
      <alignment vertical="top" wrapText="1"/>
    </xf>
    <xf numFmtId="0" fontId="6" fillId="38" borderId="0" applyNumberFormat="0" applyFont="0" applyAlignment="0">
      <alignment vertical="top" wrapText="1"/>
    </xf>
    <xf numFmtId="0" fontId="6" fillId="38" borderId="0" applyNumberFormat="0" applyFont="0" applyAlignment="0">
      <alignment vertical="top" wrapText="1"/>
    </xf>
    <xf numFmtId="0" fontId="6" fillId="38" borderId="0" applyNumberFormat="0" applyFont="0" applyAlignment="0">
      <alignment vertical="top"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7" fillId="0" borderId="0" applyNumberFormat="0" applyFill="0" applyBorder="0" applyAlignment="0" applyProtection="0"/>
    <xf numFmtId="0" fontId="150" fillId="0" borderId="35">
      <alignment horizontal="center" vertical="center"/>
    </xf>
    <xf numFmtId="165" fontId="152" fillId="31" borderId="0"/>
    <xf numFmtId="169" fontId="169" fillId="153" borderId="22" applyNumberFormat="0" applyFont="0" applyAlignment="0" applyProtection="0">
      <protection locked="0"/>
    </xf>
    <xf numFmtId="0" fontId="170" fillId="0" borderId="115">
      <alignment vertical="center"/>
      <protection locked="0"/>
    </xf>
    <xf numFmtId="192" fontId="41" fillId="0" borderId="0"/>
    <xf numFmtId="0" fontId="41" fillId="0" borderId="0"/>
    <xf numFmtId="192" fontId="41" fillId="0" borderId="0"/>
    <xf numFmtId="192" fontId="41" fillId="0" borderId="0"/>
    <xf numFmtId="178" fontId="41" fillId="0" borderId="0"/>
    <xf numFmtId="192" fontId="41" fillId="0" borderId="0"/>
    <xf numFmtId="192" fontId="41" fillId="0" borderId="0"/>
    <xf numFmtId="192" fontId="41" fillId="0" borderId="0"/>
    <xf numFmtId="192" fontId="41" fillId="0" borderId="0"/>
    <xf numFmtId="192" fontId="41" fillId="0" borderId="0"/>
    <xf numFmtId="192" fontId="41" fillId="0" borderId="0"/>
    <xf numFmtId="192" fontId="41" fillId="0" borderId="0"/>
    <xf numFmtId="192" fontId="41" fillId="0" borderId="0"/>
    <xf numFmtId="1" fontId="6" fillId="154"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171" fillId="11" borderId="0" applyNumberFormat="0" applyBorder="0" applyAlignment="0" applyProtection="0"/>
    <xf numFmtId="0" fontId="24" fillId="11"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15" fillId="100" borderId="0"/>
    <xf numFmtId="0" fontId="24" fillId="40" borderId="0"/>
    <xf numFmtId="0" fontId="24" fillId="11" borderId="0" applyNumberFormat="0" applyBorder="0" applyAlignment="0" applyProtection="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11"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40" borderId="0"/>
    <xf numFmtId="0" fontId="24" fillId="40" borderId="0"/>
    <xf numFmtId="0" fontId="24" fillId="40" borderId="0"/>
    <xf numFmtId="0" fontId="24" fillId="40" borderId="0"/>
    <xf numFmtId="0" fontId="24" fillId="40" borderId="0"/>
    <xf numFmtId="0" fontId="172" fillId="100" borderId="0"/>
    <xf numFmtId="0" fontId="24" fillId="40" borderId="0"/>
    <xf numFmtId="0" fontId="172" fillId="100" borderId="0"/>
    <xf numFmtId="0" fontId="24" fillId="40" borderId="0"/>
    <xf numFmtId="0" fontId="24" fillId="40" borderId="0"/>
    <xf numFmtId="0" fontId="172" fillId="10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24" fillId="40" borderId="0"/>
    <xf numFmtId="0" fontId="172" fillId="100" borderId="0"/>
    <xf numFmtId="0" fontId="24" fillId="40" borderId="0"/>
    <xf numFmtId="0" fontId="172" fillId="100" borderId="0"/>
    <xf numFmtId="0" fontId="24" fillId="40" borderId="0"/>
    <xf numFmtId="0" fontId="172" fillId="100" borderId="0"/>
    <xf numFmtId="0" fontId="24" fillId="40" borderId="0"/>
    <xf numFmtId="0" fontId="24" fillId="40" borderId="0"/>
    <xf numFmtId="0" fontId="173" fillId="100" borderId="0"/>
    <xf numFmtId="0" fontId="24" fillId="40" borderId="0"/>
    <xf numFmtId="0" fontId="174" fillId="69" borderId="0" applyNumberFormat="0" applyBorder="0" applyAlignment="0" applyProtection="0"/>
    <xf numFmtId="0" fontId="24" fillId="40" borderId="0"/>
    <xf numFmtId="0" fontId="24" fillId="40" borderId="0"/>
    <xf numFmtId="0" fontId="24" fillId="40" borderId="0"/>
    <xf numFmtId="196" fontId="175" fillId="16" borderId="0" applyNumberFormat="0" applyBorder="0" applyAlignment="0">
      <protection locked="0"/>
    </xf>
    <xf numFmtId="0" fontId="176" fillId="0" borderId="0">
      <alignment vertical="top"/>
      <protection locked="0"/>
    </xf>
    <xf numFmtId="177" fontId="6" fillId="0" borderId="0" applyBorder="0"/>
    <xf numFmtId="0" fontId="16" fillId="135" borderId="0">
      <alignment vertical="top"/>
    </xf>
    <xf numFmtId="0" fontId="177" fillId="0" borderId="0" applyNumberFormat="0" applyAlignment="0">
      <alignment horizontal="left"/>
    </xf>
    <xf numFmtId="4" fontId="178" fillId="0" borderId="36" applyFill="0" applyBorder="0" applyProtection="0">
      <alignment horizontal="right" vertical="center"/>
    </xf>
    <xf numFmtId="4" fontId="178" fillId="0" borderId="36">
      <alignment horizontal="right" vertical="center"/>
    </xf>
    <xf numFmtId="197" fontId="179" fillId="0" borderId="34" applyAlignment="0" applyProtection="0"/>
    <xf numFmtId="49" fontId="180" fillId="0" borderId="0" applyFont="0" applyFill="0" applyBorder="0" applyAlignment="0" applyProtection="0">
      <alignment horizontal="left"/>
    </xf>
    <xf numFmtId="3" fontId="41" fillId="0" borderId="0" applyAlignment="0" applyProtection="0"/>
    <xf numFmtId="183" fontId="16" fillId="0" borderId="0" applyFill="0" applyBorder="0" applyAlignment="0" applyProtection="0"/>
    <xf numFmtId="49" fontId="16" fillId="0" borderId="0" applyNumberFormat="0" applyAlignment="0" applyProtection="0">
      <alignment horizontal="left"/>
    </xf>
    <xf numFmtId="49" fontId="181" fillId="0" borderId="116" applyNumberFormat="0" applyAlignment="0" applyProtection="0">
      <alignment horizontal="left" wrapText="1"/>
    </xf>
    <xf numFmtId="49" fontId="181" fillId="0" borderId="0" applyNumberFormat="0" applyAlignment="0" applyProtection="0">
      <alignment horizontal="left" wrapText="1"/>
    </xf>
    <xf numFmtId="49" fontId="182" fillId="0" borderId="0" applyAlignment="0" applyProtection="0">
      <alignment horizontal="left"/>
    </xf>
    <xf numFmtId="198" fontId="41" fillId="0" borderId="0"/>
    <xf numFmtId="199" fontId="41" fillId="0" borderId="0"/>
    <xf numFmtId="199" fontId="41" fillId="0" borderId="0"/>
    <xf numFmtId="199" fontId="41" fillId="0" borderId="0"/>
    <xf numFmtId="199" fontId="41" fillId="0" borderId="0"/>
    <xf numFmtId="199" fontId="41" fillId="0" borderId="0"/>
    <xf numFmtId="199" fontId="41" fillId="0" borderId="0"/>
    <xf numFmtId="199" fontId="41" fillId="0" borderId="0"/>
    <xf numFmtId="199" fontId="41" fillId="0" borderId="0"/>
    <xf numFmtId="200" fontId="41" fillId="0" borderId="0"/>
    <xf numFmtId="200" fontId="41" fillId="0" borderId="0"/>
    <xf numFmtId="200" fontId="41" fillId="0" borderId="0"/>
    <xf numFmtId="200" fontId="41" fillId="0" borderId="0"/>
    <xf numFmtId="200" fontId="41" fillId="0" borderId="0"/>
    <xf numFmtId="200" fontId="41" fillId="0" borderId="0"/>
    <xf numFmtId="200" fontId="41" fillId="0" borderId="0"/>
    <xf numFmtId="200" fontId="41" fillId="0" borderId="0"/>
    <xf numFmtId="198" fontId="41" fillId="0" borderId="0"/>
    <xf numFmtId="198" fontId="41" fillId="0" borderId="0"/>
    <xf numFmtId="198" fontId="41" fillId="0" borderId="0"/>
    <xf numFmtId="198" fontId="41" fillId="0" borderId="0"/>
    <xf numFmtId="198" fontId="41" fillId="0" borderId="0"/>
    <xf numFmtId="198" fontId="41" fillId="0" borderId="0"/>
    <xf numFmtId="198" fontId="41" fillId="0" borderId="0"/>
    <xf numFmtId="198" fontId="41" fillId="0" borderId="34"/>
    <xf numFmtId="199" fontId="41" fillId="0" borderId="34"/>
    <xf numFmtId="199" fontId="41" fillId="0" borderId="34"/>
    <xf numFmtId="199" fontId="41" fillId="0" borderId="34"/>
    <xf numFmtId="199" fontId="41" fillId="0" borderId="34"/>
    <xf numFmtId="199" fontId="41" fillId="0" borderId="34"/>
    <xf numFmtId="199" fontId="41" fillId="0" borderId="34"/>
    <xf numFmtId="199" fontId="41" fillId="0" borderId="34"/>
    <xf numFmtId="199" fontId="41" fillId="0" borderId="34"/>
    <xf numFmtId="199" fontId="41" fillId="0" borderId="34"/>
    <xf numFmtId="199" fontId="41" fillId="0" borderId="34"/>
    <xf numFmtId="199" fontId="41" fillId="0" borderId="34"/>
    <xf numFmtId="200" fontId="41" fillId="0" borderId="34"/>
    <xf numFmtId="200" fontId="41" fillId="0" borderId="34"/>
    <xf numFmtId="200" fontId="41" fillId="0" borderId="34"/>
    <xf numFmtId="200" fontId="41" fillId="0" borderId="34"/>
    <xf numFmtId="200" fontId="41" fillId="0" borderId="34"/>
    <xf numFmtId="200" fontId="41" fillId="0" borderId="34"/>
    <xf numFmtId="200" fontId="41" fillId="0" borderId="34"/>
    <xf numFmtId="200" fontId="41" fillId="0" borderId="34"/>
    <xf numFmtId="200" fontId="41" fillId="0" borderId="34"/>
    <xf numFmtId="200" fontId="41" fillId="0" borderId="34"/>
    <xf numFmtId="200"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198" fontId="41" fillId="0" borderId="34"/>
    <xf numFmtId="201" fontId="41" fillId="0" borderId="0"/>
    <xf numFmtId="202" fontId="41" fillId="0" borderId="0"/>
    <xf numFmtId="202" fontId="41" fillId="0" borderId="0"/>
    <xf numFmtId="202" fontId="41" fillId="0" borderId="0"/>
    <xf numFmtId="202" fontId="41" fillId="0" borderId="0"/>
    <xf numFmtId="202" fontId="41" fillId="0" borderId="0"/>
    <xf numFmtId="202" fontId="41" fillId="0" borderId="0"/>
    <xf numFmtId="202" fontId="41" fillId="0" borderId="0"/>
    <xf numFmtId="202" fontId="41" fillId="0" borderId="0"/>
    <xf numFmtId="203" fontId="41" fillId="0" borderId="0"/>
    <xf numFmtId="203" fontId="41" fillId="0" borderId="0"/>
    <xf numFmtId="203" fontId="41" fillId="0" borderId="0"/>
    <xf numFmtId="203" fontId="41" fillId="0" borderId="0"/>
    <xf numFmtId="203" fontId="41" fillId="0" borderId="0"/>
    <xf numFmtId="203" fontId="41" fillId="0" borderId="0"/>
    <xf numFmtId="203" fontId="41" fillId="0" borderId="0"/>
    <xf numFmtId="203" fontId="41" fillId="0" borderId="0"/>
    <xf numFmtId="201" fontId="41" fillId="0" borderId="0"/>
    <xf numFmtId="201" fontId="41" fillId="0" borderId="0"/>
    <xf numFmtId="201" fontId="41" fillId="0" borderId="0"/>
    <xf numFmtId="201" fontId="41" fillId="0" borderId="0"/>
    <xf numFmtId="201" fontId="41" fillId="0" borderId="0"/>
    <xf numFmtId="201" fontId="41" fillId="0" borderId="0"/>
    <xf numFmtId="201" fontId="41" fillId="0" borderId="0"/>
    <xf numFmtId="201" fontId="41" fillId="0" borderId="34"/>
    <xf numFmtId="202" fontId="41" fillId="0" borderId="34"/>
    <xf numFmtId="202" fontId="41" fillId="0" borderId="34"/>
    <xf numFmtId="202" fontId="41" fillId="0" borderId="34"/>
    <xf numFmtId="202" fontId="41" fillId="0" borderId="34"/>
    <xf numFmtId="202" fontId="41" fillId="0" borderId="34"/>
    <xf numFmtId="202" fontId="41" fillId="0" borderId="34"/>
    <xf numFmtId="202" fontId="41" fillId="0" borderId="34"/>
    <xf numFmtId="202" fontId="41" fillId="0" borderId="34"/>
    <xf numFmtId="202" fontId="41" fillId="0" borderId="34"/>
    <xf numFmtId="202" fontId="41" fillId="0" borderId="34"/>
    <xf numFmtId="202" fontId="41" fillId="0" borderId="34"/>
    <xf numFmtId="203" fontId="41" fillId="0" borderId="34"/>
    <xf numFmtId="203" fontId="41" fillId="0" borderId="34"/>
    <xf numFmtId="203" fontId="41" fillId="0" borderId="34"/>
    <xf numFmtId="203" fontId="41" fillId="0" borderId="34"/>
    <xf numFmtId="203" fontId="41" fillId="0" borderId="34"/>
    <xf numFmtId="203" fontId="41" fillId="0" borderId="34"/>
    <xf numFmtId="203" fontId="41" fillId="0" borderId="34"/>
    <xf numFmtId="203" fontId="41" fillId="0" borderId="34"/>
    <xf numFmtId="203" fontId="41" fillId="0" borderId="34"/>
    <xf numFmtId="203" fontId="41" fillId="0" borderId="34"/>
    <xf numFmtId="203"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1" fontId="41" fillId="0" borderId="34"/>
    <xf numFmtId="204" fontId="41" fillId="0" borderId="0">
      <alignment horizontal="right"/>
      <protection locked="0"/>
    </xf>
    <xf numFmtId="204" fontId="41" fillId="0" borderId="0">
      <alignment horizontal="right"/>
      <protection locked="0"/>
    </xf>
    <xf numFmtId="204" fontId="41" fillId="0" borderId="0">
      <alignment horizontal="right"/>
      <protection locked="0"/>
    </xf>
    <xf numFmtId="204" fontId="41" fillId="0" borderId="0">
      <alignment horizontal="right"/>
      <protection locked="0"/>
    </xf>
    <xf numFmtId="204" fontId="41" fillId="0" borderId="0">
      <alignment horizontal="right"/>
      <protection locked="0"/>
    </xf>
    <xf numFmtId="204" fontId="41" fillId="0" borderId="0">
      <alignment horizontal="right"/>
      <protection locked="0"/>
    </xf>
    <xf numFmtId="204" fontId="41" fillId="0" borderId="0">
      <alignment horizontal="right"/>
      <protection locked="0"/>
    </xf>
    <xf numFmtId="204" fontId="41" fillId="0" borderId="0">
      <alignment horizontal="right"/>
      <protection locked="0"/>
    </xf>
    <xf numFmtId="205" fontId="41" fillId="0" borderId="0">
      <alignment horizontal="right"/>
      <protection locked="0"/>
    </xf>
    <xf numFmtId="205" fontId="41" fillId="0" borderId="0">
      <alignment horizontal="right"/>
      <protection locked="0"/>
    </xf>
    <xf numFmtId="205" fontId="41" fillId="0" borderId="0">
      <alignment horizontal="right"/>
      <protection locked="0"/>
    </xf>
    <xf numFmtId="205" fontId="41" fillId="0" borderId="0">
      <alignment horizontal="right"/>
      <protection locked="0"/>
    </xf>
    <xf numFmtId="205" fontId="41" fillId="0" borderId="0">
      <alignment horizontal="right"/>
      <protection locked="0"/>
    </xf>
    <xf numFmtId="205" fontId="41" fillId="0" borderId="0">
      <alignment horizontal="right"/>
      <protection locked="0"/>
    </xf>
    <xf numFmtId="205" fontId="41" fillId="0" borderId="0">
      <alignment horizontal="right"/>
      <protection locked="0"/>
    </xf>
    <xf numFmtId="205" fontId="41" fillId="0" borderId="0">
      <alignment horizontal="right"/>
      <protection locked="0"/>
    </xf>
    <xf numFmtId="206" fontId="41" fillId="0" borderId="0"/>
    <xf numFmtId="207" fontId="41" fillId="0" borderId="0"/>
    <xf numFmtId="207" fontId="41" fillId="0" borderId="0"/>
    <xf numFmtId="207" fontId="41" fillId="0" borderId="0"/>
    <xf numFmtId="207" fontId="41" fillId="0" borderId="0"/>
    <xf numFmtId="207" fontId="41" fillId="0" borderId="0"/>
    <xf numFmtId="207" fontId="41" fillId="0" borderId="0"/>
    <xf numFmtId="207" fontId="41" fillId="0" borderId="0"/>
    <xf numFmtId="207" fontId="41" fillId="0" borderId="0"/>
    <xf numFmtId="208" fontId="41" fillId="0" borderId="0"/>
    <xf numFmtId="208" fontId="41" fillId="0" borderId="0"/>
    <xf numFmtId="208" fontId="41" fillId="0" borderId="0"/>
    <xf numFmtId="208" fontId="41" fillId="0" borderId="0"/>
    <xf numFmtId="208" fontId="41" fillId="0" borderId="0"/>
    <xf numFmtId="208" fontId="41" fillId="0" borderId="0"/>
    <xf numFmtId="208" fontId="41" fillId="0" borderId="0"/>
    <xf numFmtId="208" fontId="41" fillId="0" borderId="0"/>
    <xf numFmtId="206" fontId="41" fillId="0" borderId="0"/>
    <xf numFmtId="206" fontId="41" fillId="0" borderId="0"/>
    <xf numFmtId="206" fontId="41" fillId="0" borderId="0"/>
    <xf numFmtId="206" fontId="41" fillId="0" borderId="0"/>
    <xf numFmtId="206" fontId="41" fillId="0" borderId="0"/>
    <xf numFmtId="206" fontId="41" fillId="0" borderId="0"/>
    <xf numFmtId="206" fontId="41" fillId="0" borderId="0"/>
    <xf numFmtId="206" fontId="41" fillId="0" borderId="34"/>
    <xf numFmtId="207" fontId="41" fillId="0" borderId="34"/>
    <xf numFmtId="207" fontId="41" fillId="0" borderId="34"/>
    <xf numFmtId="207" fontId="41" fillId="0" borderId="34"/>
    <xf numFmtId="207" fontId="41" fillId="0" borderId="34"/>
    <xf numFmtId="207" fontId="41" fillId="0" borderId="34"/>
    <xf numFmtId="207" fontId="41" fillId="0" borderId="34"/>
    <xf numFmtId="207" fontId="41" fillId="0" borderId="34"/>
    <xf numFmtId="207" fontId="41" fillId="0" borderId="34"/>
    <xf numFmtId="207" fontId="41" fillId="0" borderId="34"/>
    <xf numFmtId="207" fontId="41" fillId="0" borderId="34"/>
    <xf numFmtId="207" fontId="41" fillId="0" borderId="34"/>
    <xf numFmtId="208" fontId="41" fillId="0" borderId="34"/>
    <xf numFmtId="208" fontId="41" fillId="0" borderId="34"/>
    <xf numFmtId="208" fontId="41" fillId="0" borderId="34"/>
    <xf numFmtId="208" fontId="41" fillId="0" borderId="34"/>
    <xf numFmtId="208" fontId="41" fillId="0" borderId="34"/>
    <xf numFmtId="208" fontId="41" fillId="0" borderId="34"/>
    <xf numFmtId="208" fontId="41" fillId="0" borderId="34"/>
    <xf numFmtId="208" fontId="41" fillId="0" borderId="34"/>
    <xf numFmtId="208" fontId="41" fillId="0" borderId="34"/>
    <xf numFmtId="208" fontId="41" fillId="0" borderId="34"/>
    <xf numFmtId="208"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206" fontId="41" fillId="0" borderId="34"/>
    <xf numFmtId="0" fontId="183" fillId="155" borderId="117" applyNumberFormat="0" applyAlignment="0" applyProtection="0"/>
    <xf numFmtId="0" fontId="183" fillId="155" borderId="117" applyNumberFormat="0" applyAlignment="0" applyProtection="0"/>
    <xf numFmtId="0" fontId="183" fillId="155" borderId="117" applyNumberFormat="0" applyAlignment="0" applyProtection="0"/>
    <xf numFmtId="0" fontId="183" fillId="155" borderId="117" applyNumberFormat="0" applyAlignment="0" applyProtection="0"/>
    <xf numFmtId="169" fontId="169" fillId="112" borderId="22" applyNumberFormat="0" applyFont="0" applyAlignment="0" applyProtection="0">
      <protection locked="0"/>
    </xf>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184" fillId="28" borderId="12" applyNumberFormat="0" applyAlignment="0" applyProtection="0"/>
    <xf numFmtId="0" fontId="25" fillId="30" borderId="12"/>
    <xf numFmtId="0" fontId="25" fillId="28" borderId="12" applyNumberFormat="0" applyAlignment="0" applyProtection="0"/>
    <xf numFmtId="0" fontId="25" fillId="28" borderId="12" applyNumberFormat="0" applyAlignment="0" applyProtection="0"/>
    <xf numFmtId="0" fontId="184" fillId="30" borderId="12" applyNumberFormat="0" applyAlignment="0" applyProtection="0"/>
    <xf numFmtId="192" fontId="25" fillId="118" borderId="12" applyNumberFormat="0" applyAlignment="0" applyProtection="0"/>
    <xf numFmtId="0" fontId="25" fillId="30" borderId="12"/>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25" fillId="28" borderId="12" applyNumberFormat="0" applyAlignment="0" applyProtection="0"/>
    <xf numFmtId="0" fontId="25" fillId="28" borderId="12" applyNumberFormat="0" applyAlignment="0" applyProtection="0"/>
    <xf numFmtId="0" fontId="25" fillId="28" borderId="12" applyNumberFormat="0" applyAlignment="0" applyProtection="0"/>
    <xf numFmtId="0" fontId="184" fillId="30" borderId="12" applyNumberFormat="0" applyAlignment="0" applyProtection="0"/>
    <xf numFmtId="0" fontId="184" fillId="30" borderId="12" applyNumberFormat="0" applyAlignment="0" applyProtection="0"/>
    <xf numFmtId="192" fontId="25" fillId="118"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192" fontId="25" fillId="118"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0" fontId="184" fillId="30" borderId="12" applyNumberFormat="0" applyAlignment="0" applyProtection="0"/>
    <xf numFmtId="192" fontId="25" fillId="118" borderId="12" applyNumberFormat="0" applyAlignment="0" applyProtection="0"/>
    <xf numFmtId="192" fontId="25" fillId="118" borderId="12" applyNumberFormat="0" applyAlignment="0" applyProtection="0"/>
    <xf numFmtId="192" fontId="25" fillId="118" borderId="12" applyNumberFormat="0" applyAlignment="0" applyProtection="0"/>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28" borderId="12" applyNumberFormat="0" applyAlignment="0" applyProtection="0"/>
    <xf numFmtId="0" fontId="25" fillId="118" borderId="12" applyNumberFormat="0" applyAlignment="0" applyProtection="0"/>
    <xf numFmtId="0" fontId="25" fillId="28" borderId="12" applyNumberFormat="0" applyAlignment="0" applyProtection="0"/>
    <xf numFmtId="192" fontId="185" fillId="155" borderId="12" applyNumberFormat="0" applyAlignment="0" applyProtection="0"/>
    <xf numFmtId="192" fontId="185" fillId="155" borderId="12" applyNumberFormat="0" applyAlignment="0" applyProtection="0"/>
    <xf numFmtId="192" fontId="185" fillId="155" borderId="12" applyNumberFormat="0" applyAlignment="0" applyProtection="0"/>
    <xf numFmtId="192" fontId="185" fillId="155" borderId="12" applyNumberFormat="0" applyAlignment="0" applyProtection="0"/>
    <xf numFmtId="192" fontId="185" fillId="155" borderId="12" applyNumberFormat="0" applyAlignment="0" applyProtection="0"/>
    <xf numFmtId="192" fontId="185" fillId="155" borderId="12" applyNumberFormat="0" applyAlignment="0" applyProtection="0"/>
    <xf numFmtId="0" fontId="25" fillId="118" borderId="12" applyNumberFormat="0" applyAlignment="0" applyProtection="0"/>
    <xf numFmtId="0" fontId="25" fillId="118" borderId="12" applyNumberFormat="0" applyAlignment="0" applyProtection="0"/>
    <xf numFmtId="0" fontId="25" fillId="30" borderId="12"/>
    <xf numFmtId="0" fontId="25" fillId="30" borderId="12"/>
    <xf numFmtId="0" fontId="25" fillId="30" borderId="12"/>
    <xf numFmtId="0" fontId="25" fillId="30" borderId="12"/>
    <xf numFmtId="0" fontId="25" fillId="30" borderId="12"/>
    <xf numFmtId="0" fontId="186" fillId="35" borderId="92"/>
    <xf numFmtId="0" fontId="25" fillId="30" borderId="12"/>
    <xf numFmtId="0" fontId="186" fillId="35" borderId="92"/>
    <xf numFmtId="0" fontId="25" fillId="30" borderId="12"/>
    <xf numFmtId="0" fontId="25" fillId="30" borderId="12"/>
    <xf numFmtId="0" fontId="186" fillId="35" borderId="92"/>
    <xf numFmtId="0" fontId="25" fillId="30" borderId="12"/>
    <xf numFmtId="0" fontId="25" fillId="30" borderId="12"/>
    <xf numFmtId="0" fontId="25" fillId="30" borderId="12"/>
    <xf numFmtId="0" fontId="25" fillId="30" borderId="12"/>
    <xf numFmtId="0" fontId="25" fillId="28" borderId="12" applyNumberFormat="0" applyAlignment="0" applyProtection="0"/>
    <xf numFmtId="0" fontId="25" fillId="28" borderId="12" applyNumberFormat="0" applyAlignment="0" applyProtection="0"/>
    <xf numFmtId="0" fontId="25" fillId="28" borderId="12" applyNumberFormat="0" applyAlignment="0" applyProtection="0"/>
    <xf numFmtId="0" fontId="25" fillId="28" borderId="12" applyNumberFormat="0" applyAlignment="0" applyProtection="0"/>
    <xf numFmtId="0" fontId="187" fillId="155" borderId="12" applyNumberFormat="0" applyAlignment="0" applyProtection="0"/>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188" fillId="156" borderId="92"/>
    <xf numFmtId="0" fontId="188" fillId="72" borderId="92" applyNumberFormat="0" applyAlignment="0" applyProtection="0"/>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25" fillId="30" borderId="12"/>
    <xf numFmtId="0" fontId="186" fillId="35" borderId="92"/>
    <xf numFmtId="0" fontId="25" fillId="30" borderId="12"/>
    <xf numFmtId="0" fontId="186" fillId="35" borderId="92"/>
    <xf numFmtId="0" fontId="25" fillId="30" borderId="12"/>
    <xf numFmtId="0" fontId="186" fillId="35" borderId="92"/>
    <xf numFmtId="0" fontId="25" fillId="30" borderId="12"/>
    <xf numFmtId="0" fontId="25" fillId="30" borderId="12"/>
    <xf numFmtId="0" fontId="188" fillId="156" borderId="92"/>
    <xf numFmtId="0" fontId="25" fillId="30" borderId="12"/>
    <xf numFmtId="0" fontId="25" fillId="30" borderId="12"/>
    <xf numFmtId="0" fontId="25" fillId="30" borderId="12" applyNumberFormat="0" applyAlignment="0" applyProtection="0"/>
    <xf numFmtId="0" fontId="116" fillId="156" borderId="92" applyNumberFormat="0" applyAlignment="0" applyProtection="0"/>
    <xf numFmtId="0" fontId="116" fillId="156" borderId="92" applyNumberFormat="0" applyAlignment="0" applyProtection="0"/>
    <xf numFmtId="0" fontId="25" fillId="28" borderId="12" applyNumberFormat="0" applyAlignment="0" applyProtection="0"/>
    <xf numFmtId="0" fontId="116" fillId="72" borderId="92" applyNumberFormat="0" applyAlignment="0" applyProtection="0"/>
    <xf numFmtId="0" fontId="25" fillId="30" borderId="12"/>
    <xf numFmtId="0" fontId="189" fillId="72" borderId="92" applyNumberFormat="0" applyAlignment="0" applyProtection="0"/>
    <xf numFmtId="0" fontId="25" fillId="30" borderId="12"/>
    <xf numFmtId="0" fontId="25" fillId="30" borderId="12"/>
    <xf numFmtId="0" fontId="190" fillId="0" borderId="0" applyNumberFormat="0" applyFont="0" applyFill="0" applyBorder="0">
      <alignment horizontal="center" vertical="center"/>
      <protection locked="0"/>
    </xf>
    <xf numFmtId="0" fontId="191" fillId="0" borderId="118" applyNumberFormat="0" applyFill="0" applyAlignment="0" applyProtection="0"/>
    <xf numFmtId="0" fontId="191" fillId="0" borderId="118"/>
    <xf numFmtId="0" fontId="26" fillId="10" borderId="13" applyNumberFormat="0" applyAlignment="0" applyProtection="0"/>
    <xf numFmtId="0" fontId="26" fillId="39" borderId="1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192" fillId="29" borderId="13" applyNumberFormat="0" applyAlignment="0" applyProtection="0"/>
    <xf numFmtId="0" fontId="26" fillId="29" borderId="13" applyNumberFormat="0" applyAlignment="0" applyProtection="0"/>
    <xf numFmtId="0" fontId="192" fillId="37" borderId="13" applyNumberFormat="0" applyAlignment="0" applyProtection="0"/>
    <xf numFmtId="0" fontId="192" fillId="37" borderId="13" applyNumberFormat="0" applyAlignment="0" applyProtection="0"/>
    <xf numFmtId="0" fontId="193" fillId="157" borderId="95"/>
    <xf numFmtId="0" fontId="26" fillId="37" borderId="13"/>
    <xf numFmtId="0" fontId="26" fillId="29" borderId="13" applyNumberFormat="0" applyAlignment="0" applyProtection="0"/>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29" borderId="13" applyNumberFormat="0" applyAlignment="0" applyProtection="0"/>
    <xf numFmtId="0" fontId="26" fillId="118" borderId="13" applyNumberFormat="0" applyAlignment="0" applyProtection="0"/>
    <xf numFmtId="0" fontId="26" fillId="37" borderId="13"/>
    <xf numFmtId="0" fontId="26" fillId="37" borderId="13"/>
    <xf numFmtId="0" fontId="26" fillId="37" borderId="13"/>
    <xf numFmtId="0" fontId="26" fillId="37" borderId="13"/>
    <xf numFmtId="0" fontId="26" fillId="37" borderId="13"/>
    <xf numFmtId="0" fontId="194" fillId="157" borderId="119"/>
    <xf numFmtId="0" fontId="26" fillId="37" borderId="13"/>
    <xf numFmtId="0" fontId="194" fillId="157" borderId="119"/>
    <xf numFmtId="0" fontId="26" fillId="37" borderId="13"/>
    <xf numFmtId="0" fontId="26" fillId="37" borderId="13"/>
    <xf numFmtId="0" fontId="194" fillId="157" borderId="119"/>
    <xf numFmtId="0" fontId="26" fillId="37" borderId="13"/>
    <xf numFmtId="0" fontId="26" fillId="37" borderId="13"/>
    <xf numFmtId="0" fontId="26" fillId="37" borderId="13"/>
    <xf numFmtId="0" fontId="26" fillId="37" borderId="13"/>
    <xf numFmtId="0" fontId="26" fillId="37" borderId="13"/>
    <xf numFmtId="0" fontId="26" fillId="29" borderId="13" applyNumberFormat="0" applyAlignment="0" applyProtection="0"/>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26" fillId="37" borderId="13"/>
    <xf numFmtId="0" fontId="194" fillId="157" borderId="119"/>
    <xf numFmtId="0" fontId="26" fillId="37" borderId="13"/>
    <xf numFmtId="0" fontId="194" fillId="157" borderId="119"/>
    <xf numFmtId="0" fontId="26" fillId="37" borderId="13"/>
    <xf numFmtId="0" fontId="194" fillId="157" borderId="119"/>
    <xf numFmtId="0" fontId="26" fillId="37" borderId="13"/>
    <xf numFmtId="0" fontId="26" fillId="37" borderId="13"/>
    <xf numFmtId="0" fontId="144" fillId="157" borderId="95"/>
    <xf numFmtId="0" fontId="26" fillId="37" borderId="13"/>
    <xf numFmtId="0" fontId="195" fillId="73" borderId="95" applyNumberFormat="0" applyAlignment="0" applyProtection="0"/>
    <xf numFmtId="0" fontId="26" fillId="37" borderId="13"/>
    <xf numFmtId="0" fontId="26" fillId="37" borderId="13"/>
    <xf numFmtId="0" fontId="26" fillId="37" borderId="13"/>
    <xf numFmtId="209" fontId="48" fillId="48" borderId="12">
      <alignment horizontal="center" vertical="center" shrinkToFit="1"/>
    </xf>
    <xf numFmtId="209" fontId="48" fillId="44" borderId="12">
      <alignment horizontal="center" vertical="center" shrinkToFit="1"/>
    </xf>
    <xf numFmtId="209" fontId="48" fillId="42" borderId="12">
      <alignment horizontal="center" vertical="center" shrinkToFit="1"/>
    </xf>
    <xf numFmtId="210" fontId="196" fillId="0" borderId="22"/>
    <xf numFmtId="0" fontId="164" fillId="108" borderId="120"/>
    <xf numFmtId="0" fontId="197" fillId="108" borderId="120"/>
    <xf numFmtId="0" fontId="198" fillId="38" borderId="120"/>
    <xf numFmtId="0" fontId="23" fillId="143" borderId="0" applyNumberFormat="0" applyBorder="0" applyAlignment="0" applyProtection="0"/>
    <xf numFmtId="0" fontId="23" fillId="144" borderId="0"/>
    <xf numFmtId="0" fontId="23" fillId="17" borderId="0" applyNumberFormat="0" applyBorder="0" applyAlignment="0" applyProtection="0"/>
    <xf numFmtId="0" fontId="23" fillId="41" borderId="0"/>
    <xf numFmtId="0" fontId="23" fillId="158" borderId="0" applyNumberFormat="0" applyBorder="0" applyAlignment="0" applyProtection="0"/>
    <xf numFmtId="0" fontId="23" fillId="159" borderId="0"/>
    <xf numFmtId="0" fontId="23" fillId="160" borderId="0" applyNumberFormat="0" applyBorder="0" applyAlignment="0" applyProtection="0"/>
    <xf numFmtId="0" fontId="23" fillId="161" borderId="0"/>
    <xf numFmtId="0" fontId="23" fillId="26" borderId="0" applyNumberFormat="0" applyBorder="0" applyAlignment="0" applyProtection="0"/>
    <xf numFmtId="0" fontId="23" fillId="46" borderId="0"/>
    <xf numFmtId="0" fontId="23" fillId="17" borderId="0" applyNumberFormat="0" applyBorder="0" applyAlignment="0" applyProtection="0"/>
    <xf numFmtId="0" fontId="23" fillId="41" borderId="0"/>
    <xf numFmtId="0" fontId="197" fillId="162" borderId="121">
      <alignment horizontal="center" vertical="center"/>
    </xf>
    <xf numFmtId="211" fontId="70" fillId="125" borderId="105"/>
    <xf numFmtId="3" fontId="199" fillId="0" borderId="0"/>
    <xf numFmtId="3" fontId="199" fillId="0" borderId="0"/>
    <xf numFmtId="3" fontId="199" fillId="0" borderId="0"/>
    <xf numFmtId="3" fontId="199" fillId="0" borderId="0"/>
    <xf numFmtId="3" fontId="199" fillId="0" borderId="0"/>
    <xf numFmtId="3" fontId="199" fillId="0" borderId="0"/>
    <xf numFmtId="3" fontId="199" fillId="0" borderId="0"/>
    <xf numFmtId="3" fontId="199" fillId="0" borderId="0"/>
    <xf numFmtId="41" fontId="6" fillId="0" borderId="0"/>
    <xf numFmtId="41" fontId="48" fillId="0" borderId="0" applyFont="0" applyFill="0" applyBorder="0" applyAlignment="0" applyProtection="0"/>
    <xf numFmtId="212" fontId="200" fillId="0" borderId="0" applyFont="0" applyFill="0" applyBorder="0" applyAlignment="0" applyProtection="0"/>
    <xf numFmtId="212" fontId="201" fillId="0" borderId="0"/>
    <xf numFmtId="213" fontId="200" fillId="0" borderId="0" applyFont="0" applyFill="0" applyBorder="0" applyAlignment="0" applyProtection="0"/>
    <xf numFmtId="4" fontId="202" fillId="0" borderId="34" applyFont="0" applyFill="0" applyBorder="0" applyAlignment="0">
      <alignment horizontal="center" vertical="center"/>
    </xf>
    <xf numFmtId="214" fontId="203" fillId="0" borderId="0" applyFont="0" applyFill="0" applyBorder="0" applyAlignment="0" applyProtection="0"/>
    <xf numFmtId="214" fontId="204" fillId="0" borderId="0"/>
    <xf numFmtId="0" fontId="205" fillId="0" borderId="0" applyFont="0" applyFill="0" applyBorder="0" applyAlignment="0" applyProtection="0">
      <alignment horizontal="right"/>
    </xf>
    <xf numFmtId="215" fontId="205" fillId="0" borderId="0" applyFont="0" applyFill="0" applyBorder="0" applyAlignment="0" applyProtection="0"/>
    <xf numFmtId="43" fontId="159" fillId="0" borderId="0"/>
    <xf numFmtId="43" fontId="6" fillId="0" borderId="0"/>
    <xf numFmtId="43" fontId="6" fillId="0" borderId="0" applyFont="0" applyFill="0" applyBorder="0" applyAlignment="0" applyProtection="0"/>
    <xf numFmtId="43" fontId="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68" fillId="0" borderId="0"/>
    <xf numFmtId="43" fontId="17" fillId="0" borderId="0"/>
    <xf numFmtId="43" fontId="168" fillId="0" borderId="0"/>
    <xf numFmtId="43" fontId="17" fillId="0" borderId="0"/>
    <xf numFmtId="43" fontId="168" fillId="0" borderId="0"/>
    <xf numFmtId="43" fontId="17" fillId="0" borderId="0"/>
    <xf numFmtId="43" fontId="168" fillId="0" borderId="0"/>
    <xf numFmtId="43" fontId="17" fillId="0" borderId="0"/>
    <xf numFmtId="43" fontId="17" fillId="0" borderId="0"/>
    <xf numFmtId="43" fontId="17"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7" fillId="0" borderId="0"/>
    <xf numFmtId="43" fontId="6" fillId="0" borderId="0"/>
    <xf numFmtId="43" fontId="17"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7"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6" fillId="0" borderId="0"/>
    <xf numFmtId="43" fontId="17" fillId="0" borderId="0"/>
    <xf numFmtId="43" fontId="6" fillId="0" borderId="0"/>
    <xf numFmtId="43" fontId="17" fillId="0" borderId="0"/>
    <xf numFmtId="43" fontId="17" fillId="0" borderId="0"/>
    <xf numFmtId="43" fontId="17" fillId="0" borderId="0"/>
    <xf numFmtId="43" fontId="6" fillId="0" borderId="0"/>
    <xf numFmtId="43" fontId="6" fillId="0" borderId="0" applyFont="0" applyFill="0" applyBorder="0" applyAlignment="0" applyProtection="0"/>
    <xf numFmtId="43" fontId="1" fillId="0" borderId="0" applyFont="0" applyFill="0" applyBorder="0" applyAlignment="0" applyProtection="0"/>
    <xf numFmtId="43" fontId="6" fillId="0" borderId="0"/>
    <xf numFmtId="43" fontId="17" fillId="0" borderId="0"/>
    <xf numFmtId="43" fontId="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 fillId="0" borderId="0" applyFont="0" applyFill="0" applyBorder="0" applyAlignment="0" applyProtection="0"/>
    <xf numFmtId="43" fontId="6" fillId="0" borderId="0"/>
    <xf numFmtId="43" fontId="6" fillId="0" borderId="0"/>
    <xf numFmtId="43" fontId="6" fillId="0" borderId="0"/>
    <xf numFmtId="43" fontId="6" fillId="0" borderId="0"/>
    <xf numFmtId="43" fontId="6" fillId="0" borderId="0"/>
    <xf numFmtId="43" fontId="6" fillId="0" borderId="0"/>
    <xf numFmtId="43" fontId="17" fillId="0" borderId="0"/>
    <xf numFmtId="43" fontId="17" fillId="0" borderId="0"/>
    <xf numFmtId="43" fontId="6" fillId="0" borderId="0"/>
    <xf numFmtId="43" fontId="17" fillId="0" borderId="0"/>
    <xf numFmtId="43" fontId="6" fillId="0" borderId="0"/>
    <xf numFmtId="43" fontId="6" fillId="0" borderId="0"/>
    <xf numFmtId="43" fontId="6" fillId="0" borderId="0"/>
    <xf numFmtId="43" fontId="6" fillId="0" borderId="0"/>
    <xf numFmtId="43" fontId="1" fillId="0" borderId="0" applyFont="0" applyFill="0" applyBorder="0" applyAlignment="0" applyProtection="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 fillId="0" borderId="0" applyFont="0" applyFill="0" applyBorder="0" applyAlignment="0" applyProtection="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1" fillId="0" borderId="0" applyFont="0" applyFill="0" applyBorder="0" applyAlignment="0" applyProtection="0"/>
    <xf numFmtId="43" fontId="6" fillId="0" borderId="0"/>
    <xf numFmtId="43" fontId="6" fillId="0" borderId="0"/>
    <xf numFmtId="43" fontId="17" fillId="0" borderId="0"/>
    <xf numFmtId="43" fontId="6" fillId="0" borderId="0"/>
    <xf numFmtId="43" fontId="6" fillId="0" borderId="0"/>
    <xf numFmtId="43" fontId="6" fillId="0" borderId="0"/>
    <xf numFmtId="43" fontId="6"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6"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6" fillId="0" borderId="0" applyFont="0" applyFill="0" applyBorder="0" applyAlignment="0" applyProtection="0"/>
    <xf numFmtId="43" fontId="6" fillId="0" borderId="0"/>
    <xf numFmtId="43" fontId="6" fillId="0" borderId="0"/>
    <xf numFmtId="43" fontId="6"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6"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 fillId="0" borderId="0"/>
    <xf numFmtId="43" fontId="1" fillId="0" borderId="0"/>
    <xf numFmtId="43" fontId="1" fillId="0" borderId="0"/>
    <xf numFmtId="43" fontId="1" fillId="0" borderId="0"/>
    <xf numFmtId="43" fontId="1" fillId="0" borderId="0"/>
    <xf numFmtId="43" fontId="17" fillId="0" borderId="0"/>
    <xf numFmtId="43" fontId="6" fillId="0" borderId="0">
      <alignment vertical="center"/>
    </xf>
    <xf numFmtId="43" fontId="1" fillId="0" borderId="0" applyFont="0" applyFill="0" applyBorder="0" applyAlignment="0" applyProtection="0"/>
    <xf numFmtId="43" fontId="17" fillId="0" borderId="0"/>
    <xf numFmtId="43" fontId="1" fillId="0" borderId="0" applyFont="0" applyFill="0" applyBorder="0" applyAlignment="0" applyProtection="0"/>
    <xf numFmtId="43" fontId="17" fillId="0" borderId="0"/>
    <xf numFmtId="43" fontId="1" fillId="0" borderId="0" applyFont="0" applyFill="0" applyBorder="0" applyAlignment="0" applyProtection="0"/>
    <xf numFmtId="43" fontId="17" fillId="0" borderId="0"/>
    <xf numFmtId="216" fontId="205" fillId="0" borderId="0" applyFont="0" applyFill="0" applyBorder="0" applyAlignment="0" applyProtection="0"/>
    <xf numFmtId="217" fontId="205" fillId="0" borderId="0" applyFont="0" applyFill="0" applyBorder="0" applyAlignment="0" applyProtection="0">
      <alignment horizontal="right"/>
    </xf>
    <xf numFmtId="43" fontId="152" fillId="0" borderId="0" applyFont="0" applyFill="0" applyBorder="0" applyAlignment="0" applyProtection="0"/>
    <xf numFmtId="43" fontId="1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6" fillId="0" borderId="0">
      <alignment vertical="center"/>
    </xf>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218" fontId="205" fillId="0" borderId="0" applyFont="0" applyFill="0" applyBorder="0" applyAlignment="0" applyProtection="0"/>
    <xf numFmtId="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 fillId="0" borderId="0" applyFont="0" applyFill="0" applyBorder="0" applyAlignment="0" applyProtection="0"/>
    <xf numFmtId="43" fontId="206" fillId="0" borderId="0" applyFont="0" applyFill="0" applyBorder="0" applyAlignment="0" applyProtection="0"/>
    <xf numFmtId="43" fontId="48" fillId="0" borderId="0" applyFont="0" applyFill="0" applyBorder="0" applyAlignment="0" applyProtection="0"/>
    <xf numFmtId="43" fontId="168" fillId="0" borderId="0"/>
    <xf numFmtId="43" fontId="168" fillId="0" borderId="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xf numFmtId="43" fontId="1" fillId="0" borderId="0"/>
    <xf numFmtId="43" fontId="1" fillId="0" borderId="0"/>
    <xf numFmtId="43" fontId="1" fillId="0" borderId="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6" fillId="0" borderId="0" applyFont="0" applyFill="0" applyBorder="0" applyAlignment="0" applyProtection="0"/>
    <xf numFmtId="43" fontId="152" fillId="0" borderId="0" applyFont="0" applyFill="0" applyBorder="0" applyAlignment="0" applyProtection="0"/>
    <xf numFmtId="43" fontId="6" fillId="0" borderId="0"/>
    <xf numFmtId="219" fontId="205" fillId="0" borderId="0" applyFont="0" applyFill="0" applyBorder="0" applyAlignment="0" applyProtection="0"/>
    <xf numFmtId="3" fontId="207" fillId="0" borderId="0" applyFont="0" applyFill="0" applyBorder="0" applyAlignment="0" applyProtection="0"/>
    <xf numFmtId="0" fontId="208" fillId="0" borderId="0"/>
    <xf numFmtId="0" fontId="209" fillId="0" borderId="0"/>
    <xf numFmtId="0" fontId="210" fillId="0" borderId="0"/>
    <xf numFmtId="3" fontId="6" fillId="0" borderId="0" applyFont="0" applyFill="0" applyBorder="0" applyAlignment="0" applyProtection="0"/>
    <xf numFmtId="190" fontId="150" fillId="0" borderId="0" applyFont="0" applyFill="0" applyBorder="0" applyAlignment="0" applyProtection="0"/>
    <xf numFmtId="0" fontId="208" fillId="0" borderId="0"/>
    <xf numFmtId="0" fontId="209" fillId="0" borderId="0"/>
    <xf numFmtId="190" fontId="150" fillId="0" borderId="0" applyFont="0" applyFill="0" applyBorder="0" applyAlignment="0" applyProtection="0"/>
    <xf numFmtId="190" fontId="150" fillId="0" borderId="0" applyFont="0" applyFill="0" applyBorder="0" applyAlignment="0" applyProtection="0"/>
    <xf numFmtId="190" fontId="150" fillId="0" borderId="0" applyFont="0" applyFill="0" applyBorder="0" applyAlignment="0" applyProtection="0"/>
    <xf numFmtId="4" fontId="150" fillId="0" borderId="0" applyFont="0" applyFill="0" applyBorder="0" applyAlignment="0" applyProtection="0"/>
    <xf numFmtId="4" fontId="150" fillId="0" borderId="0" applyFont="0" applyFill="0" applyBorder="0" applyAlignment="0" applyProtection="0"/>
    <xf numFmtId="4" fontId="150" fillId="0" borderId="0" applyFont="0" applyFill="0" applyBorder="0" applyAlignment="0" applyProtection="0"/>
    <xf numFmtId="4" fontId="150" fillId="0" borderId="0" applyFont="0" applyFill="0" applyBorder="0" applyAlignment="0" applyProtection="0"/>
    <xf numFmtId="0" fontId="6" fillId="0" borderId="0"/>
    <xf numFmtId="0" fontId="6" fillId="0" borderId="0"/>
    <xf numFmtId="165" fontId="211" fillId="0" borderId="0"/>
    <xf numFmtId="0" fontId="198" fillId="30" borderId="120"/>
    <xf numFmtId="0" fontId="6" fillId="0" borderId="0"/>
    <xf numFmtId="0" fontId="19" fillId="0" borderId="0">
      <alignment horizontal="left" indent="3"/>
    </xf>
    <xf numFmtId="0" fontId="19" fillId="0" borderId="0">
      <alignment horizontal="left" indent="5"/>
    </xf>
    <xf numFmtId="0" fontId="6" fillId="38" borderId="0" applyNumberFormat="0" applyFont="0" applyBorder="0" applyAlignment="0"/>
    <xf numFmtId="0" fontId="6" fillId="38" borderId="0" applyNumberFormat="0" applyFont="0" applyBorder="0" applyAlignment="0"/>
    <xf numFmtId="0" fontId="6" fillId="0" borderId="0">
      <alignment horizontal="left"/>
    </xf>
    <xf numFmtId="0" fontId="6" fillId="0" borderId="0"/>
    <xf numFmtId="0" fontId="6" fillId="0" borderId="0">
      <alignment horizontal="left"/>
    </xf>
    <xf numFmtId="220" fontId="212" fillId="0" borderId="0" applyFont="0" applyFill="0" applyBorder="0" applyAlignment="0" applyProtection="0"/>
    <xf numFmtId="220" fontId="212" fillId="0" borderId="0"/>
    <xf numFmtId="42" fontId="6" fillId="0" borderId="0"/>
    <xf numFmtId="0" fontId="205" fillId="0" borderId="0" applyFont="0" applyFill="0" applyBorder="0" applyAlignment="0" applyProtection="0">
      <alignment horizontal="right"/>
    </xf>
    <xf numFmtId="44" fontId="6" fillId="0" borderId="0"/>
    <xf numFmtId="44" fontId="6" fillId="0" borderId="0"/>
    <xf numFmtId="44" fontId="6" fillId="0" borderId="0"/>
    <xf numFmtId="44" fontId="6" fillId="0" borderId="0"/>
    <xf numFmtId="44" fontId="6" fillId="0" borderId="0"/>
    <xf numFmtId="44" fontId="6" fillId="0" borderId="0"/>
    <xf numFmtId="44" fontId="1" fillId="0" borderId="0" applyFont="0" applyFill="0" applyBorder="0" applyAlignment="0" applyProtection="0"/>
    <xf numFmtId="221" fontId="6" fillId="0" borderId="0" applyFont="0" applyFill="0" applyBorder="0" applyAlignment="0" applyProtection="0"/>
    <xf numFmtId="44" fontId="1" fillId="0" borderId="0" applyFont="0" applyFill="0" applyBorder="0" applyAlignment="0" applyProtection="0"/>
    <xf numFmtId="222"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xf numFmtId="223" fontId="213" fillId="0" borderId="0" applyFont="0" applyFill="0" applyBorder="0" applyAlignment="0" applyProtection="0"/>
    <xf numFmtId="0" fontId="205" fillId="0" borderId="0" applyFill="0" applyBorder="0" applyProtection="0"/>
    <xf numFmtId="44" fontId="1" fillId="0" borderId="0" applyFont="0" applyFill="0" applyBorder="0" applyAlignment="0" applyProtection="0"/>
    <xf numFmtId="44" fontId="6" fillId="0" borderId="0"/>
    <xf numFmtId="222" fontId="6" fillId="0" borderId="0" applyFont="0" applyFill="0" applyBorder="0" applyAlignment="0" applyProtection="0"/>
    <xf numFmtId="224" fontId="213" fillId="0" borderId="0" applyFont="0" applyFill="0" applyBorder="0" applyAlignment="0" applyProtection="0"/>
    <xf numFmtId="44" fontId="79" fillId="0" borderId="0" applyFont="0" applyFill="0" applyBorder="0" applyAlignment="0" applyProtection="0"/>
    <xf numFmtId="222" fontId="6" fillId="0" borderId="0" applyFont="0" applyFill="0" applyBorder="0" applyAlignment="0" applyProtection="0"/>
    <xf numFmtId="7" fontId="152" fillId="0" borderId="0" applyFont="0" applyFill="0" applyBorder="0" applyAlignment="0" applyProtection="0"/>
    <xf numFmtId="225" fontId="205" fillId="0" borderId="0" applyFont="0" applyFill="0" applyBorder="0" applyAlignment="0" applyProtection="0"/>
    <xf numFmtId="226" fontId="205" fillId="0" borderId="0" applyFont="0" applyFill="0" applyBorder="0" applyAlignment="0" applyProtection="0"/>
    <xf numFmtId="49" fontId="140" fillId="147" borderId="0">
      <alignment vertical="center"/>
    </xf>
    <xf numFmtId="227" fontId="214" fillId="0" borderId="27" applyFill="0" applyProtection="0">
      <alignment horizontal="left"/>
    </xf>
    <xf numFmtId="1" fontId="215" fillId="0" borderId="122" applyProtection="0">
      <alignment horizontal="left"/>
    </xf>
    <xf numFmtId="1" fontId="214" fillId="0" borderId="0" applyFill="0" applyBorder="0" applyProtection="0">
      <alignment horizontal="left"/>
    </xf>
    <xf numFmtId="228" fontId="209" fillId="0" borderId="123" applyNumberFormat="0" applyFill="0">
      <alignment horizontal="right"/>
    </xf>
    <xf numFmtId="198"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199"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200"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22">
      <protection locked="0"/>
    </xf>
    <xf numFmtId="198" fontId="41" fillId="38" borderId="124">
      <protection locked="0"/>
    </xf>
    <xf numFmtId="201"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2"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3"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22">
      <protection locked="0"/>
    </xf>
    <xf numFmtId="201" fontId="41" fillId="38" borderId="124">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4"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205" fontId="41" fillId="38" borderId="22">
      <alignment horizontal="right"/>
      <protection locked="0"/>
    </xf>
    <xf numFmtId="192" fontId="41" fillId="38" borderId="22">
      <alignment horizontal="left"/>
      <protection locked="0"/>
    </xf>
    <xf numFmtId="0" fontId="41" fillId="38" borderId="22">
      <alignment horizontal="left"/>
      <protection locked="0"/>
    </xf>
    <xf numFmtId="0" fontId="41" fillId="38" borderId="22">
      <alignment horizontal="left"/>
      <protection locked="0"/>
    </xf>
    <xf numFmtId="0" fontId="41" fillId="38" borderId="22">
      <alignment horizontal="left"/>
      <protection locked="0"/>
    </xf>
    <xf numFmtId="0"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78" fontId="41" fillId="38" borderId="22">
      <alignment horizontal="left"/>
      <protection locked="0"/>
    </xf>
    <xf numFmtId="192" fontId="41" fillId="38" borderId="22">
      <alignment horizontal="left"/>
      <protection locked="0"/>
    </xf>
    <xf numFmtId="0"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192" fontId="41" fillId="38" borderId="22">
      <alignment horizontal="left"/>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49" fontId="41" fillId="111" borderId="124">
      <alignment horizontal="left" vertical="top" wrapText="1"/>
      <protection locked="0"/>
    </xf>
    <xf numFmtId="206"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7"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8"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22">
      <protection locked="0"/>
    </xf>
    <xf numFmtId="206" fontId="41" fillId="38" borderId="124">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49" fontId="41" fillId="38" borderId="22">
      <alignment horizontal="left"/>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29" fontId="41" fillId="38" borderId="124">
      <alignment horizontal="left" indent="1"/>
      <protection locked="0"/>
    </xf>
    <xf numFmtId="2" fontId="216" fillId="38" borderId="125">
      <protection locked="0"/>
    </xf>
    <xf numFmtId="14" fontId="217" fillId="0" borderId="0">
      <alignment horizontal="right"/>
    </xf>
    <xf numFmtId="0" fontId="207" fillId="0" borderId="0" applyFont="0" applyFill="0" applyBorder="0" applyAlignment="0" applyProtection="0"/>
    <xf numFmtId="0" fontId="205" fillId="0" borderId="0" applyFont="0" applyFill="0" applyBorder="0" applyAlignment="0" applyProtection="0"/>
    <xf numFmtId="230" fontId="205" fillId="0" borderId="0" applyFont="0" applyFill="0" applyBorder="0" applyAlignment="0" applyProtection="0"/>
    <xf numFmtId="16" fontId="48" fillId="0" borderId="0" applyFont="0" applyFill="0" applyBorder="0" applyAlignment="0" applyProtection="0"/>
    <xf numFmtId="15" fontId="48" fillId="0" borderId="0" applyFont="0" applyFill="0" applyBorder="0" applyAlignment="0" applyProtection="0"/>
    <xf numFmtId="17" fontId="48" fillId="0" borderId="0" applyFont="0" applyFill="0" applyBorder="0" applyAlignment="0" applyProtection="0"/>
    <xf numFmtId="220" fontId="218" fillId="0" borderId="0">
      <protection locked="0"/>
    </xf>
    <xf numFmtId="15" fontId="6" fillId="0" borderId="0"/>
    <xf numFmtId="15" fontId="6" fillId="0" borderId="0"/>
    <xf numFmtId="15" fontId="6" fillId="0" borderId="0"/>
    <xf numFmtId="15" fontId="6" fillId="0" borderId="0"/>
    <xf numFmtId="15" fontId="6" fillId="0" borderId="0"/>
    <xf numFmtId="15" fontId="6" fillId="0" borderId="0"/>
    <xf numFmtId="15" fontId="6" fillId="0" borderId="0"/>
    <xf numFmtId="15" fontId="6" fillId="0" borderId="0"/>
    <xf numFmtId="15" fontId="6" fillId="0" borderId="0"/>
    <xf numFmtId="15" fontId="6" fillId="0" borderId="0"/>
    <xf numFmtId="15" fontId="6" fillId="0" borderId="0"/>
    <xf numFmtId="15" fontId="6" fillId="0" borderId="0"/>
    <xf numFmtId="231" fontId="6" fillId="0" borderId="0" applyFont="0" applyFill="0" applyBorder="0" applyAlignment="0" applyProtection="0">
      <alignment wrapText="1"/>
    </xf>
    <xf numFmtId="232" fontId="50" fillId="0" borderId="0"/>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23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43" fontId="6" fillId="0" borderId="0">
      <alignment horizontal="center"/>
    </xf>
    <xf numFmtId="234" fontId="16" fillId="118" borderId="0">
      <alignment horizontal="right"/>
    </xf>
    <xf numFmtId="15" fontId="219" fillId="159" borderId="0" applyNumberFormat="0" applyFont="0" applyBorder="0" applyAlignment="0" applyProtection="0"/>
    <xf numFmtId="235" fontId="12" fillId="0" borderId="0" applyFont="0" applyFill="0" applyBorder="0" applyAlignment="0" applyProtection="0"/>
    <xf numFmtId="236" fontId="12" fillId="0" borderId="0" applyFont="0" applyFill="0" applyBorder="0" applyAlignment="0" applyProtection="0"/>
    <xf numFmtId="0" fontId="6" fillId="0" borderId="0">
      <protection locked="0"/>
    </xf>
    <xf numFmtId="0" fontId="6" fillId="0" borderId="0"/>
    <xf numFmtId="165" fontId="150" fillId="0" borderId="0" applyBorder="0"/>
    <xf numFmtId="165" fontId="150" fillId="0" borderId="31"/>
    <xf numFmtId="0" fontId="205" fillId="0" borderId="126" applyNumberFormat="0" applyFont="0" applyFill="0" applyAlignment="0" applyProtection="0"/>
    <xf numFmtId="194" fontId="220" fillId="52" borderId="0">
      <alignment horizontal="right"/>
    </xf>
    <xf numFmtId="0" fontId="6" fillId="0" borderId="0">
      <protection locked="0"/>
    </xf>
    <xf numFmtId="0" fontId="6" fillId="0" borderId="0">
      <protection locked="0"/>
    </xf>
    <xf numFmtId="0" fontId="221" fillId="163" borderId="127"/>
    <xf numFmtId="0" fontId="221" fillId="163" borderId="127"/>
    <xf numFmtId="0" fontId="222" fillId="164" borderId="127">
      <alignment horizontal="center" vertical="center"/>
    </xf>
    <xf numFmtId="0" fontId="222" fillId="164" borderId="127">
      <alignment horizontal="center" vertical="center"/>
    </xf>
    <xf numFmtId="0" fontId="223" fillId="0" borderId="0">
      <alignment horizontal="left" vertical="center"/>
    </xf>
    <xf numFmtId="0" fontId="224" fillId="0" borderId="0"/>
    <xf numFmtId="0" fontId="222" fillId="164" borderId="12" applyFont="0" applyFill="0" applyAlignment="0">
      <alignment horizontal="center" vertical="center"/>
    </xf>
    <xf numFmtId="0" fontId="222" fillId="164" borderId="12" applyFont="0" applyFill="0" applyAlignment="0">
      <alignment horizontal="center" vertical="center"/>
    </xf>
    <xf numFmtId="0" fontId="222" fillId="164" borderId="12" applyFont="0" applyFill="0" applyAlignment="0">
      <alignment horizontal="center" vertical="center"/>
    </xf>
    <xf numFmtId="0" fontId="222" fillId="164" borderId="12" applyFont="0" applyFill="0" applyAlignment="0">
      <alignment horizontal="center" vertical="center"/>
    </xf>
    <xf numFmtId="9" fontId="221" fillId="163" borderId="12" applyNumberFormat="0" applyAlignment="0" applyProtection="0"/>
    <xf numFmtId="9" fontId="221" fillId="163" borderId="12"/>
    <xf numFmtId="9" fontId="221" fillId="163" borderId="12"/>
    <xf numFmtId="0" fontId="221" fillId="163" borderId="12" applyNumberFormat="0" applyAlignment="0" applyProtection="0"/>
    <xf numFmtId="9" fontId="221" fillId="163" borderId="12" applyNumberFormat="0" applyAlignment="0" applyProtection="0"/>
    <xf numFmtId="9" fontId="221" fillId="163" borderId="12" applyNumberFormat="0" applyAlignment="0" applyProtection="0"/>
    <xf numFmtId="9" fontId="221" fillId="163" borderId="12" applyNumberFormat="0" applyAlignment="0" applyProtection="0"/>
    <xf numFmtId="9" fontId="221" fillId="163" borderId="12"/>
    <xf numFmtId="0" fontId="222" fillId="164" borderId="12" applyNumberFormat="0" applyProtection="0">
      <alignment horizontal="center" vertical="center" wrapText="1"/>
    </xf>
    <xf numFmtId="0" fontId="222" fillId="164" borderId="12">
      <alignment horizontal="center" vertical="center" wrapText="1"/>
    </xf>
    <xf numFmtId="0" fontId="222" fillId="164" borderId="12" applyNumberFormat="0" applyProtection="0">
      <alignment horizontal="center" vertical="center" wrapText="1"/>
    </xf>
    <xf numFmtId="0" fontId="222" fillId="164" borderId="12" applyNumberFormat="0" applyProtection="0">
      <alignment horizontal="center" vertical="center" wrapText="1"/>
    </xf>
    <xf numFmtId="0" fontId="222" fillId="164" borderId="12" applyNumberFormat="0" applyProtection="0">
      <alignment horizontal="center" vertical="center" wrapText="1"/>
    </xf>
    <xf numFmtId="0" fontId="222" fillId="164" borderId="12" applyNumberFormat="0" applyProtection="0">
      <alignment horizontal="center" vertical="center" wrapText="1"/>
    </xf>
    <xf numFmtId="0" fontId="222" fillId="164" borderId="12" applyNumberFormat="0" applyProtection="0">
      <alignment horizontal="center" vertical="center" wrapText="1"/>
    </xf>
    <xf numFmtId="0" fontId="225" fillId="0" borderId="0" applyNumberFormat="0" applyFill="0" applyBorder="0" applyProtection="0"/>
    <xf numFmtId="0" fontId="225" fillId="0" borderId="0"/>
    <xf numFmtId="0" fontId="225" fillId="0" borderId="0" applyNumberFormat="0" applyFill="0" applyBorder="0" applyProtection="0"/>
    <xf numFmtId="0" fontId="225"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237" fontId="6" fillId="0" borderId="0" applyFont="0" applyFill="0" applyBorder="0" applyAlignment="0" applyProtection="0"/>
    <xf numFmtId="178" fontId="6" fillId="0" borderId="0" applyFont="0" applyFill="0" applyBorder="0" applyAlignment="0" applyProtection="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applyFont="0" applyFill="0" applyBorder="0" applyAlignment="0" applyProtection="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6" fillId="0" borderId="0" applyNumberFormat="0" applyFill="0" applyBorder="0" applyAlignment="0" applyProtection="0"/>
    <xf numFmtId="0" fontId="27" fillId="0" borderId="0" applyNumberFormat="0" applyFill="0" applyBorder="0" applyAlignment="0" applyProtection="0"/>
    <xf numFmtId="0" fontId="27" fillId="0" borderId="0"/>
    <xf numFmtId="0" fontId="118" fillId="0" borderId="0"/>
    <xf numFmtId="0" fontId="27" fillId="0" borderId="0"/>
    <xf numFmtId="0" fontId="2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27" fillId="0" borderId="0"/>
    <xf numFmtId="0" fontId="27" fillId="0" borderId="0"/>
    <xf numFmtId="0" fontId="227" fillId="0" borderId="0"/>
    <xf numFmtId="0" fontId="27" fillId="0" borderId="0"/>
    <xf numFmtId="0" fontId="27" fillId="0" borderId="0"/>
    <xf numFmtId="0" fontId="2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7" fillId="0" borderId="0"/>
    <xf numFmtId="0" fontId="27" fillId="0" borderId="0"/>
    <xf numFmtId="0" fontId="27" fillId="0" borderId="0"/>
    <xf numFmtId="0" fontId="227" fillId="0" borderId="0"/>
    <xf numFmtId="0" fontId="27" fillId="0" borderId="0"/>
    <xf numFmtId="0" fontId="27" fillId="0" borderId="0"/>
    <xf numFmtId="0" fontId="228" fillId="0" borderId="0"/>
    <xf numFmtId="0" fontId="27" fillId="0" borderId="0"/>
    <xf numFmtId="0" fontId="229" fillId="0" borderId="0" applyNumberFormat="0" applyFill="0" applyBorder="0" applyAlignment="0" applyProtection="0"/>
    <xf numFmtId="0" fontId="27" fillId="0" borderId="0"/>
    <xf numFmtId="0" fontId="27" fillId="0" borderId="0"/>
    <xf numFmtId="0" fontId="27" fillId="0" borderId="0"/>
    <xf numFmtId="0" fontId="230" fillId="37" borderId="0"/>
    <xf numFmtId="0" fontId="231" fillId="0" borderId="0"/>
    <xf numFmtId="238" fontId="53" fillId="0" borderId="0"/>
    <xf numFmtId="15" fontId="48" fillId="0" borderId="0" applyFill="0" applyBorder="0" applyProtection="0">
      <alignment horizontal="center"/>
    </xf>
    <xf numFmtId="0" fontId="230" fillId="40" borderId="0"/>
    <xf numFmtId="239" fontId="232" fillId="0" borderId="0"/>
    <xf numFmtId="240" fontId="71" fillId="30" borderId="128"/>
    <xf numFmtId="241" fontId="70" fillId="0" borderId="0"/>
    <xf numFmtId="241" fontId="148" fillId="0" borderId="0"/>
    <xf numFmtId="15" fontId="136" fillId="38" borderId="124">
      <alignment horizontal="center"/>
      <protection locked="0"/>
    </xf>
    <xf numFmtId="242" fontId="136" fillId="38" borderId="124">
      <protection locked="0"/>
    </xf>
    <xf numFmtId="241" fontId="136" fillId="38" borderId="124">
      <protection locked="0"/>
    </xf>
    <xf numFmtId="241" fontId="48" fillId="0" borderId="0"/>
    <xf numFmtId="242" fontId="48" fillId="0" borderId="0"/>
    <xf numFmtId="243" fontId="48" fillId="0" borderId="0"/>
    <xf numFmtId="0" fontId="230" fillId="0" borderId="110"/>
    <xf numFmtId="0" fontId="230" fillId="0" borderId="129"/>
    <xf numFmtId="0" fontId="230" fillId="48" borderId="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52" fillId="30" borderId="0"/>
    <xf numFmtId="0" fontId="152" fillId="30" borderId="0"/>
    <xf numFmtId="0" fontId="152" fillId="30" borderId="0"/>
    <xf numFmtId="0" fontId="152" fillId="30" borderId="0"/>
    <xf numFmtId="0" fontId="152" fillId="30" borderId="0"/>
    <xf numFmtId="0" fontId="152" fillId="30" borderId="0"/>
    <xf numFmtId="0" fontId="6" fillId="0" borderId="0">
      <protection locked="0"/>
    </xf>
    <xf numFmtId="2" fontId="152" fillId="0" borderId="0" applyFill="0" applyBorder="0" applyAlignment="0" applyProtection="0"/>
    <xf numFmtId="2" fontId="207" fillId="0" borderId="0" applyFont="0" applyFill="0" applyBorder="0" applyAlignment="0" applyProtection="0"/>
    <xf numFmtId="0" fontId="209" fillId="0" borderId="0"/>
    <xf numFmtId="0" fontId="233" fillId="0" borderId="0"/>
    <xf numFmtId="0" fontId="6" fillId="0" borderId="106"/>
    <xf numFmtId="0" fontId="6" fillId="0" borderId="0">
      <alignment horizontal="left"/>
    </xf>
    <xf numFmtId="0" fontId="234" fillId="0" borderId="0">
      <alignment horizontal="left"/>
    </xf>
    <xf numFmtId="0" fontId="42" fillId="0" borderId="0" applyFill="0" applyBorder="0" applyProtection="0">
      <alignment horizontal="left"/>
    </xf>
    <xf numFmtId="0" fontId="235" fillId="0" borderId="0" applyNumberFormat="0" applyFill="0" applyBorder="0" applyProtection="0">
      <alignment horizontal="left"/>
    </xf>
    <xf numFmtId="0" fontId="235" fillId="0" borderId="0">
      <alignment horizontal="left"/>
    </xf>
    <xf numFmtId="192" fontId="140" fillId="165" borderId="0">
      <alignment horizontal="right" vertical="center"/>
    </xf>
    <xf numFmtId="192" fontId="140" fillId="165" borderId="0">
      <alignment horizontal="right" vertical="center"/>
    </xf>
    <xf numFmtId="192" fontId="140" fillId="165" borderId="0">
      <alignment horizontal="right" vertical="center"/>
    </xf>
    <xf numFmtId="192" fontId="140" fillId="165" borderId="0">
      <alignment horizontal="right" vertical="center"/>
    </xf>
    <xf numFmtId="192" fontId="140" fillId="165" borderId="0">
      <alignment horizontal="right" vertical="center"/>
    </xf>
    <xf numFmtId="192" fontId="140" fillId="165" borderId="0">
      <alignment horizontal="right" vertical="center"/>
    </xf>
    <xf numFmtId="192" fontId="140" fillId="165" borderId="0">
      <alignment horizontal="right" vertical="center"/>
    </xf>
    <xf numFmtId="192" fontId="140" fillId="165" borderId="0">
      <alignment horizontal="right" vertical="center"/>
    </xf>
    <xf numFmtId="178" fontId="140" fillId="165" borderId="0">
      <alignment horizontal="right" vertical="center"/>
    </xf>
    <xf numFmtId="0" fontId="159" fillId="166" borderId="120"/>
    <xf numFmtId="0" fontId="198" fillId="166" borderId="120"/>
    <xf numFmtId="0" fontId="6" fillId="0" borderId="0" applyFont="0" applyFill="0" applyBorder="0" applyProtection="0">
      <alignment horizontal="right"/>
    </xf>
    <xf numFmtId="0" fontId="6" fillId="0" borderId="0" applyFont="0" applyFill="0" applyBorder="0" applyProtection="0">
      <alignment horizontal="right"/>
    </xf>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36" fillId="12" borderId="0" applyNumberFormat="0" applyBorder="0" applyAlignment="0" applyProtection="0"/>
    <xf numFmtId="0" fontId="28" fillId="12" borderId="0" applyNumberFormat="0" applyBorder="0" applyAlignment="0" applyProtection="0"/>
    <xf numFmtId="0" fontId="236" fillId="111" borderId="0" applyNumberFormat="0" applyBorder="0" applyAlignment="0" applyProtection="0"/>
    <xf numFmtId="0" fontId="236" fillId="111" borderId="0" applyNumberFormat="0" applyBorder="0" applyAlignment="0" applyProtection="0"/>
    <xf numFmtId="0" fontId="114" fillId="98" borderId="0"/>
    <xf numFmtId="0" fontId="28" fillId="111" borderId="0"/>
    <xf numFmtId="0" fontId="28" fillId="12" borderId="0" applyNumberFormat="0" applyBorder="0" applyAlignment="0" applyProtection="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2" borderId="0" applyNumberFormat="0" applyBorder="0" applyAlignment="0" applyProtection="0"/>
    <xf numFmtId="0" fontId="28" fillId="121" borderId="0" applyNumberFormat="0" applyBorder="0" applyAlignment="0" applyProtection="0"/>
    <xf numFmtId="0" fontId="28" fillId="14" borderId="0" applyNumberFormat="0" applyBorder="0" applyAlignment="0" applyProtection="0"/>
    <xf numFmtId="0" fontId="28" fillId="111" borderId="0"/>
    <xf numFmtId="0" fontId="28" fillId="111" borderId="0"/>
    <xf numFmtId="0" fontId="28" fillId="111" borderId="0"/>
    <xf numFmtId="0" fontId="28" fillId="111" borderId="0"/>
    <xf numFmtId="0" fontId="28" fillId="111" borderId="0"/>
    <xf numFmtId="0" fontId="237" fillId="98" borderId="0"/>
    <xf numFmtId="0" fontId="28" fillId="111" borderId="0"/>
    <xf numFmtId="0" fontId="237" fillId="98" borderId="0"/>
    <xf numFmtId="0" fontId="28" fillId="111" borderId="0"/>
    <xf numFmtId="0" fontId="28" fillId="111" borderId="0"/>
    <xf numFmtId="0" fontId="237" fillId="98" borderId="0"/>
    <xf numFmtId="0" fontId="28" fillId="111" borderId="0"/>
    <xf numFmtId="0" fontId="28" fillId="111" borderId="0"/>
    <xf numFmtId="0" fontId="28" fillId="111" borderId="0"/>
    <xf numFmtId="0" fontId="28" fillId="111" borderId="0"/>
    <xf numFmtId="0" fontId="28" fillId="111" borderId="0"/>
    <xf numFmtId="0" fontId="28" fillId="12" borderId="0" applyNumberFormat="0" applyBorder="0" applyAlignment="0" applyProtection="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8" fillId="111" borderId="0"/>
    <xf numFmtId="0" fontId="237" fillId="98" borderId="0"/>
    <xf numFmtId="0" fontId="28" fillId="111" borderId="0"/>
    <xf numFmtId="0" fontId="28" fillId="111" borderId="0"/>
    <xf numFmtId="0" fontId="237" fillId="98" borderId="0"/>
    <xf numFmtId="0" fontId="28" fillId="111" borderId="0"/>
    <xf numFmtId="0" fontId="28" fillId="111" borderId="0"/>
    <xf numFmtId="0" fontId="238" fillId="98" borderId="0"/>
    <xf numFmtId="0" fontId="28" fillId="111" borderId="0"/>
    <xf numFmtId="0" fontId="239" fillId="68" borderId="0" applyNumberFormat="0" applyBorder="0" applyAlignment="0" applyProtection="0"/>
    <xf numFmtId="0" fontId="28" fillId="111" borderId="0"/>
    <xf numFmtId="0" fontId="28" fillId="111" borderId="0"/>
    <xf numFmtId="0" fontId="28" fillId="111" borderId="0"/>
    <xf numFmtId="38" fontId="16" fillId="30" borderId="0" applyNumberFormat="0" applyBorder="0" applyAlignment="0" applyProtection="0"/>
    <xf numFmtId="0" fontId="6" fillId="0" borderId="0"/>
    <xf numFmtId="0" fontId="6" fillId="0" borderId="0"/>
    <xf numFmtId="0" fontId="205" fillId="0" borderId="0" applyFont="0" applyFill="0" applyBorder="0" applyAlignment="0" applyProtection="0">
      <alignment horizontal="right"/>
    </xf>
    <xf numFmtId="0" fontId="48" fillId="25" borderId="130"/>
    <xf numFmtId="0" fontId="240" fillId="0" borderId="91">
      <alignment horizontal="left"/>
    </xf>
    <xf numFmtId="0" fontId="241" fillId="0" borderId="0">
      <alignment horizontal="right"/>
    </xf>
    <xf numFmtId="37" fontId="242" fillId="0" borderId="0">
      <alignment horizontal="right"/>
    </xf>
    <xf numFmtId="0" fontId="243" fillId="0" borderId="0">
      <alignment horizontal="left"/>
    </xf>
    <xf numFmtId="37" fontId="244" fillId="0" borderId="0">
      <alignment horizontal="right"/>
    </xf>
    <xf numFmtId="169" fontId="19" fillId="167" borderId="22" applyNumberFormat="0" applyAlignment="0" applyProtection="0">
      <protection locked="0"/>
    </xf>
    <xf numFmtId="0" fontId="245" fillId="0" borderId="0" applyProtection="0">
      <alignment horizontal="right"/>
    </xf>
    <xf numFmtId="0" fontId="246" fillId="0" borderId="0">
      <alignment horizontal="left"/>
    </xf>
    <xf numFmtId="0" fontId="246" fillId="0" borderId="0">
      <alignment horizontal="left"/>
    </xf>
    <xf numFmtId="0" fontId="59" fillId="0" borderId="9" applyNumberFormat="0" applyAlignment="0" applyProtection="0">
      <alignment horizontal="left" vertical="center"/>
    </xf>
    <xf numFmtId="0" fontId="59" fillId="0" borderId="128">
      <alignment horizontal="left" vertical="center"/>
    </xf>
    <xf numFmtId="244" fontId="135" fillId="0" borderId="0">
      <alignment horizontal="left" vertical="center"/>
    </xf>
    <xf numFmtId="0" fontId="29" fillId="0" borderId="16"/>
    <xf numFmtId="0" fontId="7" fillId="0" borderId="1" applyNumberFormat="0" applyFill="0" applyAlignment="0" applyProtection="0"/>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47" fillId="0" borderId="16" applyNumberFormat="0" applyFill="0" applyAlignment="0" applyProtection="0"/>
    <xf numFmtId="245" fontId="163" fillId="148" borderId="0">
      <alignment vertical="center"/>
    </xf>
    <xf numFmtId="0" fontId="29" fillId="0" borderId="16"/>
    <xf numFmtId="0" fontId="29" fillId="0" borderId="16"/>
    <xf numFmtId="0" fontId="29" fillId="0" borderId="16"/>
    <xf numFmtId="0" fontId="29" fillId="0" borderId="16"/>
    <xf numFmtId="0" fontId="29" fillId="0" borderId="16"/>
    <xf numFmtId="0" fontId="248" fillId="0" borderId="1" applyNumberFormat="0" applyFill="0" applyAlignment="0" applyProtection="0"/>
    <xf numFmtId="0" fontId="247" fillId="0" borderId="16" applyNumberFormat="0" applyFill="0" applyAlignment="0" applyProtection="0"/>
    <xf numFmtId="0" fontId="247" fillId="0" borderId="16" applyNumberFormat="0" applyFill="0" applyAlignment="0" applyProtection="0"/>
    <xf numFmtId="0" fontId="29" fillId="0" borderId="16" applyNumberFormat="0" applyFill="0" applyAlignment="0" applyProtection="0"/>
    <xf numFmtId="0" fontId="29" fillId="0" borderId="16"/>
    <xf numFmtId="0" fontId="29" fillId="0" borderId="16" applyNumberFormat="0" applyFill="0" applyAlignment="0" applyProtection="0"/>
    <xf numFmtId="0" fontId="29" fillId="0" borderId="16"/>
    <xf numFmtId="0" fontId="29" fillId="0" borderId="16" applyNumberFormat="0" applyFill="0" applyAlignment="0" applyProtection="0"/>
    <xf numFmtId="0" fontId="29" fillId="0" borderId="16"/>
    <xf numFmtId="0" fontId="29" fillId="0" borderId="16" applyNumberFormat="0" applyFill="0" applyAlignment="0" applyProtection="0"/>
    <xf numFmtId="0" fontId="29" fillId="0" borderId="16"/>
    <xf numFmtId="0" fontId="29" fillId="0" borderId="16" applyNumberFormat="0" applyFill="0" applyAlignment="0" applyProtection="0"/>
    <xf numFmtId="0" fontId="29" fillId="0" borderId="16"/>
    <xf numFmtId="245" fontId="163" fillId="148" borderId="0">
      <alignment vertical="center"/>
    </xf>
    <xf numFmtId="245" fontId="163" fillId="148" borderId="0">
      <alignment vertical="center"/>
    </xf>
    <xf numFmtId="245" fontId="163" fillId="148" borderId="0">
      <alignment vertical="center"/>
    </xf>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163" fillId="148" borderId="0">
      <alignment vertical="center"/>
    </xf>
    <xf numFmtId="0" fontId="29" fillId="0" borderId="16"/>
    <xf numFmtId="0" fontId="29" fillId="0" borderId="16"/>
    <xf numFmtId="0" fontId="29" fillId="0" borderId="16"/>
    <xf numFmtId="0" fontId="29" fillId="0" borderId="16"/>
    <xf numFmtId="0" fontId="29" fillId="0" borderId="16"/>
    <xf numFmtId="0" fontId="249" fillId="0" borderId="131"/>
    <xf numFmtId="0" fontId="29" fillId="0" borderId="16"/>
    <xf numFmtId="0" fontId="249" fillId="0" borderId="131"/>
    <xf numFmtId="0" fontId="29" fillId="0" borderId="16"/>
    <xf numFmtId="0" fontId="29" fillId="0" borderId="16"/>
    <xf numFmtId="0" fontId="249" fillId="0" borderId="131"/>
    <xf numFmtId="0" fontId="29" fillId="0" borderId="16"/>
    <xf numFmtId="0" fontId="29" fillId="0" borderId="16"/>
    <xf numFmtId="0" fontId="29" fillId="0" borderId="16"/>
    <xf numFmtId="0" fontId="29" fillId="0" borderId="16"/>
    <xf numFmtId="178" fontId="163" fillId="148" borderId="0">
      <alignment vertical="center"/>
    </xf>
    <xf numFmtId="0" fontId="163" fillId="148" borderId="0">
      <alignment vertical="center"/>
    </xf>
    <xf numFmtId="0" fontId="163" fillId="148" borderId="0">
      <alignment vertical="center"/>
    </xf>
    <xf numFmtId="0" fontId="163" fillId="148" borderId="0">
      <alignment vertical="center"/>
    </xf>
    <xf numFmtId="0" fontId="163" fillId="148" borderId="0">
      <alignment vertical="center"/>
    </xf>
    <xf numFmtId="0" fontId="163" fillId="148" borderId="0">
      <alignment vertical="center"/>
    </xf>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applyNumberFormat="0" applyFill="0" applyAlignment="0" applyProtection="0"/>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9" fillId="0" borderId="16"/>
    <xf numFmtId="0" fontId="249" fillId="0" borderId="131"/>
    <xf numFmtId="0" fontId="29" fillId="0" borderId="16"/>
    <xf numFmtId="0" fontId="249" fillId="0" borderId="131"/>
    <xf numFmtId="0" fontId="29" fillId="0" borderId="16"/>
    <xf numFmtId="0" fontId="249" fillId="0" borderId="131"/>
    <xf numFmtId="0" fontId="29" fillId="0" borderId="16"/>
    <xf numFmtId="0" fontId="29" fillId="0" borderId="16"/>
    <xf numFmtId="0" fontId="7" fillId="0" borderId="1"/>
    <xf numFmtId="0" fontId="29" fillId="0" borderId="16"/>
    <xf numFmtId="0" fontId="163" fillId="148" borderId="0">
      <alignment vertical="center"/>
    </xf>
    <xf numFmtId="0" fontId="29" fillId="0" borderId="16"/>
    <xf numFmtId="0" fontId="29" fillId="0" borderId="16"/>
    <xf numFmtId="0" fontId="29" fillId="0" borderId="16"/>
    <xf numFmtId="0" fontId="250" fillId="0" borderId="0">
      <alignment horizontal="left"/>
    </xf>
    <xf numFmtId="0" fontId="251" fillId="0" borderId="0" applyFill="0" applyBorder="0">
      <alignment vertical="center"/>
    </xf>
    <xf numFmtId="0" fontId="6" fillId="0" borderId="31">
      <alignment horizontal="left" vertical="top"/>
    </xf>
    <xf numFmtId="0" fontId="252" fillId="168" borderId="0"/>
    <xf numFmtId="0" fontId="30" fillId="0" borderId="17"/>
    <xf numFmtId="0" fontId="8" fillId="0" borderId="2" applyNumberFormat="0" applyFill="0" applyAlignment="0" applyProtection="0"/>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253" fillId="0" borderId="17" applyNumberFormat="0" applyFill="0" applyAlignment="0" applyProtection="0"/>
    <xf numFmtId="245" fontId="254" fillId="30" borderId="0">
      <alignment vertical="center"/>
    </xf>
    <xf numFmtId="0" fontId="30" fillId="0" borderId="17"/>
    <xf numFmtId="0" fontId="30" fillId="0" borderId="17"/>
    <xf numFmtId="0" fontId="30" fillId="0" borderId="17"/>
    <xf numFmtId="0" fontId="30" fillId="0" borderId="17"/>
    <xf numFmtId="0" fontId="30" fillId="0" borderId="17"/>
    <xf numFmtId="0" fontId="253" fillId="0" borderId="17" applyNumberFormat="0" applyFill="0" applyAlignment="0" applyProtection="0"/>
    <xf numFmtId="0" fontId="253"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xf numFmtId="0" fontId="145" fillId="0" borderId="132"/>
    <xf numFmtId="245" fontId="254" fillId="30" borderId="0">
      <alignment vertical="center"/>
    </xf>
    <xf numFmtId="245" fontId="254" fillId="30" borderId="0">
      <alignment vertical="center"/>
    </xf>
    <xf numFmtId="245" fontId="254" fillId="30" borderId="0">
      <alignment vertical="center"/>
    </xf>
    <xf numFmtId="245" fontId="254" fillId="30" borderId="0">
      <alignment vertical="center"/>
    </xf>
    <xf numFmtId="245" fontId="254" fillId="30" borderId="0">
      <alignment vertical="center"/>
    </xf>
    <xf numFmtId="245" fontId="254" fillId="30" borderId="0">
      <alignment vertical="center"/>
    </xf>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254" fillId="30" borderId="0">
      <alignment vertical="center"/>
    </xf>
    <xf numFmtId="0" fontId="30" fillId="0" borderId="17"/>
    <xf numFmtId="0" fontId="30" fillId="0" borderId="17"/>
    <xf numFmtId="0" fontId="30" fillId="0" borderId="17"/>
    <xf numFmtId="0" fontId="30" fillId="0" borderId="17"/>
    <xf numFmtId="0" fontId="30" fillId="0" borderId="17"/>
    <xf numFmtId="0" fontId="255" fillId="0" borderId="132"/>
    <xf numFmtId="0" fontId="30" fillId="0" borderId="17"/>
    <xf numFmtId="0" fontId="255" fillId="0" borderId="132"/>
    <xf numFmtId="0" fontId="30" fillId="0" borderId="17"/>
    <xf numFmtId="0" fontId="30" fillId="0" borderId="17"/>
    <xf numFmtId="0" fontId="255" fillId="0" borderId="132"/>
    <xf numFmtId="0" fontId="30" fillId="0" borderId="17"/>
    <xf numFmtId="0" fontId="30" fillId="0" borderId="17"/>
    <xf numFmtId="0" fontId="30" fillId="0" borderId="17"/>
    <xf numFmtId="0" fontId="30" fillId="0" borderId="17"/>
    <xf numFmtId="0" fontId="30" fillId="0" borderId="17" applyNumberFormat="0" applyFill="0" applyAlignment="0" applyProtection="0"/>
    <xf numFmtId="178" fontId="254" fillId="30" borderId="0">
      <alignment vertical="center"/>
    </xf>
    <xf numFmtId="0" fontId="254" fillId="30" borderId="0">
      <alignment vertical="center"/>
    </xf>
    <xf numFmtId="0" fontId="254" fillId="30" borderId="0">
      <alignment vertical="center"/>
    </xf>
    <xf numFmtId="0" fontId="254" fillId="30" borderId="0">
      <alignment vertical="center"/>
    </xf>
    <xf numFmtId="0" fontId="254" fillId="30" borderId="0">
      <alignment vertical="center"/>
    </xf>
    <xf numFmtId="0" fontId="254" fillId="30" borderId="0">
      <alignment vertical="center"/>
    </xf>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254" fillId="30" borderId="0">
      <alignment vertical="center"/>
    </xf>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30" fillId="0" borderId="17"/>
    <xf numFmtId="0" fontId="255" fillId="0" borderId="132"/>
    <xf numFmtId="0" fontId="30" fillId="0" borderId="17"/>
    <xf numFmtId="0" fontId="255" fillId="0" borderId="132"/>
    <xf numFmtId="0" fontId="30" fillId="0" borderId="17"/>
    <xf numFmtId="0" fontId="255" fillId="0" borderId="132"/>
    <xf numFmtId="0" fontId="30" fillId="0" borderId="17"/>
    <xf numFmtId="0" fontId="30" fillId="0" borderId="17"/>
    <xf numFmtId="0" fontId="8" fillId="0" borderId="132"/>
    <xf numFmtId="0" fontId="30" fillId="0" borderId="17"/>
    <xf numFmtId="0" fontId="254" fillId="30" borderId="0">
      <alignment vertical="center"/>
    </xf>
    <xf numFmtId="0" fontId="30" fillId="0" borderId="17"/>
    <xf numFmtId="0" fontId="30" fillId="0" borderId="17"/>
    <xf numFmtId="0" fontId="30" fillId="0" borderId="17"/>
    <xf numFmtId="0" fontId="256" fillId="0" borderId="0">
      <alignment horizontal="left"/>
    </xf>
    <xf numFmtId="0" fontId="257" fillId="0" borderId="0" applyFill="0" applyBorder="0">
      <alignment vertical="center"/>
    </xf>
    <xf numFmtId="0" fontId="6" fillId="0" borderId="31">
      <alignment horizontal="left" vertical="top"/>
    </xf>
    <xf numFmtId="0" fontId="31" fillId="0" borderId="18"/>
    <xf numFmtId="0" fontId="9" fillId="0" borderId="3" applyNumberFormat="0" applyFill="0" applyAlignment="0" applyProtection="0"/>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258" fillId="0" borderId="18" applyNumberFormat="0" applyFill="0" applyAlignment="0" applyProtection="0"/>
    <xf numFmtId="245" fontId="138" fillId="0" borderId="0"/>
    <xf numFmtId="0" fontId="31" fillId="0" borderId="18"/>
    <xf numFmtId="0" fontId="31" fillId="0" borderId="18"/>
    <xf numFmtId="0" fontId="31" fillId="0" borderId="18"/>
    <xf numFmtId="0" fontId="31" fillId="0" borderId="18"/>
    <xf numFmtId="0" fontId="31" fillId="0" borderId="18"/>
    <xf numFmtId="0" fontId="258" fillId="0" borderId="18" applyNumberFormat="0" applyFill="0" applyAlignment="0" applyProtection="0"/>
    <xf numFmtId="0" fontId="258" fillId="0" borderId="18" applyNumberFormat="0" applyFill="0" applyAlignment="0" applyProtection="0"/>
    <xf numFmtId="0" fontId="31" fillId="0" borderId="18" applyNumberFormat="0" applyFill="0" applyAlignment="0" applyProtection="0"/>
    <xf numFmtId="192" fontId="138" fillId="0" borderId="0"/>
    <xf numFmtId="0" fontId="31" fillId="0" borderId="18" applyNumberFormat="0" applyFill="0" applyAlignment="0" applyProtection="0"/>
    <xf numFmtId="0" fontId="31" fillId="0" borderId="18" applyNumberFormat="0" applyFill="0" applyAlignment="0" applyProtection="0"/>
    <xf numFmtId="0" fontId="31" fillId="0" borderId="18"/>
    <xf numFmtId="0" fontId="31" fillId="0" borderId="18" applyNumberFormat="0" applyFill="0" applyAlignment="0" applyProtection="0"/>
    <xf numFmtId="0" fontId="31" fillId="0" borderId="18"/>
    <xf numFmtId="0" fontId="31" fillId="0" borderId="18" applyNumberFormat="0" applyFill="0" applyAlignment="0" applyProtection="0"/>
    <xf numFmtId="0" fontId="31" fillId="0" borderId="18"/>
    <xf numFmtId="0" fontId="31" fillId="0" borderId="18" applyNumberFormat="0" applyFill="0" applyAlignment="0" applyProtection="0"/>
    <xf numFmtId="0" fontId="31" fillId="0" borderId="18"/>
    <xf numFmtId="245" fontId="138" fillId="0" borderId="0"/>
    <xf numFmtId="245" fontId="138" fillId="0" borderId="0"/>
    <xf numFmtId="245" fontId="138" fillId="0" borderId="0"/>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192" fontId="138" fillId="0" borderId="0"/>
    <xf numFmtId="0" fontId="138" fillId="0" borderId="0"/>
    <xf numFmtId="0" fontId="138" fillId="0" borderId="0"/>
    <xf numFmtId="0" fontId="138" fillId="0" borderId="0"/>
    <xf numFmtId="0" fontId="138" fillId="0" borderId="0"/>
    <xf numFmtId="0" fontId="138" fillId="0" borderId="0"/>
    <xf numFmtId="0" fontId="31" fillId="0" borderId="18"/>
    <xf numFmtId="0" fontId="31" fillId="0" borderId="18"/>
    <xf numFmtId="0" fontId="31" fillId="0" borderId="18"/>
    <xf numFmtId="0" fontId="31" fillId="0" borderId="18"/>
    <xf numFmtId="0" fontId="31" fillId="0" borderId="18"/>
    <xf numFmtId="0" fontId="259" fillId="0" borderId="133"/>
    <xf numFmtId="0" fontId="31" fillId="0" borderId="18"/>
    <xf numFmtId="0" fontId="259" fillId="0" borderId="133"/>
    <xf numFmtId="0" fontId="31" fillId="0" borderId="18"/>
    <xf numFmtId="0" fontId="31" fillId="0" borderId="18"/>
    <xf numFmtId="0" fontId="259" fillId="0" borderId="133"/>
    <xf numFmtId="0" fontId="31" fillId="0" borderId="18"/>
    <xf numFmtId="0" fontId="31" fillId="0" borderId="18"/>
    <xf numFmtId="0" fontId="31" fillId="0" borderId="18"/>
    <xf numFmtId="0" fontId="31" fillId="0" borderId="18"/>
    <xf numFmtId="0" fontId="31" fillId="0" borderId="18" applyNumberFormat="0" applyFill="0" applyAlignment="0" applyProtection="0"/>
    <xf numFmtId="178" fontId="138" fillId="0" borderId="0"/>
    <xf numFmtId="0" fontId="138" fillId="0" borderId="0"/>
    <xf numFmtId="0" fontId="138" fillId="0" borderId="0"/>
    <xf numFmtId="0" fontId="138" fillId="0" borderId="0"/>
    <xf numFmtId="0" fontId="138" fillId="0" borderId="0"/>
    <xf numFmtId="0" fontId="138" fillId="0" borderId="0"/>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138" fillId="0" borderId="0"/>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31" fillId="0" borderId="18"/>
    <xf numFmtId="0" fontId="259" fillId="0" borderId="133"/>
    <xf numFmtId="0" fontId="31" fillId="0" borderId="18"/>
    <xf numFmtId="0" fontId="259" fillId="0" borderId="133"/>
    <xf numFmtId="0" fontId="31" fillId="0" borderId="18"/>
    <xf numFmtId="0" fontId="259" fillId="0" borderId="133"/>
    <xf numFmtId="0" fontId="31" fillId="0" borderId="18"/>
    <xf numFmtId="0" fontId="31" fillId="0" borderId="18"/>
    <xf numFmtId="0" fontId="9" fillId="0" borderId="3"/>
    <xf numFmtId="0" fontId="31" fillId="0" borderId="18"/>
    <xf numFmtId="0" fontId="138" fillId="0" borderId="0"/>
    <xf numFmtId="0" fontId="31" fillId="0" borderId="18"/>
    <xf numFmtId="0" fontId="31" fillId="0" borderId="18"/>
    <xf numFmtId="0" fontId="31" fillId="0" borderId="18"/>
    <xf numFmtId="0" fontId="260" fillId="0" borderId="0" applyFill="0" applyBorder="0">
      <alignment vertical="center"/>
    </xf>
    <xf numFmtId="0" fontId="261" fillId="0" borderId="0">
      <alignment horizontal="left"/>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58" fillId="0" borderId="0" applyNumberFormat="0" applyFill="0" applyBorder="0" applyAlignment="0" applyProtection="0"/>
    <xf numFmtId="0" fontId="31" fillId="0" borderId="0" applyNumberFormat="0" applyFill="0" applyBorder="0" applyAlignment="0" applyProtection="0"/>
    <xf numFmtId="0" fontId="31" fillId="0" borderId="0"/>
    <xf numFmtId="0" fontId="121" fillId="0" borderId="0"/>
    <xf numFmtId="0" fontId="31" fillId="0" borderId="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62"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59" fillId="0" borderId="0"/>
    <xf numFmtId="0" fontId="31" fillId="0" borderId="0"/>
    <xf numFmtId="0" fontId="259" fillId="0" borderId="0"/>
    <xf numFmtId="0" fontId="31" fillId="0" borderId="0"/>
    <xf numFmtId="0" fontId="31" fillId="0" borderId="0"/>
    <xf numFmtId="0" fontId="259"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59" fillId="0" borderId="0"/>
    <xf numFmtId="0" fontId="31" fillId="0" borderId="0"/>
    <xf numFmtId="0" fontId="259" fillId="0" borderId="0"/>
    <xf numFmtId="0" fontId="31" fillId="0" borderId="0"/>
    <xf numFmtId="0" fontId="259" fillId="0" borderId="0"/>
    <xf numFmtId="0" fontId="31" fillId="0" borderId="0"/>
    <xf numFmtId="0" fontId="31" fillId="0" borderId="0"/>
    <xf numFmtId="0" fontId="9" fillId="0" borderId="0"/>
    <xf numFmtId="0" fontId="31" fillId="0" borderId="0"/>
    <xf numFmtId="0" fontId="9" fillId="0" borderId="0" applyNumberFormat="0" applyFill="0" applyBorder="0" applyAlignment="0" applyProtection="0"/>
    <xf numFmtId="0" fontId="31" fillId="0" borderId="0"/>
    <xf numFmtId="0" fontId="31" fillId="0" borderId="0"/>
    <xf numFmtId="0" fontId="31" fillId="0" borderId="0"/>
    <xf numFmtId="0" fontId="263" fillId="0" borderId="0" applyFill="0" applyBorder="0">
      <alignment vertical="center"/>
    </xf>
    <xf numFmtId="0" fontId="108" fillId="0" borderId="0" applyNumberFormat="0" applyFill="0" applyBorder="0" applyAlignment="0" applyProtection="0"/>
    <xf numFmtId="246" fontId="16" fillId="0" borderId="91">
      <alignment horizontal="right" vertical="center"/>
    </xf>
    <xf numFmtId="0" fontId="59" fillId="0" borderId="0"/>
    <xf numFmtId="0" fontId="75" fillId="0" borderId="0" applyNumberFormat="0" applyFill="0" applyBorder="0" applyAlignment="0" applyProtection="0"/>
    <xf numFmtId="0" fontId="233" fillId="0" borderId="0"/>
    <xf numFmtId="0" fontId="59" fillId="0" borderId="0" applyNumberFormat="0" applyFill="0" applyBorder="0" applyAlignment="0" applyProtection="0"/>
    <xf numFmtId="0" fontId="233" fillId="0" borderId="0"/>
    <xf numFmtId="0" fontId="233" fillId="0" borderId="0"/>
    <xf numFmtId="0" fontId="233" fillId="0" borderId="0"/>
    <xf numFmtId="0" fontId="233" fillId="0" borderId="0"/>
    <xf numFmtId="0" fontId="19" fillId="0" borderId="0"/>
    <xf numFmtId="0" fontId="19" fillId="0" borderId="0"/>
    <xf numFmtId="0" fontId="264" fillId="0" borderId="0"/>
    <xf numFmtId="0" fontId="136" fillId="0" borderId="98" applyNumberFormat="0" applyFill="0" applyAlignment="0" applyProtection="0"/>
    <xf numFmtId="0" fontId="6" fillId="0" borderId="0">
      <alignment horizontal="center"/>
    </xf>
    <xf numFmtId="178" fontId="265"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67" fillId="0" borderId="0" applyNumberFormat="0" applyFill="0" applyBorder="0" applyAlignment="0" applyProtection="0">
      <alignment vertical="top"/>
      <protection locked="0"/>
    </xf>
    <xf numFmtId="192" fontId="268" fillId="0" borderId="0" applyNumberFormat="0" applyFill="0" applyBorder="0" applyAlignment="0" applyProtection="0">
      <alignment vertical="top"/>
      <protection locked="0"/>
    </xf>
    <xf numFmtId="192" fontId="268" fillId="0" borderId="0" applyNumberFormat="0" applyFill="0" applyBorder="0" applyAlignment="0" applyProtection="0">
      <alignment vertical="top"/>
      <protection locked="0"/>
    </xf>
    <xf numFmtId="178" fontId="26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270" fillId="0" borderId="0" applyNumberFormat="0" applyFill="0" applyBorder="0" applyAlignment="0" applyProtection="0"/>
    <xf numFmtId="0" fontId="18" fillId="0" borderId="0" applyNumberFormat="0" applyFill="0" applyBorder="0" applyAlignment="0" applyProtection="0">
      <alignment vertical="top"/>
      <protection locked="0"/>
    </xf>
    <xf numFmtId="0" fontId="26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center"/>
    </xf>
    <xf numFmtId="0" fontId="18"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47" fillId="0" borderId="0" applyNumberFormat="0" applyFill="0" applyBorder="0" applyAlignment="0" applyProtection="0"/>
    <xf numFmtId="0" fontId="271" fillId="0" borderId="0" applyNumberFormat="0" applyFill="0" applyBorder="0" applyAlignment="0" applyProtection="0">
      <alignment vertical="top"/>
      <protection locked="0"/>
    </xf>
    <xf numFmtId="0" fontId="270" fillId="0" borderId="0" applyNumberFormat="0" applyFill="0" applyBorder="0" applyAlignment="0" applyProtection="0"/>
    <xf numFmtId="0" fontId="147" fillId="0" borderId="0" applyNumberFormat="0" applyFill="0" applyBorder="0" applyProtection="0"/>
    <xf numFmtId="0" fontId="272" fillId="0" borderId="0" applyNumberFormat="0" applyFill="0" applyBorder="0" applyAlignment="0" applyProtection="0">
      <alignment vertical="top"/>
      <protection locked="0"/>
    </xf>
    <xf numFmtId="0" fontId="147" fillId="0" borderId="0" applyNumberFormat="0" applyFill="0" applyBorder="0" applyProtection="0"/>
    <xf numFmtId="0" fontId="18" fillId="0" borderId="0" applyNumberFormat="0" applyFill="0" applyBorder="0">
      <protection locked="0"/>
    </xf>
    <xf numFmtId="0" fontId="18" fillId="0" borderId="0" applyNumberFormat="0" applyFill="0" applyBorder="0">
      <protection locked="0"/>
    </xf>
    <xf numFmtId="245" fontId="265" fillId="0" borderId="0" applyNumberFormat="0" applyFill="0" applyBorder="0" applyAlignment="0" applyProtection="0">
      <alignment vertical="top"/>
      <protection locked="0"/>
    </xf>
    <xf numFmtId="0" fontId="273" fillId="0" borderId="0" applyFill="0" applyBorder="0">
      <alignment horizontal="center" vertical="center"/>
    </xf>
    <xf numFmtId="0" fontId="273" fillId="0" borderId="0" applyFill="0" applyBorder="0">
      <alignment horizontal="center" vertical="center"/>
    </xf>
    <xf numFmtId="0" fontId="274" fillId="0" borderId="0" applyFill="0" applyBorder="0">
      <alignment vertical="center"/>
    </xf>
    <xf numFmtId="10" fontId="16" fillId="32" borderId="5" applyNumberFormat="0" applyBorder="0" applyAlignment="0" applyProtection="0"/>
    <xf numFmtId="10" fontId="16" fillId="32" borderId="5" applyNumberFormat="0" applyBorder="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275" fillId="15" borderId="12" applyNumberFormat="0" applyAlignment="0" applyProtection="0"/>
    <xf numFmtId="0" fontId="32" fillId="36" borderId="12"/>
    <xf numFmtId="0" fontId="32" fillId="15" borderId="12" applyNumberFormat="0" applyAlignment="0" applyProtection="0"/>
    <xf numFmtId="0" fontId="32" fillId="15" borderId="12" applyNumberFormat="0" applyAlignment="0" applyProtection="0"/>
    <xf numFmtId="0" fontId="275" fillId="36" borderId="12" applyNumberFormat="0" applyAlignment="0" applyProtection="0"/>
    <xf numFmtId="192" fontId="276" fillId="12" borderId="12" applyNumberFormat="0" applyAlignment="0" applyProtection="0"/>
    <xf numFmtId="0" fontId="32" fillId="15"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32" fillId="15" borderId="12" applyNumberFormat="0" applyAlignment="0" applyProtection="0"/>
    <xf numFmtId="0" fontId="32" fillId="15" borderId="12" applyNumberFormat="0" applyAlignment="0" applyProtection="0"/>
    <xf numFmtId="0" fontId="275" fillId="36" borderId="12" applyNumberFormat="0" applyAlignment="0" applyProtection="0"/>
    <xf numFmtId="0" fontId="275" fillId="36" borderId="12" applyNumberFormat="0" applyAlignment="0" applyProtection="0"/>
    <xf numFmtId="192" fontId="276" fillId="12"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192" fontId="276" fillId="12"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0" fontId="275" fillId="36" borderId="12" applyNumberFormat="0" applyAlignment="0" applyProtection="0"/>
    <xf numFmtId="192" fontId="276" fillId="12" borderId="12" applyNumberFormat="0" applyAlignment="0" applyProtection="0"/>
    <xf numFmtId="192" fontId="276" fillId="12" borderId="12" applyNumberFormat="0" applyAlignment="0" applyProtection="0"/>
    <xf numFmtId="192" fontId="276" fillId="12" borderId="12" applyNumberFormat="0" applyAlignment="0" applyProtection="0"/>
    <xf numFmtId="0" fontId="32" fillId="36" borderId="12"/>
    <xf numFmtId="0" fontId="32" fillId="36" borderId="12"/>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36" borderId="12"/>
    <xf numFmtId="0" fontId="32" fillId="36" borderId="12"/>
    <xf numFmtId="0" fontId="276" fillId="12" borderId="12" applyNumberFormat="0" applyAlignment="0" applyProtection="0"/>
    <xf numFmtId="0" fontId="276" fillId="12" borderId="12" applyNumberFormat="0" applyAlignment="0" applyProtection="0"/>
    <xf numFmtId="0" fontId="276" fillId="12" borderId="12" applyNumberFormat="0" applyAlignment="0" applyProtection="0"/>
    <xf numFmtId="0" fontId="32" fillId="15" borderId="12" applyNumberFormat="0" applyAlignment="0" applyProtection="0"/>
    <xf numFmtId="0" fontId="32" fillId="36" borderId="12"/>
    <xf numFmtId="0" fontId="32" fillId="36" borderId="12"/>
    <xf numFmtId="0" fontId="32" fillId="36" borderId="12"/>
    <xf numFmtId="0" fontId="32" fillId="36" borderId="12"/>
    <xf numFmtId="0" fontId="32" fillId="36" borderId="12"/>
    <xf numFmtId="0" fontId="277" fillId="169" borderId="92"/>
    <xf numFmtId="0" fontId="32" fillId="36" borderId="12"/>
    <xf numFmtId="0" fontId="277" fillId="169" borderId="92"/>
    <xf numFmtId="0" fontId="32" fillId="36" borderId="12"/>
    <xf numFmtId="0" fontId="32" fillId="36" borderId="12"/>
    <xf numFmtId="0" fontId="277" fillId="169" borderId="92"/>
    <xf numFmtId="0" fontId="32" fillId="36" borderId="12"/>
    <xf numFmtId="0" fontId="32" fillId="36" borderId="12"/>
    <xf numFmtId="0" fontId="32" fillId="36" borderId="12"/>
    <xf numFmtId="0" fontId="32" fillId="36" borderId="12"/>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15" borderId="12" applyNumberFormat="0" applyAlignment="0" applyProtection="0"/>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36" borderId="12"/>
    <xf numFmtId="0" fontId="32" fillId="15" borderId="12" applyNumberFormat="0" applyAlignment="0" applyProtection="0"/>
    <xf numFmtId="0" fontId="277" fillId="169" borderId="92"/>
    <xf numFmtId="0" fontId="32" fillId="36" borderId="12"/>
    <xf numFmtId="0" fontId="32" fillId="36" borderId="12"/>
    <xf numFmtId="0" fontId="277" fillId="169" borderId="92"/>
    <xf numFmtId="0" fontId="32" fillId="36" borderId="12"/>
    <xf numFmtId="0" fontId="32" fillId="36" borderId="12"/>
    <xf numFmtId="0" fontId="278" fillId="169" borderId="92"/>
    <xf numFmtId="0" fontId="32" fillId="36" borderId="12"/>
    <xf numFmtId="0" fontId="32" fillId="15" borderId="12" applyNumberFormat="0" applyAlignment="0" applyProtection="0"/>
    <xf numFmtId="0" fontId="279" fillId="71" borderId="92" applyNumberFormat="0" applyAlignment="0" applyProtection="0"/>
    <xf numFmtId="0" fontId="279" fillId="71" borderId="92" applyNumberFormat="0" applyAlignment="0" applyProtection="0"/>
    <xf numFmtId="0" fontId="32" fillId="15" borderId="12" applyNumberFormat="0" applyAlignment="0" applyProtection="0"/>
    <xf numFmtId="0" fontId="32" fillId="15" borderId="12" applyNumberFormat="0" applyAlignment="0" applyProtection="0"/>
    <xf numFmtId="0" fontId="32" fillId="15" borderId="12" applyNumberFormat="0" applyAlignment="0" applyProtection="0"/>
    <xf numFmtId="0" fontId="213" fillId="0" borderId="0" applyFill="0" applyBorder="0" applyProtection="0"/>
    <xf numFmtId="0" fontId="213" fillId="0" borderId="0" applyFill="0" applyBorder="0" applyProtection="0"/>
    <xf numFmtId="169" fontId="48" fillId="111" borderId="22" applyNumberFormat="0" applyAlignment="0" applyProtection="0"/>
    <xf numFmtId="0" fontId="213" fillId="0" borderId="0" applyFill="0" applyBorder="0" applyProtection="0"/>
    <xf numFmtId="0" fontId="213" fillId="0" borderId="0" applyFill="0" applyBorder="0" applyProtection="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68" fillId="38" borderId="0"/>
    <xf numFmtId="0" fontId="137" fillId="0" borderId="0" applyNumberFormat="0" applyFill="0" applyBorder="0" applyAlignment="0" applyProtection="0"/>
    <xf numFmtId="0" fontId="137" fillId="0" borderId="0"/>
    <xf numFmtId="4" fontId="162" fillId="0" borderId="40">
      <alignment horizontal="right" vertical="center"/>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5" fontId="6" fillId="38" borderId="124">
      <protection locked="0"/>
    </xf>
    <xf numFmtId="169" fontId="50" fillId="0" borderId="0"/>
    <xf numFmtId="0" fontId="159" fillId="170" borderId="0"/>
    <xf numFmtId="0" fontId="6" fillId="0" borderId="0" applyNumberFormat="0" applyFont="0" applyFill="0" applyBorder="0" applyAlignment="0"/>
    <xf numFmtId="192" fontId="280" fillId="0" borderId="0">
      <alignment horizontal="left" indent="1"/>
    </xf>
    <xf numFmtId="192" fontId="280" fillId="0" borderId="0">
      <alignment horizontal="left" indent="1"/>
    </xf>
    <xf numFmtId="178" fontId="280" fillId="0" borderId="0">
      <alignment horizontal="left" indent="1"/>
    </xf>
    <xf numFmtId="0" fontId="280" fillId="0" borderId="0">
      <alignment horizontal="left" indent="1"/>
    </xf>
    <xf numFmtId="192" fontId="281" fillId="0" borderId="0"/>
    <xf numFmtId="0" fontId="281" fillId="0" borderId="0"/>
    <xf numFmtId="192" fontId="282" fillId="0" borderId="0">
      <alignment horizontal="center"/>
    </xf>
    <xf numFmtId="192" fontId="282" fillId="0" borderId="0">
      <alignment horizontal="center"/>
    </xf>
    <xf numFmtId="178" fontId="282" fillId="0" borderId="0">
      <alignment horizontal="center"/>
    </xf>
    <xf numFmtId="0" fontId="282" fillId="0" borderId="0">
      <alignment horizontal="center"/>
    </xf>
    <xf numFmtId="0" fontId="283" fillId="0" borderId="0">
      <alignment horizontal="center"/>
    </xf>
    <xf numFmtId="0" fontId="283" fillId="0" borderId="0">
      <alignment horizontal="center"/>
    </xf>
    <xf numFmtId="0" fontId="168" fillId="171" borderId="0"/>
    <xf numFmtId="0" fontId="6" fillId="0" borderId="0"/>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284" fillId="0" borderId="21" applyNumberFormat="0" applyFill="0" applyAlignment="0" applyProtection="0"/>
    <xf numFmtId="0" fontId="33" fillId="0" borderId="21" applyNumberFormat="0" applyFill="0" applyAlignment="0" applyProtection="0"/>
    <xf numFmtId="0" fontId="33" fillId="0" borderId="21"/>
    <xf numFmtId="0" fontId="117" fillId="0" borderId="94"/>
    <xf numFmtId="0" fontId="33" fillId="0" borderId="21"/>
    <xf numFmtId="0" fontId="33" fillId="0" borderId="21" applyNumberFormat="0" applyFill="0" applyAlignment="0" applyProtection="0"/>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applyNumberFormat="0" applyFill="0" applyAlignment="0" applyProtection="0"/>
    <xf numFmtId="0" fontId="33" fillId="0" borderId="21" applyNumberFormat="0" applyFill="0" applyAlignment="0" applyProtection="0"/>
    <xf numFmtId="0" fontId="38" fillId="0" borderId="134" applyNumberFormat="0" applyFill="0" applyAlignment="0" applyProtection="0"/>
    <xf numFmtId="0" fontId="33" fillId="0" borderId="21"/>
    <xf numFmtId="0" fontId="33" fillId="0" borderId="21"/>
    <xf numFmtId="0" fontId="33" fillId="0" borderId="21"/>
    <xf numFmtId="0" fontId="33" fillId="0" borderId="21"/>
    <xf numFmtId="0" fontId="33" fillId="0" borderId="21"/>
    <xf numFmtId="0" fontId="285" fillId="0" borderId="94"/>
    <xf numFmtId="0" fontId="33" fillId="0" borderId="21"/>
    <xf numFmtId="0" fontId="285" fillId="0" borderId="94"/>
    <xf numFmtId="0" fontId="33" fillId="0" borderId="21"/>
    <xf numFmtId="0" fontId="33" fillId="0" borderId="21"/>
    <xf numFmtId="0" fontId="285" fillId="0" borderId="94"/>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33" fillId="0" borderId="21"/>
    <xf numFmtId="0" fontId="285" fillId="0" borderId="94"/>
    <xf numFmtId="0" fontId="33" fillId="0" borderId="21"/>
    <xf numFmtId="0" fontId="33" fillId="0" borderId="21"/>
    <xf numFmtId="0" fontId="285" fillId="0" borderId="94"/>
    <xf numFmtId="0" fontId="33" fillId="0" borderId="21"/>
    <xf numFmtId="0" fontId="33" fillId="0" borderId="21"/>
    <xf numFmtId="0" fontId="286" fillId="0" borderId="94"/>
    <xf numFmtId="0" fontId="33" fillId="0" borderId="21"/>
    <xf numFmtId="0" fontId="287" fillId="0" borderId="94" applyNumberFormat="0" applyFill="0" applyAlignment="0" applyProtection="0"/>
    <xf numFmtId="0" fontId="33" fillId="0" borderId="21"/>
    <xf numFmtId="0" fontId="33" fillId="0" borderId="21"/>
    <xf numFmtId="0" fontId="33" fillId="0" borderId="21"/>
    <xf numFmtId="0" fontId="159" fillId="172" borderId="0"/>
    <xf numFmtId="0" fontId="288" fillId="42" borderId="0"/>
    <xf numFmtId="192" fontId="140" fillId="173" borderId="0">
      <alignment horizontal="right" vertical="center"/>
    </xf>
    <xf numFmtId="192" fontId="140" fillId="173" borderId="0">
      <alignment horizontal="right" vertical="center"/>
    </xf>
    <xf numFmtId="192" fontId="140" fillId="173" borderId="0">
      <alignment horizontal="right" vertical="center"/>
    </xf>
    <xf numFmtId="192" fontId="140" fillId="173" borderId="0">
      <alignment horizontal="right" vertical="center"/>
    </xf>
    <xf numFmtId="192" fontId="140" fillId="173" borderId="0">
      <alignment horizontal="right" vertical="center"/>
    </xf>
    <xf numFmtId="192" fontId="140" fillId="173" borderId="0">
      <alignment horizontal="right" vertical="center"/>
    </xf>
    <xf numFmtId="192" fontId="140" fillId="173" borderId="0">
      <alignment horizontal="right" vertical="center"/>
    </xf>
    <xf numFmtId="192" fontId="140" fillId="173" borderId="0">
      <alignment horizontal="right" vertical="center"/>
    </xf>
    <xf numFmtId="178" fontId="140" fillId="173" borderId="0">
      <alignment horizontal="right" vertical="center"/>
    </xf>
    <xf numFmtId="0" fontId="6" fillId="36" borderId="0" applyNumberFormat="0" applyFont="0" applyBorder="0" applyAlignment="0"/>
    <xf numFmtId="0" fontId="6" fillId="36" borderId="0" applyNumberFormat="0" applyFont="0" applyBorder="0" applyAlignment="0"/>
    <xf numFmtId="189" fontId="289" fillId="0" borderId="0" applyNumberFormat="0" applyBorder="0" applyAlignment="0" applyProtection="0"/>
    <xf numFmtId="43" fontId="6" fillId="0" borderId="0" applyFont="0" applyFill="0" applyBorder="0" applyAlignment="0" applyProtection="0"/>
    <xf numFmtId="43" fontId="6" fillId="0" borderId="0"/>
    <xf numFmtId="0" fontId="6" fillId="0" borderId="0"/>
    <xf numFmtId="0" fontId="6" fillId="0" borderId="0"/>
    <xf numFmtId="0" fontId="6" fillId="0" borderId="0"/>
    <xf numFmtId="247" fontId="205" fillId="0" borderId="0" applyFont="0" applyFill="0" applyBorder="0" applyAlignment="0" applyProtection="0"/>
    <xf numFmtId="248" fontId="205" fillId="0" borderId="0" applyFont="0" applyFill="0" applyBorder="0" applyAlignment="0" applyProtection="0"/>
    <xf numFmtId="249" fontId="6" fillId="0" borderId="0" applyFont="0" applyFill="0" applyBorder="0" applyAlignment="0" applyProtection="0"/>
    <xf numFmtId="250" fontId="6" fillId="0" borderId="0" applyFont="0" applyFill="0" applyBorder="0" applyAlignment="0" applyProtection="0"/>
    <xf numFmtId="0" fontId="290" fillId="0" borderId="0" applyFill="0" applyBorder="0">
      <alignment vertical="center"/>
    </xf>
    <xf numFmtId="251" fontId="48" fillId="0" borderId="0" applyFont="0" applyFill="0" applyBorder="0" applyAlignment="0" applyProtection="0"/>
    <xf numFmtId="222" fontId="48" fillId="0" borderId="0" applyFont="0" applyFill="0" applyBorder="0" applyAlignment="0" applyProtection="0"/>
    <xf numFmtId="252" fontId="6" fillId="0" borderId="0" applyFont="0" applyFill="0" applyBorder="0" applyAlignment="0" applyProtection="0"/>
    <xf numFmtId="253" fontId="6" fillId="0" borderId="0" applyFont="0" applyFill="0" applyBorder="0" applyAlignment="0" applyProtection="0"/>
    <xf numFmtId="0" fontId="212" fillId="0" borderId="0" applyNumberFormat="0">
      <alignment horizontal="left"/>
    </xf>
    <xf numFmtId="0" fontId="205" fillId="0" borderId="0" applyFont="0" applyFill="0" applyBorder="0" applyAlignment="0" applyProtection="0">
      <alignment horizontal="right"/>
    </xf>
    <xf numFmtId="49" fontId="291" fillId="147" borderId="0">
      <alignment horizontal="centerContinuous" vertical="center"/>
    </xf>
    <xf numFmtId="254" fontId="205" fillId="0" borderId="0" applyFont="0" applyFill="0" applyBorder="0" applyAlignment="0" applyProtection="0">
      <alignment horizontal="right"/>
    </xf>
    <xf numFmtId="1" fontId="6" fillId="0" borderId="0" applyFont="0" applyFill="0" applyBorder="0" applyProtection="0">
      <alignment horizontal="right"/>
    </xf>
    <xf numFmtId="1" fontId="6" fillId="0" borderId="0" applyFont="0" applyFill="0" applyBorder="0" applyProtection="0">
      <alignment horizontal="right"/>
    </xf>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292" fillId="33" borderId="0" applyNumberFormat="0" applyBorder="0" applyAlignment="0" applyProtection="0"/>
    <xf numFmtId="0" fontId="34" fillId="33" borderId="0" applyNumberFormat="0" applyBorder="0" applyAlignment="0" applyProtection="0"/>
    <xf numFmtId="0" fontId="292" fillId="38" borderId="0" applyNumberFormat="0" applyBorder="0" applyAlignment="0" applyProtection="0"/>
    <xf numFmtId="0" fontId="292" fillId="38" borderId="0" applyNumberFormat="0" applyBorder="0" applyAlignment="0" applyProtection="0"/>
    <xf numFmtId="0" fontId="146" fillId="99" borderId="0"/>
    <xf numFmtId="0" fontId="34" fillId="38" borderId="0"/>
    <xf numFmtId="0" fontId="34" fillId="33" borderId="0" applyNumberFormat="0" applyBorder="0" applyAlignment="0" applyProtection="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3" borderId="0" applyNumberFormat="0" applyBorder="0" applyAlignment="0" applyProtection="0"/>
    <xf numFmtId="0" fontId="38" fillId="33" borderId="0" applyNumberFormat="0" applyBorder="0" applyAlignment="0" applyProtection="0"/>
    <xf numFmtId="0" fontId="293" fillId="33" borderId="0" applyNumberFormat="0" applyBorder="0" applyAlignment="0" applyProtection="0"/>
    <xf numFmtId="0" fontId="34" fillId="38" borderId="0"/>
    <xf numFmtId="0" fontId="34" fillId="38" borderId="0"/>
    <xf numFmtId="0" fontId="34" fillId="38" borderId="0"/>
    <xf numFmtId="0" fontId="34" fillId="38" borderId="0"/>
    <xf numFmtId="0" fontId="34" fillId="38" borderId="0"/>
    <xf numFmtId="0" fontId="294" fillId="99" borderId="0"/>
    <xf numFmtId="0" fontId="34" fillId="38" borderId="0"/>
    <xf numFmtId="0" fontId="294" fillId="99" borderId="0"/>
    <xf numFmtId="0" fontId="34" fillId="38" borderId="0"/>
    <xf numFmtId="0" fontId="34" fillId="38" borderId="0"/>
    <xf numFmtId="0" fontId="294" fillId="99" borderId="0"/>
    <xf numFmtId="0" fontId="34" fillId="38" borderId="0"/>
    <xf numFmtId="0" fontId="34" fillId="38" borderId="0"/>
    <xf numFmtId="0" fontId="34" fillId="38" borderId="0"/>
    <xf numFmtId="0" fontId="34" fillId="38" borderId="0"/>
    <xf numFmtId="0" fontId="34" fillId="38" borderId="0"/>
    <xf numFmtId="0" fontId="34" fillId="33" borderId="0" applyNumberFormat="0" applyBorder="0" applyAlignment="0" applyProtection="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34" fillId="38" borderId="0"/>
    <xf numFmtId="0" fontId="294" fillId="99" borderId="0"/>
    <xf numFmtId="0" fontId="34" fillId="38" borderId="0"/>
    <xf numFmtId="0" fontId="34" fillId="38" borderId="0"/>
    <xf numFmtId="0" fontId="294" fillId="99" borderId="0"/>
    <xf numFmtId="0" fontId="34" fillId="38" borderId="0"/>
    <xf numFmtId="0" fontId="34" fillId="38" borderId="0"/>
    <xf numFmtId="0" fontId="295" fillId="99" borderId="0"/>
    <xf numFmtId="0" fontId="34" fillId="38" borderId="0"/>
    <xf numFmtId="0" fontId="296" fillId="70" borderId="0" applyNumberFormat="0" applyBorder="0" applyAlignment="0" applyProtection="0"/>
    <xf numFmtId="0" fontId="34" fillId="38" borderId="0"/>
    <xf numFmtId="0" fontId="34" fillId="38" borderId="0"/>
    <xf numFmtId="0" fontId="34" fillId="38" borderId="0"/>
    <xf numFmtId="0" fontId="34" fillId="14" borderId="0" applyNumberFormat="0" applyBorder="0" applyAlignment="0" applyProtection="0"/>
    <xf numFmtId="0" fontId="34" fillId="119" borderId="0"/>
    <xf numFmtId="37" fontId="297" fillId="0" borderId="0"/>
    <xf numFmtId="165" fontId="298" fillId="0" borderId="0"/>
    <xf numFmtId="165" fontId="59" fillId="54" borderId="0"/>
    <xf numFmtId="3" fontId="217" fillId="0" borderId="0" applyFont="0" applyFill="0" applyBorder="0" applyAlignment="0" applyProtection="0"/>
    <xf numFmtId="3" fontId="299" fillId="0" borderId="0"/>
    <xf numFmtId="3" fontId="300" fillId="0" borderId="0"/>
    <xf numFmtId="255" fontId="150" fillId="0" borderId="0"/>
    <xf numFmtId="0" fontId="205"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41" fillId="0" borderId="0" applyFont="0" applyFill="0" applyBorder="0" applyAlignment="0" applyProtection="0"/>
    <xf numFmtId="0" fontId="7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7" fillId="0" borderId="0"/>
    <xf numFmtId="0" fontId="6" fillId="0" borderId="0">
      <alignment vertical="top"/>
    </xf>
    <xf numFmtId="0" fontId="6" fillId="0" borderId="0">
      <alignment vertical="top"/>
    </xf>
    <xf numFmtId="0" fontId="1" fillId="0" borderId="0"/>
    <xf numFmtId="0" fontId="1" fillId="0" borderId="0"/>
    <xf numFmtId="0" fontId="41" fillId="0" borderId="0" applyFont="0" applyFill="0" applyBorder="0" applyAlignment="0" applyProtection="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9" fillId="0" borderId="0"/>
    <xf numFmtId="0" fontId="1" fillId="0" borderId="0"/>
    <xf numFmtId="0" fontId="1" fillId="0" borderId="0"/>
    <xf numFmtId="0" fontId="1" fillId="0" borderId="0"/>
    <xf numFmtId="0" fontId="17" fillId="0" borderId="0"/>
    <xf numFmtId="178" fontId="41" fillId="0" borderId="0" applyFont="0" applyFill="0" applyBorder="0" applyAlignment="0" applyProtection="0"/>
    <xf numFmtId="245" fontId="79" fillId="0" borderId="0"/>
    <xf numFmtId="0" fontId="6" fillId="0" borderId="0">
      <alignment vertical="top"/>
    </xf>
    <xf numFmtId="0" fontId="6" fillId="0" borderId="0">
      <alignment vertical="top"/>
    </xf>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7"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7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7" fillId="0" borderId="0"/>
    <xf numFmtId="0" fontId="6" fillId="0" borderId="0">
      <alignment vertical="top"/>
    </xf>
    <xf numFmtId="0" fontId="6" fillId="0" borderId="0">
      <alignment vertical="top"/>
    </xf>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6" fillId="0" borderId="0"/>
    <xf numFmtId="0" fontId="1" fillId="0" borderId="0"/>
    <xf numFmtId="0" fontId="159" fillId="0" borderId="0"/>
    <xf numFmtId="0" fontId="159" fillId="0" borderId="0"/>
    <xf numFmtId="0" fontId="1" fillId="0" borderId="0"/>
    <xf numFmtId="0" fontId="159" fillId="0" borderId="0"/>
    <xf numFmtId="0" fontId="1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9" fillId="0" borderId="0"/>
    <xf numFmtId="0" fontId="1" fillId="0" borderId="0"/>
    <xf numFmtId="0" fontId="1" fillId="0" borderId="0"/>
    <xf numFmtId="0" fontId="1" fillId="0" borderId="0"/>
    <xf numFmtId="0" fontId="1" fillId="0" borderId="0"/>
    <xf numFmtId="0" fontId="6" fillId="0" borderId="0"/>
    <xf numFmtId="0" fontId="6"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6"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79" fillId="0" borderId="0"/>
    <xf numFmtId="0" fontId="1" fillId="0" borderId="0"/>
    <xf numFmtId="0" fontId="1" fillId="0" borderId="0"/>
    <xf numFmtId="0" fontId="1" fillId="0" borderId="0"/>
    <xf numFmtId="0" fontId="6"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6"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6" fillId="0" borderId="0"/>
    <xf numFmtId="0" fontId="6" fillId="0" borderId="0">
      <alignment vertical="top"/>
    </xf>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6" fillId="0" borderId="0"/>
    <xf numFmtId="0" fontId="6" fillId="0" borderId="0"/>
    <xf numFmtId="0" fontId="159" fillId="0" borderId="0"/>
    <xf numFmtId="192" fontId="6" fillId="0" borderId="0">
      <alignment vertical="center"/>
    </xf>
    <xf numFmtId="0" fontId="6" fillId="0" borderId="0">
      <alignment vertical="center"/>
    </xf>
    <xf numFmtId="178" fontId="6" fillId="0" borderId="0">
      <alignment vertical="center"/>
    </xf>
    <xf numFmtId="0" fontId="6" fillId="0" borderId="0"/>
    <xf numFmtId="257" fontId="152" fillId="0" borderId="0" applyProtection="0"/>
    <xf numFmtId="0" fontId="1" fillId="0" borderId="0"/>
    <xf numFmtId="0" fontId="1" fillId="0" borderId="0"/>
    <xf numFmtId="0" fontId="6" fillId="0" borderId="0"/>
    <xf numFmtId="0" fontId="17"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7"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6"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0" fontId="1"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6"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7"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6"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0" fontId="6"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178" fontId="152" fillId="0" borderId="0"/>
    <xf numFmtId="0" fontId="152" fillId="0" borderId="0"/>
    <xf numFmtId="178" fontId="152" fillId="0" borderId="0"/>
    <xf numFmtId="0" fontId="6" fillId="0" borderId="0"/>
    <xf numFmtId="178" fontId="152" fillId="0" borderId="0"/>
    <xf numFmtId="178" fontId="152" fillId="0" borderId="0"/>
    <xf numFmtId="178" fontId="152" fillId="0" borderId="0"/>
    <xf numFmtId="178" fontId="152" fillId="0" borderId="0"/>
    <xf numFmtId="0" fontId="17" fillId="0" borderId="0"/>
    <xf numFmtId="0" fontId="152" fillId="0" borderId="0"/>
    <xf numFmtId="178" fontId="152"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178" fontId="152" fillId="0" borderId="0"/>
    <xf numFmtId="0" fontId="152" fillId="0" borderId="0"/>
    <xf numFmtId="178" fontId="152" fillId="0" borderId="0"/>
    <xf numFmtId="0" fontId="17" fillId="0" borderId="0"/>
    <xf numFmtId="0" fontId="6"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7" fillId="0" borderId="0"/>
    <xf numFmtId="178" fontId="152" fillId="0" borderId="0"/>
    <xf numFmtId="0" fontId="17"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0" fontId="17" fillId="0" borderId="0"/>
    <xf numFmtId="0" fontId="6" fillId="0" borderId="0"/>
    <xf numFmtId="0" fontId="17" fillId="0" borderId="0"/>
    <xf numFmtId="0" fontId="17" fillId="0" borderId="0"/>
    <xf numFmtId="0" fontId="6"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7"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7"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7"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 fillId="0" borderId="0"/>
    <xf numFmtId="0" fontId="1" fillId="0" borderId="0"/>
    <xf numFmtId="0" fontId="1" fillId="0" borderId="0"/>
    <xf numFmtId="0" fontId="1" fillId="0" borderId="0"/>
    <xf numFmtId="0" fontId="6" fillId="0" borderId="0"/>
    <xf numFmtId="0" fontId="17"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192" fontId="1" fillId="0" borderId="0"/>
    <xf numFmtId="0" fontId="152" fillId="0" borderId="0"/>
    <xf numFmtId="0" fontId="6" fillId="0" borderId="0"/>
    <xf numFmtId="0" fontId="301" fillId="0" borderId="0">
      <alignment vertical="center"/>
    </xf>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17" fillId="0" borderId="0"/>
    <xf numFmtId="0" fontId="152" fillId="0" borderId="0"/>
    <xf numFmtId="0" fontId="6" fillId="0" borderId="0"/>
    <xf numFmtId="0" fontId="17" fillId="0" borderId="0"/>
    <xf numFmtId="0" fontId="6" fillId="0" borderId="0"/>
    <xf numFmtId="0" fontId="6" fillId="0" borderId="0"/>
    <xf numFmtId="0" fontId="17" fillId="0" borderId="0"/>
    <xf numFmtId="0" fontId="152" fillId="0" borderId="0"/>
    <xf numFmtId="0" fontId="6"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6"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92" fontId="1"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92" fontId="1"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192" fontId="1" fillId="0" borderId="0"/>
    <xf numFmtId="0" fontId="6" fillId="0" borderId="0"/>
    <xf numFmtId="0" fontId="152" fillId="0" borderId="0"/>
    <xf numFmtId="0" fontId="6" fillId="0" borderId="0"/>
    <xf numFmtId="0" fontId="152" fillId="0" borderId="0"/>
    <xf numFmtId="0" fontId="6" fillId="0" borderId="0"/>
    <xf numFmtId="0" fontId="152" fillId="0" borderId="0"/>
    <xf numFmtId="0" fontId="6" fillId="0" borderId="0"/>
    <xf numFmtId="0" fontId="17" fillId="0" borderId="0"/>
    <xf numFmtId="0" fontId="152" fillId="0" borderId="0"/>
    <xf numFmtId="0" fontId="6" fillId="0" borderId="0"/>
    <xf numFmtId="0" fontId="152" fillId="0" borderId="0"/>
    <xf numFmtId="0" fontId="6"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192" fontId="1"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0" fontId="152" fillId="0" borderId="0"/>
    <xf numFmtId="192" fontId="1"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6" fillId="0" borderId="0"/>
    <xf numFmtId="0" fontId="152" fillId="0" borderId="0"/>
    <xf numFmtId="0" fontId="1"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68" fillId="0" borderId="0"/>
    <xf numFmtId="0" fontId="168" fillId="0" borderId="0"/>
    <xf numFmtId="0" fontId="168" fillId="0" borderId="0"/>
    <xf numFmtId="0" fontId="152" fillId="0" borderId="0"/>
    <xf numFmtId="0" fontId="1" fillId="0" borderId="0"/>
    <xf numFmtId="0" fontId="17" fillId="0" borderId="0"/>
    <xf numFmtId="0" fontId="301" fillId="0" borderId="0">
      <alignment vertical="center"/>
    </xf>
    <xf numFmtId="0" fontId="168"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7" fillId="0" borderId="0"/>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6" fillId="0" borderId="0">
      <alignment vertical="center"/>
    </xf>
    <xf numFmtId="0" fontId="1" fillId="0" borderId="0"/>
    <xf numFmtId="0" fontId="152" fillId="0" borderId="0"/>
    <xf numFmtId="0" fontId="17" fillId="0" borderId="0"/>
    <xf numFmtId="0" fontId="301" fillId="0" borderId="0">
      <alignment vertical="center"/>
    </xf>
    <xf numFmtId="0" fontId="1" fillId="0" borderId="0"/>
    <xf numFmtId="0" fontId="1" fillId="0" borderId="0"/>
    <xf numFmtId="0" fontId="111" fillId="0" borderId="0" applyNumberFormat="0" applyFont="0" applyBorder="0" applyProtection="0"/>
    <xf numFmtId="0" fontId="1" fillId="0" borderId="0"/>
    <xf numFmtId="0" fontId="1" fillId="0" borderId="0"/>
    <xf numFmtId="0" fontId="152" fillId="0" borderId="0"/>
    <xf numFmtId="0" fontId="152" fillId="0" borderId="0"/>
    <xf numFmtId="0" fontId="17" fillId="0" borderId="0"/>
    <xf numFmtId="0" fontId="301" fillId="0" borderId="0">
      <alignment vertical="center"/>
    </xf>
    <xf numFmtId="0" fontId="152" fillId="0" borderId="0"/>
    <xf numFmtId="0" fontId="17" fillId="0" borderId="0"/>
    <xf numFmtId="0" fontId="301" fillId="0" borderId="0">
      <alignment vertical="center"/>
    </xf>
    <xf numFmtId="0" fontId="168" fillId="0" borderId="0"/>
    <xf numFmtId="0" fontId="152" fillId="0" borderId="0"/>
    <xf numFmtId="0" fontId="17" fillId="0" borderId="0"/>
    <xf numFmtId="0" fontId="301" fillId="0" borderId="0">
      <alignment vertical="center"/>
    </xf>
    <xf numFmtId="178" fontId="1" fillId="0" borderId="0"/>
    <xf numFmtId="0" fontId="152" fillId="0" borderId="0"/>
    <xf numFmtId="0" fontId="17" fillId="0" borderId="0"/>
    <xf numFmtId="0" fontId="301" fillId="0" borderId="0">
      <alignment vertical="center"/>
    </xf>
    <xf numFmtId="0" fontId="152" fillId="0" borderId="0"/>
    <xf numFmtId="0" fontId="1" fillId="0" borderId="0"/>
    <xf numFmtId="0" fontId="17" fillId="0" borderId="0"/>
    <xf numFmtId="0" fontId="6" fillId="0" borderId="0"/>
    <xf numFmtId="192" fontId="79" fillId="0" borderId="0"/>
    <xf numFmtId="192" fontId="79" fillId="0" borderId="0"/>
    <xf numFmtId="192" fontId="79" fillId="0" borderId="0"/>
    <xf numFmtId="192" fontId="79" fillId="0" borderId="0"/>
    <xf numFmtId="0" fontId="79" fillId="0" borderId="0"/>
    <xf numFmtId="0" fontId="1" fillId="0" borderId="0"/>
    <xf numFmtId="0" fontId="1" fillId="0" borderId="0"/>
    <xf numFmtId="192" fontId="79"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192" fontId="79"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6"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92" fontId="4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178" fontId="1" fillId="0" borderId="0"/>
    <xf numFmtId="178" fontId="1" fillId="0" borderId="0"/>
    <xf numFmtId="0" fontId="152" fillId="0" borderId="0"/>
    <xf numFmtId="178"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178" fontId="1"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0" fontId="152" fillId="0" borderId="0"/>
    <xf numFmtId="178" fontId="1"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52" fillId="0" borderId="0"/>
    <xf numFmtId="178"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 fillId="0" borderId="0"/>
    <xf numFmtId="0" fontId="1" fillId="0" borderId="0"/>
    <xf numFmtId="0" fontId="1" fillId="0" borderId="0"/>
    <xf numFmtId="0"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178"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178"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0" fontId="152" fillId="0" borderId="0"/>
    <xf numFmtId="178"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0" fontId="152" fillId="0" borderId="0"/>
    <xf numFmtId="0"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52" fillId="0" borderId="0"/>
    <xf numFmtId="178" fontId="1" fillId="0" borderId="0"/>
    <xf numFmtId="0" fontId="152" fillId="0" borderId="0"/>
    <xf numFmtId="178"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178"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178" fontId="1"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178" fontId="1" fillId="0" borderId="0"/>
    <xf numFmtId="192" fontId="4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92" fontId="4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92"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192" fontId="4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6" fillId="0" borderId="0"/>
    <xf numFmtId="178" fontId="41" fillId="0" borderId="0"/>
    <xf numFmtId="0" fontId="301" fillId="0" borderId="0">
      <alignment vertical="center"/>
    </xf>
    <xf numFmtId="192" fontId="41" fillId="0" borderId="0"/>
    <xf numFmtId="0" fontId="152" fillId="0" borderId="0"/>
    <xf numFmtId="0" fontId="152" fillId="0" borderId="0"/>
    <xf numFmtId="0" fontId="152" fillId="0" borderId="0"/>
    <xf numFmtId="0" fontId="152" fillId="0" borderId="0"/>
    <xf numFmtId="0" fontId="152" fillId="0" borderId="0"/>
    <xf numFmtId="192" fontId="4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192" fontId="7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92" fontId="79"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192" fontId="79"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7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6" fillId="0" borderId="0"/>
    <xf numFmtId="192"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192" fontId="79" fillId="0" borderId="0"/>
    <xf numFmtId="0" fontId="79"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192" fontId="79" fillId="0" borderId="0"/>
    <xf numFmtId="192" fontId="79"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192" fontId="79"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192"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92" fontId="79" fillId="0" borderId="0"/>
    <xf numFmtId="192" fontId="79"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92" fontId="79" fillId="0" borderId="0"/>
    <xf numFmtId="192" fontId="79" fillId="0" borderId="0"/>
    <xf numFmtId="0" fontId="1" fillId="0" borderId="0"/>
    <xf numFmtId="0" fontId="1" fillId="0" borderId="0"/>
    <xf numFmtId="0" fontId="1" fillId="0" borderId="0"/>
    <xf numFmtId="0" fontId="1" fillId="0" borderId="0"/>
    <xf numFmtId="178" fontId="152" fillId="0" borderId="0"/>
    <xf numFmtId="178"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92" fontId="79"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192" fontId="79"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92" fontId="79" fillId="0" borderId="0"/>
    <xf numFmtId="192" fontId="79"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 fillId="0" borderId="0"/>
    <xf numFmtId="0" fontId="17"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7" fillId="0" borderId="0"/>
    <xf numFmtId="0" fontId="152" fillId="0" borderId="0"/>
    <xf numFmtId="0" fontId="17" fillId="0" borderId="0"/>
    <xf numFmtId="0" fontId="152" fillId="0" borderId="0"/>
    <xf numFmtId="0" fontId="1" fillId="0" borderId="0"/>
    <xf numFmtId="0" fontId="1" fillId="0" borderId="0"/>
    <xf numFmtId="0" fontId="1" fillId="0" borderId="0"/>
    <xf numFmtId="0" fontId="17"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52" fillId="0" borderId="0"/>
    <xf numFmtId="0" fontId="17" fillId="0" borderId="0"/>
    <xf numFmtId="0" fontId="152" fillId="0" borderId="0"/>
    <xf numFmtId="0" fontId="6" fillId="0" borderId="0"/>
    <xf numFmtId="0" fontId="152" fillId="0" borderId="0"/>
    <xf numFmtId="0" fontId="6" fillId="0" borderId="0"/>
    <xf numFmtId="0" fontId="1" fillId="0" borderId="0"/>
    <xf numFmtId="0" fontId="17"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7" fillId="0" borderId="0"/>
    <xf numFmtId="0" fontId="1" fillId="0" borderId="0"/>
    <xf numFmtId="0" fontId="1" fillId="0" borderId="0"/>
    <xf numFmtId="0" fontId="1" fillId="0" borderId="0"/>
    <xf numFmtId="0" fontId="1"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152" fillId="0" borderId="0"/>
    <xf numFmtId="0" fontId="152"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6"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0" fontId="6" fillId="0" borderId="0"/>
    <xf numFmtId="0" fontId="17" fillId="0" borderId="0"/>
    <xf numFmtId="0" fontId="301" fillId="0" borderId="0">
      <alignment vertical="center"/>
    </xf>
    <xf numFmtId="0" fontId="150"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7"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7"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 fillId="0" borderId="0"/>
    <xf numFmtId="0" fontId="17" fillId="0" borderId="0"/>
    <xf numFmtId="0" fontId="1" fillId="0" borderId="0"/>
    <xf numFmtId="0" fontId="152" fillId="0" borderId="0"/>
    <xf numFmtId="0" fontId="152" fillId="0" borderId="0"/>
    <xf numFmtId="0" fontId="152" fillId="0" borderId="0"/>
    <xf numFmtId="0" fontId="152"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7" fillId="0" borderId="0"/>
    <xf numFmtId="0" fontId="152" fillId="0" borderId="0"/>
    <xf numFmtId="0" fontId="1" fillId="0" borderId="0"/>
    <xf numFmtId="0" fontId="17" fillId="0" borderId="0"/>
    <xf numFmtId="0" fontId="152" fillId="0" borderId="0"/>
    <xf numFmtId="0" fontId="1" fillId="0" borderId="0"/>
    <xf numFmtId="0" fontId="17" fillId="0" borderId="0"/>
    <xf numFmtId="0" fontId="152" fillId="0" borderId="0"/>
    <xf numFmtId="0" fontId="1" fillId="0" borderId="0"/>
    <xf numFmtId="0" fontId="17" fillId="0" borderId="0"/>
    <xf numFmtId="0" fontId="152" fillId="0" borderId="0"/>
    <xf numFmtId="0" fontId="17" fillId="0" borderId="0"/>
    <xf numFmtId="0" fontId="152" fillId="0" borderId="0"/>
    <xf numFmtId="0" fontId="17" fillId="0" borderId="0"/>
    <xf numFmtId="0" fontId="6" fillId="0" borderId="0"/>
    <xf numFmtId="0" fontId="152" fillId="0" borderId="0"/>
    <xf numFmtId="0" fontId="17" fillId="0" borderId="0"/>
    <xf numFmtId="0" fontId="17" fillId="0" borderId="0"/>
    <xf numFmtId="0" fontId="6" fillId="0" borderId="0"/>
    <xf numFmtId="0" fontId="301" fillId="0" borderId="0">
      <alignment vertical="center"/>
    </xf>
    <xf numFmtId="0" fontId="152" fillId="0" borderId="0"/>
    <xf numFmtId="0" fontId="17" fillId="0" borderId="0"/>
    <xf numFmtId="0" fontId="152" fillId="0" borderId="0"/>
    <xf numFmtId="0" fontId="17" fillId="0" borderId="0"/>
    <xf numFmtId="178"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0" fontId="152" fillId="0" borderId="0"/>
    <xf numFmtId="0" fontId="1"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79" fillId="0" borderId="0"/>
    <xf numFmtId="0" fontId="17" fillId="0" borderId="0"/>
    <xf numFmtId="0" fontId="301" fillId="0" borderId="0">
      <alignment vertical="center"/>
    </xf>
    <xf numFmtId="0" fontId="78"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152" fillId="0" borderId="0"/>
    <xf numFmtId="0" fontId="17" fillId="0" borderId="0"/>
    <xf numFmtId="0" fontId="6" fillId="0" borderId="0"/>
    <xf numFmtId="0" fontId="152" fillId="0" borderId="0"/>
    <xf numFmtId="0" fontId="17" fillId="0" borderId="0"/>
    <xf numFmtId="0" fontId="152" fillId="0" borderId="0"/>
    <xf numFmtId="0" fontId="17" fillId="0" borderId="0"/>
    <xf numFmtId="0" fontId="152" fillId="0" borderId="0"/>
    <xf numFmtId="178" fontId="152" fillId="0" borderId="0"/>
    <xf numFmtId="0" fontId="152" fillId="0" borderId="0"/>
    <xf numFmtId="178" fontId="152" fillId="0" borderId="0"/>
    <xf numFmtId="0" fontId="1" fillId="0" borderId="0"/>
    <xf numFmtId="178" fontId="152" fillId="0" borderId="0"/>
    <xf numFmtId="0" fontId="1" fillId="0" borderId="0"/>
    <xf numFmtId="178" fontId="152" fillId="0" borderId="0"/>
    <xf numFmtId="0" fontId="1" fillId="0" borderId="0"/>
    <xf numFmtId="178" fontId="152" fillId="0" borderId="0"/>
    <xf numFmtId="178" fontId="152" fillId="0" borderId="0"/>
    <xf numFmtId="0" fontId="1" fillId="0" borderId="0"/>
    <xf numFmtId="0" fontId="1" fillId="0" borderId="0"/>
    <xf numFmtId="0" fontId="1" fillId="0" borderId="0"/>
    <xf numFmtId="0" fontId="152" fillId="0" borderId="0"/>
    <xf numFmtId="178" fontId="152" fillId="0" borderId="0"/>
    <xf numFmtId="0" fontId="152" fillId="0" borderId="0"/>
    <xf numFmtId="0" fontId="152" fillId="0" borderId="0"/>
    <xf numFmtId="192" fontId="1" fillId="0" borderId="0"/>
    <xf numFmtId="0" fontId="17" fillId="0" borderId="0"/>
    <xf numFmtId="178" fontId="6" fillId="0" borderId="0">
      <alignment vertical="center"/>
    </xf>
    <xf numFmtId="0" fontId="301" fillId="0" borderId="0">
      <alignment vertical="center"/>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92" fontId="1" fillId="0" borderId="0"/>
    <xf numFmtId="0" fontId="6" fillId="0" borderId="0">
      <alignment vertical="center"/>
    </xf>
    <xf numFmtId="0" fontId="6" fillId="0" borderId="0"/>
    <xf numFmtId="0" fontId="301" fillId="0" borderId="0">
      <alignment vertical="center"/>
    </xf>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192" fontId="1" fillId="0" borderId="0"/>
    <xf numFmtId="0" fontId="17" fillId="0" borderId="0"/>
    <xf numFmtId="0" fontId="301" fillId="0" borderId="0">
      <alignment vertical="center"/>
    </xf>
    <xf numFmtId="0" fontId="152" fillId="0" borderId="0"/>
    <xf numFmtId="178" fontId="1" fillId="0" borderId="0"/>
    <xf numFmtId="178" fontId="1" fillId="0" borderId="0"/>
    <xf numFmtId="178" fontId="1"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178" fontId="1" fillId="0" borderId="0"/>
    <xf numFmtId="178" fontId="1" fillId="0" borderId="0"/>
    <xf numFmtId="178" fontId="1"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0" fontId="152" fillId="0" borderId="0"/>
    <xf numFmtId="0" fontId="152" fillId="0" borderId="0"/>
    <xf numFmtId="0" fontId="152" fillId="0" borderId="0"/>
    <xf numFmtId="0" fontId="152" fillId="0" borderId="0"/>
    <xf numFmtId="0" fontId="152" fillId="0" borderId="0"/>
    <xf numFmtId="0" fontId="152" fillId="0" borderId="0"/>
    <xf numFmtId="178" fontId="1" fillId="0" borderId="0"/>
    <xf numFmtId="178" fontId="1" fillId="0" borderId="0"/>
    <xf numFmtId="178" fontId="1" fillId="0" borderId="0"/>
    <xf numFmtId="178"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6" fillId="0" borderId="0"/>
    <xf numFmtId="0" fontId="6" fillId="0" borderId="0">
      <alignment vertical="top"/>
    </xf>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52" fillId="0" borderId="0"/>
    <xf numFmtId="0" fontId="111" fillId="0" borderId="0"/>
    <xf numFmtId="0" fontId="17" fillId="0" borderId="0"/>
    <xf numFmtId="0" fontId="17"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1" fillId="0" borderId="0"/>
    <xf numFmtId="0" fontId="1" fillId="0" borderId="0"/>
    <xf numFmtId="0" fontId="79" fillId="0" borderId="0"/>
    <xf numFmtId="0" fontId="1" fillId="0" borderId="0"/>
    <xf numFmtId="0" fontId="1" fillId="0" borderId="0"/>
    <xf numFmtId="0" fontId="6" fillId="0" borderId="0"/>
    <xf numFmtId="0" fontId="1" fillId="0" borderId="0"/>
    <xf numFmtId="0" fontId="159" fillId="0" borderId="0"/>
    <xf numFmtId="0" fontId="159"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91" fontId="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1"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79"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6" fillId="0" borderId="0"/>
    <xf numFmtId="191" fontId="6" fillId="0" borderId="0" applyFill="0" applyBorder="0" applyAlignment="0" applyProtection="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79"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91" fontId="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192" fontId="79" fillId="0" borderId="0"/>
    <xf numFmtId="192" fontId="79" fillId="0" borderId="0"/>
    <xf numFmtId="0" fontId="17" fillId="0" borderId="0"/>
    <xf numFmtId="0" fontId="301" fillId="0" borderId="0">
      <alignment vertical="center"/>
    </xf>
    <xf numFmtId="192" fontId="79" fillId="0" borderId="0"/>
    <xf numFmtId="0" fontId="1" fillId="0" borderId="0"/>
    <xf numFmtId="0" fontId="17" fillId="0" borderId="0"/>
    <xf numFmtId="0" fontId="6" fillId="0" borderId="0"/>
    <xf numFmtId="192" fontId="79" fillId="0" borderId="0"/>
    <xf numFmtId="0" fontId="1" fillId="0" borderId="0"/>
    <xf numFmtId="0" fontId="17"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79" fillId="0" borderId="0"/>
    <xf numFmtId="0" fontId="1" fillId="0" borderId="0"/>
    <xf numFmtId="0" fontId="17" fillId="0" borderId="0"/>
    <xf numFmtId="178" fontId="1" fillId="0" borderId="0"/>
    <xf numFmtId="0" fontId="1" fillId="0" borderId="0"/>
    <xf numFmtId="0" fontId="17" fillId="0" borderId="0"/>
    <xf numFmtId="178" fontId="1" fillId="0" borderId="0"/>
    <xf numFmtId="0" fontId="1" fillId="0" borderId="0"/>
    <xf numFmtId="0" fontId="17" fillId="0" borderId="0"/>
    <xf numFmtId="178" fontId="1" fillId="0" borderId="0"/>
    <xf numFmtId="0" fontId="1" fillId="0" borderId="0"/>
    <xf numFmtId="0" fontId="17" fillId="0" borderId="0"/>
    <xf numFmtId="178" fontId="1" fillId="0" borderId="0"/>
    <xf numFmtId="0" fontId="17" fillId="0" borderId="0"/>
    <xf numFmtId="178" fontId="1" fillId="0" borderId="0"/>
    <xf numFmtId="0" fontId="17" fillId="0" borderId="0"/>
    <xf numFmtId="178" fontId="1" fillId="0" borderId="0"/>
    <xf numFmtId="0" fontId="17" fillId="0" borderId="0"/>
    <xf numFmtId="0" fontId="81" fillId="0" borderId="0"/>
    <xf numFmtId="192" fontId="41" fillId="0" borderId="0" applyFont="0" applyFill="0" applyBorder="0" applyAlignment="0" applyProtection="0"/>
    <xf numFmtId="178" fontId="79" fillId="0" borderId="0"/>
    <xf numFmtId="178" fontId="79" fillId="0" borderId="0"/>
    <xf numFmtId="178" fontId="41" fillId="0" borderId="0" applyFont="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0" fontId="6" fillId="0" borderId="0"/>
    <xf numFmtId="0" fontId="6"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0" fontId="17"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0" fontId="6"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0" fontId="17" fillId="0" borderId="0"/>
    <xf numFmtId="0" fontId="301" fillId="0" borderId="0">
      <alignment vertical="center"/>
    </xf>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92" fontId="79" fillId="0" borderId="0"/>
    <xf numFmtId="178" fontId="79" fillId="0" borderId="0"/>
    <xf numFmtId="178" fontId="79" fillId="0" borderId="0"/>
    <xf numFmtId="0" fontId="17"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92"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92"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79" fillId="0" borderId="0"/>
    <xf numFmtId="192"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92"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92"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92"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1" fillId="0" borderId="0"/>
    <xf numFmtId="0" fontId="1" fillId="0" borderId="0"/>
    <xf numFmtId="0" fontId="1" fillId="0" borderId="0"/>
    <xf numFmtId="0" fontId="1" fillId="0" borderId="0"/>
    <xf numFmtId="0" fontId="1" fillId="0" borderId="0"/>
    <xf numFmtId="0" fontId="1" fillId="0" borderId="0"/>
    <xf numFmtId="178"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178" fontId="79" fillId="0" borderId="0"/>
    <xf numFmtId="178" fontId="79" fillId="0" borderId="0"/>
    <xf numFmtId="178" fontId="79" fillId="0" borderId="0"/>
    <xf numFmtId="178" fontId="79" fillId="0" borderId="0"/>
    <xf numFmtId="178" fontId="79" fillId="0" borderId="0"/>
    <xf numFmtId="178" fontId="79" fillId="0" borderId="0"/>
    <xf numFmtId="0" fontId="17"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17" fillId="0" borderId="0"/>
    <xf numFmtId="178" fontId="1" fillId="0" borderId="0"/>
    <xf numFmtId="0" fontId="17" fillId="0" borderId="0"/>
    <xf numFmtId="178" fontId="1" fillId="0" borderId="0"/>
    <xf numFmtId="0" fontId="17" fillId="0" borderId="0"/>
    <xf numFmtId="178" fontId="1" fillId="0" borderId="0"/>
    <xf numFmtId="0" fontId="17" fillId="0" borderId="0"/>
    <xf numFmtId="178" fontId="1" fillId="0" borderId="0"/>
    <xf numFmtId="0" fontId="17" fillId="0" borderId="0"/>
    <xf numFmtId="178" fontId="1" fillId="0" borderId="0"/>
    <xf numFmtId="0" fontId="17" fillId="0" borderId="0"/>
    <xf numFmtId="178" fontId="79" fillId="0" borderId="0"/>
    <xf numFmtId="0" fontId="17" fillId="0" borderId="0"/>
    <xf numFmtId="178" fontId="79" fillId="0" borderId="0"/>
    <xf numFmtId="0" fontId="17" fillId="0" borderId="0"/>
    <xf numFmtId="0" fontId="6" fillId="0" borderId="0"/>
    <xf numFmtId="178" fontId="79" fillId="0" borderId="0"/>
    <xf numFmtId="0" fontId="17" fillId="0" borderId="0"/>
    <xf numFmtId="0" fontId="8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1" fillId="0" borderId="0"/>
    <xf numFmtId="0" fontId="1" fillId="0" borderId="0"/>
    <xf numFmtId="192" fontId="4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 fillId="0" borderId="0"/>
    <xf numFmtId="0" fontId="1" fillId="0" borderId="0"/>
    <xf numFmtId="0" fontId="17" fillId="0" borderId="0"/>
    <xf numFmtId="0" fontId="301" fillId="0" borderId="0">
      <alignment vertical="center"/>
    </xf>
    <xf numFmtId="0" fontId="48" fillId="0" borderId="0"/>
    <xf numFmtId="192" fontId="41" fillId="0" borderId="0" applyFont="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92" fontId="41" fillId="0" borderId="0" applyFont="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0" fontId="17" fillId="0" borderId="0"/>
    <xf numFmtId="178" fontId="79" fillId="0" borderId="0"/>
    <xf numFmtId="0" fontId="79" fillId="0" borderId="0"/>
    <xf numFmtId="178" fontId="79" fillId="0" borderId="0"/>
    <xf numFmtId="178" fontId="79" fillId="0" borderId="0"/>
    <xf numFmtId="178" fontId="79" fillId="0" borderId="0"/>
    <xf numFmtId="178" fontId="79" fillId="0" borderId="0"/>
    <xf numFmtId="0" fontId="1" fillId="0" borderId="0"/>
    <xf numFmtId="0" fontId="1" fillId="0" borderId="0"/>
    <xf numFmtId="0" fontId="1" fillId="0" borderId="0"/>
    <xf numFmtId="0" fontId="1" fillId="0" borderId="0"/>
    <xf numFmtId="0" fontId="150" fillId="0" borderId="0"/>
    <xf numFmtId="0" fontId="1" fillId="0" borderId="0"/>
    <xf numFmtId="0" fontId="1" fillId="0" borderId="0"/>
    <xf numFmtId="0" fontId="1" fillId="0" borderId="0"/>
    <xf numFmtId="0" fontId="1" fillId="0" borderId="0"/>
    <xf numFmtId="0" fontId="1" fillId="0" borderId="0"/>
    <xf numFmtId="0" fontId="17" fillId="0" borderId="0"/>
    <xf numFmtId="0" fontId="301" fillId="0" borderId="0">
      <alignment vertical="center"/>
    </xf>
    <xf numFmtId="0" fontId="6" fillId="0" borderId="0"/>
    <xf numFmtId="0" fontId="1" fillId="0" borderId="0"/>
    <xf numFmtId="178" fontId="79" fillId="0" borderId="0"/>
    <xf numFmtId="0" fontId="17" fillId="0" borderId="0"/>
    <xf numFmtId="0" fontId="1" fillId="0" borderId="0"/>
    <xf numFmtId="0" fontId="1" fillId="0" borderId="0"/>
    <xf numFmtId="0" fontId="212" fillId="0" borderId="0"/>
    <xf numFmtId="0" fontId="152" fillId="0" borderId="0"/>
    <xf numFmtId="192" fontId="6" fillId="0" borderId="0"/>
    <xf numFmtId="0" fontId="1" fillId="0" borderId="0"/>
    <xf numFmtId="0" fontId="1" fillId="0" borderId="0"/>
    <xf numFmtId="0" fontId="1" fillId="0" borderId="0"/>
    <xf numFmtId="0" fontId="1" fillId="0" borderId="0"/>
    <xf numFmtId="0" fontId="1" fillId="0" borderId="0"/>
    <xf numFmtId="0" fontId="17" fillId="0" borderId="0"/>
    <xf numFmtId="0" fontId="301" fillId="0" borderId="0">
      <alignment vertical="center"/>
    </xf>
    <xf numFmtId="192"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01" fillId="0" borderId="0">
      <alignment vertical="center"/>
    </xf>
    <xf numFmtId="192"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7" fillId="0" borderId="0"/>
    <xf numFmtId="0" fontId="301" fillId="0" borderId="0">
      <alignment vertical="center"/>
    </xf>
    <xf numFmtId="192" fontId="1" fillId="0" borderId="0"/>
    <xf numFmtId="0" fontId="79" fillId="0" borderId="0"/>
    <xf numFmtId="0" fontId="1" fillId="0" borderId="0"/>
    <xf numFmtId="0" fontId="17" fillId="0" borderId="0"/>
    <xf numFmtId="0" fontId="301" fillId="0" borderId="0">
      <alignment vertical="center"/>
    </xf>
    <xf numFmtId="192" fontId="1" fillId="0" borderId="0"/>
    <xf numFmtId="0" fontId="1" fillId="0" borderId="0"/>
    <xf numFmtId="0" fontId="17" fillId="0" borderId="0"/>
    <xf numFmtId="0" fontId="79" fillId="0" borderId="0"/>
    <xf numFmtId="0" fontId="301" fillId="0" borderId="0">
      <alignment vertical="center"/>
    </xf>
    <xf numFmtId="0" fontId="301" fillId="0" borderId="0">
      <alignment vertical="center"/>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7" fillId="0" borderId="0"/>
    <xf numFmtId="0" fontId="6" fillId="0" borderId="0"/>
    <xf numFmtId="0" fontId="6" fillId="0" borderId="0"/>
    <xf numFmtId="0" fontId="6" fillId="0" borderId="0"/>
    <xf numFmtId="0" fontId="168" fillId="0" borderId="0"/>
    <xf numFmtId="0" fontId="168" fillId="0" borderId="0"/>
    <xf numFmtId="0" fontId="1" fillId="0" borderId="0"/>
    <xf numFmtId="0" fontId="79" fillId="0" borderId="0"/>
    <xf numFmtId="0" fontId="79" fillId="0" borderId="0"/>
    <xf numFmtId="0" fontId="79" fillId="0" borderId="0"/>
    <xf numFmtId="0" fontId="79" fillId="0" borderId="0"/>
    <xf numFmtId="0" fontId="79"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52" fillId="0" borderId="0"/>
    <xf numFmtId="0" fontId="1" fillId="0" borderId="0"/>
    <xf numFmtId="0" fontId="1" fillId="0" borderId="0"/>
    <xf numFmtId="0" fontId="156" fillId="0" borderId="0"/>
    <xf numFmtId="0" fontId="1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178"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178" fontId="1" fillId="0" borderId="0"/>
    <xf numFmtId="0" fontId="1" fillId="0" borderId="0"/>
    <xf numFmtId="0" fontId="1" fillId="0" borderId="0"/>
    <xf numFmtId="0" fontId="1" fillId="0" borderId="0"/>
    <xf numFmtId="0" fontId="1" fillId="0" borderId="0"/>
    <xf numFmtId="0" fontId="1" fillId="0" borderId="0"/>
    <xf numFmtId="0" fontId="6" fillId="0" borderId="0"/>
    <xf numFmtId="178" fontId="1" fillId="0" borderId="0"/>
    <xf numFmtId="0" fontId="1" fillId="0" borderId="0"/>
    <xf numFmtId="0" fontId="1" fillId="0" borderId="0"/>
    <xf numFmtId="0" fontId="1" fillId="0" borderId="0"/>
    <xf numFmtId="0" fontId="1" fillId="0" borderId="0"/>
    <xf numFmtId="0" fontId="1" fillId="0" borderId="0"/>
    <xf numFmtId="0" fontId="301" fillId="0" borderId="0">
      <alignment vertical="center"/>
    </xf>
    <xf numFmtId="0" fontId="20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6"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64" fontId="6" fillId="0" borderId="0"/>
    <xf numFmtId="0" fontId="301" fillId="0" borderId="0">
      <alignment vertical="center"/>
    </xf>
    <xf numFmtId="164" fontId="6" fillId="0" borderId="0"/>
    <xf numFmtId="0" fontId="17" fillId="0" borderId="0"/>
    <xf numFmtId="0" fontId="17" fillId="0" borderId="0"/>
    <xf numFmtId="0" fontId="30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79" fillId="0" borderId="0"/>
    <xf numFmtId="192" fontId="79" fillId="0" borderId="0"/>
    <xf numFmtId="0" fontId="6" fillId="0" borderId="0">
      <alignment vertical="center"/>
    </xf>
    <xf numFmtId="0" fontId="301" fillId="0" borderId="0">
      <alignment vertical="center"/>
    </xf>
    <xf numFmtId="0" fontId="1" fillId="0" borderId="0"/>
    <xf numFmtId="0" fontId="6" fillId="0" borderId="0"/>
    <xf numFmtId="0" fontId="6" fillId="0" borderId="0">
      <alignment vertical="center"/>
    </xf>
    <xf numFmtId="0" fontId="1" fillId="0" borderId="0"/>
    <xf numFmtId="0" fontId="79" fillId="0" borderId="0"/>
    <xf numFmtId="0" fontId="6" fillId="0" borderId="0">
      <alignment vertical="top"/>
    </xf>
    <xf numFmtId="192" fontId="79" fillId="0" borderId="0"/>
    <xf numFmtId="192" fontId="79" fillId="0" borderId="0"/>
    <xf numFmtId="0" fontId="301" fillId="0" borderId="0">
      <alignment vertical="center"/>
    </xf>
    <xf numFmtId="192" fontId="79" fillId="0" borderId="0"/>
    <xf numFmtId="192" fontId="79" fillId="0" borderId="0"/>
    <xf numFmtId="0" fontId="301" fillId="0" borderId="0">
      <alignment vertical="center"/>
    </xf>
    <xf numFmtId="192" fontId="79" fillId="0" borderId="0"/>
    <xf numFmtId="192" fontId="79" fillId="0" borderId="0"/>
    <xf numFmtId="0" fontId="17" fillId="0" borderId="0"/>
    <xf numFmtId="0" fontId="1" fillId="0" borderId="0"/>
    <xf numFmtId="0" fontId="1" fillId="0" borderId="0"/>
    <xf numFmtId="0" fontId="1" fillId="0" borderId="0"/>
    <xf numFmtId="0" fontId="301" fillId="0" borderId="0">
      <alignment vertical="center"/>
    </xf>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301" fillId="0" borderId="0">
      <alignment vertical="center"/>
    </xf>
    <xf numFmtId="0" fontId="17" fillId="0" borderId="0"/>
    <xf numFmtId="0" fontId="30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301" fillId="0" borderId="0">
      <alignment vertical="center"/>
    </xf>
    <xf numFmtId="0" fontId="1" fillId="0" borderId="0"/>
    <xf numFmtId="0" fontId="6" fillId="0" borderId="0"/>
    <xf numFmtId="0" fontId="6" fillId="0" borderId="0">
      <alignment vertical="top"/>
    </xf>
    <xf numFmtId="0" fontId="6" fillId="0" borderId="0">
      <alignment vertical="top"/>
    </xf>
    <xf numFmtId="0" fontId="1" fillId="0" borderId="0"/>
    <xf numFmtId="0" fontId="301" fillId="0" borderId="0">
      <alignment vertical="center"/>
    </xf>
    <xf numFmtId="0" fontId="1" fillId="0" borderId="0"/>
    <xf numFmtId="0" fontId="301" fillId="0" borderId="0">
      <alignment vertical="center"/>
    </xf>
    <xf numFmtId="0" fontId="1" fillId="0" borderId="0"/>
    <xf numFmtId="0" fontId="6" fillId="0" borderId="0"/>
    <xf numFmtId="0" fontId="1" fillId="0" borderId="0"/>
    <xf numFmtId="0" fontId="1" fillId="0" borderId="0"/>
    <xf numFmtId="0" fontId="1" fillId="0" borderId="0"/>
    <xf numFmtId="0" fontId="301" fillId="0" borderId="0">
      <alignment vertical="center"/>
    </xf>
    <xf numFmtId="0" fontId="1" fillId="0" borderId="0"/>
    <xf numFmtId="0" fontId="1" fillId="0" borderId="0"/>
    <xf numFmtId="0" fontId="6" fillId="0" borderId="0"/>
    <xf numFmtId="0" fontId="1" fillId="0" borderId="0"/>
    <xf numFmtId="178"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164" fontId="17" fillId="0" borderId="0"/>
    <xf numFmtId="0" fontId="17"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79" fillId="0" borderId="0"/>
    <xf numFmtId="192" fontId="6" fillId="0" borderId="0">
      <alignment vertical="center"/>
    </xf>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xf numFmtId="0" fontId="17"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9" fillId="0" borderId="0"/>
    <xf numFmtId="0" fontId="17" fillId="0" borderId="0"/>
    <xf numFmtId="192"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164" fontId="17" fillId="0" borderId="0"/>
    <xf numFmtId="0" fontId="17" fillId="0" borderId="0"/>
    <xf numFmtId="0" fontId="156"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62" fillId="0" borderId="125">
      <alignment horizontal="right" vertical="center"/>
    </xf>
    <xf numFmtId="0" fontId="162" fillId="0" borderId="125"/>
    <xf numFmtId="0" fontId="161" fillId="37" borderId="0" applyNumberFormat="0" applyFont="0" applyBorder="0" applyAlignment="0" applyProtection="0"/>
    <xf numFmtId="0" fontId="161" fillId="37" borderId="0" applyNumberFormat="0" applyFont="0" applyBorder="0" applyAlignment="0" applyProtection="0"/>
    <xf numFmtId="0" fontId="302" fillId="30" borderId="0"/>
    <xf numFmtId="258" fontId="48" fillId="0" borderId="0" applyFont="0" applyFill="0" applyBorder="0" applyAlignment="0" applyProtection="0"/>
    <xf numFmtId="259" fontId="48" fillId="0" borderId="0" applyFont="0" applyFill="0" applyBorder="0" applyAlignment="0" applyProtection="0"/>
    <xf numFmtId="260" fontId="48" fillId="0" borderId="0" applyFont="0" applyFill="0" applyBorder="0" applyAlignment="0" applyProtection="0"/>
    <xf numFmtId="261" fontId="48" fillId="0" borderId="0" applyFont="0" applyFill="0" applyBorder="0" applyAlignment="0" applyProtection="0"/>
    <xf numFmtId="0" fontId="6" fillId="0" borderId="0"/>
    <xf numFmtId="0" fontId="6" fillId="0" borderId="0"/>
    <xf numFmtId="0" fontId="6" fillId="14" borderId="135" applyNumberFormat="0" applyFont="0" applyAlignment="0" applyProtection="0"/>
    <xf numFmtId="0" fontId="6" fillId="14" borderId="135" applyNumberFormat="0" applyFont="0" applyAlignment="0" applyProtection="0"/>
    <xf numFmtId="0" fontId="6" fillId="14" borderId="135" applyNumberFormat="0" applyFont="0" applyAlignment="0" applyProtection="0"/>
    <xf numFmtId="0" fontId="6" fillId="14" borderId="135" applyNumberFormat="0" applyFont="0" applyAlignment="0" applyProtection="0"/>
    <xf numFmtId="0" fontId="152" fillId="32" borderId="22"/>
    <xf numFmtId="0" fontId="79" fillId="174" borderId="10"/>
    <xf numFmtId="0" fontId="152" fillId="32" borderId="22"/>
    <xf numFmtId="0" fontId="79" fillId="174" borderId="10"/>
    <xf numFmtId="0" fontId="152" fillId="32" borderId="22"/>
    <xf numFmtId="0" fontId="79" fillId="174" borderId="10"/>
    <xf numFmtId="0" fontId="152" fillId="32" borderId="22"/>
    <xf numFmtId="0" fontId="79" fillId="174" borderId="10"/>
    <xf numFmtId="0" fontId="152" fillId="32" borderId="22"/>
    <xf numFmtId="0" fontId="1" fillId="174" borderId="10"/>
    <xf numFmtId="0" fontId="1" fillId="174" borderId="10"/>
    <xf numFmtId="0" fontId="1" fillId="174" borderId="10"/>
    <xf numFmtId="0" fontId="1" fillId="174" borderId="10"/>
    <xf numFmtId="0" fontId="1" fillId="174" borderId="10"/>
    <xf numFmtId="0" fontId="152" fillId="32" borderId="22"/>
    <xf numFmtId="0" fontId="79" fillId="174" borderId="10"/>
    <xf numFmtId="0" fontId="152" fillId="32" borderId="22"/>
    <xf numFmtId="0" fontId="79" fillId="174" borderId="10"/>
    <xf numFmtId="0" fontId="152" fillId="32" borderId="22"/>
    <xf numFmtId="0" fontId="79" fillId="174" borderId="10"/>
    <xf numFmtId="0" fontId="152" fillId="32" borderId="22"/>
    <xf numFmtId="0" fontId="152" fillId="32" borderId="22"/>
    <xf numFmtId="0" fontId="157" fillId="34" borderId="22" applyNumberFormat="0" applyFont="0" applyAlignment="0" applyProtection="0"/>
    <xf numFmtId="0" fontId="41" fillId="34" borderId="22" applyNumberFormat="0" applyFont="0" applyAlignment="0" applyProtection="0"/>
    <xf numFmtId="0" fontId="41" fillId="34" borderId="22" applyNumberFormat="0" applyFont="0" applyAlignment="0" applyProtection="0"/>
    <xf numFmtId="0" fontId="6" fillId="34" borderId="22" applyNumberFormat="0" applyFont="0" applyAlignment="0" applyProtection="0"/>
    <xf numFmtId="0" fontId="6" fillId="34" borderId="22" applyNumberFormat="0" applyFont="0" applyAlignment="0" applyProtection="0"/>
    <xf numFmtId="0" fontId="157" fillId="32" borderId="22" applyNumberFormat="0" applyFont="0" applyAlignment="0" applyProtection="0"/>
    <xf numFmtId="192" fontId="41" fillId="33" borderId="12" applyNumberFormat="0" applyFont="0" applyAlignment="0" applyProtection="0"/>
    <xf numFmtId="0" fontId="230" fillId="34"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230" fillId="34" borderId="22" applyNumberFormat="0" applyFont="0" applyAlignment="0" applyProtection="0"/>
    <xf numFmtId="0" fontId="230" fillId="34"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192" fontId="41" fillId="33" borderId="1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0" fontId="157" fillId="32" borderId="22" applyNumberFormat="0" applyFont="0" applyAlignment="0" applyProtection="0"/>
    <xf numFmtId="192" fontId="41" fillId="33" borderId="12" applyNumberFormat="0" applyFont="0" applyAlignment="0" applyProtection="0"/>
    <xf numFmtId="192" fontId="41" fillId="33" borderId="12" applyNumberFormat="0" applyFont="0" applyAlignment="0" applyProtection="0"/>
    <xf numFmtId="192" fontId="41" fillId="33" borderId="12" applyNumberFormat="0" applyFont="0" applyAlignment="0" applyProtection="0"/>
    <xf numFmtId="192" fontId="41" fillId="33" borderId="12" applyNumberFormat="0" applyFont="0" applyAlignment="0" applyProtection="0"/>
    <xf numFmtId="192" fontId="41" fillId="33" borderId="12" applyNumberFormat="0" applyFont="0" applyAlignment="0" applyProtection="0"/>
    <xf numFmtId="0" fontId="41" fillId="34" borderId="22" applyNumberFormat="0" applyFont="0" applyAlignment="0" applyProtection="0"/>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7" fillId="34" borderId="22" applyNumberFormat="0" applyFont="0" applyAlignment="0" applyProtection="0"/>
    <xf numFmtId="0" fontId="6" fillId="32" borderId="22"/>
    <xf numFmtId="192" fontId="6" fillId="33" borderId="136" applyNumberFormat="0" applyFont="0" applyAlignment="0" applyProtection="0"/>
    <xf numFmtId="0" fontId="41" fillId="33" borderId="12" applyNumberFormat="0" applyFont="0" applyAlignment="0" applyProtection="0"/>
    <xf numFmtId="0" fontId="41" fillId="33" borderId="12" applyNumberFormat="0" applyFont="0" applyAlignment="0" applyProtection="0"/>
    <xf numFmtId="0" fontId="41" fillId="33" borderId="12" applyNumberFormat="0" applyFont="0" applyAlignment="0" applyProtection="0"/>
    <xf numFmtId="192" fontId="6" fillId="33" borderId="136" applyNumberFormat="0" applyFont="0" applyAlignment="0" applyProtection="0"/>
    <xf numFmtId="192" fontId="6" fillId="33" borderId="136" applyNumberFormat="0" applyFont="0" applyAlignment="0" applyProtection="0"/>
    <xf numFmtId="192" fontId="6" fillId="33" borderId="136" applyNumberFormat="0" applyFont="0" applyAlignment="0" applyProtection="0"/>
    <xf numFmtId="192" fontId="6" fillId="33" borderId="136" applyNumberFormat="0" applyFont="0" applyAlignment="0" applyProtection="0"/>
    <xf numFmtId="192" fontId="6" fillId="33" borderId="136" applyNumberFormat="0" applyFont="0" applyAlignment="0" applyProtection="0"/>
    <xf numFmtId="0" fontId="6" fillId="32" borderId="22"/>
    <xf numFmtId="0" fontId="6" fillId="32" borderId="22"/>
    <xf numFmtId="0" fontId="152" fillId="32" borderId="22"/>
    <xf numFmtId="0" fontId="152" fillId="32" borderId="22"/>
    <xf numFmtId="0" fontId="152" fillId="32" borderId="22"/>
    <xf numFmtId="0" fontId="152" fillId="32" borderId="22"/>
    <xf numFmtId="0" fontId="152" fillId="32" borderId="22"/>
    <xf numFmtId="0" fontId="303" fillId="174" borderId="10"/>
    <xf numFmtId="0" fontId="152" fillId="32" borderId="22"/>
    <xf numFmtId="0" fontId="303" fillId="174" borderId="10"/>
    <xf numFmtId="0" fontId="152" fillId="32" borderId="22"/>
    <xf numFmtId="0" fontId="152" fillId="32" borderId="22"/>
    <xf numFmtId="0" fontId="303" fillId="174" borderId="10"/>
    <xf numFmtId="0" fontId="152" fillId="32" borderId="22"/>
    <xf numFmtId="0" fontId="152" fillId="32" borderId="22"/>
    <xf numFmtId="0" fontId="152" fillId="32" borderId="22"/>
    <xf numFmtId="0" fontId="152" fillId="32" borderId="22"/>
    <xf numFmtId="0" fontId="17" fillId="32" borderId="22"/>
    <xf numFmtId="0" fontId="79" fillId="174" borderId="10"/>
    <xf numFmtId="0" fontId="41" fillId="34" borderId="22" applyNumberFormat="0" applyFont="0" applyAlignment="0" applyProtection="0"/>
    <xf numFmtId="0" fontId="41" fillId="34" borderId="22" applyNumberFormat="0" applyFont="0" applyAlignment="0" applyProtection="0"/>
    <xf numFmtId="0" fontId="41" fillId="34" borderId="22" applyNumberFormat="0" applyFont="0" applyAlignment="0" applyProtection="0"/>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79" fillId="174" borderId="10"/>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152" fillId="32" borderId="22"/>
    <xf numFmtId="0" fontId="79" fillId="174" borderId="10"/>
    <xf numFmtId="0" fontId="303" fillId="174" borderId="10"/>
    <xf numFmtId="0" fontId="152" fillId="32" borderId="22"/>
    <xf numFmtId="0" fontId="303" fillId="174" borderId="10"/>
    <xf numFmtId="0" fontId="152" fillId="32" borderId="22"/>
    <xf numFmtId="0" fontId="303" fillId="174" borderId="10"/>
    <xf numFmtId="0" fontId="152" fillId="32" borderId="22"/>
    <xf numFmtId="0" fontId="152" fillId="32" borderId="22"/>
    <xf numFmtId="0" fontId="152" fillId="32" borderId="22"/>
    <xf numFmtId="0" fontId="41" fillId="34" borderId="22" applyNumberFormat="0" applyFont="0" applyAlignment="0" applyProtection="0"/>
    <xf numFmtId="0" fontId="160" fillId="9" borderId="10" applyNumberFormat="0" applyFont="0" applyAlignment="0" applyProtection="0"/>
    <xf numFmtId="0" fontId="152" fillId="32" borderId="22"/>
    <xf numFmtId="0" fontId="79" fillId="174" borderId="10"/>
    <xf numFmtId="0" fontId="152" fillId="32" borderId="22"/>
    <xf numFmtId="0" fontId="79" fillId="174" borderId="10"/>
    <xf numFmtId="0" fontId="152" fillId="32" borderId="22"/>
    <xf numFmtId="0" fontId="79" fillId="174" borderId="10"/>
    <xf numFmtId="0" fontId="162" fillId="0" borderId="0">
      <alignment horizontal="left"/>
    </xf>
    <xf numFmtId="37" fontId="304" fillId="32" borderId="31" applyFill="0" applyBorder="0" applyProtection="0"/>
    <xf numFmtId="262" fontId="170" fillId="0" borderId="0" applyFill="0" applyBorder="0">
      <alignment vertical="center"/>
    </xf>
    <xf numFmtId="263" fontId="305" fillId="0" borderId="0" applyNumberFormat="0" applyFill="0" applyBorder="0" applyAlignment="0" applyProtection="0"/>
    <xf numFmtId="165" fontId="306" fillId="0" borderId="0" applyFont="0" applyFill="0" applyBorder="0" applyAlignment="0" applyProtection="0"/>
    <xf numFmtId="165" fontId="306" fillId="0" borderId="0"/>
    <xf numFmtId="0" fontId="190" fillId="0" borderId="0"/>
    <xf numFmtId="0" fontId="233" fillId="0" borderId="0"/>
    <xf numFmtId="0" fontId="233" fillId="0" borderId="0"/>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07" fillId="28" borderId="23" applyNumberFormat="0" applyAlignment="0" applyProtection="0"/>
    <xf numFmtId="0" fontId="35" fillId="30" borderId="23"/>
    <xf numFmtId="0" fontId="35" fillId="28" borderId="23" applyNumberFormat="0" applyAlignment="0" applyProtection="0"/>
    <xf numFmtId="0" fontId="35" fillId="28" borderId="23" applyNumberFormat="0" applyAlignment="0" applyProtection="0"/>
    <xf numFmtId="192" fontId="35" fillId="118" borderId="23" applyNumberFormat="0" applyAlignment="0" applyProtection="0"/>
    <xf numFmtId="0" fontId="35" fillId="28"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5" fillId="28" borderId="23" applyNumberFormat="0" applyAlignment="0" applyProtection="0"/>
    <xf numFmtId="0" fontId="35" fillId="28" borderId="23" applyNumberFormat="0" applyAlignment="0" applyProtection="0"/>
    <xf numFmtId="0" fontId="307" fillId="30" borderId="23" applyNumberFormat="0" applyAlignment="0" applyProtection="0"/>
    <xf numFmtId="192" fontId="35" fillId="118"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0" fontId="307" fillId="30" borderId="23" applyNumberFormat="0" applyAlignment="0" applyProtection="0"/>
    <xf numFmtId="192" fontId="35" fillId="118" borderId="23" applyNumberFormat="0" applyAlignment="0" applyProtection="0"/>
    <xf numFmtId="192" fontId="35" fillId="118" borderId="23" applyNumberFormat="0" applyAlignment="0" applyProtection="0"/>
    <xf numFmtId="192" fontId="35" fillId="118" borderId="23" applyNumberFormat="0" applyAlignment="0" applyProtection="0"/>
    <xf numFmtId="192" fontId="35" fillId="118" borderId="23" applyNumberFormat="0" applyAlignment="0" applyProtection="0"/>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28" borderId="23" applyNumberFormat="0" applyAlignment="0" applyProtection="0"/>
    <xf numFmtId="0" fontId="35" fillId="118" borderId="23" applyNumberFormat="0" applyAlignment="0" applyProtection="0"/>
    <xf numFmtId="0" fontId="35" fillId="155" borderId="23" applyNumberFormat="0" applyAlignment="0" applyProtection="0"/>
    <xf numFmtId="192" fontId="35" fillId="155" borderId="23" applyNumberFormat="0" applyAlignment="0" applyProtection="0"/>
    <xf numFmtId="192" fontId="35" fillId="155" borderId="23" applyNumberFormat="0" applyAlignment="0" applyProtection="0"/>
    <xf numFmtId="192" fontId="35" fillId="155" borderId="23" applyNumberFormat="0" applyAlignment="0" applyProtection="0"/>
    <xf numFmtId="192" fontId="35" fillId="155" borderId="23" applyNumberFormat="0" applyAlignment="0" applyProtection="0"/>
    <xf numFmtId="192" fontId="35" fillId="155" borderId="23" applyNumberFormat="0" applyAlignment="0" applyProtection="0"/>
    <xf numFmtId="192" fontId="35" fillId="155" borderId="23" applyNumberFormat="0" applyAlignment="0" applyProtection="0"/>
    <xf numFmtId="0" fontId="35" fillId="118" borderId="23" applyNumberFormat="0" applyAlignment="0" applyProtection="0"/>
    <xf numFmtId="0" fontId="35" fillId="118" borderId="23" applyNumberFormat="0" applyAlignment="0" applyProtection="0"/>
    <xf numFmtId="0" fontId="35" fillId="30" borderId="23"/>
    <xf numFmtId="0" fontId="35" fillId="30" borderId="23"/>
    <xf numFmtId="0" fontId="35" fillId="30" borderId="23"/>
    <xf numFmtId="0" fontId="35" fillId="30" borderId="23"/>
    <xf numFmtId="0" fontId="35" fillId="30" borderId="23"/>
    <xf numFmtId="0" fontId="308" fillId="35" borderId="101"/>
    <xf numFmtId="0" fontId="35" fillId="30" borderId="23"/>
    <xf numFmtId="0" fontId="308" fillId="35" borderId="101"/>
    <xf numFmtId="0" fontId="35" fillId="30" borderId="23"/>
    <xf numFmtId="0" fontId="35" fillId="30" borderId="23"/>
    <xf numFmtId="0" fontId="308" fillId="35" borderId="101"/>
    <xf numFmtId="0" fontId="35" fillId="30" borderId="23"/>
    <xf numFmtId="0" fontId="35" fillId="30" borderId="23"/>
    <xf numFmtId="0" fontId="35" fillId="30" borderId="23"/>
    <xf numFmtId="0" fontId="35" fillId="30" borderId="23"/>
    <xf numFmtId="0" fontId="35" fillId="30" borderId="23"/>
    <xf numFmtId="0" fontId="35" fillId="28" borderId="23" applyNumberFormat="0" applyAlignment="0" applyProtection="0"/>
    <xf numFmtId="0" fontId="35" fillId="28" borderId="23" applyNumberFormat="0" applyAlignment="0" applyProtection="0"/>
    <xf numFmtId="0" fontId="35" fillId="28" borderId="23" applyNumberFormat="0" applyAlignment="0" applyProtection="0"/>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5" fillId="30" borderId="23"/>
    <xf numFmtId="0" fontId="308" fillId="35" borderId="101"/>
    <xf numFmtId="0" fontId="35" fillId="30" borderId="23"/>
    <xf numFmtId="0" fontId="308" fillId="35" borderId="101"/>
    <xf numFmtId="0" fontId="35" fillId="30" borderId="23"/>
    <xf numFmtId="0" fontId="308" fillId="35" borderId="101"/>
    <xf numFmtId="0" fontId="35" fillId="30" borderId="23"/>
    <xf numFmtId="0" fontId="35" fillId="30" borderId="23"/>
    <xf numFmtId="0" fontId="309" fillId="156" borderId="93"/>
    <xf numFmtId="0" fontId="35" fillId="30" borderId="23"/>
    <xf numFmtId="0" fontId="35" fillId="28" borderId="23" applyNumberFormat="0" applyAlignment="0" applyProtection="0"/>
    <xf numFmtId="0" fontId="310" fillId="72" borderId="93" applyNumberFormat="0" applyAlignment="0" applyProtection="0"/>
    <xf numFmtId="0" fontId="35" fillId="30" borderId="23"/>
    <xf numFmtId="0" fontId="35" fillId="30" borderId="23"/>
    <xf numFmtId="0" fontId="35" fillId="30" borderId="23"/>
    <xf numFmtId="0" fontId="198" fillId="170" borderId="120"/>
    <xf numFmtId="170" fontId="6" fillId="0" borderId="0" applyFont="0" applyFill="0" applyBorder="0" applyProtection="0">
      <alignment horizontal="right"/>
    </xf>
    <xf numFmtId="170" fontId="6" fillId="0" borderId="0" applyFont="0" applyFill="0" applyBorder="0" applyProtection="0">
      <alignment horizontal="right"/>
    </xf>
    <xf numFmtId="1" fontId="311" fillId="0" borderId="0" applyProtection="0">
      <alignment horizontal="right" vertical="center"/>
    </xf>
    <xf numFmtId="264" fontId="162" fillId="175" borderId="125">
      <alignment horizontal="right" vertical="center"/>
    </xf>
    <xf numFmtId="9" fontId="200" fillId="0" borderId="0" applyFont="0" applyFill="0" applyBorder="0" applyAlignment="0" applyProtection="0"/>
    <xf numFmtId="9" fontId="312" fillId="0" borderId="0" applyFont="0" applyFill="0" applyBorder="0" applyAlignment="0" applyProtection="0"/>
    <xf numFmtId="183" fontId="200" fillId="0" borderId="0" applyFont="0" applyFill="0" applyBorder="0" applyAlignment="0" applyProtection="0"/>
    <xf numFmtId="183" fontId="201" fillId="0" borderId="0"/>
    <xf numFmtId="10" fontId="6" fillId="0" borderId="0" applyFont="0" applyFill="0" applyBorder="0" applyAlignment="0" applyProtection="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7" fillId="0" borderId="0"/>
    <xf numFmtId="9" fontId="79" fillId="0" borderId="0" applyFont="0" applyFill="0" applyBorder="0" applyAlignment="0" applyProtection="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6" fillId="0" borderId="0"/>
    <xf numFmtId="9" fontId="6" fillId="0" borderId="0"/>
    <xf numFmtId="9" fontId="6" fillId="0" borderId="0" applyFont="0" applyFill="0" applyBorder="0" applyAlignment="0" applyProtection="0"/>
    <xf numFmtId="9" fontId="141" fillId="0" borderId="0" applyFont="0" applyFill="0" applyBorder="0" applyAlignment="0" applyProtection="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6" fillId="0" borderId="0" applyFont="0" applyFill="0" applyBorder="0" applyAlignment="0" applyProtection="0"/>
    <xf numFmtId="9" fontId="79" fillId="0" borderId="0" applyFont="0" applyFill="0" applyBorder="0" applyAlignment="0" applyProtection="0"/>
    <xf numFmtId="9" fontId="6" fillId="0" borderId="0" applyFont="0" applyFill="0" applyBorder="0" applyAlignment="0" applyProtection="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6" fillId="0" borderId="0"/>
    <xf numFmtId="9" fontId="17" fillId="0" borderId="0"/>
    <xf numFmtId="9" fontId="6" fillId="0" borderId="0"/>
    <xf numFmtId="9" fontId="17" fillId="0" borderId="0"/>
    <xf numFmtId="9" fontId="17" fillId="0" borderId="0"/>
    <xf numFmtId="9" fontId="17" fillId="0" borderId="0"/>
    <xf numFmtId="9" fontId="79" fillId="0" borderId="0" applyFont="0" applyFill="0" applyBorder="0" applyAlignment="0" applyProtection="0"/>
    <xf numFmtId="9" fontId="79" fillId="0" borderId="0" applyFont="0" applyFill="0" applyBorder="0" applyAlignment="0" applyProtection="0"/>
    <xf numFmtId="9" fontId="6" fillId="0" borderId="0" applyFont="0" applyFill="0" applyBorder="0" applyAlignment="0" applyProtection="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79" fillId="0" borderId="0" applyFont="0" applyFill="0" applyBorder="0" applyAlignment="0" applyProtection="0"/>
    <xf numFmtId="9" fontId="79" fillId="0" borderId="0" applyFont="0" applyFill="0" applyBorder="0" applyAlignment="0" applyProtection="0"/>
    <xf numFmtId="9" fontId="6" fillId="0" borderId="0" applyFont="0" applyFill="0" applyBorder="0" applyAlignment="0" applyProtection="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79" fillId="0" borderId="0" applyFont="0" applyFill="0" applyBorder="0" applyAlignment="0" applyProtection="0"/>
    <xf numFmtId="9" fontId="79" fillId="0" borderId="0" applyFont="0" applyFill="0" applyBorder="0" applyAlignment="0" applyProtection="0"/>
    <xf numFmtId="9" fontId="6" fillId="0" borderId="0" applyFont="0" applyFill="0" applyBorder="0" applyAlignment="0" applyProtection="0"/>
    <xf numFmtId="9" fontId="17" fillId="0" borderId="0"/>
    <xf numFmtId="9" fontId="17" fillId="0" borderId="0"/>
    <xf numFmtId="9" fontId="17" fillId="0" borderId="0"/>
    <xf numFmtId="9" fontId="6" fillId="0" borderId="0"/>
    <xf numFmtId="9" fontId="17" fillId="0" borderId="0"/>
    <xf numFmtId="9" fontId="17" fillId="0" borderId="0"/>
    <xf numFmtId="9" fontId="17" fillId="0" borderId="0"/>
    <xf numFmtId="9" fontId="1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52"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xf numFmtId="9" fontId="6" fillId="0" borderId="0"/>
    <xf numFmtId="9" fontId="6" fillId="0" borderId="0"/>
    <xf numFmtId="9" fontId="6"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7" fillId="0" borderId="0" applyFont="0" applyFill="0" applyBorder="0" applyAlignment="0" applyProtection="0"/>
    <xf numFmtId="9" fontId="81" fillId="0" borderId="0" applyFont="0" applyFill="0" applyBorder="0" applyAlignment="0" applyProtection="0"/>
    <xf numFmtId="9" fontId="48" fillId="0" borderId="0" applyFont="0" applyFill="0" applyBorder="0" applyAlignment="0" applyProtection="0"/>
    <xf numFmtId="9" fontId="6" fillId="0" borderId="0" applyFont="0" applyFill="0" applyBorder="0" applyAlignment="0" applyProtection="0"/>
    <xf numFmtId="9" fontId="14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1" fillId="0" borderId="0" applyFont="0" applyFill="0" applyBorder="0" applyAlignment="0" applyProtection="0"/>
    <xf numFmtId="9" fontId="152"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78"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81"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20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254"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6" fillId="0" borderId="0" applyFont="0" applyFill="0" applyBorder="0" applyAlignment="0" applyProtection="0"/>
    <xf numFmtId="9" fontId="79" fillId="0" borderId="0" applyFont="0" applyFill="0" applyBorder="0" applyAlignment="0" applyProtection="0"/>
    <xf numFmtId="9" fontId="254"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81" fillId="0" borderId="0" applyFont="0" applyFill="0" applyBorder="0" applyAlignment="0" applyProtection="0"/>
    <xf numFmtId="9" fontId="6" fillId="0" borderId="0"/>
    <xf numFmtId="9" fontId="6" fillId="0" borderId="0" applyFont="0" applyFill="0" applyBorder="0" applyAlignment="0" applyProtection="0"/>
    <xf numFmtId="9" fontId="6" fillId="0" borderId="0" applyFont="0" applyFill="0" applyBorder="0" applyAlignment="0" applyProtection="0"/>
    <xf numFmtId="9" fontId="81"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79" fillId="0" borderId="0" applyFont="0" applyFill="0" applyBorder="0" applyAlignment="0" applyProtection="0"/>
    <xf numFmtId="9" fontId="6"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6"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13" fontId="6" fillId="0" borderId="0" applyFont="0" applyFill="0" applyProtection="0"/>
    <xf numFmtId="9" fontId="168" fillId="0" borderId="0"/>
    <xf numFmtId="9" fontId="168" fillId="0" borderId="0"/>
    <xf numFmtId="9" fontId="7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1" fillId="0" borderId="0" applyFont="0" applyFill="0" applyBorder="0" applyAlignment="0" applyProtection="0"/>
    <xf numFmtId="9" fontId="1" fillId="0" borderId="0"/>
    <xf numFmtId="9" fontId="1" fillId="0" borderId="0"/>
    <xf numFmtId="9" fontId="1" fillId="0" borderId="0"/>
    <xf numFmtId="9" fontId="17"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 fillId="0" borderId="0"/>
    <xf numFmtId="9" fontId="79" fillId="0" borderId="0"/>
    <xf numFmtId="9" fontId="79"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265" fontId="213" fillId="0" borderId="0" applyFont="0" applyFill="0" applyBorder="0" applyAlignment="0" applyProtection="0"/>
    <xf numFmtId="3" fontId="16" fillId="176" borderId="137"/>
    <xf numFmtId="3" fontId="16" fillId="0" borderId="137" applyFont="0" applyFill="0" applyBorder="0" applyAlignment="0" applyProtection="0">
      <protection locked="0"/>
    </xf>
    <xf numFmtId="266" fontId="313" fillId="0" borderId="0">
      <protection locked="0"/>
    </xf>
    <xf numFmtId="10" fontId="203" fillId="0" borderId="0" applyFont="0" applyFill="0" applyBorder="0" applyAlignment="0" applyProtection="0"/>
    <xf numFmtId="10" fontId="204" fillId="0" borderId="0"/>
    <xf numFmtId="9" fontId="6" fillId="0" borderId="0" applyFont="0" applyFill="0" applyBorder="0" applyAlignment="0" applyProtection="0"/>
    <xf numFmtId="9" fontId="6" fillId="0" borderId="0"/>
    <xf numFmtId="0" fontId="314" fillId="0" borderId="0">
      <alignment horizontal="left"/>
    </xf>
    <xf numFmtId="0" fontId="315" fillId="0" borderId="0">
      <alignment horizontal="left"/>
    </xf>
    <xf numFmtId="0" fontId="190" fillId="0" borderId="0"/>
    <xf numFmtId="165" fontId="192" fillId="42" borderId="0"/>
    <xf numFmtId="0" fontId="6" fillId="0" borderId="0"/>
    <xf numFmtId="0" fontId="16" fillId="0" borderId="0"/>
    <xf numFmtId="0" fontId="159" fillId="177" borderId="0"/>
    <xf numFmtId="244" fontId="150" fillId="0" borderId="0" applyFill="0" applyBorder="0" applyAlignment="0" applyProtection="0"/>
    <xf numFmtId="246" fontId="302" fillId="0" borderId="0"/>
    <xf numFmtId="0" fontId="6" fillId="0" borderId="0"/>
    <xf numFmtId="0" fontId="6" fillId="0" borderId="0"/>
    <xf numFmtId="0" fontId="68" fillId="37" borderId="5" applyNumberFormat="0" applyAlignment="0" applyProtection="0">
      <alignment horizontal="center" vertical="center"/>
    </xf>
    <xf numFmtId="3" fontId="142" fillId="0" borderId="138" applyBorder="0">
      <alignment horizontal="right" wrapText="1"/>
    </xf>
    <xf numFmtId="4" fontId="142" fillId="0" borderId="139" applyBorder="0">
      <alignment horizontal="right" wrapText="1"/>
    </xf>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3"/>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8"/>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4"/>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2"/>
    <xf numFmtId="0" fontId="6" fillId="0" borderId="101"/>
    <xf numFmtId="0" fontId="6" fillId="0" borderId="101"/>
    <xf numFmtId="0" fontId="6" fillId="0" borderId="101"/>
    <xf numFmtId="0" fontId="6" fillId="0" borderId="101"/>
    <xf numFmtId="0" fontId="6" fillId="0" borderId="101"/>
    <xf numFmtId="0" fontId="6" fillId="0" borderId="101"/>
    <xf numFmtId="0" fontId="6" fillId="0" borderId="101"/>
    <xf numFmtId="0" fontId="6" fillId="0" borderId="101"/>
    <xf numFmtId="0" fontId="6" fillId="0" borderId="101"/>
    <xf numFmtId="0" fontId="6" fillId="0" borderId="101"/>
    <xf numFmtId="0" fontId="6" fillId="0" borderId="101"/>
    <xf numFmtId="0" fontId="6" fillId="0" borderId="101"/>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0"/>
    <xf numFmtId="0" fontId="6" fillId="0" borderId="141"/>
    <xf numFmtId="0" fontId="6" fillId="0" borderId="141"/>
    <xf numFmtId="0" fontId="6" fillId="0" borderId="141"/>
    <xf numFmtId="0" fontId="6" fillId="0" borderId="141"/>
    <xf numFmtId="0" fontId="6" fillId="0" borderId="141"/>
    <xf numFmtId="0" fontId="6" fillId="0" borderId="141"/>
    <xf numFmtId="0" fontId="6" fillId="0" borderId="141"/>
    <xf numFmtId="0" fontId="6" fillId="0" borderId="141"/>
    <xf numFmtId="0" fontId="6" fillId="0" borderId="141"/>
    <xf numFmtId="0" fontId="6" fillId="0" borderId="141"/>
    <xf numFmtId="0" fontId="6" fillId="0" borderId="141"/>
    <xf numFmtId="0" fontId="6" fillId="0" borderId="141"/>
    <xf numFmtId="46" fontId="6" fillId="0" borderId="0"/>
    <xf numFmtId="46" fontId="6" fillId="0" borderId="0"/>
    <xf numFmtId="46" fontId="6" fillId="0" borderId="0"/>
    <xf numFmtId="46" fontId="6" fillId="0" borderId="0"/>
    <xf numFmtId="46" fontId="6" fillId="0" borderId="0"/>
    <xf numFmtId="46" fontId="6" fillId="0" borderId="0"/>
    <xf numFmtId="46" fontId="6" fillId="0" borderId="0"/>
    <xf numFmtId="46" fontId="6" fillId="0" borderId="0"/>
    <xf numFmtId="46" fontId="6" fillId="0" borderId="0"/>
    <xf numFmtId="46" fontId="6" fillId="0" borderId="0"/>
    <xf numFmtId="46" fontId="6" fillId="0" borderId="0"/>
    <xf numFmtId="46" fontId="6" fillId="0" borderId="0"/>
    <xf numFmtId="0" fontId="48" fillId="0" borderId="0"/>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42"/>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109"/>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143"/>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8" fillId="0" borderId="0">
      <alignment horizontal="left"/>
    </xf>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3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44"/>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10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10"/>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45"/>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12"/>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46"/>
    <xf numFmtId="0" fontId="6" fillId="0" borderId="111"/>
    <xf numFmtId="0" fontId="6" fillId="0" borderId="111"/>
    <xf numFmtId="0" fontId="6" fillId="0" borderId="111"/>
    <xf numFmtId="0" fontId="6" fillId="0" borderId="111"/>
    <xf numFmtId="0" fontId="6" fillId="0" borderId="111"/>
    <xf numFmtId="0" fontId="6" fillId="0" borderId="111"/>
    <xf numFmtId="0" fontId="6" fillId="0" borderId="111"/>
    <xf numFmtId="0" fontId="6" fillId="0" borderId="111"/>
    <xf numFmtId="0" fontId="6" fillId="0" borderId="111"/>
    <xf numFmtId="0" fontId="6" fillId="0" borderId="111"/>
    <xf numFmtId="0" fontId="6" fillId="0" borderId="111"/>
    <xf numFmtId="0" fontId="6" fillId="0" borderId="111"/>
    <xf numFmtId="198" fontId="316" fillId="0" borderId="0">
      <alignment horizontal="right"/>
    </xf>
    <xf numFmtId="0" fontId="6" fillId="0" borderId="0">
      <alignment textRotation="90"/>
    </xf>
    <xf numFmtId="0" fontId="6" fillId="0" borderId="0"/>
    <xf numFmtId="4" fontId="48" fillId="38" borderId="23" applyNumberFormat="0" applyProtection="0">
      <alignment vertical="center"/>
    </xf>
    <xf numFmtId="4" fontId="69" fillId="38" borderId="23" applyNumberFormat="0" applyProtection="0">
      <alignment vertical="center"/>
    </xf>
    <xf numFmtId="4" fontId="48" fillId="38" borderId="23" applyNumberFormat="0" applyProtection="0">
      <alignment horizontal="left" vertical="center" indent="1"/>
    </xf>
    <xf numFmtId="4" fontId="48" fillId="38" borderId="23" applyNumberFormat="0" applyProtection="0">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pplyNumberFormat="0" applyProtection="0">
      <alignment horizontal="left" vertical="center" indent="1"/>
    </xf>
    <xf numFmtId="4" fontId="48" fillId="40" borderId="23" applyNumberFormat="0" applyProtection="0">
      <alignment horizontal="right" vertical="center"/>
    </xf>
    <xf numFmtId="4" fontId="48" fillId="41" borderId="23" applyNumberFormat="0" applyProtection="0">
      <alignment horizontal="right" vertical="center"/>
    </xf>
    <xf numFmtId="4" fontId="48" fillId="42" borderId="23" applyNumberFormat="0" applyProtection="0">
      <alignment horizontal="right" vertical="center"/>
    </xf>
    <xf numFmtId="4" fontId="48" fillId="43" borderId="23" applyNumberFormat="0" applyProtection="0">
      <alignment horizontal="right" vertical="center"/>
    </xf>
    <xf numFmtId="4" fontId="48" fillId="44" borderId="23" applyNumberFormat="0" applyProtection="0">
      <alignment horizontal="right" vertical="center"/>
    </xf>
    <xf numFmtId="4" fontId="48" fillId="45" borderId="23" applyNumberFormat="0" applyProtection="0">
      <alignment horizontal="right" vertical="center"/>
    </xf>
    <xf numFmtId="4" fontId="48" fillId="46" borderId="23" applyNumberFormat="0" applyProtection="0">
      <alignment horizontal="right" vertical="center"/>
    </xf>
    <xf numFmtId="4" fontId="48" fillId="47" borderId="23" applyNumberFormat="0" applyProtection="0">
      <alignment horizontal="right" vertical="center"/>
    </xf>
    <xf numFmtId="4" fontId="48" fillId="48" borderId="23" applyNumberFormat="0" applyProtection="0">
      <alignment horizontal="right" vertical="center"/>
    </xf>
    <xf numFmtId="4" fontId="70" fillId="49" borderId="23">
      <alignment horizontal="left" vertical="center" indent="1"/>
    </xf>
    <xf numFmtId="4" fontId="70" fillId="49" borderId="23">
      <alignment horizontal="left" vertical="center" indent="1"/>
    </xf>
    <xf numFmtId="4" fontId="70" fillId="49" borderId="23">
      <alignment horizontal="left" vertical="center" indent="1"/>
    </xf>
    <xf numFmtId="4" fontId="70" fillId="49" borderId="23">
      <alignment horizontal="left" vertical="center" indent="1"/>
    </xf>
    <xf numFmtId="4" fontId="70" fillId="49" borderId="23">
      <alignment horizontal="left" vertical="center" indent="1"/>
    </xf>
    <xf numFmtId="4" fontId="70" fillId="49" borderId="23" applyNumberFormat="0" applyProtection="0">
      <alignment horizontal="left" vertical="center" indent="1"/>
    </xf>
    <xf numFmtId="4" fontId="71" fillId="51" borderId="0">
      <alignment horizontal="left" vertical="center" indent="1"/>
    </xf>
    <xf numFmtId="4" fontId="71" fillId="51" borderId="0">
      <alignment horizontal="left" vertical="center" indent="1"/>
    </xf>
    <xf numFmtId="4" fontId="71" fillId="51" borderId="0">
      <alignment horizontal="left" vertical="center" indent="1"/>
    </xf>
    <xf numFmtId="4" fontId="71" fillId="51" borderId="0">
      <alignment horizontal="left" vertical="center" indent="1"/>
    </xf>
    <xf numFmtId="4" fontId="71" fillId="51" borderId="0">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pplyNumberFormat="0" applyProtection="0">
      <alignment horizontal="left" vertical="center" indent="1"/>
    </xf>
    <xf numFmtId="4" fontId="48" fillId="50" borderId="23">
      <alignment horizontal="left" vertical="center" indent="1"/>
    </xf>
    <xf numFmtId="4" fontId="48" fillId="50" borderId="23">
      <alignment horizontal="left" vertical="center" indent="1"/>
    </xf>
    <xf numFmtId="4" fontId="48" fillId="50" borderId="23">
      <alignment horizontal="left" vertical="center" indent="1"/>
    </xf>
    <xf numFmtId="4" fontId="48" fillId="50" borderId="23">
      <alignment horizontal="left" vertical="center" indent="1"/>
    </xf>
    <xf numFmtId="4" fontId="48" fillId="50" borderId="23">
      <alignment horizontal="left" vertical="center" indent="1"/>
    </xf>
    <xf numFmtId="4" fontId="48" fillId="50" borderId="23" applyNumberFormat="0" applyProtection="0">
      <alignment horizontal="left" vertical="center" indent="1"/>
    </xf>
    <xf numFmtId="4" fontId="48" fillId="52" borderId="23">
      <alignment horizontal="left" vertical="center" indent="1"/>
    </xf>
    <xf numFmtId="4" fontId="48" fillId="52" borderId="23">
      <alignment horizontal="left" vertical="center" indent="1"/>
    </xf>
    <xf numFmtId="4" fontId="48" fillId="52" borderId="23">
      <alignment horizontal="left" vertical="center" indent="1"/>
    </xf>
    <xf numFmtId="4" fontId="48" fillId="52" borderId="23">
      <alignment horizontal="left" vertical="center" indent="1"/>
    </xf>
    <xf numFmtId="4" fontId="48" fillId="52" borderId="23">
      <alignment horizontal="left" vertical="center" indent="1"/>
    </xf>
    <xf numFmtId="4" fontId="48" fillId="52" borderId="23" applyNumberFormat="0" applyProtection="0">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pplyNumberFormat="0" applyProtection="0">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lignment horizontal="left" vertical="center" indent="1"/>
    </xf>
    <xf numFmtId="0" fontId="6" fillId="52" borderId="23" applyNumberFormat="0" applyProtection="0">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pplyNumberFormat="0" applyProtection="0">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lignment horizontal="left" vertical="center" indent="1"/>
    </xf>
    <xf numFmtId="0" fontId="6" fillId="37" borderId="23" applyNumberFormat="0" applyProtection="0">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pplyNumberFormat="0" applyProtection="0">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lignment horizontal="left" vertical="center" indent="1"/>
    </xf>
    <xf numFmtId="0" fontId="6" fillId="30" borderId="23" applyNumberFormat="0" applyProtection="0">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pplyNumberFormat="0" applyProtection="0">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pplyNumberFormat="0" applyProtection="0">
      <alignment horizontal="left" vertical="center" indent="1"/>
    </xf>
    <xf numFmtId="4" fontId="48" fillId="32" borderId="23" applyNumberFormat="0" applyProtection="0">
      <alignment vertical="center"/>
    </xf>
    <xf numFmtId="4" fontId="69" fillId="32" borderId="23" applyNumberFormat="0" applyProtection="0">
      <alignment vertical="center"/>
    </xf>
    <xf numFmtId="4" fontId="48" fillId="32" borderId="23" applyNumberFormat="0" applyProtection="0">
      <alignment horizontal="left" vertical="center" indent="1"/>
    </xf>
    <xf numFmtId="4" fontId="48" fillId="32" borderId="23" applyNumberFormat="0" applyProtection="0">
      <alignment horizontal="left" vertical="center" indent="1"/>
    </xf>
    <xf numFmtId="4" fontId="48" fillId="50" borderId="23" applyNumberFormat="0" applyProtection="0">
      <alignment horizontal="right" vertical="center"/>
    </xf>
    <xf numFmtId="4" fontId="69" fillId="50" borderId="23" applyNumberFormat="0" applyProtection="0">
      <alignment horizontal="right" vertical="center"/>
    </xf>
    <xf numFmtId="4" fontId="71" fillId="125" borderId="147">
      <alignment horizontal="left" vertical="center" indent="1"/>
    </xf>
    <xf numFmtId="4" fontId="71" fillId="125" borderId="147">
      <alignment horizontal="left" vertical="center" indent="1"/>
    </xf>
    <xf numFmtId="4" fontId="71" fillId="125" borderId="147">
      <alignment horizontal="left" vertical="center" indent="1"/>
    </xf>
    <xf numFmtId="4" fontId="71" fillId="125" borderId="147">
      <alignment horizontal="left" vertical="center" indent="1"/>
    </xf>
    <xf numFmtId="4" fontId="71" fillId="125" borderId="147">
      <alignment horizontal="left" vertical="center" indent="1"/>
    </xf>
    <xf numFmtId="0" fontId="6" fillId="39" borderId="23" applyNumberFormat="0" applyProtection="0">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lignment horizontal="left" vertical="center" indent="1"/>
    </xf>
    <xf numFmtId="0" fontId="6" fillId="39" borderId="23" applyNumberFormat="0" applyProtection="0">
      <alignment horizontal="left" vertical="center" indent="1"/>
    </xf>
    <xf numFmtId="4" fontId="73" fillId="50" borderId="23" applyNumberFormat="0" applyProtection="0">
      <alignment horizontal="right" vertical="center"/>
    </xf>
    <xf numFmtId="196" fontId="135" fillId="0" borderId="0" applyNumberFormat="0" applyFill="0" applyBorder="0" applyProtection="0">
      <alignment horizontal="left"/>
    </xf>
    <xf numFmtId="0" fontId="150" fillId="0" borderId="91">
      <alignment horizontal="center" vertical="center"/>
    </xf>
    <xf numFmtId="0" fontId="162" fillId="37" borderId="5"/>
    <xf numFmtId="0" fontId="162" fillId="37" borderId="5"/>
    <xf numFmtId="0" fontId="162" fillId="37" borderId="5"/>
    <xf numFmtId="0" fontId="162" fillId="37" borderId="5"/>
    <xf numFmtId="0" fontId="162" fillId="37" borderId="5"/>
    <xf numFmtId="0" fontId="162" fillId="37" borderId="5"/>
    <xf numFmtId="0" fontId="162" fillId="37" borderId="5"/>
    <xf numFmtId="0" fontId="162" fillId="37" borderId="5"/>
    <xf numFmtId="0" fontId="162" fillId="37" borderId="5"/>
    <xf numFmtId="0" fontId="162" fillId="37" borderId="5"/>
    <xf numFmtId="0" fontId="317" fillId="178" borderId="0" applyNumberFormat="0" applyFill="0" applyBorder="0">
      <alignment vertical="center"/>
    </xf>
    <xf numFmtId="0" fontId="318" fillId="0" borderId="0" applyFill="0" applyBorder="0">
      <alignment vertical="center"/>
    </xf>
    <xf numFmtId="194" fontId="319" fillId="52" borderId="0">
      <alignment horizontal="right"/>
    </xf>
    <xf numFmtId="192" fontId="140" fillId="147" borderId="0">
      <alignment horizontal="right" vertical="center"/>
    </xf>
    <xf numFmtId="192" fontId="140" fillId="147" borderId="0">
      <alignment horizontal="right" vertical="center"/>
    </xf>
    <xf numFmtId="192" fontId="140" fillId="147" borderId="0">
      <alignment horizontal="right" vertical="center"/>
    </xf>
    <xf numFmtId="192" fontId="140" fillId="147" borderId="0">
      <alignment horizontal="right" vertical="center"/>
    </xf>
    <xf numFmtId="192" fontId="140" fillId="147" borderId="0">
      <alignment horizontal="right" vertical="center"/>
    </xf>
    <xf numFmtId="192" fontId="140" fillId="147" borderId="0">
      <alignment horizontal="right" vertical="center"/>
    </xf>
    <xf numFmtId="192" fontId="140" fillId="147" borderId="0">
      <alignment horizontal="right" vertical="center"/>
    </xf>
    <xf numFmtId="192" fontId="140" fillId="147" borderId="0">
      <alignment horizontal="right" vertical="center"/>
    </xf>
    <xf numFmtId="178" fontId="140" fillId="147" borderId="0">
      <alignment horizontal="right" vertical="center"/>
    </xf>
    <xf numFmtId="0" fontId="6" fillId="0" borderId="106"/>
    <xf numFmtId="0" fontId="320" fillId="0" borderId="0"/>
    <xf numFmtId="0" fontId="6" fillId="0" borderId="0"/>
    <xf numFmtId="0" fontId="6" fillId="0" borderId="0"/>
    <xf numFmtId="0" fontId="321" fillId="0" borderId="0">
      <alignment horizontal="right"/>
    </xf>
    <xf numFmtId="0" fontId="321" fillId="0" borderId="0">
      <alignment horizontal="right"/>
    </xf>
    <xf numFmtId="0" fontId="321" fillId="0" borderId="0">
      <alignment horizontal="left"/>
    </xf>
    <xf numFmtId="0" fontId="321" fillId="0" borderId="0">
      <alignment horizontal="left"/>
    </xf>
    <xf numFmtId="0" fontId="6" fillId="125" borderId="0" applyNumberFormat="0" applyFont="0" applyBorder="0" applyProtection="0">
      <alignment horizontal="left" vertical="center"/>
    </xf>
    <xf numFmtId="0" fontId="6" fillId="0" borderId="146" applyNumberFormat="0" applyFill="0" applyProtection="0">
      <alignment horizontal="left" vertical="center" wrapText="1" indent="1"/>
    </xf>
    <xf numFmtId="267" fontId="6" fillId="0" borderId="146" applyFill="0" applyProtection="0">
      <alignment horizontal="right" vertical="center" wrapText="1"/>
    </xf>
    <xf numFmtId="268" fontId="6" fillId="0" borderId="146" applyFill="0" applyProtection="0">
      <alignment horizontal="right" vertical="center" wrapText="1"/>
    </xf>
    <xf numFmtId="0" fontId="6" fillId="0" borderId="0" applyNumberFormat="0" applyFill="0" applyBorder="0" applyProtection="0">
      <alignment horizontal="left" vertical="center" wrapText="1"/>
    </xf>
    <xf numFmtId="0" fontId="6" fillId="0" borderId="0" applyNumberFormat="0" applyFill="0" applyBorder="0" applyProtection="0">
      <alignment horizontal="left" vertical="center" wrapText="1" indent="1"/>
    </xf>
    <xf numFmtId="267" fontId="6" fillId="0" borderId="0" applyFill="0" applyBorder="0" applyProtection="0">
      <alignment horizontal="right" vertical="center" wrapText="1"/>
    </xf>
    <xf numFmtId="268" fontId="6" fillId="0" borderId="0" applyFill="0" applyBorder="0" applyProtection="0">
      <alignment horizontal="right" vertical="center" wrapText="1"/>
    </xf>
    <xf numFmtId="0" fontId="6" fillId="0" borderId="148" applyNumberFormat="0" applyFill="0" applyProtection="0">
      <alignment horizontal="left" vertical="center" wrapText="1"/>
    </xf>
    <xf numFmtId="0" fontId="6" fillId="0" borderId="148" applyNumberFormat="0" applyFill="0" applyProtection="0">
      <alignment horizontal="left" vertical="center" wrapText="1" indent="1"/>
    </xf>
    <xf numFmtId="267" fontId="6" fillId="0" borderId="148" applyFill="0" applyProtection="0">
      <alignment horizontal="right" vertical="center" wrapText="1"/>
    </xf>
    <xf numFmtId="0" fontId="6" fillId="0" borderId="0" applyNumberFormat="0" applyFill="0" applyBorder="0" applyAlignment="0" applyProtection="0"/>
    <xf numFmtId="0" fontId="6" fillId="0" borderId="0" applyNumberFormat="0" applyFill="0" applyBorder="0" applyProtection="0">
      <alignment vertical="center" wrapText="1"/>
    </xf>
    <xf numFmtId="0" fontId="6"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6" fillId="0" borderId="0" applyNumberFormat="0" applyFill="0" applyBorder="0" applyProtection="0">
      <alignment vertical="center" wrapText="1"/>
    </xf>
    <xf numFmtId="0" fontId="6" fillId="0" borderId="0" applyNumberFormat="0" applyFill="0" applyBorder="0" applyProtection="0">
      <alignment vertical="center" wrapText="1"/>
    </xf>
    <xf numFmtId="0" fontId="6" fillId="0" borderId="0" applyNumberFormat="0" applyFont="0" applyFill="0" applyBorder="0" applyProtection="0">
      <alignment horizontal="left" vertical="center"/>
    </xf>
    <xf numFmtId="0" fontId="59" fillId="0" borderId="0" applyNumberFormat="0" applyFill="0" applyBorder="0" applyProtection="0">
      <alignment horizontal="left" vertical="center" wrapText="1"/>
    </xf>
    <xf numFmtId="0" fontId="59"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6" fillId="0" borderId="149" applyNumberFormat="0" applyFont="0" applyFill="0" applyProtection="0">
      <alignment horizontal="center" vertical="center" wrapText="1"/>
    </xf>
    <xf numFmtId="0" fontId="59" fillId="0" borderId="149" applyNumberFormat="0" applyFill="0" applyProtection="0">
      <alignment horizontal="center" vertical="center" wrapText="1"/>
    </xf>
    <xf numFmtId="0" fontId="59" fillId="0" borderId="149" applyNumberFormat="0" applyFill="0" applyProtection="0">
      <alignment horizontal="center" vertical="center" wrapText="1"/>
    </xf>
    <xf numFmtId="0" fontId="6" fillId="0" borderId="146" applyNumberFormat="0" applyFill="0" applyProtection="0">
      <alignment horizontal="left" vertical="center" wrapText="1"/>
    </xf>
    <xf numFmtId="0" fontId="322" fillId="0" borderId="150"/>
    <xf numFmtId="0" fontId="6" fillId="0" borderId="0"/>
    <xf numFmtId="0" fontId="12"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92" fontId="6" fillId="0" borderId="0"/>
    <xf numFmtId="0" fontId="155" fillId="0" borderId="0"/>
    <xf numFmtId="192" fontId="6" fillId="0" borderId="0"/>
    <xf numFmtId="192" fontId="41" fillId="0" borderId="0"/>
    <xf numFmtId="192" fontId="41" fillId="0" borderId="0"/>
    <xf numFmtId="192" fontId="41" fillId="0" borderId="0"/>
    <xf numFmtId="192" fontId="41" fillId="0" borderId="0"/>
    <xf numFmtId="0" fontId="41" fillId="0" borderId="0"/>
    <xf numFmtId="0" fontId="6" fillId="0" borderId="0">
      <alignment vertical="top"/>
    </xf>
    <xf numFmtId="269" fontId="6" fillId="0" borderId="0" applyFont="0" applyFill="0" applyBorder="0" applyAlignment="0" applyProtection="0">
      <alignment horizontal="left"/>
    </xf>
    <xf numFmtId="0" fontId="6" fillId="0" borderId="125" applyNumberFormat="0" applyFill="0" applyProtection="0">
      <alignment horizontal="right"/>
    </xf>
    <xf numFmtId="0" fontId="19" fillId="179" borderId="151" applyNumberFormat="0" applyProtection="0">
      <alignment horizontal="center" wrapText="1"/>
    </xf>
    <xf numFmtId="269" fontId="6" fillId="0" borderId="0" applyFont="0" applyFill="0" applyBorder="0" applyAlignment="0" applyProtection="0">
      <alignment horizontal="left"/>
    </xf>
    <xf numFmtId="0" fontId="19" fillId="179" borderId="151" applyNumberFormat="0" applyProtection="0">
      <alignment horizontal="center" wrapText="1"/>
    </xf>
    <xf numFmtId="0" fontId="19" fillId="179" borderId="151" applyNumberFormat="0" applyProtection="0">
      <alignment horizontal="center" wrapText="1"/>
    </xf>
    <xf numFmtId="0" fontId="19" fillId="179" borderId="151" applyNumberFormat="0" applyProtection="0">
      <alignment horizontal="center" wrapText="1"/>
    </xf>
    <xf numFmtId="0" fontId="6" fillId="0" borderId="125" applyNumberFormat="0" applyFill="0" applyProtection="0">
      <alignment horizontal="right"/>
    </xf>
    <xf numFmtId="164" fontId="6" fillId="0" borderId="0" applyFont="0" applyFill="0" applyBorder="0" applyAlignment="0" applyProtection="0">
      <alignment horizontal="left"/>
    </xf>
    <xf numFmtId="0" fontId="19" fillId="180" borderId="125" applyNumberFormat="0" applyProtection="0">
      <alignment horizontal="right"/>
    </xf>
    <xf numFmtId="0" fontId="19" fillId="179" borderId="152" applyNumberFormat="0" applyAlignment="0" applyProtection="0">
      <alignment wrapText="1"/>
    </xf>
    <xf numFmtId="164" fontId="6" fillId="0" borderId="0" applyFont="0" applyFill="0" applyBorder="0" applyAlignment="0" applyProtection="0">
      <alignment horizontal="left"/>
    </xf>
    <xf numFmtId="0" fontId="19" fillId="179" borderId="152" applyNumberFormat="0" applyAlignment="0" applyProtection="0">
      <alignment wrapText="1"/>
    </xf>
    <xf numFmtId="0" fontId="19" fillId="179" borderId="152" applyNumberFormat="0" applyAlignment="0" applyProtection="0">
      <alignment wrapText="1"/>
    </xf>
    <xf numFmtId="0" fontId="19" fillId="179" borderId="152" applyNumberFormat="0" applyAlignment="0" applyProtection="0">
      <alignment wrapText="1"/>
    </xf>
    <xf numFmtId="0" fontId="19" fillId="180" borderId="125" applyNumberFormat="0" applyProtection="0">
      <alignment horizontal="right"/>
    </xf>
    <xf numFmtId="270" fontId="6" fillId="0" borderId="0" applyFont="0" applyFill="0" applyBorder="0" applyAlignment="0" applyProtection="0">
      <alignment horizontal="left"/>
    </xf>
    <xf numFmtId="0" fontId="6" fillId="181" borderId="0" applyNumberFormat="0" applyBorder="0">
      <alignment horizontal="center" wrapText="1"/>
    </xf>
    <xf numFmtId="270" fontId="6" fillId="0" borderId="0" applyFont="0" applyFill="0" applyBorder="0" applyAlignment="0" applyProtection="0">
      <alignment horizontal="left"/>
    </xf>
    <xf numFmtId="0" fontId="59" fillId="180" borderId="0" applyNumberFormat="0" applyBorder="0" applyProtection="0">
      <alignment horizontal="left"/>
    </xf>
    <xf numFmtId="49" fontId="6" fillId="0" borderId="0" applyFill="0" applyBorder="0" applyProtection="0">
      <alignment horizontal="left"/>
    </xf>
    <xf numFmtId="0" fontId="19" fillId="180" borderId="125" applyNumberFormat="0" applyProtection="0">
      <alignment horizontal="left"/>
    </xf>
    <xf numFmtId="49" fontId="6" fillId="0" borderId="0" applyFill="0" applyBorder="0" applyProtection="0">
      <alignment horizontal="left"/>
    </xf>
    <xf numFmtId="0" fontId="6" fillId="181" borderId="0" applyNumberFormat="0" applyBorder="0">
      <alignment wrapText="1"/>
    </xf>
    <xf numFmtId="0" fontId="19" fillId="180" borderId="125" applyNumberFormat="0" applyProtection="0">
      <alignment horizontal="left"/>
    </xf>
    <xf numFmtId="0" fontId="6" fillId="0" borderId="125" applyNumberFormat="0" applyFill="0" applyProtection="0">
      <alignment horizontal="right"/>
    </xf>
    <xf numFmtId="0" fontId="6" fillId="0" borderId="125" applyNumberFormat="0" applyFill="0" applyProtection="0">
      <alignment horizontal="right"/>
    </xf>
    <xf numFmtId="0" fontId="6" fillId="0" borderId="0" applyNumberFormat="0" applyFill="0" applyBorder="0" applyProtection="0">
      <alignment horizontal="right" wrapText="1"/>
    </xf>
    <xf numFmtId="0" fontId="323" fillId="145" borderId="0" applyNumberFormat="0" applyBorder="0" applyProtection="0">
      <alignment horizontal="left"/>
    </xf>
    <xf numFmtId="271" fontId="6" fillId="0" borderId="0" applyFill="0" applyBorder="0" applyAlignment="0" applyProtection="0">
      <alignment wrapText="1"/>
    </xf>
    <xf numFmtId="272" fontId="6" fillId="0" borderId="0" applyFill="0" applyBorder="0" applyAlignment="0" applyProtection="0">
      <alignment wrapText="1"/>
    </xf>
    <xf numFmtId="273" fontId="6" fillId="0" borderId="0" applyFill="0" applyBorder="0" applyAlignment="0" applyProtection="0">
      <alignment wrapText="1"/>
    </xf>
    <xf numFmtId="269" fontId="6" fillId="0" borderId="0" applyFont="0" applyFill="0" applyBorder="0" applyAlignment="0" applyProtection="0">
      <alignment horizontal="left"/>
    </xf>
    <xf numFmtId="269" fontId="6" fillId="0" borderId="0" applyFont="0" applyFill="0" applyBorder="0" applyAlignment="0" applyProtection="0">
      <alignment horizontal="left"/>
    </xf>
    <xf numFmtId="0" fontId="6" fillId="0" borderId="0" applyNumberFormat="0" applyFill="0" applyBorder="0" applyProtection="0">
      <alignment horizontal="right" wrapText="1"/>
    </xf>
    <xf numFmtId="164" fontId="6" fillId="0" borderId="0" applyFont="0" applyFill="0" applyBorder="0" applyAlignment="0" applyProtection="0">
      <alignment horizontal="left"/>
    </xf>
    <xf numFmtId="164" fontId="6" fillId="0" borderId="0" applyFont="0" applyFill="0" applyBorder="0" applyAlignment="0" applyProtection="0">
      <alignment horizontal="left"/>
    </xf>
    <xf numFmtId="0" fontId="6" fillId="0" borderId="0" applyNumberFormat="0" applyFill="0" applyBorder="0">
      <alignment horizontal="right" wrapText="1"/>
    </xf>
    <xf numFmtId="270" fontId="6" fillId="0" borderId="0" applyFont="0" applyFill="0" applyBorder="0" applyAlignment="0" applyProtection="0">
      <alignment horizontal="left"/>
    </xf>
    <xf numFmtId="270" fontId="6" fillId="0" borderId="0" applyFont="0" applyFill="0" applyBorder="0" applyAlignment="0" applyProtection="0">
      <alignment horizontal="left"/>
    </xf>
    <xf numFmtId="17" fontId="6" fillId="0" borderId="0" applyFill="0" applyBorder="0">
      <alignment horizontal="right" wrapText="1"/>
    </xf>
    <xf numFmtId="49" fontId="6" fillId="0" borderId="0" applyFill="0" applyBorder="0" applyProtection="0">
      <alignment horizontal="left"/>
    </xf>
    <xf numFmtId="49" fontId="6" fillId="0" borderId="0" applyFill="0" applyBorder="0" applyProtection="0">
      <alignment horizontal="left"/>
    </xf>
    <xf numFmtId="274" fontId="6" fillId="0" borderId="0" applyFill="0" applyBorder="0" applyAlignment="0" applyProtection="0">
      <alignment wrapText="1"/>
    </xf>
    <xf numFmtId="0" fontId="59" fillId="0" borderId="0" applyNumberFormat="0" applyFill="0" applyBorder="0">
      <alignment horizontal="lef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49" fontId="6" fillId="0" borderId="125" applyFill="0" applyProtection="0">
      <alignment horizontal="right"/>
    </xf>
    <xf numFmtId="49" fontId="6" fillId="0" borderId="125" applyFill="0" applyProtection="0">
      <alignment horizontal="right"/>
    </xf>
    <xf numFmtId="0" fontId="19" fillId="180" borderId="125" applyNumberFormat="0" applyProtection="0">
      <alignment horizontal="right"/>
    </xf>
    <xf numFmtId="0" fontId="19" fillId="180" borderId="125" applyNumberFormat="0" applyProtection="0">
      <alignment horizontal="right"/>
    </xf>
    <xf numFmtId="0" fontId="59" fillId="180" borderId="0" applyNumberFormat="0" applyBorder="0" applyProtection="0">
      <alignment horizontal="left"/>
    </xf>
    <xf numFmtId="0" fontId="59" fillId="180" borderId="0">
      <alignment horizontal="left"/>
    </xf>
    <xf numFmtId="0" fontId="323" fillId="145" borderId="0" applyNumberFormat="0" applyBorder="0" applyProtection="0">
      <alignment horizontal="left"/>
    </xf>
    <xf numFmtId="0" fontId="323" fillId="145" borderId="0">
      <alignment horizontal="left"/>
    </xf>
    <xf numFmtId="0" fontId="52" fillId="182" borderId="0" applyNumberFormat="0" applyBorder="0" applyProtection="0">
      <alignment horizontal="left"/>
    </xf>
    <xf numFmtId="0" fontId="52" fillId="182" borderId="0">
      <alignment horizontal="left"/>
    </xf>
    <xf numFmtId="2" fontId="324" fillId="145" borderId="113" applyProtection="0"/>
    <xf numFmtId="2" fontId="324" fillId="145" borderId="113" applyProtection="0"/>
    <xf numFmtId="2" fontId="325" fillId="0" borderId="0" applyFill="0" applyBorder="0" applyProtection="0"/>
    <xf numFmtId="0" fontId="6" fillId="0" borderId="107"/>
    <xf numFmtId="2" fontId="325" fillId="182" borderId="113" applyProtection="0"/>
    <xf numFmtId="2" fontId="325" fillId="180" borderId="113" applyProtection="0"/>
    <xf numFmtId="2" fontId="325" fillId="183" borderId="113" applyProtection="0"/>
    <xf numFmtId="2" fontId="325" fillId="180" borderId="113" applyProtection="0">
      <alignment horizontal="center"/>
    </xf>
    <xf numFmtId="1" fontId="326" fillId="0" borderId="0">
      <alignment horizontal="left"/>
    </xf>
    <xf numFmtId="3" fontId="327" fillId="0" borderId="0"/>
    <xf numFmtId="3" fontId="328" fillId="0" borderId="153"/>
    <xf numFmtId="3" fontId="328" fillId="0" borderId="124"/>
    <xf numFmtId="3" fontId="328" fillId="0" borderId="154"/>
    <xf numFmtId="3" fontId="327" fillId="0" borderId="0"/>
    <xf numFmtId="192" fontId="139" fillId="30" borderId="125"/>
    <xf numFmtId="0" fontId="139" fillId="30" borderId="125"/>
    <xf numFmtId="0" fontId="139" fillId="30" borderId="125"/>
    <xf numFmtId="0" fontId="314" fillId="0" borderId="0">
      <alignment horizontal="centerContinuous"/>
    </xf>
    <xf numFmtId="0" fontId="315" fillId="0" borderId="0">
      <alignment horizontal="centerContinuous"/>
    </xf>
    <xf numFmtId="0" fontId="314" fillId="0" borderId="0">
      <alignment horizontal="centerContinuous"/>
    </xf>
    <xf numFmtId="0" fontId="315" fillId="0" borderId="0">
      <alignment horizontal="centerContinuous"/>
    </xf>
    <xf numFmtId="0" fontId="51" fillId="0" borderId="0">
      <alignment wrapText="1"/>
    </xf>
    <xf numFmtId="164" fontId="329" fillId="168" borderId="0">
      <alignment horizontal="left"/>
    </xf>
    <xf numFmtId="0" fontId="330" fillId="0" borderId="0" applyBorder="0" applyProtection="0">
      <alignment vertical="center"/>
    </xf>
    <xf numFmtId="0" fontId="330" fillId="0" borderId="91" applyBorder="0" applyProtection="0">
      <alignment horizontal="right" vertical="center"/>
    </xf>
    <xf numFmtId="0" fontId="331" fillId="184" borderId="0" applyBorder="0" applyProtection="0">
      <alignment horizontal="centerContinuous" vertical="center"/>
    </xf>
    <xf numFmtId="0" fontId="331" fillId="168" borderId="91" applyBorder="0" applyProtection="0">
      <alignment horizontal="centerContinuous" vertical="center"/>
    </xf>
    <xf numFmtId="0" fontId="332" fillId="0" borderId="0" applyNumberFormat="0" applyFill="0" applyBorder="0" applyProtection="0">
      <alignment horizontal="left"/>
    </xf>
    <xf numFmtId="0" fontId="52" fillId="53" borderId="0">
      <alignment horizontal="right" vertical="top" wrapText="1"/>
    </xf>
    <xf numFmtId="0" fontId="333" fillId="0" borderId="99" applyNumberFormat="0" applyFill="0">
      <alignment horizontal="right" vertical="center" wrapText="1"/>
    </xf>
    <xf numFmtId="0" fontId="53" fillId="0" borderId="0"/>
    <xf numFmtId="0" fontId="54" fillId="0" borderId="0"/>
    <xf numFmtId="0" fontId="52" fillId="0" borderId="0" applyBorder="0" applyProtection="0">
      <alignment horizontal="left"/>
    </xf>
    <xf numFmtId="0" fontId="334" fillId="0" borderId="155">
      <alignment horizontal="center" vertical="center"/>
    </xf>
    <xf numFmtId="275" fontId="335" fillId="0" borderId="91">
      <alignment horizontal="center" vertical="center"/>
    </xf>
    <xf numFmtId="43" fontId="334" fillId="0" borderId="155">
      <alignment horizontal="right" vertical="center"/>
    </xf>
    <xf numFmtId="276" fontId="334" fillId="0" borderId="91">
      <alignment horizontal="left" vertical="center"/>
    </xf>
    <xf numFmtId="276" fontId="334" fillId="0" borderId="27">
      <alignment horizontal="left" vertical="center"/>
    </xf>
    <xf numFmtId="277" fontId="334" fillId="0" borderId="91">
      <alignment horizontal="left" vertical="center"/>
    </xf>
    <xf numFmtId="277" fontId="334" fillId="0" borderId="27">
      <alignment horizontal="left" vertical="center"/>
    </xf>
    <xf numFmtId="275" fontId="334" fillId="0" borderId="91">
      <alignment horizontal="center" vertical="center"/>
    </xf>
    <xf numFmtId="43" fontId="335" fillId="0" borderId="91">
      <alignment horizontal="center" vertical="center"/>
    </xf>
    <xf numFmtId="275" fontId="335" fillId="0" borderId="91">
      <alignment horizontal="center" vertical="center"/>
    </xf>
    <xf numFmtId="275" fontId="334" fillId="0" borderId="91">
      <alignment horizontal="center" vertical="center"/>
    </xf>
    <xf numFmtId="0" fontId="336" fillId="0" borderId="91">
      <alignment vertical="center"/>
    </xf>
    <xf numFmtId="43" fontId="336" fillId="0" borderId="155">
      <alignment vertical="center"/>
    </xf>
    <xf numFmtId="276" fontId="336" fillId="0" borderId="91">
      <alignment vertical="center"/>
    </xf>
    <xf numFmtId="276" fontId="336" fillId="0" borderId="27">
      <alignment horizontal="left" vertical="center"/>
    </xf>
    <xf numFmtId="277" fontId="336" fillId="0" borderId="27">
      <alignment horizontal="left" vertical="center"/>
    </xf>
    <xf numFmtId="0" fontId="334" fillId="0" borderId="91">
      <alignment horizontal="center" vertical="center"/>
    </xf>
    <xf numFmtId="43" fontId="334" fillId="0" borderId="91">
      <alignment horizontal="right" vertical="center"/>
    </xf>
    <xf numFmtId="278" fontId="336" fillId="0" borderId="27">
      <alignment horizontal="center" vertical="center"/>
    </xf>
    <xf numFmtId="43" fontId="336" fillId="0" borderId="27">
      <alignment horizontal="center" vertical="center"/>
    </xf>
    <xf numFmtId="2" fontId="336" fillId="0" borderId="27">
      <alignment horizontal="center" vertical="center"/>
    </xf>
    <xf numFmtId="2" fontId="336" fillId="0" borderId="27">
      <alignment horizontal="right" vertical="center"/>
    </xf>
    <xf numFmtId="2" fontId="334" fillId="0" borderId="27">
      <alignment horizontal="center" vertical="center"/>
    </xf>
    <xf numFmtId="2" fontId="334" fillId="0" borderId="27">
      <alignment horizontal="right" vertical="center"/>
    </xf>
    <xf numFmtId="275" fontId="337" fillId="0" borderId="155">
      <alignment horizontal="center" vertical="center"/>
    </xf>
    <xf numFmtId="185" fontId="335" fillId="0" borderId="91">
      <alignment horizontal="center" vertical="center"/>
    </xf>
    <xf numFmtId="185" fontId="335" fillId="0" borderId="27">
      <alignment horizontal="center" vertical="center"/>
    </xf>
    <xf numFmtId="275" fontId="337" fillId="0" borderId="91">
      <alignment horizontal="center" vertical="center"/>
    </xf>
    <xf numFmtId="275" fontId="335" fillId="0" borderId="27">
      <alignment horizontal="center" vertical="center"/>
    </xf>
    <xf numFmtId="0" fontId="334" fillId="0" borderId="0">
      <alignment horizontal="left"/>
    </xf>
    <xf numFmtId="2" fontId="334" fillId="0" borderId="155">
      <alignment horizontal="center" vertical="center"/>
    </xf>
    <xf numFmtId="2" fontId="336" fillId="0" borderId="155">
      <alignment horizontal="center" vertical="center"/>
    </xf>
    <xf numFmtId="2" fontId="334" fillId="0" borderId="91">
      <alignment horizontal="center" vertical="center"/>
    </xf>
    <xf numFmtId="2" fontId="336" fillId="0" borderId="91">
      <alignment horizontal="center" vertical="center"/>
    </xf>
    <xf numFmtId="4" fontId="334" fillId="0" borderId="155">
      <alignment horizontal="right" vertical="center"/>
    </xf>
    <xf numFmtId="4" fontId="336" fillId="0" borderId="155">
      <alignment horizontal="right" vertical="center"/>
    </xf>
    <xf numFmtId="4" fontId="338" fillId="0" borderId="91">
      <alignment horizontal="right" vertical="center"/>
    </xf>
    <xf numFmtId="4" fontId="334" fillId="0" borderId="91">
      <alignment horizontal="right" vertical="center"/>
    </xf>
    <xf numFmtId="2" fontId="334" fillId="0" borderId="91">
      <alignment horizontal="right" vertical="center"/>
    </xf>
    <xf numFmtId="0" fontId="334" fillId="0" borderId="155">
      <alignment horizontal="left" vertical="center"/>
    </xf>
    <xf numFmtId="0" fontId="334" fillId="0" borderId="91">
      <alignment horizontal="left" vertical="center"/>
    </xf>
    <xf numFmtId="0" fontId="336" fillId="0" borderId="91">
      <alignment horizontal="left" vertical="center"/>
    </xf>
    <xf numFmtId="0" fontId="334" fillId="0" borderId="91">
      <alignment horizontal="left" vertical="center"/>
    </xf>
    <xf numFmtId="0" fontId="334" fillId="0" borderId="0">
      <alignment horizontal="right"/>
    </xf>
    <xf numFmtId="0" fontId="55" fillId="0" borderId="0"/>
    <xf numFmtId="171" fontId="16" fillId="0" borderId="0">
      <alignment wrapText="1"/>
      <protection locked="0"/>
    </xf>
    <xf numFmtId="172" fontId="16" fillId="0" borderId="0">
      <alignment wrapText="1"/>
      <protection locked="0"/>
    </xf>
    <xf numFmtId="173" fontId="16" fillId="0" borderId="0">
      <alignment wrapText="1"/>
      <protection locked="0"/>
    </xf>
    <xf numFmtId="0" fontId="334" fillId="0" borderId="0">
      <alignment horizontal="center"/>
    </xf>
    <xf numFmtId="0" fontId="235" fillId="0" borderId="0" applyNumberFormat="0" applyFill="0" applyBorder="0" applyProtection="0">
      <alignment horizontal="left"/>
    </xf>
    <xf numFmtId="0" fontId="256" fillId="0" borderId="0" applyNumberFormat="0" applyFill="0" applyBorder="0" applyProtection="0"/>
    <xf numFmtId="0" fontId="138" fillId="0" borderId="0" applyFill="0" applyBorder="0" applyProtection="0">
      <alignment horizontal="left"/>
    </xf>
    <xf numFmtId="174" fontId="52" fillId="53" borderId="28">
      <alignment wrapText="1"/>
    </xf>
    <xf numFmtId="174" fontId="52" fillId="53" borderId="28">
      <alignment wrapText="1"/>
    </xf>
    <xf numFmtId="174" fontId="52" fillId="53" borderId="28">
      <alignment wrapText="1"/>
    </xf>
    <xf numFmtId="175" fontId="52" fillId="53" borderId="28">
      <alignment wrapText="1"/>
    </xf>
    <xf numFmtId="175" fontId="52" fillId="53" borderId="28">
      <alignment wrapText="1"/>
    </xf>
    <xf numFmtId="175" fontId="52" fillId="53" borderId="28">
      <alignment wrapText="1"/>
    </xf>
    <xf numFmtId="175" fontId="52" fillId="53" borderId="28">
      <alignment wrapText="1"/>
    </xf>
    <xf numFmtId="176" fontId="52" fillId="53" borderId="28">
      <alignment wrapText="1"/>
    </xf>
    <xf numFmtId="176" fontId="52" fillId="53" borderId="28">
      <alignment wrapText="1"/>
    </xf>
    <xf numFmtId="176" fontId="52" fillId="53" borderId="28">
      <alignment wrapText="1"/>
    </xf>
    <xf numFmtId="0" fontId="16" fillId="0" borderId="31" applyFill="0" applyBorder="0" applyProtection="0">
      <alignment horizontal="left" vertical="top"/>
    </xf>
    <xf numFmtId="0" fontId="53" fillId="0" borderId="29">
      <alignment horizontal="right"/>
    </xf>
    <xf numFmtId="165" fontId="19" fillId="0" borderId="0" applyFont="0">
      <alignment horizontal="center"/>
    </xf>
    <xf numFmtId="279" fontId="6" fillId="0" borderId="0" applyNumberFormat="0" applyFill="0" applyBorder="0">
      <alignment horizontal="left"/>
    </xf>
    <xf numFmtId="279" fontId="6" fillId="0" borderId="0" applyNumberFormat="0" applyFill="0" applyBorder="0">
      <alignment horizontal="right"/>
    </xf>
    <xf numFmtId="0" fontId="6" fillId="0" borderId="0"/>
    <xf numFmtId="180" fontId="6" fillId="0" borderId="0" applyAlignment="0">
      <alignment horizontal="left"/>
    </xf>
    <xf numFmtId="180" fontId="6" fillId="0" borderId="0" applyAlignment="0">
      <alignment horizontal="left"/>
    </xf>
    <xf numFmtId="15" fontId="6" fillId="0" borderId="0"/>
    <xf numFmtId="15" fontId="6" fillId="0" borderId="0"/>
    <xf numFmtId="15" fontId="6" fillId="0" borderId="0"/>
    <xf numFmtId="15" fontId="6" fillId="0" borderId="0"/>
    <xf numFmtId="180" fontId="6" fillId="0" borderId="0" applyAlignment="0">
      <alignment horizontal="left"/>
    </xf>
    <xf numFmtId="180" fontId="6" fillId="0" borderId="0" applyAlignment="0">
      <alignment horizontal="left"/>
    </xf>
    <xf numFmtId="180" fontId="6" fillId="0" borderId="0" applyAlignment="0">
      <alignment horizontal="left"/>
    </xf>
    <xf numFmtId="180" fontId="6" fillId="0" borderId="0" applyAlignment="0">
      <alignment horizontal="left"/>
    </xf>
    <xf numFmtId="180" fontId="6" fillId="0" borderId="0" applyAlignment="0">
      <alignment horizontal="left"/>
    </xf>
    <xf numFmtId="180" fontId="6" fillId="0" borderId="0" applyAlignment="0">
      <alignment horizontal="left"/>
    </xf>
    <xf numFmtId="0" fontId="339" fillId="0" borderId="0" applyNumberFormat="0" applyFill="0" applyBorder="0" applyAlignment="0" applyProtection="0"/>
    <xf numFmtId="0" fontId="339" fillId="0" borderId="0"/>
    <xf numFmtId="0" fontId="340" fillId="0" borderId="0" applyNumberFormat="0" applyFill="0" applyBorder="0" applyAlignment="0" applyProtection="0"/>
    <xf numFmtId="0" fontId="340" fillId="0" borderId="0"/>
    <xf numFmtId="0" fontId="341" fillId="0" borderId="0"/>
    <xf numFmtId="49" fontId="48" fillId="0" borderId="0" applyFont="0" applyFill="0" applyBorder="0" applyAlignment="0" applyProtection="0"/>
    <xf numFmtId="0" fontId="342" fillId="0" borderId="0" applyNumberFormat="0" applyFill="0" applyBorder="0" applyProtection="0"/>
    <xf numFmtId="0" fontId="342" fillId="0" borderId="0" applyNumberFormat="0" applyFill="0" applyBorder="0" applyProtection="0"/>
    <xf numFmtId="0" fontId="6" fillId="0" borderId="0" applyNumberFormat="0" applyFill="0" applyBorder="0" applyProtection="0"/>
    <xf numFmtId="0" fontId="6" fillId="0" borderId="0" applyNumberFormat="0" applyFill="0" applyBorder="0" applyProtection="0"/>
    <xf numFmtId="0" fontId="342" fillId="0" borderId="0" applyNumberFormat="0" applyFill="0" applyBorder="0" applyProtection="0"/>
    <xf numFmtId="0" fontId="342" fillId="0" borderId="0"/>
    <xf numFmtId="192" fontId="52" fillId="118" borderId="0"/>
    <xf numFmtId="178" fontId="52" fillId="118" borderId="0"/>
    <xf numFmtId="192" fontId="16" fillId="118" borderId="0">
      <alignment horizontal="left"/>
    </xf>
    <xf numFmtId="178" fontId="16" fillId="118" borderId="0">
      <alignment horizontal="left"/>
    </xf>
    <xf numFmtId="192" fontId="16" fillId="118" borderId="0">
      <alignment horizontal="left" indent="1"/>
    </xf>
    <xf numFmtId="178" fontId="16" fillId="118" borderId="0">
      <alignment horizontal="left" indent="1"/>
    </xf>
    <xf numFmtId="192" fontId="16" fillId="118" borderId="0">
      <alignment horizontal="left" vertical="center" indent="2"/>
    </xf>
    <xf numFmtId="178" fontId="16" fillId="118" borderId="0">
      <alignment horizontal="left" vertical="center" indent="2"/>
    </xf>
    <xf numFmtId="49" fontId="343" fillId="0" borderId="0" applyFill="0" applyBorder="0" applyProtection="0">
      <alignment horizontal="center" vertical="top"/>
    </xf>
    <xf numFmtId="192" fontId="47" fillId="0" borderId="0">
      <alignment horizontal="center"/>
    </xf>
    <xf numFmtId="0" fontId="47" fillId="0" borderId="0">
      <alignment horizontal="center"/>
    </xf>
    <xf numFmtId="15" fontId="47" fillId="0" borderId="0">
      <alignment horizontal="center"/>
    </xf>
    <xf numFmtId="280" fontId="134" fillId="145" borderId="22">
      <alignment horizontal="center" vertical="center"/>
    </xf>
    <xf numFmtId="0" fontId="344" fillId="0" borderId="0">
      <alignment vertical="center"/>
    </xf>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6" fillId="0" borderId="0" applyNumberFormat="0" applyFill="0" applyBorder="0" applyAlignment="0" applyProtection="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6" fillId="0" borderId="0" applyNumberFormat="0" applyFill="0" applyBorder="0" applyAlignment="0" applyProtection="0"/>
    <xf numFmtId="0" fontId="345" fillId="0" borderId="0"/>
    <xf numFmtId="0" fontId="345" fillId="0" borderId="0"/>
    <xf numFmtId="0" fontId="345" fillId="0" borderId="0"/>
    <xf numFmtId="0" fontId="345" fillId="0" borderId="0"/>
    <xf numFmtId="0" fontId="345" fillId="0" borderId="0"/>
    <xf numFmtId="0" fontId="347" fillId="0" borderId="0"/>
    <xf numFmtId="0" fontId="345" fillId="0" borderId="0"/>
    <xf numFmtId="0" fontId="347" fillId="0" borderId="0"/>
    <xf numFmtId="0" fontId="345" fillId="0" borderId="0"/>
    <xf numFmtId="0" fontId="345" fillId="0" borderId="0"/>
    <xf numFmtId="0" fontId="347" fillId="0" borderId="0"/>
    <xf numFmtId="0" fontId="345" fillId="0" borderId="0"/>
    <xf numFmtId="0" fontId="345" fillId="0" borderId="0"/>
    <xf numFmtId="0" fontId="345" fillId="0" borderId="0"/>
    <xf numFmtId="0" fontId="345" fillId="0" borderId="0"/>
    <xf numFmtId="0" fontId="36" fillId="0" borderId="0" applyNumberFormat="0" applyFill="0" applyBorder="0" applyAlignment="0" applyProtection="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6" fillId="0" borderId="0" applyNumberFormat="0" applyFill="0" applyBorder="0" applyAlignment="0" applyProtection="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7" fillId="0" borderId="0"/>
    <xf numFmtId="0" fontId="345" fillId="0" borderId="0"/>
    <xf numFmtId="0" fontId="347" fillId="0" borderId="0"/>
    <xf numFmtId="0" fontId="345" fillId="0" borderId="0"/>
    <xf numFmtId="0" fontId="347" fillId="0" borderId="0"/>
    <xf numFmtId="0" fontId="347" fillId="0" borderId="0"/>
    <xf numFmtId="0" fontId="345" fillId="0" borderId="0"/>
    <xf numFmtId="0" fontId="345" fillId="0" borderId="0"/>
    <xf numFmtId="0" fontId="348" fillId="0" borderId="0"/>
    <xf numFmtId="0" fontId="345" fillId="0" borderId="0"/>
    <xf numFmtId="0" fontId="345" fillId="0" borderId="0"/>
    <xf numFmtId="0" fontId="345" fillId="0" borderId="0"/>
    <xf numFmtId="0" fontId="345" fillId="0" borderId="0"/>
    <xf numFmtId="192" fontId="163" fillId="154" borderId="156"/>
    <xf numFmtId="0" fontId="349" fillId="0" borderId="0">
      <alignment horizontal="left" vertical="top"/>
    </xf>
    <xf numFmtId="0" fontId="163" fillId="154" borderId="156"/>
    <xf numFmtId="192" fontId="163" fillId="154" borderId="156"/>
    <xf numFmtId="0" fontId="349" fillId="0" borderId="0">
      <alignment horizontal="left" vertical="top"/>
    </xf>
    <xf numFmtId="192" fontId="163" fillId="154" borderId="156"/>
    <xf numFmtId="178" fontId="163" fillId="154" borderId="156"/>
    <xf numFmtId="192" fontId="163" fillId="154" borderId="156"/>
    <xf numFmtId="0" fontId="349" fillId="0" borderId="0">
      <alignment horizontal="left" vertical="top"/>
    </xf>
    <xf numFmtId="192" fontId="163" fillId="154" borderId="156"/>
    <xf numFmtId="0" fontId="349" fillId="0" borderId="0">
      <alignment horizontal="left" vertical="top"/>
    </xf>
    <xf numFmtId="192" fontId="163" fillId="154" borderId="156"/>
    <xf numFmtId="192" fontId="163" fillId="154" borderId="156"/>
    <xf numFmtId="192" fontId="163" fillId="154" borderId="156"/>
    <xf numFmtId="192" fontId="163" fillId="154" borderId="156"/>
    <xf numFmtId="192" fontId="163" fillId="154" borderId="156"/>
    <xf numFmtId="192" fontId="192" fillId="154" borderId="157">
      <alignment horizontal="left"/>
    </xf>
    <xf numFmtId="0" fontId="350" fillId="0" borderId="0">
      <alignment horizontal="left"/>
    </xf>
    <xf numFmtId="192" fontId="192" fillId="154" borderId="157">
      <alignment horizontal="left"/>
    </xf>
    <xf numFmtId="0" fontId="350" fillId="0" borderId="0">
      <alignment horizontal="left"/>
    </xf>
    <xf numFmtId="178" fontId="192" fillId="154" borderId="157">
      <alignment horizontal="left"/>
    </xf>
    <xf numFmtId="0" fontId="192" fillId="154" borderId="157">
      <alignment horizontal="left"/>
    </xf>
    <xf numFmtId="0" fontId="350" fillId="0" borderId="0">
      <alignment horizontal="left"/>
    </xf>
    <xf numFmtId="0" fontId="350" fillId="0" borderId="0">
      <alignment horizontal="left"/>
    </xf>
    <xf numFmtId="22" fontId="41" fillId="30" borderId="157">
      <alignment vertical="center"/>
    </xf>
    <xf numFmtId="22" fontId="41" fillId="30" borderId="157">
      <alignment vertical="center"/>
    </xf>
    <xf numFmtId="22" fontId="41" fillId="30" borderId="157">
      <alignment vertical="center"/>
    </xf>
    <xf numFmtId="22" fontId="41" fillId="30" borderId="157">
      <alignment vertical="center"/>
    </xf>
    <xf numFmtId="22" fontId="41" fillId="30" borderId="157">
      <alignment vertical="center"/>
    </xf>
    <xf numFmtId="22" fontId="41" fillId="30" borderId="157">
      <alignment vertical="center"/>
    </xf>
    <xf numFmtId="22" fontId="41" fillId="30" borderId="157">
      <alignment vertical="center"/>
    </xf>
    <xf numFmtId="22" fontId="41" fillId="30" borderId="157">
      <alignment vertical="center"/>
    </xf>
    <xf numFmtId="192" fontId="41" fillId="30" borderId="157">
      <alignment horizontal="left" vertical="top" wrapText="1"/>
    </xf>
    <xf numFmtId="0"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78"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92" fontId="41" fillId="30" borderId="157">
      <alignment horizontal="left" vertical="top" wrapText="1"/>
    </xf>
    <xf numFmtId="192" fontId="41" fillId="30" borderId="158"/>
    <xf numFmtId="0" fontId="41" fillId="30" borderId="158"/>
    <xf numFmtId="0" fontId="41" fillId="30" borderId="158"/>
    <xf numFmtId="192" fontId="41" fillId="30" borderId="158"/>
    <xf numFmtId="192" fontId="41" fillId="30" borderId="158"/>
    <xf numFmtId="178"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0" fontId="41" fillId="30" borderId="158"/>
    <xf numFmtId="0" fontId="41" fillId="30" borderId="158"/>
    <xf numFmtId="192" fontId="41" fillId="30" borderId="158"/>
    <xf numFmtId="192" fontId="41" fillId="30" borderId="158"/>
    <xf numFmtId="178"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192" fontId="41" fillId="30" borderId="158"/>
    <xf numFmtId="0" fontId="351" fillId="0" borderId="0" applyNumberFormat="0" applyFill="0" applyBorder="0" applyAlignment="0" applyProtection="0"/>
    <xf numFmtId="0" fontId="352" fillId="0" borderId="159" applyNumberFormat="0" applyFill="0" applyAlignment="0" applyProtection="0"/>
    <xf numFmtId="0" fontId="352" fillId="0" borderId="159"/>
    <xf numFmtId="0" fontId="353" fillId="0" borderId="160" applyNumberFormat="0" applyFill="0" applyAlignment="0" applyProtection="0"/>
    <xf numFmtId="0" fontId="353" fillId="0" borderId="160"/>
    <xf numFmtId="0" fontId="354" fillId="0" borderId="161" applyNumberFormat="0" applyFill="0" applyAlignment="0" applyProtection="0"/>
    <xf numFmtId="0" fontId="354" fillId="0" borderId="161"/>
    <xf numFmtId="0" fontId="354" fillId="0" borderId="0" applyNumberFormat="0" applyFill="0" applyBorder="0" applyAlignment="0" applyProtection="0"/>
    <xf numFmtId="0" fontId="354" fillId="0" borderId="0"/>
    <xf numFmtId="0" fontId="347" fillId="0" borderId="0"/>
    <xf numFmtId="0" fontId="36" fillId="0" borderId="0" applyNumberFormat="0" applyFill="0" applyBorder="0" applyAlignment="0" applyProtection="0"/>
    <xf numFmtId="0" fontId="355" fillId="0" borderId="0"/>
    <xf numFmtId="281" fontId="40" fillId="185" borderId="0" applyNumberFormat="0" applyBorder="0">
      <protection locked="0"/>
    </xf>
    <xf numFmtId="0" fontId="14" fillId="186" borderId="0">
      <alignment horizontal="center" vertical="center" wrapText="1"/>
    </xf>
    <xf numFmtId="0" fontId="6" fillId="0" borderId="0"/>
    <xf numFmtId="0" fontId="342" fillId="0" borderId="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71" fillId="0" borderId="30" applyNumberFormat="0" applyFill="0" applyAlignment="0" applyProtection="0"/>
    <xf numFmtId="0" fontId="37" fillId="0" borderId="30"/>
    <xf numFmtId="0" fontId="37" fillId="0" borderId="30" applyNumberFormat="0" applyFill="0" applyAlignment="0" applyProtection="0"/>
    <xf numFmtId="0" fontId="37" fillId="0" borderId="30" applyNumberFormat="0" applyFill="0" applyAlignment="0" applyProtection="0"/>
    <xf numFmtId="192" fontId="35" fillId="0" borderId="162"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71" fillId="0" borderId="30" applyNumberFormat="0" applyFill="0" applyAlignment="0" applyProtection="0"/>
    <xf numFmtId="192" fontId="35" fillId="0" borderId="162" applyNumberFormat="0" applyFill="0" applyAlignment="0" applyProtection="0"/>
    <xf numFmtId="192" fontId="35" fillId="0" borderId="162" applyNumberFormat="0" applyFill="0" applyAlignment="0" applyProtection="0"/>
    <xf numFmtId="192" fontId="35" fillId="0" borderId="162" applyNumberFormat="0" applyFill="0" applyAlignment="0" applyProtection="0"/>
    <xf numFmtId="192" fontId="35" fillId="0" borderId="162" applyNumberFormat="0" applyFill="0" applyAlignment="0" applyProtection="0"/>
    <xf numFmtId="192" fontId="35" fillId="0" borderId="162" applyNumberFormat="0" applyFill="0" applyAlignment="0" applyProtection="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applyNumberFormat="0" applyFill="0" applyAlignment="0" applyProtection="0"/>
    <xf numFmtId="0" fontId="35" fillId="0" borderId="162" applyNumberFormat="0" applyFill="0" applyAlignment="0" applyProtection="0"/>
    <xf numFmtId="192" fontId="37" fillId="0" borderId="163" applyNumberFormat="0" applyFill="0" applyAlignment="0" applyProtection="0"/>
    <xf numFmtId="192" fontId="37" fillId="0" borderId="163" applyNumberFormat="0" applyFill="0" applyAlignment="0" applyProtection="0"/>
    <xf numFmtId="192" fontId="37" fillId="0" borderId="163" applyNumberFormat="0" applyFill="0" applyAlignment="0" applyProtection="0"/>
    <xf numFmtId="192" fontId="37" fillId="0" borderId="163" applyNumberFormat="0" applyFill="0" applyAlignment="0" applyProtection="0"/>
    <xf numFmtId="192" fontId="37" fillId="0" borderId="163" applyNumberFormat="0" applyFill="0" applyAlignment="0" applyProtection="0"/>
    <xf numFmtId="192" fontId="37" fillId="0" borderId="163" applyNumberFormat="0" applyFill="0" applyAlignment="0" applyProtection="0"/>
    <xf numFmtId="0" fontId="35" fillId="0" borderId="162" applyNumberFormat="0" applyFill="0" applyAlignment="0" applyProtection="0"/>
    <xf numFmtId="0" fontId="35" fillId="0" borderId="162" applyNumberFormat="0" applyFill="0" applyAlignment="0" applyProtection="0"/>
    <xf numFmtId="0" fontId="37" fillId="0" borderId="30"/>
    <xf numFmtId="0" fontId="37" fillId="0" borderId="30"/>
    <xf numFmtId="0" fontId="37" fillId="0" borderId="30"/>
    <xf numFmtId="0" fontId="37" fillId="0" borderId="30"/>
    <xf numFmtId="0" fontId="37" fillId="0" borderId="30"/>
    <xf numFmtId="0" fontId="356" fillId="0" borderId="164"/>
    <xf numFmtId="0" fontId="37" fillId="0" borderId="30"/>
    <xf numFmtId="0" fontId="356" fillId="0" borderId="164"/>
    <xf numFmtId="0" fontId="37" fillId="0" borderId="30"/>
    <xf numFmtId="0" fontId="37" fillId="0" borderId="30"/>
    <xf numFmtId="0" fontId="356" fillId="0" borderId="164"/>
    <xf numFmtId="0" fontId="37" fillId="0" borderId="30"/>
    <xf numFmtId="0" fontId="37" fillId="0" borderId="30"/>
    <xf numFmtId="0" fontId="37" fillId="0" borderId="30"/>
    <xf numFmtId="0" fontId="37" fillId="0" borderId="30"/>
    <xf numFmtId="0" fontId="37" fillId="0" borderId="30"/>
    <xf numFmtId="0" fontId="37" fillId="0" borderId="30" applyNumberFormat="0" applyFill="0" applyAlignment="0" applyProtection="0"/>
    <xf numFmtId="0" fontId="37" fillId="0" borderId="30" applyNumberFormat="0" applyFill="0" applyAlignment="0" applyProtection="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7" fillId="0" borderId="30"/>
    <xf numFmtId="0" fontId="356" fillId="0" borderId="164"/>
    <xf numFmtId="0" fontId="37" fillId="0" borderId="30"/>
    <xf numFmtId="0" fontId="356" fillId="0" borderId="164"/>
    <xf numFmtId="0" fontId="37" fillId="0" borderId="30"/>
    <xf numFmtId="0" fontId="356" fillId="0" borderId="164"/>
    <xf numFmtId="0" fontId="37" fillId="0" borderId="30"/>
    <xf numFmtId="0" fontId="37" fillId="0" borderId="30"/>
    <xf numFmtId="0" fontId="149" fillId="0" borderId="4"/>
    <xf numFmtId="0" fontId="37" fillId="0" borderId="30"/>
    <xf numFmtId="0" fontId="37" fillId="0" borderId="30" applyNumberFormat="0" applyFill="0" applyAlignment="0" applyProtection="0"/>
    <xf numFmtId="0" fontId="357" fillId="0" borderId="4" applyNumberFormat="0" applyFill="0" applyAlignment="0" applyProtection="0"/>
    <xf numFmtId="0" fontId="37" fillId="0" borderId="30"/>
    <xf numFmtId="0" fontId="37" fillId="0" borderId="30"/>
    <xf numFmtId="0" fontId="37" fillId="0" borderId="30"/>
    <xf numFmtId="0" fontId="358" fillId="0" borderId="0" applyFill="0" applyBorder="0" applyProtection="0"/>
    <xf numFmtId="281" fontId="70" fillId="187" borderId="0" applyNumberFormat="0" applyBorder="0">
      <protection locked="0"/>
    </xf>
    <xf numFmtId="0" fontId="358" fillId="0" borderId="0" applyFill="0" applyBorder="0" applyProtection="0"/>
    <xf numFmtId="0" fontId="37" fillId="0" borderId="165" applyNumberFormat="0" applyFill="0" applyAlignment="0" applyProtection="0"/>
    <xf numFmtId="0" fontId="37" fillId="0" borderId="165" applyNumberFormat="0" applyFill="0" applyAlignment="0" applyProtection="0"/>
    <xf numFmtId="0" fontId="37" fillId="0" borderId="165" applyNumberFormat="0" applyFill="0" applyAlignment="0" applyProtection="0"/>
    <xf numFmtId="0" fontId="37" fillId="0" borderId="165" applyNumberFormat="0" applyFill="0" applyAlignment="0" applyProtection="0"/>
    <xf numFmtId="41" fontId="6" fillId="0" borderId="0" applyFont="0" applyFill="0" applyBorder="0" applyAlignment="0" applyProtection="0"/>
    <xf numFmtId="43" fontId="6" fillId="0" borderId="0" applyFont="0" applyFill="0" applyBorder="0" applyAlignment="0" applyProtection="0"/>
    <xf numFmtId="0" fontId="6" fillId="0" borderId="0"/>
    <xf numFmtId="0" fontId="190" fillId="0" borderId="0"/>
    <xf numFmtId="0" fontId="6" fillId="0" borderId="0"/>
    <xf numFmtId="37" fontId="16" fillId="38" borderId="0" applyNumberFormat="0" applyBorder="0" applyAlignment="0" applyProtection="0"/>
    <xf numFmtId="37" fontId="16" fillId="38" borderId="0" applyNumberFormat="0" applyBorder="0" applyAlignment="0" applyProtection="0"/>
    <xf numFmtId="37" fontId="16" fillId="0" borderId="0"/>
    <xf numFmtId="37" fontId="16" fillId="0" borderId="0"/>
    <xf numFmtId="37" fontId="16" fillId="0" borderId="0"/>
    <xf numFmtId="37" fontId="16" fillId="38" borderId="0" applyNumberFormat="0" applyBorder="0" applyAlignment="0" applyProtection="0"/>
    <xf numFmtId="3" fontId="153" fillId="0" borderId="98" applyProtection="0"/>
    <xf numFmtId="10" fontId="169" fillId="58" borderId="22" applyNumberFormat="0" applyFont="0" applyAlignment="0" applyProtection="0">
      <protection locked="0"/>
    </xf>
    <xf numFmtId="0" fontId="359" fillId="33" borderId="0" applyNumberFormat="0" applyBorder="0" applyAlignment="0" applyProtection="0"/>
    <xf numFmtId="0" fontId="359" fillId="38" borderId="0"/>
    <xf numFmtId="0" fontId="28" fillId="12" borderId="0" applyNumberFormat="0" applyBorder="0" applyAlignment="0" applyProtection="0"/>
    <xf numFmtId="0" fontId="28" fillId="111" borderId="0"/>
    <xf numFmtId="0" fontId="6" fillId="0" borderId="0"/>
    <xf numFmtId="42" fontId="6" fillId="0" borderId="0" applyFont="0" applyFill="0" applyBorder="0" applyAlignment="0" applyProtection="0"/>
    <xf numFmtId="282" fontId="6" fillId="0" borderId="0" applyFont="0" applyFill="0" applyBorder="0" applyAlignment="0" applyProtection="0"/>
    <xf numFmtId="0" fontId="6" fillId="0" borderId="0">
      <alignment horizontal="center" textRotation="180"/>
    </xf>
    <xf numFmtId="283" fontId="12" fillId="0" borderId="0" applyFont="0" applyFill="0" applyBorder="0" applyAlignment="0" applyProtection="0"/>
    <xf numFmtId="284" fontId="1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8" fillId="0" borderId="0" applyNumberFormat="0" applyFill="0" applyBorder="0" applyAlignment="0" applyProtection="0"/>
    <xf numFmtId="0" fontId="38" fillId="0" borderId="0" applyNumberFormat="0" applyFill="0" applyBorder="0" applyAlignment="0" applyProtection="0"/>
    <xf numFmtId="0" fontId="38" fillId="0" borderId="0"/>
    <xf numFmtId="0" fontId="360" fillId="0" borderId="0"/>
    <xf numFmtId="0" fontId="38" fillId="0" borderId="0"/>
    <xf numFmtId="0" fontId="38"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61" fillId="0" borderId="0"/>
    <xf numFmtId="0" fontId="38" fillId="0" borderId="0"/>
    <xf numFmtId="0" fontId="361" fillId="0" borderId="0"/>
    <xf numFmtId="0" fontId="38" fillId="0" borderId="0"/>
    <xf numFmtId="0" fontId="38" fillId="0" borderId="0"/>
    <xf numFmtId="0" fontId="36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1" fillId="0" borderId="0"/>
    <xf numFmtId="0" fontId="38" fillId="0" borderId="0"/>
    <xf numFmtId="0" fontId="38" fillId="0" borderId="0"/>
    <xf numFmtId="0" fontId="361" fillId="0" borderId="0"/>
    <xf numFmtId="0" fontId="38" fillId="0" borderId="0"/>
    <xf numFmtId="0" fontId="38" fillId="0" borderId="0"/>
    <xf numFmtId="0" fontId="151" fillId="0" borderId="0"/>
    <xf numFmtId="0" fontId="38" fillId="0" borderId="0"/>
    <xf numFmtId="0" fontId="362" fillId="0" borderId="0" applyNumberFormat="0" applyFill="0" applyBorder="0" applyAlignment="0" applyProtection="0"/>
    <xf numFmtId="0" fontId="38" fillId="0" borderId="0"/>
    <xf numFmtId="0" fontId="38" fillId="0" borderId="0"/>
    <xf numFmtId="0" fontId="38" fillId="0" borderId="0"/>
    <xf numFmtId="0" fontId="6" fillId="0" borderId="0"/>
    <xf numFmtId="0" fontId="6" fillId="0" borderId="0"/>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49" fontId="343" fillId="18" borderId="0" applyNumberFormat="0" applyFont="0" applyBorder="0" applyAlignment="0" applyProtection="0">
      <alignment horizontal="center"/>
    </xf>
    <xf numFmtId="10" fontId="6" fillId="48" borderId="5" applyNumberFormat="0" applyFont="0" applyBorder="0" applyAlignment="0" applyProtection="0">
      <protection locked="0"/>
    </xf>
    <xf numFmtId="10" fontId="6" fillId="48" borderId="5" applyNumberFormat="0" applyFont="0" applyBorder="0" applyAlignment="0" applyProtection="0">
      <protection locked="0"/>
    </xf>
    <xf numFmtId="0" fontId="58" fillId="38" borderId="0">
      <alignment horizontal="left" vertical="center" indent="1"/>
    </xf>
    <xf numFmtId="0" fontId="58" fillId="38" borderId="0">
      <alignment horizontal="left" vertical="center" indent="1"/>
    </xf>
    <xf numFmtId="285" fontId="219" fillId="0" borderId="0" applyFont="0" applyFill="0" applyBorder="0" applyAlignment="0" applyProtection="0"/>
    <xf numFmtId="4" fontId="162" fillId="0" borderId="0"/>
    <xf numFmtId="0" fontId="363" fillId="0" borderId="0"/>
    <xf numFmtId="0" fontId="1" fillId="0" borderId="0"/>
    <xf numFmtId="0" fontId="230" fillId="0" borderId="0"/>
    <xf numFmtId="43" fontId="230" fillId="0" borderId="0" applyFont="0" applyFill="0" applyBorder="0" applyAlignment="0" applyProtection="0"/>
    <xf numFmtId="43" fontId="230" fillId="0" borderId="0" applyFont="0" applyFill="0" applyBorder="0" applyAlignment="0" applyProtection="0"/>
    <xf numFmtId="0" fontId="364" fillId="0" borderId="0" applyNumberFormat="0" applyFill="0" applyBorder="0" applyAlignment="0" applyProtection="0">
      <alignment vertical="top"/>
      <protection locked="0"/>
    </xf>
    <xf numFmtId="0" fontId="108" fillId="0" borderId="0"/>
    <xf numFmtId="0" fontId="230" fillId="0" borderId="0"/>
    <xf numFmtId="43" fontId="230" fillId="0" borderId="0" applyFont="0" applyFill="0" applyBorder="0" applyAlignment="0" applyProtection="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43" fontId="230" fillId="0" borderId="0" applyFont="0" applyFill="0" applyBorder="0" applyAlignment="0" applyProtection="0"/>
    <xf numFmtId="0" fontId="230"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cellStyleXfs>
  <cellXfs count="1513">
    <xf numFmtId="0" fontId="0" fillId="0" borderId="0" xfId="0"/>
    <xf numFmtId="0" fontId="0" fillId="2" borderId="0" xfId="0" applyFill="1"/>
    <xf numFmtId="0" fontId="13" fillId="2" borderId="0" xfId="0" applyFont="1" applyFill="1" applyAlignment="1">
      <alignment vertical="top"/>
    </xf>
    <xf numFmtId="0" fontId="13" fillId="2" borderId="0" xfId="0" applyFont="1" applyFill="1" applyAlignment="1">
      <alignment horizontal="left" vertical="top"/>
    </xf>
    <xf numFmtId="0" fontId="82" fillId="2" borderId="0" xfId="0" applyFont="1" applyFill="1" applyAlignment="1">
      <alignment vertical="top"/>
    </xf>
    <xf numFmtId="0" fontId="13" fillId="2" borderId="0" xfId="0" applyFont="1" applyFill="1" applyAlignment="1">
      <alignment horizontal="center" vertical="top"/>
    </xf>
    <xf numFmtId="0" fontId="13" fillId="2" borderId="0" xfId="0" applyFont="1" applyFill="1" applyAlignment="1">
      <alignment vertical="top" wrapText="1"/>
    </xf>
    <xf numFmtId="0" fontId="13" fillId="2" borderId="0" xfId="0" applyFont="1" applyFill="1"/>
    <xf numFmtId="0" fontId="13" fillId="0" borderId="0" xfId="0" applyFont="1"/>
    <xf numFmtId="0" fontId="13" fillId="2" borderId="0" xfId="0" applyFont="1" applyFill="1" applyAlignment="1">
      <alignment horizontal="center" vertical="center"/>
    </xf>
    <xf numFmtId="0" fontId="13" fillId="0" borderId="0" xfId="0" applyFont="1" applyAlignment="1">
      <alignment horizontal="center" vertical="center"/>
    </xf>
    <xf numFmtId="0" fontId="13" fillId="2" borderId="0" xfId="0" applyFont="1" applyFill="1" applyAlignment="1">
      <alignment horizontal="center"/>
    </xf>
    <xf numFmtId="0" fontId="13" fillId="0" borderId="0" xfId="0" applyFont="1" applyAlignment="1">
      <alignment horizontal="center"/>
    </xf>
    <xf numFmtId="0" fontId="13" fillId="8" borderId="9" xfId="0" applyFont="1" applyFill="1" applyBorder="1" applyAlignment="1">
      <alignment vertical="top"/>
    </xf>
    <xf numFmtId="0" fontId="88" fillId="3" borderId="0" xfId="0" applyFont="1" applyFill="1" applyAlignment="1">
      <alignment vertical="top"/>
    </xf>
    <xf numFmtId="0" fontId="13" fillId="6" borderId="0" xfId="0" applyFont="1" applyFill="1" applyAlignment="1">
      <alignment vertical="top"/>
    </xf>
    <xf numFmtId="0" fontId="88" fillId="2" borderId="0" xfId="0" applyFont="1" applyFill="1" applyAlignment="1">
      <alignment vertical="top"/>
    </xf>
    <xf numFmtId="0" fontId="13" fillId="3" borderId="0" xfId="0" applyFont="1" applyFill="1" applyAlignment="1">
      <alignment vertical="top"/>
    </xf>
    <xf numFmtId="0" fontId="92" fillId="2" borderId="0" xfId="0" applyFont="1" applyFill="1" applyAlignment="1">
      <alignment vertical="top"/>
    </xf>
    <xf numFmtId="0" fontId="13" fillId="2" borderId="0" xfId="0" quotePrefix="1" applyFont="1" applyFill="1" applyAlignment="1">
      <alignment vertical="top"/>
    </xf>
    <xf numFmtId="1" fontId="13" fillId="2" borderId="0" xfId="0" quotePrefix="1" applyNumberFormat="1" applyFont="1" applyFill="1" applyAlignment="1">
      <alignment vertical="top"/>
    </xf>
    <xf numFmtId="44" fontId="13" fillId="2" borderId="0" xfId="0" applyNumberFormat="1" applyFont="1" applyFill="1" applyAlignment="1">
      <alignment vertical="top"/>
    </xf>
    <xf numFmtId="0" fontId="13" fillId="0" borderId="0" xfId="0" applyFont="1" applyAlignment="1">
      <alignment vertical="top"/>
    </xf>
    <xf numFmtId="180" fontId="13" fillId="2" borderId="0" xfId="0" applyNumberFormat="1" applyFont="1" applyFill="1" applyAlignment="1">
      <alignment vertical="top"/>
    </xf>
    <xf numFmtId="0" fontId="13" fillId="2" borderId="0" xfId="0" applyFont="1" applyFill="1" applyAlignment="1">
      <alignment horizontal="left" vertical="top" wrapText="1"/>
    </xf>
    <xf numFmtId="3" fontId="13" fillId="2" borderId="0" xfId="0" applyNumberFormat="1" applyFont="1" applyFill="1" applyAlignment="1">
      <alignment horizontal="left" vertical="top" wrapText="1"/>
    </xf>
    <xf numFmtId="6" fontId="13" fillId="2" borderId="0" xfId="0" applyNumberFormat="1" applyFont="1" applyFill="1" applyAlignment="1">
      <alignment vertical="top"/>
    </xf>
    <xf numFmtId="8" fontId="13" fillId="2" borderId="0" xfId="0" applyNumberFormat="1" applyFont="1" applyFill="1" applyAlignment="1">
      <alignment vertical="top"/>
    </xf>
    <xf numFmtId="179" fontId="93" fillId="2" borderId="0" xfId="0" applyNumberFormat="1" applyFont="1" applyFill="1"/>
    <xf numFmtId="0" fontId="88" fillId="2" borderId="0" xfId="0" applyFont="1" applyFill="1"/>
    <xf numFmtId="0" fontId="92" fillId="2" borderId="0" xfId="0" applyFont="1" applyFill="1"/>
    <xf numFmtId="0" fontId="13" fillId="2" borderId="0" xfId="0" applyFont="1" applyFill="1" applyAlignment="1">
      <alignment vertical="center" wrapText="1"/>
    </xf>
    <xf numFmtId="0" fontId="13" fillId="2" borderId="0" xfId="0" applyFont="1" applyFill="1" applyAlignment="1">
      <alignment vertical="center"/>
    </xf>
    <xf numFmtId="44" fontId="13" fillId="2" borderId="0" xfId="359" applyFont="1" applyFill="1" applyBorder="1" applyAlignment="1">
      <alignment vertical="center"/>
    </xf>
    <xf numFmtId="0" fontId="13" fillId="2" borderId="0" xfId="0" applyFont="1" applyFill="1" applyAlignment="1">
      <alignment horizontal="left" vertical="center" wrapText="1"/>
    </xf>
    <xf numFmtId="17" fontId="13" fillId="2" borderId="0" xfId="0" applyNumberFormat="1" applyFont="1" applyFill="1" applyAlignment="1">
      <alignment vertical="center"/>
    </xf>
    <xf numFmtId="0" fontId="13" fillId="2" borderId="0" xfId="359" applyNumberFormat="1" applyFont="1" applyFill="1" applyBorder="1" applyAlignment="1">
      <alignment vertical="center"/>
    </xf>
    <xf numFmtId="0" fontId="13" fillId="2" borderId="6" xfId="0" applyFont="1" applyFill="1" applyBorder="1" applyAlignment="1">
      <alignment horizontal="left" vertical="top"/>
    </xf>
    <xf numFmtId="0" fontId="94" fillId="2" borderId="0" xfId="362" applyFont="1" applyFill="1"/>
    <xf numFmtId="1" fontId="13" fillId="0" borderId="0" xfId="0" quotePrefix="1" applyNumberFormat="1" applyFont="1"/>
    <xf numFmtId="1" fontId="13" fillId="0" borderId="0" xfId="0" applyNumberFormat="1" applyFont="1"/>
    <xf numFmtId="0" fontId="95" fillId="2" borderId="0" xfId="2" applyFont="1" applyFill="1" applyAlignment="1">
      <alignment horizontal="left"/>
    </xf>
    <xf numFmtId="0" fontId="96" fillId="2" borderId="0" xfId="2" applyFont="1" applyFill="1" applyAlignment="1">
      <alignment horizontal="left"/>
    </xf>
    <xf numFmtId="164" fontId="95" fillId="2" borderId="0" xfId="2" applyNumberFormat="1" applyFont="1" applyFill="1" applyAlignment="1">
      <alignment horizontal="left"/>
    </xf>
    <xf numFmtId="2" fontId="95" fillId="2" borderId="0" xfId="2" applyNumberFormat="1" applyFont="1" applyFill="1" applyAlignment="1">
      <alignment horizontal="left"/>
    </xf>
    <xf numFmtId="3" fontId="95" fillId="2" borderId="0" xfId="2" applyNumberFormat="1" applyFont="1" applyFill="1" applyAlignment="1">
      <alignment horizontal="left"/>
    </xf>
    <xf numFmtId="164" fontId="95" fillId="2" borderId="0" xfId="2" applyNumberFormat="1" applyFont="1" applyFill="1" applyAlignment="1">
      <alignment horizontal="right"/>
    </xf>
    <xf numFmtId="2" fontId="95" fillId="2" borderId="0" xfId="2" applyNumberFormat="1" applyFont="1" applyFill="1" applyAlignment="1">
      <alignment horizontal="right"/>
    </xf>
    <xf numFmtId="3" fontId="95" fillId="2" borderId="0" xfId="2" applyNumberFormat="1" applyFont="1" applyFill="1" applyAlignment="1">
      <alignment horizontal="right"/>
    </xf>
    <xf numFmtId="0" fontId="97" fillId="2" borderId="0" xfId="2" applyFont="1" applyFill="1" applyAlignment="1">
      <alignment horizontal="left"/>
    </xf>
    <xf numFmtId="0" fontId="95" fillId="2" borderId="0" xfId="2" applyFont="1" applyFill="1"/>
    <xf numFmtId="0" fontId="13" fillId="2" borderId="0" xfId="0" applyFont="1" applyFill="1" applyAlignment="1">
      <alignment wrapText="1"/>
    </xf>
    <xf numFmtId="0" fontId="13" fillId="2" borderId="6" xfId="0" applyFont="1" applyFill="1" applyBorder="1"/>
    <xf numFmtId="0" fontId="95" fillId="2" borderId="0" xfId="2" applyFont="1" applyFill="1" applyAlignment="1">
      <alignment horizontal="centerContinuous"/>
    </xf>
    <xf numFmtId="0" fontId="95" fillId="2" borderId="31" xfId="2" applyFont="1" applyFill="1" applyBorder="1" applyAlignment="1">
      <alignment horizontal="left"/>
    </xf>
    <xf numFmtId="3" fontId="95" fillId="2" borderId="24" xfId="2" applyNumberFormat="1" applyFont="1" applyFill="1" applyBorder="1" applyAlignment="1">
      <alignment horizontal="centerContinuous"/>
    </xf>
    <xf numFmtId="3" fontId="95" fillId="2" borderId="6" xfId="2" applyNumberFormat="1" applyFont="1" applyFill="1" applyBorder="1" applyAlignment="1">
      <alignment horizontal="centerContinuous"/>
    </xf>
    <xf numFmtId="0" fontId="95" fillId="2" borderId="7" xfId="2" applyFont="1" applyFill="1" applyBorder="1" applyAlignment="1">
      <alignment horizontal="left"/>
    </xf>
    <xf numFmtId="3" fontId="95" fillId="2" borderId="33" xfId="2" applyNumberFormat="1" applyFont="1" applyFill="1" applyBorder="1" applyAlignment="1">
      <alignment horizontal="centerContinuous"/>
    </xf>
    <xf numFmtId="0" fontId="95" fillId="2" borderId="0" xfId="2" applyFont="1" applyFill="1" applyAlignment="1">
      <alignment horizontal="left" vertical="top" wrapText="1"/>
    </xf>
    <xf numFmtId="0" fontId="95" fillId="2" borderId="32" xfId="2" applyFont="1" applyFill="1" applyBorder="1" applyAlignment="1">
      <alignment horizontal="left" vertical="top" wrapText="1"/>
    </xf>
    <xf numFmtId="2" fontId="95" fillId="2" borderId="14" xfId="2" applyNumberFormat="1" applyFont="1" applyFill="1" applyBorder="1" applyAlignment="1">
      <alignment horizontal="left" vertical="top" wrapText="1"/>
    </xf>
    <xf numFmtId="0" fontId="95" fillId="6" borderId="0" xfId="2" applyFont="1" applyFill="1" applyAlignment="1">
      <alignment horizontal="left" vertical="top" wrapText="1"/>
    </xf>
    <xf numFmtId="0" fontId="95" fillId="2" borderId="31" xfId="2" applyFont="1" applyFill="1" applyBorder="1" applyAlignment="1">
      <alignment horizontal="left" vertical="top" wrapText="1"/>
    </xf>
    <xf numFmtId="164" fontId="95" fillId="2" borderId="0" xfId="2" applyNumberFormat="1" applyFont="1" applyFill="1" applyAlignment="1">
      <alignment horizontal="right" vertical="top" wrapText="1"/>
    </xf>
    <xf numFmtId="2" fontId="95" fillId="2" borderId="24" xfId="2" applyNumberFormat="1" applyFont="1" applyFill="1" applyBorder="1" applyAlignment="1">
      <alignment horizontal="right" vertical="top" wrapText="1"/>
    </xf>
    <xf numFmtId="3" fontId="95" fillId="2" borderId="24" xfId="2" applyNumberFormat="1" applyFont="1" applyFill="1" applyBorder="1" applyAlignment="1">
      <alignment horizontal="right" vertical="top" wrapText="1"/>
    </xf>
    <xf numFmtId="3" fontId="95" fillId="2" borderId="25" xfId="2" applyNumberFormat="1" applyFont="1" applyFill="1" applyBorder="1" applyAlignment="1">
      <alignment horizontal="right" vertical="top" wrapText="1"/>
    </xf>
    <xf numFmtId="3" fontId="95" fillId="2" borderId="0" xfId="2" applyNumberFormat="1" applyFont="1" applyFill="1" applyAlignment="1">
      <alignment horizontal="left" vertical="top" wrapText="1"/>
    </xf>
    <xf numFmtId="0" fontId="95" fillId="2" borderId="31" xfId="2" applyFont="1" applyFill="1" applyBorder="1"/>
    <xf numFmtId="3" fontId="95" fillId="2" borderId="24" xfId="50" applyNumberFormat="1" applyFont="1" applyFill="1" applyBorder="1" applyAlignment="1">
      <alignment horizontal="right"/>
    </xf>
    <xf numFmtId="3" fontId="95" fillId="2" borderId="25" xfId="50" applyNumberFormat="1" applyFont="1" applyFill="1" applyBorder="1" applyAlignment="1">
      <alignment horizontal="right"/>
    </xf>
    <xf numFmtId="2" fontId="95" fillId="2" borderId="24" xfId="2" applyNumberFormat="1" applyFont="1" applyFill="1" applyBorder="1" applyAlignment="1">
      <alignment horizontal="right"/>
    </xf>
    <xf numFmtId="164" fontId="95" fillId="2" borderId="0" xfId="2" applyNumberFormat="1" applyFont="1" applyFill="1"/>
    <xf numFmtId="3" fontId="95" fillId="2" borderId="24" xfId="50" applyNumberFormat="1" applyFont="1" applyFill="1" applyBorder="1"/>
    <xf numFmtId="3" fontId="95" fillId="2" borderId="25" xfId="50" applyNumberFormat="1" applyFont="1" applyFill="1" applyBorder="1"/>
    <xf numFmtId="3" fontId="95" fillId="2" borderId="0" xfId="2" applyNumberFormat="1" applyFont="1" applyFill="1"/>
    <xf numFmtId="165" fontId="95" fillId="2" borderId="0" xfId="2" applyNumberFormat="1" applyFont="1" applyFill="1"/>
    <xf numFmtId="2" fontId="95" fillId="6" borderId="0" xfId="2" applyNumberFormat="1" applyFont="1" applyFill="1" applyAlignment="1">
      <alignment horizontal="right"/>
    </xf>
    <xf numFmtId="164" fontId="95" fillId="6" borderId="0" xfId="2" applyNumberFormat="1" applyFont="1" applyFill="1" applyAlignment="1">
      <alignment horizontal="right"/>
    </xf>
    <xf numFmtId="0" fontId="95" fillId="2" borderId="32" xfId="2" applyFont="1" applyFill="1" applyBorder="1"/>
    <xf numFmtId="2" fontId="95" fillId="2" borderId="14" xfId="2" applyNumberFormat="1" applyFont="1" applyFill="1" applyBorder="1" applyAlignment="1">
      <alignment horizontal="right"/>
    </xf>
    <xf numFmtId="3" fontId="95" fillId="2" borderId="14" xfId="50" applyNumberFormat="1" applyFont="1" applyFill="1" applyBorder="1"/>
    <xf numFmtId="0" fontId="95" fillId="2" borderId="32" xfId="2" applyFont="1" applyFill="1" applyBorder="1" applyAlignment="1">
      <alignment horizontal="left"/>
    </xf>
    <xf numFmtId="3" fontId="95" fillId="2" borderId="14" xfId="50" applyNumberFormat="1" applyFont="1" applyFill="1" applyBorder="1" applyAlignment="1">
      <alignment horizontal="right"/>
    </xf>
    <xf numFmtId="0" fontId="99" fillId="2" borderId="0" xfId="2" applyFont="1" applyFill="1"/>
    <xf numFmtId="2" fontId="95" fillId="2" borderId="0" xfId="2" applyNumberFormat="1" applyFont="1" applyFill="1"/>
    <xf numFmtId="0" fontId="95" fillId="2" borderId="0" xfId="2" applyFont="1" applyFill="1" applyAlignment="1">
      <alignment vertical="top"/>
    </xf>
    <xf numFmtId="164" fontId="95" fillId="2" borderId="0" xfId="2" applyNumberFormat="1" applyFont="1" applyFill="1" applyAlignment="1">
      <alignment horizontal="left" vertical="top" wrapText="1"/>
    </xf>
    <xf numFmtId="2" fontId="95" fillId="2" borderId="0" xfId="2" applyNumberFormat="1" applyFont="1" applyFill="1" applyAlignment="1">
      <alignment horizontal="left" vertical="top" wrapText="1"/>
    </xf>
    <xf numFmtId="0" fontId="100" fillId="2" borderId="0" xfId="2" quotePrefix="1" applyFont="1" applyFill="1" applyAlignment="1">
      <alignment horizontal="right" vertical="top"/>
    </xf>
    <xf numFmtId="0" fontId="82" fillId="2" borderId="0" xfId="0" applyFont="1" applyFill="1"/>
    <xf numFmtId="0" fontId="91" fillId="2" borderId="0" xfId="0" applyFont="1" applyFill="1"/>
    <xf numFmtId="179" fontId="13" fillId="2" borderId="0" xfId="0" applyNumberFormat="1" applyFont="1" applyFill="1"/>
    <xf numFmtId="0" fontId="87" fillId="2" borderId="0" xfId="0" applyFont="1" applyFill="1"/>
    <xf numFmtId="0" fontId="98" fillId="2" borderId="0" xfId="89" applyFont="1" applyFill="1" applyAlignment="1" applyProtection="1"/>
    <xf numFmtId="6" fontId="13" fillId="2" borderId="0" xfId="359" applyNumberFormat="1" applyFont="1" applyFill="1" applyBorder="1" applyAlignment="1">
      <alignment vertical="center"/>
    </xf>
    <xf numFmtId="0" fontId="13" fillId="2" borderId="0" xfId="0" quotePrefix="1" applyFont="1" applyFill="1" applyAlignment="1">
      <alignment horizontal="left" vertical="center" wrapText="1"/>
    </xf>
    <xf numFmtId="6" fontId="13" fillId="2" borderId="0" xfId="0" applyNumberFormat="1" applyFont="1" applyFill="1"/>
    <xf numFmtId="8" fontId="13" fillId="2" borderId="0" xfId="0" applyNumberFormat="1" applyFont="1" applyFill="1"/>
    <xf numFmtId="0" fontId="86" fillId="2" borderId="0" xfId="0" applyFont="1" applyFill="1" applyAlignment="1">
      <alignment vertical="center" wrapText="1"/>
    </xf>
    <xf numFmtId="0" fontId="15" fillId="2" borderId="0" xfId="0" applyFont="1" applyFill="1" applyAlignment="1">
      <alignment horizontal="left" vertical="center" wrapText="1"/>
    </xf>
    <xf numFmtId="0" fontId="13" fillId="2" borderId="6" xfId="0" applyFont="1" applyFill="1" applyBorder="1" applyAlignment="1">
      <alignment horizontal="left" vertical="center"/>
    </xf>
    <xf numFmtId="0" fontId="13" fillId="2" borderId="25" xfId="0" applyFont="1" applyFill="1" applyBorder="1" applyAlignment="1">
      <alignment horizontal="left" vertical="center"/>
    </xf>
    <xf numFmtId="0" fontId="13" fillId="2" borderId="0" xfId="0" applyFont="1" applyFill="1" applyAlignment="1">
      <alignment horizontal="left" wrapText="1"/>
    </xf>
    <xf numFmtId="0" fontId="13" fillId="2" borderId="36" xfId="0" applyFont="1" applyFill="1" applyBorder="1" applyAlignment="1">
      <alignment horizontal="left" vertical="center"/>
    </xf>
    <xf numFmtId="0" fontId="13" fillId="2" borderId="0" xfId="0" applyFont="1" applyFill="1" applyAlignment="1">
      <alignment horizontal="left" vertical="center"/>
    </xf>
    <xf numFmtId="10" fontId="13" fillId="2" borderId="0" xfId="361" applyNumberFormat="1" applyFont="1" applyFill="1" applyBorder="1" applyAlignment="1">
      <alignment vertical="center"/>
    </xf>
    <xf numFmtId="3" fontId="13" fillId="2" borderId="0" xfId="0" applyNumberFormat="1" applyFont="1" applyFill="1" applyAlignment="1">
      <alignment vertical="center"/>
    </xf>
    <xf numFmtId="0" fontId="13" fillId="2" borderId="0" xfId="0" applyFont="1" applyFill="1" applyAlignment="1">
      <alignment horizontal="center" wrapText="1"/>
    </xf>
    <xf numFmtId="3" fontId="13" fillId="2" borderId="6" xfId="0" applyNumberFormat="1" applyFont="1" applyFill="1" applyBorder="1"/>
    <xf numFmtId="0" fontId="13" fillId="2" borderId="37" xfId="0" applyFont="1" applyFill="1" applyBorder="1"/>
    <xf numFmtId="43" fontId="13" fillId="2" borderId="39" xfId="360" applyFont="1" applyFill="1" applyBorder="1"/>
    <xf numFmtId="3" fontId="13" fillId="2" borderId="39" xfId="0" applyNumberFormat="1" applyFont="1" applyFill="1" applyBorder="1"/>
    <xf numFmtId="182" fontId="13" fillId="2" borderId="6" xfId="360" applyNumberFormat="1" applyFont="1" applyFill="1" applyBorder="1" applyAlignment="1">
      <alignment horizontal="left" vertical="top" wrapText="1"/>
    </xf>
    <xf numFmtId="43" fontId="13" fillId="2" borderId="6" xfId="360" applyFont="1" applyFill="1" applyBorder="1" applyAlignment="1">
      <alignment horizontal="left" vertical="top" wrapText="1"/>
    </xf>
    <xf numFmtId="183" fontId="13" fillId="2" borderId="6" xfId="361" applyNumberFormat="1" applyFont="1" applyFill="1" applyBorder="1"/>
    <xf numFmtId="6" fontId="13" fillId="2" borderId="6" xfId="0" applyNumberFormat="1" applyFont="1" applyFill="1" applyBorder="1"/>
    <xf numFmtId="43" fontId="13" fillId="2" borderId="6" xfId="360" applyFont="1" applyFill="1" applyBorder="1"/>
    <xf numFmtId="0" fontId="13" fillId="2" borderId="37" xfId="0" applyFont="1" applyFill="1" applyBorder="1" applyAlignment="1">
      <alignment horizontal="left" vertical="top"/>
    </xf>
    <xf numFmtId="182" fontId="13" fillId="2" borderId="38" xfId="360" applyNumberFormat="1" applyFont="1" applyFill="1" applyBorder="1" applyAlignment="1">
      <alignment horizontal="left" vertical="top" wrapText="1"/>
    </xf>
    <xf numFmtId="0" fontId="13" fillId="59" borderId="38" xfId="0" applyFont="1" applyFill="1" applyBorder="1" applyAlignment="1">
      <alignment horizontal="left" vertical="top" wrapText="1"/>
    </xf>
    <xf numFmtId="6" fontId="13" fillId="59" borderId="38" xfId="0" applyNumberFormat="1" applyFont="1" applyFill="1" applyBorder="1"/>
    <xf numFmtId="0" fontId="13" fillId="59" borderId="38" xfId="0" applyFont="1" applyFill="1" applyBorder="1"/>
    <xf numFmtId="180" fontId="13" fillId="2" borderId="0" xfId="0" applyNumberFormat="1" applyFont="1" applyFill="1"/>
    <xf numFmtId="2" fontId="13" fillId="2" borderId="0" xfId="0" applyNumberFormat="1" applyFont="1" applyFill="1" applyAlignment="1">
      <alignment vertical="center"/>
    </xf>
    <xf numFmtId="0" fontId="13" fillId="2" borderId="0" xfId="0" quotePrefix="1" applyFont="1" applyFill="1" applyAlignment="1">
      <alignment horizontal="left" vertical="top" wrapText="1"/>
    </xf>
    <xf numFmtId="181" fontId="13" fillId="2" borderId="0" xfId="0" applyNumberFormat="1" applyFont="1" applyFill="1"/>
    <xf numFmtId="0" fontId="13" fillId="2" borderId="0" xfId="0" quotePrefix="1" applyFont="1" applyFill="1"/>
    <xf numFmtId="2" fontId="13" fillId="2" borderId="0" xfId="0" applyNumberFormat="1" applyFont="1" applyFill="1" applyAlignment="1">
      <alignment horizontal="left" vertical="top" wrapText="1"/>
    </xf>
    <xf numFmtId="6" fontId="13" fillId="2" borderId="0" xfId="0" applyNumberFormat="1" applyFont="1" applyFill="1" applyAlignment="1">
      <alignment horizontal="left" vertical="top" wrapText="1"/>
    </xf>
    <xf numFmtId="0" fontId="13" fillId="2" borderId="40" xfId="0" applyFont="1" applyFill="1" applyBorder="1" applyAlignment="1">
      <alignment horizontal="left" vertical="top"/>
    </xf>
    <xf numFmtId="6" fontId="13" fillId="2" borderId="40" xfId="0" applyNumberFormat="1" applyFont="1" applyFill="1" applyBorder="1" applyAlignment="1">
      <alignment horizontal="left" vertical="top" wrapText="1"/>
    </xf>
    <xf numFmtId="0" fontId="13" fillId="2" borderId="36" xfId="0" applyFont="1" applyFill="1" applyBorder="1" applyAlignment="1">
      <alignment horizontal="left" vertical="top"/>
    </xf>
    <xf numFmtId="6" fontId="13" fillId="2" borderId="36" xfId="0" applyNumberFormat="1" applyFont="1" applyFill="1" applyBorder="1" applyAlignment="1">
      <alignment horizontal="left" vertical="top" wrapText="1"/>
    </xf>
    <xf numFmtId="8" fontId="13" fillId="2" borderId="0" xfId="0" applyNumberFormat="1" applyFont="1" applyFill="1" applyAlignment="1">
      <alignment horizontal="left" vertical="top" wrapText="1"/>
    </xf>
    <xf numFmtId="0" fontId="13" fillId="2" borderId="41" xfId="0" applyFont="1" applyFill="1" applyBorder="1" applyAlignment="1">
      <alignment horizontal="right" vertical="center"/>
    </xf>
    <xf numFmtId="0" fontId="13" fillId="2" borderId="41" xfId="0" applyFont="1" applyFill="1" applyBorder="1" applyAlignment="1">
      <alignment vertical="center"/>
    </xf>
    <xf numFmtId="0" fontId="13" fillId="2" borderId="41" xfId="0" applyFont="1" applyFill="1" applyBorder="1" applyAlignment="1">
      <alignment vertical="center" wrapText="1"/>
    </xf>
    <xf numFmtId="44" fontId="13" fillId="2" borderId="0" xfId="359" applyFont="1" applyFill="1" applyAlignment="1">
      <alignment vertical="center"/>
    </xf>
    <xf numFmtId="0" fontId="15" fillId="3" borderId="6" xfId="0" applyFont="1" applyFill="1" applyBorder="1"/>
    <xf numFmtId="0" fontId="15" fillId="2" borderId="0" xfId="0" applyFont="1" applyFill="1"/>
    <xf numFmtId="0" fontId="86" fillId="3" borderId="7" xfId="0" applyFont="1" applyFill="1" applyBorder="1"/>
    <xf numFmtId="182" fontId="13" fillId="2" borderId="0" xfId="360" applyNumberFormat="1" applyFont="1" applyFill="1" applyAlignment="1">
      <alignment vertical="top"/>
    </xf>
    <xf numFmtId="8" fontId="82" fillId="2" borderId="0" xfId="70" applyNumberFormat="1" applyFont="1" applyFill="1" applyAlignment="1">
      <alignment horizontal="left" vertical="top" wrapText="1"/>
    </xf>
    <xf numFmtId="0" fontId="98" fillId="2" borderId="0" xfId="89" applyFont="1" applyFill="1" applyAlignment="1" applyProtection="1">
      <alignment horizontal="center" vertical="center" wrapText="1"/>
    </xf>
    <xf numFmtId="2" fontId="13" fillId="2" borderId="0" xfId="0" applyNumberFormat="1" applyFont="1" applyFill="1" applyAlignment="1">
      <alignment vertical="top"/>
    </xf>
    <xf numFmtId="44" fontId="13" fillId="2" borderId="0" xfId="359" applyFont="1" applyFill="1" applyAlignment="1">
      <alignment vertical="top"/>
    </xf>
    <xf numFmtId="0" fontId="86" fillId="3" borderId="6" xfId="0" applyFont="1" applyFill="1" applyBorder="1"/>
    <xf numFmtId="2" fontId="13" fillId="2" borderId="41" xfId="0" applyNumberFormat="1" applyFont="1" applyFill="1" applyBorder="1" applyAlignment="1">
      <alignment vertical="center"/>
    </xf>
    <xf numFmtId="44" fontId="13" fillId="2" borderId="41" xfId="359" applyFont="1" applyFill="1" applyBorder="1" applyAlignment="1">
      <alignment vertical="center"/>
    </xf>
    <xf numFmtId="0" fontId="86" fillId="3" borderId="6" xfId="0" applyFont="1" applyFill="1" applyBorder="1" applyAlignment="1">
      <alignment vertical="center"/>
    </xf>
    <xf numFmtId="0" fontId="86" fillId="3" borderId="6" xfId="0" applyFont="1" applyFill="1" applyBorder="1" applyAlignment="1">
      <alignment vertical="center" wrapText="1"/>
    </xf>
    <xf numFmtId="182" fontId="13" fillId="2" borderId="0" xfId="360" applyNumberFormat="1" applyFont="1" applyFill="1" applyBorder="1" applyAlignment="1">
      <alignment vertical="top"/>
    </xf>
    <xf numFmtId="8" fontId="82" fillId="2" borderId="0" xfId="70" applyNumberFormat="1" applyFont="1" applyFill="1" applyBorder="1" applyAlignment="1">
      <alignment horizontal="left" vertical="top" wrapText="1"/>
    </xf>
    <xf numFmtId="0" fontId="98" fillId="2" borderId="0" xfId="89" applyFont="1" applyFill="1" applyBorder="1" applyAlignment="1" applyProtection="1">
      <alignment horizontal="center" vertical="center" wrapText="1"/>
    </xf>
    <xf numFmtId="44" fontId="13" fillId="2" borderId="0" xfId="359" applyFont="1" applyFill="1" applyBorder="1" applyAlignment="1">
      <alignment vertical="top"/>
    </xf>
    <xf numFmtId="180" fontId="13" fillId="2" borderId="6" xfId="0" applyNumberFormat="1" applyFont="1" applyFill="1" applyBorder="1"/>
    <xf numFmtId="8" fontId="13" fillId="2" borderId="0" xfId="0" applyNumberFormat="1" applyFont="1" applyFill="1" applyAlignment="1">
      <alignment vertical="center"/>
    </xf>
    <xf numFmtId="0" fontId="104" fillId="8" borderId="56" xfId="2" applyFont="1" applyFill="1" applyBorder="1"/>
    <xf numFmtId="0" fontId="104" fillId="8" borderId="57" xfId="2" applyFont="1" applyFill="1" applyBorder="1"/>
    <xf numFmtId="0" fontId="104" fillId="8" borderId="57" xfId="2" applyFont="1" applyFill="1" applyBorder="1" applyAlignment="1">
      <alignment horizontal="center" vertical="center" wrapText="1"/>
    </xf>
    <xf numFmtId="0" fontId="104" fillId="8" borderId="57" xfId="2" applyFont="1" applyFill="1" applyBorder="1" applyAlignment="1">
      <alignment horizontal="center"/>
    </xf>
    <xf numFmtId="0" fontId="104" fillId="8" borderId="58" xfId="2" applyFont="1" applyFill="1" applyBorder="1" applyAlignment="1">
      <alignment horizontal="center"/>
    </xf>
    <xf numFmtId="0" fontId="104" fillId="64" borderId="59" xfId="2" applyFont="1" applyFill="1" applyBorder="1"/>
    <xf numFmtId="0" fontId="104" fillId="64" borderId="60" xfId="2" applyFont="1" applyFill="1" applyBorder="1"/>
    <xf numFmtId="0" fontId="105" fillId="64" borderId="60" xfId="248" applyNumberFormat="1" applyFont="1" applyFill="1" applyBorder="1" applyAlignment="1">
      <alignment horizontal="center"/>
    </xf>
    <xf numFmtId="3" fontId="104" fillId="64" borderId="60" xfId="2" applyNumberFormat="1" applyFont="1" applyFill="1" applyBorder="1"/>
    <xf numFmtId="3" fontId="104" fillId="64" borderId="61" xfId="2" applyNumberFormat="1" applyFont="1" applyFill="1" applyBorder="1"/>
    <xf numFmtId="0" fontId="105" fillId="64" borderId="62" xfId="2" applyFont="1" applyFill="1" applyBorder="1"/>
    <xf numFmtId="0" fontId="104" fillId="64" borderId="63" xfId="2" applyFont="1" applyFill="1" applyBorder="1"/>
    <xf numFmtId="0" fontId="105" fillId="64" borderId="63" xfId="248" applyNumberFormat="1" applyFont="1" applyFill="1" applyBorder="1" applyAlignment="1">
      <alignment horizontal="center"/>
    </xf>
    <xf numFmtId="3" fontId="104" fillId="64" borderId="63" xfId="2" applyNumberFormat="1" applyFont="1" applyFill="1" applyBorder="1"/>
    <xf numFmtId="3" fontId="104" fillId="64" borderId="64" xfId="2" applyNumberFormat="1" applyFont="1" applyFill="1" applyBorder="1"/>
    <xf numFmtId="0" fontId="104" fillId="64" borderId="63" xfId="2" applyFont="1" applyFill="1" applyBorder="1" applyAlignment="1">
      <alignment horizontal="left"/>
    </xf>
    <xf numFmtId="3" fontId="104" fillId="64" borderId="65" xfId="2" applyNumberFormat="1" applyFont="1" applyFill="1" applyBorder="1"/>
    <xf numFmtId="3" fontId="104" fillId="64" borderId="66" xfId="2" applyNumberFormat="1" applyFont="1" applyFill="1" applyBorder="1"/>
    <xf numFmtId="3" fontId="104" fillId="64" borderId="67" xfId="2" applyNumberFormat="1" applyFont="1" applyFill="1" applyBorder="1"/>
    <xf numFmtId="0" fontId="105" fillId="65" borderId="62" xfId="2" applyFont="1" applyFill="1" applyBorder="1"/>
    <xf numFmtId="0" fontId="104" fillId="65" borderId="63" xfId="2" applyFont="1" applyFill="1" applyBorder="1" applyAlignment="1">
      <alignment horizontal="left"/>
    </xf>
    <xf numFmtId="0" fontId="105" fillId="65" borderId="63" xfId="248" applyNumberFormat="1" applyFont="1" applyFill="1" applyBorder="1" applyAlignment="1">
      <alignment horizontal="center"/>
    </xf>
    <xf numFmtId="3" fontId="104" fillId="65" borderId="63" xfId="2" applyNumberFormat="1" applyFont="1" applyFill="1" applyBorder="1"/>
    <xf numFmtId="3" fontId="104" fillId="65" borderId="64" xfId="2" applyNumberFormat="1" applyFont="1" applyFill="1" applyBorder="1"/>
    <xf numFmtId="3" fontId="104" fillId="65" borderId="65" xfId="2" applyNumberFormat="1" applyFont="1" applyFill="1" applyBorder="1"/>
    <xf numFmtId="3" fontId="104" fillId="65" borderId="66" xfId="2" applyNumberFormat="1" applyFont="1" applyFill="1" applyBorder="1"/>
    <xf numFmtId="3" fontId="104" fillId="65" borderId="67" xfId="2" applyNumberFormat="1" applyFont="1" applyFill="1" applyBorder="1"/>
    <xf numFmtId="0" fontId="105" fillId="0" borderId="62" xfId="2" applyFont="1" applyBorder="1"/>
    <xf numFmtId="0" fontId="104" fillId="0" borderId="63" xfId="2" applyFont="1" applyBorder="1" applyAlignment="1">
      <alignment horizontal="left"/>
    </xf>
    <xf numFmtId="0" fontId="105" fillId="0" borderId="63" xfId="248" applyNumberFormat="1" applyFont="1" applyFill="1" applyBorder="1" applyAlignment="1">
      <alignment horizontal="center"/>
    </xf>
    <xf numFmtId="3" fontId="104" fillId="0" borderId="63" xfId="2" applyNumberFormat="1" applyFont="1" applyBorder="1"/>
    <xf numFmtId="3" fontId="104" fillId="0" borderId="64" xfId="2" applyNumberFormat="1" applyFont="1" applyBorder="1"/>
    <xf numFmtId="0" fontId="105" fillId="0" borderId="62" xfId="2" applyFont="1" applyBorder="1" applyAlignment="1">
      <alignment horizontal="right"/>
    </xf>
    <xf numFmtId="0" fontId="105" fillId="64" borderId="62" xfId="2" applyFont="1" applyFill="1" applyBorder="1" applyAlignment="1">
      <alignment horizontal="right"/>
    </xf>
    <xf numFmtId="0" fontId="105" fillId="64" borderId="63" xfId="2" applyFont="1" applyFill="1" applyBorder="1" applyAlignment="1">
      <alignment vertical="center"/>
    </xf>
    <xf numFmtId="0" fontId="105" fillId="0" borderId="68" xfId="2" applyFont="1" applyBorder="1"/>
    <xf numFmtId="0" fontId="104" fillId="0" borderId="69" xfId="2" applyFont="1" applyBorder="1" applyAlignment="1">
      <alignment horizontal="left"/>
    </xf>
    <xf numFmtId="0" fontId="105" fillId="0" borderId="69" xfId="248" applyNumberFormat="1" applyFont="1" applyFill="1" applyBorder="1" applyAlignment="1">
      <alignment horizontal="center"/>
    </xf>
    <xf numFmtId="3" fontId="104" fillId="0" borderId="69" xfId="2" applyNumberFormat="1" applyFont="1" applyBorder="1"/>
    <xf numFmtId="3" fontId="104" fillId="0" borderId="70" xfId="2" applyNumberFormat="1" applyFont="1" applyBorder="1"/>
    <xf numFmtId="186" fontId="104" fillId="66" borderId="72" xfId="2" applyNumberFormat="1" applyFont="1" applyFill="1" applyBorder="1"/>
    <xf numFmtId="186" fontId="104" fillId="66" borderId="73" xfId="2" applyNumberFormat="1" applyFont="1" applyFill="1" applyBorder="1"/>
    <xf numFmtId="0" fontId="0" fillId="2" borderId="0" xfId="0" quotePrefix="1" applyFill="1"/>
    <xf numFmtId="0" fontId="13" fillId="2" borderId="81" xfId="0" applyFont="1" applyFill="1" applyBorder="1" applyAlignment="1">
      <alignment horizontal="left" vertical="top"/>
    </xf>
    <xf numFmtId="6" fontId="13" fillId="2" borderId="6" xfId="0" applyNumberFormat="1" applyFont="1" applyFill="1" applyBorder="1" applyAlignment="1">
      <alignment horizontal="left" vertical="top" wrapText="1"/>
    </xf>
    <xf numFmtId="2" fontId="13" fillId="2" borderId="24" xfId="2" applyNumberFormat="1" applyFont="1" applyFill="1" applyBorder="1" applyAlignment="1">
      <alignment horizontal="right" vertical="top" wrapText="1"/>
    </xf>
    <xf numFmtId="0" fontId="91" fillId="2" borderId="0" xfId="0" applyFont="1" applyFill="1" applyAlignment="1">
      <alignment vertical="top"/>
    </xf>
    <xf numFmtId="179" fontId="13" fillId="2" borderId="0" xfId="0" applyNumberFormat="1" applyFont="1" applyFill="1" applyAlignment="1">
      <alignment vertical="top"/>
    </xf>
    <xf numFmtId="0" fontId="13" fillId="2" borderId="34" xfId="0" applyFont="1" applyFill="1" applyBorder="1" applyAlignment="1">
      <alignment vertical="top"/>
    </xf>
    <xf numFmtId="1" fontId="13" fillId="2" borderId="0" xfId="0" applyNumberFormat="1" applyFont="1" applyFill="1" applyAlignment="1">
      <alignment vertical="top"/>
    </xf>
    <xf numFmtId="0" fontId="98" fillId="0" borderId="0" xfId="89" applyFont="1" applyAlignment="1" applyProtection="1">
      <alignment vertical="top"/>
    </xf>
    <xf numFmtId="0" fontId="98" fillId="0" borderId="0" xfId="89" applyFont="1" applyFill="1" applyBorder="1" applyAlignment="1" applyProtection="1">
      <alignment vertical="top"/>
    </xf>
    <xf numFmtId="0" fontId="13" fillId="0" borderId="0" xfId="0" applyFont="1" applyAlignment="1">
      <alignment horizontal="left" vertical="top" wrapText="1"/>
    </xf>
    <xf numFmtId="0" fontId="13" fillId="2" borderId="36" xfId="0" applyFont="1" applyFill="1" applyBorder="1" applyAlignment="1">
      <alignment vertical="top"/>
    </xf>
    <xf numFmtId="0" fontId="86" fillId="2" borderId="31" xfId="0" applyFont="1" applyFill="1" applyBorder="1" applyAlignment="1">
      <alignment horizontal="centerContinuous" vertical="top"/>
    </xf>
    <xf numFmtId="0" fontId="13" fillId="2" borderId="6" xfId="0" applyFont="1" applyFill="1" applyBorder="1" applyAlignment="1">
      <alignment vertical="top"/>
    </xf>
    <xf numFmtId="0" fontId="13" fillId="2" borderId="6" xfId="0" applyFont="1" applyFill="1" applyBorder="1" applyAlignment="1">
      <alignment vertical="top" wrapText="1"/>
    </xf>
    <xf numFmtId="0" fontId="15" fillId="2" borderId="0" xfId="0" applyFont="1" applyFill="1" applyAlignment="1">
      <alignment vertical="top"/>
    </xf>
    <xf numFmtId="0" fontId="84" fillId="2" borderId="0" xfId="0" applyFont="1" applyFill="1" applyAlignment="1">
      <alignment vertical="top"/>
    </xf>
    <xf numFmtId="0" fontId="13" fillId="2" borderId="0" xfId="0" applyFont="1" applyFill="1" applyAlignment="1">
      <alignment horizontal="right" vertical="top"/>
    </xf>
    <xf numFmtId="3" fontId="13" fillId="2" borderId="0" xfId="0" applyNumberFormat="1" applyFont="1" applyFill="1" applyAlignment="1">
      <alignment vertical="top"/>
    </xf>
    <xf numFmtId="0" fontId="13" fillId="2" borderId="6" xfId="0" applyFont="1" applyFill="1" applyBorder="1" applyAlignment="1">
      <alignment horizontal="center" vertical="top"/>
    </xf>
    <xf numFmtId="181" fontId="13" fillId="2" borderId="0" xfId="0" applyNumberFormat="1" applyFont="1" applyFill="1" applyAlignment="1">
      <alignment vertical="top"/>
    </xf>
    <xf numFmtId="0" fontId="86" fillId="3" borderId="6" xfId="0" applyFont="1" applyFill="1" applyBorder="1" applyAlignment="1">
      <alignment vertical="top" wrapText="1"/>
    </xf>
    <xf numFmtId="44" fontId="13" fillId="2" borderId="0" xfId="359" applyFont="1" applyFill="1" applyBorder="1" applyAlignment="1">
      <alignment horizontal="center" vertical="top"/>
    </xf>
    <xf numFmtId="9" fontId="13" fillId="2" borderId="0" xfId="0" applyNumberFormat="1" applyFont="1" applyFill="1" applyAlignment="1">
      <alignment horizontal="center" vertical="top"/>
    </xf>
    <xf numFmtId="180" fontId="13" fillId="2" borderId="0" xfId="0" applyNumberFormat="1" applyFont="1" applyFill="1" applyAlignment="1">
      <alignment horizontal="center" vertical="top"/>
    </xf>
    <xf numFmtId="0" fontId="91" fillId="2" borderId="0" xfId="0" applyFont="1" applyFill="1" applyAlignment="1">
      <alignment vertical="top" wrapText="1"/>
    </xf>
    <xf numFmtId="0" fontId="82" fillId="2" borderId="6" xfId="0" applyFont="1" applyFill="1" applyBorder="1" applyAlignment="1">
      <alignment vertical="top"/>
    </xf>
    <xf numFmtId="180" fontId="13" fillId="2" borderId="6" xfId="0" applyNumberFormat="1" applyFont="1" applyFill="1" applyBorder="1" applyAlignment="1">
      <alignment vertical="top"/>
    </xf>
    <xf numFmtId="1" fontId="13" fillId="2" borderId="6" xfId="0" quotePrefix="1" applyNumberFormat="1" applyFont="1" applyFill="1" applyBorder="1" applyAlignment="1">
      <alignment vertical="top"/>
    </xf>
    <xf numFmtId="0" fontId="13" fillId="2" borderId="6" xfId="0" quotePrefix="1" applyFont="1" applyFill="1" applyBorder="1" applyAlignment="1">
      <alignment vertical="top"/>
    </xf>
    <xf numFmtId="0" fontId="13" fillId="0" borderId="6" xfId="0" applyFont="1" applyBorder="1" applyAlignment="1">
      <alignment vertical="top"/>
    </xf>
    <xf numFmtId="44" fontId="13" fillId="2" borderId="6" xfId="0" applyNumberFormat="1" applyFont="1" applyFill="1" applyBorder="1" applyAlignment="1">
      <alignment vertical="top"/>
    </xf>
    <xf numFmtId="0" fontId="86" fillId="3" borderId="6" xfId="0" applyFont="1" applyFill="1" applyBorder="1" applyAlignment="1">
      <alignment vertical="top"/>
    </xf>
    <xf numFmtId="0" fontId="15" fillId="3" borderId="6" xfId="0" applyFont="1" applyFill="1" applyBorder="1" applyAlignment="1">
      <alignment vertical="top"/>
    </xf>
    <xf numFmtId="0" fontId="15" fillId="3" borderId="6" xfId="0" applyFont="1" applyFill="1" applyBorder="1" applyAlignment="1">
      <alignment vertical="top" wrapText="1"/>
    </xf>
    <xf numFmtId="0" fontId="82" fillId="2" borderId="34" xfId="0" applyFont="1" applyFill="1" applyBorder="1" applyAlignment="1">
      <alignment vertical="top"/>
    </xf>
    <xf numFmtId="180" fontId="13" fillId="2" borderId="34" xfId="0" applyNumberFormat="1" applyFont="1" applyFill="1" applyBorder="1" applyAlignment="1">
      <alignment vertical="top"/>
    </xf>
    <xf numFmtId="182" fontId="13" fillId="2" borderId="0" xfId="360" applyNumberFormat="1" applyFont="1" applyFill="1" applyAlignment="1">
      <alignment horizontal="left" vertical="top" wrapText="1"/>
    </xf>
    <xf numFmtId="182" fontId="13" fillId="2" borderId="0" xfId="360" applyNumberFormat="1" applyFont="1" applyFill="1" applyAlignment="1">
      <alignment horizontal="left" vertical="top"/>
    </xf>
    <xf numFmtId="0" fontId="84" fillId="3" borderId="0" xfId="0" applyFont="1" applyFill="1" applyAlignment="1">
      <alignment vertical="top"/>
    </xf>
    <xf numFmtId="0" fontId="13" fillId="2" borderId="0" xfId="0" applyFont="1" applyFill="1" applyAlignment="1">
      <alignment horizontal="center" vertical="top" wrapText="1"/>
    </xf>
    <xf numFmtId="0" fontId="82" fillId="2" borderId="6" xfId="0" applyFont="1" applyFill="1" applyBorder="1" applyAlignment="1">
      <alignment vertical="top" wrapText="1"/>
    </xf>
    <xf numFmtId="6" fontId="13" fillId="3" borderId="7" xfId="0" applyNumberFormat="1" applyFont="1" applyFill="1" applyBorder="1" applyAlignment="1">
      <alignment vertical="top"/>
    </xf>
    <xf numFmtId="0" fontId="13" fillId="3" borderId="34" xfId="0" applyFont="1" applyFill="1" applyBorder="1" applyAlignment="1">
      <alignment vertical="top"/>
    </xf>
    <xf numFmtId="0" fontId="13" fillId="3" borderId="33" xfId="0" applyFont="1" applyFill="1" applyBorder="1" applyAlignment="1">
      <alignment vertical="top"/>
    </xf>
    <xf numFmtId="0" fontId="13" fillId="3" borderId="31" xfId="0" applyFont="1" applyFill="1" applyBorder="1" applyAlignment="1">
      <alignment vertical="top"/>
    </xf>
    <xf numFmtId="0" fontId="13" fillId="3" borderId="24" xfId="0" applyFont="1" applyFill="1" applyBorder="1" applyAlignment="1">
      <alignment vertical="top"/>
    </xf>
    <xf numFmtId="0" fontId="13" fillId="3" borderId="32" xfId="0" applyFont="1" applyFill="1" applyBorder="1" applyAlignment="1">
      <alignment vertical="top"/>
    </xf>
    <xf numFmtId="0" fontId="13" fillId="3" borderId="14" xfId="0" applyFont="1" applyFill="1" applyBorder="1" applyAlignment="1">
      <alignment vertical="top"/>
    </xf>
    <xf numFmtId="180" fontId="13" fillId="2" borderId="36" xfId="0" applyNumberFormat="1" applyFont="1" applyFill="1" applyBorder="1" applyAlignment="1">
      <alignment vertical="top"/>
    </xf>
    <xf numFmtId="0" fontId="98" fillId="2" borderId="0" xfId="89" applyFont="1" applyFill="1" applyAlignment="1" applyProtection="1">
      <alignment vertical="top"/>
    </xf>
    <xf numFmtId="6" fontId="13" fillId="2" borderId="0" xfId="0" applyNumberFormat="1" applyFont="1" applyFill="1" applyAlignment="1">
      <alignment horizontal="left" vertical="top"/>
    </xf>
    <xf numFmtId="0" fontId="88" fillId="0" borderId="0" xfId="0" applyFont="1" applyAlignment="1">
      <alignment vertical="top"/>
    </xf>
    <xf numFmtId="0" fontId="15" fillId="6" borderId="0" xfId="0" applyFont="1" applyFill="1" applyAlignment="1">
      <alignment vertical="top"/>
    </xf>
    <xf numFmtId="2" fontId="13" fillId="2" borderId="0" xfId="0" applyNumberFormat="1" applyFont="1" applyFill="1" applyAlignment="1">
      <alignment horizontal="left" vertical="top"/>
    </xf>
    <xf numFmtId="44" fontId="13" fillId="2" borderId="32" xfId="359" applyFont="1" applyFill="1" applyBorder="1" applyAlignment="1">
      <alignment vertical="top"/>
    </xf>
    <xf numFmtId="0" fontId="13" fillId="2" borderId="41" xfId="0" applyFont="1" applyFill="1" applyBorder="1" applyAlignment="1">
      <alignment horizontal="left" vertical="center"/>
    </xf>
    <xf numFmtId="0" fontId="13" fillId="2" borderId="41" xfId="0" applyFont="1" applyFill="1" applyBorder="1" applyAlignment="1">
      <alignment horizontal="left" vertical="center" wrapText="1"/>
    </xf>
    <xf numFmtId="1" fontId="13" fillId="2" borderId="6" xfId="0" applyNumberFormat="1" applyFont="1" applyFill="1" applyBorder="1"/>
    <xf numFmtId="0" fontId="105" fillId="0" borderId="63" xfId="248" applyNumberFormat="1" applyFont="1" applyBorder="1" applyAlignment="1">
      <alignment horizontal="center"/>
    </xf>
    <xf numFmtId="0" fontId="105" fillId="0" borderId="69" xfId="248" applyNumberFormat="1" applyFont="1" applyBorder="1" applyAlignment="1">
      <alignment horizontal="center"/>
    </xf>
    <xf numFmtId="0" fontId="113" fillId="2" borderId="0" xfId="0" applyFont="1" applyFill="1" applyAlignment="1">
      <alignment vertical="top"/>
    </xf>
    <xf numFmtId="0" fontId="113" fillId="2" borderId="0" xfId="0" applyFont="1" applyFill="1"/>
    <xf numFmtId="0" fontId="18" fillId="2" borderId="0" xfId="89" applyFill="1" applyAlignment="1" applyProtection="1"/>
    <xf numFmtId="179" fontId="13" fillId="2" borderId="31" xfId="0" applyNumberFormat="1" applyFont="1" applyFill="1" applyBorder="1" applyAlignment="1">
      <alignment vertical="top"/>
    </xf>
    <xf numFmtId="0" fontId="86" fillId="2" borderId="31" xfId="0" applyFont="1" applyFill="1" applyBorder="1" applyAlignment="1">
      <alignment vertical="top"/>
    </xf>
    <xf numFmtId="0" fontId="86" fillId="2" borderId="0" xfId="0" applyFont="1" applyFill="1" applyAlignment="1">
      <alignment vertical="top"/>
    </xf>
    <xf numFmtId="179" fontId="13" fillId="2" borderId="6" xfId="0" applyNumberFormat="1" applyFont="1" applyFill="1" applyBorder="1" applyAlignment="1">
      <alignment vertical="top" wrapText="1"/>
    </xf>
    <xf numFmtId="0" fontId="13" fillId="2" borderId="25" xfId="0" applyFont="1" applyFill="1" applyBorder="1"/>
    <xf numFmtId="0" fontId="13" fillId="2" borderId="36" xfId="0" applyFont="1" applyFill="1" applyBorder="1"/>
    <xf numFmtId="0" fontId="13" fillId="2" borderId="0" xfId="359" applyNumberFormat="1" applyFont="1" applyFill="1" applyBorder="1" applyAlignment="1">
      <alignment vertical="top"/>
    </xf>
    <xf numFmtId="0" fontId="13" fillId="2" borderId="25" xfId="0" applyFont="1" applyFill="1" applyBorder="1" applyAlignment="1">
      <alignment vertical="top"/>
    </xf>
    <xf numFmtId="179" fontId="13" fillId="2" borderId="25" xfId="0" applyNumberFormat="1" applyFont="1" applyFill="1" applyBorder="1" applyAlignment="1">
      <alignment vertical="top"/>
    </xf>
    <xf numFmtId="0" fontId="13" fillId="4" borderId="0" xfId="0" applyFont="1" applyFill="1" applyAlignment="1">
      <alignment vertical="top"/>
    </xf>
    <xf numFmtId="179" fontId="13" fillId="2" borderId="0" xfId="0" applyNumberFormat="1" applyFont="1" applyFill="1" applyAlignment="1">
      <alignment horizontal="left" vertical="center"/>
    </xf>
    <xf numFmtId="0" fontId="13" fillId="2" borderId="166" xfId="0" applyFont="1" applyFill="1" applyBorder="1"/>
    <xf numFmtId="0" fontId="86" fillId="3" borderId="166" xfId="0" applyFont="1" applyFill="1" applyBorder="1" applyAlignment="1">
      <alignment vertical="top"/>
    </xf>
    <xf numFmtId="0" fontId="13" fillId="2" borderId="166" xfId="0" applyFont="1" applyFill="1" applyBorder="1" applyAlignment="1">
      <alignment vertical="top"/>
    </xf>
    <xf numFmtId="0" fontId="13" fillId="2" borderId="166" xfId="0" quotePrefix="1" applyFont="1" applyFill="1" applyBorder="1" applyAlignment="1">
      <alignment vertical="top"/>
    </xf>
    <xf numFmtId="0" fontId="15" fillId="2" borderId="166" xfId="0" applyFont="1" applyFill="1" applyBorder="1" applyAlignment="1">
      <alignment vertical="top"/>
    </xf>
    <xf numFmtId="0" fontId="13" fillId="0" borderId="166" xfId="0" applyFont="1" applyBorder="1" applyAlignment="1">
      <alignment vertical="top"/>
    </xf>
    <xf numFmtId="0" fontId="15" fillId="2" borderId="166" xfId="0" applyFont="1" applyFill="1" applyBorder="1"/>
    <xf numFmtId="165" fontId="13" fillId="2" borderId="166" xfId="0" applyNumberFormat="1" applyFont="1" applyFill="1" applyBorder="1"/>
    <xf numFmtId="0" fontId="13" fillId="4" borderId="0" xfId="0" applyFont="1" applyFill="1"/>
    <xf numFmtId="0" fontId="15" fillId="3" borderId="166" xfId="0" applyFont="1" applyFill="1" applyBorder="1" applyAlignment="1">
      <alignment vertical="top"/>
    </xf>
    <xf numFmtId="0" fontId="13" fillId="4" borderId="6" xfId="0" applyFont="1" applyFill="1" applyBorder="1"/>
    <xf numFmtId="179" fontId="13" fillId="4" borderId="6" xfId="0" applyNumberFormat="1" applyFont="1" applyFill="1" applyBorder="1"/>
    <xf numFmtId="0" fontId="13" fillId="4" borderId="36" xfId="0" applyFont="1" applyFill="1" applyBorder="1"/>
    <xf numFmtId="179" fontId="13" fillId="4" borderId="36" xfId="0" applyNumberFormat="1" applyFont="1" applyFill="1" applyBorder="1"/>
    <xf numFmtId="0" fontId="15" fillId="2" borderId="0" xfId="0" applyFont="1" applyFill="1" applyAlignment="1">
      <alignment horizontal="center" vertical="top"/>
    </xf>
    <xf numFmtId="0" fontId="13" fillId="2" borderId="0" xfId="0" applyFont="1" applyFill="1" applyAlignment="1">
      <alignment horizontal="center" vertical="center" wrapText="1"/>
    </xf>
    <xf numFmtId="180" fontId="15" fillId="2" borderId="0" xfId="0" applyNumberFormat="1" applyFont="1" applyFill="1" applyAlignment="1">
      <alignment horizontal="center" vertical="top"/>
    </xf>
    <xf numFmtId="0" fontId="15" fillId="3" borderId="166" xfId="0" applyFont="1" applyFill="1" applyBorder="1"/>
    <xf numFmtId="0" fontId="15" fillId="3" borderId="166" xfId="0" applyFont="1" applyFill="1" applyBorder="1" applyAlignment="1">
      <alignment vertical="top" wrapText="1"/>
    </xf>
    <xf numFmtId="0" fontId="13" fillId="2" borderId="166" xfId="0" applyFont="1" applyFill="1" applyBorder="1" applyAlignment="1">
      <alignment horizontal="left" vertical="top" wrapText="1"/>
    </xf>
    <xf numFmtId="0" fontId="15" fillId="3" borderId="166" xfId="0" applyFont="1" applyFill="1" applyBorder="1" applyAlignment="1">
      <alignment horizontal="left" wrapText="1"/>
    </xf>
    <xf numFmtId="179" fontId="13" fillId="2" borderId="166" xfId="0" applyNumberFormat="1" applyFont="1" applyFill="1" applyBorder="1" applyAlignment="1">
      <alignment vertical="top"/>
    </xf>
    <xf numFmtId="0" fontId="86" fillId="3" borderId="166" xfId="0" applyFont="1" applyFill="1" applyBorder="1" applyAlignment="1">
      <alignment vertical="top" wrapText="1"/>
    </xf>
    <xf numFmtId="0" fontId="82" fillId="2" borderId="166" xfId="0" applyFont="1" applyFill="1" applyBorder="1" applyAlignment="1">
      <alignment vertical="top"/>
    </xf>
    <xf numFmtId="180" fontId="13" fillId="2" borderId="166" xfId="0" applyNumberFormat="1" applyFont="1" applyFill="1" applyBorder="1" applyAlignment="1">
      <alignment vertical="top"/>
    </xf>
    <xf numFmtId="180" fontId="13" fillId="2" borderId="166" xfId="0" applyNumberFormat="1" applyFont="1" applyFill="1" applyBorder="1" applyAlignment="1">
      <alignment horizontal="right" vertical="top"/>
    </xf>
    <xf numFmtId="1" fontId="13" fillId="2" borderId="166" xfId="0" quotePrefix="1" applyNumberFormat="1" applyFont="1" applyFill="1" applyBorder="1" applyAlignment="1">
      <alignment vertical="top"/>
    </xf>
    <xf numFmtId="165" fontId="13" fillId="2" borderId="166" xfId="0" applyNumberFormat="1" applyFont="1" applyFill="1" applyBorder="1" applyAlignment="1">
      <alignment vertical="top"/>
    </xf>
    <xf numFmtId="182" fontId="13" fillId="2" borderId="166" xfId="360" applyNumberFormat="1" applyFont="1" applyFill="1" applyBorder="1" applyAlignment="1">
      <alignment vertical="top"/>
    </xf>
    <xf numFmtId="1" fontId="13" fillId="2" borderId="166" xfId="0" applyNumberFormat="1" applyFont="1" applyFill="1" applyBorder="1" applyAlignment="1">
      <alignment vertical="top"/>
    </xf>
    <xf numFmtId="180" fontId="13" fillId="2" borderId="166" xfId="0" applyNumberFormat="1" applyFont="1" applyFill="1" applyBorder="1" applyAlignment="1">
      <alignment horizontal="center" vertical="top"/>
    </xf>
    <xf numFmtId="165" fontId="13" fillId="2" borderId="166" xfId="0" applyNumberFormat="1" applyFont="1" applyFill="1" applyBorder="1" applyAlignment="1">
      <alignment horizontal="right" vertical="top" wrapText="1"/>
    </xf>
    <xf numFmtId="0" fontId="15" fillId="3" borderId="166" xfId="0" applyFont="1" applyFill="1" applyBorder="1" applyAlignment="1">
      <alignment horizontal="left" vertical="center"/>
    </xf>
    <xf numFmtId="0" fontId="15" fillId="3" borderId="166" xfId="0" applyFont="1" applyFill="1" applyBorder="1" applyAlignment="1">
      <alignment horizontal="left" vertical="center" wrapText="1"/>
    </xf>
    <xf numFmtId="0" fontId="15" fillId="3" borderId="166" xfId="0" applyFont="1" applyFill="1" applyBorder="1" applyAlignment="1">
      <alignment vertical="center" wrapText="1"/>
    </xf>
    <xf numFmtId="180" fontId="13" fillId="2" borderId="167" xfId="0" applyNumberFormat="1" applyFont="1" applyFill="1" applyBorder="1" applyAlignment="1">
      <alignment vertical="top"/>
    </xf>
    <xf numFmtId="0" fontId="88" fillId="2" borderId="0" xfId="0" applyFont="1" applyFill="1" applyAlignment="1">
      <alignment horizontal="left" vertical="top"/>
    </xf>
    <xf numFmtId="0" fontId="15" fillId="3" borderId="166" xfId="0" applyFont="1" applyFill="1" applyBorder="1" applyAlignment="1">
      <alignment vertical="center"/>
    </xf>
    <xf numFmtId="43" fontId="13" fillId="2" borderId="166" xfId="0" applyNumberFormat="1" applyFont="1" applyFill="1" applyBorder="1"/>
    <xf numFmtId="0" fontId="15" fillId="3" borderId="36" xfId="0" applyFont="1" applyFill="1" applyBorder="1"/>
    <xf numFmtId="0" fontId="15" fillId="3" borderId="36" xfId="0" applyFont="1" applyFill="1" applyBorder="1" applyAlignment="1">
      <alignment vertical="center" wrapText="1"/>
    </xf>
    <xf numFmtId="0" fontId="365" fillId="109" borderId="167" xfId="0" applyFont="1" applyFill="1" applyBorder="1"/>
    <xf numFmtId="0" fontId="13" fillId="110" borderId="167" xfId="0" applyFont="1" applyFill="1" applyBorder="1"/>
    <xf numFmtId="43" fontId="13" fillId="2" borderId="167" xfId="360" applyFont="1" applyFill="1" applyBorder="1"/>
    <xf numFmtId="0" fontId="13" fillId="2" borderId="41" xfId="0" applyFont="1" applyFill="1" applyBorder="1" applyAlignment="1">
      <alignment horizontal="left" vertical="top"/>
    </xf>
    <xf numFmtId="0" fontId="13" fillId="2" borderId="170" xfId="0" applyFont="1" applyFill="1" applyBorder="1" applyAlignment="1">
      <alignment horizontal="left" vertical="top" wrapText="1"/>
    </xf>
    <xf numFmtId="188" fontId="13" fillId="2" borderId="41" xfId="0" applyNumberFormat="1" applyFont="1" applyFill="1" applyBorder="1" applyAlignment="1">
      <alignment horizontal="left" vertical="top" wrapText="1"/>
    </xf>
    <xf numFmtId="0" fontId="88" fillId="8" borderId="167" xfId="0" applyFont="1" applyFill="1" applyBorder="1" applyAlignment="1">
      <alignment vertical="top"/>
    </xf>
    <xf numFmtId="0" fontId="88" fillId="8" borderId="168" xfId="0" applyFont="1" applyFill="1" applyBorder="1" applyAlignment="1">
      <alignment vertical="top"/>
    </xf>
    <xf numFmtId="0" fontId="88" fillId="8" borderId="169" xfId="0" applyFont="1" applyFill="1" applyBorder="1" applyAlignment="1">
      <alignment vertical="top"/>
    </xf>
    <xf numFmtId="2" fontId="13" fillId="2" borderId="166" xfId="0" applyNumberFormat="1" applyFont="1" applyFill="1" applyBorder="1"/>
    <xf numFmtId="0" fontId="15" fillId="3" borderId="6" xfId="0" applyFont="1" applyFill="1" applyBorder="1" applyAlignment="1">
      <alignment horizontal="left" vertical="top"/>
    </xf>
    <xf numFmtId="0" fontId="15" fillId="3" borderId="32" xfId="0" applyFont="1" applyFill="1" applyBorder="1" applyAlignment="1">
      <alignment vertical="center" wrapText="1"/>
    </xf>
    <xf numFmtId="1" fontId="13" fillId="2" borderId="167" xfId="0" applyNumberFormat="1" applyFont="1" applyFill="1" applyBorder="1" applyAlignment="1">
      <alignment vertical="top"/>
    </xf>
    <xf numFmtId="179" fontId="13" fillId="2" borderId="167" xfId="0" applyNumberFormat="1" applyFont="1" applyFill="1" applyBorder="1" applyAlignment="1">
      <alignment vertical="top"/>
    </xf>
    <xf numFmtId="0" fontId="15" fillId="3" borderId="6" xfId="0" applyFont="1" applyFill="1" applyBorder="1" applyAlignment="1">
      <alignment vertical="center" wrapText="1"/>
    </xf>
    <xf numFmtId="0" fontId="86" fillId="3" borderId="167" xfId="0" applyFont="1" applyFill="1" applyBorder="1" applyAlignment="1">
      <alignment vertical="top"/>
    </xf>
    <xf numFmtId="188" fontId="13" fillId="2" borderId="0" xfId="0" applyNumberFormat="1" applyFont="1" applyFill="1" applyAlignment="1">
      <alignment horizontal="left" vertical="top" wrapText="1"/>
    </xf>
    <xf numFmtId="0" fontId="13" fillId="2" borderId="166" xfId="0" applyFont="1" applyFill="1" applyBorder="1" applyAlignment="1">
      <alignment horizontal="left" vertical="top"/>
    </xf>
    <xf numFmtId="182" fontId="13" fillId="2" borderId="166" xfId="0" applyNumberFormat="1" applyFont="1" applyFill="1" applyBorder="1" applyAlignment="1">
      <alignment horizontal="left" vertical="top" wrapText="1"/>
    </xf>
    <xf numFmtId="11" fontId="13" fillId="2" borderId="166" xfId="0" applyNumberFormat="1" applyFont="1" applyFill="1" applyBorder="1" applyAlignment="1">
      <alignment horizontal="left" vertical="top" wrapText="1"/>
    </xf>
    <xf numFmtId="0" fontId="13" fillId="0" borderId="166" xfId="0" applyFont="1" applyBorder="1"/>
    <xf numFmtId="0" fontId="13" fillId="2" borderId="166" xfId="0" applyFont="1" applyFill="1" applyBorder="1" applyAlignment="1">
      <alignment vertical="center"/>
    </xf>
    <xf numFmtId="44" fontId="13" fillId="2" borderId="166" xfId="359" applyFont="1" applyFill="1" applyBorder="1" applyAlignment="1">
      <alignment vertical="center"/>
    </xf>
    <xf numFmtId="0" fontId="13" fillId="2" borderId="166" xfId="0" quotePrefix="1" applyFont="1" applyFill="1" applyBorder="1"/>
    <xf numFmtId="0" fontId="367" fillId="2" borderId="0" xfId="0" applyFont="1" applyFill="1" applyAlignment="1">
      <alignment vertical="top"/>
    </xf>
    <xf numFmtId="0" fontId="13" fillId="2" borderId="166" xfId="0" applyFont="1" applyFill="1" applyBorder="1" applyAlignment="1">
      <alignment vertical="center" wrapText="1"/>
    </xf>
    <xf numFmtId="180" fontId="13" fillId="2" borderId="166" xfId="0" applyNumberFormat="1" applyFont="1" applyFill="1" applyBorder="1"/>
    <xf numFmtId="182" fontId="13" fillId="2" borderId="166" xfId="360" applyNumberFormat="1" applyFont="1" applyFill="1" applyBorder="1" applyAlignment="1">
      <alignment vertical="center"/>
    </xf>
    <xf numFmtId="3" fontId="13" fillId="2" borderId="166" xfId="0" applyNumberFormat="1" applyFont="1" applyFill="1" applyBorder="1"/>
    <xf numFmtId="0" fontId="13" fillId="2" borderId="166" xfId="0" applyFont="1" applyFill="1" applyBorder="1" applyAlignment="1">
      <alignment horizontal="left" vertical="center"/>
    </xf>
    <xf numFmtId="0" fontId="15" fillId="8" borderId="166" xfId="0" applyFont="1" applyFill="1" applyBorder="1" applyAlignment="1">
      <alignment vertical="top" wrapText="1"/>
    </xf>
    <xf numFmtId="179" fontId="13" fillId="2" borderId="166" xfId="0" applyNumberFormat="1" applyFont="1" applyFill="1" applyBorder="1"/>
    <xf numFmtId="9" fontId="13" fillId="2" borderId="166" xfId="361" applyFont="1" applyFill="1" applyBorder="1"/>
    <xf numFmtId="9" fontId="15" fillId="2" borderId="166" xfId="361" applyFont="1" applyFill="1" applyBorder="1"/>
    <xf numFmtId="180" fontId="13" fillId="2" borderId="166" xfId="361" applyNumberFormat="1" applyFont="1" applyFill="1" applyBorder="1"/>
    <xf numFmtId="0" fontId="15" fillId="8" borderId="166" xfId="0" applyFont="1" applyFill="1" applyBorder="1" applyAlignment="1">
      <alignment vertical="top"/>
    </xf>
    <xf numFmtId="1" fontId="13" fillId="2" borderId="166" xfId="0" applyNumberFormat="1" applyFont="1" applyFill="1" applyBorder="1"/>
    <xf numFmtId="0" fontId="13" fillId="2" borderId="36" xfId="0" applyFont="1" applyFill="1" applyBorder="1" applyAlignment="1">
      <alignment horizontal="center" vertical="center"/>
    </xf>
    <xf numFmtId="6" fontId="13" fillId="2" borderId="166" xfId="0" applyNumberFormat="1" applyFont="1" applyFill="1" applyBorder="1" applyAlignment="1">
      <alignment horizontal="left" vertical="top"/>
    </xf>
    <xf numFmtId="0" fontId="86" fillId="3" borderId="166" xfId="0" applyFont="1" applyFill="1" applyBorder="1" applyAlignment="1">
      <alignment horizontal="center" vertical="top"/>
    </xf>
    <xf numFmtId="0" fontId="13" fillId="2" borderId="166" xfId="0" applyFont="1" applyFill="1" applyBorder="1" applyAlignment="1">
      <alignment horizontal="left" vertical="center" wrapText="1"/>
    </xf>
    <xf numFmtId="0" fontId="13" fillId="2" borderId="166" xfId="0" applyFont="1" applyFill="1" applyBorder="1" applyAlignment="1">
      <alignment horizontal="right" vertical="center"/>
    </xf>
    <xf numFmtId="0" fontId="13" fillId="2" borderId="6" xfId="0" applyFont="1" applyFill="1" applyBorder="1" applyAlignment="1">
      <alignment horizontal="right" vertical="top"/>
    </xf>
    <xf numFmtId="0" fontId="13" fillId="2" borderId="167" xfId="0" applyFont="1" applyFill="1" applyBorder="1" applyAlignment="1">
      <alignment horizontal="left" vertical="top"/>
    </xf>
    <xf numFmtId="0" fontId="15" fillId="3" borderId="166" xfId="0" applyFont="1" applyFill="1" applyBorder="1" applyAlignment="1">
      <alignment horizontal="left" vertical="top"/>
    </xf>
    <xf numFmtId="0" fontId="13" fillId="2" borderId="166" xfId="0" applyFont="1" applyFill="1" applyBorder="1" applyAlignment="1">
      <alignment horizontal="center" vertical="center"/>
    </xf>
    <xf numFmtId="179" fontId="13" fillId="2" borderId="166" xfId="0" applyNumberFormat="1" applyFont="1" applyFill="1" applyBorder="1" applyAlignment="1">
      <alignment vertical="center"/>
    </xf>
    <xf numFmtId="0" fontId="13" fillId="2" borderId="166" xfId="359" applyNumberFormat="1" applyFont="1" applyFill="1" applyBorder="1" applyAlignment="1">
      <alignment vertical="top"/>
    </xf>
    <xf numFmtId="0" fontId="13" fillId="2" borderId="166" xfId="0" applyFont="1" applyFill="1" applyBorder="1" applyAlignment="1">
      <alignment horizontal="right" vertical="top"/>
    </xf>
    <xf numFmtId="180" fontId="13" fillId="0" borderId="166" xfId="0" applyNumberFormat="1" applyFont="1" applyBorder="1"/>
    <xf numFmtId="0" fontId="13" fillId="3" borderId="166" xfId="0" applyFont="1" applyFill="1" applyBorder="1" applyAlignment="1">
      <alignment vertical="top"/>
    </xf>
    <xf numFmtId="0" fontId="13" fillId="3" borderId="166" xfId="359" applyNumberFormat="1" applyFont="1" applyFill="1" applyBorder="1" applyAlignment="1">
      <alignment vertical="top"/>
    </xf>
    <xf numFmtId="0" fontId="13" fillId="3" borderId="166" xfId="0" applyFont="1" applyFill="1" applyBorder="1"/>
    <xf numFmtId="180" fontId="13" fillId="3" borderId="166" xfId="0" applyNumberFormat="1" applyFont="1" applyFill="1" applyBorder="1"/>
    <xf numFmtId="180" fontId="13" fillId="3" borderId="166" xfId="0" applyNumberFormat="1" applyFont="1" applyFill="1" applyBorder="1" applyAlignment="1">
      <alignment vertical="top"/>
    </xf>
    <xf numFmtId="1" fontId="13" fillId="2" borderId="166" xfId="0" quotePrefix="1" applyNumberFormat="1" applyFont="1" applyFill="1" applyBorder="1"/>
    <xf numFmtId="0" fontId="82" fillId="2" borderId="166" xfId="0" applyFont="1" applyFill="1" applyBorder="1"/>
    <xf numFmtId="179" fontId="13" fillId="2" borderId="166" xfId="0" applyNumberFormat="1" applyFont="1" applyFill="1" applyBorder="1" applyAlignment="1">
      <alignment horizontal="center" vertical="top"/>
    </xf>
    <xf numFmtId="0" fontId="13" fillId="2" borderId="166" xfId="0" applyFont="1" applyFill="1" applyBorder="1" applyAlignment="1">
      <alignment vertical="top" wrapText="1"/>
    </xf>
    <xf numFmtId="0" fontId="82" fillId="2" borderId="166" xfId="0" applyFont="1" applyFill="1" applyBorder="1" applyAlignment="1">
      <alignment horizontal="left" vertical="top"/>
    </xf>
    <xf numFmtId="0" fontId="82" fillId="3" borderId="166" xfId="0" applyFont="1" applyFill="1" applyBorder="1" applyAlignment="1">
      <alignment vertical="top"/>
    </xf>
    <xf numFmtId="0" fontId="82" fillId="3" borderId="166" xfId="0" applyFont="1" applyFill="1" applyBorder="1" applyAlignment="1">
      <alignment horizontal="left" vertical="top"/>
    </xf>
    <xf numFmtId="0" fontId="82" fillId="2" borderId="166" xfId="0" quotePrefix="1" applyFont="1" applyFill="1" applyBorder="1" applyAlignment="1">
      <alignment horizontal="left" vertical="top"/>
    </xf>
    <xf numFmtId="0" fontId="82" fillId="3" borderId="166" xfId="0" quotePrefix="1" applyFont="1" applyFill="1" applyBorder="1" applyAlignment="1">
      <alignment horizontal="left" vertical="top"/>
    </xf>
    <xf numFmtId="0" fontId="86" fillId="3" borderId="166" xfId="0" applyFont="1" applyFill="1" applyBorder="1" applyAlignment="1">
      <alignment horizontal="left" vertical="top" wrapText="1"/>
    </xf>
    <xf numFmtId="0" fontId="82" fillId="3" borderId="166" xfId="0" applyFont="1" applyFill="1" applyBorder="1" applyAlignment="1">
      <alignment vertical="top" wrapText="1"/>
    </xf>
    <xf numFmtId="0" fontId="82" fillId="2" borderId="166" xfId="0" applyFont="1" applyFill="1" applyBorder="1" applyAlignment="1">
      <alignment vertical="top" wrapText="1"/>
    </xf>
    <xf numFmtId="179" fontId="82" fillId="2" borderId="166" xfId="0" applyNumberFormat="1" applyFont="1" applyFill="1" applyBorder="1" applyAlignment="1">
      <alignment vertical="top" wrapText="1"/>
    </xf>
    <xf numFmtId="44" fontId="13" fillId="2" borderId="166" xfId="0" applyNumberFormat="1" applyFont="1" applyFill="1" applyBorder="1" applyAlignment="1">
      <alignment vertical="top"/>
    </xf>
    <xf numFmtId="0" fontId="86" fillId="3" borderId="166" xfId="0" applyFont="1" applyFill="1" applyBorder="1" applyAlignment="1">
      <alignment horizontal="center" vertical="top" wrapText="1"/>
    </xf>
    <xf numFmtId="6" fontId="13" fillId="2" borderId="166" xfId="0" applyNumberFormat="1" applyFont="1" applyFill="1" applyBorder="1" applyAlignment="1">
      <alignment vertical="top"/>
    </xf>
    <xf numFmtId="0" fontId="13" fillId="2" borderId="169" xfId="0" applyFont="1" applyFill="1" applyBorder="1" applyAlignment="1">
      <alignment vertical="top"/>
    </xf>
    <xf numFmtId="0" fontId="15" fillId="2" borderId="166" xfId="0" applyFont="1" applyFill="1" applyBorder="1" applyAlignment="1">
      <alignment vertical="top" wrapText="1"/>
    </xf>
    <xf numFmtId="0" fontId="13" fillId="2" borderId="167" xfId="0" applyFont="1" applyFill="1" applyBorder="1" applyAlignment="1">
      <alignment vertical="top"/>
    </xf>
    <xf numFmtId="0" fontId="13" fillId="2" borderId="166" xfId="0" quotePrefix="1" applyFont="1" applyFill="1" applyBorder="1" applyAlignment="1">
      <alignment vertical="top" wrapText="1"/>
    </xf>
    <xf numFmtId="0" fontId="13" fillId="2" borderId="166" xfId="0" applyFont="1" applyFill="1" applyBorder="1" applyAlignment="1">
      <alignment horizontal="center" vertical="top"/>
    </xf>
    <xf numFmtId="0" fontId="86" fillId="3" borderId="166" xfId="0" applyFont="1" applyFill="1" applyBorder="1" applyAlignment="1">
      <alignment horizontal="left" vertical="top"/>
    </xf>
    <xf numFmtId="44" fontId="13" fillId="2" borderId="166" xfId="359" applyFont="1" applyFill="1" applyBorder="1" applyAlignment="1">
      <alignment vertical="top"/>
    </xf>
    <xf numFmtId="0" fontId="91" fillId="3" borderId="166" xfId="0" applyFont="1" applyFill="1" applyBorder="1" applyAlignment="1">
      <alignment vertical="top" wrapText="1"/>
    </xf>
    <xf numFmtId="6" fontId="13" fillId="2" borderId="166" xfId="0" applyNumberFormat="1" applyFont="1" applyFill="1" applyBorder="1" applyAlignment="1">
      <alignment horizontal="left" vertical="top" wrapText="1"/>
    </xf>
    <xf numFmtId="0" fontId="86" fillId="3" borderId="166" xfId="0" applyFont="1" applyFill="1" applyBorder="1" applyAlignment="1">
      <alignment horizontal="centerContinuous"/>
    </xf>
    <xf numFmtId="0" fontId="86" fillId="3" borderId="166" xfId="0" applyFont="1" applyFill="1" applyBorder="1"/>
    <xf numFmtId="0" fontId="86" fillId="3" borderId="166" xfId="0" applyFont="1" applyFill="1" applyBorder="1" applyAlignment="1">
      <alignment vertical="center"/>
    </xf>
    <xf numFmtId="0" fontId="86" fillId="3" borderId="166" xfId="0" applyFont="1" applyFill="1" applyBorder="1" applyAlignment="1">
      <alignment vertical="center" wrapText="1"/>
    </xf>
    <xf numFmtId="6" fontId="13" fillId="2" borderId="166" xfId="0" applyNumberFormat="1" applyFont="1" applyFill="1" applyBorder="1" applyAlignment="1">
      <alignment vertical="center"/>
    </xf>
    <xf numFmtId="6" fontId="13" fillId="2" borderId="166" xfId="0" applyNumberFormat="1" applyFont="1" applyFill="1" applyBorder="1"/>
    <xf numFmtId="0" fontId="13" fillId="2" borderId="166" xfId="359" applyNumberFormat="1" applyFont="1" applyFill="1" applyBorder="1" applyAlignment="1">
      <alignment vertical="center"/>
    </xf>
    <xf numFmtId="8" fontId="13" fillId="2" borderId="166" xfId="0" applyNumberFormat="1" applyFont="1" applyFill="1" applyBorder="1" applyAlignment="1">
      <alignment vertical="center"/>
    </xf>
    <xf numFmtId="181" fontId="13" fillId="2" borderId="166" xfId="0" applyNumberFormat="1" applyFont="1" applyFill="1" applyBorder="1" applyAlignment="1">
      <alignment vertical="center"/>
    </xf>
    <xf numFmtId="8" fontId="13" fillId="2" borderId="166" xfId="0" applyNumberFormat="1" applyFont="1" applyFill="1" applyBorder="1"/>
    <xf numFmtId="0" fontId="13" fillId="2" borderId="166" xfId="359" quotePrefix="1" applyNumberFormat="1" applyFont="1" applyFill="1" applyBorder="1" applyAlignment="1"/>
    <xf numFmtId="8" fontId="13" fillId="2" borderId="166" xfId="0" applyNumberFormat="1" applyFont="1" applyFill="1" applyBorder="1" applyAlignment="1">
      <alignment wrapText="1"/>
    </xf>
    <xf numFmtId="0" fontId="13" fillId="2" borderId="166" xfId="359" applyNumberFormat="1" applyFont="1" applyFill="1" applyBorder="1" applyAlignment="1"/>
    <xf numFmtId="0" fontId="13" fillId="2" borderId="166" xfId="0" quotePrefix="1" applyFont="1" applyFill="1" applyBorder="1" applyAlignment="1">
      <alignment wrapText="1"/>
    </xf>
    <xf numFmtId="0" fontId="13" fillId="2" borderId="166" xfId="0" applyFont="1" applyFill="1" applyBorder="1" applyAlignment="1">
      <alignment wrapText="1"/>
    </xf>
    <xf numFmtId="188" fontId="13" fillId="2" borderId="166" xfId="0" applyNumberFormat="1" applyFont="1" applyFill="1" applyBorder="1" applyAlignment="1">
      <alignment vertical="center"/>
    </xf>
    <xf numFmtId="188" fontId="13" fillId="2" borderId="166" xfId="0" applyNumberFormat="1" applyFont="1" applyFill="1" applyBorder="1"/>
    <xf numFmtId="0" fontId="86" fillId="3" borderId="166" xfId="0" applyFont="1" applyFill="1" applyBorder="1" applyAlignment="1">
      <alignment horizontal="centerContinuous" vertical="top"/>
    </xf>
    <xf numFmtId="3" fontId="13" fillId="2" borderId="166" xfId="0" applyNumberFormat="1" applyFont="1" applyFill="1" applyBorder="1" applyAlignment="1">
      <alignment vertical="top"/>
    </xf>
    <xf numFmtId="0" fontId="13" fillId="2" borderId="166" xfId="359" applyNumberFormat="1" applyFont="1" applyFill="1" applyBorder="1" applyAlignment="1">
      <alignment vertical="top" wrapText="1"/>
    </xf>
    <xf numFmtId="8" fontId="13" fillId="2" borderId="166" xfId="0" applyNumberFormat="1" applyFont="1" applyFill="1" applyBorder="1" applyAlignment="1">
      <alignment vertical="top"/>
    </xf>
    <xf numFmtId="3" fontId="13" fillId="2" borderId="166" xfId="0" applyNumberFormat="1" applyFont="1" applyFill="1" applyBorder="1" applyAlignment="1">
      <alignment horizontal="left" vertical="top" wrapText="1"/>
    </xf>
    <xf numFmtId="0" fontId="13" fillId="2" borderId="169" xfId="0" applyFont="1" applyFill="1" applyBorder="1" applyAlignment="1">
      <alignment horizontal="left" vertical="top" wrapText="1"/>
    </xf>
    <xf numFmtId="180" fontId="13" fillId="2" borderId="166" xfId="360" applyNumberFormat="1" applyFont="1" applyFill="1" applyBorder="1" applyAlignment="1">
      <alignment vertical="top"/>
    </xf>
    <xf numFmtId="8" fontId="13" fillId="2" borderId="166" xfId="0" applyNumberFormat="1" applyFont="1" applyFill="1" applyBorder="1" applyAlignment="1">
      <alignment horizontal="left" vertical="top" wrapText="1"/>
    </xf>
    <xf numFmtId="179" fontId="13" fillId="2" borderId="166" xfId="360" applyNumberFormat="1" applyFont="1" applyFill="1" applyBorder="1" applyAlignment="1">
      <alignment horizontal="left" vertical="center"/>
    </xf>
    <xf numFmtId="0" fontId="13" fillId="2" borderId="166" xfId="359" applyNumberFormat="1" applyFont="1" applyFill="1" applyBorder="1" applyAlignment="1">
      <alignment horizontal="left" vertical="center"/>
    </xf>
    <xf numFmtId="0" fontId="13" fillId="2" borderId="166" xfId="360" applyNumberFormat="1" applyFont="1" applyFill="1" applyBorder="1" applyAlignment="1">
      <alignment vertical="top"/>
    </xf>
    <xf numFmtId="2" fontId="13" fillId="2" borderId="166" xfId="0" applyNumberFormat="1" applyFont="1" applyFill="1" applyBorder="1" applyAlignment="1">
      <alignment horizontal="left" vertical="top"/>
    </xf>
    <xf numFmtId="1" fontId="13" fillId="2" borderId="166" xfId="0" applyNumberFormat="1" applyFont="1" applyFill="1" applyBorder="1" applyAlignment="1">
      <alignment horizontal="left" vertical="top"/>
    </xf>
    <xf numFmtId="179" fontId="13" fillId="2" borderId="166" xfId="0" applyNumberFormat="1" applyFont="1" applyFill="1" applyBorder="1" applyAlignment="1">
      <alignment horizontal="left" vertical="top"/>
    </xf>
    <xf numFmtId="0" fontId="13" fillId="4" borderId="166" xfId="0" applyFont="1" applyFill="1" applyBorder="1"/>
    <xf numFmtId="0" fontId="13" fillId="4" borderId="166" xfId="0" applyFont="1" applyFill="1" applyBorder="1" applyAlignment="1">
      <alignment vertical="top"/>
    </xf>
    <xf numFmtId="179" fontId="82" fillId="4" borderId="166" xfId="0" applyNumberFormat="1" applyFont="1" applyFill="1" applyBorder="1" applyAlignment="1">
      <alignment vertical="top" wrapText="1"/>
    </xf>
    <xf numFmtId="0" fontId="82" fillId="4" borderId="166" xfId="0" applyFont="1" applyFill="1" applyBorder="1" applyAlignment="1">
      <alignment vertical="top"/>
    </xf>
    <xf numFmtId="0" fontId="82" fillId="4" borderId="166" xfId="0" applyFont="1" applyFill="1" applyBorder="1" applyAlignment="1">
      <alignment vertical="top" wrapText="1"/>
    </xf>
    <xf numFmtId="0" fontId="82" fillId="2" borderId="167" xfId="0" applyFont="1" applyFill="1" applyBorder="1"/>
    <xf numFmtId="0" fontId="13" fillId="0" borderId="166" xfId="0" quotePrefix="1" applyFont="1" applyBorder="1" applyAlignment="1">
      <alignment vertical="top"/>
    </xf>
    <xf numFmtId="2" fontId="13" fillId="2" borderId="166" xfId="0" applyNumberFormat="1" applyFont="1" applyFill="1" applyBorder="1" applyAlignment="1">
      <alignment vertical="top"/>
    </xf>
    <xf numFmtId="44" fontId="13" fillId="2" borderId="166" xfId="359" applyFont="1" applyFill="1" applyBorder="1" applyAlignment="1">
      <alignment horizontal="left" vertical="top"/>
    </xf>
    <xf numFmtId="0" fontId="13" fillId="0" borderId="166" xfId="0" applyFont="1" applyBorder="1" applyAlignment="1">
      <alignment horizontal="left" vertical="top"/>
    </xf>
    <xf numFmtId="180" fontId="13" fillId="0" borderId="166" xfId="0" applyNumberFormat="1" applyFont="1" applyBorder="1" applyAlignment="1">
      <alignment vertical="top"/>
    </xf>
    <xf numFmtId="3" fontId="13" fillId="0" borderId="166" xfId="0" applyNumberFormat="1" applyFont="1" applyBorder="1" applyAlignment="1">
      <alignment vertical="top"/>
    </xf>
    <xf numFmtId="182" fontId="13" fillId="0" borderId="166" xfId="360" applyNumberFormat="1" applyFont="1" applyBorder="1" applyAlignment="1">
      <alignment vertical="top"/>
    </xf>
    <xf numFmtId="179" fontId="13" fillId="0" borderId="166" xfId="0" applyNumberFormat="1" applyFont="1" applyBorder="1" applyAlignment="1">
      <alignment vertical="top"/>
    </xf>
    <xf numFmtId="0" fontId="15" fillId="3" borderId="166" xfId="0" applyFont="1" applyFill="1" applyBorder="1" applyAlignment="1">
      <alignment horizontal="left" vertical="top" wrapText="1"/>
    </xf>
    <xf numFmtId="2" fontId="15" fillId="2" borderId="166" xfId="0" applyNumberFormat="1" applyFont="1" applyFill="1" applyBorder="1" applyAlignment="1">
      <alignment vertical="top"/>
    </xf>
    <xf numFmtId="44" fontId="15" fillId="2" borderId="166" xfId="359" applyFont="1" applyFill="1" applyBorder="1" applyAlignment="1">
      <alignment vertical="top"/>
    </xf>
    <xf numFmtId="183" fontId="13" fillId="2" borderId="166" xfId="361" applyNumberFormat="1" applyFont="1" applyFill="1" applyBorder="1" applyAlignment="1">
      <alignment vertical="top"/>
    </xf>
    <xf numFmtId="9" fontId="13" fillId="2" borderId="166" xfId="0" applyNumberFormat="1" applyFont="1" applyFill="1" applyBorder="1" applyAlignment="1">
      <alignment horizontal="center" vertical="top"/>
    </xf>
    <xf numFmtId="1" fontId="82" fillId="2" borderId="166" xfId="0" applyNumberFormat="1" applyFont="1" applyFill="1" applyBorder="1" applyAlignment="1">
      <alignment vertical="top"/>
    </xf>
    <xf numFmtId="0" fontId="13" fillId="2" borderId="167" xfId="0" quotePrefix="1" applyFont="1" applyFill="1" applyBorder="1" applyAlignment="1">
      <alignment vertical="top" wrapText="1"/>
    </xf>
    <xf numFmtId="0" fontId="13" fillId="2" borderId="167" xfId="0" applyFont="1" applyFill="1" applyBorder="1" applyAlignment="1">
      <alignment vertical="top" wrapText="1"/>
    </xf>
    <xf numFmtId="180" fontId="13" fillId="2" borderId="166" xfId="0" applyNumberFormat="1" applyFont="1" applyFill="1" applyBorder="1" applyAlignment="1">
      <alignment horizontal="left" vertical="top" wrapText="1"/>
    </xf>
    <xf numFmtId="185" fontId="13" fillId="2" borderId="166" xfId="0" applyNumberFormat="1" applyFont="1" applyFill="1" applyBorder="1" applyAlignment="1">
      <alignment vertical="top"/>
    </xf>
    <xf numFmtId="3" fontId="13" fillId="2" borderId="167" xfId="0" applyNumberFormat="1" applyFont="1" applyFill="1" applyBorder="1" applyAlignment="1">
      <alignment vertical="top"/>
    </xf>
    <xf numFmtId="0" fontId="82" fillId="4" borderId="166" xfId="0" applyFont="1" applyFill="1" applyBorder="1" applyAlignment="1">
      <alignment horizontal="center" vertical="top"/>
    </xf>
    <xf numFmtId="2" fontId="82" fillId="4" borderId="166" xfId="0" applyNumberFormat="1" applyFont="1" applyFill="1" applyBorder="1" applyAlignment="1">
      <alignment horizontal="center" vertical="top"/>
    </xf>
    <xf numFmtId="2" fontId="82" fillId="2" borderId="166" xfId="0" applyNumberFormat="1" applyFont="1" applyFill="1" applyBorder="1" applyAlignment="1">
      <alignment horizontal="left" vertical="top"/>
    </xf>
    <xf numFmtId="0" fontId="82" fillId="2" borderId="166" xfId="89" applyFont="1" applyFill="1" applyBorder="1" applyAlignment="1" applyProtection="1">
      <alignment horizontal="left" vertical="top" wrapText="1"/>
    </xf>
    <xf numFmtId="182" fontId="13" fillId="2" borderId="166" xfId="360" applyNumberFormat="1" applyFont="1" applyFill="1" applyBorder="1" applyAlignment="1">
      <alignment horizontal="left" vertical="top" wrapText="1"/>
    </xf>
    <xf numFmtId="43" fontId="13" fillId="2" borderId="166" xfId="360" applyFont="1" applyFill="1" applyBorder="1" applyAlignment="1">
      <alignment horizontal="left" vertical="top" wrapText="1"/>
    </xf>
    <xf numFmtId="44" fontId="13" fillId="2" borderId="166" xfId="359" applyFont="1" applyFill="1" applyBorder="1" applyAlignment="1">
      <alignment vertical="top" wrapText="1"/>
    </xf>
    <xf numFmtId="2" fontId="13" fillId="2" borderId="166" xfId="360" applyNumberFormat="1" applyFont="1" applyFill="1" applyBorder="1" applyAlignment="1">
      <alignment horizontal="right" vertical="top" wrapText="1"/>
    </xf>
    <xf numFmtId="182" fontId="13" fillId="2" borderId="166" xfId="0" applyNumberFormat="1" applyFont="1" applyFill="1" applyBorder="1" applyAlignment="1">
      <alignment vertical="top"/>
    </xf>
    <xf numFmtId="43" fontId="13" fillId="2" borderId="166" xfId="0" applyNumberFormat="1" applyFont="1" applyFill="1" applyBorder="1" applyAlignment="1">
      <alignment vertical="top"/>
    </xf>
    <xf numFmtId="0" fontId="82" fillId="2" borderId="166" xfId="0" applyFont="1" applyFill="1" applyBorder="1" applyAlignment="1">
      <alignment horizontal="center" vertical="top"/>
    </xf>
    <xf numFmtId="0" fontId="82" fillId="2" borderId="166" xfId="0" applyFont="1" applyFill="1" applyBorder="1" applyAlignment="1">
      <alignment horizontal="center" vertical="center"/>
    </xf>
    <xf numFmtId="44" fontId="13" fillId="2" borderId="166" xfId="0" applyNumberFormat="1" applyFont="1" applyFill="1" applyBorder="1"/>
    <xf numFmtId="0" fontId="13" fillId="2" borderId="167" xfId="0" applyFont="1" applyFill="1" applyBorder="1"/>
    <xf numFmtId="180" fontId="13" fillId="2" borderId="166" xfId="0" applyNumberFormat="1" applyFont="1" applyFill="1" applyBorder="1" applyAlignment="1">
      <alignment vertical="center"/>
    </xf>
    <xf numFmtId="0" fontId="13" fillId="2" borderId="166" xfId="0" quotePrefix="1" applyFont="1" applyFill="1" applyBorder="1" applyAlignment="1">
      <alignment vertical="center"/>
    </xf>
    <xf numFmtId="2" fontId="13" fillId="2" borderId="167" xfId="0" applyNumberFormat="1" applyFont="1" applyFill="1" applyBorder="1" applyAlignment="1">
      <alignment vertical="top"/>
    </xf>
    <xf numFmtId="8" fontId="82" fillId="2" borderId="166" xfId="70" applyNumberFormat="1" applyFont="1" applyFill="1" applyBorder="1" applyAlignment="1">
      <alignment horizontal="left" vertical="top" wrapText="1"/>
    </xf>
    <xf numFmtId="8" fontId="82" fillId="2" borderId="166" xfId="70" applyNumberFormat="1" applyFont="1" applyFill="1" applyBorder="1" applyAlignment="1">
      <alignment horizontal="left" vertical="center" wrapText="1"/>
    </xf>
    <xf numFmtId="0" fontId="15" fillId="3" borderId="166" xfId="0" applyFont="1" applyFill="1" applyBorder="1" applyAlignment="1">
      <alignment horizontal="left"/>
    </xf>
    <xf numFmtId="8" fontId="86" fillId="3" borderId="166" xfId="70" applyNumberFormat="1" applyFont="1" applyFill="1" applyBorder="1" applyAlignment="1">
      <alignment horizontal="left" vertical="center" wrapText="1"/>
    </xf>
    <xf numFmtId="179" fontId="13" fillId="2" borderId="166" xfId="360" applyNumberFormat="1" applyFont="1" applyFill="1" applyBorder="1" applyAlignment="1">
      <alignment horizontal="center" vertical="center"/>
    </xf>
    <xf numFmtId="179" fontId="13" fillId="2" borderId="166" xfId="0" applyNumberFormat="1" applyFont="1" applyFill="1" applyBorder="1" applyAlignment="1">
      <alignment vertical="top" wrapText="1"/>
    </xf>
    <xf numFmtId="0" fontId="15" fillId="3" borderId="166" xfId="0" applyFont="1" applyFill="1" applyBorder="1" applyAlignment="1">
      <alignment wrapText="1"/>
    </xf>
    <xf numFmtId="3" fontId="12" fillId="0" borderId="166" xfId="187" applyNumberFormat="1" applyFont="1" applyBorder="1" applyAlignment="1">
      <alignment horizontal="right" vertical="top"/>
    </xf>
    <xf numFmtId="179" fontId="13" fillId="2" borderId="166" xfId="0" quotePrefix="1" applyNumberFormat="1" applyFont="1" applyFill="1" applyBorder="1"/>
    <xf numFmtId="179" fontId="13" fillId="2" borderId="166" xfId="0" quotePrefix="1" applyNumberFormat="1" applyFont="1" applyFill="1" applyBorder="1" applyAlignment="1">
      <alignment horizontal="center" vertical="center"/>
    </xf>
    <xf numFmtId="0" fontId="13" fillId="2" borderId="169" xfId="0" applyFont="1" applyFill="1" applyBorder="1"/>
    <xf numFmtId="182" fontId="13" fillId="2" borderId="167" xfId="360" applyNumberFormat="1" applyFont="1" applyFill="1" applyBorder="1" applyAlignment="1">
      <alignment vertical="top"/>
    </xf>
    <xf numFmtId="2" fontId="82" fillId="2" borderId="166" xfId="0" applyNumberFormat="1" applyFont="1" applyFill="1" applyBorder="1" applyAlignment="1">
      <alignment vertical="top"/>
    </xf>
    <xf numFmtId="0" fontId="13" fillId="0" borderId="166" xfId="0" applyFont="1" applyBorder="1" applyAlignment="1">
      <alignment vertical="top" wrapText="1"/>
    </xf>
    <xf numFmtId="180" fontId="13" fillId="2" borderId="167" xfId="0" applyNumberFormat="1" applyFont="1" applyFill="1" applyBorder="1" applyAlignment="1">
      <alignment vertical="center"/>
    </xf>
    <xf numFmtId="0" fontId="15" fillId="59" borderId="166" xfId="0" applyFont="1" applyFill="1" applyBorder="1"/>
    <xf numFmtId="8" fontId="86" fillId="59" borderId="166" xfId="70" applyNumberFormat="1" applyFont="1" applyFill="1" applyBorder="1" applyAlignment="1">
      <alignment vertical="center" wrapText="1"/>
    </xf>
    <xf numFmtId="0" fontId="86" fillId="3" borderId="167" xfId="0" applyFont="1" applyFill="1" applyBorder="1"/>
    <xf numFmtId="0" fontId="13" fillId="2" borderId="166" xfId="0" applyFont="1" applyFill="1" applyBorder="1" applyAlignment="1">
      <alignment horizontal="center" vertical="top" wrapText="1"/>
    </xf>
    <xf numFmtId="10" fontId="13" fillId="2" borderId="166" xfId="0" applyNumberFormat="1" applyFont="1" applyFill="1" applyBorder="1" applyAlignment="1">
      <alignment vertical="top"/>
    </xf>
    <xf numFmtId="2" fontId="13" fillId="2" borderId="166" xfId="0" applyNumberFormat="1" applyFont="1" applyFill="1" applyBorder="1" applyAlignment="1">
      <alignment horizontal="left" vertical="top" wrapText="1"/>
    </xf>
    <xf numFmtId="10" fontId="13" fillId="2" borderId="0" xfId="0" applyNumberFormat="1" applyFont="1" applyFill="1" applyAlignment="1">
      <alignment vertical="top"/>
    </xf>
    <xf numFmtId="286" fontId="13" fillId="2" borderId="166" xfId="0" applyNumberFormat="1" applyFont="1" applyFill="1" applyBorder="1" applyAlignment="1">
      <alignment horizontal="left" vertical="top" wrapText="1"/>
    </xf>
    <xf numFmtId="9" fontId="13" fillId="2" borderId="166" xfId="0" applyNumberFormat="1" applyFont="1" applyFill="1" applyBorder="1" applyAlignment="1">
      <alignment vertical="center"/>
    </xf>
    <xf numFmtId="17" fontId="13" fillId="2" borderId="166" xfId="0" applyNumberFormat="1" applyFont="1" applyFill="1" applyBorder="1" applyAlignment="1">
      <alignment vertical="center"/>
    </xf>
    <xf numFmtId="9" fontId="13" fillId="2" borderId="166" xfId="0" applyNumberFormat="1" applyFont="1" applyFill="1" applyBorder="1" applyAlignment="1">
      <alignment horizontal="left" vertical="top"/>
    </xf>
    <xf numFmtId="8" fontId="13" fillId="2" borderId="166" xfId="0" applyNumberFormat="1" applyFont="1" applyFill="1" applyBorder="1" applyAlignment="1">
      <alignment horizontal="left" vertical="top"/>
    </xf>
    <xf numFmtId="2" fontId="13" fillId="2" borderId="166" xfId="0" applyNumberFormat="1" applyFont="1" applyFill="1" applyBorder="1" applyAlignment="1">
      <alignment vertical="center"/>
    </xf>
    <xf numFmtId="183" fontId="13" fillId="2" borderId="166" xfId="361" applyNumberFormat="1" applyFont="1" applyFill="1" applyBorder="1" applyAlignment="1">
      <alignment horizontal="right" vertical="top"/>
    </xf>
    <xf numFmtId="2" fontId="13" fillId="2" borderId="166" xfId="0" applyNumberFormat="1" applyFont="1" applyFill="1" applyBorder="1" applyAlignment="1">
      <alignment horizontal="right" vertical="top"/>
    </xf>
    <xf numFmtId="6" fontId="13" fillId="2" borderId="166" xfId="0" applyNumberFormat="1" applyFont="1" applyFill="1" applyBorder="1" applyAlignment="1">
      <alignment vertical="top" wrapText="1"/>
    </xf>
    <xf numFmtId="179" fontId="13" fillId="2" borderId="166" xfId="0" applyNumberFormat="1" applyFont="1" applyFill="1" applyBorder="1" applyAlignment="1">
      <alignment horizontal="left" vertical="top" wrapText="1"/>
    </xf>
    <xf numFmtId="6" fontId="13" fillId="2" borderId="166" xfId="0" applyNumberFormat="1" applyFont="1" applyFill="1" applyBorder="1" applyAlignment="1">
      <alignment horizontal="right" vertical="top" wrapText="1"/>
    </xf>
    <xf numFmtId="2" fontId="13" fillId="2" borderId="166" xfId="0" quotePrefix="1" applyNumberFormat="1" applyFont="1" applyFill="1" applyBorder="1" applyAlignment="1">
      <alignment vertical="top"/>
    </xf>
    <xf numFmtId="6" fontId="13" fillId="2" borderId="167" xfId="0" applyNumberFormat="1" applyFont="1" applyFill="1" applyBorder="1" applyAlignment="1">
      <alignment vertical="top"/>
    </xf>
    <xf numFmtId="6" fontId="13" fillId="2" borderId="166" xfId="0" applyNumberFormat="1" applyFont="1" applyFill="1" applyBorder="1" applyAlignment="1">
      <alignment horizontal="right" vertical="top"/>
    </xf>
    <xf numFmtId="6" fontId="13" fillId="2" borderId="167" xfId="0" applyNumberFormat="1" applyFont="1" applyFill="1" applyBorder="1" applyAlignment="1">
      <alignment horizontal="right" vertical="top" wrapText="1"/>
    </xf>
    <xf numFmtId="0" fontId="13" fillId="2" borderId="166" xfId="359" applyNumberFormat="1" applyFont="1" applyFill="1" applyBorder="1" applyAlignment="1">
      <alignment horizontal="left" vertical="top" wrapText="1"/>
    </xf>
    <xf numFmtId="179" fontId="13" fillId="2" borderId="6" xfId="0" applyNumberFormat="1" applyFont="1" applyFill="1" applyBorder="1" applyAlignment="1">
      <alignment horizontal="left" vertical="top" wrapText="1"/>
    </xf>
    <xf numFmtId="179" fontId="13" fillId="2" borderId="166" xfId="359" applyNumberFormat="1" applyFont="1" applyFill="1" applyBorder="1" applyAlignment="1">
      <alignment vertical="center"/>
    </xf>
    <xf numFmtId="2" fontId="13" fillId="0" borderId="166" xfId="0" applyNumberFormat="1" applyFont="1" applyBorder="1" applyAlignment="1">
      <alignment horizontal="left" vertical="top" wrapText="1"/>
    </xf>
    <xf numFmtId="179" fontId="13" fillId="2" borderId="166" xfId="0" applyNumberFormat="1" applyFont="1" applyFill="1" applyBorder="1" applyAlignment="1">
      <alignment horizontal="right" vertical="top" wrapText="1"/>
    </xf>
    <xf numFmtId="179" fontId="13" fillId="2" borderId="166" xfId="0" applyNumberFormat="1" applyFont="1" applyFill="1" applyBorder="1" applyAlignment="1">
      <alignment horizontal="left" vertical="center"/>
    </xf>
    <xf numFmtId="0" fontId="13" fillId="2" borderId="166" xfId="359" applyNumberFormat="1" applyFont="1" applyFill="1" applyBorder="1" applyAlignment="1">
      <alignment horizontal="left" vertical="top"/>
    </xf>
    <xf numFmtId="3" fontId="13" fillId="0" borderId="166" xfId="0" quotePrefix="1" applyNumberFormat="1" applyFont="1" applyBorder="1" applyAlignment="1">
      <alignment vertical="top"/>
    </xf>
    <xf numFmtId="0" fontId="82" fillId="0" borderId="166" xfId="0" applyFont="1" applyBorder="1" applyAlignment="1">
      <alignment vertical="top"/>
    </xf>
    <xf numFmtId="8" fontId="13" fillId="0" borderId="166" xfId="0" applyNumberFormat="1" applyFont="1" applyBorder="1" applyAlignment="1">
      <alignment vertical="top"/>
    </xf>
    <xf numFmtId="3" fontId="86" fillId="3" borderId="166" xfId="0" applyNumberFormat="1" applyFont="1" applyFill="1" applyBorder="1" applyAlignment="1">
      <alignment horizontal="left" vertical="top" wrapText="1"/>
    </xf>
    <xf numFmtId="6" fontId="86" fillId="3" borderId="166" xfId="0" applyNumberFormat="1" applyFont="1" applyFill="1" applyBorder="1" applyAlignment="1">
      <alignment vertical="top" wrapText="1"/>
    </xf>
    <xf numFmtId="44" fontId="13" fillId="0" borderId="166" xfId="0" applyNumberFormat="1" applyFont="1" applyBorder="1" applyAlignment="1">
      <alignment vertical="top"/>
    </xf>
    <xf numFmtId="0" fontId="12" fillId="0" borderId="166" xfId="0" applyFont="1" applyBorder="1" applyAlignment="1">
      <alignment horizontal="left" vertical="top" wrapText="1"/>
    </xf>
    <xf numFmtId="0" fontId="86" fillId="3" borderId="166" xfId="0" applyFont="1" applyFill="1" applyBorder="1" applyAlignment="1">
      <alignment horizontal="left" vertical="center"/>
    </xf>
    <xf numFmtId="0" fontId="86" fillId="3" borderId="166" xfId="0" applyFont="1" applyFill="1" applyBorder="1" applyAlignment="1">
      <alignment horizontal="center" vertical="center"/>
    </xf>
    <xf numFmtId="10" fontId="13" fillId="2" borderId="166" xfId="361" applyNumberFormat="1" applyFont="1" applyFill="1" applyBorder="1" applyAlignment="1">
      <alignment vertical="center"/>
    </xf>
    <xf numFmtId="3" fontId="13" fillId="2" borderId="166" xfId="0" applyNumberFormat="1" applyFont="1" applyFill="1" applyBorder="1" applyAlignment="1">
      <alignment vertical="center"/>
    </xf>
    <xf numFmtId="3" fontId="15" fillId="3" borderId="166" xfId="0" applyNumberFormat="1" applyFont="1" applyFill="1" applyBorder="1" applyAlignment="1">
      <alignment vertical="center"/>
    </xf>
    <xf numFmtId="0" fontId="86" fillId="2" borderId="166" xfId="0" applyFont="1" applyFill="1" applyBorder="1" applyAlignment="1">
      <alignment vertical="center" wrapText="1"/>
    </xf>
    <xf numFmtId="183" fontId="13" fillId="2" borderId="166" xfId="361" applyNumberFormat="1" applyFont="1" applyFill="1" applyBorder="1"/>
    <xf numFmtId="43" fontId="13" fillId="2" borderId="166" xfId="360" applyFont="1" applyFill="1" applyBorder="1"/>
    <xf numFmtId="3" fontId="13" fillId="2" borderId="166" xfId="0" applyNumberFormat="1" applyFont="1" applyFill="1" applyBorder="1" applyAlignment="1">
      <alignment vertical="center" wrapText="1"/>
    </xf>
    <xf numFmtId="180" fontId="13" fillId="2" borderId="166" xfId="0" applyNumberFormat="1" applyFont="1" applyFill="1" applyBorder="1" applyAlignment="1">
      <alignment vertical="center" wrapText="1"/>
    </xf>
    <xf numFmtId="9" fontId="13" fillId="2" borderId="166" xfId="361" applyFont="1" applyFill="1" applyBorder="1" applyAlignment="1">
      <alignment vertical="center" wrapText="1"/>
    </xf>
    <xf numFmtId="14" fontId="82" fillId="2" borderId="166" xfId="0" quotePrefix="1" applyNumberFormat="1" applyFont="1" applyFill="1" applyBorder="1"/>
    <xf numFmtId="0" fontId="82" fillId="2" borderId="166" xfId="0" quotePrefix="1" applyFont="1" applyFill="1" applyBorder="1"/>
    <xf numFmtId="44" fontId="13" fillId="2" borderId="166" xfId="359" applyFont="1" applyFill="1" applyBorder="1" applyAlignment="1">
      <alignment horizontal="left" vertical="center"/>
    </xf>
    <xf numFmtId="188" fontId="13" fillId="2" borderId="166" xfId="0" applyNumberFormat="1" applyFont="1" applyFill="1" applyBorder="1" applyAlignment="1">
      <alignment vertical="top"/>
    </xf>
    <xf numFmtId="179" fontId="13" fillId="0" borderId="166" xfId="0" applyNumberFormat="1" applyFont="1" applyBorder="1" applyAlignment="1">
      <alignment vertical="top" wrapText="1"/>
    </xf>
    <xf numFmtId="44" fontId="13" fillId="2" borderId="166" xfId="359" quotePrefix="1" applyFont="1" applyFill="1" applyBorder="1" applyAlignment="1">
      <alignment vertical="top"/>
    </xf>
    <xf numFmtId="164" fontId="13" fillId="2" borderId="166" xfId="0" applyNumberFormat="1" applyFont="1" applyFill="1" applyBorder="1" applyAlignment="1">
      <alignment horizontal="right" vertical="top" wrapText="1"/>
    </xf>
    <xf numFmtId="0" fontId="13" fillId="3" borderId="166" xfId="0" applyFont="1" applyFill="1" applyBorder="1" applyAlignment="1">
      <alignment horizontal="centerContinuous" vertical="top"/>
    </xf>
    <xf numFmtId="0" fontId="13" fillId="0" borderId="167" xfId="0" applyFont="1" applyBorder="1" applyAlignment="1">
      <alignment vertical="top" wrapText="1"/>
    </xf>
    <xf numFmtId="0" fontId="82" fillId="2" borderId="169" xfId="0" applyFont="1" applyFill="1" applyBorder="1" applyAlignment="1">
      <alignment vertical="top"/>
    </xf>
    <xf numFmtId="0" fontId="82" fillId="0" borderId="166" xfId="0" applyFont="1" applyBorder="1"/>
    <xf numFmtId="44" fontId="15" fillId="3" borderId="166" xfId="359" applyFont="1" applyFill="1" applyBorder="1" applyAlignment="1">
      <alignment vertical="center"/>
    </xf>
    <xf numFmtId="179" fontId="82" fillId="2" borderId="166" xfId="0" applyNumberFormat="1" applyFont="1" applyFill="1" applyBorder="1"/>
    <xf numFmtId="6" fontId="13" fillId="2" borderId="166" xfId="359" applyNumberFormat="1" applyFont="1" applyFill="1" applyBorder="1" applyAlignment="1">
      <alignment vertical="center"/>
    </xf>
    <xf numFmtId="0" fontId="15" fillId="3" borderId="6" xfId="0" applyFont="1" applyFill="1" applyBorder="1" applyAlignment="1">
      <alignment horizontal="left"/>
    </xf>
    <xf numFmtId="0" fontId="88" fillId="2" borderId="0" xfId="0" applyFont="1" applyFill="1" applyAlignment="1">
      <alignment vertical="top" wrapText="1"/>
    </xf>
    <xf numFmtId="165" fontId="15" fillId="2" borderId="166" xfId="0" applyNumberFormat="1" applyFont="1" applyFill="1" applyBorder="1"/>
    <xf numFmtId="1" fontId="15" fillId="3" borderId="166" xfId="0" applyNumberFormat="1" applyFont="1" applyFill="1" applyBorder="1" applyAlignment="1">
      <alignment vertical="top"/>
    </xf>
    <xf numFmtId="179" fontId="13" fillId="2" borderId="166" xfId="0" quotePrefix="1" applyNumberFormat="1" applyFont="1" applyFill="1" applyBorder="1" applyAlignment="1">
      <alignment horizontal="left" vertical="top" wrapText="1"/>
    </xf>
    <xf numFmtId="0" fontId="365" fillId="109" borderId="166" xfId="0" applyFont="1" applyFill="1" applyBorder="1"/>
    <xf numFmtId="0" fontId="13" fillId="110" borderId="166" xfId="0" applyFont="1" applyFill="1" applyBorder="1"/>
    <xf numFmtId="0" fontId="13" fillId="2" borderId="0" xfId="359" applyNumberFormat="1" applyFont="1" applyFill="1" applyAlignment="1">
      <alignment vertical="top"/>
    </xf>
    <xf numFmtId="43" fontId="13" fillId="2" borderId="166" xfId="3329" applyFont="1" applyFill="1" applyBorder="1" applyAlignment="1">
      <alignment vertical="top" wrapText="1"/>
    </xf>
    <xf numFmtId="180" fontId="13" fillId="2" borderId="166" xfId="0" applyNumberFormat="1" applyFont="1" applyFill="1" applyBorder="1" applyAlignment="1">
      <alignment horizontal="left" vertical="top"/>
    </xf>
    <xf numFmtId="182" fontId="13" fillId="2" borderId="166" xfId="0" quotePrefix="1" applyNumberFormat="1" applyFont="1" applyFill="1" applyBorder="1" applyAlignment="1">
      <alignment horizontal="center" vertical="top"/>
    </xf>
    <xf numFmtId="0" fontId="15" fillId="3" borderId="167" xfId="0" applyFont="1" applyFill="1" applyBorder="1" applyAlignment="1">
      <alignment horizontal="centerContinuous"/>
    </xf>
    <xf numFmtId="0" fontId="15" fillId="3" borderId="168" xfId="0" applyFont="1" applyFill="1" applyBorder="1" applyAlignment="1">
      <alignment horizontal="centerContinuous"/>
    </xf>
    <xf numFmtId="0" fontId="15" fillId="3" borderId="169" xfId="0" applyFont="1" applyFill="1" applyBorder="1" applyAlignment="1">
      <alignment horizontal="centerContinuous"/>
    </xf>
    <xf numFmtId="0" fontId="13" fillId="2" borderId="166" xfId="360" applyNumberFormat="1" applyFont="1" applyFill="1" applyBorder="1"/>
    <xf numFmtId="9" fontId="13" fillId="2" borderId="166" xfId="0" applyNumberFormat="1" applyFont="1" applyFill="1" applyBorder="1"/>
    <xf numFmtId="6" fontId="13" fillId="2" borderId="166" xfId="359" quotePrefix="1" applyNumberFormat="1" applyFont="1" applyFill="1" applyBorder="1" applyAlignment="1">
      <alignment vertical="top"/>
    </xf>
    <xf numFmtId="165" fontId="13" fillId="0" borderId="166" xfId="0" applyNumberFormat="1" applyFont="1" applyBorder="1" applyAlignment="1">
      <alignment vertical="top"/>
    </xf>
    <xf numFmtId="44" fontId="13" fillId="0" borderId="166" xfId="359" applyFont="1" applyFill="1" applyBorder="1" applyAlignment="1">
      <alignment vertical="top" wrapText="1"/>
    </xf>
    <xf numFmtId="0" fontId="13" fillId="2" borderId="166" xfId="89" applyFont="1" applyFill="1" applyBorder="1" applyAlignment="1" applyProtection="1">
      <alignment vertical="top"/>
    </xf>
    <xf numFmtId="3" fontId="95" fillId="2" borderId="166" xfId="2" applyNumberFormat="1" applyFont="1" applyFill="1" applyBorder="1" applyAlignment="1">
      <alignment horizontal="left" vertical="top" wrapText="1"/>
    </xf>
    <xf numFmtId="0" fontId="86" fillId="2" borderId="166" xfId="0" applyFont="1" applyFill="1" applyBorder="1" applyAlignment="1">
      <alignment horizontal="center" vertical="center"/>
    </xf>
    <xf numFmtId="1" fontId="82" fillId="2" borderId="166" xfId="0" applyNumberFormat="1" applyFont="1" applyFill="1" applyBorder="1" applyAlignment="1">
      <alignment horizontal="center" vertical="center"/>
    </xf>
    <xf numFmtId="0" fontId="15" fillId="2" borderId="166" xfId="0" applyFont="1" applyFill="1" applyBorder="1" applyAlignment="1">
      <alignment wrapText="1"/>
    </xf>
    <xf numFmtId="184" fontId="15" fillId="2" borderId="166" xfId="0" applyNumberFormat="1" applyFont="1" applyFill="1" applyBorder="1"/>
    <xf numFmtId="1" fontId="13" fillId="2" borderId="166" xfId="0" applyNumberFormat="1" applyFont="1" applyFill="1" applyBorder="1" applyAlignment="1">
      <alignment horizontal="center" vertical="center"/>
    </xf>
    <xf numFmtId="182" fontId="82" fillId="2" borderId="166" xfId="360" applyNumberFormat="1" applyFont="1" applyFill="1" applyBorder="1" applyAlignment="1">
      <alignment vertical="top"/>
    </xf>
    <xf numFmtId="0" fontId="13" fillId="0" borderId="166" xfId="0" quotePrefix="1" applyFont="1" applyBorder="1" applyAlignment="1">
      <alignment horizontal="right" vertical="top"/>
    </xf>
    <xf numFmtId="0" fontId="13" fillId="0" borderId="166" xfId="0" applyFont="1" applyBorder="1" applyAlignment="1">
      <alignment horizontal="right" vertical="top"/>
    </xf>
    <xf numFmtId="0" fontId="13" fillId="2" borderId="25" xfId="0" applyFont="1" applyFill="1" applyBorder="1" applyAlignment="1">
      <alignment horizontal="left" vertical="top"/>
    </xf>
    <xf numFmtId="6" fontId="82" fillId="2" borderId="166" xfId="0" applyNumberFormat="1" applyFont="1" applyFill="1" applyBorder="1" applyAlignment="1">
      <alignment horizontal="left" vertical="top"/>
    </xf>
    <xf numFmtId="179" fontId="82" fillId="2" borderId="6" xfId="0" applyNumberFormat="1" applyFont="1" applyFill="1" applyBorder="1" applyAlignment="1">
      <alignment vertical="top" wrapText="1"/>
    </xf>
    <xf numFmtId="0" fontId="13" fillId="2" borderId="166" xfId="391" applyFont="1" applyFill="1" applyBorder="1" applyAlignment="1">
      <alignment horizontal="right" vertical="center" wrapText="1"/>
    </xf>
    <xf numFmtId="165" fontId="13" fillId="2" borderId="166" xfId="408" applyNumberFormat="1" applyFont="1" applyFill="1" applyBorder="1" applyAlignment="1">
      <alignment horizontal="right"/>
    </xf>
    <xf numFmtId="0" fontId="15" fillId="0" borderId="0" xfId="391" applyFont="1" applyAlignment="1">
      <alignment horizontal="right" vertical="center" wrapText="1"/>
    </xf>
    <xf numFmtId="0" fontId="15" fillId="3" borderId="41" xfId="0" applyFont="1" applyFill="1" applyBorder="1" applyAlignment="1">
      <alignment horizontal="left" vertical="center" wrapText="1"/>
    </xf>
    <xf numFmtId="0" fontId="13" fillId="59" borderId="41" xfId="0" applyFont="1" applyFill="1" applyBorder="1" applyAlignment="1">
      <alignment horizontal="left"/>
    </xf>
    <xf numFmtId="165" fontId="13" fillId="59" borderId="41" xfId="0" applyNumberFormat="1" applyFont="1" applyFill="1" applyBorder="1" applyAlignment="1">
      <alignment horizontal="right"/>
    </xf>
    <xf numFmtId="0" fontId="13" fillId="2" borderId="41" xfId="0" applyFont="1" applyFill="1" applyBorder="1" applyAlignment="1">
      <alignment horizontal="left"/>
    </xf>
    <xf numFmtId="165" fontId="13" fillId="2" borderId="41" xfId="0" applyNumberFormat="1" applyFont="1" applyFill="1" applyBorder="1" applyAlignment="1">
      <alignment horizontal="right"/>
    </xf>
    <xf numFmtId="0" fontId="15" fillId="2" borderId="0" xfId="391" applyFont="1" applyFill="1" applyAlignment="1">
      <alignment horizontal="right" vertical="center" wrapText="1"/>
    </xf>
    <xf numFmtId="0" fontId="15" fillId="3" borderId="166" xfId="391" applyFont="1" applyFill="1" applyBorder="1" applyAlignment="1">
      <alignment horizontal="left" wrapText="1"/>
    </xf>
    <xf numFmtId="0" fontId="15" fillId="3" borderId="166" xfId="391" applyFont="1" applyFill="1" applyBorder="1" applyAlignment="1">
      <alignment horizontal="right" vertical="center" wrapText="1"/>
    </xf>
    <xf numFmtId="0" fontId="371" fillId="188" borderId="166" xfId="361" applyNumberFormat="1" applyFont="1" applyFill="1" applyBorder="1" applyAlignment="1">
      <alignment horizontal="right" vertical="center"/>
    </xf>
    <xf numFmtId="0" fontId="13" fillId="2" borderId="166" xfId="0" applyFont="1" applyFill="1" applyBorder="1" applyAlignment="1">
      <alignment horizontal="left"/>
    </xf>
    <xf numFmtId="0" fontId="15" fillId="2" borderId="166" xfId="0" applyFont="1" applyFill="1" applyBorder="1" applyAlignment="1">
      <alignment horizontal="left"/>
    </xf>
    <xf numFmtId="0" fontId="15" fillId="3" borderId="166" xfId="391" applyFont="1" applyFill="1" applyBorder="1" applyAlignment="1">
      <alignment horizontal="left" vertical="center" wrapText="1"/>
    </xf>
    <xf numFmtId="180" fontId="372" fillId="2" borderId="0" xfId="89" applyNumberFormat="1" applyFont="1" applyFill="1" applyAlignment="1" applyProtection="1">
      <alignment horizontal="left" vertical="top" wrapText="1"/>
    </xf>
    <xf numFmtId="0" fontId="372" fillId="2" borderId="0" xfId="89" applyFont="1" applyFill="1" applyAlignment="1" applyProtection="1">
      <alignment vertical="top"/>
    </xf>
    <xf numFmtId="0" fontId="372" fillId="2" borderId="0" xfId="89" applyFont="1" applyFill="1" applyBorder="1" applyAlignment="1" applyProtection="1">
      <alignment horizontal="left" vertical="center"/>
    </xf>
    <xf numFmtId="0" fontId="13" fillId="4" borderId="25" xfId="0" applyFont="1" applyFill="1" applyBorder="1"/>
    <xf numFmtId="1" fontId="13" fillId="2" borderId="32" xfId="0" applyNumberFormat="1" applyFont="1" applyFill="1" applyBorder="1" applyAlignment="1">
      <alignment vertical="top"/>
    </xf>
    <xf numFmtId="180" fontId="13" fillId="2" borderId="32" xfId="0" applyNumberFormat="1" applyFont="1" applyFill="1" applyBorder="1" applyAlignment="1">
      <alignment vertical="top"/>
    </xf>
    <xf numFmtId="0" fontId="15" fillId="2" borderId="167" xfId="0" applyFont="1" applyFill="1" applyBorder="1" applyAlignment="1">
      <alignment horizontal="center" vertical="center"/>
    </xf>
    <xf numFmtId="0" fontId="15" fillId="2" borderId="6" xfId="0" applyFont="1" applyFill="1" applyBorder="1" applyAlignment="1">
      <alignment horizontal="center" vertical="center"/>
    </xf>
    <xf numFmtId="0" fontId="13" fillId="2" borderId="166" xfId="0" quotePrefix="1" applyFont="1" applyFill="1" applyBorder="1" applyAlignment="1">
      <alignment horizontal="center" vertical="top"/>
    </xf>
    <xf numFmtId="0" fontId="86" fillId="8" borderId="166" xfId="0" applyFont="1" applyFill="1" applyBorder="1" applyAlignment="1">
      <alignment vertical="top"/>
    </xf>
    <xf numFmtId="0" fontId="86" fillId="8" borderId="166" xfId="0" applyFont="1" applyFill="1" applyBorder="1" applyAlignment="1">
      <alignment vertical="top" wrapText="1"/>
    </xf>
    <xf numFmtId="179" fontId="82" fillId="2" borderId="166" xfId="0" applyNumberFormat="1" applyFont="1" applyFill="1" applyBorder="1" applyAlignment="1">
      <alignment horizontal="right" vertical="top" wrapText="1"/>
    </xf>
    <xf numFmtId="3" fontId="13" fillId="2" borderId="0" xfId="0" applyNumberFormat="1" applyFont="1" applyFill="1" applyAlignment="1">
      <alignment horizontal="left" vertical="top"/>
    </xf>
    <xf numFmtId="0" fontId="369" fillId="2" borderId="0" xfId="0" applyFont="1" applyFill="1" applyAlignment="1">
      <alignment horizontal="justify" vertical="top"/>
    </xf>
    <xf numFmtId="3" fontId="370" fillId="2" borderId="0" xfId="0" applyNumberFormat="1" applyFont="1" applyFill="1" applyAlignment="1">
      <alignment horizontal="justify" vertical="top"/>
    </xf>
    <xf numFmtId="3" fontId="369" fillId="2" borderId="0" xfId="0" applyNumberFormat="1" applyFont="1" applyFill="1" applyAlignment="1">
      <alignment horizontal="justify" vertical="top"/>
    </xf>
    <xf numFmtId="0" fontId="368" fillId="2" borderId="0" xfId="0" applyFont="1" applyFill="1" applyAlignment="1">
      <alignment vertical="top"/>
    </xf>
    <xf numFmtId="9" fontId="13" fillId="2" borderId="166" xfId="361" applyFont="1" applyFill="1" applyBorder="1" applyAlignment="1">
      <alignment vertical="top"/>
    </xf>
    <xf numFmtId="0" fontId="15" fillId="2" borderId="166" xfId="0" applyFont="1" applyFill="1" applyBorder="1" applyAlignment="1">
      <alignment horizontal="right" vertical="top"/>
    </xf>
    <xf numFmtId="9" fontId="13" fillId="2" borderId="0" xfId="361" applyFont="1" applyFill="1" applyBorder="1" applyAlignment="1">
      <alignment vertical="top"/>
    </xf>
    <xf numFmtId="0" fontId="0" fillId="2" borderId="0" xfId="0" applyFill="1" applyAlignment="1">
      <alignment vertical="top"/>
    </xf>
    <xf numFmtId="182" fontId="13" fillId="2" borderId="166" xfId="360" applyNumberFormat="1" applyFont="1" applyFill="1" applyBorder="1" applyAlignment="1">
      <alignment horizontal="right" vertical="top" wrapText="1"/>
    </xf>
    <xf numFmtId="179" fontId="13" fillId="2" borderId="6" xfId="360" applyNumberFormat="1" applyFont="1" applyFill="1" applyBorder="1" applyAlignment="1">
      <alignment horizontal="right" vertical="top" wrapText="1"/>
    </xf>
    <xf numFmtId="179" fontId="13" fillId="2" borderId="166" xfId="360" applyNumberFormat="1" applyFont="1" applyFill="1" applyBorder="1" applyAlignment="1">
      <alignment horizontal="right" vertical="top" wrapText="1"/>
    </xf>
    <xf numFmtId="180" fontId="82" fillId="2" borderId="166" xfId="0" applyNumberFormat="1" applyFont="1" applyFill="1" applyBorder="1" applyAlignment="1">
      <alignment horizontal="right" vertical="top" wrapText="1"/>
    </xf>
    <xf numFmtId="179" fontId="82" fillId="3" borderId="166" xfId="0" applyNumberFormat="1" applyFont="1" applyFill="1" applyBorder="1" applyAlignment="1">
      <alignment horizontal="right" vertical="top" wrapText="1"/>
    </xf>
    <xf numFmtId="10" fontId="13" fillId="2" borderId="0" xfId="361" applyNumberFormat="1" applyFont="1" applyFill="1" applyAlignment="1">
      <alignment vertical="top"/>
    </xf>
    <xf numFmtId="0" fontId="13" fillId="189" borderId="6" xfId="0" applyFont="1" applyFill="1" applyBorder="1" applyAlignment="1">
      <alignment vertical="top"/>
    </xf>
    <xf numFmtId="0" fontId="13" fillId="189" borderId="36" xfId="0" applyFont="1" applyFill="1" applyBorder="1" applyAlignment="1">
      <alignment vertical="top"/>
    </xf>
    <xf numFmtId="0" fontId="15" fillId="2" borderId="166" xfId="0" applyFont="1" applyFill="1" applyBorder="1" applyAlignment="1">
      <alignment horizontal="right" vertical="top" wrapText="1"/>
    </xf>
    <xf numFmtId="0" fontId="13" fillId="2" borderId="166" xfId="0" applyFont="1" applyFill="1" applyBorder="1" applyAlignment="1">
      <alignment horizontal="center" vertical="center" wrapText="1"/>
    </xf>
    <xf numFmtId="182" fontId="13" fillId="2" borderId="0" xfId="0" quotePrefix="1" applyNumberFormat="1" applyFont="1" applyFill="1" applyAlignment="1">
      <alignment horizontal="left" vertical="top" wrapText="1"/>
    </xf>
    <xf numFmtId="182" fontId="13" fillId="2" borderId="0" xfId="0" applyNumberFormat="1" applyFont="1" applyFill="1" applyAlignment="1">
      <alignment horizontal="left" vertical="top" wrapText="1"/>
    </xf>
    <xf numFmtId="182" fontId="13" fillId="0" borderId="0" xfId="360" applyNumberFormat="1" applyFont="1" applyBorder="1" applyAlignment="1">
      <alignment vertical="top"/>
    </xf>
    <xf numFmtId="0" fontId="373" fillId="2" borderId="0" xfId="0" applyFont="1" applyFill="1" applyAlignment="1">
      <alignment horizontal="left" vertical="top"/>
    </xf>
    <xf numFmtId="0" fontId="373" fillId="2" borderId="0" xfId="0" applyFont="1" applyFill="1" applyAlignment="1">
      <alignment horizontal="right" vertical="top"/>
    </xf>
    <xf numFmtId="179" fontId="13" fillId="0" borderId="0" xfId="0" applyNumberFormat="1" applyFont="1"/>
    <xf numFmtId="180" fontId="13" fillId="2" borderId="166" xfId="0" quotePrefix="1" applyNumberFormat="1" applyFont="1" applyFill="1" applyBorder="1"/>
    <xf numFmtId="182" fontId="13" fillId="2" borderId="0" xfId="0" applyNumberFormat="1" applyFont="1" applyFill="1" applyAlignment="1">
      <alignment vertical="top"/>
    </xf>
    <xf numFmtId="287" fontId="13" fillId="2" borderId="0" xfId="0" applyNumberFormat="1" applyFont="1" applyFill="1" applyAlignment="1">
      <alignment vertical="top"/>
    </xf>
    <xf numFmtId="180" fontId="13" fillId="2" borderId="167" xfId="0" applyNumberFormat="1" applyFont="1" applyFill="1" applyBorder="1"/>
    <xf numFmtId="180" fontId="13" fillId="2" borderId="7" xfId="0" applyNumberFormat="1" applyFont="1" applyFill="1" applyBorder="1" applyAlignment="1">
      <alignment vertical="top"/>
    </xf>
    <xf numFmtId="2" fontId="13" fillId="0" borderId="166" xfId="360" applyNumberFormat="1" applyFont="1" applyBorder="1" applyAlignment="1">
      <alignment vertical="top"/>
    </xf>
    <xf numFmtId="0" fontId="13" fillId="2" borderId="166" xfId="0" quotePrefix="1" applyFont="1" applyFill="1" applyBorder="1" applyAlignment="1">
      <alignment vertical="center" wrapText="1"/>
    </xf>
    <xf numFmtId="0" fontId="13" fillId="0" borderId="166" xfId="0" quotePrefix="1" applyFont="1" applyBorder="1" applyAlignment="1">
      <alignment vertical="center" wrapText="1"/>
    </xf>
    <xf numFmtId="180" fontId="13" fillId="2" borderId="166" xfId="0" quotePrefix="1" applyNumberFormat="1" applyFont="1" applyFill="1" applyBorder="1" applyAlignment="1">
      <alignment horizontal="center" vertical="top"/>
    </xf>
    <xf numFmtId="0" fontId="82" fillId="2" borderId="166" xfId="0" quotePrefix="1" applyFont="1" applyFill="1" applyBorder="1" applyAlignment="1">
      <alignment vertical="top"/>
    </xf>
    <xf numFmtId="180" fontId="13" fillId="2" borderId="166" xfId="0" quotePrefix="1" applyNumberFormat="1" applyFont="1" applyFill="1" applyBorder="1" applyAlignment="1">
      <alignment vertical="top"/>
    </xf>
    <xf numFmtId="180" fontId="13" fillId="2" borderId="167" xfId="0" applyNumberFormat="1" applyFont="1" applyFill="1" applyBorder="1" applyAlignment="1">
      <alignment horizontal="center" vertical="top"/>
    </xf>
    <xf numFmtId="0" fontId="13" fillId="2" borderId="167" xfId="0" quotePrefix="1" applyFont="1" applyFill="1" applyBorder="1" applyAlignment="1">
      <alignment vertical="top"/>
    </xf>
    <xf numFmtId="180" fontId="13" fillId="2" borderId="167" xfId="0" quotePrefix="1" applyNumberFormat="1" applyFont="1" applyFill="1" applyBorder="1" applyAlignment="1">
      <alignment vertical="top"/>
    </xf>
    <xf numFmtId="180" fontId="13" fillId="2" borderId="166" xfId="0" quotePrefix="1" applyNumberFormat="1" applyFont="1" applyFill="1" applyBorder="1" applyAlignment="1">
      <alignment horizontal="center" vertical="center"/>
    </xf>
    <xf numFmtId="180" fontId="13" fillId="2" borderId="36" xfId="0" quotePrefix="1" applyNumberFormat="1" applyFont="1" applyFill="1" applyBorder="1" applyAlignment="1">
      <alignment horizontal="center" vertical="center"/>
    </xf>
    <xf numFmtId="180" fontId="13" fillId="2" borderId="36" xfId="0" quotePrefix="1" applyNumberFormat="1" applyFont="1" applyFill="1" applyBorder="1" applyAlignment="1">
      <alignment horizontal="center" vertical="top"/>
    </xf>
    <xf numFmtId="0" fontId="82" fillId="2" borderId="166" xfId="0" applyFont="1" applyFill="1" applyBorder="1" applyAlignment="1">
      <alignment vertical="center"/>
    </xf>
    <xf numFmtId="0" fontId="0" fillId="0" borderId="166" xfId="0" quotePrefix="1" applyBorder="1"/>
    <xf numFmtId="0" fontId="13" fillId="2" borderId="36" xfId="0" applyFont="1" applyFill="1" applyBorder="1" applyAlignment="1">
      <alignment horizontal="left" vertical="top" wrapText="1"/>
    </xf>
    <xf numFmtId="0" fontId="15" fillId="0" borderId="166" xfId="0" applyFont="1" applyBorder="1"/>
    <xf numFmtId="0" fontId="13" fillId="58" borderId="167" xfId="0" applyFont="1" applyFill="1" applyBorder="1"/>
    <xf numFmtId="0" fontId="13" fillId="58" borderId="168" xfId="0" applyFont="1" applyFill="1" applyBorder="1"/>
    <xf numFmtId="0" fontId="13" fillId="58" borderId="169" xfId="0" applyFont="1" applyFill="1" applyBorder="1"/>
    <xf numFmtId="0" fontId="372" fillId="2" borderId="166" xfId="89" applyFont="1" applyFill="1" applyBorder="1" applyAlignment="1" applyProtection="1">
      <alignment vertical="top"/>
    </xf>
    <xf numFmtId="0" fontId="372" fillId="2" borderId="6" xfId="89" applyFont="1" applyFill="1" applyBorder="1" applyAlignment="1" applyProtection="1">
      <alignment vertical="top"/>
    </xf>
    <xf numFmtId="0" fontId="372" fillId="0" borderId="166" xfId="89" applyFont="1" applyBorder="1" applyAlignment="1" applyProtection="1">
      <alignment vertical="top"/>
    </xf>
    <xf numFmtId="0" fontId="372" fillId="0" borderId="0" xfId="89" applyFont="1" applyAlignment="1" applyProtection="1">
      <alignment vertical="top"/>
    </xf>
    <xf numFmtId="0" fontId="375" fillId="2" borderId="0" xfId="0" applyFont="1" applyFill="1" applyAlignment="1">
      <alignment horizontal="left" vertical="top"/>
    </xf>
    <xf numFmtId="0" fontId="102" fillId="2" borderId="0" xfId="0" applyFont="1" applyFill="1" applyAlignment="1">
      <alignment horizontal="left" vertical="top"/>
    </xf>
    <xf numFmtId="0" fontId="15" fillId="2" borderId="0" xfId="0" applyFont="1" applyFill="1" applyAlignment="1">
      <alignment horizontal="left" vertical="top"/>
    </xf>
    <xf numFmtId="0" fontId="372" fillId="2" borderId="0" xfId="89" applyFont="1" applyFill="1" applyAlignment="1" applyProtection="1">
      <alignment horizontal="left" vertical="top"/>
    </xf>
    <xf numFmtId="0" fontId="82" fillId="2" borderId="0" xfId="89" applyFont="1" applyFill="1" applyAlignment="1" applyProtection="1">
      <alignment horizontal="left" vertical="top"/>
    </xf>
    <xf numFmtId="0" fontId="86" fillId="59" borderId="166" xfId="0" applyFont="1" applyFill="1" applyBorder="1" applyAlignment="1">
      <alignment vertical="top"/>
    </xf>
    <xf numFmtId="0" fontId="13" fillId="0" borderId="6" xfId="0" applyFont="1" applyBorder="1" applyAlignment="1">
      <alignment horizontal="left" vertical="top"/>
    </xf>
    <xf numFmtId="0" fontId="13" fillId="0" borderId="166" xfId="0" quotePrefix="1" applyFont="1" applyBorder="1" applyAlignment="1">
      <alignment horizontal="left" vertical="top"/>
    </xf>
    <xf numFmtId="0" fontId="13" fillId="0" borderId="0" xfId="0" applyFont="1" applyAlignment="1">
      <alignment horizontal="left" vertical="top"/>
    </xf>
    <xf numFmtId="0" fontId="13" fillId="0" borderId="6" xfId="0" quotePrefix="1" applyFont="1" applyBorder="1" applyAlignment="1">
      <alignment horizontal="left" vertical="top"/>
    </xf>
    <xf numFmtId="0" fontId="18" fillId="2" borderId="166" xfId="89" applyFill="1" applyBorder="1" applyAlignment="1" applyProtection="1">
      <alignment vertical="top"/>
    </xf>
    <xf numFmtId="0" fontId="13" fillId="2" borderId="36" xfId="0" applyFont="1" applyFill="1" applyBorder="1" applyAlignment="1">
      <alignment vertical="top" wrapText="1"/>
    </xf>
    <xf numFmtId="8" fontId="82" fillId="2" borderId="166" xfId="0" applyNumberFormat="1" applyFont="1" applyFill="1" applyBorder="1"/>
    <xf numFmtId="0" fontId="13" fillId="2" borderId="6" xfId="0" applyFont="1" applyFill="1" applyBorder="1" applyAlignment="1">
      <alignment horizontal="left" vertical="top" wrapText="1"/>
    </xf>
    <xf numFmtId="180" fontId="13" fillId="2" borderId="166" xfId="360" applyNumberFormat="1" applyFont="1" applyFill="1" applyBorder="1" applyAlignment="1">
      <alignment vertical="center"/>
    </xf>
    <xf numFmtId="182" fontId="374" fillId="7" borderId="172" xfId="360" applyNumberFormat="1" applyFont="1" applyFill="1" applyBorder="1" applyAlignment="1">
      <alignment vertical="top" wrapText="1"/>
    </xf>
    <xf numFmtId="0" fontId="15" fillId="2" borderId="0" xfId="0" applyFont="1" applyFill="1" applyAlignment="1">
      <alignment horizontal="left" vertical="top" wrapText="1"/>
    </xf>
    <xf numFmtId="0" fontId="377" fillId="2" borderId="0" xfId="0" applyFont="1" applyFill="1" applyAlignment="1">
      <alignment horizontal="left" vertical="top"/>
    </xf>
    <xf numFmtId="6" fontId="13" fillId="2" borderId="168" xfId="0" applyNumberFormat="1" applyFont="1" applyFill="1" applyBorder="1" applyAlignment="1">
      <alignment horizontal="left" vertical="top" wrapText="1"/>
    </xf>
    <xf numFmtId="0" fontId="13" fillId="2" borderId="0" xfId="359" applyNumberFormat="1" applyFont="1" applyFill="1" applyBorder="1" applyAlignment="1">
      <alignment vertical="top" wrapText="1"/>
    </xf>
    <xf numFmtId="0" fontId="87" fillId="191" borderId="179" xfId="0" applyFont="1" applyFill="1" applyBorder="1" applyAlignment="1">
      <alignment horizontal="left" vertical="top" wrapText="1"/>
    </xf>
    <xf numFmtId="0" fontId="87" fillId="191" borderId="179" xfId="0" applyFont="1" applyFill="1" applyBorder="1" applyAlignment="1">
      <alignment vertical="center" wrapText="1"/>
    </xf>
    <xf numFmtId="2" fontId="13" fillId="2" borderId="166" xfId="0" applyNumberFormat="1" applyFont="1" applyFill="1" applyBorder="1" applyAlignment="1">
      <alignment horizontal="center" vertical="center"/>
    </xf>
    <xf numFmtId="180" fontId="13" fillId="2" borderId="36" xfId="0" quotePrefix="1" applyNumberFormat="1" applyFont="1" applyFill="1" applyBorder="1" applyAlignment="1">
      <alignment vertical="top" wrapText="1"/>
    </xf>
    <xf numFmtId="180" fontId="13" fillId="2" borderId="166" xfId="0" applyNumberFormat="1" applyFont="1" applyFill="1" applyBorder="1" applyAlignment="1">
      <alignment horizontal="center" vertical="center"/>
    </xf>
    <xf numFmtId="180" fontId="13" fillId="2" borderId="166" xfId="0" applyNumberFormat="1" applyFont="1" applyFill="1" applyBorder="1" applyAlignment="1">
      <alignment horizontal="center" vertical="center" wrapText="1"/>
    </xf>
    <xf numFmtId="2" fontId="13" fillId="2" borderId="166" xfId="0" applyNumberFormat="1" applyFont="1" applyFill="1" applyBorder="1" applyAlignment="1">
      <alignment horizontal="right" vertical="center"/>
    </xf>
    <xf numFmtId="0" fontId="82" fillId="0" borderId="166" xfId="0" applyFont="1" applyBorder="1" applyAlignment="1">
      <alignment vertical="top" wrapText="1"/>
    </xf>
    <xf numFmtId="182" fontId="15" fillId="0" borderId="167" xfId="360" applyNumberFormat="1" applyFont="1" applyBorder="1" applyAlignment="1">
      <alignment vertical="top"/>
    </xf>
    <xf numFmtId="182" fontId="15" fillId="0" borderId="168" xfId="360" applyNumberFormat="1" applyFont="1" applyBorder="1" applyAlignment="1">
      <alignment vertical="top"/>
    </xf>
    <xf numFmtId="182" fontId="15" fillId="0" borderId="171" xfId="360" applyNumberFormat="1" applyFont="1" applyBorder="1" applyAlignment="1">
      <alignment vertical="top"/>
    </xf>
    <xf numFmtId="6" fontId="13" fillId="2" borderId="171" xfId="0" applyNumberFormat="1" applyFont="1" applyFill="1" applyBorder="1" applyAlignment="1">
      <alignment horizontal="left" vertical="top" wrapText="1"/>
    </xf>
    <xf numFmtId="0" fontId="86" fillId="3" borderId="36" xfId="0" applyFont="1" applyFill="1" applyBorder="1" applyAlignment="1">
      <alignment vertical="top"/>
    </xf>
    <xf numFmtId="0" fontId="86" fillId="2" borderId="0" xfId="0" quotePrefix="1" applyFont="1" applyFill="1" applyAlignment="1">
      <alignment vertical="top"/>
    </xf>
    <xf numFmtId="182" fontId="13" fillId="0" borderId="166" xfId="360" applyNumberFormat="1" applyFont="1" applyFill="1" applyBorder="1" applyAlignment="1">
      <alignment vertical="top"/>
    </xf>
    <xf numFmtId="182" fontId="13" fillId="2" borderId="0" xfId="0" quotePrefix="1" applyNumberFormat="1" applyFont="1" applyFill="1" applyAlignment="1">
      <alignment vertical="top" wrapText="1"/>
    </xf>
    <xf numFmtId="182" fontId="13" fillId="2" borderId="0" xfId="0" applyNumberFormat="1" applyFont="1" applyFill="1" applyAlignment="1">
      <alignment vertical="top" wrapText="1"/>
    </xf>
    <xf numFmtId="0" fontId="13" fillId="3" borderId="171" xfId="0" applyFont="1" applyFill="1" applyBorder="1" applyAlignment="1">
      <alignment vertical="top"/>
    </xf>
    <xf numFmtId="43" fontId="13" fillId="2" borderId="166" xfId="360" applyFont="1" applyFill="1" applyBorder="1" applyAlignment="1">
      <alignment vertical="top"/>
    </xf>
    <xf numFmtId="179" fontId="13" fillId="2" borderId="169" xfId="0" applyNumberFormat="1" applyFont="1" applyFill="1" applyBorder="1" applyAlignment="1">
      <alignment vertical="top"/>
    </xf>
    <xf numFmtId="0" fontId="15" fillId="3" borderId="166" xfId="0" applyFont="1" applyFill="1" applyBorder="1" applyAlignment="1">
      <alignment horizontal="right" vertical="top"/>
    </xf>
    <xf numFmtId="165" fontId="13" fillId="2" borderId="166" xfId="0" quotePrefix="1" applyNumberFormat="1" applyFont="1" applyFill="1" applyBorder="1" applyAlignment="1">
      <alignment vertical="center"/>
    </xf>
    <xf numFmtId="164" fontId="95" fillId="2" borderId="171" xfId="2" applyNumberFormat="1" applyFont="1" applyFill="1" applyBorder="1" applyAlignment="1">
      <alignment vertical="top" wrapText="1"/>
    </xf>
    <xf numFmtId="0" fontId="95" fillId="2" borderId="171" xfId="2" applyFont="1" applyFill="1" applyBorder="1" applyAlignment="1">
      <alignment horizontal="left" vertical="top" wrapText="1"/>
    </xf>
    <xf numFmtId="164" fontId="95" fillId="2" borderId="171" xfId="2" applyNumberFormat="1" applyFont="1" applyFill="1" applyBorder="1" applyAlignment="1">
      <alignment horizontal="left" vertical="top" wrapText="1"/>
    </xf>
    <xf numFmtId="164" fontId="95" fillId="2" borderId="171" xfId="2" applyNumberFormat="1" applyFont="1" applyFill="1" applyBorder="1" applyAlignment="1">
      <alignment horizontal="right"/>
    </xf>
    <xf numFmtId="164" fontId="95" fillId="6" borderId="171" xfId="2" applyNumberFormat="1" applyFont="1" applyFill="1" applyBorder="1" applyAlignment="1">
      <alignment horizontal="right"/>
    </xf>
    <xf numFmtId="0" fontId="86" fillId="3" borderId="167" xfId="0" applyFont="1" applyFill="1" applyBorder="1" applyAlignment="1">
      <alignment horizontal="center" vertical="center"/>
    </xf>
    <xf numFmtId="0" fontId="378" fillId="0" borderId="0" xfId="0" applyFont="1"/>
    <xf numFmtId="0" fontId="379" fillId="8" borderId="8" xfId="0" applyFont="1" applyFill="1" applyBorder="1" applyAlignment="1">
      <alignment vertical="top"/>
    </xf>
    <xf numFmtId="0" fontId="380" fillId="8" borderId="9" xfId="0" applyFont="1" applyFill="1" applyBorder="1" applyAlignment="1">
      <alignment vertical="top"/>
    </xf>
    <xf numFmtId="0" fontId="102" fillId="8" borderId="9" xfId="0" applyFont="1" applyFill="1" applyBorder="1" applyAlignment="1">
      <alignment horizontal="left" vertical="top" wrapText="1"/>
    </xf>
    <xf numFmtId="0" fontId="379" fillId="8" borderId="9" xfId="0" applyFont="1" applyFill="1" applyBorder="1" applyAlignment="1">
      <alignment vertical="top"/>
    </xf>
    <xf numFmtId="0" fontId="102" fillId="8" borderId="9" xfId="0" applyFont="1" applyFill="1" applyBorder="1" applyAlignment="1">
      <alignment vertical="top" wrapText="1"/>
    </xf>
    <xf numFmtId="0" fontId="380" fillId="8" borderId="9" xfId="0" applyFont="1" applyFill="1" applyBorder="1" applyAlignment="1">
      <alignment horizontal="left" vertical="top"/>
    </xf>
    <xf numFmtId="0" fontId="381" fillId="190" borderId="0" xfId="0" applyFont="1" applyFill="1" applyAlignment="1">
      <alignment vertical="top"/>
    </xf>
    <xf numFmtId="0" fontId="379" fillId="2" borderId="0" xfId="0" applyFont="1" applyFill="1" applyAlignment="1">
      <alignment vertical="top"/>
    </xf>
    <xf numFmtId="0" fontId="379" fillId="190" borderId="0" xfId="0" applyFont="1" applyFill="1" applyAlignment="1">
      <alignment vertical="top"/>
    </xf>
    <xf numFmtId="0" fontId="13" fillId="193" borderId="0" xfId="0" applyFont="1" applyFill="1" applyAlignment="1">
      <alignment vertical="top"/>
    </xf>
    <xf numFmtId="0" fontId="13" fillId="193" borderId="166" xfId="0" applyFont="1" applyFill="1" applyBorder="1" applyAlignment="1">
      <alignment vertical="top" wrapText="1"/>
    </xf>
    <xf numFmtId="0" fontId="382" fillId="2" borderId="0" xfId="0" applyFont="1" applyFill="1" applyAlignment="1">
      <alignment vertical="top"/>
    </xf>
    <xf numFmtId="0" fontId="86" fillId="3" borderId="166" xfId="0" applyFont="1" applyFill="1" applyBorder="1" applyAlignment="1">
      <alignment horizontal="center" vertical="center" wrapText="1"/>
    </xf>
    <xf numFmtId="0" fontId="89" fillId="2" borderId="0" xfId="0" applyFont="1" applyFill="1" applyAlignment="1">
      <alignment vertical="top"/>
    </xf>
    <xf numFmtId="0" fontId="13" fillId="56" borderId="0" xfId="0" applyFont="1" applyFill="1" applyAlignment="1">
      <alignment vertical="top"/>
    </xf>
    <xf numFmtId="0" fontId="89" fillId="56" borderId="0" xfId="0" applyFont="1" applyFill="1" applyAlignment="1">
      <alignment vertical="top"/>
    </xf>
    <xf numFmtId="0" fontId="382" fillId="56" borderId="0" xfId="0" applyFont="1" applyFill="1" applyAlignment="1">
      <alignment vertical="top"/>
    </xf>
    <xf numFmtId="0" fontId="381" fillId="56" borderId="0" xfId="0" applyFont="1" applyFill="1" applyAlignment="1">
      <alignment vertical="top"/>
    </xf>
    <xf numFmtId="0" fontId="13" fillId="8" borderId="0" xfId="0" applyFont="1" applyFill="1" applyAlignment="1">
      <alignment vertical="top"/>
    </xf>
    <xf numFmtId="0" fontId="88" fillId="8" borderId="0" xfId="0" applyFont="1" applyFill="1" applyAlignment="1">
      <alignment vertical="top"/>
    </xf>
    <xf numFmtId="0" fontId="13" fillId="194" borderId="0" xfId="0" applyFont="1" applyFill="1" applyAlignment="1">
      <alignment vertical="top"/>
    </xf>
    <xf numFmtId="0" fontId="88" fillId="194" borderId="0" xfId="0" applyFont="1" applyFill="1" applyAlignment="1">
      <alignment vertical="top"/>
    </xf>
    <xf numFmtId="0" fontId="90" fillId="194" borderId="0" xfId="0" applyFont="1" applyFill="1" applyAlignment="1">
      <alignment vertical="top"/>
    </xf>
    <xf numFmtId="0" fontId="379" fillId="8" borderId="8" xfId="0" applyFont="1" applyFill="1" applyBorder="1"/>
    <xf numFmtId="0" fontId="380" fillId="8" borderId="9" xfId="0" applyFont="1" applyFill="1" applyBorder="1" applyAlignment="1">
      <alignment vertical="center"/>
    </xf>
    <xf numFmtId="0" fontId="379" fillId="8" borderId="9" xfId="0" applyFont="1" applyFill="1" applyBorder="1"/>
    <xf numFmtId="0" fontId="102" fillId="8" borderId="9" xfId="0" applyFont="1" applyFill="1" applyBorder="1" applyAlignment="1">
      <alignment vertical="center" wrapText="1"/>
    </xf>
    <xf numFmtId="0" fontId="379" fillId="2" borderId="0" xfId="0" applyFont="1" applyFill="1"/>
    <xf numFmtId="0" fontId="379" fillId="190" borderId="0" xfId="0" applyFont="1" applyFill="1"/>
    <xf numFmtId="0" fontId="381" fillId="190" borderId="0" xfId="0" applyFont="1" applyFill="1"/>
    <xf numFmtId="0" fontId="13" fillId="193" borderId="0" xfId="0" applyFont="1" applyFill="1"/>
    <xf numFmtId="0" fontId="88" fillId="56" borderId="0" xfId="0" applyFont="1" applyFill="1"/>
    <xf numFmtId="0" fontId="13" fillId="56" borderId="0" xfId="0" applyFont="1" applyFill="1"/>
    <xf numFmtId="0" fontId="89" fillId="56" borderId="0" xfId="0" applyFont="1" applyFill="1"/>
    <xf numFmtId="0" fontId="13" fillId="194" borderId="0" xfId="0" applyFont="1" applyFill="1"/>
    <xf numFmtId="0" fontId="90" fillId="194" borderId="0" xfId="0" applyFont="1" applyFill="1"/>
    <xf numFmtId="0" fontId="88" fillId="194" borderId="0" xfId="0" applyFont="1" applyFill="1"/>
    <xf numFmtId="0" fontId="13" fillId="8" borderId="0" xfId="0" applyFont="1" applyFill="1"/>
    <xf numFmtId="0" fontId="88" fillId="8" borderId="0" xfId="0" applyFont="1" applyFill="1"/>
    <xf numFmtId="8" fontId="13" fillId="7" borderId="166" xfId="0" applyNumberFormat="1" applyFont="1" applyFill="1" applyBorder="1" applyAlignment="1">
      <alignment vertical="top"/>
    </xf>
    <xf numFmtId="8" fontId="13" fillId="7" borderId="166" xfId="0" applyNumberFormat="1" applyFont="1" applyFill="1" applyBorder="1"/>
    <xf numFmtId="0" fontId="384" fillId="8" borderId="8" xfId="0" applyFont="1" applyFill="1" applyBorder="1" applyAlignment="1">
      <alignment vertical="top"/>
    </xf>
    <xf numFmtId="0" fontId="380" fillId="8" borderId="9" xfId="0" applyFont="1" applyFill="1" applyBorder="1" applyAlignment="1">
      <alignment vertical="top" wrapText="1"/>
    </xf>
    <xf numFmtId="0" fontId="384" fillId="8" borderId="9" xfId="0" applyFont="1" applyFill="1" applyBorder="1" applyAlignment="1">
      <alignment vertical="top"/>
    </xf>
    <xf numFmtId="0" fontId="383" fillId="56" borderId="0" xfId="0" applyFont="1" applyFill="1" applyAlignment="1">
      <alignment vertical="top"/>
    </xf>
    <xf numFmtId="0" fontId="86" fillId="3" borderId="6" xfId="0" applyFont="1" applyFill="1" applyBorder="1" applyAlignment="1">
      <alignment horizontal="center" vertical="center" wrapText="1"/>
    </xf>
    <xf numFmtId="0" fontId="380" fillId="8" borderId="9" xfId="0" applyFont="1" applyFill="1" applyBorder="1" applyAlignment="1">
      <alignment vertical="center" wrapText="1"/>
    </xf>
    <xf numFmtId="0" fontId="382" fillId="2" borderId="0" xfId="0" applyFont="1" applyFill="1"/>
    <xf numFmtId="0" fontId="381" fillId="56" borderId="0" xfId="0" applyFont="1" applyFill="1"/>
    <xf numFmtId="0" fontId="86" fillId="3" borderId="6" xfId="0" applyFont="1" applyFill="1" applyBorder="1" applyAlignment="1">
      <alignment horizontal="center" vertical="center"/>
    </xf>
    <xf numFmtId="6" fontId="13" fillId="7" borderId="166" xfId="0" applyNumberFormat="1" applyFont="1" applyFill="1" applyBorder="1" applyAlignment="1">
      <alignment vertical="top"/>
    </xf>
    <xf numFmtId="6" fontId="13" fillId="7" borderId="6" xfId="0" applyNumberFormat="1" applyFont="1" applyFill="1" applyBorder="1" applyAlignment="1">
      <alignment vertical="top"/>
    </xf>
    <xf numFmtId="0" fontId="86" fillId="2" borderId="166" xfId="0" applyFont="1" applyFill="1" applyBorder="1" applyAlignment="1">
      <alignment horizontal="center" vertical="center" wrapText="1"/>
    </xf>
    <xf numFmtId="0" fontId="0" fillId="2" borderId="166" xfId="0" applyFill="1" applyBorder="1" applyAlignment="1">
      <alignment vertical="top"/>
    </xf>
    <xf numFmtId="0" fontId="384" fillId="8" borderId="8" xfId="0" applyFont="1" applyFill="1" applyBorder="1"/>
    <xf numFmtId="0" fontId="384" fillId="8" borderId="9" xfId="0" applyFont="1" applyFill="1" applyBorder="1"/>
    <xf numFmtId="0" fontId="86" fillId="3" borderId="6" xfId="0" applyFont="1" applyFill="1" applyBorder="1" applyAlignment="1">
      <alignment horizontal="left" vertical="center"/>
    </xf>
    <xf numFmtId="0" fontId="367" fillId="2" borderId="0" xfId="0" applyFont="1" applyFill="1"/>
    <xf numFmtId="0" fontId="84" fillId="2" borderId="0" xfId="0" applyFont="1" applyFill="1"/>
    <xf numFmtId="0" fontId="15" fillId="3" borderId="166" xfId="0"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166" xfId="0" applyFont="1" applyFill="1" applyBorder="1" applyAlignment="1">
      <alignment horizontal="center" vertical="center" wrapText="1"/>
    </xf>
    <xf numFmtId="0" fontId="13" fillId="8" borderId="0" xfId="0" quotePrefix="1" applyFont="1" applyFill="1"/>
    <xf numFmtId="0" fontId="13" fillId="2" borderId="41" xfId="0" applyFont="1" applyFill="1" applyBorder="1" applyAlignment="1">
      <alignment vertical="top"/>
    </xf>
    <xf numFmtId="0" fontId="13" fillId="2" borderId="41" xfId="0" applyFont="1" applyFill="1" applyBorder="1" applyAlignment="1">
      <alignment vertical="top" wrapText="1"/>
    </xf>
    <xf numFmtId="0" fontId="13" fillId="2" borderId="41" xfId="0" applyFont="1" applyFill="1" applyBorder="1" applyAlignment="1">
      <alignment horizontal="right" vertical="top"/>
    </xf>
    <xf numFmtId="0" fontId="13" fillId="2" borderId="41" xfId="0" applyFont="1" applyFill="1" applyBorder="1" applyAlignment="1">
      <alignment horizontal="left" vertical="top" wrapText="1"/>
    </xf>
    <xf numFmtId="0" fontId="86" fillId="3" borderId="167" xfId="0" applyFont="1" applyFill="1" applyBorder="1" applyAlignment="1">
      <alignment horizontal="center" vertical="center" wrapText="1"/>
    </xf>
    <xf numFmtId="180" fontId="13" fillId="2" borderId="167" xfId="0" applyNumberFormat="1" applyFont="1" applyFill="1" applyBorder="1" applyAlignment="1">
      <alignment vertical="top" wrapText="1"/>
    </xf>
    <xf numFmtId="8" fontId="82" fillId="2" borderId="167" xfId="70" applyNumberFormat="1" applyFont="1" applyFill="1" applyBorder="1" applyAlignment="1">
      <alignment horizontal="left" vertical="top" wrapText="1"/>
    </xf>
    <xf numFmtId="0" fontId="86" fillId="3" borderId="166" xfId="0" applyFont="1" applyFill="1" applyBorder="1" applyAlignment="1">
      <alignment horizontal="left" vertical="center" wrapText="1"/>
    </xf>
    <xf numFmtId="0" fontId="102" fillId="8" borderId="9" xfId="0" applyFont="1" applyFill="1" applyBorder="1" applyAlignment="1">
      <alignment vertical="top"/>
    </xf>
    <xf numFmtId="0" fontId="102" fillId="8" borderId="9" xfId="0" applyFont="1" applyFill="1" applyBorder="1"/>
    <xf numFmtId="0" fontId="15" fillId="3" borderId="167" xfId="0" applyFont="1" applyFill="1" applyBorder="1" applyAlignment="1">
      <alignment horizontal="center" vertical="center" wrapText="1"/>
    </xf>
    <xf numFmtId="0" fontId="15" fillId="193" borderId="0" xfId="0" applyFont="1" applyFill="1" applyAlignment="1">
      <alignment vertical="top"/>
    </xf>
    <xf numFmtId="0" fontId="13" fillId="8" borderId="166" xfId="0" applyFont="1" applyFill="1" applyBorder="1" applyAlignment="1">
      <alignment vertical="top"/>
    </xf>
    <xf numFmtId="0" fontId="15" fillId="8" borderId="166" xfId="0" applyFont="1" applyFill="1" applyBorder="1" applyAlignment="1">
      <alignment horizontal="center" vertical="top"/>
    </xf>
    <xf numFmtId="0" fontId="86" fillId="8" borderId="166" xfId="0" applyFont="1" applyFill="1" applyBorder="1" applyAlignment="1">
      <alignment horizontal="center" vertical="center" wrapText="1"/>
    </xf>
    <xf numFmtId="0" fontId="86" fillId="3" borderId="36" xfId="0" applyFont="1" applyFill="1" applyBorder="1" applyAlignment="1">
      <alignment horizontal="center" vertical="center" wrapText="1"/>
    </xf>
    <xf numFmtId="0" fontId="86" fillId="3" borderId="36" xfId="0" applyFont="1" applyFill="1" applyBorder="1" applyAlignment="1">
      <alignment horizontal="centerContinuous" vertical="top"/>
    </xf>
    <xf numFmtId="8" fontId="13" fillId="7" borderId="6" xfId="0" applyNumberFormat="1" applyFont="1" applyFill="1" applyBorder="1" applyAlignment="1">
      <alignment vertical="top"/>
    </xf>
    <xf numFmtId="0" fontId="86" fillId="8" borderId="6" xfId="0" applyFont="1" applyFill="1" applyBorder="1" applyAlignment="1">
      <alignment horizontal="center" vertical="center" wrapText="1"/>
    </xf>
    <xf numFmtId="164" fontId="13" fillId="2" borderId="166" xfId="0" applyNumberFormat="1" applyFont="1" applyFill="1" applyBorder="1"/>
    <xf numFmtId="0" fontId="13" fillId="2" borderId="167" xfId="0" applyFont="1" applyFill="1" applyBorder="1" applyAlignment="1">
      <alignment wrapText="1"/>
    </xf>
    <xf numFmtId="44" fontId="13" fillId="2" borderId="166" xfId="359" applyFont="1" applyFill="1" applyBorder="1" applyAlignment="1">
      <alignment vertical="center" wrapText="1"/>
    </xf>
    <xf numFmtId="1" fontId="13" fillId="2" borderId="0" xfId="0" applyNumberFormat="1" applyFont="1" applyFill="1" applyAlignment="1">
      <alignment horizontal="left"/>
    </xf>
    <xf numFmtId="179" fontId="13" fillId="2" borderId="166" xfId="0" applyNumberFormat="1" applyFont="1" applyFill="1" applyBorder="1" applyAlignment="1">
      <alignment horizontal="center" vertical="center"/>
    </xf>
    <xf numFmtId="8" fontId="15" fillId="7" borderId="39" xfId="0" applyNumberFormat="1" applyFont="1" applyFill="1" applyBorder="1"/>
    <xf numFmtId="180" fontId="13" fillId="7" borderId="166" xfId="0" applyNumberFormat="1" applyFont="1" applyFill="1" applyBorder="1" applyAlignment="1">
      <alignment vertical="center" wrapText="1"/>
    </xf>
    <xf numFmtId="0" fontId="385" fillId="56" borderId="0" xfId="0" applyFont="1" applyFill="1" applyAlignment="1">
      <alignment vertical="top"/>
    </xf>
    <xf numFmtId="0" fontId="15" fillId="56" borderId="0" xfId="0" applyFont="1" applyFill="1" applyAlignment="1">
      <alignment vertical="top"/>
    </xf>
    <xf numFmtId="0" fontId="86" fillId="3" borderId="167" xfId="0" applyFont="1" applyFill="1" applyBorder="1" applyAlignment="1">
      <alignment vertical="center"/>
    </xf>
    <xf numFmtId="0" fontId="15" fillId="3" borderId="167" xfId="0" applyFont="1" applyFill="1" applyBorder="1" applyAlignment="1">
      <alignment vertical="center"/>
    </xf>
    <xf numFmtId="179" fontId="88" fillId="2" borderId="0" xfId="0" applyNumberFormat="1" applyFont="1" applyFill="1"/>
    <xf numFmtId="0" fontId="82" fillId="0" borderId="166" xfId="0" applyFont="1" applyBorder="1" applyAlignment="1">
      <alignment vertical="center"/>
    </xf>
    <xf numFmtId="0" fontId="366" fillId="2" borderId="0" xfId="0" applyFont="1" applyFill="1" applyAlignment="1">
      <alignment vertical="top"/>
    </xf>
    <xf numFmtId="0" fontId="13" fillId="8" borderId="0" xfId="0" applyFont="1" applyFill="1" applyAlignment="1">
      <alignment horizontal="left" vertical="top" wrapText="1"/>
    </xf>
    <xf numFmtId="0" fontId="13" fillId="8" borderId="0" xfId="359" applyNumberFormat="1" applyFont="1" applyFill="1" applyBorder="1" applyAlignment="1">
      <alignment vertical="top"/>
    </xf>
    <xf numFmtId="0" fontId="90" fillId="8" borderId="0" xfId="0" applyFont="1" applyFill="1" applyAlignment="1">
      <alignment vertical="top"/>
    </xf>
    <xf numFmtId="0" fontId="87" fillId="56" borderId="0" xfId="0" applyFont="1" applyFill="1"/>
    <xf numFmtId="44" fontId="13" fillId="7" borderId="166" xfId="0" applyNumberFormat="1" applyFont="1" applyFill="1" applyBorder="1" applyAlignment="1">
      <alignment vertical="top"/>
    </xf>
    <xf numFmtId="179" fontId="13" fillId="2" borderId="0" xfId="0" applyNumberFormat="1" applyFont="1" applyFill="1" applyAlignment="1">
      <alignment horizontal="center" vertical="center"/>
    </xf>
    <xf numFmtId="0" fontId="13" fillId="0" borderId="180" xfId="0" applyFont="1" applyBorder="1"/>
    <xf numFmtId="0" fontId="13" fillId="0" borderId="181" xfId="0" applyFont="1" applyBorder="1"/>
    <xf numFmtId="179" fontId="13" fillId="0" borderId="181" xfId="0" applyNumberFormat="1" applyFont="1" applyBorder="1"/>
    <xf numFmtId="179" fontId="13" fillId="3" borderId="181" xfId="0" applyNumberFormat="1" applyFont="1" applyFill="1" applyBorder="1"/>
    <xf numFmtId="0" fontId="13" fillId="0" borderId="182" xfId="0" applyFont="1" applyBorder="1"/>
    <xf numFmtId="0" fontId="13" fillId="0" borderId="183" xfId="0" applyFont="1" applyBorder="1"/>
    <xf numFmtId="0" fontId="13" fillId="0" borderId="184" xfId="0" applyFont="1" applyBorder="1"/>
    <xf numFmtId="179" fontId="13" fillId="0" borderId="190" xfId="0" applyNumberFormat="1" applyFont="1" applyBorder="1"/>
    <xf numFmtId="179" fontId="13" fillId="3" borderId="190" xfId="0" applyNumberFormat="1" applyFont="1" applyFill="1" applyBorder="1"/>
    <xf numFmtId="6" fontId="13" fillId="2" borderId="36" xfId="0" applyNumberFormat="1" applyFont="1" applyFill="1" applyBorder="1" applyAlignment="1">
      <alignment vertical="top"/>
    </xf>
    <xf numFmtId="0" fontId="86" fillId="3" borderId="167" xfId="0" applyFont="1" applyFill="1" applyBorder="1" applyAlignment="1">
      <alignment vertical="center" wrapText="1"/>
    </xf>
    <xf numFmtId="0" fontId="86" fillId="3" borderId="168" xfId="0" applyFont="1" applyFill="1" applyBorder="1" applyAlignment="1">
      <alignment vertical="center" wrapText="1"/>
    </xf>
    <xf numFmtId="0" fontId="86" fillId="3" borderId="169" xfId="0" applyFont="1" applyFill="1" applyBorder="1" applyAlignment="1">
      <alignment vertical="center" wrapText="1"/>
    </xf>
    <xf numFmtId="0" fontId="381" fillId="190" borderId="191" xfId="0" applyFont="1" applyFill="1" applyBorder="1" applyAlignment="1">
      <alignment horizontal="left" vertical="top"/>
    </xf>
    <xf numFmtId="0" fontId="365" fillId="190" borderId="192" xfId="0" applyFont="1" applyFill="1" applyBorder="1" applyAlignment="1">
      <alignment horizontal="left" vertical="top"/>
    </xf>
    <xf numFmtId="0" fontId="386" fillId="2" borderId="194" xfId="0" applyFont="1" applyFill="1" applyBorder="1" applyAlignment="1">
      <alignment horizontal="left" vertical="top" wrapText="1"/>
    </xf>
    <xf numFmtId="0" fontId="386" fillId="2" borderId="0" xfId="0" applyFont="1" applyFill="1" applyAlignment="1">
      <alignment horizontal="left" vertical="top"/>
    </xf>
    <xf numFmtId="0" fontId="386" fillId="2" borderId="195" xfId="0" applyFont="1" applyFill="1" applyBorder="1" applyAlignment="1">
      <alignment horizontal="left" vertical="top"/>
    </xf>
    <xf numFmtId="0" fontId="386" fillId="2" borderId="194" xfId="0" applyFont="1" applyFill="1" applyBorder="1" applyAlignment="1">
      <alignment horizontal="left" vertical="top"/>
    </xf>
    <xf numFmtId="0" fontId="386" fillId="2" borderId="196" xfId="0" applyFont="1" applyFill="1" applyBorder="1" applyAlignment="1">
      <alignment horizontal="left" vertical="top"/>
    </xf>
    <xf numFmtId="0" fontId="386" fillId="2" borderId="27" xfId="0" applyFont="1" applyFill="1" applyBorder="1" applyAlignment="1">
      <alignment horizontal="left" vertical="top"/>
    </xf>
    <xf numFmtId="0" fontId="386" fillId="2" borderId="197" xfId="0" applyFont="1" applyFill="1" applyBorder="1" applyAlignment="1">
      <alignment horizontal="left" vertical="top"/>
    </xf>
    <xf numFmtId="179" fontId="82" fillId="2" borderId="166" xfId="0" applyNumberFormat="1" applyFont="1" applyFill="1" applyBorder="1" applyAlignment="1">
      <alignment horizontal="center" vertical="top"/>
    </xf>
    <xf numFmtId="0" fontId="386" fillId="2" borderId="0" xfId="0" applyFont="1" applyFill="1" applyAlignment="1">
      <alignment vertical="top"/>
    </xf>
    <xf numFmtId="0" fontId="386" fillId="2" borderId="195" xfId="0" applyFont="1" applyFill="1" applyBorder="1" applyAlignment="1">
      <alignment vertical="top"/>
    </xf>
    <xf numFmtId="0" fontId="386" fillId="2" borderId="0" xfId="0" applyFont="1" applyFill="1" applyAlignment="1">
      <alignment horizontal="center" vertical="top"/>
    </xf>
    <xf numFmtId="0" fontId="386" fillId="2" borderId="0" xfId="0" applyFont="1" applyFill="1" applyAlignment="1">
      <alignment horizontal="left" vertical="top" wrapText="1"/>
    </xf>
    <xf numFmtId="0" fontId="386" fillId="2" borderId="27" xfId="0" applyFont="1" applyFill="1" applyBorder="1" applyAlignment="1">
      <alignment horizontal="left" vertical="top" wrapText="1"/>
    </xf>
    <xf numFmtId="0" fontId="386" fillId="2" borderId="0" xfId="0" applyFont="1" applyFill="1" applyAlignment="1">
      <alignment vertical="top" wrapText="1"/>
    </xf>
    <xf numFmtId="0" fontId="386" fillId="2" borderId="195" xfId="0" applyFont="1" applyFill="1" applyBorder="1" applyAlignment="1">
      <alignment vertical="top" wrapText="1"/>
    </xf>
    <xf numFmtId="0" fontId="387" fillId="2" borderId="194" xfId="0" applyFont="1" applyFill="1" applyBorder="1" applyAlignment="1">
      <alignment horizontal="left" vertical="top" wrapText="1"/>
    </xf>
    <xf numFmtId="0" fontId="387" fillId="2" borderId="0" xfId="0" applyFont="1" applyFill="1" applyAlignment="1">
      <alignment horizontal="left" vertical="top" wrapText="1"/>
    </xf>
    <xf numFmtId="0" fontId="13" fillId="190" borderId="193" xfId="0" applyFont="1" applyFill="1" applyBorder="1" applyAlignment="1">
      <alignment horizontal="left" vertical="top"/>
    </xf>
    <xf numFmtId="0" fontId="13" fillId="190" borderId="192" xfId="0" applyFont="1" applyFill="1" applyBorder="1" applyAlignment="1">
      <alignment horizontal="left" vertical="top"/>
    </xf>
    <xf numFmtId="0" fontId="13" fillId="190" borderId="192" xfId="0" applyFont="1" applyFill="1" applyBorder="1" applyAlignment="1">
      <alignment horizontal="left" vertical="top" wrapText="1"/>
    </xf>
    <xf numFmtId="0" fontId="376" fillId="2" borderId="194" xfId="0" applyFont="1" applyFill="1" applyBorder="1" applyAlignment="1">
      <alignment horizontal="left" vertical="top"/>
    </xf>
    <xf numFmtId="0" fontId="13" fillId="2" borderId="195" xfId="0" applyFont="1" applyFill="1" applyBorder="1" applyAlignment="1">
      <alignment horizontal="left" vertical="top"/>
    </xf>
    <xf numFmtId="0" fontId="376" fillId="2" borderId="196" xfId="0" applyFont="1" applyFill="1" applyBorder="1" applyAlignment="1">
      <alignment horizontal="left" vertical="top"/>
    </xf>
    <xf numFmtId="0" fontId="13" fillId="2" borderId="27" xfId="0" applyFont="1" applyFill="1" applyBorder="1" applyAlignment="1">
      <alignment horizontal="left" vertical="top"/>
    </xf>
    <xf numFmtId="0" fontId="13" fillId="2" borderId="27" xfId="0" applyFont="1" applyFill="1" applyBorder="1" applyAlignment="1">
      <alignment horizontal="left" vertical="top" wrapText="1"/>
    </xf>
    <xf numFmtId="0" fontId="13" fillId="2" borderId="197" xfId="0" applyFont="1" applyFill="1" applyBorder="1" applyAlignment="1">
      <alignment horizontal="left" vertical="top"/>
    </xf>
    <xf numFmtId="0" fontId="82" fillId="0" borderId="0" xfId="89" applyFont="1" applyAlignment="1" applyProtection="1">
      <alignment horizontal="left" vertical="top"/>
    </xf>
    <xf numFmtId="0" fontId="13" fillId="190" borderId="192" xfId="0" applyFont="1" applyFill="1" applyBorder="1" applyAlignment="1">
      <alignment vertical="top"/>
    </xf>
    <xf numFmtId="0" fontId="13" fillId="190" borderId="193" xfId="0" applyFont="1" applyFill="1" applyBorder="1" applyAlignment="1">
      <alignment vertical="top"/>
    </xf>
    <xf numFmtId="0" fontId="13" fillId="2" borderId="194" xfId="0" applyFont="1" applyFill="1" applyBorder="1" applyAlignment="1">
      <alignment vertical="top"/>
    </xf>
    <xf numFmtId="0" fontId="13" fillId="2" borderId="195" xfId="0" applyFont="1" applyFill="1" applyBorder="1" applyAlignment="1">
      <alignment vertical="top"/>
    </xf>
    <xf numFmtId="0" fontId="13" fillId="2" borderId="27" xfId="0" applyFont="1" applyFill="1" applyBorder="1" applyAlignment="1">
      <alignment vertical="top"/>
    </xf>
    <xf numFmtId="0" fontId="13" fillId="2" borderId="197" xfId="0" applyFont="1" applyFill="1" applyBorder="1" applyAlignment="1">
      <alignment vertical="top"/>
    </xf>
    <xf numFmtId="0" fontId="387" fillId="2" borderId="0" xfId="0" applyFont="1" applyFill="1" applyAlignment="1">
      <alignment vertical="top"/>
    </xf>
    <xf numFmtId="0" fontId="13" fillId="2" borderId="194" xfId="0" applyFont="1" applyFill="1" applyBorder="1" applyAlignment="1">
      <alignment horizontal="left" vertical="top"/>
    </xf>
    <xf numFmtId="0" fontId="372" fillId="2" borderId="194" xfId="89" applyFont="1" applyFill="1" applyBorder="1" applyAlignment="1" applyProtection="1">
      <alignment horizontal="left" vertical="top"/>
    </xf>
    <xf numFmtId="0" fontId="82" fillId="2" borderId="194" xfId="89" applyFont="1" applyFill="1" applyBorder="1" applyAlignment="1" applyProtection="1">
      <alignment horizontal="left" vertical="top"/>
    </xf>
    <xf numFmtId="0" fontId="82" fillId="0" borderId="194" xfId="89" applyFont="1" applyBorder="1" applyAlignment="1" applyProtection="1">
      <alignment horizontal="left" vertical="top"/>
    </xf>
    <xf numFmtId="0" fontId="102" fillId="2" borderId="194" xfId="0" applyFont="1" applyFill="1" applyBorder="1" applyAlignment="1">
      <alignment horizontal="left" vertical="top"/>
    </xf>
    <xf numFmtId="0" fontId="15" fillId="2" borderId="196" xfId="0" applyFont="1" applyFill="1" applyBorder="1" applyAlignment="1">
      <alignment horizontal="left" vertical="top"/>
    </xf>
    <xf numFmtId="0" fontId="365" fillId="190" borderId="192" xfId="0" applyFont="1" applyFill="1" applyBorder="1" applyAlignment="1">
      <alignment horizontal="left" vertical="top" wrapText="1"/>
    </xf>
    <xf numFmtId="0" fontId="387" fillId="8" borderId="166" xfId="0" applyFont="1" applyFill="1" applyBorder="1" applyAlignment="1">
      <alignment horizontal="center" vertical="center" wrapText="1"/>
    </xf>
    <xf numFmtId="0" fontId="386" fillId="2" borderId="166" xfId="0" applyFont="1" applyFill="1" applyBorder="1" applyAlignment="1">
      <alignment horizontal="left" vertical="top" wrapText="1"/>
    </xf>
    <xf numFmtId="0" fontId="386" fillId="2" borderId="167" xfId="0" applyFont="1" applyFill="1" applyBorder="1" applyAlignment="1">
      <alignment vertical="top" wrapText="1"/>
    </xf>
    <xf numFmtId="0" fontId="13" fillId="2" borderId="194" xfId="0" applyFont="1" applyFill="1" applyBorder="1" applyAlignment="1">
      <alignment horizontal="left" vertical="top" wrapText="1"/>
    </xf>
    <xf numFmtId="0" fontId="13" fillId="2" borderId="195" xfId="0" applyFont="1" applyFill="1" applyBorder="1" applyAlignment="1">
      <alignment horizontal="left" vertical="top" wrapText="1"/>
    </xf>
    <xf numFmtId="0" fontId="387" fillId="2" borderId="0" xfId="0" applyFont="1" applyFill="1" applyAlignment="1">
      <alignment horizontal="left" vertical="top"/>
    </xf>
    <xf numFmtId="0" fontId="13" fillId="2" borderId="194" xfId="0" applyFont="1" applyFill="1" applyBorder="1" applyAlignment="1">
      <alignment vertical="top" wrapText="1"/>
    </xf>
    <xf numFmtId="0" fontId="13" fillId="2" borderId="196" xfId="0" applyFont="1" applyFill="1" applyBorder="1" applyAlignment="1">
      <alignment horizontal="left" vertical="top"/>
    </xf>
    <xf numFmtId="0" fontId="391" fillId="2" borderId="27" xfId="0" applyFont="1" applyFill="1" applyBorder="1" applyAlignment="1">
      <alignment horizontal="left" vertical="top" wrapText="1"/>
    </xf>
    <xf numFmtId="0" fontId="381" fillId="190" borderId="191" xfId="0" applyFont="1" applyFill="1" applyBorder="1" applyAlignment="1">
      <alignment vertical="top"/>
    </xf>
    <xf numFmtId="0" fontId="375" fillId="2" borderId="0" xfId="0" applyFont="1" applyFill="1" applyAlignment="1">
      <alignment horizontal="left" vertical="center"/>
    </xf>
    <xf numFmtId="0" fontId="386" fillId="2" borderId="166" xfId="0" applyFont="1" applyFill="1" applyBorder="1" applyAlignment="1">
      <alignment horizontal="center" vertical="top"/>
    </xf>
    <xf numFmtId="0" fontId="386" fillId="190" borderId="192" xfId="0" applyFont="1" applyFill="1" applyBorder="1" applyAlignment="1">
      <alignment horizontal="left" vertical="top" wrapText="1"/>
    </xf>
    <xf numFmtId="0" fontId="386" fillId="190" borderId="192" xfId="0" applyFont="1" applyFill="1" applyBorder="1" applyAlignment="1">
      <alignment horizontal="left" vertical="top"/>
    </xf>
    <xf numFmtId="0" fontId="386" fillId="190" borderId="193" xfId="0" applyFont="1" applyFill="1" applyBorder="1" applyAlignment="1">
      <alignment horizontal="left" vertical="top"/>
    </xf>
    <xf numFmtId="0" fontId="392" fillId="2" borderId="0" xfId="0" applyFont="1" applyFill="1" applyAlignment="1">
      <alignment vertical="top"/>
    </xf>
    <xf numFmtId="0" fontId="392" fillId="2" borderId="194" xfId="0" applyFont="1" applyFill="1" applyBorder="1" applyAlignment="1">
      <alignment vertical="top"/>
    </xf>
    <xf numFmtId="0" fontId="387" fillId="2" borderId="27" xfId="0" applyFont="1" applyFill="1" applyBorder="1" applyAlignment="1">
      <alignment horizontal="left" vertical="top" wrapText="1"/>
    </xf>
    <xf numFmtId="0" fontId="365" fillId="2" borderId="0" xfId="0" applyFont="1" applyFill="1" applyAlignment="1">
      <alignment horizontal="left" vertical="top" wrapText="1"/>
    </xf>
    <xf numFmtId="0" fontId="386" fillId="2" borderId="166" xfId="0" applyFont="1" applyFill="1" applyBorder="1" applyAlignment="1">
      <alignment vertical="top"/>
    </xf>
    <xf numFmtId="0" fontId="386" fillId="2" borderId="47" xfId="0" applyFont="1" applyFill="1" applyBorder="1" applyAlignment="1">
      <alignment horizontal="center" vertical="top"/>
    </xf>
    <xf numFmtId="0" fontId="386" fillId="2" borderId="0" xfId="0" applyFont="1" applyFill="1"/>
    <xf numFmtId="0" fontId="386" fillId="2" borderId="0" xfId="0" applyFont="1" applyFill="1" applyAlignment="1">
      <alignment horizontal="center" vertical="center"/>
    </xf>
    <xf numFmtId="0" fontId="386" fillId="2" borderId="0" xfId="0" applyFont="1" applyFill="1" applyAlignment="1">
      <alignment horizontal="center"/>
    </xf>
    <xf numFmtId="0" fontId="393" fillId="2" borderId="0" xfId="0" applyFont="1" applyFill="1"/>
    <xf numFmtId="0" fontId="391" fillId="2" borderId="0" xfId="0" applyFont="1" applyFill="1" applyAlignment="1">
      <alignment horizontal="center"/>
    </xf>
    <xf numFmtId="0" fontId="386" fillId="55" borderId="47" xfId="0" applyFont="1" applyFill="1" applyBorder="1" applyAlignment="1">
      <alignment horizontal="center" vertical="center"/>
    </xf>
    <xf numFmtId="0" fontId="387" fillId="3" borderId="42" xfId="0" applyFont="1" applyFill="1" applyBorder="1" applyAlignment="1">
      <alignment horizontal="center" vertical="center"/>
    </xf>
    <xf numFmtId="0" fontId="387" fillId="3" borderId="46" xfId="0" applyFont="1" applyFill="1" applyBorder="1" applyAlignment="1">
      <alignment vertical="top"/>
    </xf>
    <xf numFmtId="0" fontId="387" fillId="3" borderId="46" xfId="0" applyFont="1" applyFill="1" applyBorder="1" applyAlignment="1">
      <alignment horizontal="center" vertical="top"/>
    </xf>
    <xf numFmtId="0" fontId="387" fillId="3" borderId="43" xfId="0" applyFont="1" applyFill="1" applyBorder="1" applyAlignment="1">
      <alignment horizontal="center" vertical="top"/>
    </xf>
    <xf numFmtId="0" fontId="386" fillId="7" borderId="166" xfId="0" applyFont="1" applyFill="1" applyBorder="1" applyAlignment="1">
      <alignment vertical="top"/>
    </xf>
    <xf numFmtId="0" fontId="386" fillId="7" borderId="166" xfId="0" applyFont="1" applyFill="1" applyBorder="1" applyAlignment="1">
      <alignment horizontal="center" vertical="top"/>
    </xf>
    <xf numFmtId="0" fontId="386" fillId="7" borderId="47" xfId="0" applyFont="1" applyFill="1" applyBorder="1" applyAlignment="1">
      <alignment horizontal="center" vertical="top"/>
    </xf>
    <xf numFmtId="0" fontId="386" fillId="7" borderId="50" xfId="0" applyFont="1" applyFill="1" applyBorder="1" applyAlignment="1">
      <alignment vertical="center"/>
    </xf>
    <xf numFmtId="0" fontId="389" fillId="7" borderId="166" xfId="0" applyFont="1" applyFill="1" applyBorder="1" applyAlignment="1">
      <alignment vertical="top"/>
    </xf>
    <xf numFmtId="0" fontId="386" fillId="7" borderId="40" xfId="0" applyFont="1" applyFill="1" applyBorder="1" applyAlignment="1">
      <alignment vertical="top"/>
    </xf>
    <xf numFmtId="0" fontId="386" fillId="7" borderId="40" xfId="0" applyFont="1" applyFill="1" applyBorder="1" applyAlignment="1">
      <alignment horizontal="center" vertical="top"/>
    </xf>
    <xf numFmtId="0" fontId="386" fillId="7" borderId="44" xfId="0" applyFont="1" applyFill="1" applyBorder="1" applyAlignment="1">
      <alignment horizontal="center" vertical="top"/>
    </xf>
    <xf numFmtId="0" fontId="386" fillId="196" borderId="43" xfId="0" applyFont="1" applyFill="1" applyBorder="1" applyAlignment="1">
      <alignment horizontal="center" vertical="center"/>
    </xf>
    <xf numFmtId="0" fontId="386" fillId="196" borderId="47" xfId="0" applyFont="1" applyFill="1" applyBorder="1" applyAlignment="1">
      <alignment horizontal="center" vertical="center"/>
    </xf>
    <xf numFmtId="0" fontId="386" fillId="196" borderId="44" xfId="0" applyFont="1" applyFill="1" applyBorder="1" applyAlignment="1">
      <alignment horizontal="center" vertical="center"/>
    </xf>
    <xf numFmtId="0" fontId="386" fillId="2" borderId="171" xfId="0" applyFont="1" applyFill="1" applyBorder="1" applyAlignment="1">
      <alignment horizontal="left" vertical="top" wrapText="1"/>
    </xf>
    <xf numFmtId="0" fontId="386" fillId="2" borderId="166" xfId="0" applyFont="1" applyFill="1" applyBorder="1" applyAlignment="1">
      <alignment vertical="top" wrapText="1"/>
    </xf>
    <xf numFmtId="0" fontId="387" fillId="8" borderId="166" xfId="0" applyFont="1" applyFill="1" applyBorder="1" applyAlignment="1">
      <alignment vertical="center" wrapText="1"/>
    </xf>
    <xf numFmtId="0" fontId="365" fillId="190" borderId="193" xfId="0" applyFont="1" applyFill="1" applyBorder="1" applyAlignment="1">
      <alignment horizontal="left" vertical="top"/>
    </xf>
    <xf numFmtId="0" fontId="386" fillId="195" borderId="166" xfId="0" applyFont="1" applyFill="1" applyBorder="1" applyAlignment="1">
      <alignment vertical="top" wrapText="1"/>
    </xf>
    <xf numFmtId="0" fontId="395" fillId="195" borderId="166" xfId="0" applyFont="1" applyFill="1" applyBorder="1" applyAlignment="1">
      <alignment vertical="top" wrapText="1"/>
    </xf>
    <xf numFmtId="0" fontId="386" fillId="2" borderId="168" xfId="0" applyFont="1" applyFill="1" applyBorder="1" applyAlignment="1">
      <alignment vertical="top" wrapText="1"/>
    </xf>
    <xf numFmtId="0" fontId="386" fillId="2" borderId="32" xfId="0" applyFont="1" applyFill="1" applyBorder="1" applyAlignment="1">
      <alignment vertical="top" wrapText="1"/>
    </xf>
    <xf numFmtId="0" fontId="386" fillId="195" borderId="36" xfId="0" applyFont="1" applyFill="1" applyBorder="1" applyAlignment="1">
      <alignment vertical="top" wrapText="1"/>
    </xf>
    <xf numFmtId="0" fontId="386" fillId="8" borderId="166" xfId="0" applyFont="1" applyFill="1" applyBorder="1" applyAlignment="1">
      <alignment horizontal="center" textRotation="90"/>
    </xf>
    <xf numFmtId="0" fontId="386" fillId="2" borderId="6" xfId="0" applyFont="1" applyFill="1" applyBorder="1" applyAlignment="1">
      <alignment horizontal="center"/>
    </xf>
    <xf numFmtId="0" fontId="386" fillId="2" borderId="166" xfId="0" applyFont="1" applyFill="1" applyBorder="1" applyAlignment="1">
      <alignment horizontal="center"/>
    </xf>
    <xf numFmtId="0" fontId="386" fillId="8" borderId="166" xfId="0" applyFont="1" applyFill="1" applyBorder="1" applyAlignment="1">
      <alignment vertical="top"/>
    </xf>
    <xf numFmtId="0" fontId="386" fillId="0" borderId="166" xfId="0" applyFont="1" applyBorder="1"/>
    <xf numFmtId="0" fontId="386" fillId="0" borderId="166" xfId="0" applyFont="1" applyBorder="1" applyAlignment="1">
      <alignment vertical="top"/>
    </xf>
    <xf numFmtId="0" fontId="395" fillId="197" borderId="166" xfId="0" applyFont="1" applyFill="1" applyBorder="1"/>
    <xf numFmtId="0" fontId="395" fillId="197" borderId="166" xfId="0" applyFont="1" applyFill="1" applyBorder="1" applyAlignment="1">
      <alignment vertical="top"/>
    </xf>
    <xf numFmtId="0" fontId="386" fillId="198" borderId="166" xfId="0" applyFont="1" applyFill="1" applyBorder="1" applyAlignment="1">
      <alignment vertical="top"/>
    </xf>
    <xf numFmtId="0" fontId="391" fillId="198" borderId="166" xfId="0" applyFont="1" applyFill="1" applyBorder="1" applyAlignment="1">
      <alignment vertical="top"/>
    </xf>
    <xf numFmtId="0" fontId="395" fillId="2" borderId="166" xfId="0" applyFont="1" applyFill="1" applyBorder="1" applyAlignment="1">
      <alignment vertical="top"/>
    </xf>
    <xf numFmtId="0" fontId="386" fillId="197" borderId="166" xfId="0" applyFont="1" applyFill="1" applyBorder="1" applyAlignment="1">
      <alignment vertical="top"/>
    </xf>
    <xf numFmtId="2" fontId="13" fillId="2" borderId="0" xfId="0" applyNumberFormat="1" applyFont="1" applyFill="1"/>
    <xf numFmtId="0" fontId="389" fillId="2" borderId="166" xfId="0" applyFont="1" applyFill="1" applyBorder="1" applyAlignment="1">
      <alignment vertical="top" wrapText="1"/>
    </xf>
    <xf numFmtId="0" fontId="389" fillId="2" borderId="166" xfId="0" applyFont="1" applyFill="1" applyBorder="1" applyAlignment="1">
      <alignment horizontal="center" vertical="top" wrapText="1"/>
    </xf>
    <xf numFmtId="179" fontId="82" fillId="2" borderId="167" xfId="0" applyNumberFormat="1" applyFont="1" applyFill="1" applyBorder="1" applyAlignment="1">
      <alignment vertical="top" wrapText="1"/>
    </xf>
    <xf numFmtId="179" fontId="82" fillId="3" borderId="167" xfId="0" applyNumberFormat="1" applyFont="1" applyFill="1" applyBorder="1" applyAlignment="1">
      <alignment vertical="top" wrapText="1"/>
    </xf>
    <xf numFmtId="180" fontId="82" fillId="3" borderId="167" xfId="0" applyNumberFormat="1" applyFont="1" applyFill="1" applyBorder="1" applyAlignment="1">
      <alignment vertical="top" wrapText="1"/>
    </xf>
    <xf numFmtId="180" fontId="82" fillId="2" borderId="167" xfId="0" applyNumberFormat="1" applyFont="1" applyFill="1" applyBorder="1" applyAlignment="1">
      <alignment vertical="top" wrapText="1"/>
    </xf>
    <xf numFmtId="179" fontId="13" fillId="2" borderId="6" xfId="0" applyNumberFormat="1" applyFont="1" applyFill="1" applyBorder="1" applyAlignment="1">
      <alignment horizontal="center" vertical="top"/>
    </xf>
    <xf numFmtId="0" fontId="396" fillId="2" borderId="0" xfId="0" applyFont="1" applyFill="1" applyAlignment="1">
      <alignment vertical="top"/>
    </xf>
    <xf numFmtId="0" fontId="396" fillId="194" borderId="0" xfId="0" applyFont="1" applyFill="1" applyAlignment="1">
      <alignment vertical="top"/>
    </xf>
    <xf numFmtId="0" fontId="400" fillId="194" borderId="0" xfId="0" applyFont="1" applyFill="1" applyAlignment="1">
      <alignment vertical="top"/>
    </xf>
    <xf numFmtId="0" fontId="396" fillId="8" borderId="0" xfId="0" applyFont="1" applyFill="1" applyAlignment="1">
      <alignment vertical="top"/>
    </xf>
    <xf numFmtId="0" fontId="400" fillId="8" borderId="0" xfId="0" applyFont="1" applyFill="1" applyAlignment="1">
      <alignment vertical="top"/>
    </xf>
    <xf numFmtId="0" fontId="401" fillId="3" borderId="166" xfId="0" applyFont="1" applyFill="1" applyBorder="1" applyAlignment="1">
      <alignment horizontal="center" vertical="center" wrapText="1"/>
    </xf>
    <xf numFmtId="0" fontId="396" fillId="2" borderId="166" xfId="0" applyFont="1" applyFill="1" applyBorder="1" applyAlignment="1">
      <alignment vertical="top"/>
    </xf>
    <xf numFmtId="0" fontId="400" fillId="2" borderId="0" xfId="0" applyFont="1" applyFill="1" applyAlignment="1">
      <alignment vertical="top"/>
    </xf>
    <xf numFmtId="0" fontId="401" fillId="3" borderId="166" xfId="0" applyFont="1" applyFill="1" applyBorder="1" applyAlignment="1">
      <alignment vertical="top"/>
    </xf>
    <xf numFmtId="0" fontId="402" fillId="2" borderId="166" xfId="0" applyFont="1" applyFill="1" applyBorder="1"/>
    <xf numFmtId="2" fontId="396" fillId="2" borderId="166" xfId="0" applyNumberFormat="1" applyFont="1" applyFill="1" applyBorder="1"/>
    <xf numFmtId="0" fontId="396" fillId="2" borderId="36" xfId="0" applyFont="1" applyFill="1" applyBorder="1"/>
    <xf numFmtId="6" fontId="396" fillId="2" borderId="166" xfId="0" applyNumberFormat="1" applyFont="1" applyFill="1" applyBorder="1" applyAlignment="1">
      <alignment vertical="top"/>
    </xf>
    <xf numFmtId="44" fontId="396" fillId="2" borderId="166" xfId="359" applyFont="1" applyFill="1" applyBorder="1" applyAlignment="1">
      <alignment vertical="top"/>
    </xf>
    <xf numFmtId="0" fontId="401" fillId="3" borderId="166" xfId="0" applyFont="1" applyFill="1" applyBorder="1" applyAlignment="1">
      <alignment vertical="top" wrapText="1"/>
    </xf>
    <xf numFmtId="0" fontId="403" fillId="2" borderId="166" xfId="0" applyFont="1" applyFill="1" applyBorder="1" applyAlignment="1">
      <alignment vertical="top"/>
    </xf>
    <xf numFmtId="179" fontId="396" fillId="2" borderId="166" xfId="0" applyNumberFormat="1" applyFont="1" applyFill="1" applyBorder="1" applyAlignment="1">
      <alignment horizontal="right" vertical="top" wrapText="1"/>
    </xf>
    <xf numFmtId="0" fontId="396" fillId="2" borderId="166" xfId="0" quotePrefix="1" applyFont="1" applyFill="1" applyBorder="1" applyAlignment="1">
      <alignment vertical="top"/>
    </xf>
    <xf numFmtId="180" fontId="396" fillId="2" borderId="167" xfId="0" applyNumberFormat="1" applyFont="1" applyFill="1" applyBorder="1" applyAlignment="1">
      <alignment vertical="top"/>
    </xf>
    <xf numFmtId="179" fontId="13" fillId="2" borderId="6" xfId="0" applyNumberFormat="1" applyFont="1" applyFill="1" applyBorder="1" applyAlignment="1">
      <alignment vertical="top"/>
    </xf>
    <xf numFmtId="2" fontId="13" fillId="2" borderId="6" xfId="0" applyNumberFormat="1" applyFont="1" applyFill="1" applyBorder="1"/>
    <xf numFmtId="2" fontId="396" fillId="2" borderId="166" xfId="0" applyNumberFormat="1" applyFont="1" applyFill="1" applyBorder="1" applyAlignment="1">
      <alignment horizontal="center" vertical="center"/>
    </xf>
    <xf numFmtId="0" fontId="399" fillId="8" borderId="166" xfId="0" applyFont="1" applyFill="1" applyBorder="1" applyAlignment="1">
      <alignment horizontal="center" vertical="center" wrapText="1"/>
    </xf>
    <xf numFmtId="0" fontId="399" fillId="8" borderId="166" xfId="0" applyFont="1" applyFill="1" applyBorder="1" applyAlignment="1">
      <alignment vertical="center" wrapText="1"/>
    </xf>
    <xf numFmtId="0" fontId="399" fillId="8" borderId="167" xfId="0" applyFont="1" applyFill="1" applyBorder="1" applyAlignment="1">
      <alignment vertical="center" wrapText="1"/>
    </xf>
    <xf numFmtId="0" fontId="389" fillId="2" borderId="167" xfId="0" applyFont="1" applyFill="1" applyBorder="1" applyAlignment="1">
      <alignment vertical="top" wrapText="1"/>
    </xf>
    <xf numFmtId="0" fontId="386" fillId="190" borderId="192" xfId="0" applyFont="1" applyFill="1" applyBorder="1" applyAlignment="1">
      <alignment vertical="top" wrapText="1"/>
    </xf>
    <xf numFmtId="0" fontId="386" fillId="190" borderId="193" xfId="0" applyFont="1" applyFill="1" applyBorder="1" applyAlignment="1">
      <alignment vertical="top" wrapText="1"/>
    </xf>
    <xf numFmtId="182" fontId="13" fillId="55" borderId="166" xfId="360" applyNumberFormat="1" applyFont="1" applyFill="1" applyBorder="1" applyAlignment="1">
      <alignment horizontal="center" vertical="top"/>
    </xf>
    <xf numFmtId="182" fontId="82" fillId="55" borderId="166" xfId="360" applyNumberFormat="1" applyFont="1" applyFill="1" applyBorder="1" applyAlignment="1">
      <alignment horizontal="center" vertical="top"/>
    </xf>
    <xf numFmtId="182" fontId="13" fillId="2" borderId="166" xfId="360" applyNumberFormat="1" applyFont="1" applyFill="1" applyBorder="1" applyAlignment="1">
      <alignment horizontal="center" vertical="top"/>
    </xf>
    <xf numFmtId="182" fontId="403" fillId="55" borderId="166" xfId="360" applyNumberFormat="1" applyFont="1" applyFill="1" applyBorder="1" applyAlignment="1">
      <alignment horizontal="center" vertical="top"/>
    </xf>
    <xf numFmtId="182" fontId="83" fillId="55" borderId="166" xfId="360" applyNumberFormat="1" applyFont="1" applyFill="1" applyBorder="1" applyAlignment="1">
      <alignment horizontal="center" vertical="top"/>
    </xf>
    <xf numFmtId="182" fontId="82" fillId="2" borderId="166" xfId="360" applyNumberFormat="1" applyFont="1" applyFill="1" applyBorder="1" applyAlignment="1">
      <alignment horizontal="center" vertical="top"/>
    </xf>
    <xf numFmtId="180" fontId="13" fillId="67" borderId="166" xfId="0" applyNumberFormat="1" applyFont="1" applyFill="1" applyBorder="1" applyAlignment="1">
      <alignment horizontal="center" vertical="top"/>
    </xf>
    <xf numFmtId="180" fontId="82" fillId="192" borderId="166" xfId="0" applyNumberFormat="1" applyFont="1" applyFill="1" applyBorder="1" applyAlignment="1">
      <alignment horizontal="center" vertical="top"/>
    </xf>
    <xf numFmtId="182" fontId="13" fillId="55" borderId="36" xfId="360" applyNumberFormat="1" applyFont="1" applyFill="1" applyBorder="1" applyAlignment="1">
      <alignment horizontal="center" vertical="top"/>
    </xf>
    <xf numFmtId="0" fontId="87" fillId="56" borderId="166" xfId="0" applyFont="1" applyFill="1" applyBorder="1" applyAlignment="1">
      <alignment horizontal="left" vertical="top" wrapText="1"/>
    </xf>
    <xf numFmtId="0" fontId="87" fillId="56" borderId="166" xfId="0" applyFont="1" applyFill="1" applyBorder="1" applyAlignment="1">
      <alignment vertical="center"/>
    </xf>
    <xf numFmtId="0" fontId="87" fillId="56" borderId="166" xfId="0" applyFont="1" applyFill="1" applyBorder="1" applyAlignment="1">
      <alignment vertical="center" wrapText="1"/>
    </xf>
    <xf numFmtId="0" fontId="404" fillId="56" borderId="166" xfId="0" applyFont="1" applyFill="1" applyBorder="1" applyAlignment="1">
      <alignment vertical="center" wrapText="1"/>
    </xf>
    <xf numFmtId="0" fontId="87" fillId="199" borderId="166" xfId="0" applyFont="1" applyFill="1" applyBorder="1" applyAlignment="1">
      <alignment horizontal="center" textRotation="90"/>
    </xf>
    <xf numFmtId="2" fontId="13" fillId="192" borderId="166" xfId="0" applyNumberFormat="1" applyFont="1" applyFill="1" applyBorder="1" applyAlignment="1">
      <alignment horizontal="center" vertical="top"/>
    </xf>
    <xf numFmtId="2" fontId="365" fillId="192" borderId="166" xfId="0" applyNumberFormat="1" applyFont="1" applyFill="1" applyBorder="1" applyAlignment="1">
      <alignment horizontal="center" vertical="top"/>
    </xf>
    <xf numFmtId="0" fontId="18" fillId="2" borderId="166" xfId="89" quotePrefix="1" applyFill="1" applyBorder="1" applyAlignment="1" applyProtection="1">
      <alignment vertical="top"/>
    </xf>
    <xf numFmtId="0" fontId="86" fillId="3" borderId="36" xfId="0" applyFont="1" applyFill="1" applyBorder="1" applyAlignment="1">
      <alignment vertical="top" wrapText="1"/>
    </xf>
    <xf numFmtId="0" fontId="86" fillId="3" borderId="168" xfId="0" applyFont="1" applyFill="1" applyBorder="1" applyAlignment="1">
      <alignment vertical="top"/>
    </xf>
    <xf numFmtId="0" fontId="86" fillId="3" borderId="169" xfId="0" applyFont="1" applyFill="1" applyBorder="1" applyAlignment="1">
      <alignment vertical="top"/>
    </xf>
    <xf numFmtId="0" fontId="395" fillId="2" borderId="194" xfId="0" applyFont="1" applyFill="1" applyBorder="1" applyAlignment="1">
      <alignment horizontal="left" vertical="top" wrapText="1"/>
    </xf>
    <xf numFmtId="0" fontId="395" fillId="2" borderId="195" xfId="0" applyFont="1" applyFill="1" applyBorder="1" applyAlignment="1">
      <alignment horizontal="left" vertical="top" wrapText="1"/>
    </xf>
    <xf numFmtId="0" fontId="82" fillId="2" borderId="6" xfId="0" applyFont="1" applyFill="1" applyBorder="1" applyAlignment="1">
      <alignment horizontal="left" vertical="top" wrapText="1"/>
    </xf>
    <xf numFmtId="0" fontId="13" fillId="2" borderId="196" xfId="0" applyFont="1" applyFill="1" applyBorder="1" applyAlignment="1">
      <alignment vertical="top"/>
    </xf>
    <xf numFmtId="0" fontId="386" fillId="2" borderId="194" xfId="0" applyFont="1" applyFill="1" applyBorder="1" applyAlignment="1">
      <alignment vertical="top"/>
    </xf>
    <xf numFmtId="0" fontId="88" fillId="190" borderId="192" xfId="0" applyFont="1" applyFill="1" applyBorder="1" applyAlignment="1">
      <alignment vertical="top" wrapText="1"/>
    </xf>
    <xf numFmtId="0" fontId="13" fillId="190" borderId="193" xfId="0" applyFont="1" applyFill="1" applyBorder="1" applyAlignment="1">
      <alignment horizontal="center" vertical="top"/>
    </xf>
    <xf numFmtId="0" fontId="405" fillId="2" borderId="194" xfId="89" applyFont="1" applyFill="1" applyBorder="1" applyAlignment="1" applyProtection="1">
      <alignment horizontal="left" vertical="top"/>
    </xf>
    <xf numFmtId="0" fontId="395" fillId="2" borderId="0" xfId="0" applyFont="1" applyFill="1" applyAlignment="1">
      <alignment horizontal="left" vertical="top" wrapText="1"/>
    </xf>
    <xf numFmtId="0" fontId="396" fillId="2" borderId="0" xfId="0" applyFont="1" applyFill="1" applyAlignment="1">
      <alignment horizontal="left" vertical="top" wrapText="1"/>
    </xf>
    <xf numFmtId="0" fontId="396" fillId="2" borderId="0" xfId="0" applyFont="1" applyFill="1"/>
    <xf numFmtId="0" fontId="381" fillId="190" borderId="106" xfId="0" applyFont="1" applyFill="1" applyBorder="1" applyAlignment="1">
      <alignment horizontal="center" vertical="center"/>
    </xf>
    <xf numFmtId="182" fontId="386" fillId="2" borderId="0" xfId="360" applyNumberFormat="1" applyFont="1" applyFill="1" applyAlignment="1">
      <alignment horizontal="left" vertical="top" wrapText="1"/>
    </xf>
    <xf numFmtId="0" fontId="78" fillId="2" borderId="0" xfId="0" applyFont="1" applyFill="1"/>
    <xf numFmtId="182" fontId="386" fillId="2" borderId="0" xfId="360" applyNumberFormat="1" applyFont="1" applyFill="1" applyAlignment="1">
      <alignment horizontal="left" vertical="top"/>
    </xf>
    <xf numFmtId="0" fontId="376" fillId="2" borderId="0" xfId="0" applyFont="1" applyFill="1" applyAlignment="1">
      <alignment vertical="center"/>
    </xf>
    <xf numFmtId="0" fontId="386" fillId="2" borderId="0" xfId="0" applyFont="1" applyFill="1" applyAlignment="1">
      <alignment vertical="center"/>
    </xf>
    <xf numFmtId="0" fontId="399" fillId="2" borderId="0" xfId="0" applyFont="1" applyFill="1" applyAlignment="1">
      <alignment horizontal="right" vertical="top"/>
    </xf>
    <xf numFmtId="0" fontId="394" fillId="2" borderId="0" xfId="0" applyFont="1" applyFill="1" applyAlignment="1">
      <alignment vertical="top"/>
    </xf>
    <xf numFmtId="0" fontId="102" fillId="2" borderId="0" xfId="0" applyFont="1" applyFill="1" applyAlignment="1">
      <alignment horizontal="center" vertical="center"/>
    </xf>
    <xf numFmtId="0" fontId="407" fillId="2" borderId="0" xfId="0" applyFont="1" applyFill="1" applyAlignment="1">
      <alignment horizontal="center" vertical="center"/>
    </xf>
    <xf numFmtId="0" fontId="386" fillId="7" borderId="172" xfId="0" applyFont="1" applyFill="1" applyBorder="1"/>
    <xf numFmtId="0" fontId="386" fillId="7" borderId="173" xfId="0" applyFont="1" applyFill="1" applyBorder="1"/>
    <xf numFmtId="0" fontId="386" fillId="2" borderId="194" xfId="0" applyFont="1" applyFill="1" applyBorder="1" applyAlignment="1">
      <alignment horizontal="left" vertical="top" wrapText="1"/>
    </xf>
    <xf numFmtId="0" fontId="386" fillId="2" borderId="0" xfId="0" applyFont="1" applyFill="1" applyAlignment="1">
      <alignment horizontal="left" vertical="top" wrapText="1"/>
    </xf>
    <xf numFmtId="0" fontId="386" fillId="2" borderId="195" xfId="0" applyFont="1" applyFill="1" applyBorder="1" applyAlignment="1">
      <alignment horizontal="left" vertical="top" wrapText="1"/>
    </xf>
    <xf numFmtId="0" fontId="386" fillId="2" borderId="196" xfId="0" applyFont="1" applyFill="1" applyBorder="1" applyAlignment="1">
      <alignment horizontal="left" vertical="top" wrapText="1"/>
    </xf>
    <xf numFmtId="0" fontId="386" fillId="2" borderId="27" xfId="0" applyFont="1" applyFill="1" applyBorder="1" applyAlignment="1">
      <alignment horizontal="left" vertical="top" wrapText="1"/>
    </xf>
    <xf numFmtId="0" fontId="386" fillId="2" borderId="197" xfId="0" applyFont="1" applyFill="1" applyBorder="1" applyAlignment="1">
      <alignment horizontal="left" vertical="top" wrapText="1"/>
    </xf>
    <xf numFmtId="0" fontId="13" fillId="2" borderId="0" xfId="0" applyFont="1" applyFill="1" applyAlignment="1">
      <alignment horizontal="left" vertical="top" wrapText="1"/>
    </xf>
    <xf numFmtId="0" fontId="88" fillId="2" borderId="0" xfId="0" applyFont="1" applyFill="1" applyAlignment="1">
      <alignment horizontal="left" vertical="top" wrapText="1"/>
    </xf>
    <xf numFmtId="0" fontId="388" fillId="190" borderId="194" xfId="0" applyFont="1" applyFill="1" applyBorder="1" applyAlignment="1">
      <alignment horizontal="left" vertical="top" wrapText="1"/>
    </xf>
    <xf numFmtId="0" fontId="388" fillId="190" borderId="0" xfId="0" applyFont="1" applyFill="1" applyAlignment="1">
      <alignment horizontal="left" vertical="top" wrapText="1"/>
    </xf>
    <xf numFmtId="0" fontId="388" fillId="190" borderId="195" xfId="0" applyFont="1" applyFill="1" applyBorder="1" applyAlignment="1">
      <alignment horizontal="left" vertical="top" wrapText="1"/>
    </xf>
    <xf numFmtId="0" fontId="388" fillId="190" borderId="196" xfId="0" applyFont="1" applyFill="1" applyBorder="1" applyAlignment="1">
      <alignment horizontal="left" vertical="top" wrapText="1"/>
    </xf>
    <xf numFmtId="0" fontId="388" fillId="190" borderId="27" xfId="0" applyFont="1" applyFill="1" applyBorder="1" applyAlignment="1">
      <alignment horizontal="left" vertical="top" wrapText="1"/>
    </xf>
    <xf numFmtId="0" fontId="388" fillId="190" borderId="197" xfId="0" applyFont="1" applyFill="1" applyBorder="1" applyAlignment="1">
      <alignment horizontal="left" vertical="top" wrapText="1"/>
    </xf>
    <xf numFmtId="0" fontId="395" fillId="2" borderId="194" xfId="0" applyFont="1" applyFill="1" applyBorder="1" applyAlignment="1">
      <alignment horizontal="left" vertical="top" wrapText="1"/>
    </xf>
    <xf numFmtId="0" fontId="395" fillId="2" borderId="0" xfId="0" applyFont="1" applyFill="1" applyAlignment="1">
      <alignment horizontal="left" vertical="top" wrapText="1"/>
    </xf>
    <xf numFmtId="0" fontId="395" fillId="2" borderId="195" xfId="0" applyFont="1" applyFill="1" applyBorder="1" applyAlignment="1">
      <alignment horizontal="left" vertical="top" wrapText="1"/>
    </xf>
    <xf numFmtId="0" fontId="395" fillId="2" borderId="196" xfId="0" applyFont="1" applyFill="1" applyBorder="1" applyAlignment="1">
      <alignment horizontal="left" vertical="top" wrapText="1"/>
    </xf>
    <xf numFmtId="0" fontId="395" fillId="2" borderId="27" xfId="0" applyFont="1" applyFill="1" applyBorder="1" applyAlignment="1">
      <alignment horizontal="left" vertical="top" wrapText="1"/>
    </xf>
    <xf numFmtId="0" fontId="395" fillId="2" borderId="197" xfId="0" applyFont="1" applyFill="1" applyBorder="1" applyAlignment="1">
      <alignment horizontal="left" vertical="top" wrapText="1"/>
    </xf>
    <xf numFmtId="0" fontId="395" fillId="2" borderId="191" xfId="0" applyFont="1" applyFill="1" applyBorder="1" applyAlignment="1">
      <alignment horizontal="left" vertical="top" wrapText="1"/>
    </xf>
    <xf numFmtId="0" fontId="395" fillId="2" borderId="192" xfId="0" applyFont="1" applyFill="1" applyBorder="1" applyAlignment="1">
      <alignment horizontal="left" vertical="top" wrapText="1"/>
    </xf>
    <xf numFmtId="0" fontId="395" fillId="2" borderId="193" xfId="0" applyFont="1" applyFill="1" applyBorder="1" applyAlignment="1">
      <alignment horizontal="left" vertical="top" wrapText="1"/>
    </xf>
    <xf numFmtId="0" fontId="386" fillId="2" borderId="166" xfId="0" applyFont="1" applyFill="1" applyBorder="1" applyAlignment="1">
      <alignment horizontal="left" vertical="top" wrapText="1"/>
    </xf>
    <xf numFmtId="0" fontId="387" fillId="8" borderId="166" xfId="0" applyFont="1" applyFill="1" applyBorder="1" applyAlignment="1">
      <alignment horizontal="center" vertical="center" wrapText="1"/>
    </xf>
    <xf numFmtId="0" fontId="389" fillId="0" borderId="166" xfId="0" applyFont="1" applyBorder="1" applyAlignment="1">
      <alignment horizontal="left" vertical="center" wrapText="1"/>
    </xf>
    <xf numFmtId="0" fontId="389" fillId="2" borderId="166" xfId="0" applyFont="1" applyFill="1" applyBorder="1" applyAlignment="1">
      <alignment horizontal="left" vertical="top" wrapText="1"/>
    </xf>
    <xf numFmtId="0" fontId="386" fillId="2" borderId="167" xfId="0" applyFont="1" applyFill="1" applyBorder="1" applyAlignment="1">
      <alignment horizontal="left" vertical="top" wrapText="1"/>
    </xf>
    <xf numFmtId="0" fontId="386" fillId="2" borderId="168" xfId="0" applyFont="1" applyFill="1" applyBorder="1" applyAlignment="1">
      <alignment horizontal="left" vertical="top" wrapText="1"/>
    </xf>
    <xf numFmtId="0" fontId="386" fillId="2" borderId="169" xfId="0" applyFont="1" applyFill="1" applyBorder="1" applyAlignment="1">
      <alignment horizontal="left" vertical="top" wrapText="1"/>
    </xf>
    <xf numFmtId="0" fontId="387" fillId="8" borderId="166" xfId="0" applyFont="1" applyFill="1" applyBorder="1" applyAlignment="1">
      <alignment horizontal="left" vertical="top" wrapText="1"/>
    </xf>
    <xf numFmtId="0" fontId="386" fillId="2" borderId="166" xfId="0" applyFont="1" applyFill="1" applyBorder="1" applyAlignment="1">
      <alignment horizontal="center" vertical="top"/>
    </xf>
    <xf numFmtId="0" fontId="387" fillId="8" borderId="166" xfId="0" applyFont="1" applyFill="1" applyBorder="1" applyAlignment="1">
      <alignment horizontal="center" vertical="top"/>
    </xf>
    <xf numFmtId="0" fontId="386" fillId="2" borderId="166" xfId="0" applyFont="1" applyFill="1" applyBorder="1" applyAlignment="1">
      <alignment horizontal="center" vertical="top" wrapText="1"/>
    </xf>
    <xf numFmtId="0" fontId="387" fillId="8" borderId="166" xfId="0" applyFont="1" applyFill="1" applyBorder="1" applyAlignment="1">
      <alignment horizontal="center" vertical="top" wrapText="1"/>
    </xf>
    <xf numFmtId="0" fontId="386" fillId="0" borderId="194" xfId="0" applyFont="1" applyBorder="1" applyAlignment="1">
      <alignment horizontal="left" vertical="top" wrapText="1"/>
    </xf>
    <xf numFmtId="0" fontId="386" fillId="0" borderId="0" xfId="0" applyFont="1" applyAlignment="1">
      <alignment horizontal="left" vertical="top" wrapText="1"/>
    </xf>
    <xf numFmtId="0" fontId="386" fillId="0" borderId="195" xfId="0" applyFont="1" applyBorder="1" applyAlignment="1">
      <alignment horizontal="left" vertical="top" wrapText="1"/>
    </xf>
    <xf numFmtId="0" fontId="386" fillId="2" borderId="166" xfId="0" applyFont="1" applyFill="1" applyBorder="1" applyAlignment="1">
      <alignment horizontal="left" vertical="top"/>
    </xf>
    <xf numFmtId="0" fontId="386" fillId="2" borderId="7" xfId="0" applyFont="1" applyFill="1" applyBorder="1" applyAlignment="1">
      <alignment horizontal="left" vertical="top" wrapText="1"/>
    </xf>
    <xf numFmtId="0" fontId="386" fillId="2" borderId="33" xfId="0" applyFont="1" applyFill="1" applyBorder="1" applyAlignment="1">
      <alignment horizontal="left" vertical="top" wrapText="1"/>
    </xf>
    <xf numFmtId="0" fontId="386" fillId="2" borderId="31" xfId="0" applyFont="1" applyFill="1" applyBorder="1" applyAlignment="1">
      <alignment horizontal="left" vertical="top" wrapText="1"/>
    </xf>
    <xf numFmtId="0" fontId="386" fillId="2" borderId="24" xfId="0" applyFont="1" applyFill="1" applyBorder="1" applyAlignment="1">
      <alignment horizontal="left" vertical="top" wrapText="1"/>
    </xf>
    <xf numFmtId="0" fontId="386" fillId="2" borderId="32" xfId="0" applyFont="1" applyFill="1" applyBorder="1" applyAlignment="1">
      <alignment horizontal="left" vertical="top" wrapText="1"/>
    </xf>
    <xf numFmtId="0" fontId="386" fillId="2" borderId="14" xfId="0" applyFont="1" applyFill="1" applyBorder="1" applyAlignment="1">
      <alignment horizontal="left" vertical="top" wrapText="1"/>
    </xf>
    <xf numFmtId="0" fontId="387" fillId="2" borderId="194" xfId="0" applyFont="1" applyFill="1" applyBorder="1" applyAlignment="1">
      <alignment horizontal="left" vertical="top" wrapText="1"/>
    </xf>
    <xf numFmtId="0" fontId="387" fillId="2" borderId="0" xfId="0" applyFont="1" applyFill="1" applyAlignment="1">
      <alignment horizontal="left" vertical="top" wrapText="1"/>
    </xf>
    <xf numFmtId="0" fontId="387" fillId="2" borderId="195" xfId="0" applyFont="1" applyFill="1" applyBorder="1" applyAlignment="1">
      <alignment horizontal="left" vertical="top" wrapText="1"/>
    </xf>
    <xf numFmtId="0" fontId="387" fillId="8" borderId="166" xfId="0" applyFont="1" applyFill="1" applyBorder="1" applyAlignment="1">
      <alignment horizontal="left" vertical="center" wrapText="1"/>
    </xf>
    <xf numFmtId="0" fontId="387" fillId="8" borderId="6" xfId="0" applyFont="1" applyFill="1" applyBorder="1" applyAlignment="1">
      <alignment horizontal="center" vertical="top"/>
    </xf>
    <xf numFmtId="0" fontId="88" fillId="2" borderId="194" xfId="0" applyFont="1" applyFill="1" applyBorder="1" applyAlignment="1">
      <alignment horizontal="left" vertical="top" wrapText="1"/>
    </xf>
    <xf numFmtId="0" fontId="406" fillId="2" borderId="107" xfId="0" applyFont="1" applyFill="1" applyBorder="1" applyAlignment="1">
      <alignment horizontal="center" vertical="top" wrapText="1"/>
    </xf>
    <xf numFmtId="0" fontId="406" fillId="2" borderId="173" xfId="0" applyFont="1" applyFill="1" applyBorder="1" applyAlignment="1">
      <alignment horizontal="center" vertical="top" wrapText="1"/>
    </xf>
    <xf numFmtId="0" fontId="395" fillId="195" borderId="6" xfId="0" applyFont="1" applyFill="1" applyBorder="1" applyAlignment="1">
      <alignment horizontal="left" vertical="top" wrapText="1"/>
    </xf>
    <xf numFmtId="0" fontId="395" fillId="195" borderId="25" xfId="0" applyFont="1" applyFill="1" applyBorder="1" applyAlignment="1">
      <alignment horizontal="left" vertical="top" wrapText="1"/>
    </xf>
    <xf numFmtId="0" fontId="395" fillId="195" borderId="36" xfId="0" applyFont="1" applyFill="1" applyBorder="1" applyAlignment="1">
      <alignment horizontal="left" vertical="top" wrapText="1"/>
    </xf>
    <xf numFmtId="0" fontId="395" fillId="2" borderId="6" xfId="0" applyFont="1" applyFill="1" applyBorder="1" applyAlignment="1">
      <alignment horizontal="left" vertical="top" wrapText="1"/>
    </xf>
    <xf numFmtId="0" fontId="395" fillId="2" borderId="25" xfId="0" applyFont="1" applyFill="1" applyBorder="1" applyAlignment="1">
      <alignment horizontal="left" vertical="top" wrapText="1"/>
    </xf>
    <xf numFmtId="0" fontId="395" fillId="2" borderId="36" xfId="0" applyFont="1" applyFill="1" applyBorder="1" applyAlignment="1">
      <alignment horizontal="left" vertical="top" wrapText="1"/>
    </xf>
    <xf numFmtId="0" fontId="395" fillId="2" borderId="166" xfId="0" applyFont="1" applyFill="1" applyBorder="1" applyAlignment="1">
      <alignment horizontal="left" vertical="top" wrapText="1"/>
    </xf>
    <xf numFmtId="0" fontId="395" fillId="195" borderId="166" xfId="0" applyFont="1" applyFill="1" applyBorder="1" applyAlignment="1">
      <alignment horizontal="left" vertical="top" wrapText="1"/>
    </xf>
    <xf numFmtId="0" fontId="399" fillId="8" borderId="166" xfId="0" applyFont="1" applyFill="1" applyBorder="1" applyAlignment="1">
      <alignment horizontal="left" vertical="center" wrapText="1"/>
    </xf>
    <xf numFmtId="0" fontId="395" fillId="61" borderId="6" xfId="0" applyFont="1" applyFill="1" applyBorder="1" applyAlignment="1">
      <alignment horizontal="left" vertical="top" wrapText="1"/>
    </xf>
    <xf numFmtId="0" fontId="395" fillId="61" borderId="36" xfId="0" applyFont="1" applyFill="1" applyBorder="1" applyAlignment="1">
      <alignment horizontal="left" vertical="top" wrapText="1"/>
    </xf>
    <xf numFmtId="0" fontId="395" fillId="2" borderId="167" xfId="0" applyFont="1" applyFill="1" applyBorder="1" applyAlignment="1">
      <alignment horizontal="left" vertical="top" wrapText="1"/>
    </xf>
    <xf numFmtId="0" fontId="388" fillId="56" borderId="0" xfId="0" applyFont="1" applyFill="1" applyAlignment="1">
      <alignment horizontal="left" vertical="top" wrapText="1"/>
    </xf>
    <xf numFmtId="0" fontId="386" fillId="2" borderId="50" xfId="0" applyFont="1" applyFill="1" applyBorder="1" applyAlignment="1">
      <alignment horizontal="center" vertical="top"/>
    </xf>
    <xf numFmtId="0" fontId="386" fillId="7" borderId="50" xfId="0" applyFont="1" applyFill="1" applyBorder="1" applyAlignment="1">
      <alignment horizontal="center" vertical="top"/>
    </xf>
    <xf numFmtId="0" fontId="386" fillId="7" borderId="175" xfId="0" applyFont="1" applyFill="1" applyBorder="1" applyAlignment="1">
      <alignment horizontal="center" vertical="top"/>
    </xf>
    <xf numFmtId="0" fontId="386" fillId="2" borderId="45" xfId="0" applyFont="1" applyFill="1" applyBorder="1" applyAlignment="1">
      <alignment horizontal="center" vertical="center"/>
    </xf>
    <xf numFmtId="0" fontId="386" fillId="2" borderId="48" xfId="0" applyFont="1" applyFill="1" applyBorder="1" applyAlignment="1">
      <alignment horizontal="center" vertical="center"/>
    </xf>
    <xf numFmtId="0" fontId="386" fillId="2" borderId="49" xfId="0" applyFont="1" applyFill="1" applyBorder="1" applyAlignment="1">
      <alignment horizontal="center" vertical="center"/>
    </xf>
    <xf numFmtId="0" fontId="386" fillId="7" borderId="45" xfId="0" applyFont="1" applyFill="1" applyBorder="1" applyAlignment="1">
      <alignment horizontal="center" vertical="center"/>
    </xf>
    <xf numFmtId="0" fontId="386" fillId="7" borderId="48" xfId="0" applyFont="1" applyFill="1" applyBorder="1" applyAlignment="1">
      <alignment horizontal="center" vertical="center"/>
    </xf>
    <xf numFmtId="0" fontId="386" fillId="7" borderId="49" xfId="0" applyFont="1" applyFill="1" applyBorder="1" applyAlignment="1">
      <alignment horizontal="center" vertical="center"/>
    </xf>
    <xf numFmtId="0" fontId="386" fillId="7" borderId="51" xfId="0" applyFont="1" applyFill="1" applyBorder="1" applyAlignment="1">
      <alignment horizontal="center" vertical="center"/>
    </xf>
    <xf numFmtId="0" fontId="386" fillId="7" borderId="174" xfId="0" applyFont="1" applyFill="1" applyBorder="1" applyAlignment="1">
      <alignment horizontal="center" vertical="center"/>
    </xf>
    <xf numFmtId="0" fontId="396" fillId="2" borderId="6" xfId="0" applyFont="1" applyFill="1" applyBorder="1" applyAlignment="1">
      <alignment horizontal="left" vertical="top"/>
    </xf>
    <xf numFmtId="0" fontId="396" fillId="2" borderId="25" xfId="0" applyFont="1" applyFill="1" applyBorder="1" applyAlignment="1">
      <alignment horizontal="left" vertical="top"/>
    </xf>
    <xf numFmtId="0" fontId="396" fillId="2" borderId="36" xfId="0" applyFont="1" applyFill="1" applyBorder="1" applyAlignment="1">
      <alignment horizontal="left" vertical="top"/>
    </xf>
    <xf numFmtId="0" fontId="13" fillId="2" borderId="166" xfId="0" applyFont="1" applyFill="1" applyBorder="1" applyAlignment="1">
      <alignment horizontal="left" vertical="top"/>
    </xf>
    <xf numFmtId="0" fontId="396" fillId="2" borderId="6" xfId="0" applyFont="1" applyFill="1" applyBorder="1" applyAlignment="1">
      <alignment horizontal="left" vertical="top" wrapText="1"/>
    </xf>
    <xf numFmtId="0" fontId="396" fillId="2" borderId="25" xfId="0" applyFont="1" applyFill="1" applyBorder="1" applyAlignment="1">
      <alignment horizontal="left" vertical="top" wrapText="1"/>
    </xf>
    <xf numFmtId="0" fontId="396" fillId="2" borderId="36" xfId="0" applyFont="1" applyFill="1" applyBorder="1" applyAlignment="1">
      <alignment horizontal="left" vertical="top" wrapText="1"/>
    </xf>
    <xf numFmtId="0" fontId="13" fillId="2" borderId="169" xfId="0" applyFont="1" applyFill="1" applyBorder="1" applyAlignment="1">
      <alignment horizontal="left" vertical="top" wrapText="1"/>
    </xf>
    <xf numFmtId="0" fontId="82" fillId="2" borderId="169" xfId="0" applyFont="1" applyFill="1" applyBorder="1" applyAlignment="1">
      <alignment horizontal="left" vertical="top" wrapText="1"/>
    </xf>
    <xf numFmtId="0" fontId="87" fillId="191" borderId="166" xfId="0" applyFont="1" applyFill="1" applyBorder="1" applyAlignment="1">
      <alignment horizontal="center" vertical="top"/>
    </xf>
    <xf numFmtId="0" fontId="13" fillId="2" borderId="36" xfId="0" applyFont="1" applyFill="1" applyBorder="1" applyAlignment="1">
      <alignment horizontal="left" vertical="top" wrapText="1"/>
    </xf>
    <xf numFmtId="0" fontId="13" fillId="2" borderId="166" xfId="0" applyFont="1" applyFill="1" applyBorder="1" applyAlignment="1">
      <alignment horizontal="left" vertical="top" wrapText="1"/>
    </xf>
    <xf numFmtId="0" fontId="396" fillId="2" borderId="33" xfId="0" applyFont="1" applyFill="1" applyBorder="1" applyAlignment="1">
      <alignment horizontal="left" vertical="top" wrapText="1"/>
    </xf>
    <xf numFmtId="0" fontId="396" fillId="2" borderId="24" xfId="0" applyFont="1" applyFill="1" applyBorder="1" applyAlignment="1">
      <alignment horizontal="left" vertical="top" wrapText="1"/>
    </xf>
    <xf numFmtId="0" fontId="396" fillId="2" borderId="14" xfId="0" applyFont="1" applyFill="1" applyBorder="1" applyAlignment="1">
      <alignment horizontal="left" vertical="top" wrapText="1"/>
    </xf>
    <xf numFmtId="0" fontId="396" fillId="2" borderId="24" xfId="0" applyFont="1" applyFill="1" applyBorder="1" applyAlignment="1">
      <alignment horizontal="left" vertical="top"/>
    </xf>
    <xf numFmtId="0" fontId="396" fillId="2" borderId="14" xfId="0" applyFont="1" applyFill="1" applyBorder="1" applyAlignment="1">
      <alignment horizontal="left" vertical="top"/>
    </xf>
    <xf numFmtId="0" fontId="15" fillId="3" borderId="167" xfId="0" applyFont="1" applyFill="1" applyBorder="1" applyAlignment="1">
      <alignment horizontal="center"/>
    </xf>
    <xf numFmtId="0" fontId="15" fillId="3" borderId="169" xfId="0" applyFont="1" applyFill="1" applyBorder="1" applyAlignment="1">
      <alignment horizontal="center"/>
    </xf>
    <xf numFmtId="0" fontId="13" fillId="2" borderId="6" xfId="0" applyFont="1" applyFill="1" applyBorder="1" applyAlignment="1">
      <alignment horizontal="left" vertical="top" wrapText="1"/>
    </xf>
    <xf numFmtId="0" fontId="13" fillId="2" borderId="25" xfId="0" applyFont="1" applyFill="1" applyBorder="1" applyAlignment="1">
      <alignment horizontal="left" vertical="top" wrapText="1"/>
    </xf>
    <xf numFmtId="0" fontId="82" fillId="2" borderId="166" xfId="0" applyFont="1" applyFill="1" applyBorder="1" applyAlignment="1">
      <alignment horizontal="left" vertical="top" wrapText="1"/>
    </xf>
    <xf numFmtId="0" fontId="82" fillId="2" borderId="6" xfId="0" applyFont="1" applyFill="1" applyBorder="1" applyAlignment="1">
      <alignment horizontal="left" vertical="top" wrapText="1"/>
    </xf>
    <xf numFmtId="0" fontId="82" fillId="2" borderId="25" xfId="0" applyFont="1" applyFill="1" applyBorder="1" applyAlignment="1">
      <alignment horizontal="left" vertical="top" wrapText="1"/>
    </xf>
    <xf numFmtId="0" fontId="82" fillId="2" borderId="36" xfId="0" applyFont="1" applyFill="1" applyBorder="1" applyAlignment="1">
      <alignment horizontal="left" vertical="top" wrapText="1"/>
    </xf>
    <xf numFmtId="0" fontId="13" fillId="2" borderId="6" xfId="0" applyFont="1" applyFill="1" applyBorder="1" applyAlignment="1">
      <alignment horizontal="center" vertical="top" wrapText="1"/>
    </xf>
    <xf numFmtId="0" fontId="13" fillId="2" borderId="25" xfId="0" applyFont="1" applyFill="1" applyBorder="1" applyAlignment="1">
      <alignment horizontal="center" vertical="top" wrapText="1"/>
    </xf>
    <xf numFmtId="0" fontId="13" fillId="2" borderId="36" xfId="0" applyFont="1" applyFill="1" applyBorder="1" applyAlignment="1">
      <alignment horizontal="center" vertical="top" wrapText="1"/>
    </xf>
    <xf numFmtId="0" fontId="13" fillId="2" borderId="166" xfId="0" applyFont="1" applyFill="1" applyBorder="1" applyAlignment="1">
      <alignment horizontal="center" vertical="top" wrapText="1"/>
    </xf>
    <xf numFmtId="0" fontId="87" fillId="191" borderId="176" xfId="0" applyFont="1" applyFill="1" applyBorder="1" applyAlignment="1">
      <alignment horizontal="left" vertical="top"/>
    </xf>
    <xf numFmtId="0" fontId="87" fillId="191" borderId="177" xfId="0" applyFont="1" applyFill="1" applyBorder="1" applyAlignment="1">
      <alignment horizontal="left" vertical="top"/>
    </xf>
    <xf numFmtId="0" fontId="87" fillId="191" borderId="178" xfId="0" applyFont="1" applyFill="1" applyBorder="1" applyAlignment="1">
      <alignment horizontal="left" vertical="top"/>
    </xf>
    <xf numFmtId="2" fontId="13" fillId="2" borderId="166" xfId="0" applyNumberFormat="1" applyFont="1" applyFill="1" applyBorder="1" applyAlignment="1">
      <alignment horizontal="center" vertical="center"/>
    </xf>
    <xf numFmtId="180" fontId="13" fillId="2" borderId="166" xfId="0" applyNumberFormat="1" applyFont="1" applyFill="1" applyBorder="1" applyAlignment="1">
      <alignment horizontal="center" vertical="top" wrapText="1"/>
    </xf>
    <xf numFmtId="0" fontId="13" fillId="2" borderId="167" xfId="0" applyFont="1" applyFill="1" applyBorder="1" applyAlignment="1">
      <alignment horizontal="left" vertical="top" wrapText="1"/>
    </xf>
    <xf numFmtId="0" fontId="13" fillId="2" borderId="168" xfId="0" applyFont="1" applyFill="1" applyBorder="1" applyAlignment="1">
      <alignment horizontal="left" vertical="top" wrapText="1"/>
    </xf>
    <xf numFmtId="2" fontId="13" fillId="2" borderId="6" xfId="0" applyNumberFormat="1" applyFont="1" applyFill="1" applyBorder="1" applyAlignment="1">
      <alignment horizontal="center" vertical="center"/>
    </xf>
    <xf numFmtId="2" fontId="13" fillId="2" borderId="25" xfId="0" applyNumberFormat="1" applyFont="1" applyFill="1" applyBorder="1" applyAlignment="1">
      <alignment horizontal="center" vertical="center"/>
    </xf>
    <xf numFmtId="2" fontId="13" fillId="2" borderId="36" xfId="0" applyNumberFormat="1" applyFont="1" applyFill="1" applyBorder="1" applyAlignment="1">
      <alignment horizontal="center" vertical="center"/>
    </xf>
    <xf numFmtId="0" fontId="13" fillId="2" borderId="167" xfId="0" quotePrefix="1" applyFont="1" applyFill="1" applyBorder="1" applyAlignment="1">
      <alignment horizontal="left" vertical="top" wrapText="1"/>
    </xf>
    <xf numFmtId="0" fontId="13" fillId="2" borderId="168" xfId="0" quotePrefix="1" applyFont="1" applyFill="1" applyBorder="1" applyAlignment="1">
      <alignment horizontal="left" vertical="top" wrapText="1"/>
    </xf>
    <xf numFmtId="0" fontId="13" fillId="2" borderId="169" xfId="0" quotePrefix="1" applyFont="1" applyFill="1" applyBorder="1" applyAlignment="1">
      <alignment horizontal="left" vertical="top" wrapText="1"/>
    </xf>
    <xf numFmtId="0" fontId="0" fillId="193" borderId="0" xfId="0" applyFill="1" applyAlignment="1">
      <alignment horizontal="left" vertical="top" wrapText="1"/>
    </xf>
    <xf numFmtId="0" fontId="396" fillId="193" borderId="0" xfId="0" applyFont="1" applyFill="1" applyAlignment="1">
      <alignment horizontal="left" vertical="top" wrapText="1"/>
    </xf>
    <xf numFmtId="0" fontId="86" fillId="3" borderId="167" xfId="0" applyFont="1" applyFill="1" applyBorder="1" applyAlignment="1">
      <alignment horizontal="center" vertical="top"/>
    </xf>
    <xf numFmtId="0" fontId="86" fillId="3" borderId="168" xfId="0" applyFont="1" applyFill="1" applyBorder="1" applyAlignment="1">
      <alignment horizontal="center" vertical="top"/>
    </xf>
    <xf numFmtId="0" fontId="86" fillId="3" borderId="169" xfId="0" applyFont="1" applyFill="1" applyBorder="1" applyAlignment="1">
      <alignment horizontal="center" vertical="top"/>
    </xf>
    <xf numFmtId="0" fontId="13" fillId="2" borderId="6"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36" xfId="0" applyFont="1" applyFill="1" applyBorder="1" applyAlignment="1">
      <alignment horizontal="center" vertical="center"/>
    </xf>
    <xf numFmtId="0" fontId="86" fillId="3" borderId="166" xfId="0" applyFont="1" applyFill="1" applyBorder="1" applyAlignment="1">
      <alignment horizontal="center" vertical="top"/>
    </xf>
    <xf numFmtId="0" fontId="13" fillId="2" borderId="6" xfId="0" applyFont="1" applyFill="1" applyBorder="1" applyAlignment="1">
      <alignment horizontal="left" vertical="top"/>
    </xf>
    <xf numFmtId="0" fontId="13" fillId="2" borderId="25" xfId="0" applyFont="1" applyFill="1" applyBorder="1" applyAlignment="1">
      <alignment horizontal="left" vertical="top"/>
    </xf>
    <xf numFmtId="0" fontId="13" fillId="2" borderId="36" xfId="0" applyFont="1" applyFill="1" applyBorder="1" applyAlignment="1">
      <alignment horizontal="left" vertical="top"/>
    </xf>
    <xf numFmtId="0" fontId="86" fillId="3" borderId="166" xfId="0" applyFont="1" applyFill="1" applyBorder="1" applyAlignment="1">
      <alignment horizontal="center" vertical="center"/>
    </xf>
    <xf numFmtId="0" fontId="86" fillId="3" borderId="166" xfId="0" applyFont="1" applyFill="1" applyBorder="1" applyAlignment="1">
      <alignment horizontal="center"/>
    </xf>
    <xf numFmtId="0" fontId="13" fillId="2" borderId="166" xfId="0" quotePrefix="1" applyFont="1" applyFill="1" applyBorder="1" applyAlignment="1">
      <alignment horizontal="left" vertical="center" wrapText="1"/>
    </xf>
    <xf numFmtId="0" fontId="13" fillId="2" borderId="166" xfId="0" applyFont="1" applyFill="1" applyBorder="1" applyAlignment="1">
      <alignment horizontal="left" vertical="center" wrapText="1"/>
    </xf>
    <xf numFmtId="0" fontId="13" fillId="2" borderId="167" xfId="0" quotePrefix="1" applyFont="1" applyFill="1" applyBorder="1" applyAlignment="1">
      <alignment horizontal="left" vertical="center" wrapText="1"/>
    </xf>
    <xf numFmtId="0" fontId="13" fillId="2" borderId="168" xfId="0" quotePrefix="1" applyFont="1" applyFill="1" applyBorder="1" applyAlignment="1">
      <alignment horizontal="left" vertical="center" wrapText="1"/>
    </xf>
    <xf numFmtId="0" fontId="13" fillId="2" borderId="169" xfId="0" quotePrefix="1" applyFont="1" applyFill="1" applyBorder="1" applyAlignment="1">
      <alignment horizontal="left" vertical="center" wrapText="1"/>
    </xf>
    <xf numFmtId="0" fontId="86" fillId="3" borderId="166" xfId="0" applyFont="1" applyFill="1" applyBorder="1" applyAlignment="1">
      <alignment horizontal="left"/>
    </xf>
    <xf numFmtId="0" fontId="86" fillId="3" borderId="167" xfId="0" applyFont="1" applyFill="1" applyBorder="1" applyAlignment="1">
      <alignment horizontal="left"/>
    </xf>
    <xf numFmtId="0" fontId="86" fillId="3" borderId="168" xfId="0" applyFont="1" applyFill="1" applyBorder="1" applyAlignment="1">
      <alignment horizontal="left"/>
    </xf>
    <xf numFmtId="0" fontId="86" fillId="3" borderId="169" xfId="0" applyFont="1" applyFill="1" applyBorder="1" applyAlignment="1">
      <alignment horizontal="left"/>
    </xf>
    <xf numFmtId="0" fontId="13" fillId="2" borderId="166" xfId="0" applyFont="1" applyFill="1" applyBorder="1" applyAlignment="1">
      <alignment horizontal="center" vertical="center" wrapText="1"/>
    </xf>
    <xf numFmtId="0" fontId="13" fillId="2" borderId="168" xfId="0" applyFont="1" applyFill="1" applyBorder="1" applyAlignment="1">
      <alignment horizontal="left" vertical="center" wrapText="1"/>
    </xf>
    <xf numFmtId="0" fontId="13" fillId="2" borderId="169" xfId="0" applyFont="1" applyFill="1" applyBorder="1" applyAlignment="1">
      <alignment horizontal="left" vertical="center" wrapText="1"/>
    </xf>
    <xf numFmtId="0" fontId="13" fillId="193" borderId="0" xfId="0" applyFont="1" applyFill="1" applyAlignment="1">
      <alignment horizontal="left" vertical="top" wrapText="1"/>
    </xf>
    <xf numFmtId="0" fontId="86" fillId="3" borderId="166" xfId="0" applyFont="1" applyFill="1" applyBorder="1" applyAlignment="1">
      <alignment horizontal="center" wrapText="1"/>
    </xf>
    <xf numFmtId="6" fontId="13" fillId="2" borderId="167" xfId="0" applyNumberFormat="1" applyFont="1" applyFill="1" applyBorder="1" applyAlignment="1">
      <alignment horizontal="left" vertical="top" wrapText="1"/>
    </xf>
    <xf numFmtId="6" fontId="13" fillId="2" borderId="168" xfId="0" applyNumberFormat="1" applyFont="1" applyFill="1" applyBorder="1" applyAlignment="1">
      <alignment horizontal="left" vertical="top" wrapText="1"/>
    </xf>
    <xf numFmtId="6" fontId="13" fillId="2" borderId="169" xfId="0" applyNumberFormat="1" applyFont="1" applyFill="1" applyBorder="1" applyAlignment="1">
      <alignment horizontal="left" vertical="top" wrapText="1"/>
    </xf>
    <xf numFmtId="0" fontId="86" fillId="3" borderId="166" xfId="0" applyFont="1" applyFill="1" applyBorder="1" applyAlignment="1">
      <alignment horizontal="left" vertical="top"/>
    </xf>
    <xf numFmtId="0" fontId="13" fillId="2" borderId="166" xfId="0" quotePrefix="1" applyFont="1" applyFill="1" applyBorder="1" applyAlignment="1">
      <alignment horizontal="left" vertical="top" wrapText="1"/>
    </xf>
    <xf numFmtId="0" fontId="86" fillId="3" borderId="167" xfId="0" applyFont="1" applyFill="1" applyBorder="1" applyAlignment="1">
      <alignment horizontal="left" vertical="top" wrapText="1"/>
    </xf>
    <xf numFmtId="0" fontId="86" fillId="3" borderId="168" xfId="0" applyFont="1" applyFill="1" applyBorder="1" applyAlignment="1">
      <alignment horizontal="left" vertical="top" wrapText="1"/>
    </xf>
    <xf numFmtId="0" fontId="86" fillId="3" borderId="169" xfId="0" applyFont="1" applyFill="1" applyBorder="1" applyAlignment="1">
      <alignment horizontal="left" vertical="top" wrapText="1"/>
    </xf>
    <xf numFmtId="180" fontId="13" fillId="2" borderId="6" xfId="0" applyNumberFormat="1" applyFont="1" applyFill="1" applyBorder="1" applyAlignment="1">
      <alignment horizontal="center" vertical="top" wrapText="1"/>
    </xf>
    <xf numFmtId="180" fontId="13" fillId="2" borderId="36" xfId="0" applyNumberFormat="1" applyFont="1" applyFill="1" applyBorder="1" applyAlignment="1">
      <alignment horizontal="center" vertical="top" wrapText="1"/>
    </xf>
    <xf numFmtId="0" fontId="86" fillId="3" borderId="167" xfId="0" applyFont="1" applyFill="1" applyBorder="1" applyAlignment="1">
      <alignment horizontal="left" vertical="top"/>
    </xf>
    <xf numFmtId="0" fontId="86" fillId="3" borderId="168" xfId="0" applyFont="1" applyFill="1" applyBorder="1" applyAlignment="1">
      <alignment horizontal="left" vertical="top"/>
    </xf>
    <xf numFmtId="0" fontId="86" fillId="3" borderId="169" xfId="0" applyFont="1" applyFill="1" applyBorder="1" applyAlignment="1">
      <alignment horizontal="left" vertical="top"/>
    </xf>
    <xf numFmtId="0" fontId="13" fillId="2" borderId="6"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86" fillId="3" borderId="166" xfId="0" applyFont="1" applyFill="1" applyBorder="1" applyAlignment="1">
      <alignment horizontal="left" vertical="top" wrapText="1"/>
    </xf>
    <xf numFmtId="6" fontId="13" fillId="2" borderId="166" xfId="0" applyNumberFormat="1" applyFont="1" applyFill="1" applyBorder="1" applyAlignment="1">
      <alignment horizontal="left" vertical="top"/>
    </xf>
    <xf numFmtId="6" fontId="13" fillId="2" borderId="167" xfId="0" applyNumberFormat="1" applyFont="1" applyFill="1" applyBorder="1" applyAlignment="1">
      <alignment horizontal="left" vertical="top"/>
    </xf>
    <xf numFmtId="6" fontId="13" fillId="2" borderId="168" xfId="0" applyNumberFormat="1" applyFont="1" applyFill="1" applyBorder="1" applyAlignment="1">
      <alignment horizontal="left" vertical="top"/>
    </xf>
    <xf numFmtId="6" fontId="13" fillId="2" borderId="169" xfId="0" applyNumberFormat="1" applyFont="1" applyFill="1" applyBorder="1" applyAlignment="1">
      <alignment horizontal="left" vertical="top"/>
    </xf>
    <xf numFmtId="180" fontId="13" fillId="2" borderId="6" xfId="0" applyNumberFormat="1" applyFont="1" applyFill="1" applyBorder="1" applyAlignment="1">
      <alignment horizontal="center" vertical="center" wrapText="1"/>
    </xf>
    <xf numFmtId="180" fontId="13" fillId="2" borderId="25" xfId="0" applyNumberFormat="1" applyFont="1" applyFill="1" applyBorder="1" applyAlignment="1">
      <alignment horizontal="center" vertical="center" wrapText="1"/>
    </xf>
    <xf numFmtId="180" fontId="13" fillId="2" borderId="36" xfId="0" applyNumberFormat="1" applyFont="1" applyFill="1" applyBorder="1" applyAlignment="1">
      <alignment horizontal="center" vertical="center" wrapText="1"/>
    </xf>
    <xf numFmtId="0" fontId="13" fillId="2" borderId="166" xfId="0" applyFont="1" applyFill="1" applyBorder="1" applyAlignment="1">
      <alignment horizontal="center" vertical="center"/>
    </xf>
    <xf numFmtId="0" fontId="86" fillId="3" borderId="166" xfId="0" applyFont="1" applyFill="1" applyBorder="1" applyAlignment="1">
      <alignment horizontal="center" vertical="top" wrapText="1"/>
    </xf>
    <xf numFmtId="0" fontId="13" fillId="2" borderId="7" xfId="0" quotePrefix="1" applyFont="1" applyFill="1" applyBorder="1" applyAlignment="1">
      <alignment horizontal="left" vertical="top" wrapText="1"/>
    </xf>
    <xf numFmtId="0" fontId="13" fillId="2" borderId="34" xfId="0" applyFont="1" applyFill="1" applyBorder="1" applyAlignment="1">
      <alignment horizontal="left" vertical="top" wrapText="1"/>
    </xf>
    <xf numFmtId="0" fontId="13" fillId="2" borderId="33" xfId="0" applyFont="1" applyFill="1" applyBorder="1" applyAlignment="1">
      <alignment horizontal="left" vertical="top" wrapText="1"/>
    </xf>
    <xf numFmtId="0" fontId="13" fillId="2" borderId="32" xfId="0" applyFont="1" applyFill="1" applyBorder="1" applyAlignment="1">
      <alignment horizontal="left" vertical="top" wrapText="1"/>
    </xf>
    <xf numFmtId="0" fontId="13" fillId="2" borderId="171" xfId="0" applyFont="1" applyFill="1" applyBorder="1" applyAlignment="1">
      <alignment horizontal="left" vertical="top" wrapText="1"/>
    </xf>
    <xf numFmtId="0" fontId="13" fillId="2" borderId="14" xfId="0" applyFont="1" applyFill="1" applyBorder="1" applyAlignment="1">
      <alignment horizontal="left" vertical="top" wrapText="1"/>
    </xf>
    <xf numFmtId="3" fontId="13" fillId="0" borderId="6" xfId="0" applyNumberFormat="1" applyFont="1" applyBorder="1" applyAlignment="1">
      <alignment horizontal="left" vertical="top" wrapText="1"/>
    </xf>
    <xf numFmtId="3" fontId="13" fillId="0" borderId="36" xfId="0" applyNumberFormat="1" applyFont="1" applyBorder="1" applyAlignment="1">
      <alignment horizontal="left" vertical="top" wrapText="1"/>
    </xf>
    <xf numFmtId="0" fontId="13" fillId="0" borderId="166" xfId="0" applyFont="1" applyBorder="1" applyAlignment="1">
      <alignment horizontal="left" vertical="top"/>
    </xf>
    <xf numFmtId="44" fontId="13" fillId="2" borderId="166" xfId="359" applyFont="1" applyFill="1" applyBorder="1" applyAlignment="1">
      <alignment horizontal="left" vertical="top"/>
    </xf>
    <xf numFmtId="0" fontId="13" fillId="2" borderId="166" xfId="0" applyFont="1" applyFill="1" applyBorder="1" applyAlignment="1">
      <alignment horizontal="center" vertical="top"/>
    </xf>
    <xf numFmtId="0" fontId="13" fillId="2" borderId="6" xfId="0" applyFont="1" applyFill="1" applyBorder="1" applyAlignment="1">
      <alignment horizontal="center" vertical="top"/>
    </xf>
    <xf numFmtId="0" fontId="13" fillId="2" borderId="25" xfId="0" applyFont="1" applyFill="1" applyBorder="1" applyAlignment="1">
      <alignment horizontal="center" vertical="top"/>
    </xf>
    <xf numFmtId="0" fontId="13" fillId="2" borderId="36" xfId="0" applyFont="1" applyFill="1" applyBorder="1" applyAlignment="1">
      <alignment horizontal="center" vertical="top"/>
    </xf>
    <xf numFmtId="0" fontId="13" fillId="0" borderId="166" xfId="0" quotePrefix="1" applyFont="1" applyBorder="1" applyAlignment="1">
      <alignment horizontal="left" vertical="top" wrapText="1"/>
    </xf>
    <xf numFmtId="0" fontId="13" fillId="0" borderId="166" xfId="0" applyFont="1" applyBorder="1" applyAlignment="1">
      <alignment horizontal="left" vertical="top" wrapText="1"/>
    </xf>
    <xf numFmtId="0" fontId="13" fillId="2" borderId="34" xfId="0" quotePrefix="1" applyFont="1" applyFill="1" applyBorder="1" applyAlignment="1">
      <alignment horizontal="left" vertical="top" wrapText="1"/>
    </xf>
    <xf numFmtId="0" fontId="13" fillId="2" borderId="82" xfId="0" quotePrefix="1" applyFont="1" applyFill="1" applyBorder="1" applyAlignment="1">
      <alignment horizontal="left" vertical="top" wrapText="1"/>
    </xf>
    <xf numFmtId="0" fontId="13" fillId="2" borderId="31" xfId="0" quotePrefix="1" applyFont="1" applyFill="1" applyBorder="1" applyAlignment="1">
      <alignment horizontal="left" vertical="top" wrapText="1"/>
    </xf>
    <xf numFmtId="0" fontId="13" fillId="2" borderId="0" xfId="0" quotePrefix="1" applyFont="1" applyFill="1" applyAlignment="1">
      <alignment horizontal="left" vertical="top" wrapText="1"/>
    </xf>
    <xf numFmtId="0" fontId="13" fillId="2" borderId="83" xfId="0" quotePrefix="1" applyFont="1" applyFill="1" applyBorder="1" applyAlignment="1">
      <alignment horizontal="left" vertical="top" wrapText="1"/>
    </xf>
    <xf numFmtId="0" fontId="13" fillId="2" borderId="84" xfId="0" quotePrefix="1" applyFont="1" applyFill="1" applyBorder="1" applyAlignment="1">
      <alignment horizontal="left" vertical="top" wrapText="1"/>
    </xf>
    <xf numFmtId="0" fontId="13" fillId="2" borderId="85" xfId="0" quotePrefix="1" applyFont="1" applyFill="1" applyBorder="1" applyAlignment="1">
      <alignment horizontal="left" vertical="top" wrapText="1"/>
    </xf>
    <xf numFmtId="0" fontId="13" fillId="2" borderId="86" xfId="0" quotePrefix="1" applyFont="1" applyFill="1" applyBorder="1" applyAlignment="1">
      <alignment horizontal="left" vertical="top" wrapText="1"/>
    </xf>
    <xf numFmtId="0" fontId="13" fillId="2" borderId="87" xfId="0" quotePrefix="1" applyFont="1" applyFill="1" applyBorder="1" applyAlignment="1">
      <alignment horizontal="left" vertical="top" wrapText="1"/>
    </xf>
    <xf numFmtId="0" fontId="13" fillId="2" borderId="88" xfId="0" quotePrefix="1" applyFont="1" applyFill="1" applyBorder="1" applyAlignment="1">
      <alignment horizontal="left" vertical="top" wrapText="1"/>
    </xf>
    <xf numFmtId="0" fontId="13" fillId="2" borderId="89" xfId="0" quotePrefix="1" applyFont="1" applyFill="1" applyBorder="1" applyAlignment="1">
      <alignment horizontal="left" vertical="top" wrapText="1"/>
    </xf>
    <xf numFmtId="0" fontId="13" fillId="2" borderId="167" xfId="0" quotePrefix="1" applyFont="1" applyFill="1" applyBorder="1" applyAlignment="1">
      <alignment horizontal="left" vertical="top"/>
    </xf>
    <xf numFmtId="0" fontId="13" fillId="2" borderId="168" xfId="0" quotePrefix="1" applyFont="1" applyFill="1" applyBorder="1" applyAlignment="1">
      <alignment horizontal="left" vertical="top"/>
    </xf>
    <xf numFmtId="0" fontId="13" fillId="2" borderId="169" xfId="0" quotePrefix="1" applyFont="1" applyFill="1" applyBorder="1" applyAlignment="1">
      <alignment horizontal="left" vertical="top"/>
    </xf>
    <xf numFmtId="0" fontId="13" fillId="0" borderId="6" xfId="0" quotePrefix="1" applyFont="1" applyBorder="1" applyAlignment="1">
      <alignment horizontal="left" vertical="center" wrapText="1"/>
    </xf>
    <xf numFmtId="0" fontId="13" fillId="0" borderId="25" xfId="0" quotePrefix="1" applyFont="1" applyBorder="1" applyAlignment="1">
      <alignment horizontal="left" vertical="center" wrapText="1"/>
    </xf>
    <xf numFmtId="0" fontId="13" fillId="0" borderId="36" xfId="0" quotePrefix="1" applyFont="1" applyBorder="1" applyAlignment="1">
      <alignment horizontal="left" vertical="center" wrapText="1"/>
    </xf>
    <xf numFmtId="0" fontId="13" fillId="2" borderId="32" xfId="0" quotePrefix="1" applyFont="1" applyFill="1" applyBorder="1" applyAlignment="1">
      <alignment horizontal="left" vertical="top" wrapText="1"/>
    </xf>
    <xf numFmtId="0" fontId="13" fillId="2" borderId="171" xfId="0" quotePrefix="1" applyFont="1" applyFill="1" applyBorder="1" applyAlignment="1">
      <alignment horizontal="left" vertical="top" wrapText="1"/>
    </xf>
    <xf numFmtId="0" fontId="13" fillId="2" borderId="90" xfId="0" quotePrefix="1" applyFont="1" applyFill="1" applyBorder="1" applyAlignment="1">
      <alignment horizontal="left" vertical="top" wrapText="1"/>
    </xf>
    <xf numFmtId="0" fontId="13" fillId="0" borderId="6" xfId="0" applyFont="1" applyBorder="1" applyAlignment="1">
      <alignment horizontal="left" vertical="top"/>
    </xf>
    <xf numFmtId="0" fontId="13" fillId="0" borderId="25" xfId="0" applyFont="1" applyBorder="1" applyAlignment="1">
      <alignment horizontal="left" vertical="top"/>
    </xf>
    <xf numFmtId="0" fontId="13" fillId="0" borderId="36" xfId="0" applyFont="1" applyBorder="1" applyAlignment="1">
      <alignment horizontal="left" vertical="top"/>
    </xf>
    <xf numFmtId="0" fontId="13" fillId="2" borderId="167" xfId="0" applyFont="1" applyFill="1" applyBorder="1" applyAlignment="1">
      <alignment horizontal="left" vertical="top"/>
    </xf>
    <xf numFmtId="0" fontId="13" fillId="2" borderId="168" xfId="0" applyFont="1" applyFill="1" applyBorder="1" applyAlignment="1">
      <alignment horizontal="left" vertical="top"/>
    </xf>
    <xf numFmtId="0" fontId="13" fillId="2" borderId="169" xfId="0" applyFont="1" applyFill="1" applyBorder="1" applyAlignment="1">
      <alignment horizontal="left" vertical="top"/>
    </xf>
    <xf numFmtId="0" fontId="15" fillId="3" borderId="6" xfId="0" applyFont="1" applyFill="1" applyBorder="1" applyAlignment="1">
      <alignment horizontal="left" vertical="top" wrapText="1"/>
    </xf>
    <xf numFmtId="0" fontId="13" fillId="2" borderId="166" xfId="0" quotePrefix="1" applyFont="1" applyFill="1" applyBorder="1" applyAlignment="1">
      <alignment horizontal="left" vertical="top"/>
    </xf>
    <xf numFmtId="0" fontId="15" fillId="3" borderId="166" xfId="0" applyFont="1" applyFill="1" applyBorder="1" applyAlignment="1">
      <alignment horizontal="left" vertical="top" wrapText="1"/>
    </xf>
    <xf numFmtId="44" fontId="13" fillId="2" borderId="167" xfId="359" applyFont="1" applyFill="1" applyBorder="1" applyAlignment="1">
      <alignment horizontal="left" vertical="top" wrapText="1"/>
    </xf>
    <xf numFmtId="44" fontId="13" fillId="2" borderId="168" xfId="359" applyFont="1" applyFill="1" applyBorder="1" applyAlignment="1">
      <alignment horizontal="left" vertical="top" wrapText="1"/>
    </xf>
    <xf numFmtId="44" fontId="13" fillId="2" borderId="169" xfId="359" applyFont="1" applyFill="1" applyBorder="1" applyAlignment="1">
      <alignment horizontal="left" vertical="top" wrapText="1"/>
    </xf>
    <xf numFmtId="0" fontId="13" fillId="0" borderId="166" xfId="0" applyFont="1" applyBorder="1" applyAlignment="1">
      <alignment horizontal="center" vertical="top"/>
    </xf>
    <xf numFmtId="0" fontId="13" fillId="0" borderId="166" xfId="0" applyFont="1" applyBorder="1" applyAlignment="1">
      <alignment horizontal="center" vertical="top" wrapText="1"/>
    </xf>
    <xf numFmtId="0" fontId="13" fillId="0" borderId="6" xfId="0" applyFont="1" applyBorder="1" applyAlignment="1">
      <alignment horizontal="center" vertical="top"/>
    </xf>
    <xf numFmtId="0" fontId="13" fillId="0" borderId="25" xfId="0" applyFont="1" applyBorder="1" applyAlignment="1">
      <alignment horizontal="center" vertical="top"/>
    </xf>
    <xf numFmtId="0" fontId="13" fillId="0" borderId="36" xfId="0" applyFont="1" applyBorder="1" applyAlignment="1">
      <alignment horizontal="center" vertical="top"/>
    </xf>
    <xf numFmtId="0" fontId="13" fillId="0" borderId="6" xfId="0" applyFont="1" applyBorder="1" applyAlignment="1">
      <alignment horizontal="center" vertical="top" wrapText="1"/>
    </xf>
    <xf numFmtId="0" fontId="13" fillId="0" borderId="25" xfId="0" applyFont="1" applyBorder="1" applyAlignment="1">
      <alignment horizontal="center" vertical="top" wrapText="1"/>
    </xf>
    <xf numFmtId="0" fontId="13" fillId="0" borderId="36" xfId="0" applyFont="1" applyBorder="1" applyAlignment="1">
      <alignment horizontal="center" vertical="top" wrapText="1"/>
    </xf>
    <xf numFmtId="0" fontId="88" fillId="193" borderId="0" xfId="0" applyFont="1" applyFill="1" applyAlignment="1">
      <alignment horizontal="left" vertical="top" wrapText="1"/>
    </xf>
    <xf numFmtId="0" fontId="0" fillId="0" borderId="0" xfId="0" quotePrefix="1" applyAlignment="1">
      <alignment vertical="top" wrapText="1"/>
    </xf>
    <xf numFmtId="0" fontId="13" fillId="2" borderId="33" xfId="0" quotePrefix="1" applyFont="1" applyFill="1" applyBorder="1" applyAlignment="1">
      <alignment horizontal="left" vertical="top" wrapText="1"/>
    </xf>
    <xf numFmtId="0" fontId="13" fillId="2" borderId="14" xfId="0" quotePrefix="1" applyFont="1" applyFill="1" applyBorder="1" applyAlignment="1">
      <alignment horizontal="left" vertical="top" wrapText="1"/>
    </xf>
    <xf numFmtId="0" fontId="13" fillId="2" borderId="7" xfId="0" applyFont="1" applyFill="1" applyBorder="1" applyAlignment="1">
      <alignment horizontal="left" vertical="top" wrapText="1"/>
    </xf>
    <xf numFmtId="0" fontId="13" fillId="2" borderId="31" xfId="0" applyFont="1" applyFill="1" applyBorder="1" applyAlignment="1">
      <alignment horizontal="left" vertical="top" wrapText="1"/>
    </xf>
    <xf numFmtId="0" fontId="13" fillId="2" borderId="24" xfId="0" applyFont="1" applyFill="1" applyBorder="1" applyAlignment="1">
      <alignment horizontal="left" vertical="top" wrapText="1"/>
    </xf>
    <xf numFmtId="180" fontId="13" fillId="2" borderId="6" xfId="0" applyNumberFormat="1" applyFont="1" applyFill="1" applyBorder="1" applyAlignment="1">
      <alignment horizontal="center" vertical="center"/>
    </xf>
    <xf numFmtId="180" fontId="13" fillId="2" borderId="25" xfId="0" applyNumberFormat="1" applyFont="1" applyFill="1" applyBorder="1" applyAlignment="1">
      <alignment horizontal="center" vertical="center"/>
    </xf>
    <xf numFmtId="180" fontId="13" fillId="2" borderId="36" xfId="0" applyNumberFormat="1" applyFont="1" applyFill="1" applyBorder="1" applyAlignment="1">
      <alignment horizontal="center" vertical="center"/>
    </xf>
    <xf numFmtId="0" fontId="13" fillId="2" borderId="166" xfId="0" applyFont="1" applyFill="1" applyBorder="1" applyAlignment="1">
      <alignment horizontal="right" vertical="top"/>
    </xf>
    <xf numFmtId="8" fontId="86" fillId="3" borderId="167" xfId="70" applyNumberFormat="1" applyFont="1" applyFill="1" applyBorder="1" applyAlignment="1">
      <alignment horizontal="left" vertical="center" wrapText="1"/>
    </xf>
    <xf numFmtId="8" fontId="86" fillId="3" borderId="169" xfId="70" applyNumberFormat="1" applyFont="1" applyFill="1" applyBorder="1" applyAlignment="1">
      <alignment horizontal="left" vertical="center" wrapText="1"/>
    </xf>
    <xf numFmtId="0" fontId="15" fillId="3" borderId="167" xfId="0" applyFont="1" applyFill="1" applyBorder="1" applyAlignment="1">
      <alignment horizontal="left" vertical="top" wrapText="1"/>
    </xf>
    <xf numFmtId="0" fontId="15" fillId="3" borderId="169" xfId="0" applyFont="1" applyFill="1" applyBorder="1" applyAlignment="1">
      <alignment horizontal="left" vertical="top" wrapText="1"/>
    </xf>
    <xf numFmtId="8" fontId="82" fillId="2" borderId="7" xfId="70" applyNumberFormat="1" applyFont="1" applyFill="1" applyBorder="1" applyAlignment="1">
      <alignment horizontal="center" vertical="center" wrapText="1"/>
    </xf>
    <xf numFmtId="8" fontId="82" fillId="2" borderId="33" xfId="70" applyNumberFormat="1" applyFont="1" applyFill="1" applyBorder="1" applyAlignment="1">
      <alignment horizontal="center" vertical="center" wrapText="1"/>
    </xf>
    <xf numFmtId="8" fontId="82" fillId="2" borderId="32" xfId="70" applyNumberFormat="1" applyFont="1" applyFill="1" applyBorder="1" applyAlignment="1">
      <alignment horizontal="center" vertical="center" wrapText="1"/>
    </xf>
    <xf numFmtId="8" fontId="82" fillId="2" borderId="14" xfId="70" applyNumberFormat="1" applyFont="1" applyFill="1" applyBorder="1" applyAlignment="1">
      <alignment horizontal="center" vertical="center" wrapText="1"/>
    </xf>
    <xf numFmtId="0" fontId="13" fillId="2" borderId="167" xfId="0" applyFont="1" applyFill="1" applyBorder="1" applyAlignment="1">
      <alignment horizontal="center" vertical="center" wrapText="1"/>
    </xf>
    <xf numFmtId="0" fontId="13" fillId="2" borderId="169" xfId="0" applyFont="1" applyFill="1" applyBorder="1" applyAlignment="1">
      <alignment horizontal="center" vertical="center" wrapText="1"/>
    </xf>
    <xf numFmtId="0" fontId="13" fillId="2" borderId="166" xfId="0" applyFont="1" applyFill="1" applyBorder="1" applyAlignment="1">
      <alignment vertical="top" wrapText="1"/>
    </xf>
    <xf numFmtId="0" fontId="13" fillId="0" borderId="166" xfId="0" applyFont="1" applyBorder="1" applyAlignment="1">
      <alignment vertical="top" wrapText="1"/>
    </xf>
    <xf numFmtId="0" fontId="13" fillId="2" borderId="6" xfId="0" applyFont="1" applyFill="1" applyBorder="1" applyAlignment="1">
      <alignment horizontal="right" vertical="center"/>
    </xf>
    <xf numFmtId="0" fontId="13" fillId="2" borderId="25" xfId="0" applyFont="1" applyFill="1" applyBorder="1" applyAlignment="1">
      <alignment horizontal="right" vertical="center"/>
    </xf>
    <xf numFmtId="0" fontId="13" fillId="2" borderId="36" xfId="0" applyFont="1" applyFill="1" applyBorder="1" applyAlignment="1">
      <alignment horizontal="right" vertical="center"/>
    </xf>
    <xf numFmtId="0" fontId="13" fillId="2" borderId="6" xfId="0" applyFont="1" applyFill="1" applyBorder="1" applyAlignment="1">
      <alignment horizontal="left" vertical="center"/>
    </xf>
    <xf numFmtId="0" fontId="13" fillId="2" borderId="25" xfId="0" applyFont="1" applyFill="1" applyBorder="1" applyAlignment="1">
      <alignment horizontal="left" vertical="center"/>
    </xf>
    <xf numFmtId="0" fontId="13" fillId="2" borderId="36" xfId="0" applyFont="1" applyFill="1" applyBorder="1" applyAlignment="1">
      <alignment horizontal="left" vertical="center"/>
    </xf>
    <xf numFmtId="0" fontId="15" fillId="3" borderId="167" xfId="0" applyFont="1" applyFill="1" applyBorder="1" applyAlignment="1">
      <alignment horizontal="left"/>
    </xf>
    <xf numFmtId="0" fontId="15" fillId="3" borderId="169" xfId="0" applyFont="1" applyFill="1" applyBorder="1" applyAlignment="1">
      <alignment horizontal="left"/>
    </xf>
    <xf numFmtId="0" fontId="13" fillId="2" borderId="6"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05" fillId="66" borderId="71" xfId="2" applyFont="1" applyFill="1" applyBorder="1" applyAlignment="1">
      <alignment horizontal="center"/>
    </xf>
    <xf numFmtId="0" fontId="105" fillId="66" borderId="72" xfId="2" applyFont="1" applyFill="1" applyBorder="1" applyAlignment="1">
      <alignment horizontal="center"/>
    </xf>
    <xf numFmtId="0" fontId="103" fillId="2" borderId="74" xfId="2" applyFont="1" applyFill="1" applyBorder="1" applyAlignment="1">
      <alignment horizontal="center" vertical="center"/>
    </xf>
    <xf numFmtId="0" fontId="103" fillId="2" borderId="75" xfId="2" applyFont="1" applyFill="1" applyBorder="1" applyAlignment="1">
      <alignment horizontal="center" vertical="center"/>
    </xf>
    <xf numFmtId="0" fontId="103" fillId="2" borderId="76" xfId="2" applyFont="1" applyFill="1" applyBorder="1" applyAlignment="1">
      <alignment horizontal="center" vertical="center"/>
    </xf>
    <xf numFmtId="0" fontId="103" fillId="2" borderId="77" xfId="2" applyFont="1" applyFill="1" applyBorder="1" applyAlignment="1">
      <alignment horizontal="center" vertical="center"/>
    </xf>
    <xf numFmtId="0" fontId="103" fillId="2" borderId="78" xfId="2" applyFont="1" applyFill="1" applyBorder="1" applyAlignment="1">
      <alignment horizontal="center" vertical="center"/>
    </xf>
    <xf numFmtId="0" fontId="103" fillId="2" borderId="79" xfId="2" applyFont="1" applyFill="1" applyBorder="1" applyAlignment="1">
      <alignment horizontal="center" vertical="center"/>
    </xf>
    <xf numFmtId="0" fontId="13" fillId="2" borderId="7" xfId="0" quotePrefix="1" applyFont="1" applyFill="1" applyBorder="1" applyAlignment="1">
      <alignment horizontal="left" vertical="center" wrapText="1"/>
    </xf>
    <xf numFmtId="0" fontId="13" fillId="2" borderId="34"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13" fillId="2" borderId="31" xfId="0" quotePrefix="1"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24" xfId="0" applyFont="1" applyFill="1" applyBorder="1" applyAlignment="1">
      <alignment horizontal="left" vertical="center" wrapText="1"/>
    </xf>
    <xf numFmtId="0" fontId="13" fillId="2" borderId="32" xfId="0" quotePrefix="1" applyFont="1" applyFill="1" applyBorder="1" applyAlignment="1">
      <alignment horizontal="left" vertical="center" wrapText="1"/>
    </xf>
    <xf numFmtId="0" fontId="13" fillId="2" borderId="171" xfId="0" applyFont="1" applyFill="1" applyBorder="1" applyAlignment="1">
      <alignment horizontal="left" vertical="center" wrapText="1"/>
    </xf>
    <xf numFmtId="0" fontId="13" fillId="2" borderId="14" xfId="0" applyFont="1" applyFill="1" applyBorder="1" applyAlignment="1">
      <alignment horizontal="left" vertical="center" wrapText="1"/>
    </xf>
    <xf numFmtId="179" fontId="13" fillId="2" borderId="166" xfId="0" applyNumberFormat="1" applyFont="1" applyFill="1" applyBorder="1" applyAlignment="1">
      <alignment horizontal="center" vertical="center"/>
    </xf>
    <xf numFmtId="0" fontId="103" fillId="2" borderId="53" xfId="2" applyFont="1" applyFill="1" applyBorder="1" applyAlignment="1">
      <alignment horizontal="center"/>
    </xf>
    <xf numFmtId="0" fontId="103" fillId="2" borderId="54" xfId="2" applyFont="1" applyFill="1" applyBorder="1" applyAlignment="1">
      <alignment horizontal="center"/>
    </xf>
    <xf numFmtId="0" fontId="103" fillId="2" borderId="55" xfId="2" applyFont="1" applyFill="1" applyBorder="1" applyAlignment="1">
      <alignment horizontal="center"/>
    </xf>
    <xf numFmtId="8" fontId="82" fillId="2" borderId="166" xfId="70" applyNumberFormat="1" applyFont="1" applyFill="1" applyBorder="1" applyAlignment="1">
      <alignment horizontal="left" vertical="top" wrapText="1"/>
    </xf>
    <xf numFmtId="0" fontId="86" fillId="3" borderId="52" xfId="0" applyFont="1" applyFill="1" applyBorder="1" applyAlignment="1">
      <alignment horizontal="center"/>
    </xf>
    <xf numFmtId="0" fontId="86" fillId="3" borderId="185" xfId="0" applyFont="1" applyFill="1" applyBorder="1" applyAlignment="1">
      <alignment horizontal="center"/>
    </xf>
    <xf numFmtId="0" fontId="86" fillId="3" borderId="186" xfId="0" applyFont="1" applyFill="1" applyBorder="1" applyAlignment="1">
      <alignment horizontal="center"/>
    </xf>
    <xf numFmtId="0" fontId="13" fillId="2" borderId="187" xfId="0" quotePrefix="1" applyFont="1" applyFill="1" applyBorder="1" applyAlignment="1">
      <alignment horizontal="left" vertical="top" wrapText="1"/>
    </xf>
    <xf numFmtId="0" fontId="13" fillId="2" borderId="188" xfId="0" quotePrefix="1" applyFont="1" applyFill="1" applyBorder="1" applyAlignment="1">
      <alignment horizontal="left" vertical="top" wrapText="1"/>
    </xf>
    <xf numFmtId="0" fontId="13" fillId="2" borderId="189" xfId="0" quotePrefix="1" applyFont="1" applyFill="1" applyBorder="1" applyAlignment="1">
      <alignment horizontal="left" vertical="top" wrapText="1"/>
    </xf>
    <xf numFmtId="0" fontId="13" fillId="2" borderId="36" xfId="0" quotePrefix="1" applyFont="1" applyFill="1" applyBorder="1" applyAlignment="1">
      <alignment horizontal="center" vertical="center" wrapText="1"/>
    </xf>
    <xf numFmtId="0" fontId="15" fillId="3" borderId="167" xfId="0" applyFont="1" applyFill="1" applyBorder="1" applyAlignment="1">
      <alignment horizontal="center" vertical="center" wrapText="1"/>
    </xf>
    <xf numFmtId="0" fontId="15" fillId="3" borderId="169" xfId="0" applyFont="1" applyFill="1" applyBorder="1" applyAlignment="1">
      <alignment horizontal="center" vertical="center" wrapText="1"/>
    </xf>
    <xf numFmtId="1" fontId="13" fillId="2" borderId="167" xfId="0" applyNumberFormat="1" applyFont="1" applyFill="1" applyBorder="1" applyAlignment="1">
      <alignment horizontal="left"/>
    </xf>
    <xf numFmtId="1" fontId="13" fillId="2" borderId="169" xfId="0" applyNumberFormat="1" applyFont="1" applyFill="1" applyBorder="1" applyAlignment="1">
      <alignment horizontal="left"/>
    </xf>
    <xf numFmtId="1" fontId="13" fillId="2" borderId="168" xfId="0" applyNumberFormat="1" applyFont="1" applyFill="1" applyBorder="1" applyAlignment="1">
      <alignment horizontal="left"/>
    </xf>
    <xf numFmtId="0" fontId="15" fillId="3" borderId="166" xfId="0" applyFont="1" applyFill="1" applyBorder="1" applyAlignment="1">
      <alignment horizontal="center"/>
    </xf>
    <xf numFmtId="0" fontId="15" fillId="3" borderId="166" xfId="0" applyFont="1" applyFill="1" applyBorder="1" applyAlignment="1">
      <alignment vertical="top" wrapText="1"/>
    </xf>
    <xf numFmtId="0" fontId="15" fillId="3" borderId="166" xfId="0" applyFont="1" applyFill="1" applyBorder="1" applyAlignment="1">
      <alignment horizontal="left"/>
    </xf>
    <xf numFmtId="0" fontId="13" fillId="2" borderId="166" xfId="0" applyFont="1" applyFill="1" applyBorder="1" applyAlignment="1">
      <alignment horizontal="left" vertical="center"/>
    </xf>
    <xf numFmtId="8" fontId="86" fillId="59" borderId="7" xfId="70" applyNumberFormat="1" applyFont="1" applyFill="1" applyBorder="1" applyAlignment="1">
      <alignment horizontal="center" vertical="center" wrapText="1"/>
    </xf>
    <xf numFmtId="0" fontId="15" fillId="59" borderId="166" xfId="0" applyFont="1" applyFill="1" applyBorder="1" applyAlignment="1">
      <alignment horizontal="center" vertical="top" wrapText="1"/>
    </xf>
    <xf numFmtId="8" fontId="82" fillId="2" borderId="166" xfId="70" applyNumberFormat="1" applyFont="1" applyFill="1" applyBorder="1" applyAlignment="1">
      <alignment horizontal="left" vertical="center" wrapText="1"/>
    </xf>
    <xf numFmtId="0" fontId="13" fillId="2" borderId="166" xfId="0" applyFont="1" applyFill="1" applyBorder="1" applyAlignment="1">
      <alignment horizontal="right" vertical="center"/>
    </xf>
    <xf numFmtId="0" fontId="13" fillId="2" borderId="52" xfId="0" quotePrefix="1" applyFont="1" applyFill="1" applyBorder="1" applyAlignment="1">
      <alignment horizontal="left" vertical="top" wrapText="1"/>
    </xf>
    <xf numFmtId="0" fontId="13" fillId="2" borderId="185" xfId="0" quotePrefix="1" applyFont="1" applyFill="1" applyBorder="1" applyAlignment="1">
      <alignment horizontal="left" vertical="top" wrapText="1"/>
    </xf>
    <xf numFmtId="0" fontId="13" fillId="2" borderId="186" xfId="0" quotePrefix="1" applyFont="1" applyFill="1" applyBorder="1" applyAlignment="1">
      <alignment horizontal="left" vertical="top" wrapText="1"/>
    </xf>
    <xf numFmtId="0" fontId="13" fillId="2" borderId="34" xfId="0" quotePrefix="1" applyFont="1" applyFill="1" applyBorder="1" applyAlignment="1">
      <alignment horizontal="left" vertical="center" wrapText="1"/>
    </xf>
    <xf numFmtId="0" fontId="13" fillId="2" borderId="33" xfId="0" quotePrefix="1" applyFont="1" applyFill="1" applyBorder="1" applyAlignment="1">
      <alignment horizontal="left" vertical="center" wrapText="1"/>
    </xf>
    <xf numFmtId="0" fontId="13" fillId="2" borderId="0" xfId="0" quotePrefix="1" applyFont="1" applyFill="1" applyAlignment="1">
      <alignment horizontal="left" vertical="center" wrapText="1"/>
    </xf>
    <xf numFmtId="0" fontId="13" fillId="2" borderId="24" xfId="0" quotePrefix="1" applyFont="1" applyFill="1" applyBorder="1" applyAlignment="1">
      <alignment horizontal="left" vertical="center" wrapText="1"/>
    </xf>
    <xf numFmtId="0" fontId="13" fillId="2" borderId="171" xfId="0" quotePrefix="1" applyFont="1" applyFill="1" applyBorder="1" applyAlignment="1">
      <alignment horizontal="left" vertical="center" wrapText="1"/>
    </xf>
    <xf numFmtId="0" fontId="13" fillId="2" borderId="14" xfId="0" quotePrefix="1" applyFont="1" applyFill="1" applyBorder="1" applyAlignment="1">
      <alignment horizontal="left" vertical="center" wrapText="1"/>
    </xf>
    <xf numFmtId="0" fontId="13" fillId="2" borderId="166" xfId="0" quotePrefix="1" applyFont="1" applyFill="1" applyBorder="1" applyAlignment="1">
      <alignment horizontal="center" vertical="center"/>
    </xf>
    <xf numFmtId="0" fontId="86" fillId="3" borderId="167" xfId="0" applyFont="1" applyFill="1" applyBorder="1" applyAlignment="1">
      <alignment horizontal="center"/>
    </xf>
    <xf numFmtId="0" fontId="86" fillId="3" borderId="168" xfId="0" applyFont="1" applyFill="1" applyBorder="1" applyAlignment="1">
      <alignment horizontal="center"/>
    </xf>
    <xf numFmtId="0" fontId="86" fillId="3" borderId="169" xfId="0" applyFont="1" applyFill="1" applyBorder="1" applyAlignment="1">
      <alignment horizontal="center"/>
    </xf>
    <xf numFmtId="6" fontId="13" fillId="2" borderId="166" xfId="0" applyNumberFormat="1" applyFont="1" applyFill="1" applyBorder="1" applyAlignment="1">
      <alignment horizontal="left" vertical="top" wrapText="1"/>
    </xf>
    <xf numFmtId="6" fontId="13" fillId="2" borderId="7" xfId="0" applyNumberFormat="1" applyFont="1" applyFill="1" applyBorder="1" applyAlignment="1">
      <alignment horizontal="left" vertical="center"/>
    </xf>
    <xf numFmtId="6" fontId="13" fillId="2" borderId="34" xfId="0" applyNumberFormat="1" applyFont="1" applyFill="1" applyBorder="1" applyAlignment="1">
      <alignment horizontal="left" vertical="center"/>
    </xf>
    <xf numFmtId="6" fontId="13" fillId="2" borderId="33" xfId="0" applyNumberFormat="1" applyFont="1" applyFill="1" applyBorder="1" applyAlignment="1">
      <alignment horizontal="left" vertical="center"/>
    </xf>
    <xf numFmtId="6" fontId="13" fillId="2" borderId="32" xfId="0" applyNumberFormat="1" applyFont="1" applyFill="1" applyBorder="1" applyAlignment="1">
      <alignment horizontal="left" vertical="center"/>
    </xf>
    <xf numFmtId="6" fontId="13" fillId="2" borderId="171" xfId="0" applyNumberFormat="1" applyFont="1" applyFill="1" applyBorder="1" applyAlignment="1">
      <alignment horizontal="left" vertical="center"/>
    </xf>
    <xf numFmtId="6" fontId="13" fillId="2" borderId="14" xfId="0" applyNumberFormat="1" applyFont="1" applyFill="1" applyBorder="1" applyAlignment="1">
      <alignment horizontal="left" vertical="center"/>
    </xf>
    <xf numFmtId="6" fontId="13" fillId="2" borderId="167" xfId="0" applyNumberFormat="1" applyFont="1" applyFill="1" applyBorder="1" applyAlignment="1">
      <alignment horizontal="center" vertical="top"/>
    </xf>
    <xf numFmtId="6" fontId="13" fillId="2" borderId="168" xfId="0" applyNumberFormat="1" applyFont="1" applyFill="1" applyBorder="1" applyAlignment="1">
      <alignment horizontal="center" vertical="top"/>
    </xf>
    <xf numFmtId="6" fontId="13" fillId="2" borderId="169" xfId="0" applyNumberFormat="1" applyFont="1" applyFill="1" applyBorder="1" applyAlignment="1">
      <alignment horizontal="center" vertical="top"/>
    </xf>
    <xf numFmtId="0" fontId="86" fillId="3" borderId="36" xfId="0" applyFont="1" applyFill="1" applyBorder="1" applyAlignment="1">
      <alignment horizontal="left" vertical="top"/>
    </xf>
    <xf numFmtId="0" fontId="86" fillId="2" borderId="0" xfId="0" applyFont="1" applyFill="1" applyAlignment="1">
      <alignment horizontal="left" vertical="top"/>
    </xf>
    <xf numFmtId="182" fontId="13" fillId="2" borderId="0" xfId="0" quotePrefix="1" applyNumberFormat="1" applyFont="1" applyFill="1" applyAlignment="1">
      <alignment horizontal="left" vertical="top" wrapText="1"/>
    </xf>
    <xf numFmtId="182" fontId="13" fillId="2" borderId="0" xfId="0" applyNumberFormat="1" applyFont="1" applyFill="1" applyAlignment="1">
      <alignment horizontal="left" vertical="top" wrapText="1"/>
    </xf>
    <xf numFmtId="180" fontId="13" fillId="2" borderId="6" xfId="0" quotePrefix="1" applyNumberFormat="1" applyFont="1" applyFill="1" applyBorder="1" applyAlignment="1">
      <alignment horizontal="center" vertical="center" wrapText="1"/>
    </xf>
    <xf numFmtId="180" fontId="13" fillId="2" borderId="25" xfId="0" quotePrefix="1" applyNumberFormat="1" applyFont="1" applyFill="1" applyBorder="1" applyAlignment="1">
      <alignment horizontal="center" vertical="center" wrapText="1"/>
    </xf>
    <xf numFmtId="180" fontId="13" fillId="2" borderId="36" xfId="0" quotePrefix="1" applyNumberFormat="1" applyFont="1" applyFill="1" applyBorder="1" applyAlignment="1">
      <alignment horizontal="center" vertical="center" wrapText="1"/>
    </xf>
    <xf numFmtId="0" fontId="86" fillId="3" borderId="166" xfId="0" applyFont="1" applyFill="1" applyBorder="1" applyAlignment="1">
      <alignment horizontal="center" vertical="center" wrapText="1"/>
    </xf>
    <xf numFmtId="0" fontId="13" fillId="2" borderId="6" xfId="0" quotePrefix="1" applyFont="1" applyFill="1" applyBorder="1" applyAlignment="1">
      <alignment horizontal="center" vertical="top" wrapText="1"/>
    </xf>
    <xf numFmtId="0" fontId="13" fillId="2" borderId="25" xfId="0" quotePrefix="1" applyFont="1" applyFill="1" applyBorder="1" applyAlignment="1">
      <alignment horizontal="center" vertical="top" wrapText="1"/>
    </xf>
    <xf numFmtId="0" fontId="13" fillId="2" borderId="36" xfId="0" quotePrefix="1" applyFont="1" applyFill="1" applyBorder="1" applyAlignment="1">
      <alignment horizontal="center" vertical="top" wrapText="1"/>
    </xf>
    <xf numFmtId="0" fontId="102" fillId="8" borderId="9" xfId="0" applyFont="1" applyFill="1" applyBorder="1" applyAlignment="1">
      <alignment horizontal="left" vertical="top" wrapText="1"/>
    </xf>
    <xf numFmtId="180" fontId="13" fillId="2" borderId="166" xfId="0" applyNumberFormat="1" applyFont="1" applyFill="1" applyBorder="1" applyAlignment="1">
      <alignment horizontal="left" vertical="top" wrapText="1"/>
    </xf>
    <xf numFmtId="0" fontId="86" fillId="3" borderId="166" xfId="0" applyFont="1" applyFill="1" applyBorder="1" applyAlignment="1">
      <alignment horizontal="left" vertical="center" wrapText="1"/>
    </xf>
    <xf numFmtId="0" fontId="86" fillId="3" borderId="6" xfId="0" applyFont="1" applyFill="1" applyBorder="1" applyAlignment="1">
      <alignment horizontal="left" vertical="top"/>
    </xf>
    <xf numFmtId="0" fontId="13" fillId="2" borderId="0" xfId="0" applyFont="1" applyFill="1" applyAlignment="1">
      <alignment horizontal="center" vertical="top"/>
    </xf>
    <xf numFmtId="0" fontId="86" fillId="3" borderId="7" xfId="0" applyFont="1" applyFill="1" applyBorder="1" applyAlignment="1">
      <alignment horizontal="left" vertical="top"/>
    </xf>
    <xf numFmtId="0" fontId="86" fillId="3" borderId="34" xfId="0" applyFont="1" applyFill="1" applyBorder="1" applyAlignment="1">
      <alignment horizontal="left" vertical="top"/>
    </xf>
    <xf numFmtId="0" fontId="86" fillId="3" borderId="33" xfId="0" applyFont="1" applyFill="1" applyBorder="1" applyAlignment="1">
      <alignment horizontal="left" vertical="top"/>
    </xf>
    <xf numFmtId="0" fontId="86" fillId="3" borderId="167" xfId="0" applyFont="1" applyFill="1" applyBorder="1" applyAlignment="1">
      <alignment horizontal="left" vertical="center"/>
    </xf>
    <xf numFmtId="0" fontId="86" fillId="3" borderId="168" xfId="0" applyFont="1" applyFill="1" applyBorder="1" applyAlignment="1">
      <alignment horizontal="left" vertical="center"/>
    </xf>
    <xf numFmtId="0" fontId="86" fillId="3" borderId="169" xfId="0" applyFont="1" applyFill="1" applyBorder="1" applyAlignment="1">
      <alignment horizontal="left" vertical="center"/>
    </xf>
    <xf numFmtId="6" fontId="13" fillId="2" borderId="166" xfId="0" applyNumberFormat="1" applyFont="1" applyFill="1" applyBorder="1" applyAlignment="1">
      <alignment horizontal="left"/>
    </xf>
    <xf numFmtId="0" fontId="13" fillId="2" borderId="166" xfId="0" applyFont="1" applyFill="1" applyBorder="1" applyAlignment="1">
      <alignment horizontal="left" wrapText="1"/>
    </xf>
    <xf numFmtId="0" fontId="13" fillId="0" borderId="166" xfId="0" applyFont="1" applyBorder="1" applyAlignment="1">
      <alignment horizontal="left" wrapText="1"/>
    </xf>
    <xf numFmtId="0" fontId="86" fillId="3" borderId="7" xfId="0" applyFont="1" applyFill="1" applyBorder="1" applyAlignment="1">
      <alignment horizontal="left" vertical="center"/>
    </xf>
    <xf numFmtId="0" fontId="86" fillId="3" borderId="34" xfId="0" applyFont="1" applyFill="1" applyBorder="1" applyAlignment="1">
      <alignment horizontal="left" vertical="center"/>
    </xf>
    <xf numFmtId="0" fontId="86" fillId="3" borderId="33" xfId="0" applyFont="1" applyFill="1" applyBorder="1" applyAlignment="1">
      <alignment horizontal="left" vertical="center"/>
    </xf>
    <xf numFmtId="180" fontId="13" fillId="2" borderId="166" xfId="0" quotePrefix="1" applyNumberFormat="1" applyFont="1" applyFill="1" applyBorder="1" applyAlignment="1">
      <alignment horizontal="center" vertical="center" wrapText="1"/>
    </xf>
    <xf numFmtId="180" fontId="13" fillId="2" borderId="166" xfId="0" applyNumberFormat="1" applyFont="1" applyFill="1" applyBorder="1" applyAlignment="1">
      <alignment horizontal="center" vertical="center" wrapText="1"/>
    </xf>
    <xf numFmtId="0" fontId="13" fillId="2" borderId="166" xfId="0" quotePrefix="1" applyFont="1" applyFill="1" applyBorder="1" applyAlignment="1">
      <alignment horizontal="right" vertical="center"/>
    </xf>
    <xf numFmtId="6" fontId="13" fillId="2" borderId="31" xfId="0" applyNumberFormat="1" applyFont="1" applyFill="1" applyBorder="1" applyAlignment="1">
      <alignment horizontal="left" vertical="center"/>
    </xf>
    <xf numFmtId="6" fontId="13" fillId="2" borderId="0" xfId="0" applyNumberFormat="1" applyFont="1" applyFill="1" applyAlignment="1">
      <alignment horizontal="left" vertical="center"/>
    </xf>
    <xf numFmtId="6" fontId="13" fillId="2" borderId="24" xfId="0" applyNumberFormat="1" applyFont="1" applyFill="1" applyBorder="1" applyAlignment="1">
      <alignment horizontal="left" vertical="center"/>
    </xf>
    <xf numFmtId="0" fontId="13" fillId="2" borderId="7" xfId="0" applyFont="1" applyFill="1" applyBorder="1" applyAlignment="1">
      <alignment horizontal="left" wrapText="1"/>
    </xf>
    <xf numFmtId="0" fontId="13" fillId="2" borderId="34" xfId="0" applyFont="1" applyFill="1" applyBorder="1" applyAlignment="1">
      <alignment horizontal="left" wrapText="1"/>
    </xf>
    <xf numFmtId="0" fontId="13" fillId="2" borderId="33" xfId="0" applyFont="1" applyFill="1" applyBorder="1" applyAlignment="1">
      <alignment horizontal="left" wrapText="1"/>
    </xf>
    <xf numFmtId="0" fontId="13" fillId="2" borderId="31" xfId="0" applyFont="1" applyFill="1" applyBorder="1" applyAlignment="1">
      <alignment horizontal="left" wrapText="1"/>
    </xf>
    <xf numFmtId="0" fontId="13" fillId="2" borderId="0" xfId="0" applyFont="1" applyFill="1" applyAlignment="1">
      <alignment horizontal="left" wrapText="1"/>
    </xf>
    <xf numFmtId="0" fontId="13" fillId="2" borderId="24" xfId="0" applyFont="1" applyFill="1" applyBorder="1" applyAlignment="1">
      <alignment horizontal="left" wrapText="1"/>
    </xf>
    <xf numFmtId="0" fontId="13" fillId="2" borderId="32" xfId="0" applyFont="1" applyFill="1" applyBorder="1" applyAlignment="1">
      <alignment horizontal="left" wrapText="1"/>
    </xf>
    <xf numFmtId="0" fontId="13" fillId="2" borderId="171" xfId="0" applyFont="1" applyFill="1" applyBorder="1" applyAlignment="1">
      <alignment horizontal="left" wrapText="1"/>
    </xf>
    <xf numFmtId="0" fontId="13" fillId="2" borderId="14" xfId="0" applyFont="1" applyFill="1" applyBorder="1" applyAlignment="1">
      <alignment horizontal="left" wrapText="1"/>
    </xf>
    <xf numFmtId="0" fontId="13" fillId="2" borderId="7" xfId="0" applyFont="1" applyFill="1" applyBorder="1" applyAlignment="1">
      <alignment horizontal="left" vertical="center" wrapText="1"/>
    </xf>
    <xf numFmtId="0" fontId="13" fillId="2" borderId="31"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82" fillId="2" borderId="167" xfId="0" applyFont="1" applyFill="1" applyBorder="1" applyAlignment="1">
      <alignment horizontal="left" vertical="top" wrapText="1"/>
    </xf>
    <xf numFmtId="0" fontId="82" fillId="2" borderId="168" xfId="0" applyFont="1" applyFill="1" applyBorder="1" applyAlignment="1">
      <alignment horizontal="left" vertical="top" wrapText="1"/>
    </xf>
    <xf numFmtId="0" fontId="396" fillId="2" borderId="166" xfId="0" applyFont="1" applyFill="1" applyBorder="1" applyAlignment="1">
      <alignment horizontal="left" vertical="top" wrapText="1"/>
    </xf>
    <xf numFmtId="0" fontId="401" fillId="3" borderId="166" xfId="0" applyFont="1" applyFill="1" applyBorder="1" applyAlignment="1">
      <alignment horizontal="left" vertical="top" wrapText="1"/>
    </xf>
    <xf numFmtId="0" fontId="401" fillId="3" borderId="166" xfId="0" applyFont="1" applyFill="1" applyBorder="1" applyAlignment="1">
      <alignment horizontal="center" vertical="top"/>
    </xf>
    <xf numFmtId="0" fontId="396" fillId="2" borderId="166" xfId="0" applyFont="1" applyFill="1" applyBorder="1" applyAlignment="1">
      <alignment horizontal="left" vertical="top"/>
    </xf>
    <xf numFmtId="0" fontId="13" fillId="2" borderId="6" xfId="0" applyFont="1" applyFill="1" applyBorder="1" applyAlignment="1">
      <alignment horizontal="right" vertical="top"/>
    </xf>
    <xf numFmtId="0" fontId="13" fillId="2" borderId="36" xfId="0" applyFont="1" applyFill="1" applyBorder="1" applyAlignment="1">
      <alignment horizontal="right" vertical="top"/>
    </xf>
    <xf numFmtId="0" fontId="82" fillId="2" borderId="6" xfId="0" applyFont="1" applyFill="1" applyBorder="1" applyAlignment="1">
      <alignment horizontal="right" vertical="top"/>
    </xf>
    <xf numFmtId="0" fontId="82" fillId="2" borderId="25" xfId="0" applyFont="1" applyFill="1" applyBorder="1" applyAlignment="1">
      <alignment horizontal="right" vertical="top"/>
    </xf>
    <xf numFmtId="0" fontId="82" fillId="2" borderId="36" xfId="0" applyFont="1" applyFill="1" applyBorder="1" applyAlignment="1">
      <alignment horizontal="right" vertical="top"/>
    </xf>
    <xf numFmtId="0" fontId="86" fillId="3" borderId="32" xfId="0" applyFont="1" applyFill="1" applyBorder="1" applyAlignment="1">
      <alignment horizontal="left" vertical="top" wrapText="1"/>
    </xf>
    <xf numFmtId="0" fontId="86" fillId="3" borderId="171" xfId="0" applyFont="1" applyFill="1" applyBorder="1" applyAlignment="1">
      <alignment horizontal="left" vertical="top" wrapText="1"/>
    </xf>
    <xf numFmtId="0" fontId="86" fillId="3" borderId="14" xfId="0" applyFont="1" applyFill="1" applyBorder="1" applyAlignment="1">
      <alignment horizontal="left" vertical="top" wrapText="1"/>
    </xf>
    <xf numFmtId="0" fontId="13" fillId="2" borderId="167" xfId="0" applyFont="1" applyFill="1" applyBorder="1" applyAlignment="1">
      <alignment horizontal="center" vertical="top" wrapText="1"/>
    </xf>
    <xf numFmtId="0" fontId="13" fillId="2" borderId="168" xfId="0" applyFont="1" applyFill="1" applyBorder="1" applyAlignment="1">
      <alignment horizontal="center" vertical="top" wrapText="1"/>
    </xf>
    <xf numFmtId="0" fontId="13" fillId="2" borderId="169" xfId="0" applyFont="1" applyFill="1" applyBorder="1" applyAlignment="1">
      <alignment horizontal="center" vertical="top" wrapText="1"/>
    </xf>
    <xf numFmtId="182" fontId="13" fillId="2" borderId="6" xfId="360" applyNumberFormat="1" applyFont="1" applyFill="1" applyBorder="1" applyAlignment="1">
      <alignment horizontal="left" vertical="top" wrapText="1"/>
    </xf>
    <xf numFmtId="182" fontId="13" fillId="2" borderId="25" xfId="360" applyNumberFormat="1" applyFont="1" applyFill="1" applyBorder="1" applyAlignment="1">
      <alignment horizontal="left" vertical="top" wrapText="1"/>
    </xf>
    <xf numFmtId="182" fontId="13" fillId="2" borderId="36" xfId="360" applyNumberFormat="1" applyFont="1" applyFill="1" applyBorder="1" applyAlignment="1">
      <alignment horizontal="left" vertical="top" wrapText="1"/>
    </xf>
    <xf numFmtId="0" fontId="88" fillId="2" borderId="166" xfId="0" applyFont="1" applyFill="1" applyBorder="1" applyAlignment="1">
      <alignment horizontal="center" vertical="top"/>
    </xf>
    <xf numFmtId="0" fontId="82" fillId="2" borderId="7" xfId="0" applyFont="1" applyFill="1" applyBorder="1" applyAlignment="1">
      <alignment horizontal="left" vertical="top" wrapText="1"/>
    </xf>
    <xf numFmtId="0" fontId="82" fillId="2" borderId="34" xfId="0" applyFont="1" applyFill="1" applyBorder="1" applyAlignment="1">
      <alignment horizontal="left" vertical="top" wrapText="1"/>
    </xf>
    <xf numFmtId="0" fontId="82" fillId="2" borderId="33" xfId="0" applyFont="1" applyFill="1" applyBorder="1" applyAlignment="1">
      <alignment horizontal="left" vertical="top" wrapText="1"/>
    </xf>
    <xf numFmtId="0" fontId="82" fillId="2" borderId="31"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24" xfId="0" applyFont="1" applyFill="1" applyBorder="1" applyAlignment="1">
      <alignment horizontal="left" vertical="top" wrapText="1"/>
    </xf>
    <xf numFmtId="0" fontId="82" fillId="2" borderId="32" xfId="0" applyFont="1" applyFill="1" applyBorder="1" applyAlignment="1">
      <alignment horizontal="left" vertical="top" wrapText="1"/>
    </xf>
    <xf numFmtId="0" fontId="82" fillId="2" borderId="171" xfId="0" applyFont="1" applyFill="1" applyBorder="1" applyAlignment="1">
      <alignment horizontal="left" vertical="top" wrapText="1"/>
    </xf>
    <xf numFmtId="0" fontId="82" fillId="2" borderId="14" xfId="0" applyFont="1" applyFill="1" applyBorder="1" applyAlignment="1">
      <alignment horizontal="left" vertical="top" wrapText="1"/>
    </xf>
    <xf numFmtId="0" fontId="13" fillId="2" borderId="25" xfId="0" applyFont="1" applyFill="1" applyBorder="1" applyAlignment="1">
      <alignment horizontal="right" vertical="top"/>
    </xf>
    <xf numFmtId="0" fontId="13" fillId="3" borderId="6" xfId="0" applyFont="1" applyFill="1" applyBorder="1" applyAlignment="1">
      <alignment horizontal="left" vertical="top" wrapText="1"/>
    </xf>
    <xf numFmtId="0" fontId="13" fillId="3" borderId="25" xfId="0" applyFont="1" applyFill="1" applyBorder="1" applyAlignment="1">
      <alignment horizontal="left" vertical="top" wrapText="1"/>
    </xf>
    <xf numFmtId="0" fontId="13" fillId="3" borderId="36" xfId="0" applyFont="1" applyFill="1" applyBorder="1" applyAlignment="1">
      <alignment horizontal="left" vertical="top" wrapText="1"/>
    </xf>
    <xf numFmtId="0" fontId="13" fillId="2" borderId="166" xfId="0" quotePrefix="1" applyFont="1" applyFill="1" applyBorder="1" applyAlignment="1">
      <alignment horizontal="center" vertical="center" wrapText="1"/>
    </xf>
    <xf numFmtId="0" fontId="82" fillId="2" borderId="167" xfId="0" applyFont="1" applyFill="1" applyBorder="1" applyAlignment="1">
      <alignment horizontal="left" vertical="top"/>
    </xf>
    <xf numFmtId="0" fontId="82" fillId="2" borderId="168" xfId="0" applyFont="1" applyFill="1" applyBorder="1" applyAlignment="1">
      <alignment horizontal="left" vertical="top"/>
    </xf>
    <xf numFmtId="0" fontId="82" fillId="2" borderId="169" xfId="0" applyFont="1" applyFill="1" applyBorder="1" applyAlignment="1">
      <alignment horizontal="left" vertical="top"/>
    </xf>
    <xf numFmtId="0" fontId="82" fillId="3" borderId="167" xfId="0" applyFont="1" applyFill="1" applyBorder="1" applyAlignment="1">
      <alignment horizontal="left" vertical="top"/>
    </xf>
    <xf numFmtId="0" fontId="82" fillId="3" borderId="168" xfId="0" applyFont="1" applyFill="1" applyBorder="1" applyAlignment="1">
      <alignment horizontal="left" vertical="top"/>
    </xf>
    <xf numFmtId="0" fontId="82" fillId="3" borderId="169" xfId="0" applyFont="1" applyFill="1" applyBorder="1" applyAlignment="1">
      <alignment horizontal="left" vertical="top"/>
    </xf>
    <xf numFmtId="0" fontId="88" fillId="2" borderId="167" xfId="0" applyFont="1" applyFill="1" applyBorder="1" applyAlignment="1">
      <alignment horizontal="left" vertical="top" wrapText="1"/>
    </xf>
    <xf numFmtId="0" fontId="88" fillId="2" borderId="168" xfId="0" applyFont="1" applyFill="1" applyBorder="1" applyAlignment="1">
      <alignment horizontal="left" vertical="top" wrapText="1"/>
    </xf>
    <xf numFmtId="0" fontId="88" fillId="2" borderId="169" xfId="0" applyFont="1" applyFill="1" applyBorder="1" applyAlignment="1">
      <alignment horizontal="left" vertical="top" wrapText="1"/>
    </xf>
    <xf numFmtId="0" fontId="82" fillId="2" borderId="167" xfId="0" applyFont="1" applyFill="1" applyBorder="1" applyAlignment="1">
      <alignment vertical="top" wrapText="1"/>
    </xf>
    <xf numFmtId="0" fontId="82" fillId="2" borderId="168" xfId="0" applyFont="1" applyFill="1" applyBorder="1" applyAlignment="1">
      <alignment vertical="top" wrapText="1"/>
    </xf>
    <xf numFmtId="0" fontId="82" fillId="2" borderId="169" xfId="0" applyFont="1" applyFill="1" applyBorder="1" applyAlignment="1">
      <alignment vertical="top" wrapText="1"/>
    </xf>
    <xf numFmtId="0" fontId="88" fillId="2" borderId="166" xfId="0" applyFont="1" applyFill="1" applyBorder="1" applyAlignment="1">
      <alignment horizontal="left" vertical="top"/>
    </xf>
    <xf numFmtId="0" fontId="15" fillId="3" borderId="166" xfId="0" applyFont="1" applyFill="1" applyBorder="1" applyAlignment="1">
      <alignment horizontal="left" vertical="top"/>
    </xf>
    <xf numFmtId="0" fontId="88" fillId="2" borderId="166" xfId="0" applyFont="1" applyFill="1" applyBorder="1" applyAlignment="1">
      <alignment horizontal="left" vertical="top" wrapText="1"/>
    </xf>
    <xf numFmtId="0" fontId="13" fillId="193" borderId="167" xfId="0" applyFont="1" applyFill="1" applyBorder="1" applyAlignment="1">
      <alignment horizontal="left" vertical="top" wrapText="1"/>
    </xf>
    <xf numFmtId="0" fontId="13" fillId="193" borderId="168" xfId="0" applyFont="1" applyFill="1" applyBorder="1" applyAlignment="1">
      <alignment horizontal="left" vertical="top" wrapText="1"/>
    </xf>
    <xf numFmtId="0" fontId="13" fillId="193" borderId="169" xfId="0" applyFont="1" applyFill="1" applyBorder="1" applyAlignment="1">
      <alignment horizontal="left" vertical="top" wrapText="1"/>
    </xf>
    <xf numFmtId="0" fontId="13" fillId="193" borderId="166" xfId="0" applyFont="1" applyFill="1" applyBorder="1" applyAlignment="1">
      <alignment horizontal="left" vertical="top" wrapText="1"/>
    </xf>
    <xf numFmtId="0" fontId="15" fillId="8" borderId="167" xfId="0" applyFont="1" applyFill="1" applyBorder="1" applyAlignment="1">
      <alignment horizontal="center" vertical="top"/>
    </xf>
    <xf numFmtId="0" fontId="15" fillId="8" borderId="168" xfId="0" applyFont="1" applyFill="1" applyBorder="1" applyAlignment="1">
      <alignment horizontal="center" vertical="top"/>
    </xf>
    <xf numFmtId="0" fontId="15" fillId="8" borderId="166" xfId="0" applyFont="1" applyFill="1" applyBorder="1" applyAlignment="1">
      <alignment horizontal="center" vertical="top"/>
    </xf>
    <xf numFmtId="180" fontId="13" fillId="2" borderId="7" xfId="0" quotePrefix="1" applyNumberFormat="1" applyFont="1" applyFill="1" applyBorder="1" applyAlignment="1">
      <alignment horizontal="center" vertical="center"/>
    </xf>
    <xf numFmtId="180" fontId="13" fillId="2" borderId="31" xfId="0" applyNumberFormat="1" applyFont="1" applyFill="1" applyBorder="1" applyAlignment="1">
      <alignment horizontal="center" vertical="center"/>
    </xf>
    <xf numFmtId="180" fontId="13" fillId="2" borderId="32" xfId="0" applyNumberFormat="1" applyFont="1" applyFill="1" applyBorder="1" applyAlignment="1">
      <alignment horizontal="center" vertical="center"/>
    </xf>
    <xf numFmtId="0" fontId="82" fillId="3" borderId="166" xfId="0" applyFont="1" applyFill="1" applyBorder="1" applyAlignment="1">
      <alignment horizontal="left" vertical="top" wrapText="1"/>
    </xf>
    <xf numFmtId="0" fontId="82" fillId="2" borderId="166" xfId="0" applyFont="1" applyFill="1" applyBorder="1" applyAlignment="1">
      <alignment horizontal="left" vertical="top"/>
    </xf>
    <xf numFmtId="0" fontId="15" fillId="3" borderId="167" xfId="0" applyFont="1" applyFill="1" applyBorder="1" applyAlignment="1">
      <alignment horizontal="left" vertical="top"/>
    </xf>
    <xf numFmtId="0" fontId="15" fillId="3" borderId="168" xfId="0" applyFont="1" applyFill="1" applyBorder="1" applyAlignment="1">
      <alignment horizontal="left" vertical="top"/>
    </xf>
    <xf numFmtId="0" fontId="15" fillId="3" borderId="169" xfId="0" applyFont="1" applyFill="1" applyBorder="1" applyAlignment="1">
      <alignment horizontal="left" vertical="top"/>
    </xf>
    <xf numFmtId="0" fontId="15" fillId="3" borderId="166" xfId="0" applyFont="1" applyFill="1" applyBorder="1" applyAlignment="1">
      <alignment horizontal="center" vertical="top"/>
    </xf>
    <xf numFmtId="0" fontId="13" fillId="0" borderId="6" xfId="0" applyFont="1" applyBorder="1" applyAlignment="1">
      <alignment horizontal="left" vertical="top" wrapText="1"/>
    </xf>
    <xf numFmtId="0" fontId="13" fillId="0" borderId="25" xfId="0" applyFont="1" applyBorder="1" applyAlignment="1">
      <alignment horizontal="left" vertical="top" wrapText="1"/>
    </xf>
    <xf numFmtId="0" fontId="13" fillId="0" borderId="36" xfId="0" applyFont="1" applyBorder="1" applyAlignment="1">
      <alignment horizontal="left" vertical="top" wrapText="1"/>
    </xf>
    <xf numFmtId="0" fontId="13" fillId="0" borderId="166" xfId="0" applyFont="1" applyBorder="1" applyAlignment="1">
      <alignment horizontal="center" vertical="center" wrapText="1"/>
    </xf>
    <xf numFmtId="0" fontId="380" fillId="8" borderId="9" xfId="0" applyFont="1" applyFill="1" applyBorder="1" applyAlignment="1">
      <alignment horizontal="left" vertical="top"/>
    </xf>
    <xf numFmtId="0" fontId="86" fillId="3" borderId="167" xfId="0" applyFont="1" applyFill="1" applyBorder="1" applyAlignment="1">
      <alignment horizontal="center" vertical="center"/>
    </xf>
    <xf numFmtId="0" fontId="86" fillId="3" borderId="169" xfId="0" applyFont="1" applyFill="1" applyBorder="1" applyAlignment="1">
      <alignment horizontal="center" vertical="center"/>
    </xf>
    <xf numFmtId="6" fontId="13" fillId="0" borderId="167" xfId="0" applyNumberFormat="1" applyFont="1" applyBorder="1" applyAlignment="1">
      <alignment horizontal="left" vertical="top"/>
    </xf>
    <xf numFmtId="6" fontId="13" fillId="0" borderId="168" xfId="0" applyNumberFormat="1" applyFont="1" applyBorder="1" applyAlignment="1">
      <alignment horizontal="left" vertical="top"/>
    </xf>
    <xf numFmtId="6" fontId="13" fillId="0" borderId="169" xfId="0" applyNumberFormat="1" applyFont="1" applyBorder="1" applyAlignment="1">
      <alignment horizontal="left" vertical="top"/>
    </xf>
    <xf numFmtId="44" fontId="13" fillId="2" borderId="6" xfId="359" applyFont="1" applyFill="1" applyBorder="1" applyAlignment="1">
      <alignment horizontal="left" vertical="top" wrapText="1"/>
    </xf>
    <xf numFmtId="44" fontId="13" fillId="2" borderId="36" xfId="359" applyFont="1" applyFill="1" applyBorder="1" applyAlignment="1">
      <alignment horizontal="left" vertical="top" wrapText="1"/>
    </xf>
    <xf numFmtId="0" fontId="15" fillId="3" borderId="168" xfId="0" applyFont="1" applyFill="1" applyBorder="1" applyAlignment="1">
      <alignment horizontal="left" vertical="top" wrapText="1"/>
    </xf>
    <xf numFmtId="0" fontId="13" fillId="2" borderId="167" xfId="0" applyFont="1" applyFill="1" applyBorder="1" applyAlignment="1">
      <alignment horizontal="left" vertical="center" wrapText="1"/>
    </xf>
    <xf numFmtId="0" fontId="13" fillId="2" borderId="167" xfId="0" applyFont="1" applyFill="1" applyBorder="1" applyAlignment="1">
      <alignment horizontal="left"/>
    </xf>
    <xf numFmtId="0" fontId="13" fillId="2" borderId="169" xfId="0" applyFont="1" applyFill="1" applyBorder="1" applyAlignment="1">
      <alignment horizontal="left"/>
    </xf>
    <xf numFmtId="165" fontId="13" fillId="2" borderId="166" xfId="391" applyNumberFormat="1" applyFont="1" applyFill="1" applyBorder="1" applyAlignment="1">
      <alignment horizontal="right" vertical="center" wrapText="1"/>
    </xf>
    <xf numFmtId="0" fontId="13" fillId="3" borderId="166" xfId="0" applyFont="1" applyFill="1" applyBorder="1" applyAlignment="1">
      <alignment horizontal="left" vertical="top" wrapText="1"/>
    </xf>
    <xf numFmtId="1" fontId="13" fillId="2" borderId="166" xfId="391" applyNumberFormat="1" applyFont="1" applyFill="1" applyBorder="1" applyAlignment="1">
      <alignment horizontal="right" vertical="center" wrapText="1"/>
    </xf>
    <xf numFmtId="0" fontId="13" fillId="2" borderId="166" xfId="391" applyFont="1" applyFill="1" applyBorder="1" applyAlignment="1">
      <alignment horizontal="left" vertical="center" wrapText="1"/>
    </xf>
    <xf numFmtId="1" fontId="13" fillId="2" borderId="97" xfId="0" applyNumberFormat="1" applyFont="1" applyFill="1" applyBorder="1" applyAlignment="1">
      <alignment horizontal="left" vertical="top"/>
    </xf>
    <xf numFmtId="1" fontId="13" fillId="2" borderId="41" xfId="0" applyNumberFormat="1" applyFont="1" applyFill="1" applyBorder="1" applyAlignment="1">
      <alignment horizontal="left" vertical="top"/>
    </xf>
    <xf numFmtId="0" fontId="13" fillId="2" borderId="166" xfId="391" applyFont="1" applyFill="1" applyBorder="1" applyAlignment="1">
      <alignment horizontal="right" vertical="center" wrapText="1"/>
    </xf>
    <xf numFmtId="0" fontId="13" fillId="4" borderId="166" xfId="0" applyFont="1" applyFill="1" applyBorder="1" applyAlignment="1">
      <alignment horizontal="left" vertical="top"/>
    </xf>
    <xf numFmtId="0" fontId="13" fillId="4" borderId="166" xfId="0" applyFont="1" applyFill="1" applyBorder="1" applyAlignment="1">
      <alignment horizontal="left"/>
    </xf>
    <xf numFmtId="0" fontId="15" fillId="4" borderId="167" xfId="0" applyFont="1" applyFill="1" applyBorder="1" applyAlignment="1">
      <alignment horizontal="left" vertical="top" wrapText="1"/>
    </xf>
    <xf numFmtId="0" fontId="365" fillId="109" borderId="166" xfId="0" applyFont="1" applyFill="1" applyBorder="1" applyAlignment="1">
      <alignment horizontal="left" vertical="top"/>
    </xf>
    <xf numFmtId="0" fontId="13" fillId="2" borderId="167" xfId="391" applyFont="1" applyFill="1" applyBorder="1" applyAlignment="1">
      <alignment horizontal="left" vertical="center" wrapText="1"/>
    </xf>
    <xf numFmtId="0" fontId="13" fillId="2" borderId="168" xfId="391" applyFont="1" applyFill="1" applyBorder="1" applyAlignment="1">
      <alignment horizontal="left" vertical="center" wrapText="1"/>
    </xf>
    <xf numFmtId="0" fontId="13" fillId="2" borderId="169" xfId="391" applyFont="1" applyFill="1" applyBorder="1" applyAlignment="1">
      <alignment horizontal="left" vertical="center" wrapText="1"/>
    </xf>
    <xf numFmtId="0" fontId="13" fillId="2" borderId="167" xfId="0" applyFont="1" applyFill="1" applyBorder="1" applyAlignment="1">
      <alignment horizontal="right" vertical="top"/>
    </xf>
    <xf numFmtId="0" fontId="13" fillId="2" borderId="6" xfId="0" applyFont="1" applyFill="1" applyBorder="1" applyAlignment="1">
      <alignment horizontal="center" wrapText="1"/>
    </xf>
    <xf numFmtId="0" fontId="13" fillId="2" borderId="36" xfId="0" applyFont="1" applyFill="1" applyBorder="1" applyAlignment="1">
      <alignment horizontal="center" wrapText="1"/>
    </xf>
    <xf numFmtId="0" fontId="13" fillId="2" borderId="6" xfId="0" quotePrefix="1" applyFont="1" applyFill="1" applyBorder="1" applyAlignment="1">
      <alignment horizontal="left" vertical="top" wrapText="1"/>
    </xf>
    <xf numFmtId="0" fontId="13" fillId="2" borderId="25" xfId="0" quotePrefix="1" applyFont="1" applyFill="1" applyBorder="1" applyAlignment="1">
      <alignment horizontal="left" vertical="top" wrapText="1"/>
    </xf>
    <xf numFmtId="0" fontId="13" fillId="2" borderId="36" xfId="0" quotePrefix="1" applyFont="1" applyFill="1" applyBorder="1" applyAlignment="1">
      <alignment horizontal="left" vertical="top" wrapText="1"/>
    </xf>
    <xf numFmtId="0" fontId="13" fillId="0" borderId="7" xfId="0" applyFont="1" applyBorder="1" applyAlignment="1">
      <alignment horizontal="left" vertical="top" wrapText="1"/>
    </xf>
    <xf numFmtId="0" fontId="13" fillId="0" borderId="34" xfId="0" applyFont="1" applyBorder="1" applyAlignment="1">
      <alignment horizontal="left" vertical="top" wrapText="1"/>
    </xf>
    <xf numFmtId="0" fontId="13" fillId="0" borderId="33" xfId="0" applyFont="1" applyBorder="1" applyAlignment="1">
      <alignment horizontal="left" vertical="top" wrapText="1"/>
    </xf>
    <xf numFmtId="0" fontId="13" fillId="0" borderId="32" xfId="0" applyFont="1" applyBorder="1" applyAlignment="1">
      <alignment horizontal="left" vertical="top" wrapText="1"/>
    </xf>
    <xf numFmtId="0" fontId="13" fillId="0" borderId="171" xfId="0" applyFont="1" applyBorder="1" applyAlignment="1">
      <alignment horizontal="left" vertical="top" wrapText="1"/>
    </xf>
    <xf numFmtId="0" fontId="13" fillId="0" borderId="14" xfId="0" applyFont="1" applyBorder="1" applyAlignment="1">
      <alignment horizontal="left" vertical="top" wrapText="1"/>
    </xf>
    <xf numFmtId="0" fontId="13" fillId="63" borderId="167" xfId="0" applyFont="1" applyFill="1" applyBorder="1" applyAlignment="1">
      <alignment horizontal="left" vertical="top" wrapText="1"/>
    </xf>
    <xf numFmtId="0" fontId="13" fillId="60" borderId="167" xfId="0" applyFont="1" applyFill="1" applyBorder="1" applyAlignment="1">
      <alignment horizontal="left" vertical="top" wrapText="1"/>
    </xf>
    <xf numFmtId="0" fontId="13" fillId="58" borderId="166" xfId="0" applyFont="1" applyFill="1" applyBorder="1" applyAlignment="1">
      <alignment horizontal="left" vertical="top" wrapText="1"/>
    </xf>
    <xf numFmtId="0" fontId="13" fillId="60" borderId="166" xfId="0" applyFont="1" applyFill="1" applyBorder="1" applyAlignment="1">
      <alignment horizontal="left" vertical="top" wrapText="1"/>
    </xf>
    <xf numFmtId="0" fontId="13" fillId="62" borderId="166" xfId="0" applyFont="1" applyFill="1" applyBorder="1" applyAlignment="1">
      <alignment horizontal="left" vertical="top" wrapText="1"/>
    </xf>
    <xf numFmtId="0" fontId="13" fillId="61" borderId="166" xfId="0" applyFont="1" applyFill="1" applyBorder="1" applyAlignment="1">
      <alignment horizontal="left" vertical="top" wrapText="1"/>
    </xf>
    <xf numFmtId="0" fontId="98" fillId="2" borderId="0" xfId="89" applyFont="1" applyFill="1" applyBorder="1" applyAlignment="1" applyProtection="1">
      <alignment horizontal="left" vertical="top" wrapText="1"/>
    </xf>
    <xf numFmtId="0" fontId="95" fillId="2" borderId="0" xfId="2" applyFont="1" applyFill="1" applyAlignment="1">
      <alignment horizontal="left" vertical="top" wrapText="1"/>
    </xf>
    <xf numFmtId="49" fontId="101" fillId="2" borderId="0" xfId="2" applyNumberFormat="1" applyFont="1" applyFill="1" applyAlignment="1">
      <alignment horizontal="left" vertical="top" wrapText="1"/>
    </xf>
    <xf numFmtId="0" fontId="101" fillId="2" borderId="0" xfId="2" applyFont="1" applyFill="1" applyAlignment="1">
      <alignment horizontal="left" vertical="top" wrapText="1"/>
    </xf>
    <xf numFmtId="0" fontId="98" fillId="2" borderId="0" xfId="89" applyFont="1" applyFill="1" applyAlignment="1" applyProtection="1">
      <alignment horizontal="left" vertical="top" wrapText="1"/>
    </xf>
    <xf numFmtId="0" fontId="95" fillId="2" borderId="0" xfId="2" quotePrefix="1" applyFont="1" applyFill="1" applyAlignment="1">
      <alignment horizontal="left" vertical="top" wrapText="1"/>
    </xf>
    <xf numFmtId="0" fontId="95" fillId="2" borderId="0" xfId="2" applyFont="1" applyFill="1" applyAlignment="1">
      <alignment horizontal="left"/>
    </xf>
    <xf numFmtId="0" fontId="99" fillId="2" borderId="167" xfId="2" applyFont="1" applyFill="1" applyBorder="1" applyAlignment="1">
      <alignment horizontal="center" vertical="top" wrapText="1"/>
    </xf>
    <xf numFmtId="0" fontId="99" fillId="2" borderId="168" xfId="2" applyFont="1" applyFill="1" applyBorder="1" applyAlignment="1">
      <alignment horizontal="center" vertical="top" wrapText="1"/>
    </xf>
    <xf numFmtId="0" fontId="99" fillId="2" borderId="169" xfId="2" applyFont="1" applyFill="1" applyBorder="1" applyAlignment="1">
      <alignment horizontal="center" vertical="top" wrapText="1"/>
    </xf>
    <xf numFmtId="0" fontId="95" fillId="2" borderId="0" xfId="2" applyFont="1" applyFill="1" applyAlignment="1">
      <alignment horizontal="center"/>
    </xf>
    <xf numFmtId="0" fontId="95" fillId="2" borderId="24" xfId="2" applyFont="1" applyFill="1" applyBorder="1" applyAlignment="1">
      <alignment horizontal="center"/>
    </xf>
    <xf numFmtId="0" fontId="95" fillId="2" borderId="34" xfId="2" applyFont="1" applyFill="1" applyBorder="1" applyAlignment="1">
      <alignment horizontal="center"/>
    </xf>
    <xf numFmtId="0" fontId="95" fillId="2" borderId="33" xfId="2" applyFont="1" applyFill="1" applyBorder="1" applyAlignment="1">
      <alignment horizontal="center"/>
    </xf>
    <xf numFmtId="0" fontId="99" fillId="2" borderId="167" xfId="2" applyFont="1" applyFill="1" applyBorder="1" applyAlignment="1">
      <alignment horizontal="center"/>
    </xf>
    <xf numFmtId="0" fontId="99" fillId="2" borderId="168" xfId="2" applyFont="1" applyFill="1" applyBorder="1" applyAlignment="1">
      <alignment horizontal="center"/>
    </xf>
    <xf numFmtId="0" fontId="95" fillId="2" borderId="169" xfId="2" applyFont="1" applyFill="1" applyBorder="1" applyAlignment="1">
      <alignment horizontal="center"/>
    </xf>
    <xf numFmtId="0" fontId="15" fillId="3" borderId="166" xfId="0" applyFont="1" applyFill="1" applyBorder="1" applyAlignment="1"/>
  </cellXfs>
  <cellStyles count="38131">
    <cellStyle name="-" xfId="423" xr:uid="{1234D038-27F1-4852-BDB0-3B084B7B2B75}"/>
    <cellStyle name=" 1" xfId="424" xr:uid="{B28BF208-ACC1-4F67-8D2A-0B8E3669A5F7}"/>
    <cellStyle name=" 1 2" xfId="425" xr:uid="{BE22447B-DAFA-498B-9208-230240D8CD61}"/>
    <cellStyle name=" 1 2 2" xfId="426" xr:uid="{99034100-9A8D-47EE-BDC6-8EC736B07D8B}"/>
    <cellStyle name=" 1 3" xfId="427" xr:uid="{0BF97E7B-BDC5-40EF-9BDE-DC604AE79552}"/>
    <cellStyle name=" 1 4" xfId="428" xr:uid="{CB84ED5D-440F-416B-B92F-B3572F75AB76}"/>
    <cellStyle name=" 1 5" xfId="429" xr:uid="{1B34E0C3-1D87-4722-9484-CF21A43E7EB5}"/>
    <cellStyle name=" 1 6" xfId="430" xr:uid="{D62F5CDD-43D7-4350-8425-FA0CD2EFD6E3}"/>
    <cellStyle name=" Writer Import]_x000d__x000a_Display Dialog=No_x000d__x000a__x000d__x000a_[Horizontal Arrange]_x000d__x000a_Dimensions Interlocking=Yes_x000d__x000a_Sum Hierarchy=Yes_x000d__x000a_Generate" xfId="431" xr:uid="{DD48D6D7-F006-4DEB-8474-1F1317C03CA8}"/>
    <cellStyle name=" Writer Import]_x000d__x000a_Display Dialog=No_x000d__x000a__x000d__x000a_[Horizontal Arrange]_x000d__x000a_Dimensions Interlocking=Yes_x000d__x000a_Sum Hierarchy=Yes_x000d__x000a_Generate 2" xfId="432" xr:uid="{F23E47BF-1514-4164-9266-2E9CB3EE9381}"/>
    <cellStyle name=" Writer Import]_x000d__x000a_Display Dialog=No_x000d__x000a__x000d__x000a_[Horizontal Arrange]_x000d__x000a_Dimensions Interlocking=Yes_x000d__x000a_Sum Hierarchy=Yes_x000d__x000a_Generate 2 2" xfId="433" xr:uid="{CC1C8603-479B-4BFA-BE16-C61E929172A2}"/>
    <cellStyle name=" Writer Import]_x000d__x000a_Display Dialog=No_x000d__x000a__x000d__x000a_[Horizontal Arrange]_x000d__x000a_Dimensions Interlocking=Yes_x000d__x000a_Sum Hierarchy=Yes_x000d__x000a_Generate 2 3" xfId="434" xr:uid="{8FB82DCD-A971-4F97-9EDF-A39CE74D6F0A}"/>
    <cellStyle name=" Writer Import]_x000d__x000a_Display Dialog=No_x000d__x000a__x000d__x000a_[Horizontal Arrange]_x000d__x000a_Dimensions Interlocking=Yes_x000d__x000a_Sum Hierarchy=Yes_x000d__x000a_Generate 3" xfId="435" xr:uid="{A9EB2C67-4480-4EA6-ABE6-3C29FF0A4733}"/>
    <cellStyle name=" Writer Import]_x000d__x000a_Display Dialog=No_x000d__x000a__x000d__x000a_[Horizontal Arrange]_x000d__x000a_Dimensions Interlocking=Yes_x000d__x000a_Sum Hierarchy=Yes_x000d__x000a_Generate 4" xfId="436" xr:uid="{5EE7824D-EA12-40CA-A576-F32819F33E31}"/>
    <cellStyle name="_x000a_386grabber=M" xfId="437" xr:uid="{B33445DB-D059-4716-B52E-A7938A20E9C9}"/>
    <cellStyle name="%" xfId="9" xr:uid="{798D339B-F735-423A-B82E-D61D71C4827E}"/>
    <cellStyle name="% 2" xfId="10" xr:uid="{45B37B84-F791-4627-9D50-C170F6A3D10D}"/>
    <cellStyle name="% 2 2" xfId="438" xr:uid="{EA908217-2F64-41E0-B318-7E17B84BA1BD}"/>
    <cellStyle name="% 3" xfId="439" xr:uid="{646DABE8-00F2-4878-9B8D-471E97F490E6}"/>
    <cellStyle name="% 3 2" xfId="440" xr:uid="{7140DC94-72CF-4E31-A883-9634D119C122}"/>
    <cellStyle name="% 4" xfId="441" xr:uid="{77A0853B-00F1-4265-9705-E79D738119A5}"/>
    <cellStyle name="% 4 2" xfId="442" xr:uid="{81918E66-B4CD-405A-91E2-3ECA9C01C859}"/>
    <cellStyle name="% 5" xfId="443" xr:uid="{0045D38D-8B3B-4499-9FF1-F1F607380C56}"/>
    <cellStyle name="% 5 2" xfId="444" xr:uid="{45952411-98C6-4DCD-AC33-A9E64D8832DC}"/>
    <cellStyle name="% 6" xfId="445" xr:uid="{45267258-A3B2-4C4D-81DC-A7288774091B}"/>
    <cellStyle name="% 6 2" xfId="446" xr:uid="{4A065263-2AE0-45FF-BDC4-C1CC0DEF1B32}"/>
    <cellStyle name="% 7" xfId="447" xr:uid="{B5CBAF18-EEA6-4F4C-8AE6-88E060FB46BF}"/>
    <cellStyle name="% 8" xfId="448" xr:uid="{E6E138E2-B365-4948-8836-EE3744943821}"/>
    <cellStyle name="% 9" xfId="449" xr:uid="{B07C0EB1-9CDD-4C6D-9482-AB0935F18BF3}"/>
    <cellStyle name="%_Additional charts" xfId="450" xr:uid="{9FD6501C-07C0-4926-9F40-BAB9F3C96385}"/>
    <cellStyle name="%_Book2" xfId="451" xr:uid="{F6458F1C-FE51-4040-8115-7CB6A184D744}"/>
    <cellStyle name="%_Book2 2" xfId="452" xr:uid="{2EA8B794-5C86-4FF3-88D7-6E87D3B155AC}"/>
    <cellStyle name="%_Book6" xfId="453" xr:uid="{BF14026B-F7F8-4559-90AC-7ECE8D176FCA}"/>
    <cellStyle name="%_Book6 2" xfId="454" xr:uid="{FD523E62-AD2C-4A91-9CE2-A48D3E4599BD}"/>
    <cellStyle name="%_charts tables TP" xfId="455" xr:uid="{D226BE67-1BC4-415E-8453-DE0F654C6D5D}"/>
    <cellStyle name="%_charts tables TP 070311" xfId="456" xr:uid="{D2F33BB6-9D16-416A-82A9-06B22A9F6BF1}"/>
    <cellStyle name="%_charts tables TP 070311 2" xfId="457" xr:uid="{5D9465FB-480C-4878-93CF-0D39BD07FAEA}"/>
    <cellStyle name="%_charts tables TP 2" xfId="458" xr:uid="{7FA66937-6A30-49F4-AE05-B9A202C83F5D}"/>
    <cellStyle name="%_charts tables TP 3" xfId="459" xr:uid="{0669ACE4-EBDD-431F-8939-E3C20B258B29}"/>
    <cellStyle name="%_charts tables TP-formatted " xfId="460" xr:uid="{81678EA7-D284-47DD-BAE8-57EBDA9380E4}"/>
    <cellStyle name="%_charts tables TP-formatted  (2)" xfId="461" xr:uid="{3842B6A9-C2AF-4B21-8785-1ABA3EDB86BF}"/>
    <cellStyle name="%_charts tables TP-formatted  (2) 2" xfId="462" xr:uid="{F6ACBB2B-6B81-475F-9EB8-A68AFE9886D7}"/>
    <cellStyle name="%_charts tables TP-formatted  (3)" xfId="463" xr:uid="{49D35A16-53ED-425E-ABD5-B03B3CC6B864}"/>
    <cellStyle name="%_charts tables TP-formatted  (3) 2" xfId="464" xr:uid="{02F6B872-C2F3-497F-997A-A39A2FEAF104}"/>
    <cellStyle name="%_charts tables TP-formatted  2" xfId="465" xr:uid="{7A75AF7D-7496-4F8D-A60D-C57D75DE0D60}"/>
    <cellStyle name="%_charts tables TP-formatted  3" xfId="466" xr:uid="{F78C01C7-583D-4486-87F1-291AB3FDA171}"/>
    <cellStyle name="%_charts_tables250111(1)" xfId="467" xr:uid="{95319E5B-3CFA-48A7-9E27-0C8EF221772C}"/>
    <cellStyle name="%_charts_tables250111(1) 2" xfId="468" xr:uid="{68F3AC24-BD9D-42E6-8944-809AEC8DC2F8}"/>
    <cellStyle name="%_DATA" xfId="469" xr:uid="{289337EE-13B6-472A-B1C4-B66D3FFA1EC5}"/>
    <cellStyle name="%_DATA 2" xfId="470" xr:uid="{E0E04A7B-6022-4D3E-A71F-B6EE1230B444}"/>
    <cellStyle name="%_Economy Fan Charts Sheet Master 20111121" xfId="471" xr:uid="{573F70C6-6710-4F29-AA79-13AE630887FD}"/>
    <cellStyle name="%_Economy Fan Charts Sheet Master 20111121 2" xfId="472" xr:uid="{89545983-1B01-4B06-B6AB-25F5AFB3ED57}"/>
    <cellStyle name="%_Economy Fan Charts Sheet Master BUD12R3 links broken" xfId="473" xr:uid="{644B7A79-B7F3-4EC1-9EFE-6C6270D78EA4}"/>
    <cellStyle name="%_Economy Fan Charts Sheet Master BUD12R3 links broken 2" xfId="474" xr:uid="{34B14A7D-A4E5-4959-9585-677056F71697}"/>
    <cellStyle name="%_Economy Tables" xfId="475" xr:uid="{A560BD56-6F0D-4AE4-90B9-55F28830F03B}"/>
    <cellStyle name="%_Economy Tables 2" xfId="476" xr:uid="{645D7C62-A147-4AA8-A8FE-55737476EA0F}"/>
    <cellStyle name="%_FER_2012_(7Aug12)" xfId="477" xr:uid="{26AB43B8-0B32-482D-BAFA-0BE8442819CD}"/>
    <cellStyle name="%_Fiscal Tables" xfId="478" xr:uid="{AEDB9DD0-CED9-46DD-9838-1D44A01B3C77}"/>
    <cellStyle name="%_Health scenario chart (2)" xfId="479" xr:uid="{BF40D564-DD9D-4772-97BA-E2C4405B3538}"/>
    <cellStyle name="%_inc to ex AS12 EFOsupps" xfId="480" xr:uid="{E8106654-5C4D-41FB-87E2-148420E2BB39}"/>
    <cellStyle name="%_March-2012-Fiscal-Supplementary-Tables1(1)" xfId="481" xr:uid="{2F83861D-A5E3-4BB0-86BC-8CE862CD5CB3}"/>
    <cellStyle name="%_My charts (TH AS12)" xfId="482" xr:uid="{38C4797C-8A7F-44FD-A388-702F32128136}"/>
    <cellStyle name="%_My charts (TH AS12) 2" xfId="483" xr:uid="{D665C747-1587-4F20-BD34-783816D02677}"/>
    <cellStyle name="%_PEF Autumn2011" xfId="484" xr:uid="{072C9183-737A-4BB4-9E36-B601AD798E2F}"/>
    <cellStyle name="%_PEF FSBR2011" xfId="11" xr:uid="{6120C66A-B82F-4FCF-9DE2-CBB09AEA0ECF}"/>
    <cellStyle name="%_PEF FSBR2011 2" xfId="485" xr:uid="{A91FC150-EF01-4741-A5A8-E42710C27D1B}"/>
    <cellStyle name="%_PEF FSBR2011 AA simplification" xfId="486" xr:uid="{3629142C-F309-4572-AA78-52B60F3B0BF1}"/>
    <cellStyle name="%_PEF FSBR2011 AA simplification 2" xfId="487" xr:uid="{47D53D4B-7ED3-4874-B02D-90D6ACF3D4BF}"/>
    <cellStyle name="%_PEF FSBR2011 AA simplification 3" xfId="488" xr:uid="{DB140A8B-A425-4C86-8A81-59D705BE8435}"/>
    <cellStyle name="%_PSND health" xfId="489" xr:uid="{4C8F0D3D-37C5-46D1-9053-405E7D86560F}"/>
    <cellStyle name="%_Scorecard" xfId="490" xr:uid="{3C2EEF0D-D2AF-4D49-8F08-E674F37EBFDC}"/>
    <cellStyle name="%_TP - charts tables BUD12" xfId="491" xr:uid="{4DEA93B0-9FED-4561-85C2-E2BF3FDA6959}"/>
    <cellStyle name="%_TP - charts tables BUD12 2" xfId="492" xr:uid="{3F11DE21-3765-46A6-8A57-F5592C8A7180}"/>
    <cellStyle name="%_TP - charts tables Nov11" xfId="493" xr:uid="{1CA34E72-0A42-491B-9C7D-E57DE7EFC2C0}"/>
    <cellStyle name="%_TP - charts tables Nov11 2" xfId="494" xr:uid="{49245061-BECA-4A91-B259-9E68623B418B}"/>
    <cellStyle name="%_TREND_DEFLATE01#" xfId="495" xr:uid="{085858B3-22F2-4EB7-9C36-9E67B308EA80}"/>
    <cellStyle name="%_TREND_DEFLATE01# 2" xfId="496" xr:uid="{2A9A6B27-6BD1-4024-8985-843A9644E6BE}"/>
    <cellStyle name="%_VAT refunds" xfId="497" xr:uid="{A1B4F8DF-3053-47BA-A502-BA19467AE452}"/>
    <cellStyle name="]_x000d__x000a_Zoomed=1_x000d__x000a_Row=0_x000d__x000a_Column=0_x000d__x000a_Height=0_x000d__x000a_Width=0_x000d__x000a_FontName=FoxFont_x000d__x000a_FontStyle=0_x000d__x000a_FontSize=9_x000d__x000a_PrtFontName=FoxPrin" xfId="12" xr:uid="{7590A5C2-96FE-4A1C-A8D4-ADB99B68BC25}"/>
    <cellStyle name="]_x000d__x000a_Zoomed=1_x000d__x000a_Row=0_x000d__x000a_Column=0_x000d__x000a_Height=0_x000d__x000a_Width=0_x000d__x000a_FontName=FoxFont_x000d__x000a_FontStyle=0_x000d__x000a_FontSize=9_x000d__x000a_PrtFontName=FoxPrin 2" xfId="498" xr:uid="{A760B446-838E-444F-A0F9-3B0814AA9857}"/>
    <cellStyle name="_110621 OBRoutput FSR transUpdate and tobacco jun25" xfId="499" xr:uid="{0CB06162-FEB9-4127-8E66-7D7675FCD5E1}"/>
    <cellStyle name="_110621 OBRoutput FSR transUpdate and tobacco jun25 (2)" xfId="500" xr:uid="{32D904B6-DB87-4545-AC26-16B9028254EC}"/>
    <cellStyle name="_111125 APDPassengerNumbers" xfId="501" xr:uid="{4D57E067-BEB5-4DCF-9201-F684399B3230}"/>
    <cellStyle name="_111125 APDPassengerNumbers 2" xfId="502" xr:uid="{5F3D2A80-B09E-435C-B336-D770C7F3B991}"/>
    <cellStyle name="_111125 APDPassengerNumbers_inc to ex AS12 EFOsupps" xfId="503" xr:uid="{B624380F-0985-4FB5-90EE-FD0343C7E2E6}"/>
    <cellStyle name="_Apr 2010 IMBE Report" xfId="504" xr:uid="{00DBA61C-D4AA-4AD5-8D42-0713F993305A}"/>
    <cellStyle name="_Asset Co - 2014-40" xfId="505" xr:uid="{3661FFB2-912E-46CB-B5C5-3ECF22F5D923}"/>
    <cellStyle name="_Autumn 2011 Audit Trail full template" xfId="506" xr:uid="{269AF337-85D4-4686-BD7B-B58B4CC24DBF}"/>
    <cellStyle name="_covered bonds" xfId="507" xr:uid="{A57612A0-DCE8-4E5A-AB4C-84185EA3E917}"/>
    <cellStyle name="_covered bonds_20110317 Guarantee Data sheet with CDS Expected Losses" xfId="508" xr:uid="{6B30F575-0CF3-4D3B-9C99-427F54A8FE61}"/>
    <cellStyle name="_Dpn Forecast 2008-2010 (14-Dec-07)" xfId="509" xr:uid="{EAAE27EB-F2E6-4A3C-9768-C204D6AA600D}"/>
    <cellStyle name="_Dpn Forecast 2008-2010 (14-Dec-07)_20110317 Guarantee Data sheet with CDS Expected Losses" xfId="510" xr:uid="{F571FD3E-B2C6-4E98-91AC-39C53C730416}"/>
    <cellStyle name="_x0013__ECM 2.1.4 Gillian charts" xfId="511" xr:uid="{6FBE4B30-A458-46B3-9578-107F939EAD53}"/>
    <cellStyle name="_x0013__ECM 2.1.4 Gillian charts_Conv Energy Prices" xfId="512" xr:uid="{074FC267-A2DA-40DE-807F-FC0F05DDD12F}"/>
    <cellStyle name="_x0013__ECM 2.1.4 Gillian charts_Ren Energy Prices" xfId="513" xr:uid="{9E35D786-C7F2-49BB-A539-84DFD04B61FD}"/>
    <cellStyle name="_Fair Value schedule" xfId="514" xr:uid="{657011DF-824C-4C97-BF9E-205ED5F87057}"/>
    <cellStyle name="_Fair Value schedule_20110317 Guarantee Data sheet with CDS Expected Losses" xfId="515" xr:uid="{EC97C6CA-2E5E-4BD8-95EA-D7C8C130A7DE}"/>
    <cellStyle name="_FCAST" xfId="516" xr:uid="{73D19EB6-C643-46D1-A21E-D77FA66E5692}"/>
    <cellStyle name="_FCAST 2" xfId="517" xr:uid="{E53CF2B1-1F2B-4E26-B948-40408B290317}"/>
    <cellStyle name="_FPS Options High Level Costing 23rd Aug 06" xfId="518" xr:uid="{2B3DA6C2-B100-409F-8C7D-69086A297E0D}"/>
    <cellStyle name="_Gas Condensate Fields" xfId="519" xr:uid="{F70AE5C3-3574-49A6-8242-9B7E36F90BBC}"/>
    <cellStyle name="_Gas Condensate Fields 2" xfId="520" xr:uid="{8318CAA4-3026-4C7E-AA46-05612D37086A}"/>
    <cellStyle name="_HMT expl text summary Tables" xfId="521" xr:uid="{0B2405A2-0961-4EB1-B3EE-A651648A33C9}"/>
    <cellStyle name="_HOD Gosforth_current" xfId="522" xr:uid="{FEB276FB-7CAA-42C8-98EC-C31BE4DF4413}"/>
    <cellStyle name="_IMBE P0 10-11 profiles" xfId="523" xr:uid="{F802CACB-2294-4BD6-8D7C-3ADB279BEE6D}"/>
    <cellStyle name="_IT HOD Rainton - Tower Cost Update 5th April 2007 (Revised) V3" xfId="524" xr:uid="{BB562423-A45D-4AF3-A39E-22AAC3743D5B}"/>
    <cellStyle name="_IT HOD Rainton - Tower Cost Update 5th April 2007 (Revised) V3_20110317 Guarantee Data sheet with CDS Expected Losses" xfId="525" xr:uid="{E8456C63-6DB5-4E97-A8B2-B370163D1F71}"/>
    <cellStyle name="_Oil Fields" xfId="526" xr:uid="{FD918230-4685-40D4-81F4-3257CE00E57B}"/>
    <cellStyle name="_Oil Fields 2" xfId="527" xr:uid="{39396F4F-1346-4921-B51F-5C7CBD31CB37}"/>
    <cellStyle name="_P11) Apr 10 IMBE workbook" xfId="528" xr:uid="{2D790E49-A9C6-490F-BA41-813CE158117D}"/>
    <cellStyle name="_P12) May 10 (prov outturn) IMBE workbook" xfId="529" xr:uid="{0F3B3729-DBE4-4B7E-B2E4-C9B2C812674D}"/>
    <cellStyle name="_Project Details Report Aug v0.12" xfId="530" xr:uid="{CA6F3BF4-6438-4FE4-BBCF-9A7BBCE624B7}"/>
    <cellStyle name="_RB_Update_current" xfId="531" xr:uid="{2EBC9359-F3B1-4E9D-9EB8-E908EEE372E2}"/>
    <cellStyle name="_RB_Update_current (SCA draft)PH review" xfId="532" xr:uid="{1C7E6738-DDF0-4750-B374-D2DCB8D1F0E6}"/>
    <cellStyle name="_RB_Update_current (SCA draft)PH review_20110317 Guarantee Data sheet with CDS Expected Losses" xfId="533" xr:uid="{DA00B6C5-4B27-45D9-ACD7-69FE06E70EAA}"/>
    <cellStyle name="_RB_Update_current (SCA draft)revised" xfId="534" xr:uid="{FF5AB9CD-54FB-43F0-B7FD-5A260EEDDC94}"/>
    <cellStyle name="_RB_Update_current (SCA draft)revised_20110317 Guarantee Data sheet with CDS Expected Losses" xfId="535" xr:uid="{4168F035-8AB4-4C10-939E-8621A450FA53}"/>
    <cellStyle name="_RB_Update_current_20110317 Guarantee Data sheet with CDS Expected Losses" xfId="536" xr:uid="{26B3FD62-618C-4E33-81AB-CF84533777D2}"/>
    <cellStyle name="_Sample change log v0 2" xfId="537" xr:uid="{75B645B7-DFE8-4B3D-B0A7-1A6190535243}"/>
    <cellStyle name="_Sample change log v0 2_20110317 Guarantee Data sheet with CDS Expected Losses" xfId="538" xr:uid="{F0E658F5-230D-4FB0-80A8-23518690EE6B}"/>
    <cellStyle name="_Sheet2" xfId="539" xr:uid="{E41E7D14-F0FD-4C08-A342-90D6F56A42F0}"/>
    <cellStyle name="_Sheet2 2" xfId="540" xr:uid="{F88E9A5B-EE04-4702-ADB7-792F08876AE6}"/>
    <cellStyle name="_Sheet3" xfId="541" xr:uid="{F6499883-77AC-4826-91A3-F05E66E27F9A}"/>
    <cellStyle name="_Sheet3 2" xfId="542" xr:uid="{E3E9254B-A272-4E18-9200-EC4EB16602E1}"/>
    <cellStyle name="_Sheet4" xfId="543" xr:uid="{F3B2ED83-021F-40BD-94F5-88BA5B61B7C2}"/>
    <cellStyle name="_Sheet4 2" xfId="544" xr:uid="{C657AB46-1748-4012-9293-9310E75D351B}"/>
    <cellStyle name="_Sub debt extension discount table 31 1 11 v2" xfId="545" xr:uid="{19A28AAF-D3E9-4A8E-A4E4-3FF9BDB03093}"/>
    <cellStyle name="_sub debt int" xfId="546" xr:uid="{84B6F458-4174-489D-9466-607A4C23EC31}"/>
    <cellStyle name="_sub debt int_20110317 Guarantee Data sheet with CDS Expected Losses" xfId="547" xr:uid="{2F097878-AE81-43E1-A57A-B327D89431F7}"/>
    <cellStyle name="_TableHead" xfId="13" xr:uid="{F3BD83AE-A9D1-4295-8CB4-A134F9620068}"/>
    <cellStyle name="_Tailor Analysis 1.11 (1 Dec take up rates)" xfId="548" xr:uid="{8C1AFCE0-272A-4D9F-BC0F-FBD3400F7E84}"/>
    <cellStyle name="_Welfare cap - Current SPA" xfId="549" xr:uid="{4F7D6353-085D-4B11-9243-8BCBDC1992C9}"/>
    <cellStyle name="_Welfare cap workings v1" xfId="550" xr:uid="{22012EF4-F98F-43C8-88AA-993CF66DEC10}"/>
    <cellStyle name="=C:\WINNT\SYSTEM32\COMMAND.COM" xfId="551" xr:uid="{23AF5F28-B42C-43D0-A744-7DE98B2139CE}"/>
    <cellStyle name="=C:\WINNT\SYSTEM32\COMMAND.COM 2" xfId="552" xr:uid="{3BD043CB-344C-45DA-A953-60EB27802510}"/>
    <cellStyle name="=C:\WINNT35\SYSTEM32\COMMAND.COM" xfId="553" xr:uid="{F3FC78E1-904C-44B5-95C6-5AF9FF745D50}"/>
    <cellStyle name="=C:\WINNT35\SYSTEM32\COMMAND.COM 10" xfId="554" xr:uid="{71F99793-CAC4-4136-8DDE-4E93E0285821}"/>
    <cellStyle name="=C:\WINNT35\SYSTEM32\COMMAND.COM 11" xfId="555" xr:uid="{1FE26D34-B2B6-43C1-8C41-16A7597CF715}"/>
    <cellStyle name="=C:\WINNT35\SYSTEM32\COMMAND.COM 12" xfId="556" xr:uid="{67E9017A-7018-419C-91B7-E8AEEA3AB729}"/>
    <cellStyle name="=C:\WINNT35\SYSTEM32\COMMAND.COM 13" xfId="557" xr:uid="{FC339B54-0CD9-49ED-9277-48424DD233D6}"/>
    <cellStyle name="=C:\WINNT35\SYSTEM32\COMMAND.COM 14" xfId="558" xr:uid="{D2B38436-7B29-46AC-8196-20E0ED77CA14}"/>
    <cellStyle name="=C:\WINNT35\SYSTEM32\COMMAND.COM 15" xfId="559" xr:uid="{94CC3093-07A6-46DA-AC76-5A67D2C7B8BF}"/>
    <cellStyle name="=C:\WINNT35\SYSTEM32\COMMAND.COM 16" xfId="560" xr:uid="{04BC8478-8324-4F32-A2B9-865F9D1A8D9A}"/>
    <cellStyle name="=C:\WINNT35\SYSTEM32\COMMAND.COM 17" xfId="561" xr:uid="{AC22E1FB-788E-49B3-93EA-7B3DDC3D4CBD}"/>
    <cellStyle name="=C:\WINNT35\SYSTEM32\COMMAND.COM 18" xfId="562" xr:uid="{93051BFC-8DC8-4EE4-8E78-A0444213D20A}"/>
    <cellStyle name="=C:\WINNT35\SYSTEM32\COMMAND.COM 19" xfId="563" xr:uid="{3428F105-B55F-4A61-ACF7-9317F7D07CBC}"/>
    <cellStyle name="=C:\WINNT35\SYSTEM32\COMMAND.COM 2" xfId="564" xr:uid="{563C9E68-BD78-4ECE-9CF0-817F9CB22BC3}"/>
    <cellStyle name="=C:\WINNT35\SYSTEM32\COMMAND.COM 2 2" xfId="565" xr:uid="{971A013C-40CF-4F67-BD37-DADFFF7FC376}"/>
    <cellStyle name="=C:\WINNT35\SYSTEM32\COMMAND.COM 20" xfId="566" xr:uid="{2BF8EDE7-1C67-4DB4-9D0A-09DE41146C9A}"/>
    <cellStyle name="=C:\WINNT35\SYSTEM32\COMMAND.COM 21" xfId="567" xr:uid="{C8A69E20-9BAD-48AF-BDEE-5E4D433B883F}"/>
    <cellStyle name="=C:\WINNT35\SYSTEM32\COMMAND.COM 22" xfId="568" xr:uid="{2B4D7BA2-BA37-40FE-9A5A-E3B1FFC19FAC}"/>
    <cellStyle name="=C:\WINNT35\SYSTEM32\COMMAND.COM 23" xfId="569" xr:uid="{FD0DA814-A7FB-46D0-B955-119869451D16}"/>
    <cellStyle name="=C:\WINNT35\SYSTEM32\COMMAND.COM 24" xfId="570" xr:uid="{23FDE2B9-C10D-4A16-8423-98F6D85E067C}"/>
    <cellStyle name="=C:\WINNT35\SYSTEM32\COMMAND.COM 25" xfId="571" xr:uid="{5A71A133-89C4-45CA-B77D-B0AE577150A7}"/>
    <cellStyle name="=C:\WINNT35\SYSTEM32\COMMAND.COM 26" xfId="572" xr:uid="{837122A9-DCB7-4D48-BD9E-1525FC298DEA}"/>
    <cellStyle name="=C:\WINNT35\SYSTEM32\COMMAND.COM 27" xfId="573" xr:uid="{661F3964-9AB0-4AE5-9F8D-0480BF7AAEF5}"/>
    <cellStyle name="=C:\WINNT35\SYSTEM32\COMMAND.COM 28" xfId="574" xr:uid="{73D3FD6F-1BC6-41E9-B51D-A9C2B2B048BC}"/>
    <cellStyle name="=C:\WINNT35\SYSTEM32\COMMAND.COM 29" xfId="575" xr:uid="{D4341027-9B91-4692-9243-8E4845FE83C8}"/>
    <cellStyle name="=C:\WINNT35\SYSTEM32\COMMAND.COM 3" xfId="576" xr:uid="{F1BCB8D8-47D5-436A-8577-00A664071A55}"/>
    <cellStyle name="=C:\WINNT35\SYSTEM32\COMMAND.COM 3 2" xfId="577" xr:uid="{6C270CFE-6344-4C01-AC24-A89D45636E23}"/>
    <cellStyle name="=C:\WINNT35\SYSTEM32\COMMAND.COM 30" xfId="578" xr:uid="{F20B4994-2532-4B76-BDBB-5862EB1558F6}"/>
    <cellStyle name="=C:\WINNT35\SYSTEM32\COMMAND.COM 4" xfId="579" xr:uid="{1DF9956F-3794-41A8-BB70-B08C63909CE4}"/>
    <cellStyle name="=C:\WINNT35\SYSTEM32\COMMAND.COM 4 2" xfId="580" xr:uid="{B6868334-A4DB-46CB-B526-0532052F9129}"/>
    <cellStyle name="=C:\WINNT35\SYSTEM32\COMMAND.COM 5" xfId="581" xr:uid="{00A91BF7-B6BD-407B-8757-EEB1AE4E91FA}"/>
    <cellStyle name="=C:\WINNT35\SYSTEM32\COMMAND.COM 5 2" xfId="582" xr:uid="{ACFFAFCD-811A-405A-A8F7-211021179BFA}"/>
    <cellStyle name="=C:\WINNT35\SYSTEM32\COMMAND.COM 6" xfId="583" xr:uid="{EE0816F8-7D92-4747-9DA6-69F4B9BC9BED}"/>
    <cellStyle name="=C:\WINNT35\SYSTEM32\COMMAND.COM 6 2" xfId="584" xr:uid="{3B98C4F6-F0E7-4043-B383-2807D7951C8F}"/>
    <cellStyle name="=C:\WINNT35\SYSTEM32\COMMAND.COM 7" xfId="585" xr:uid="{B6901716-F3F3-4AFF-BF32-704F4B919851}"/>
    <cellStyle name="=C:\WINNT35\SYSTEM32\COMMAND.COM 8" xfId="586" xr:uid="{D677C0CA-0FAF-439C-A8AF-8572D876AF91}"/>
    <cellStyle name="=C:\WINNT35\SYSTEM32\COMMAND.COM 9" xfId="587" xr:uid="{3AE6D0EE-6270-41F6-9FA0-EC7F75429B37}"/>
    <cellStyle name="=C:\WINNT35\SYSTEM32\COMMAND.COM_EE CCS assumptions for Redpoint V3_SL_20090818" xfId="588" xr:uid="{DD703027-EB7D-442B-858A-D6DA8F98422F}"/>
    <cellStyle name="0dp" xfId="589" xr:uid="{C1F64F1D-CAE6-4429-941D-0E0B2DAC3D2C}"/>
    <cellStyle name="1dp" xfId="14" xr:uid="{F8406F53-B810-45BE-9EB9-243F0D42C1DD}"/>
    <cellStyle name="1dp 2" xfId="15" xr:uid="{4B80DCB3-4F36-4599-8D8E-DBEE86693ED6}"/>
    <cellStyle name="1dp 2 2" xfId="590" xr:uid="{95A873E5-10B4-4304-A53E-9BAC8A5D74C0}"/>
    <cellStyle name="1dp 3" xfId="591" xr:uid="{AD7860BE-2F70-423F-990A-B76489A2B632}"/>
    <cellStyle name="20% - Accent1 10" xfId="592" xr:uid="{B0665665-5B53-4A85-B70E-CC48D199D9E1}"/>
    <cellStyle name="20% - Accent1 11" xfId="593" xr:uid="{CAF93248-6008-4F72-A724-B75F448A6D2B}"/>
    <cellStyle name="20% - Accent1 12" xfId="594" xr:uid="{653DF656-EC7D-48FB-891B-090B1D4C137E}"/>
    <cellStyle name="20% - Accent1 13" xfId="595" xr:uid="{855483D3-5A0A-4AC5-891D-4B83165420BC}"/>
    <cellStyle name="20% - Accent1 14" xfId="596" xr:uid="{7C993413-4549-405C-A1D7-B21F4E1DE78B}"/>
    <cellStyle name="20% - Accent1 15" xfId="597" xr:uid="{7CFDA7C5-00ED-4A1C-8D8C-776A92E8BCF5}"/>
    <cellStyle name="20% - Accent1 16" xfId="598" xr:uid="{97A845CC-67D6-47C1-BD71-7D8D25C9A97E}"/>
    <cellStyle name="20% - Accent1 17" xfId="599" xr:uid="{F4295C4D-638B-4830-9C86-3425843D33FB}"/>
    <cellStyle name="20% - Accent1 18" xfId="600" xr:uid="{2BD46E86-1C6D-4CD6-BD8A-6C6F44643C12}"/>
    <cellStyle name="20% - Accent1 19" xfId="601" xr:uid="{B4386F4E-D8AC-4A1F-B3A3-3AA99B496035}"/>
    <cellStyle name="20% - Accent1 2" xfId="16" xr:uid="{886628CF-E711-40AB-9BA9-9A8E70304363}"/>
    <cellStyle name="20% - Accent1 2 2" xfId="603" xr:uid="{D79A8A16-58A6-4BB9-BA34-40220EE39580}"/>
    <cellStyle name="20% - Accent1 2 2 2" xfId="604" xr:uid="{7D4DFA22-EA09-4BA9-876A-0138199A25D3}"/>
    <cellStyle name="20% - Accent1 2 2 3" xfId="605" xr:uid="{0D486402-3B51-4A3D-BFBC-BCF99258C8C5}"/>
    <cellStyle name="20% - Accent1 2 3" xfId="606" xr:uid="{F58FD621-4CDF-432C-AC41-4D9C0CD3C4A6}"/>
    <cellStyle name="20% - Accent1 2 3 2" xfId="607" xr:uid="{7A586DFE-8C5D-4BB8-987D-09C93440D6CF}"/>
    <cellStyle name="20% - Accent1 2 3 2 2" xfId="608" xr:uid="{8D0996F1-F022-48CE-9E66-6821083CDB7A}"/>
    <cellStyle name="20% - Accent1 2 3 3" xfId="609" xr:uid="{BB658067-E553-453B-A9B9-A159D6D315FF}"/>
    <cellStyle name="20% - Accent1 2 3 4" xfId="610" xr:uid="{ABFC1E92-7FC5-46D0-9F49-4689BB3EAF5B}"/>
    <cellStyle name="20% - Accent1 2 4" xfId="611" xr:uid="{57BBBEC1-459F-4952-A93A-818086734B4C}"/>
    <cellStyle name="20% - Accent1 2 5" xfId="612" xr:uid="{4DB394B4-BB0B-4B28-B6A5-ACDA206FAA3B}"/>
    <cellStyle name="20% - Accent1 2 6" xfId="602" xr:uid="{D486681A-682D-4460-BC92-F597A15D7858}"/>
    <cellStyle name="20% - Accent1 20" xfId="613" xr:uid="{2B08EB3D-5A3C-46B8-B845-EB4BB0D63783}"/>
    <cellStyle name="20% - Accent1 21" xfId="614" xr:uid="{DB4E3366-AD06-4023-89D1-C41C590731DA}"/>
    <cellStyle name="20% - Accent1 22" xfId="615" xr:uid="{A50AF5EC-B0CA-45F6-91BD-D84E66C7A7DC}"/>
    <cellStyle name="20% - Accent1 23" xfId="616" xr:uid="{8A9B8D20-D62D-4051-995C-87A50E65F647}"/>
    <cellStyle name="20% - Accent1 24" xfId="617" xr:uid="{7FAEF84D-2BEC-4EBE-A719-E20C7419DD90}"/>
    <cellStyle name="20% - Accent1 25" xfId="618" xr:uid="{D6139942-3C61-4240-9B66-65A4CF03CC14}"/>
    <cellStyle name="20% - Accent1 26" xfId="619" xr:uid="{29E93DBD-D8AA-4EFC-B40C-DDACE8822F64}"/>
    <cellStyle name="20% - Accent1 27" xfId="620" xr:uid="{467BCE2D-2DCA-48FE-9A8E-6ACBD81F91CB}"/>
    <cellStyle name="20% - Accent1 28" xfId="621" xr:uid="{41DEAE28-63A0-4C7A-BDE6-F53C42E8E798}"/>
    <cellStyle name="20% - Accent1 29" xfId="622" xr:uid="{82E2E0F9-3D40-4B0F-AF1E-4E2C4BD71624}"/>
    <cellStyle name="20% - Accent1 3" xfId="623" xr:uid="{D188664F-8087-4E04-A473-BD0D2B4FF1EC}"/>
    <cellStyle name="20% - Accent1 3 2" xfId="624" xr:uid="{F5B0A3C2-6B82-46EA-B15D-D355DD677AB8}"/>
    <cellStyle name="20% - Accent1 3 3" xfId="625" xr:uid="{EB8B1552-E4D2-46DC-8693-D7CFD1CB56D2}"/>
    <cellStyle name="20% - Accent1 30" xfId="626" xr:uid="{FACBE49C-F5AE-4CC4-B2CA-3411FA4D641C}"/>
    <cellStyle name="20% - Accent1 31" xfId="627" xr:uid="{5D76651F-3A63-40EC-BB7A-F4A898383558}"/>
    <cellStyle name="20% - Accent1 32" xfId="628" xr:uid="{3A5BBA3A-221A-4ACB-9D8D-85731E3251C8}"/>
    <cellStyle name="20% - Accent1 33" xfId="629" xr:uid="{48DA147B-C9EE-4FBA-9098-433244CF09F6}"/>
    <cellStyle name="20% - Accent1 34" xfId="630" xr:uid="{C64C1D0C-79C6-48C6-828A-67B3C26F73E5}"/>
    <cellStyle name="20% - Accent1 35" xfId="631" xr:uid="{21E228A6-3F36-4F8F-A812-CA0EE2F0F5F1}"/>
    <cellStyle name="20% - Accent1 35 2" xfId="632" xr:uid="{EE702555-FCD8-4D69-96B7-00A50FFF6996}"/>
    <cellStyle name="20% - Accent1 35 2 2" xfId="633" xr:uid="{88DF39BF-834D-49CB-B41F-9CC6AECFAD4A}"/>
    <cellStyle name="20% - Accent1 35 2 2 2" xfId="634" xr:uid="{73F91152-F10C-40CC-B78C-41B176C2AA01}"/>
    <cellStyle name="20% - Accent1 35 2 2 3" xfId="635" xr:uid="{BA3A5D4D-01CA-4769-B0A3-1E9D735B1BAB}"/>
    <cellStyle name="20% - Accent1 35 3" xfId="636" xr:uid="{4248ECBD-3146-4879-86D8-35AF72216523}"/>
    <cellStyle name="20% - Accent1 35 4" xfId="637" xr:uid="{AA338A5F-0F4F-4ABA-B198-D0C42F57917F}"/>
    <cellStyle name="20% - Accent1 35 5" xfId="638" xr:uid="{CEBE66DF-1689-49B1-8376-1FE484707029}"/>
    <cellStyle name="20% - Accent1 36" xfId="639" xr:uid="{903B551D-FB35-43C2-AABE-1C238FE64903}"/>
    <cellStyle name="20% - Accent1 37" xfId="640" xr:uid="{43BE2ABF-F99C-4898-89ED-9E432F0DCFCD}"/>
    <cellStyle name="20% - Accent1 38" xfId="641" xr:uid="{72E24FB9-FE37-4275-9E6A-14FDC036EB6A}"/>
    <cellStyle name="20% - Accent1 39" xfId="642" xr:uid="{E53262BD-03F5-470F-9FA4-A1E3F0E7D389}"/>
    <cellStyle name="20% - Accent1 4" xfId="643" xr:uid="{6620EC85-E5F4-4D3F-B371-361BBE7BD5A9}"/>
    <cellStyle name="20% - Accent1 4 2" xfId="644" xr:uid="{46F3AE82-6C6F-401E-94FF-D4000EABB1BB}"/>
    <cellStyle name="20% - Accent1 40" xfId="645" xr:uid="{1A497859-9954-4EAC-A8DA-FF5B3B838D4B}"/>
    <cellStyle name="20% - Accent1 41" xfId="646" xr:uid="{EDF71828-F689-4F7A-9209-3A63B329FF3C}"/>
    <cellStyle name="20% - Accent1 42" xfId="647" xr:uid="{1E7F1BB1-BB0F-4B5F-9A6F-0573059A5C95}"/>
    <cellStyle name="20% - Accent1 43" xfId="648" xr:uid="{4760E67D-20E2-45B2-8DA3-08CF6B095A05}"/>
    <cellStyle name="20% - Accent1 44" xfId="649" xr:uid="{BD9AFA7A-5128-4CDF-9A70-D9FD8B62E9CA}"/>
    <cellStyle name="20% - Accent1 45" xfId="650" xr:uid="{BBF15935-3956-41AE-84B3-B3D05909B3FB}"/>
    <cellStyle name="20% - Accent1 46" xfId="651" xr:uid="{47FFBC80-A1FC-467E-8A56-E61698836FE9}"/>
    <cellStyle name="20% - Accent1 47" xfId="652" xr:uid="{B51F790E-6010-4EF2-A465-73BEEE39EDCA}"/>
    <cellStyle name="20% - Accent1 48" xfId="653" xr:uid="{F8B03F04-3748-45C6-8055-2BE501B3E135}"/>
    <cellStyle name="20% - Accent1 49" xfId="654" xr:uid="{844E44E6-71EC-4B20-9153-E5D50C9116E4}"/>
    <cellStyle name="20% - Accent1 5" xfId="655" xr:uid="{134BEB62-6786-4623-A11C-9D2B6229CF48}"/>
    <cellStyle name="20% - Accent1 50" xfId="656" xr:uid="{06291538-C590-4280-A98B-C43354D4CCF4}"/>
    <cellStyle name="20% - Accent1 51" xfId="657" xr:uid="{4E448351-D547-474C-AF55-3F64D9307D2D}"/>
    <cellStyle name="20% - Accent1 52" xfId="658" xr:uid="{F71F0860-30AC-4579-8E2E-BF12240D12F7}"/>
    <cellStyle name="20% - Accent1 53" xfId="659" xr:uid="{8890F326-6F6A-4A22-BFB4-335A2241C28F}"/>
    <cellStyle name="20% - Accent1 54" xfId="660" xr:uid="{D17AC068-9D9F-4947-B7FE-DB505FD3D6EF}"/>
    <cellStyle name="20% - Accent1 55" xfId="661" xr:uid="{CF2D02E2-4FA3-40CF-90B5-03C1528E4C11}"/>
    <cellStyle name="20% - Accent1 56" xfId="662" xr:uid="{258C3ECE-FE9A-4043-9524-A5F0FA0CDA38}"/>
    <cellStyle name="20% - Accent1 57" xfId="663" xr:uid="{98000065-CB7A-4309-AE1B-81A3F035DE43}"/>
    <cellStyle name="20% - Accent1 58" xfId="664" xr:uid="{5CF31246-8B2C-4016-9C0C-1F91D3334CD9}"/>
    <cellStyle name="20% - Accent1 59" xfId="665" xr:uid="{EFCB4B34-CFD4-4DDD-9DCF-3DB32D173FE9}"/>
    <cellStyle name="20% - Accent1 6" xfId="666" xr:uid="{1892E92F-0A25-4030-A397-E94CD60A7433}"/>
    <cellStyle name="20% - Accent1 60" xfId="667" xr:uid="{CB219B71-2F85-4E24-AAAA-1A48925051C5}"/>
    <cellStyle name="20% - Accent1 60 2" xfId="668" xr:uid="{7E8E9056-C018-485B-A52D-8F9218178C69}"/>
    <cellStyle name="20% - Accent1 60 2 2" xfId="669" xr:uid="{3DDBAD54-CF92-49A8-94F2-9074BCAFB357}"/>
    <cellStyle name="20% - Accent1 60 2 2 2" xfId="670" xr:uid="{8F98A557-3C59-419D-95BB-8AF6282DDB0F}"/>
    <cellStyle name="20% - Accent1 60 2 3" xfId="671" xr:uid="{62FD9F7F-7058-4761-B62A-655368D101E9}"/>
    <cellStyle name="20% - Accent1 60 3" xfId="672" xr:uid="{8BC2FAFA-F9B4-4417-8097-5D8224ED29E1}"/>
    <cellStyle name="20% - Accent1 61" xfId="673" xr:uid="{C9A4A5FB-B665-402F-AAEB-5D1664EEAFEC}"/>
    <cellStyle name="20% - Accent1 62" xfId="674" xr:uid="{0BFDFCAF-146A-4BD2-B0C9-22C6376ACAE8}"/>
    <cellStyle name="20% - Accent1 63" xfId="675" xr:uid="{231D8849-E185-473B-8F0F-FE67117FDFA0}"/>
    <cellStyle name="20% - Accent1 64" xfId="676" xr:uid="{10DAD3E8-F68A-4068-ADC2-68271941B14C}"/>
    <cellStyle name="20% - Accent1 65" xfId="677" xr:uid="{4F8268EE-777D-4C43-B4E4-7A785CF15D2B}"/>
    <cellStyle name="20% - Accent1 7" xfId="678" xr:uid="{AAC2A94B-FA7F-4652-806F-BD8A6D0224EF}"/>
    <cellStyle name="20% - Accent1 8" xfId="679" xr:uid="{0789B7A2-AE9A-43AA-AE38-162D57A59802}"/>
    <cellStyle name="20% - Accent1 9" xfId="680" xr:uid="{B7332A4A-113A-411A-8ECB-0627905E18A1}"/>
    <cellStyle name="20% - Accent2 10" xfId="681" xr:uid="{39138C8A-FE3F-43D2-BC26-6A947DBAA93C}"/>
    <cellStyle name="20% - Accent2 11" xfId="682" xr:uid="{CFB8CBE0-E1C9-46DC-B0D4-AD204371B790}"/>
    <cellStyle name="20% - Accent2 12" xfId="683" xr:uid="{DC554AAB-2DB5-430A-9C19-702BE3B8DBCD}"/>
    <cellStyle name="20% - Accent2 13" xfId="684" xr:uid="{E8343A61-F378-426D-9FF0-86AB5E358733}"/>
    <cellStyle name="20% - Accent2 14" xfId="685" xr:uid="{B0CAC1D0-46F7-452E-9F3A-916848039056}"/>
    <cellStyle name="20% - Accent2 15" xfId="686" xr:uid="{4D416E6B-8F26-4AB9-BC85-414763A42702}"/>
    <cellStyle name="20% - Accent2 16" xfId="687" xr:uid="{17997711-E45E-42DE-B562-B5E44F9B1251}"/>
    <cellStyle name="20% - Accent2 17" xfId="688" xr:uid="{AF0ED1F3-D75C-4BC2-9156-1356998EED29}"/>
    <cellStyle name="20% - Accent2 18" xfId="689" xr:uid="{70228B66-B511-43D0-82CF-5E8E917B134C}"/>
    <cellStyle name="20% - Accent2 19" xfId="690" xr:uid="{2E501D00-66A6-4B22-87D2-70BC3A6C4EA3}"/>
    <cellStyle name="20% - Accent2 2" xfId="17" xr:uid="{37435814-6113-4A05-BF71-3EC351425840}"/>
    <cellStyle name="20% - Accent2 2 2" xfId="692" xr:uid="{339D420F-60C0-474C-BFB7-95D295F6799D}"/>
    <cellStyle name="20% - Accent2 2 2 2" xfId="693" xr:uid="{423BD936-1587-437E-9FA4-661CAF06B5C6}"/>
    <cellStyle name="20% - Accent2 2 2 3" xfId="694" xr:uid="{626DB258-8E44-4327-874D-E32B62285E1A}"/>
    <cellStyle name="20% - Accent2 2 3" xfId="695" xr:uid="{176D538A-F48E-4F76-A25E-FE1EB96006B0}"/>
    <cellStyle name="20% - Accent2 2 3 2" xfId="696" xr:uid="{B6475709-49B1-4091-A885-EA019E00E295}"/>
    <cellStyle name="20% - Accent2 2 3 2 2" xfId="697" xr:uid="{1CE885CE-ACF6-4483-8474-A3BA71B5DDA7}"/>
    <cellStyle name="20% - Accent2 2 3 3" xfId="698" xr:uid="{9E335D49-B49B-44FF-90AA-6175EDF86291}"/>
    <cellStyle name="20% - Accent2 2 3 4" xfId="699" xr:uid="{B4CFA61B-317E-4A2F-B667-F260F8C7B4B4}"/>
    <cellStyle name="20% - Accent2 2 4" xfId="700" xr:uid="{828A9987-F2DE-40EA-BDAA-2AE659356036}"/>
    <cellStyle name="20% - Accent2 2 5" xfId="701" xr:uid="{C8F98399-4C3F-4B2B-B818-DF17160646FE}"/>
    <cellStyle name="20% - Accent2 2 6" xfId="691" xr:uid="{AA8B376C-4627-406C-9C50-ADFAC8008A99}"/>
    <cellStyle name="20% - Accent2 20" xfId="702" xr:uid="{FB40A966-3B3B-40D8-A21A-6D426ADE05EE}"/>
    <cellStyle name="20% - Accent2 21" xfId="703" xr:uid="{0AEC7294-B2DB-4618-9299-FB595E33EDFD}"/>
    <cellStyle name="20% - Accent2 22" xfId="704" xr:uid="{0A06B0F8-09C6-4EF8-8EA8-26AB26F8942F}"/>
    <cellStyle name="20% - Accent2 23" xfId="705" xr:uid="{36B8BF40-1338-4474-9170-29BC39DEA618}"/>
    <cellStyle name="20% - Accent2 24" xfId="706" xr:uid="{5152F81C-CA54-4978-A36D-EE47CD4EDA10}"/>
    <cellStyle name="20% - Accent2 25" xfId="707" xr:uid="{09813473-0F1D-478C-A719-D7ABB50E1684}"/>
    <cellStyle name="20% - Accent2 26" xfId="708" xr:uid="{334D98DD-CFC9-4CA4-95BE-C60CE22B3DCC}"/>
    <cellStyle name="20% - Accent2 27" xfId="709" xr:uid="{6001CC8A-A76F-4AE1-B166-904C29F2B8CC}"/>
    <cellStyle name="20% - Accent2 28" xfId="710" xr:uid="{A4742619-5C63-4E52-ACE3-7BF324C9AC1E}"/>
    <cellStyle name="20% - Accent2 29" xfId="711" xr:uid="{3AE152F2-A0C9-4FAD-92A0-441A5E4FA5B9}"/>
    <cellStyle name="20% - Accent2 3" xfId="712" xr:uid="{71F555D5-D4B8-42B6-8671-201BDC655D8D}"/>
    <cellStyle name="20% - Accent2 3 2" xfId="713" xr:uid="{B1395D38-B658-4D49-B4C1-E48982F2DBC7}"/>
    <cellStyle name="20% - Accent2 3 3" xfId="714" xr:uid="{F32B9AE9-21E1-4583-8D25-86A4BD80FBFA}"/>
    <cellStyle name="20% - Accent2 30" xfId="715" xr:uid="{10959284-2BDB-4BDA-8E62-AB06E7D46DC0}"/>
    <cellStyle name="20% - Accent2 31" xfId="716" xr:uid="{3802D455-9087-4899-BA3E-0052063E0542}"/>
    <cellStyle name="20% - Accent2 32" xfId="717" xr:uid="{19F5BDED-9212-45F7-B9FD-4A938036739C}"/>
    <cellStyle name="20% - Accent2 33" xfId="718" xr:uid="{2360D6BD-3853-47D6-A88D-D8C8AD4ABF38}"/>
    <cellStyle name="20% - Accent2 34" xfId="719" xr:uid="{24BF02B1-48A0-469F-9917-F05BF0D9CAE5}"/>
    <cellStyle name="20% - Accent2 35" xfId="720" xr:uid="{E1AE28F0-4F0A-43F2-93B6-E7C4845CAC52}"/>
    <cellStyle name="20% - Accent2 35 2" xfId="721" xr:uid="{D783CEB9-230A-4D1D-A870-6679147375CA}"/>
    <cellStyle name="20% - Accent2 35 2 2" xfId="722" xr:uid="{189E9F4C-26E4-4BF5-8492-46FCE5F9413D}"/>
    <cellStyle name="20% - Accent2 35 2 2 2" xfId="723" xr:uid="{C206610B-2C29-4BB3-A472-CAA3DD053864}"/>
    <cellStyle name="20% - Accent2 35 2 2 3" xfId="724" xr:uid="{F2BF6C94-9E49-476E-8578-8F9C7B042505}"/>
    <cellStyle name="20% - Accent2 35 3" xfId="725" xr:uid="{C251CF29-E0F0-47C0-8F62-4B64135E8EF8}"/>
    <cellStyle name="20% - Accent2 35 4" xfId="726" xr:uid="{7720CDCF-72BA-4787-91C2-7F6EC14B6D3B}"/>
    <cellStyle name="20% - Accent2 35 5" xfId="727" xr:uid="{B39BBF58-89F1-4D13-8F0E-10881B6BD93F}"/>
    <cellStyle name="20% - Accent2 36" xfId="728" xr:uid="{67F5B2E5-D163-4E6E-8A2D-2CD2045452CA}"/>
    <cellStyle name="20% - Accent2 37" xfId="729" xr:uid="{AB586E8E-7082-49D6-B670-578AF9DFBE02}"/>
    <cellStyle name="20% - Accent2 38" xfId="730" xr:uid="{2FDD2E27-73E8-4C7B-885F-3A21D1313DC9}"/>
    <cellStyle name="20% - Accent2 39" xfId="731" xr:uid="{CB3629ED-DAE8-4638-86D6-696E12A819EE}"/>
    <cellStyle name="20% - Accent2 4" xfId="732" xr:uid="{EB089B02-B836-428F-BA18-3EB324202FB7}"/>
    <cellStyle name="20% - Accent2 4 2" xfId="733" xr:uid="{A6C29D4F-BC5F-4884-B744-0F4068635D19}"/>
    <cellStyle name="20% - Accent2 40" xfId="734" xr:uid="{728F7C3B-26E4-443A-A18A-5282F8362467}"/>
    <cellStyle name="20% - Accent2 41" xfId="735" xr:uid="{FF619553-3E0E-45A7-9735-9B168683F0FE}"/>
    <cellStyle name="20% - Accent2 42" xfId="736" xr:uid="{066FE05D-4ECE-40DE-9071-EF5776C373E8}"/>
    <cellStyle name="20% - Accent2 43" xfId="737" xr:uid="{D32FEF11-1D4A-441D-B0F5-10E2F43CD93C}"/>
    <cellStyle name="20% - Accent2 44" xfId="738" xr:uid="{0097C5DE-E3AF-4A4C-80C8-6F856C696598}"/>
    <cellStyle name="20% - Accent2 45" xfId="739" xr:uid="{CE64234B-6E1A-481C-BCB5-3E277077DBCA}"/>
    <cellStyle name="20% - Accent2 46" xfId="740" xr:uid="{4DFA1BDE-3918-431F-AD12-5AA111856B50}"/>
    <cellStyle name="20% - Accent2 47" xfId="741" xr:uid="{580B2169-C4C0-4939-9688-ABE8A86FF025}"/>
    <cellStyle name="20% - Accent2 48" xfId="742" xr:uid="{00EA7BD2-F41A-49DF-82C1-8D546CC17ECE}"/>
    <cellStyle name="20% - Accent2 49" xfId="743" xr:uid="{5B73F1F3-080A-442B-86D5-97059BDECC46}"/>
    <cellStyle name="20% - Accent2 5" xfId="744" xr:uid="{49A5E4E5-85F7-4A20-A81F-A319E7F059AB}"/>
    <cellStyle name="20% - Accent2 50" xfId="745" xr:uid="{E1632F82-5ABD-4AD8-ADAA-CEB4E70034DE}"/>
    <cellStyle name="20% - Accent2 51" xfId="746" xr:uid="{8F5A5097-2079-42E7-ABE1-30229CDB9466}"/>
    <cellStyle name="20% - Accent2 52" xfId="747" xr:uid="{4002F9AD-CA84-4F7F-810A-17723A2847A4}"/>
    <cellStyle name="20% - Accent2 53" xfId="748" xr:uid="{D37F9D69-F5FF-48EE-8FC7-0B8D1EF9D7BF}"/>
    <cellStyle name="20% - Accent2 54" xfId="749" xr:uid="{B4F386FB-FCEA-4943-9FC3-F536ECBBAD55}"/>
    <cellStyle name="20% - Accent2 55" xfId="750" xr:uid="{48ED413E-3666-4898-ABC7-D4D459BE34C3}"/>
    <cellStyle name="20% - Accent2 56" xfId="751" xr:uid="{006C19F5-44C3-4078-B97B-FE9E02CE32A9}"/>
    <cellStyle name="20% - Accent2 57" xfId="752" xr:uid="{A6F93613-2E8C-4191-903A-AF598127E41C}"/>
    <cellStyle name="20% - Accent2 58" xfId="753" xr:uid="{93377631-0BE4-4DE6-8DC3-D6BC9E445913}"/>
    <cellStyle name="20% - Accent2 59" xfId="754" xr:uid="{66B8EB05-35EF-4B91-A289-A89CB712E853}"/>
    <cellStyle name="20% - Accent2 6" xfId="755" xr:uid="{38180D54-1791-4116-93D2-25A89513E660}"/>
    <cellStyle name="20% - Accent2 60" xfId="756" xr:uid="{D6C2C6AA-92A1-4AE5-8F3D-647E8505160B}"/>
    <cellStyle name="20% - Accent2 60 2" xfId="757" xr:uid="{CB39481E-C8A0-4BE0-AAAF-EF522A6650EF}"/>
    <cellStyle name="20% - Accent2 60 2 2" xfId="758" xr:uid="{2058E696-CA31-4206-8445-F2CA59B1D7AC}"/>
    <cellStyle name="20% - Accent2 60 2 2 2" xfId="759" xr:uid="{877B546E-D6D4-4A62-A8F2-1EE7A096FCDA}"/>
    <cellStyle name="20% - Accent2 60 2 3" xfId="760" xr:uid="{22A5787D-247C-429A-854D-51AABDF30952}"/>
    <cellStyle name="20% - Accent2 60 3" xfId="761" xr:uid="{80CE1918-75D3-47C6-BB6E-38D25C7FD393}"/>
    <cellStyle name="20% - Accent2 61" xfId="762" xr:uid="{EB6AEF95-F596-4CC5-B4A7-5EB38660703E}"/>
    <cellStyle name="20% - Accent2 62" xfId="763" xr:uid="{3B2D3BB4-7056-4CB8-B6D4-0326613AEB35}"/>
    <cellStyle name="20% - Accent2 63" xfId="764" xr:uid="{3F2FBB62-A8E7-47B6-A266-10B114FED435}"/>
    <cellStyle name="20% - Accent2 64" xfId="765" xr:uid="{9BBBC51D-54A9-4C0A-9734-C0298ED2822A}"/>
    <cellStyle name="20% - Accent2 65" xfId="766" xr:uid="{B44B9348-47CB-434D-AF50-0EAC3E6B801A}"/>
    <cellStyle name="20% - Accent2 7" xfId="767" xr:uid="{27DD45F9-D643-41BB-B8EA-0C61789BB76E}"/>
    <cellStyle name="20% - Accent2 8" xfId="768" xr:uid="{F4E952CD-6A3B-4421-A101-186C7EDE2F12}"/>
    <cellStyle name="20% - Accent2 9" xfId="769" xr:uid="{B4B54CAC-030A-4DF3-876C-94CB9E6B1F97}"/>
    <cellStyle name="20% - Accent3 10" xfId="770" xr:uid="{35472A46-3172-4B6C-93A0-9322A77E3108}"/>
    <cellStyle name="20% - Accent3 11" xfId="771" xr:uid="{877F3208-77A9-4564-B0B7-522C7A15B3F5}"/>
    <cellStyle name="20% - Accent3 12" xfId="772" xr:uid="{BDE14656-A438-4CB9-910F-A735ABE62D2E}"/>
    <cellStyle name="20% - Accent3 13" xfId="773" xr:uid="{E28B6D34-1239-48A5-970B-29CB63854AEE}"/>
    <cellStyle name="20% - Accent3 14" xfId="774" xr:uid="{DAE35C1B-8BB7-43D8-9EA9-B2E064EEC0E7}"/>
    <cellStyle name="20% - Accent3 15" xfId="775" xr:uid="{AB7C7071-D3BB-4E4E-AA6C-7CFC86A02FF9}"/>
    <cellStyle name="20% - Accent3 16" xfId="776" xr:uid="{4D6AEB23-7C6C-40CA-8C7B-02FB2F3DA9DD}"/>
    <cellStyle name="20% - Accent3 17" xfId="777" xr:uid="{ED895F9B-2BA6-4170-9B67-D4A33F70584B}"/>
    <cellStyle name="20% - Accent3 18" xfId="778" xr:uid="{9716BCA3-BA6B-4A47-8BAC-2A18F2DE2553}"/>
    <cellStyle name="20% - Accent3 19" xfId="779" xr:uid="{5193D043-B4B1-42C6-AB07-3DC6FB915F13}"/>
    <cellStyle name="20% - Accent3 2" xfId="18" xr:uid="{E3C18A07-9436-43B7-B45A-BA822572D346}"/>
    <cellStyle name="20% - Accent3 2 2" xfId="781" xr:uid="{F02F3D10-84C5-4539-A081-29DA701A85B7}"/>
    <cellStyle name="20% - Accent3 2 2 2" xfId="782" xr:uid="{665B24BF-033B-48B8-8E66-B5B0C12B7E53}"/>
    <cellStyle name="20% - Accent3 2 2 3" xfId="783" xr:uid="{E6B874CC-984D-47DE-8006-A9785ADABE5C}"/>
    <cellStyle name="20% - Accent3 2 3" xfId="784" xr:uid="{EF8D2546-076E-4DB1-BD5F-EDC4E45F7511}"/>
    <cellStyle name="20% - Accent3 2 3 2" xfId="785" xr:uid="{0A0FC34D-8447-4E9F-B649-E31E96E6EACE}"/>
    <cellStyle name="20% - Accent3 2 3 2 2" xfId="786" xr:uid="{1B286EDE-AAE8-46C6-AC6E-A31EE4222A1B}"/>
    <cellStyle name="20% - Accent3 2 3 3" xfId="787" xr:uid="{B12FCD2A-2B48-4913-BE67-524D70A4991D}"/>
    <cellStyle name="20% - Accent3 2 3 4" xfId="788" xr:uid="{67C7DB2C-DC7B-4788-AE85-30FEC2EF1C95}"/>
    <cellStyle name="20% - Accent3 2 4" xfId="789" xr:uid="{96269A94-91D6-4F98-AB9B-3EA788777A75}"/>
    <cellStyle name="20% - Accent3 2 5" xfId="790" xr:uid="{2AEC0DB7-842B-4428-9BA7-725F85C19CD0}"/>
    <cellStyle name="20% - Accent3 2 6" xfId="780" xr:uid="{D4567531-3788-4D4F-98D1-B2F47E79D997}"/>
    <cellStyle name="20% - Accent3 20" xfId="791" xr:uid="{0F05D837-3358-46F6-96DE-83651350CA08}"/>
    <cellStyle name="20% - Accent3 21" xfId="792" xr:uid="{89D8DA9C-0B21-4D09-81BE-B9A9E7B33330}"/>
    <cellStyle name="20% - Accent3 22" xfId="793" xr:uid="{724E3945-7E2E-44F5-970C-CEAA93D0D062}"/>
    <cellStyle name="20% - Accent3 23" xfId="794" xr:uid="{1B1332BB-B03A-44BD-A5B5-6DE33999AD63}"/>
    <cellStyle name="20% - Accent3 24" xfId="795" xr:uid="{8C6875D4-0F04-4F88-BF01-217D1C583F1C}"/>
    <cellStyle name="20% - Accent3 25" xfId="796" xr:uid="{5C07B991-1BB8-4B75-A91C-7928EA5DE9ED}"/>
    <cellStyle name="20% - Accent3 26" xfId="797" xr:uid="{2204F6FA-A2A4-421C-B4CD-73C787299224}"/>
    <cellStyle name="20% - Accent3 27" xfId="798" xr:uid="{198CA00B-8467-4CF0-A962-EE69A86B0DBF}"/>
    <cellStyle name="20% - Accent3 28" xfId="799" xr:uid="{737FAC69-085E-4397-8D29-247003B1F336}"/>
    <cellStyle name="20% - Accent3 29" xfId="800" xr:uid="{060FA60A-9D74-460E-ACB3-DC4C204FFF88}"/>
    <cellStyle name="20% - Accent3 3" xfId="801" xr:uid="{065D9A4B-965C-43C0-9C67-C32D3BA4B855}"/>
    <cellStyle name="20% - Accent3 3 2" xfId="802" xr:uid="{C41BC5AE-0E59-4A1D-9CE2-22AC00C1830A}"/>
    <cellStyle name="20% - Accent3 3 3" xfId="803" xr:uid="{5CBD4959-28A9-4319-B795-482FC1E53A38}"/>
    <cellStyle name="20% - Accent3 30" xfId="804" xr:uid="{C8E914CF-95DB-4677-A65E-D267EA6F1BEB}"/>
    <cellStyle name="20% - Accent3 31" xfId="805" xr:uid="{A7D359F0-47AF-4C0B-9381-D5BBCF0A9CBA}"/>
    <cellStyle name="20% - Accent3 32" xfId="806" xr:uid="{9646D97F-25DB-4682-A3D7-5C47A91EB687}"/>
    <cellStyle name="20% - Accent3 33" xfId="807" xr:uid="{49D2D2DC-1CD9-4914-A6B6-CA5C19863D5F}"/>
    <cellStyle name="20% - Accent3 34" xfId="808" xr:uid="{D9FBC2B5-2970-4F35-AD57-B3071D91BAF9}"/>
    <cellStyle name="20% - Accent3 35" xfId="809" xr:uid="{4C7CCD6C-2582-4F4B-A93A-320109F4025B}"/>
    <cellStyle name="20% - Accent3 35 2" xfId="810" xr:uid="{DF56E886-E505-4773-B390-AC028D8A0318}"/>
    <cellStyle name="20% - Accent3 35 2 2" xfId="811" xr:uid="{2B50244B-88A3-4769-A0B2-4FD7822B2F61}"/>
    <cellStyle name="20% - Accent3 35 2 2 2" xfId="812" xr:uid="{97CE8F36-267D-4E31-950B-4D4D43003B8B}"/>
    <cellStyle name="20% - Accent3 35 2 2 3" xfId="813" xr:uid="{41F53079-B70E-4F30-9B17-08DA30487B1E}"/>
    <cellStyle name="20% - Accent3 35 3" xfId="814" xr:uid="{3E6CAFCC-5F43-41EE-BC4A-D12819FFC87D}"/>
    <cellStyle name="20% - Accent3 35 4" xfId="815" xr:uid="{8E6913BC-A15C-4241-818A-37763A18CE20}"/>
    <cellStyle name="20% - Accent3 35 5" xfId="816" xr:uid="{22992938-EED5-49AF-A0F5-C8A356AB8B03}"/>
    <cellStyle name="20% - Accent3 36" xfId="817" xr:uid="{E2BEBD63-0772-43CD-B48A-E2FBA8AF3DEA}"/>
    <cellStyle name="20% - Accent3 37" xfId="818" xr:uid="{F66E14AB-7976-454D-834C-F18EB27A7451}"/>
    <cellStyle name="20% - Accent3 38" xfId="819" xr:uid="{439C3552-2144-4410-93B3-71014B56FF2F}"/>
    <cellStyle name="20% - Accent3 39" xfId="820" xr:uid="{AD98192F-DF00-4C05-B21C-B784E081C5BD}"/>
    <cellStyle name="20% - Accent3 4" xfId="821" xr:uid="{7AD6E3E9-2BE5-4943-8209-9559556DB73C}"/>
    <cellStyle name="20% - Accent3 4 2" xfId="822" xr:uid="{5C2AE1C5-C4BC-436B-804B-45823EB703E6}"/>
    <cellStyle name="20% - Accent3 40" xfId="823" xr:uid="{3C61D610-D941-4A42-9DC8-E70B69BA4DAE}"/>
    <cellStyle name="20% - Accent3 41" xfId="824" xr:uid="{9AEFB107-8DEF-4ED4-A3FB-462E3D04B3C3}"/>
    <cellStyle name="20% - Accent3 42" xfId="825" xr:uid="{2FD821DA-6A7A-4776-84CE-66E9A35306CC}"/>
    <cellStyle name="20% - Accent3 43" xfId="826" xr:uid="{56AE4827-2742-42C2-97A5-FCB9C2519989}"/>
    <cellStyle name="20% - Accent3 44" xfId="827" xr:uid="{694B38F8-40ED-4272-A61F-F0E0BE26994B}"/>
    <cellStyle name="20% - Accent3 45" xfId="828" xr:uid="{3D1CD151-AA36-44BA-9C62-664807EC6F16}"/>
    <cellStyle name="20% - Accent3 46" xfId="829" xr:uid="{9AA46266-B0A9-4C87-A724-C16639022EA5}"/>
    <cellStyle name="20% - Accent3 47" xfId="830" xr:uid="{FA58D807-C0AE-4BC0-BE3E-8E173C9D049B}"/>
    <cellStyle name="20% - Accent3 48" xfId="831" xr:uid="{5BF74A67-C78A-49F4-ACB0-0829C57E375C}"/>
    <cellStyle name="20% - Accent3 49" xfId="832" xr:uid="{C30B44E7-CA48-4A3B-88F3-11369524E21B}"/>
    <cellStyle name="20% - Accent3 5" xfId="833" xr:uid="{04282D6D-9FDD-4291-8A2D-D1E31CECC69B}"/>
    <cellStyle name="20% - Accent3 50" xfId="834" xr:uid="{F866F265-36C3-4C9F-BF36-C9873A25079F}"/>
    <cellStyle name="20% - Accent3 51" xfId="835" xr:uid="{8C1DFFEF-FEEE-4550-A2C7-BC9F42BA21B1}"/>
    <cellStyle name="20% - Accent3 52" xfId="836" xr:uid="{3DED5B60-438D-4E6B-AA2D-C6D1083D41D2}"/>
    <cellStyle name="20% - Accent3 53" xfId="837" xr:uid="{5F63D991-E1A4-44D0-B091-21921F85BE2B}"/>
    <cellStyle name="20% - Accent3 54" xfId="838" xr:uid="{41783FD1-F123-43B4-89C3-95CC241DCADC}"/>
    <cellStyle name="20% - Accent3 55" xfId="839" xr:uid="{21DBD500-9CF4-45C9-A567-CDADB3E61AF6}"/>
    <cellStyle name="20% - Accent3 56" xfId="840" xr:uid="{89EA5619-418A-456A-B8D4-BDD61C5AB355}"/>
    <cellStyle name="20% - Accent3 57" xfId="841" xr:uid="{78D7C677-4651-46B0-8D3E-BC7739E8FBF4}"/>
    <cellStyle name="20% - Accent3 58" xfId="842" xr:uid="{D5850525-6645-4615-9248-500720D61A1A}"/>
    <cellStyle name="20% - Accent3 59" xfId="843" xr:uid="{A7A0B00C-BE5E-4E8E-8A19-F0E5D3031ACB}"/>
    <cellStyle name="20% - Accent3 6" xfId="844" xr:uid="{4432CE1B-9505-4240-A08A-9A6EFA482C87}"/>
    <cellStyle name="20% - Accent3 60" xfId="845" xr:uid="{482942E3-9708-440F-9D62-86B94647C340}"/>
    <cellStyle name="20% - Accent3 60 2" xfId="846" xr:uid="{693FD81D-99DB-471D-BE0C-43B3B62CEE64}"/>
    <cellStyle name="20% - Accent3 60 2 2" xfId="847" xr:uid="{7BE8C431-DEB8-4C12-8395-E98D9B0B794B}"/>
    <cellStyle name="20% - Accent3 60 2 2 2" xfId="848" xr:uid="{7AB95FCA-FEC3-4BCA-B252-5584A3B8876C}"/>
    <cellStyle name="20% - Accent3 60 2 3" xfId="849" xr:uid="{815DD667-CC85-434D-B4E5-5518CAF9AD59}"/>
    <cellStyle name="20% - Accent3 60 3" xfId="850" xr:uid="{99DB6CC2-4179-4805-A8E8-73FF2225713F}"/>
    <cellStyle name="20% - Accent3 61" xfId="851" xr:uid="{9C8661D6-FE99-43AE-A49D-604F5A88C0EF}"/>
    <cellStyle name="20% - Accent3 62" xfId="852" xr:uid="{BB243D85-9E03-474A-A9A5-69C9B86D2574}"/>
    <cellStyle name="20% - Accent3 63" xfId="853" xr:uid="{5A5410C5-BCA2-4611-BC64-D401D53ED577}"/>
    <cellStyle name="20% - Accent3 64" xfId="854" xr:uid="{07F23AF3-F4FE-4A49-86DC-F404148E0409}"/>
    <cellStyle name="20% - Accent3 65" xfId="855" xr:uid="{9800376D-1BFD-45A8-AF50-0FE897AB7342}"/>
    <cellStyle name="20% - Accent3 7" xfId="856" xr:uid="{BD72B4AC-2D6A-4536-B437-EE675D66BB5B}"/>
    <cellStyle name="20% - Accent3 8" xfId="857" xr:uid="{49D685AA-CFD3-4106-8231-28E5C6FFE18A}"/>
    <cellStyle name="20% - Accent3 9" xfId="858" xr:uid="{F033F476-2F80-4310-B069-F01065F7179A}"/>
    <cellStyle name="20% - Accent4 10" xfId="859" xr:uid="{CF21A2F8-57BB-4444-8FF9-F1464922419A}"/>
    <cellStyle name="20% - Accent4 11" xfId="860" xr:uid="{01FF0F38-19B1-46F1-8ADF-ADEBDC1075AD}"/>
    <cellStyle name="20% - Accent4 12" xfId="861" xr:uid="{7F8E05D2-17FD-4418-AD05-65345FB900B6}"/>
    <cellStyle name="20% - Accent4 13" xfId="862" xr:uid="{8A3DA420-836C-44E3-9E89-2761BE61B5AB}"/>
    <cellStyle name="20% - Accent4 14" xfId="863" xr:uid="{85AF5C21-28A7-4AEC-AB5F-354A27DB0221}"/>
    <cellStyle name="20% - Accent4 15" xfId="864" xr:uid="{B8B02B1C-E198-461D-AC51-8DCC693D0D11}"/>
    <cellStyle name="20% - Accent4 16" xfId="865" xr:uid="{B1F5AC2D-9B5D-489F-B0E0-D1B9370FC249}"/>
    <cellStyle name="20% - Accent4 17" xfId="866" xr:uid="{EBACDEAB-B7BA-4B88-B916-93DA18FF75FC}"/>
    <cellStyle name="20% - Accent4 18" xfId="867" xr:uid="{89EAB021-7105-4DDE-9AEC-2EE5160D12A0}"/>
    <cellStyle name="20% - Accent4 19" xfId="868" xr:uid="{4F09519E-8D45-44FB-AE27-D546BDA28CC9}"/>
    <cellStyle name="20% - Accent4 2" xfId="19" xr:uid="{7F25F879-D729-44EF-B687-A61D67DE4110}"/>
    <cellStyle name="20% - Accent4 2 2" xfId="870" xr:uid="{A6F87A81-DE8B-40B6-B68C-3E3D9FAC4120}"/>
    <cellStyle name="20% - Accent4 2 2 2" xfId="871" xr:uid="{AA04EBBD-1E09-4870-BEB5-7B85D3D96D8A}"/>
    <cellStyle name="20% - Accent4 2 2 3" xfId="872" xr:uid="{E55C78A8-827B-43EF-AD3C-D2CBE8045665}"/>
    <cellStyle name="20% - Accent4 2 3" xfId="873" xr:uid="{6F08F556-9EE9-4A38-A716-7041838DD44D}"/>
    <cellStyle name="20% - Accent4 2 3 2" xfId="874" xr:uid="{CE54723A-198B-4303-AC71-55068ABDB6BA}"/>
    <cellStyle name="20% - Accent4 2 3 2 2" xfId="875" xr:uid="{DA6EF543-3475-4CCE-919D-34EEB4190522}"/>
    <cellStyle name="20% - Accent4 2 3 3" xfId="876" xr:uid="{B97AEDF2-70B0-492E-8B67-CEBDFCCC5E63}"/>
    <cellStyle name="20% - Accent4 2 3 4" xfId="877" xr:uid="{78F76622-7099-414D-98C2-6B8216033964}"/>
    <cellStyle name="20% - Accent4 2 4" xfId="878" xr:uid="{D8F5F32E-4750-4F5C-8566-79FEAB79ECFA}"/>
    <cellStyle name="20% - Accent4 2 5" xfId="879" xr:uid="{EB62D27C-7810-45F2-BCCC-AA10FE5EF400}"/>
    <cellStyle name="20% - Accent4 2 6" xfId="869" xr:uid="{6581C9A9-BAE5-40D5-804F-B3E210E434AC}"/>
    <cellStyle name="20% - Accent4 20" xfId="880" xr:uid="{CCDB1F40-AA7B-4ADA-8158-081166693B9E}"/>
    <cellStyle name="20% - Accent4 21" xfId="881" xr:uid="{F07F9039-B894-454F-AE6D-87DABA3B830B}"/>
    <cellStyle name="20% - Accent4 22" xfId="882" xr:uid="{11A70851-9E13-4C26-AEB8-2E6F67F5DBA5}"/>
    <cellStyle name="20% - Accent4 23" xfId="883" xr:uid="{DEEED9D4-C232-4394-A960-B9E1194F71F3}"/>
    <cellStyle name="20% - Accent4 24" xfId="884" xr:uid="{183C4CA8-6045-475E-AF7D-FBCDAE8A6957}"/>
    <cellStyle name="20% - Accent4 25" xfId="885" xr:uid="{4546AF5B-6E16-48E4-A7E3-F4BDFA1B059B}"/>
    <cellStyle name="20% - Accent4 26" xfId="886" xr:uid="{B5F6CFD3-AD6D-491F-A394-F54E59FF1B89}"/>
    <cellStyle name="20% - Accent4 27" xfId="887" xr:uid="{CC7D2166-FA30-4D5C-98E9-26C6A68FB93A}"/>
    <cellStyle name="20% - Accent4 28" xfId="888" xr:uid="{E79832B3-DA4F-4A97-9AAD-92A6F481BFC2}"/>
    <cellStyle name="20% - Accent4 29" xfId="889" xr:uid="{44C4CE59-B7B4-43D1-AED7-3FBB7A09C3EC}"/>
    <cellStyle name="20% - Accent4 3" xfId="890" xr:uid="{04ACDAE3-9759-4F5D-B760-D6556A78B260}"/>
    <cellStyle name="20% - Accent4 3 2" xfId="891" xr:uid="{E8A1FF31-539A-4AF7-A8A8-288917C5C78F}"/>
    <cellStyle name="20% - Accent4 3 3" xfId="892" xr:uid="{B5A6AFC3-D12D-4A11-9B7E-20AE64A721E5}"/>
    <cellStyle name="20% - Accent4 30" xfId="893" xr:uid="{0B65FF07-27DA-4C67-AA6C-D46C2A699149}"/>
    <cellStyle name="20% - Accent4 31" xfId="894" xr:uid="{F34B63F3-9842-4F36-8A5D-F3FA1290CEFD}"/>
    <cellStyle name="20% - Accent4 32" xfId="895" xr:uid="{D6AAE2B2-3097-4C44-A21A-3194222817B6}"/>
    <cellStyle name="20% - Accent4 33" xfId="896" xr:uid="{AF432BB9-D039-4C52-8A64-C713A273AE02}"/>
    <cellStyle name="20% - Accent4 34" xfId="897" xr:uid="{3ABC5A02-A2AD-488D-AEE2-909A2723250B}"/>
    <cellStyle name="20% - Accent4 35" xfId="898" xr:uid="{992040CA-A10F-4AF7-A70C-8A36FAEB343A}"/>
    <cellStyle name="20% - Accent4 35 2" xfId="899" xr:uid="{0E4520E8-C802-43E5-A9BD-16E481755207}"/>
    <cellStyle name="20% - Accent4 35 2 2" xfId="900" xr:uid="{DAC66369-2CE8-4081-B211-A17D9AA14034}"/>
    <cellStyle name="20% - Accent4 35 2 2 2" xfId="901" xr:uid="{8A97E0A2-D411-4E6E-A482-4C8A7C16A205}"/>
    <cellStyle name="20% - Accent4 35 2 2 3" xfId="902" xr:uid="{DA36B784-E057-4850-9AEB-C35B59BF6E37}"/>
    <cellStyle name="20% - Accent4 35 3" xfId="903" xr:uid="{21708AB5-AAE5-4446-8159-A7BE8E603186}"/>
    <cellStyle name="20% - Accent4 35 4" xfId="904" xr:uid="{EABA4BAA-0955-402A-99D3-EE2A234D1B19}"/>
    <cellStyle name="20% - Accent4 35 5" xfId="905" xr:uid="{26A56964-742E-4B3A-A829-18D25B41D8B6}"/>
    <cellStyle name="20% - Accent4 36" xfId="906" xr:uid="{F80A597B-C508-43A8-B723-8347FBFDCC88}"/>
    <cellStyle name="20% - Accent4 37" xfId="907" xr:uid="{7E6DB3B8-BFE9-4A6B-B717-8FF0DA383E74}"/>
    <cellStyle name="20% - Accent4 38" xfId="908" xr:uid="{86FFCE3D-A4EF-4440-90AF-51C26A43B465}"/>
    <cellStyle name="20% - Accent4 39" xfId="909" xr:uid="{018955FC-FD07-4047-B138-46C8ED5D2E16}"/>
    <cellStyle name="20% - Accent4 4" xfId="910" xr:uid="{DBAB0FE0-D475-499D-AF33-2662464D258E}"/>
    <cellStyle name="20% - Accent4 4 2" xfId="911" xr:uid="{A120F2B9-9B05-456C-9692-4F41CF7A3641}"/>
    <cellStyle name="20% - Accent4 40" xfId="912" xr:uid="{31F3D4B8-FF9D-44D4-97E7-7EF9A2392FC2}"/>
    <cellStyle name="20% - Accent4 41" xfId="913" xr:uid="{8E088110-FC4A-429A-8BC6-98AE0522A5BE}"/>
    <cellStyle name="20% - Accent4 42" xfId="914" xr:uid="{27F5DD25-852B-4E0B-B812-B386FD1920A1}"/>
    <cellStyle name="20% - Accent4 43" xfId="915" xr:uid="{FE0D3398-5E4A-4494-B8B7-E942E8152AFA}"/>
    <cellStyle name="20% - Accent4 44" xfId="916" xr:uid="{8FFF32DD-1921-49D2-A255-BB21B048C690}"/>
    <cellStyle name="20% - Accent4 45" xfId="917" xr:uid="{42E80821-289C-47B3-BAE7-6BE3493C5BE6}"/>
    <cellStyle name="20% - Accent4 46" xfId="918" xr:uid="{6545CBB4-2F9C-4AD3-B288-050384400A47}"/>
    <cellStyle name="20% - Accent4 47" xfId="919" xr:uid="{86C496A7-9559-43FD-80DC-4784F2A0C269}"/>
    <cellStyle name="20% - Accent4 48" xfId="920" xr:uid="{08B76BF9-0129-4986-800B-FAB2963E4F4E}"/>
    <cellStyle name="20% - Accent4 49" xfId="921" xr:uid="{F2F7279E-96FD-430C-A07B-45FAA999A35C}"/>
    <cellStyle name="20% - Accent4 5" xfId="922" xr:uid="{FB9D59C5-44A7-4DDB-953F-0BEE937E4CF4}"/>
    <cellStyle name="20% - Accent4 50" xfId="923" xr:uid="{0F71E415-1110-4F27-8D19-B0DD5374A30F}"/>
    <cellStyle name="20% - Accent4 51" xfId="924" xr:uid="{75F6BFFF-8E1A-4BE6-88F3-C590DD6C7EBB}"/>
    <cellStyle name="20% - Accent4 52" xfId="925" xr:uid="{7C133DBB-CB9E-4E7F-988A-3DD17EA54F71}"/>
    <cellStyle name="20% - Accent4 53" xfId="926" xr:uid="{152E046B-FFF8-4EF2-8587-B867B91F8334}"/>
    <cellStyle name="20% - Accent4 54" xfId="927" xr:uid="{CE769B28-22CB-4207-954E-B47B0418847C}"/>
    <cellStyle name="20% - Accent4 55" xfId="928" xr:uid="{260987C2-3A7B-45D3-AAC0-1C1F30A0D7B8}"/>
    <cellStyle name="20% - Accent4 56" xfId="929" xr:uid="{D36C45CD-13C0-47E3-AE7F-6675F54167F8}"/>
    <cellStyle name="20% - Accent4 57" xfId="930" xr:uid="{C7C07787-3019-4DDE-85D4-B5728169BC8E}"/>
    <cellStyle name="20% - Accent4 58" xfId="931" xr:uid="{E6E3F0E4-BB95-4DE3-A357-EDC3E8462B23}"/>
    <cellStyle name="20% - Accent4 59" xfId="932" xr:uid="{2128AE6E-09CD-4A51-AF55-5511E722F49F}"/>
    <cellStyle name="20% - Accent4 6" xfId="933" xr:uid="{D79A89F7-BB60-445F-9E6D-28905799F7FF}"/>
    <cellStyle name="20% - Accent4 60" xfId="934" xr:uid="{663FF0FF-17ED-420D-A22B-4A3E293D09B9}"/>
    <cellStyle name="20% - Accent4 60 2" xfId="935" xr:uid="{AD9B2909-79DD-4274-9818-2AFA9291028C}"/>
    <cellStyle name="20% - Accent4 60 2 2" xfId="936" xr:uid="{52E87419-D25D-426C-99AE-E2AF6603B531}"/>
    <cellStyle name="20% - Accent4 60 2 2 2" xfId="937" xr:uid="{CDC951A9-67C7-4D59-9C60-68FCF5AA517F}"/>
    <cellStyle name="20% - Accent4 60 2 3" xfId="938" xr:uid="{17BC1A65-B116-4BBB-945E-D9983A3CC14F}"/>
    <cellStyle name="20% - Accent4 60 3" xfId="939" xr:uid="{2A961ED8-C845-44C9-8559-8FEE6AB82E24}"/>
    <cellStyle name="20% - Accent4 61" xfId="940" xr:uid="{D8C88F88-5E3F-48D3-BF40-41BC514EA15F}"/>
    <cellStyle name="20% - Accent4 62" xfId="941" xr:uid="{9B6EA592-8415-4E21-9960-ADD1291EA786}"/>
    <cellStyle name="20% - Accent4 63" xfId="942" xr:uid="{464613DD-E1D7-45D9-BFFA-F4ACD09A111F}"/>
    <cellStyle name="20% - Accent4 64" xfId="943" xr:uid="{CDAE4AE2-E772-44D3-9361-7E0AC7DE979E}"/>
    <cellStyle name="20% - Accent4 65" xfId="944" xr:uid="{874BFAA8-F917-4E03-99BD-23D5F5088F7C}"/>
    <cellStyle name="20% - Accent4 7" xfId="945" xr:uid="{F49653F4-06F8-457B-809A-C6EFE3A12BA9}"/>
    <cellStyle name="20% - Accent4 8" xfId="946" xr:uid="{B9B219B9-3A07-438B-AD1D-C5D4CF01722E}"/>
    <cellStyle name="20% - Accent4 9" xfId="947" xr:uid="{57C85041-A8BC-4CC5-823B-6B7EBDFB409E}"/>
    <cellStyle name="20% - Accent5 10" xfId="948" xr:uid="{110CC08B-C777-4E6D-B975-62B73EC57CE1}"/>
    <cellStyle name="20% - Accent5 11" xfId="949" xr:uid="{D4403DD5-820F-4593-8CD6-086FED049A69}"/>
    <cellStyle name="20% - Accent5 12" xfId="950" xr:uid="{0024AB76-5FA3-46BB-8719-D0DED9782CCF}"/>
    <cellStyle name="20% - Accent5 13" xfId="951" xr:uid="{A2D75268-0AAB-4093-9202-A306AD53E828}"/>
    <cellStyle name="20% - Accent5 14" xfId="952" xr:uid="{4F6B671F-F3F9-4CCF-BCCA-4B9B9049B391}"/>
    <cellStyle name="20% - Accent5 15" xfId="953" xr:uid="{547EA869-7186-4068-9882-D7E6A5CE80E0}"/>
    <cellStyle name="20% - Accent5 16" xfId="954" xr:uid="{82014F08-A231-487D-A4FA-8C241175997F}"/>
    <cellStyle name="20% - Accent5 17" xfId="955" xr:uid="{DB51C7A8-6DBB-40B5-AF4A-112AA883CC2E}"/>
    <cellStyle name="20% - Accent5 18" xfId="956" xr:uid="{499C8CF9-DE35-4A8B-9946-DA0E83A45656}"/>
    <cellStyle name="20% - Accent5 19" xfId="957" xr:uid="{71112BB3-DD7B-43BC-80F0-9B4AFD6B3A15}"/>
    <cellStyle name="20% - Accent5 2" xfId="20" xr:uid="{C3F192BF-9C45-41DA-9314-159D0B75FC05}"/>
    <cellStyle name="20% - Accent5 2 2" xfId="959" xr:uid="{A0294161-498D-45AB-B20E-67DC6D680D54}"/>
    <cellStyle name="20% - Accent5 2 2 2" xfId="960" xr:uid="{33FA9928-D3BE-4364-8026-BE3F0430C55A}"/>
    <cellStyle name="20% - Accent5 2 2 3" xfId="961" xr:uid="{54E76989-4849-4814-AC5B-D9F7E66D5D94}"/>
    <cellStyle name="20% - Accent5 2 3" xfId="962" xr:uid="{D44FCB1C-648C-4EC9-A601-34F28C84EDE3}"/>
    <cellStyle name="20% - Accent5 2 3 2" xfId="963" xr:uid="{F1518EB1-B071-4E40-BC2E-BDCC82798166}"/>
    <cellStyle name="20% - Accent5 2 3 2 2" xfId="964" xr:uid="{E08A9F79-D7A9-4FE1-ACA9-5271D5ED3027}"/>
    <cellStyle name="20% - Accent5 2 3 3" xfId="965" xr:uid="{3DF6E8B5-0DF0-43EB-830B-AA344D36FDD0}"/>
    <cellStyle name="20% - Accent5 2 3 4" xfId="966" xr:uid="{D748987D-6903-4F24-BFB3-296D64D8D8A9}"/>
    <cellStyle name="20% - Accent5 2 4" xfId="967" xr:uid="{650205B3-2F75-4F77-B68B-676CE6857664}"/>
    <cellStyle name="20% - Accent5 2 5" xfId="968" xr:uid="{8A2B1102-033E-4294-B376-569751D9D960}"/>
    <cellStyle name="20% - Accent5 2 6" xfId="958" xr:uid="{018BE89C-4B5D-4876-A6D7-A575919DF72E}"/>
    <cellStyle name="20% - Accent5 20" xfId="969" xr:uid="{817A609F-9669-490F-BCEC-ACD8674DBAB1}"/>
    <cellStyle name="20% - Accent5 21" xfId="970" xr:uid="{2831FF2F-C076-4CE2-BB19-BB233A3B2AD4}"/>
    <cellStyle name="20% - Accent5 22" xfId="971" xr:uid="{C648445D-BD7E-4CFD-84D3-6A3A59CB13B3}"/>
    <cellStyle name="20% - Accent5 23" xfId="972" xr:uid="{774BB5C5-5F75-4243-BF86-3AC772768199}"/>
    <cellStyle name="20% - Accent5 24" xfId="973" xr:uid="{7DAF8331-F5F5-4527-A047-3D997BF265F6}"/>
    <cellStyle name="20% - Accent5 25" xfId="974" xr:uid="{85B3B5A6-575B-4611-9BA6-A3A990EA0F9D}"/>
    <cellStyle name="20% - Accent5 26" xfId="975" xr:uid="{DD7D8CD9-A44D-4842-8ED0-22A59EA6471E}"/>
    <cellStyle name="20% - Accent5 27" xfId="976" xr:uid="{BBE1195D-457B-4027-A752-AD38556EDEB6}"/>
    <cellStyle name="20% - Accent5 28" xfId="977" xr:uid="{613FDF26-9287-4C4C-A2B4-C8D216D4DB10}"/>
    <cellStyle name="20% - Accent5 29" xfId="978" xr:uid="{5096B5E2-6E3C-46FD-A7DC-681BCBD8222D}"/>
    <cellStyle name="20% - Accent5 3" xfId="979" xr:uid="{FBA7F162-8100-4BD5-B4A9-DC6FEE3F1AFF}"/>
    <cellStyle name="20% - Accent5 3 2" xfId="980" xr:uid="{F88D386C-B6FE-439E-8F6D-D11F58499095}"/>
    <cellStyle name="20% - Accent5 30" xfId="981" xr:uid="{7A3D8243-8437-4B28-AFEB-93E98D23497F}"/>
    <cellStyle name="20% - Accent5 31" xfId="982" xr:uid="{2D4AC5CB-E31C-460A-AB03-F823ECC34E2B}"/>
    <cellStyle name="20% - Accent5 32" xfId="983" xr:uid="{62D0F58B-C0F2-40AA-A3D9-E2106333080E}"/>
    <cellStyle name="20% - Accent5 33" xfId="984" xr:uid="{F4DE1A4A-5DEA-44A1-82FD-34D0EEE8E2FC}"/>
    <cellStyle name="20% - Accent5 34" xfId="985" xr:uid="{195991E2-F2FB-4E63-AE6B-C73D1B9EDCA5}"/>
    <cellStyle name="20% - Accent5 35" xfId="986" xr:uid="{38116311-3115-4F88-9800-CC4F8EFBC3A5}"/>
    <cellStyle name="20% - Accent5 35 2" xfId="987" xr:uid="{6ED1CACD-7233-450C-A67B-2FE2B2EA54EB}"/>
    <cellStyle name="20% - Accent5 35 2 2" xfId="988" xr:uid="{920B0C05-A934-40ED-8C83-E552ACD4D0F3}"/>
    <cellStyle name="20% - Accent5 35 2 2 2" xfId="989" xr:uid="{040DB202-B898-4FD6-AB11-75135E36A978}"/>
    <cellStyle name="20% - Accent5 35 2 2 3" xfId="990" xr:uid="{402363FE-266E-4C1B-B9BA-F81A5A7F1FB0}"/>
    <cellStyle name="20% - Accent5 35 3" xfId="991" xr:uid="{42419B5D-C437-4ACE-8AC5-83740935EC6B}"/>
    <cellStyle name="20% - Accent5 35 4" xfId="992" xr:uid="{F9C0996D-FD46-4197-AE18-106C3AB01D3B}"/>
    <cellStyle name="20% - Accent5 35 5" xfId="993" xr:uid="{D961C6DE-391A-41CD-A4B0-448995CB51DD}"/>
    <cellStyle name="20% - Accent5 36" xfId="994" xr:uid="{777A3FA4-53DF-4069-8EBF-F68188603E82}"/>
    <cellStyle name="20% - Accent5 37" xfId="995" xr:uid="{A78A64C7-5779-4360-AC9C-6418DA87CBF6}"/>
    <cellStyle name="20% - Accent5 38" xfId="996" xr:uid="{35E4B02A-FEC4-463F-BB1A-AF0024912BDE}"/>
    <cellStyle name="20% - Accent5 39" xfId="997" xr:uid="{B31F9EE5-69A6-41A6-B86D-240C42E60B12}"/>
    <cellStyle name="20% - Accent5 4" xfId="998" xr:uid="{3B5E9573-D604-47B2-A4FA-021AA265D7C0}"/>
    <cellStyle name="20% - Accent5 4 2" xfId="999" xr:uid="{E2A1A438-61B2-40A0-8D6E-CBFDDB9A0B4B}"/>
    <cellStyle name="20% - Accent5 40" xfId="1000" xr:uid="{EC91864C-3CDE-48A7-AEC4-DF5C5BCFB2FF}"/>
    <cellStyle name="20% - Accent5 41" xfId="1001" xr:uid="{5FBDFF67-F192-4A97-AF2E-B02A994A3123}"/>
    <cellStyle name="20% - Accent5 42" xfId="1002" xr:uid="{873E0EDF-9469-42A9-8CEF-3EA954DBE110}"/>
    <cellStyle name="20% - Accent5 43" xfId="1003" xr:uid="{564F7394-06D3-4BEC-8C08-59659985448E}"/>
    <cellStyle name="20% - Accent5 44" xfId="1004" xr:uid="{E18898B3-54CE-49FC-805B-1EF7334A23EA}"/>
    <cellStyle name="20% - Accent5 45" xfId="1005" xr:uid="{BC64AC77-3695-4372-B694-FF6D45A55434}"/>
    <cellStyle name="20% - Accent5 46" xfId="1006" xr:uid="{3720656B-E5B0-4007-BD62-6298D5CE699A}"/>
    <cellStyle name="20% - Accent5 47" xfId="1007" xr:uid="{706B255C-58EA-4281-A80E-8A76579C5564}"/>
    <cellStyle name="20% - Accent5 48" xfId="1008" xr:uid="{AF12F6C1-867D-4298-AFAA-CF80262C379E}"/>
    <cellStyle name="20% - Accent5 49" xfId="1009" xr:uid="{1FA8A107-7753-492F-9E5E-D0BD1ECC948C}"/>
    <cellStyle name="20% - Accent5 5" xfId="1010" xr:uid="{0A8B5CA9-CC88-4E4F-B6CA-AFD1DED02789}"/>
    <cellStyle name="20% - Accent5 50" xfId="1011" xr:uid="{A3510E12-CF43-4B89-BE51-996F386D4C10}"/>
    <cellStyle name="20% - Accent5 51" xfId="1012" xr:uid="{55E48647-F1E2-4DB0-B62B-51C4ADF5BCE9}"/>
    <cellStyle name="20% - Accent5 52" xfId="1013" xr:uid="{84316F93-4D5D-4CEB-BDDC-A59B960B98D1}"/>
    <cellStyle name="20% - Accent5 53" xfId="1014" xr:uid="{61F7A5AE-3DA4-4689-9F8A-242CA184449B}"/>
    <cellStyle name="20% - Accent5 54" xfId="1015" xr:uid="{B1656AF1-0595-40C4-B401-8F5A5C0727EC}"/>
    <cellStyle name="20% - Accent5 55" xfId="1016" xr:uid="{25ECE149-1736-4555-AA4C-1EEDD38B7213}"/>
    <cellStyle name="20% - Accent5 56" xfId="1017" xr:uid="{4A62CC58-5B5A-4B7D-88BC-486C383985FE}"/>
    <cellStyle name="20% - Accent5 57" xfId="1018" xr:uid="{D51ABA3D-137F-4349-883E-AC7185840559}"/>
    <cellStyle name="20% - Accent5 58" xfId="1019" xr:uid="{BFE8E864-A264-4DA5-A545-936F73DADD55}"/>
    <cellStyle name="20% - Accent5 59" xfId="1020" xr:uid="{4B343AFA-B699-4684-A5B9-59A0CCA88682}"/>
    <cellStyle name="20% - Accent5 6" xfId="1021" xr:uid="{276358C2-5D09-4DDF-8653-9633BE05D008}"/>
    <cellStyle name="20% - Accent5 60" xfId="1022" xr:uid="{D75069B0-1061-41F9-B6D1-E0437D020F3F}"/>
    <cellStyle name="20% - Accent5 60 2" xfId="1023" xr:uid="{D4FFD03E-8E1C-49D8-8B94-51B6328A3FF4}"/>
    <cellStyle name="20% - Accent5 60 2 2" xfId="1024" xr:uid="{C1437F9A-73E8-4AC8-B0CA-03D29A689BF8}"/>
    <cellStyle name="20% - Accent5 60 2 3" xfId="1025" xr:uid="{C931DE85-F978-4E79-B451-AD6A25D14993}"/>
    <cellStyle name="20% - Accent5 60 3" xfId="1026" xr:uid="{A153ABD2-E3D3-4360-BE22-FA35A72B76E2}"/>
    <cellStyle name="20% - Accent5 61" xfId="1027" xr:uid="{21EA2902-F0A9-4B30-BD36-4B9E3D922F34}"/>
    <cellStyle name="20% - Accent5 62" xfId="1028" xr:uid="{A4762F83-A519-4F0F-8B47-1110088CB7C8}"/>
    <cellStyle name="20% - Accent5 63" xfId="1029" xr:uid="{C125B346-508B-49F7-80F6-2007CB472705}"/>
    <cellStyle name="20% - Accent5 64" xfId="1030" xr:uid="{A7BB7998-506D-40E4-B553-D8E39D9078FF}"/>
    <cellStyle name="20% - Accent5 65" xfId="1031" xr:uid="{816C1C8E-8411-4158-A113-3AE5A94B9A19}"/>
    <cellStyle name="20% - Accent5 7" xfId="1032" xr:uid="{444518B0-0103-4F8A-B273-04EABB8829AC}"/>
    <cellStyle name="20% - Accent5 8" xfId="1033" xr:uid="{4F0BAA5E-2F17-418B-80A3-DD608616B89C}"/>
    <cellStyle name="20% - Accent5 9" xfId="1034" xr:uid="{4782033C-820D-43EB-92B0-F075E56D36EB}"/>
    <cellStyle name="20% - Accent6 10" xfId="1035" xr:uid="{C8865849-B218-4B8E-B1B8-8CAAEF0FC793}"/>
    <cellStyle name="20% - Accent6 11" xfId="1036" xr:uid="{3BB156FA-BA56-4933-9474-92B2233BE306}"/>
    <cellStyle name="20% - Accent6 12" xfId="1037" xr:uid="{E566B750-075F-4A83-937F-2AA432103BDD}"/>
    <cellStyle name="20% - Accent6 13" xfId="1038" xr:uid="{565F1829-993B-4386-BBD7-7F4ECC01B0EE}"/>
    <cellStyle name="20% - Accent6 14" xfId="1039" xr:uid="{BA568B98-3DD5-45AF-A508-B901565841F6}"/>
    <cellStyle name="20% - Accent6 15" xfId="1040" xr:uid="{31A94232-364C-481B-86EF-60F5347C42EC}"/>
    <cellStyle name="20% - Accent6 16" xfId="1041" xr:uid="{3FA6A21A-1C64-4AF3-8065-5F73D58FC1BB}"/>
    <cellStyle name="20% - Accent6 17" xfId="1042" xr:uid="{AAF2903B-2D5D-48AF-B0D2-169BC2B0B078}"/>
    <cellStyle name="20% - Accent6 18" xfId="1043" xr:uid="{9C1E97DF-01F5-46C9-8147-8AC2CBE69DDD}"/>
    <cellStyle name="20% - Accent6 19" xfId="1044" xr:uid="{2F20B892-DA07-4BC6-937B-3C002CE28417}"/>
    <cellStyle name="20% - Accent6 2" xfId="21" xr:uid="{EDB09E7D-870A-48AF-9C2F-40E24CC8E440}"/>
    <cellStyle name="20% - Accent6 2 2" xfId="1046" xr:uid="{67ACEC0F-D1AA-4AFC-9854-28DE0AC04F1C}"/>
    <cellStyle name="20% - Accent6 2 2 2" xfId="1047" xr:uid="{D4AD0A20-C8F6-4A4F-94D0-12B518F23546}"/>
    <cellStyle name="20% - Accent6 2 2 3" xfId="1048" xr:uid="{17A2EEF2-713A-4881-AE92-AB3D4BD9F940}"/>
    <cellStyle name="20% - Accent6 2 3" xfId="1049" xr:uid="{3860E0B3-D0DD-4BF0-9610-EBE6D1CCC042}"/>
    <cellStyle name="20% - Accent6 2 3 2" xfId="1050" xr:uid="{E4AE89EC-2749-419B-8621-3F500109D85F}"/>
    <cellStyle name="20% - Accent6 2 3 2 2" xfId="1051" xr:uid="{DB3C23E6-5BC9-4356-8E0A-1ABFFA80F81A}"/>
    <cellStyle name="20% - Accent6 2 3 3" xfId="1052" xr:uid="{65D46526-E638-43EA-AE15-9F1C9BE61A8F}"/>
    <cellStyle name="20% - Accent6 2 3 4" xfId="1053" xr:uid="{F7A18FBC-8AFD-47D7-8ECE-935A32938F22}"/>
    <cellStyle name="20% - Accent6 2 4" xfId="1054" xr:uid="{CB6B7C4D-2D13-408F-A916-0DEBFB8A4E70}"/>
    <cellStyle name="20% - Accent6 2 5" xfId="1055" xr:uid="{17982951-8C47-4F36-A02C-116C8C2EF0FA}"/>
    <cellStyle name="20% - Accent6 2 6" xfId="1045" xr:uid="{2D91D83C-1A20-46FC-A7EA-94AE7DD20729}"/>
    <cellStyle name="20% - Accent6 20" xfId="1056" xr:uid="{68F034DB-592B-43AA-8709-61C996EDF976}"/>
    <cellStyle name="20% - Accent6 21" xfId="1057" xr:uid="{B1483226-BA88-4FA2-875C-6C188D3D795C}"/>
    <cellStyle name="20% - Accent6 22" xfId="1058" xr:uid="{EA81318A-B835-4DB7-968A-EB1C1899ECBF}"/>
    <cellStyle name="20% - Accent6 23" xfId="1059" xr:uid="{76FCC50B-1566-4950-8F34-91B337107D02}"/>
    <cellStyle name="20% - Accent6 24" xfId="1060" xr:uid="{5A93AFE8-CE6D-4426-AE7F-16FBB84977D5}"/>
    <cellStyle name="20% - Accent6 25" xfId="1061" xr:uid="{AA7F1A4A-E447-4B0E-8AA1-3F1C637B0174}"/>
    <cellStyle name="20% - Accent6 26" xfId="1062" xr:uid="{C678716B-57AC-4238-9AA2-1629ACAE26F0}"/>
    <cellStyle name="20% - Accent6 27" xfId="1063" xr:uid="{A87EF332-9EB6-43BE-8C94-4206CE5D18E4}"/>
    <cellStyle name="20% - Accent6 28" xfId="1064" xr:uid="{06FF4842-109E-42A2-BC37-59403D98AA21}"/>
    <cellStyle name="20% - Accent6 29" xfId="1065" xr:uid="{1596AA45-649D-4A46-980A-D59F8F6DB30F}"/>
    <cellStyle name="20% - Accent6 3" xfId="1066" xr:uid="{73B2DA28-D4C8-4FF9-B9D8-3FD8D1B3FAB0}"/>
    <cellStyle name="20% - Accent6 3 2" xfId="1067" xr:uid="{F58C34F2-A5C2-4F9D-9E3B-98CE2D092841}"/>
    <cellStyle name="20% - Accent6 3 3" xfId="1068" xr:uid="{4D00F421-DD10-4E82-AB05-B6A2DBCA2A0C}"/>
    <cellStyle name="20% - Accent6 30" xfId="1069" xr:uid="{BDC0DF85-94B8-4494-A618-17FCACD34C08}"/>
    <cellStyle name="20% - Accent6 31" xfId="1070" xr:uid="{E4D1660E-8771-49A3-9730-57677390BAF0}"/>
    <cellStyle name="20% - Accent6 32" xfId="1071" xr:uid="{8D8EF871-B433-4C2E-B9A1-D0F143490027}"/>
    <cellStyle name="20% - Accent6 33" xfId="1072" xr:uid="{3AB22659-8EDA-412A-9969-4C09CD16D589}"/>
    <cellStyle name="20% - Accent6 34" xfId="1073" xr:uid="{2C36B13C-4A00-4BB7-9A06-BFBE89DD2315}"/>
    <cellStyle name="20% - Accent6 35" xfId="1074" xr:uid="{04DFBE17-6E92-4A48-AC9E-56132F21DE52}"/>
    <cellStyle name="20% - Accent6 35 2" xfId="1075" xr:uid="{1E162666-9495-4568-962B-323B3D2C8198}"/>
    <cellStyle name="20% - Accent6 35 2 2" xfId="1076" xr:uid="{69100455-DAF7-45BA-9996-8C94C988BB17}"/>
    <cellStyle name="20% - Accent6 35 2 2 2" xfId="1077" xr:uid="{88DFD8EF-103B-4BA0-9217-C8690DA75C12}"/>
    <cellStyle name="20% - Accent6 35 2 2 3" xfId="1078" xr:uid="{E4E31819-7E8A-4EC2-9C2C-654B9C9069A2}"/>
    <cellStyle name="20% - Accent6 35 3" xfId="1079" xr:uid="{0EA9EEC8-AFA8-44C7-AD61-B896ED774734}"/>
    <cellStyle name="20% - Accent6 35 4" xfId="1080" xr:uid="{08DFCAD2-F754-407F-8220-ACEC6619ED45}"/>
    <cellStyle name="20% - Accent6 35 5" xfId="1081" xr:uid="{128256A1-6644-4DC7-9D8A-B179EE6B6BDB}"/>
    <cellStyle name="20% - Accent6 36" xfId="1082" xr:uid="{C68C577A-59CF-450E-B182-551A8BC18C78}"/>
    <cellStyle name="20% - Accent6 37" xfId="1083" xr:uid="{821892F5-87F6-4CC2-9FC9-7703EFF85B55}"/>
    <cellStyle name="20% - Accent6 38" xfId="1084" xr:uid="{6CE65D5D-D95B-44FC-B82D-8491AFB3282A}"/>
    <cellStyle name="20% - Accent6 39" xfId="1085" xr:uid="{434B008A-C39A-4EE6-A9FC-7A3A1F100B6A}"/>
    <cellStyle name="20% - Accent6 4" xfId="1086" xr:uid="{24AEC404-D9D7-44AE-B5BC-3A6731760CCD}"/>
    <cellStyle name="20% - Accent6 4 2" xfId="1087" xr:uid="{8625A601-C8AF-4D68-8368-1A71AA7361EB}"/>
    <cellStyle name="20% - Accent6 40" xfId="1088" xr:uid="{3A0A3E3E-3841-44BD-ACBE-6C0E31C8C854}"/>
    <cellStyle name="20% - Accent6 41" xfId="1089" xr:uid="{6B5E38EE-90CD-484F-A786-6E58D20AB5EF}"/>
    <cellStyle name="20% - Accent6 42" xfId="1090" xr:uid="{B7AC4649-C5FF-42F3-8616-37C53A564E9C}"/>
    <cellStyle name="20% - Accent6 43" xfId="1091" xr:uid="{7C2598BB-034B-4678-883F-950F76185745}"/>
    <cellStyle name="20% - Accent6 44" xfId="1092" xr:uid="{75C06209-7214-406A-9ACE-8F94661027C8}"/>
    <cellStyle name="20% - Accent6 45" xfId="1093" xr:uid="{D64EBD81-C25E-4C57-A40B-3395D90F0E37}"/>
    <cellStyle name="20% - Accent6 46" xfId="1094" xr:uid="{B4B4083D-B8C0-464D-8C38-2AD347D7D515}"/>
    <cellStyle name="20% - Accent6 47" xfId="1095" xr:uid="{021286C9-CAB6-4878-BFA0-5363631A445D}"/>
    <cellStyle name="20% - Accent6 48" xfId="1096" xr:uid="{9A5D79D7-742A-4E85-B5DD-23A858D6D3EF}"/>
    <cellStyle name="20% - Accent6 49" xfId="1097" xr:uid="{780739E2-ED68-42E4-BF9B-A948423BC8A1}"/>
    <cellStyle name="20% - Accent6 5" xfId="1098" xr:uid="{57590EA0-71A4-422D-89B7-DF90CB8FA952}"/>
    <cellStyle name="20% - Accent6 50" xfId="1099" xr:uid="{D3F66B72-F096-45A1-856A-EF0EC1E70B02}"/>
    <cellStyle name="20% - Accent6 51" xfId="1100" xr:uid="{91BD1AAC-C6A4-4900-AD06-8B5E43088EFE}"/>
    <cellStyle name="20% - Accent6 52" xfId="1101" xr:uid="{F8F585E2-951F-449F-A0DE-9670867942F0}"/>
    <cellStyle name="20% - Accent6 53" xfId="1102" xr:uid="{CC3494D6-CD52-4DBF-9827-AE28BBB7115A}"/>
    <cellStyle name="20% - Accent6 54" xfId="1103" xr:uid="{A5B69E1F-3D85-40F8-B51C-C6F678450C91}"/>
    <cellStyle name="20% - Accent6 55" xfId="1104" xr:uid="{E5A05985-47FA-416A-82F6-C034E91B31B0}"/>
    <cellStyle name="20% - Accent6 56" xfId="1105" xr:uid="{617E88B3-3E26-4690-A26F-91F36AC73A6F}"/>
    <cellStyle name="20% - Accent6 57" xfId="1106" xr:uid="{7F8A93C6-52EF-4EC9-8A84-102C0AA7303A}"/>
    <cellStyle name="20% - Accent6 58" xfId="1107" xr:uid="{D14F3C31-0C98-4A7B-965D-E4BB358F30CA}"/>
    <cellStyle name="20% - Accent6 59" xfId="1108" xr:uid="{C4200DD3-6DC6-4F7D-8E0A-0CEF062BB2C2}"/>
    <cellStyle name="20% - Accent6 6" xfId="1109" xr:uid="{E5C245AF-0BD5-4E45-98C7-DE3456AF3598}"/>
    <cellStyle name="20% - Accent6 60" xfId="1110" xr:uid="{C6FBFB42-79C7-40AA-B822-BF550C694610}"/>
    <cellStyle name="20% - Accent6 60 2" xfId="1111" xr:uid="{E43F552D-FDF6-4EF9-ABA3-4C65E4835788}"/>
    <cellStyle name="20% - Accent6 60 2 2" xfId="1112" xr:uid="{8723249B-6F43-484B-9E11-5FE8122D6F74}"/>
    <cellStyle name="20% - Accent6 60 2 3" xfId="1113" xr:uid="{44A23DDE-F524-46C9-AA1E-0D6898250728}"/>
    <cellStyle name="20% - Accent6 60 3" xfId="1114" xr:uid="{6A81806B-1826-4778-A5DF-2D2538028E15}"/>
    <cellStyle name="20% - Accent6 61" xfId="1115" xr:uid="{E30EEF6E-BB5C-454A-9924-24A54D4E5423}"/>
    <cellStyle name="20% - Accent6 62" xfId="1116" xr:uid="{9542C728-2BFE-427C-9490-EE8446617921}"/>
    <cellStyle name="20% - Accent6 63" xfId="1117" xr:uid="{631856C2-5B8B-40EF-AF22-710FACE492D6}"/>
    <cellStyle name="20% - Accent6 64" xfId="1118" xr:uid="{3F41EB0A-9200-4995-8316-228EFCB048B0}"/>
    <cellStyle name="20% - Accent6 65" xfId="1119" xr:uid="{7F396323-211F-43E4-AD85-16073E9B1B56}"/>
    <cellStyle name="20% - Accent6 7" xfId="1120" xr:uid="{6A61F1B1-8421-4934-B34D-4B743E239F07}"/>
    <cellStyle name="20% - Accent6 8" xfId="1121" xr:uid="{14AD77B8-9F8E-4A25-A6B5-8C5BC795DE1F}"/>
    <cellStyle name="20% - Accent6 9" xfId="1122" xr:uid="{7B6CF119-2D9E-4DBB-8CCF-AC1065A080EE}"/>
    <cellStyle name="20% - Colore 1" xfId="1123" xr:uid="{0F79FBE1-A6CF-4AC0-8545-EE49BF4045AD}"/>
    <cellStyle name="20% - Colore 1 2" xfId="1124" xr:uid="{BBC4EDA6-BC88-445F-8E05-F88BB6FE5857}"/>
    <cellStyle name="20% - Colore 2" xfId="1125" xr:uid="{977377D5-EFC6-481C-A78C-1F1618EBCD01}"/>
    <cellStyle name="20% - Colore 2 2" xfId="1126" xr:uid="{2A2A8172-4D91-40AE-A082-90F79454A8F6}"/>
    <cellStyle name="20% - Colore 3" xfId="1127" xr:uid="{AAE66378-5275-4231-A2F0-47A364BC372F}"/>
    <cellStyle name="20% - Colore 3 2" xfId="1128" xr:uid="{5CB982A0-8B9B-40B7-8E3A-1E87DD4C9A4B}"/>
    <cellStyle name="20% - Colore 4" xfId="1129" xr:uid="{3384635D-3406-4951-A1D2-5955F80CC32E}"/>
    <cellStyle name="20% - Colore 4 2" xfId="1130" xr:uid="{2EB2D812-5D13-4641-9B7A-2C9C9E2F65C6}"/>
    <cellStyle name="20% - Colore 5" xfId="1131" xr:uid="{117647F5-EA95-4AC4-B7E5-EE6CB39819E4}"/>
    <cellStyle name="20% - Colore 5 2" xfId="1132" xr:uid="{BEB47A69-8C39-4C73-BD21-B2D24D6B2DB4}"/>
    <cellStyle name="20% - Colore 6" xfId="1133" xr:uid="{D508374A-1A0E-4FE2-9C71-2F11115B7AF3}"/>
    <cellStyle name="20% - Colore 6 2" xfId="1134" xr:uid="{40D24F2E-962E-4E67-9414-A9E09D3148CE}"/>
    <cellStyle name="3dp" xfId="22" xr:uid="{9B565F0E-EAD1-4E70-B796-52A5A3A35ABB}"/>
    <cellStyle name="3dp 2" xfId="23" xr:uid="{5147579C-4B61-42DF-88BC-91114D563AA7}"/>
    <cellStyle name="3dp 2 2" xfId="1135" xr:uid="{238C099C-D4F1-4A15-805C-BDF4600D8FAC}"/>
    <cellStyle name="3dp 3" xfId="1136" xr:uid="{58EDC60B-18B8-40FC-B75C-F074D0A6E3F7}"/>
    <cellStyle name="40% - Accent1 10" xfId="1137" xr:uid="{1CB64A40-272F-4581-A4E0-64FC035C7C27}"/>
    <cellStyle name="40% - Accent1 11" xfId="1138" xr:uid="{F19E43E0-5F42-4014-8035-15D75D60FF76}"/>
    <cellStyle name="40% - Accent1 12" xfId="1139" xr:uid="{94F63790-11CD-4B36-BA56-758E348139D7}"/>
    <cellStyle name="40% - Accent1 13" xfId="1140" xr:uid="{2B55A0E7-7EAF-4479-8724-D252A9887BC7}"/>
    <cellStyle name="40% - Accent1 14" xfId="1141" xr:uid="{81251C94-C5B9-49E6-8683-3C290617979D}"/>
    <cellStyle name="40% - Accent1 15" xfId="1142" xr:uid="{C3350684-6D32-49FA-93DA-FA3F6B5F9096}"/>
    <cellStyle name="40% - Accent1 16" xfId="1143" xr:uid="{84173AE5-B58A-4964-BE07-19707991195E}"/>
    <cellStyle name="40% - Accent1 17" xfId="1144" xr:uid="{8EA35DA2-3705-4A08-AAC3-C6DC46A5FB45}"/>
    <cellStyle name="40% - Accent1 18" xfId="1145" xr:uid="{7D8734E4-A4C5-48B5-BFE5-268781AFDADC}"/>
    <cellStyle name="40% - Accent1 19" xfId="1146" xr:uid="{51287DE7-F122-4D45-9F2E-964A3DAA9143}"/>
    <cellStyle name="40% - Accent1 2" xfId="24" xr:uid="{4294BD68-BF82-4E0A-AA06-8A4726A4A1F8}"/>
    <cellStyle name="40% - Accent1 2 2" xfId="1148" xr:uid="{385ECCDA-56E8-444D-9B73-1B776755CC3C}"/>
    <cellStyle name="40% - Accent1 2 2 2" xfId="1149" xr:uid="{4B163F42-46BC-443A-8376-253749B73005}"/>
    <cellStyle name="40% - Accent1 2 2 3" xfId="1150" xr:uid="{345117E0-4FB5-4B13-879A-96951728D992}"/>
    <cellStyle name="40% - Accent1 2 3" xfId="1151" xr:uid="{19B5BF3D-8B53-442A-A34B-88D711DB39B8}"/>
    <cellStyle name="40% - Accent1 2 3 2" xfId="1152" xr:uid="{950A5DE8-2C6B-4581-B5E2-CB7D7DCA0F47}"/>
    <cellStyle name="40% - Accent1 2 3 2 2" xfId="1153" xr:uid="{0B70DAB5-85F5-456C-9A85-A9A7BF61614A}"/>
    <cellStyle name="40% - Accent1 2 3 3" xfId="1154" xr:uid="{F2A5E084-1B12-47CB-86D7-E15D83B0DE07}"/>
    <cellStyle name="40% - Accent1 2 3 4" xfId="1155" xr:uid="{11003D3B-12F3-4910-8561-2A610CE8B179}"/>
    <cellStyle name="40% - Accent1 2 4" xfId="1156" xr:uid="{1DE432CB-1DF2-421A-8AA6-1A2CED74A680}"/>
    <cellStyle name="40% - Accent1 2 5" xfId="1157" xr:uid="{726042A4-0912-4344-9F76-51157ECBEFCC}"/>
    <cellStyle name="40% - Accent1 2 6" xfId="1147" xr:uid="{EA4EF192-FE86-4C56-AE4E-DEC669057E39}"/>
    <cellStyle name="40% - Accent1 20" xfId="1158" xr:uid="{9A621F0A-9211-4CAA-8B5C-BFB176C0EFEE}"/>
    <cellStyle name="40% - Accent1 21" xfId="1159" xr:uid="{234C427C-D0D4-4A3B-B8F7-A8821FD5AF1B}"/>
    <cellStyle name="40% - Accent1 22" xfId="1160" xr:uid="{E61AB899-304D-433D-A42C-E4EBB8D227DF}"/>
    <cellStyle name="40% - Accent1 23" xfId="1161" xr:uid="{ADACC927-EC49-4934-96B4-D1DBA9F5C6D4}"/>
    <cellStyle name="40% - Accent1 24" xfId="1162" xr:uid="{8C52C67C-6AD7-43F9-BA43-ADC77B885F6C}"/>
    <cellStyle name="40% - Accent1 25" xfId="1163" xr:uid="{81FD9BB3-CBC5-4722-9D0C-7F404BE5ADD3}"/>
    <cellStyle name="40% - Accent1 26" xfId="1164" xr:uid="{E632A27B-EF2F-4AED-A930-C33490061D5A}"/>
    <cellStyle name="40% - Accent1 27" xfId="1165" xr:uid="{5BBA0E63-06BA-4AA8-AB8D-1EBE772FAC4D}"/>
    <cellStyle name="40% - Accent1 28" xfId="1166" xr:uid="{F37821B2-82C1-4250-B953-C8206EBF80A0}"/>
    <cellStyle name="40% - Accent1 29" xfId="1167" xr:uid="{D72ED87B-DA7C-4A62-B372-7879505C3A4D}"/>
    <cellStyle name="40% - Accent1 3" xfId="1168" xr:uid="{9F2667CF-8192-4FB2-81D6-B7C30D44667C}"/>
    <cellStyle name="40% - Accent1 3 2" xfId="1169" xr:uid="{5750214A-8A58-424B-8F66-B57FB0314E97}"/>
    <cellStyle name="40% - Accent1 3 3" xfId="1170" xr:uid="{096DDBA0-4782-43FE-BBC5-6D036EF00B3E}"/>
    <cellStyle name="40% - Accent1 30" xfId="1171" xr:uid="{78F627CA-4530-4A7C-A3FE-F6C29A4E2017}"/>
    <cellStyle name="40% - Accent1 31" xfId="1172" xr:uid="{93BE8C55-38B8-4E22-BE51-E6E5408299DC}"/>
    <cellStyle name="40% - Accent1 32" xfId="1173" xr:uid="{E3B394EB-25BA-40FB-9918-7C742A093573}"/>
    <cellStyle name="40% - Accent1 33" xfId="1174" xr:uid="{96A20F90-2148-4434-B790-F3413C598793}"/>
    <cellStyle name="40% - Accent1 34" xfId="1175" xr:uid="{9A4287A0-8AD7-43B7-9FF7-38B738271E4E}"/>
    <cellStyle name="40% - Accent1 35" xfId="1176" xr:uid="{AF4F6034-BBE4-4829-B1AE-820C4BAEA54F}"/>
    <cellStyle name="40% - Accent1 35 2" xfId="1177" xr:uid="{3C2948F6-9F27-465A-B3A3-39070781D328}"/>
    <cellStyle name="40% - Accent1 35 2 2" xfId="1178" xr:uid="{8935ADD6-2C0B-482D-BEAE-A078CB074FCC}"/>
    <cellStyle name="40% - Accent1 35 2 2 2" xfId="1179" xr:uid="{F8C298D4-7DD2-406D-8C22-C580B7DABF41}"/>
    <cellStyle name="40% - Accent1 35 2 2 3" xfId="1180" xr:uid="{BF5B1181-D195-4E2D-B7D2-E45C9F5AD246}"/>
    <cellStyle name="40% - Accent1 35 3" xfId="1181" xr:uid="{23357548-C31A-48DA-BB77-1AF2C9BC717F}"/>
    <cellStyle name="40% - Accent1 35 4" xfId="1182" xr:uid="{3E15B121-D275-4EDA-AFD2-DC0CEB096710}"/>
    <cellStyle name="40% - Accent1 35 5" xfId="1183" xr:uid="{DACAEDDC-62E8-40D4-8E79-E25DCF36E8BC}"/>
    <cellStyle name="40% - Accent1 36" xfId="1184" xr:uid="{91EE15EC-EE72-4C12-9AAB-803031376D88}"/>
    <cellStyle name="40% - Accent1 37" xfId="1185" xr:uid="{0DAA89CB-4862-482D-970F-E361C0C47F56}"/>
    <cellStyle name="40% - Accent1 38" xfId="1186" xr:uid="{68E2C5DC-C4C0-4BA4-A9A4-01ED1920C6A0}"/>
    <cellStyle name="40% - Accent1 39" xfId="1187" xr:uid="{4B60510C-3CC2-44F3-92ED-E58B8848B4A1}"/>
    <cellStyle name="40% - Accent1 4" xfId="1188" xr:uid="{146BFEBB-E222-451B-BD2D-BD0584AE3446}"/>
    <cellStyle name="40% - Accent1 4 2" xfId="1189" xr:uid="{701B645F-1186-4E40-BB13-EBDD98E6BDC0}"/>
    <cellStyle name="40% - Accent1 40" xfId="1190" xr:uid="{C4B0095A-68AE-431B-9F06-B7820F5B3D47}"/>
    <cellStyle name="40% - Accent1 41" xfId="1191" xr:uid="{A689FD22-7910-4068-9F4E-741F5B13D046}"/>
    <cellStyle name="40% - Accent1 42" xfId="1192" xr:uid="{3401D16B-1A2F-43D7-9CA1-545AABB9AB51}"/>
    <cellStyle name="40% - Accent1 43" xfId="1193" xr:uid="{52A7D7FD-A088-441D-B32C-C034C018FDB3}"/>
    <cellStyle name="40% - Accent1 44" xfId="1194" xr:uid="{4BC9358C-27EC-4DC1-9D6D-7B37BCFA62F6}"/>
    <cellStyle name="40% - Accent1 45" xfId="1195" xr:uid="{F45F4567-8EE2-49B5-926C-3586EF31D964}"/>
    <cellStyle name="40% - Accent1 46" xfId="1196" xr:uid="{C38F611E-C3DB-474F-BD74-41CE9FE1B96D}"/>
    <cellStyle name="40% - Accent1 47" xfId="1197" xr:uid="{B2C0DBE4-D61C-402F-A3CB-CA371ECF8250}"/>
    <cellStyle name="40% - Accent1 48" xfId="1198" xr:uid="{BAE52487-0808-4FBA-9665-0615AF4FA897}"/>
    <cellStyle name="40% - Accent1 49" xfId="1199" xr:uid="{1E5AE8A2-856E-4943-944B-AFEB2F95EFF6}"/>
    <cellStyle name="40% - Accent1 5" xfId="1200" xr:uid="{3B41BD7D-0C92-4F3D-A730-CE91197DA8B9}"/>
    <cellStyle name="40% - Accent1 50" xfId="1201" xr:uid="{BA75B5A8-E76A-4453-B15A-B4A578241A5C}"/>
    <cellStyle name="40% - Accent1 51" xfId="1202" xr:uid="{5819B6F6-FA67-4348-B40D-70F4021F1A8C}"/>
    <cellStyle name="40% - Accent1 52" xfId="1203" xr:uid="{5BA53B40-7B5B-469A-8FD9-66CC67E1CABC}"/>
    <cellStyle name="40% - Accent1 53" xfId="1204" xr:uid="{379B4ED0-050D-4AB2-B0A2-56974DA5964B}"/>
    <cellStyle name="40% - Accent1 54" xfId="1205" xr:uid="{0BC12D5F-CE8B-4F8C-9FA1-5FDB2239F517}"/>
    <cellStyle name="40% - Accent1 55" xfId="1206" xr:uid="{42F6BF4A-80F6-4BA6-80F7-EA50D7F2B5DA}"/>
    <cellStyle name="40% - Accent1 56" xfId="1207" xr:uid="{8C5C455B-7F8A-455F-9B0C-2921DD8541FC}"/>
    <cellStyle name="40% - Accent1 57" xfId="1208" xr:uid="{BA69E202-99C8-4678-933D-F1EA1A497659}"/>
    <cellStyle name="40% - Accent1 58" xfId="1209" xr:uid="{1CF31E10-9FA4-4A9B-ADD0-FF570F0662C0}"/>
    <cellStyle name="40% - Accent1 59" xfId="1210" xr:uid="{1C53D447-0B12-47CF-A407-C2F784D99622}"/>
    <cellStyle name="40% - Accent1 6" xfId="1211" xr:uid="{04BEBF97-8550-41EB-9B19-E910A4AB5966}"/>
    <cellStyle name="40% - Accent1 60" xfId="1212" xr:uid="{9F46BA23-9206-49C7-B96F-3DDF61EC1515}"/>
    <cellStyle name="40% - Accent1 60 2" xfId="1213" xr:uid="{3048F6EE-B8A7-42D7-B57D-49B3D13790DB}"/>
    <cellStyle name="40% - Accent1 60 2 2" xfId="1214" xr:uid="{88D647CE-8F1A-4592-BF63-C96D9433244A}"/>
    <cellStyle name="40% - Accent1 60 2 2 2" xfId="1215" xr:uid="{EE7C711E-35DF-41FD-B1DF-A275AC8A701B}"/>
    <cellStyle name="40% - Accent1 60 2 3" xfId="1216" xr:uid="{6F89545D-CBA0-4073-9572-B3F0F6373301}"/>
    <cellStyle name="40% - Accent1 60 3" xfId="1217" xr:uid="{8B4B3089-5CED-4685-8BFB-8403EB71F170}"/>
    <cellStyle name="40% - Accent1 61" xfId="1218" xr:uid="{540D0FD0-2DDA-49D3-B572-17C45AFF73FD}"/>
    <cellStyle name="40% - Accent1 62" xfId="1219" xr:uid="{930CF7A7-627E-45E5-8D96-44D2D7492771}"/>
    <cellStyle name="40% - Accent1 63" xfId="1220" xr:uid="{49652EC2-E70D-44ED-B942-F6398FC525E5}"/>
    <cellStyle name="40% - Accent1 64" xfId="1221" xr:uid="{FB61E8D1-2E23-4302-B0AB-84D8C1F07901}"/>
    <cellStyle name="40% - Accent1 65" xfId="1222" xr:uid="{E9430601-BA2D-4C0B-B118-C9F2C5A3BE50}"/>
    <cellStyle name="40% - Accent1 7" xfId="1223" xr:uid="{2DDB9BB1-6DBF-498E-ACEF-3CBCA1670F40}"/>
    <cellStyle name="40% - Accent1 8" xfId="1224" xr:uid="{21CD170C-4F26-4608-AD91-CE8F7995A4D0}"/>
    <cellStyle name="40% - Accent1 9" xfId="1225" xr:uid="{7ADB9001-F37C-4A6C-B777-40989585A51E}"/>
    <cellStyle name="40% - Accent2 10" xfId="1226" xr:uid="{DB68E801-63F7-4900-9AA4-2D64D63BCC7A}"/>
    <cellStyle name="40% - Accent2 11" xfId="1227" xr:uid="{A200E775-6A24-4227-9898-00E71AB7F618}"/>
    <cellStyle name="40% - Accent2 12" xfId="1228" xr:uid="{2F2A85B5-BB49-40CE-A48C-48BFAF7D8346}"/>
    <cellStyle name="40% - Accent2 13" xfId="1229" xr:uid="{C2D89084-3F50-48FD-82FE-D1DDB1600165}"/>
    <cellStyle name="40% - Accent2 14" xfId="1230" xr:uid="{8CEA67C7-8262-4C21-9C58-124FC587105C}"/>
    <cellStyle name="40% - Accent2 15" xfId="1231" xr:uid="{B6528E21-B7A2-481A-A5E0-E368AE3A55C2}"/>
    <cellStyle name="40% - Accent2 16" xfId="1232" xr:uid="{F7C55923-A90B-4BE0-A8B6-75AD98AFDBFB}"/>
    <cellStyle name="40% - Accent2 17" xfId="1233" xr:uid="{7F6133A2-6CB9-4659-BFBB-4D3D53C2A5A5}"/>
    <cellStyle name="40% - Accent2 18" xfId="1234" xr:uid="{F8554E6B-0FB8-451E-B56A-CC85B0B2F14E}"/>
    <cellStyle name="40% - Accent2 19" xfId="1235" xr:uid="{E8EA3422-4361-4D5C-A8B8-955FE35403FC}"/>
    <cellStyle name="40% - Accent2 2" xfId="25" xr:uid="{58E23EA1-5C74-43F5-8328-B776D02AFD15}"/>
    <cellStyle name="40% - Accent2 2 2" xfId="1237" xr:uid="{AE266AF3-95CF-469D-BE8D-22638C87E4E2}"/>
    <cellStyle name="40% - Accent2 2 2 2" xfId="1238" xr:uid="{B1E847BD-D25B-4970-ABC4-F51EFC6E55C8}"/>
    <cellStyle name="40% - Accent2 2 2 3" xfId="1239" xr:uid="{89A2B15B-98FA-46FA-9E55-E6CF51E9C989}"/>
    <cellStyle name="40% - Accent2 2 3" xfId="1240" xr:uid="{54621034-FD60-477E-82EA-71BDE8C242C3}"/>
    <cellStyle name="40% - Accent2 2 3 2" xfId="1241" xr:uid="{7721669C-20B1-40DF-BA2D-F86C9DCC1A64}"/>
    <cellStyle name="40% - Accent2 2 3 2 2" xfId="1242" xr:uid="{3F88A698-6925-453E-A223-9E0BF979CCC5}"/>
    <cellStyle name="40% - Accent2 2 3 3" xfId="1243" xr:uid="{E0209915-C5E1-48F2-8BFA-3E7E6B6DBF0E}"/>
    <cellStyle name="40% - Accent2 2 3 4" xfId="1244" xr:uid="{23080B91-D1A6-49AD-9225-CE7074529F44}"/>
    <cellStyle name="40% - Accent2 2 4" xfId="1245" xr:uid="{0B7FF79D-B71E-4D20-B9CF-5530709103CB}"/>
    <cellStyle name="40% - Accent2 2 5" xfId="1246" xr:uid="{817A4F17-5C03-4671-9A56-DB4D1AC759D7}"/>
    <cellStyle name="40% - Accent2 2 6" xfId="1236" xr:uid="{E556CE9C-9ECA-48D1-BCCC-53AB5E762B7F}"/>
    <cellStyle name="40% - Accent2 20" xfId="1247" xr:uid="{1583A56D-D511-487F-AECA-F66A257911CC}"/>
    <cellStyle name="40% - Accent2 21" xfId="1248" xr:uid="{E9CB0B43-AB6F-4279-B8D3-991BABF7768C}"/>
    <cellStyle name="40% - Accent2 22" xfId="1249" xr:uid="{D0B6B9B3-4831-4ADC-AD46-D7144C8C0FD9}"/>
    <cellStyle name="40% - Accent2 23" xfId="1250" xr:uid="{608F721B-42E8-490D-8073-1D821627B2CA}"/>
    <cellStyle name="40% - Accent2 24" xfId="1251" xr:uid="{9172F488-06CF-4BB0-9892-79380371FF08}"/>
    <cellStyle name="40% - Accent2 25" xfId="1252" xr:uid="{F411D76F-8186-45E4-950F-F37BB3CDCB2B}"/>
    <cellStyle name="40% - Accent2 26" xfId="1253" xr:uid="{E402B53E-5A03-4F85-9529-AC2AB88FAE58}"/>
    <cellStyle name="40% - Accent2 27" xfId="1254" xr:uid="{1D0AE14A-6E12-4015-AB3B-4C844D014E00}"/>
    <cellStyle name="40% - Accent2 28" xfId="1255" xr:uid="{51ADABE2-EABF-4CBE-B642-C9696601A928}"/>
    <cellStyle name="40% - Accent2 29" xfId="1256" xr:uid="{3E6FB1CE-2E5F-4BF5-B96C-8F0CC05C1384}"/>
    <cellStyle name="40% - Accent2 3" xfId="1257" xr:uid="{990B9A1F-4B3B-43A4-BA42-61FD55F3BE47}"/>
    <cellStyle name="40% - Accent2 3 2" xfId="1258" xr:uid="{88803A52-0D88-4491-BBE5-4C4BD01D7C63}"/>
    <cellStyle name="40% - Accent2 30" xfId="1259" xr:uid="{92FE5479-BB0D-4B25-B01E-05C7537F483D}"/>
    <cellStyle name="40% - Accent2 31" xfId="1260" xr:uid="{FD178572-4B0B-488A-AB5A-65FE97ED5C45}"/>
    <cellStyle name="40% - Accent2 32" xfId="1261" xr:uid="{796A7DE5-C005-4C7F-BBE6-E4AA6E20316C}"/>
    <cellStyle name="40% - Accent2 33" xfId="1262" xr:uid="{594BF1A7-A6D2-45E6-8D95-8F2B2D9E9F74}"/>
    <cellStyle name="40% - Accent2 34" xfId="1263" xr:uid="{DBFAE250-D338-4192-BCDC-615B9FDCE4EB}"/>
    <cellStyle name="40% - Accent2 35" xfId="1264" xr:uid="{B200386C-F966-4D66-BF04-1A2A02C5CB72}"/>
    <cellStyle name="40% - Accent2 35 2" xfId="1265" xr:uid="{01E0EB00-08D3-49AE-B571-7CD93B3E05DF}"/>
    <cellStyle name="40% - Accent2 35 2 2" xfId="1266" xr:uid="{5D1842B9-2F2F-44F8-96C6-FD377C0CF78A}"/>
    <cellStyle name="40% - Accent2 35 2 2 2" xfId="1267" xr:uid="{B928B580-B6AF-44AC-9FEF-B7D921E23A32}"/>
    <cellStyle name="40% - Accent2 35 2 2 3" xfId="1268" xr:uid="{11B91F90-9C44-4AE6-B4D3-D7926F84B4F0}"/>
    <cellStyle name="40% - Accent2 35 3" xfId="1269" xr:uid="{086672AF-197B-42A7-845E-5A01F15A3214}"/>
    <cellStyle name="40% - Accent2 35 4" xfId="1270" xr:uid="{F31F92BD-2FAB-4234-8782-CBE1096EE720}"/>
    <cellStyle name="40% - Accent2 35 5" xfId="1271" xr:uid="{BF40C353-1BC8-43E9-8C6B-9E523CCC976A}"/>
    <cellStyle name="40% - Accent2 36" xfId="1272" xr:uid="{AC65EF95-7E31-4DB5-BD05-EBEAB1D285A7}"/>
    <cellStyle name="40% - Accent2 37" xfId="1273" xr:uid="{E3681A12-ECB5-4253-BD96-EBB332A9E977}"/>
    <cellStyle name="40% - Accent2 38" xfId="1274" xr:uid="{0C714F29-1DE2-4EB3-B1FC-4273A7489601}"/>
    <cellStyle name="40% - Accent2 39" xfId="1275" xr:uid="{6887196A-4A44-4C61-A975-45E025DFDB94}"/>
    <cellStyle name="40% - Accent2 4" xfId="1276" xr:uid="{AE9EB4A6-784C-404F-97F3-8C081243FFB6}"/>
    <cellStyle name="40% - Accent2 4 2" xfId="1277" xr:uid="{F29ED7FA-C7C9-46EF-A92C-6F084EAD814C}"/>
    <cellStyle name="40% - Accent2 40" xfId="1278" xr:uid="{17F9FF30-E141-4D14-B5D4-6AE2044C715D}"/>
    <cellStyle name="40% - Accent2 41" xfId="1279" xr:uid="{9B1CA98F-4990-4F99-82C5-4E5E26CE572F}"/>
    <cellStyle name="40% - Accent2 42" xfId="1280" xr:uid="{F0D6C575-670A-4528-B9AC-E6BAE115354C}"/>
    <cellStyle name="40% - Accent2 43" xfId="1281" xr:uid="{ABED8E52-7921-4505-823B-B6B4075042B2}"/>
    <cellStyle name="40% - Accent2 44" xfId="1282" xr:uid="{6F669F4B-F74E-4970-9211-7374E8B9DA53}"/>
    <cellStyle name="40% - Accent2 45" xfId="1283" xr:uid="{A6CA2848-CC65-4EEF-91AE-F8BCD5B42848}"/>
    <cellStyle name="40% - Accent2 46" xfId="1284" xr:uid="{AB3C45DF-043E-42F4-894B-7BA8CD52C4B8}"/>
    <cellStyle name="40% - Accent2 47" xfId="1285" xr:uid="{D5E521D8-53D6-4DCF-A689-E781B75441B9}"/>
    <cellStyle name="40% - Accent2 48" xfId="1286" xr:uid="{29D9559D-032B-4CE4-979F-8BEBEA208E5C}"/>
    <cellStyle name="40% - Accent2 49" xfId="1287" xr:uid="{CC6FA89B-1027-4123-BF1E-F0ED0BFC8CF2}"/>
    <cellStyle name="40% - Accent2 5" xfId="1288" xr:uid="{B3D3ECE3-F3FB-4EB1-94CD-E4B260063BF2}"/>
    <cellStyle name="40% - Accent2 50" xfId="1289" xr:uid="{4859850C-FA3F-4E32-B2FE-20F5416676C0}"/>
    <cellStyle name="40% - Accent2 51" xfId="1290" xr:uid="{D46BC8FE-F2BD-4C00-ACB0-4694D9C12465}"/>
    <cellStyle name="40% - Accent2 52" xfId="1291" xr:uid="{9661D77E-DFDA-49FC-860B-F983D91DA016}"/>
    <cellStyle name="40% - Accent2 53" xfId="1292" xr:uid="{EF6DFC79-87CB-48D8-BEFA-5B03C19AAC89}"/>
    <cellStyle name="40% - Accent2 54" xfId="1293" xr:uid="{807683C0-29D0-4D5C-AD60-CD8712417622}"/>
    <cellStyle name="40% - Accent2 55" xfId="1294" xr:uid="{BBC1134E-FB29-4886-A758-83F249F44710}"/>
    <cellStyle name="40% - Accent2 56" xfId="1295" xr:uid="{826B0B4C-EAD2-4F69-8754-1E256E160DA9}"/>
    <cellStyle name="40% - Accent2 57" xfId="1296" xr:uid="{5C4AA540-A614-4895-A317-4255D15A2937}"/>
    <cellStyle name="40% - Accent2 58" xfId="1297" xr:uid="{FB5997D6-4921-41EA-85FE-9398959818F0}"/>
    <cellStyle name="40% - Accent2 59" xfId="1298" xr:uid="{D7A59843-3E09-4E1C-9C75-EB59B6B61A00}"/>
    <cellStyle name="40% - Accent2 6" xfId="1299" xr:uid="{BAC00A6E-B649-42B6-861D-CBF14B637505}"/>
    <cellStyle name="40% - Accent2 60" xfId="1300" xr:uid="{DC417EC0-DF8B-4AA0-A0E1-B098EDA76829}"/>
    <cellStyle name="40% - Accent2 60 2" xfId="1301" xr:uid="{05CDC3C3-4BE6-4B0E-A9BD-8E33738A0004}"/>
    <cellStyle name="40% - Accent2 60 2 2" xfId="1302" xr:uid="{281795EF-F305-4F84-89C2-7E91797E1A30}"/>
    <cellStyle name="40% - Accent2 60 2 3" xfId="1303" xr:uid="{6217763E-81D4-41E2-AE24-CBAA6F847C35}"/>
    <cellStyle name="40% - Accent2 60 3" xfId="1304" xr:uid="{37F12D29-83D3-4C82-B55D-973B31EE404F}"/>
    <cellStyle name="40% - Accent2 61" xfId="1305" xr:uid="{C540F5D5-E1E4-4DC6-A7E7-9EDFA2B37ACD}"/>
    <cellStyle name="40% - Accent2 62" xfId="1306" xr:uid="{DBD0F740-E88B-41AD-926F-B393CCBE7176}"/>
    <cellStyle name="40% - Accent2 63" xfId="1307" xr:uid="{BD6F3660-22AB-4713-B062-42052CEB3409}"/>
    <cellStyle name="40% - Accent2 64" xfId="1308" xr:uid="{69967D3A-5A51-46ED-B872-B0E5BD0CE0AC}"/>
    <cellStyle name="40% - Accent2 65" xfId="1309" xr:uid="{42E8BC5F-F3FC-4FA7-88DA-7DBDEE3E32D0}"/>
    <cellStyle name="40% - Accent2 7" xfId="1310" xr:uid="{0B408B6F-0B86-4D89-9F00-08CA10F4EEFB}"/>
    <cellStyle name="40% - Accent2 8" xfId="1311" xr:uid="{D0B66E07-AFC7-4387-BF13-98EB5E9FBD95}"/>
    <cellStyle name="40% - Accent2 9" xfId="1312" xr:uid="{7EFA536D-4E24-46FB-BA60-93C3081F8BD0}"/>
    <cellStyle name="40% - Accent3 10" xfId="1313" xr:uid="{F509D2E8-1A66-4137-A642-CE9F538D5743}"/>
    <cellStyle name="40% - Accent3 11" xfId="1314" xr:uid="{BA742E42-E676-4711-8E54-3A0E39E794E3}"/>
    <cellStyle name="40% - Accent3 12" xfId="1315" xr:uid="{747A04A7-F6CD-4DA8-A255-9EB0FC78812A}"/>
    <cellStyle name="40% - Accent3 13" xfId="1316" xr:uid="{FCAE3C37-6F7A-4163-A21B-D8042B6C7E75}"/>
    <cellStyle name="40% - Accent3 14" xfId="1317" xr:uid="{02865031-F85A-4FC6-B283-F37C90D87B33}"/>
    <cellStyle name="40% - Accent3 15" xfId="1318" xr:uid="{86FEF7A5-A8C0-4172-81F1-A8D78C9F0024}"/>
    <cellStyle name="40% - Accent3 16" xfId="1319" xr:uid="{339BB1AF-1A37-44DD-BA4D-2BEC78056B96}"/>
    <cellStyle name="40% - Accent3 17" xfId="1320" xr:uid="{C17FECEA-C712-4F2C-B2BD-FD416CD4182C}"/>
    <cellStyle name="40% - Accent3 18" xfId="1321" xr:uid="{42CFBA8A-7411-44AC-A643-1C6829ECE295}"/>
    <cellStyle name="40% - Accent3 19" xfId="1322" xr:uid="{585A32F9-C648-4696-A7EA-BD71196BE387}"/>
    <cellStyle name="40% - Accent3 2" xfId="26" xr:uid="{BEC3AB28-229F-43A5-AAE4-1FDCF0BE1207}"/>
    <cellStyle name="40% - Accent3 2 2" xfId="1324" xr:uid="{5C8F8B84-BB25-444E-862F-16F2A6839C6D}"/>
    <cellStyle name="40% - Accent3 2 2 2" xfId="1325" xr:uid="{094DE7DD-22B9-4242-84D9-232BD696185D}"/>
    <cellStyle name="40% - Accent3 2 2 3" xfId="1326" xr:uid="{446EF3E7-56A7-4BFA-8B84-83443585C941}"/>
    <cellStyle name="40% - Accent3 2 3" xfId="1327" xr:uid="{FF7F19F0-B6B3-4D17-8FCA-630D7CEE3319}"/>
    <cellStyle name="40% - Accent3 2 3 2" xfId="1328" xr:uid="{69D01345-C7DE-40CA-9A3A-1E531EDFDED1}"/>
    <cellStyle name="40% - Accent3 2 3 2 2" xfId="1329" xr:uid="{738CCBB0-4646-407C-9304-956E846E2834}"/>
    <cellStyle name="40% - Accent3 2 3 3" xfId="1330" xr:uid="{33C5BDBD-C84E-4DC9-9C57-211A09BA2BFC}"/>
    <cellStyle name="40% - Accent3 2 3 4" xfId="1331" xr:uid="{7A3C0A09-7A96-48E9-9D84-5A53F95B4EE5}"/>
    <cellStyle name="40% - Accent3 2 4" xfId="1332" xr:uid="{00B64584-78BB-4D82-9084-B56C9C0BB603}"/>
    <cellStyle name="40% - Accent3 2 5" xfId="1333" xr:uid="{8C2EDFBD-55B6-4A70-BEB4-AD4FD3693A37}"/>
    <cellStyle name="40% - Accent3 2 6" xfId="1323" xr:uid="{E268593B-3111-4912-BC42-CC190D92B933}"/>
    <cellStyle name="40% - Accent3 20" xfId="1334" xr:uid="{2DF2456B-1B8C-4016-85A3-9AC5E6AE6624}"/>
    <cellStyle name="40% - Accent3 21" xfId="1335" xr:uid="{7AD8424D-ACB0-4EB7-916A-8EEBBDDC6BFB}"/>
    <cellStyle name="40% - Accent3 22" xfId="1336" xr:uid="{5F4D5A63-9BBB-412C-8B97-D63810ECCAB5}"/>
    <cellStyle name="40% - Accent3 23" xfId="1337" xr:uid="{38A35303-752D-4A0C-8630-65E1CEB93A7A}"/>
    <cellStyle name="40% - Accent3 24" xfId="1338" xr:uid="{F0BB2E39-C805-43EF-9A9B-61915CF94596}"/>
    <cellStyle name="40% - Accent3 25" xfId="1339" xr:uid="{C00486FF-12F8-42C8-9DCB-4565A0845183}"/>
    <cellStyle name="40% - Accent3 26" xfId="1340" xr:uid="{AC7F691B-18A6-4951-A7B6-19F816B0E043}"/>
    <cellStyle name="40% - Accent3 27" xfId="1341" xr:uid="{6EF5C1E8-2756-47F3-8692-41E0CC15C4A2}"/>
    <cellStyle name="40% - Accent3 28" xfId="1342" xr:uid="{38BDF433-A8A2-46CE-ABD9-7CA669D17E17}"/>
    <cellStyle name="40% - Accent3 29" xfId="1343" xr:uid="{8D337B35-FEF9-4020-8D2A-6EE08A28338B}"/>
    <cellStyle name="40% - Accent3 3" xfId="1344" xr:uid="{101A8AAE-77B9-492D-BD70-8CFB787B60D8}"/>
    <cellStyle name="40% - Accent3 3 2" xfId="1345" xr:uid="{CE7CC1A9-35C3-48CD-9EF9-17369021D77F}"/>
    <cellStyle name="40% - Accent3 3 3" xfId="1346" xr:uid="{FFD25EC8-EADA-42D9-BB18-6F2F929C523A}"/>
    <cellStyle name="40% - Accent3 30" xfId="1347" xr:uid="{7DACDB53-A19F-4784-BF16-55D9C9E5211C}"/>
    <cellStyle name="40% - Accent3 31" xfId="1348" xr:uid="{452C12A7-6490-495E-9FF7-4A3F713838BE}"/>
    <cellStyle name="40% - Accent3 32" xfId="1349" xr:uid="{407533CC-290C-4F21-BF6F-D0FE6EF1BBE9}"/>
    <cellStyle name="40% - Accent3 33" xfId="1350" xr:uid="{63DEC874-8B53-43C3-A36F-B22863200DB6}"/>
    <cellStyle name="40% - Accent3 34" xfId="1351" xr:uid="{52AF5CF2-C744-47BE-9A2F-3369F41838BB}"/>
    <cellStyle name="40% - Accent3 35" xfId="1352" xr:uid="{A08CD3D6-BB4F-45D8-A920-1192DDE2F966}"/>
    <cellStyle name="40% - Accent3 35 2" xfId="1353" xr:uid="{536FA022-E37F-4934-9DF2-CDFC4A6FA4FD}"/>
    <cellStyle name="40% - Accent3 35 2 2" xfId="1354" xr:uid="{3E3AA258-BB2C-43C7-A432-8BB11C2F7DAF}"/>
    <cellStyle name="40% - Accent3 35 2 2 2" xfId="1355" xr:uid="{DEA735EA-03B5-4223-A721-2456B6BC0188}"/>
    <cellStyle name="40% - Accent3 35 2 2 3" xfId="1356" xr:uid="{7324CC08-BC41-434D-8F48-77EDD7828B86}"/>
    <cellStyle name="40% - Accent3 35 3" xfId="1357" xr:uid="{BFECD43C-D94C-4166-A2C4-E15E4A8A83E9}"/>
    <cellStyle name="40% - Accent3 35 4" xfId="1358" xr:uid="{474D8762-05D9-4653-80B6-624944C5581D}"/>
    <cellStyle name="40% - Accent3 35 5" xfId="1359" xr:uid="{E8813537-3DDA-449C-9A67-1AFE250826D1}"/>
    <cellStyle name="40% - Accent3 36" xfId="1360" xr:uid="{998A18F7-C661-48CD-A126-3B70ABB7D890}"/>
    <cellStyle name="40% - Accent3 37" xfId="1361" xr:uid="{FE26114F-5F7A-449C-BA44-EED3C1079308}"/>
    <cellStyle name="40% - Accent3 38" xfId="1362" xr:uid="{521AE425-391C-4755-8839-24B635C92DF1}"/>
    <cellStyle name="40% - Accent3 39" xfId="1363" xr:uid="{FE18CC26-5CF4-436E-BE75-C2EF88EC2576}"/>
    <cellStyle name="40% - Accent3 4" xfId="1364" xr:uid="{CE52CE6F-6C7A-4DD2-9ACE-B7E736A18A7E}"/>
    <cellStyle name="40% - Accent3 4 2" xfId="1365" xr:uid="{F3049C47-0D1A-4EC1-A27C-C4BFF549005A}"/>
    <cellStyle name="40% - Accent3 40" xfId="1366" xr:uid="{74B987C7-3261-4290-A56C-B9885CDE90E8}"/>
    <cellStyle name="40% - Accent3 41" xfId="1367" xr:uid="{C1B885B5-BB0B-450A-9DC6-32655DE76A34}"/>
    <cellStyle name="40% - Accent3 42" xfId="1368" xr:uid="{6BC568C8-F273-49E5-A43D-8E35729894CD}"/>
    <cellStyle name="40% - Accent3 43" xfId="1369" xr:uid="{E4A05475-BBA5-4FE6-A628-FC16A7763F6B}"/>
    <cellStyle name="40% - Accent3 44" xfId="1370" xr:uid="{07BEB1F8-1A4E-4E63-BAA8-85AA199316D7}"/>
    <cellStyle name="40% - Accent3 45" xfId="1371" xr:uid="{AC1B72C2-BC4C-4BF3-8C7C-91F686EA98FD}"/>
    <cellStyle name="40% - Accent3 46" xfId="1372" xr:uid="{2F94A5CF-C5F3-4525-B8B0-18BBB4D814C7}"/>
    <cellStyle name="40% - Accent3 47" xfId="1373" xr:uid="{9D8DCF80-8363-44DC-8031-DB129A605917}"/>
    <cellStyle name="40% - Accent3 48" xfId="1374" xr:uid="{B3BFBA49-4310-4A77-9092-506CBC51601C}"/>
    <cellStyle name="40% - Accent3 49" xfId="1375" xr:uid="{4837E91F-7147-4B80-8867-B6E6339799AD}"/>
    <cellStyle name="40% - Accent3 5" xfId="1376" xr:uid="{0FD9A809-4253-45DB-8F82-67B1782B08F2}"/>
    <cellStyle name="40% - Accent3 50" xfId="1377" xr:uid="{520CABCB-ACDF-4343-8C8A-0ABC4BA7816B}"/>
    <cellStyle name="40% - Accent3 51" xfId="1378" xr:uid="{46199977-D94C-4D95-B752-40B9B1F6C390}"/>
    <cellStyle name="40% - Accent3 52" xfId="1379" xr:uid="{39E90815-D68E-4059-AC54-BC80E2C93114}"/>
    <cellStyle name="40% - Accent3 53" xfId="1380" xr:uid="{7A3C4F17-191A-444D-B0B4-89969C5BA76A}"/>
    <cellStyle name="40% - Accent3 54" xfId="1381" xr:uid="{76A97AD7-FF15-43B5-8BB3-3A14F26C337B}"/>
    <cellStyle name="40% - Accent3 55" xfId="1382" xr:uid="{9701721F-E0C4-4922-B957-90132694524C}"/>
    <cellStyle name="40% - Accent3 56" xfId="1383" xr:uid="{9E319CEA-8F9B-4AE2-AB74-B7D69C0E69E7}"/>
    <cellStyle name="40% - Accent3 57" xfId="1384" xr:uid="{F38637FD-FF1C-4884-8DEC-6DEE72EF5B87}"/>
    <cellStyle name="40% - Accent3 58" xfId="1385" xr:uid="{6212CEF9-7220-492C-B4A0-D871D0FB2E0B}"/>
    <cellStyle name="40% - Accent3 59" xfId="1386" xr:uid="{9584C9C0-2D1B-475C-AEA5-DC3525A3C600}"/>
    <cellStyle name="40% - Accent3 6" xfId="1387" xr:uid="{53E0EE76-842C-4055-BCBD-210BE16995EA}"/>
    <cellStyle name="40% - Accent3 60" xfId="1388" xr:uid="{E0606BA5-5415-4CC3-8F5F-4AF6FA37F97B}"/>
    <cellStyle name="40% - Accent3 60 2" xfId="1389" xr:uid="{DC1FCA4A-D99A-4DAD-8DE6-09FF0D3E98D2}"/>
    <cellStyle name="40% - Accent3 60 2 2" xfId="1390" xr:uid="{B95DBC06-A28E-42DA-958A-7AF3CD16C54A}"/>
    <cellStyle name="40% - Accent3 60 2 2 2" xfId="1391" xr:uid="{5DEC3B78-EB25-4D82-8A99-A0DE4C4CF831}"/>
    <cellStyle name="40% - Accent3 60 2 3" xfId="1392" xr:uid="{DA898DDA-FFC1-42FB-85B2-E358504C0857}"/>
    <cellStyle name="40% - Accent3 60 3" xfId="1393" xr:uid="{BDF6FCE6-6137-4AD3-8C24-791CF3F55DAD}"/>
    <cellStyle name="40% - Accent3 61" xfId="1394" xr:uid="{C424C391-FFA9-4AA6-B975-99EFF30F9A41}"/>
    <cellStyle name="40% - Accent3 62" xfId="1395" xr:uid="{44C76238-5EAE-42EF-830E-F927BD364733}"/>
    <cellStyle name="40% - Accent3 63" xfId="1396" xr:uid="{7AAB383E-D7E8-4861-AEB9-BD6AE33D36D1}"/>
    <cellStyle name="40% - Accent3 64" xfId="1397" xr:uid="{2653FA25-E434-4404-8262-C7F552F2DB1C}"/>
    <cellStyle name="40% - Accent3 65" xfId="1398" xr:uid="{441A5B41-5039-4379-B248-A36D511C0D76}"/>
    <cellStyle name="40% - Accent3 7" xfId="1399" xr:uid="{FBF6F692-18BB-44EA-A770-5CDABA02D415}"/>
    <cellStyle name="40% - Accent3 8" xfId="1400" xr:uid="{A4345A0B-006D-4169-9365-C7222E1E4C9F}"/>
    <cellStyle name="40% - Accent3 9" xfId="1401" xr:uid="{61CF0C8D-EAD8-44EA-A565-C4CC039AD896}"/>
    <cellStyle name="40% - Accent4 10" xfId="1402" xr:uid="{0A0756AF-9B18-454E-8EDB-43E2C9B39827}"/>
    <cellStyle name="40% - Accent4 11" xfId="1403" xr:uid="{009C5827-7848-45C6-B157-53FC12C9532C}"/>
    <cellStyle name="40% - Accent4 12" xfId="1404" xr:uid="{0938AAB1-9EFD-4290-AF38-66FBF31FF5AC}"/>
    <cellStyle name="40% - Accent4 13" xfId="1405" xr:uid="{83A53F1F-8ADD-42F6-9A22-3584C4A0B722}"/>
    <cellStyle name="40% - Accent4 14" xfId="1406" xr:uid="{38F52E85-3AD7-4107-8738-5355EA5248C0}"/>
    <cellStyle name="40% - Accent4 15" xfId="1407" xr:uid="{949E5AF5-2626-4E0E-A9AF-E2FECC31C13C}"/>
    <cellStyle name="40% - Accent4 16" xfId="1408" xr:uid="{C24B1C62-0C90-432B-8436-EB7E139533E9}"/>
    <cellStyle name="40% - Accent4 17" xfId="1409" xr:uid="{DF22BD35-7D2B-4C79-A262-E6FE194D5055}"/>
    <cellStyle name="40% - Accent4 18" xfId="1410" xr:uid="{B05CAB57-104E-41F7-AA27-F010A72165CC}"/>
    <cellStyle name="40% - Accent4 19" xfId="1411" xr:uid="{FC6F63FD-61FB-402B-9D09-4E382EA81077}"/>
    <cellStyle name="40% - Accent4 2" xfId="27" xr:uid="{F2D8CE35-4988-400D-880C-AF6C62E45006}"/>
    <cellStyle name="40% - Accent4 2 2" xfId="1413" xr:uid="{FF02078B-69B2-4DD4-B74E-D4313702C02D}"/>
    <cellStyle name="40% - Accent4 2 2 2" xfId="1414" xr:uid="{5F7A1D90-26E9-425A-B6C7-BC6C39EA726F}"/>
    <cellStyle name="40% - Accent4 2 2 3" xfId="1415" xr:uid="{610AF09C-3DD4-4BED-8015-25328EECA3D4}"/>
    <cellStyle name="40% - Accent4 2 3" xfId="1416" xr:uid="{D35C1E8C-A32A-40EB-98AA-C37B07B2514C}"/>
    <cellStyle name="40% - Accent4 2 3 2" xfId="1417" xr:uid="{4627C56B-DA75-42D6-8E0F-FF221DA472BE}"/>
    <cellStyle name="40% - Accent4 2 3 2 2" xfId="1418" xr:uid="{8E8A646A-D772-4535-B1EB-BA34CBB3CA04}"/>
    <cellStyle name="40% - Accent4 2 3 3" xfId="1419" xr:uid="{E37AABDB-857A-429F-9369-31CE50CAFC67}"/>
    <cellStyle name="40% - Accent4 2 3 4" xfId="1420" xr:uid="{0A63AEC7-FFFB-4BB0-B403-DF149EAC2016}"/>
    <cellStyle name="40% - Accent4 2 4" xfId="1421" xr:uid="{67461B97-7931-4708-988C-A2F749F0D9CE}"/>
    <cellStyle name="40% - Accent4 2 5" xfId="1422" xr:uid="{F0E302E8-C7EE-4125-8981-EDB96380AFEA}"/>
    <cellStyle name="40% - Accent4 2 6" xfId="1412" xr:uid="{2B717CDE-8291-4E7F-A15D-D1A9CA52F352}"/>
    <cellStyle name="40% - Accent4 20" xfId="1423" xr:uid="{CE0CB52E-BCFD-4A95-B824-1954B1136ADD}"/>
    <cellStyle name="40% - Accent4 21" xfId="1424" xr:uid="{3F75AEE8-A705-4B65-81AB-BA9DC2DCD28A}"/>
    <cellStyle name="40% - Accent4 22" xfId="1425" xr:uid="{08E734C5-0652-4B19-83EA-6031A1D993ED}"/>
    <cellStyle name="40% - Accent4 23" xfId="1426" xr:uid="{C97D1869-E4F1-425D-843C-980B5BA81BCD}"/>
    <cellStyle name="40% - Accent4 24" xfId="1427" xr:uid="{460E1E1F-95BC-441D-98B3-A7C208008F5F}"/>
    <cellStyle name="40% - Accent4 25" xfId="1428" xr:uid="{FBA98A8C-F4A3-4AB1-B5AC-6397BD710766}"/>
    <cellStyle name="40% - Accent4 26" xfId="1429" xr:uid="{BDED00DC-A532-4A18-864A-54064AF5E87F}"/>
    <cellStyle name="40% - Accent4 27" xfId="1430" xr:uid="{7E1EF84A-6A08-449C-9B25-72F6265EC0A0}"/>
    <cellStyle name="40% - Accent4 28" xfId="1431" xr:uid="{12160F78-2997-4D6C-AE7B-1D9AAFA9F5AE}"/>
    <cellStyle name="40% - Accent4 29" xfId="1432" xr:uid="{542B14E8-883B-495E-9DFF-F419E3837E87}"/>
    <cellStyle name="40% - Accent4 3" xfId="1433" xr:uid="{4C14B262-0A3B-48B8-842A-5DDFCC8390A3}"/>
    <cellStyle name="40% - Accent4 3 2" xfId="1434" xr:uid="{56EE3E49-156E-4B97-8734-59E3402A3386}"/>
    <cellStyle name="40% - Accent4 3 3" xfId="1435" xr:uid="{D3A81B6B-FC72-481C-A376-A347F2B788BB}"/>
    <cellStyle name="40% - Accent4 30" xfId="1436" xr:uid="{022F9BD6-84DD-4415-8E69-B764100EDA8D}"/>
    <cellStyle name="40% - Accent4 31" xfId="1437" xr:uid="{94125BD4-3899-4D08-B9BA-19D256533848}"/>
    <cellStyle name="40% - Accent4 32" xfId="1438" xr:uid="{F8FB0EAF-175B-41A6-B64B-24FDE6E40FD4}"/>
    <cellStyle name="40% - Accent4 33" xfId="1439" xr:uid="{53BBF272-C2FB-4312-9933-5C937CA96422}"/>
    <cellStyle name="40% - Accent4 34" xfId="1440" xr:uid="{689FCEB1-19D8-4109-9E48-9CF3191BF926}"/>
    <cellStyle name="40% - Accent4 35" xfId="1441" xr:uid="{001583B7-9F98-4882-84E8-5EC40A1B7827}"/>
    <cellStyle name="40% - Accent4 35 2" xfId="1442" xr:uid="{C45D935F-E908-49E0-9FFA-36D3698C5EDD}"/>
    <cellStyle name="40% - Accent4 35 2 2" xfId="1443" xr:uid="{8DE3C45E-F263-4A38-9E8C-DF406640D838}"/>
    <cellStyle name="40% - Accent4 35 2 2 2" xfId="1444" xr:uid="{C56CB300-B649-43BB-9B58-2E0659FD94B4}"/>
    <cellStyle name="40% - Accent4 35 2 2 3" xfId="1445" xr:uid="{B2A7A19A-EF40-4568-80DC-07949250372A}"/>
    <cellStyle name="40% - Accent4 35 3" xfId="1446" xr:uid="{60C4B6A3-296A-4ABA-9C08-0FCD7ABDE15D}"/>
    <cellStyle name="40% - Accent4 35 4" xfId="1447" xr:uid="{EE67F341-4B29-4C82-9611-AF3C0297617B}"/>
    <cellStyle name="40% - Accent4 35 5" xfId="1448" xr:uid="{9C413F5F-F771-4C71-ACF1-FA9AD96A0872}"/>
    <cellStyle name="40% - Accent4 36" xfId="1449" xr:uid="{67FC3B4E-305A-4204-ADAF-F4C20C61D9D8}"/>
    <cellStyle name="40% - Accent4 37" xfId="1450" xr:uid="{F3EDA621-E838-408A-8766-7C51064D14C7}"/>
    <cellStyle name="40% - Accent4 38" xfId="1451" xr:uid="{D42AD35E-EAAA-4E1F-BA22-264200A3F6ED}"/>
    <cellStyle name="40% - Accent4 39" xfId="1452" xr:uid="{2C13E0C6-394C-41D4-80E5-311C989C1F16}"/>
    <cellStyle name="40% - Accent4 4" xfId="1453" xr:uid="{EA3AB39C-2319-41BC-A20E-C17910081C14}"/>
    <cellStyle name="40% - Accent4 4 2" xfId="1454" xr:uid="{339FDD86-D126-47AE-865A-424DFF3F3567}"/>
    <cellStyle name="40% - Accent4 40" xfId="1455" xr:uid="{6B5532A2-319F-446E-8B6C-75756B68BABB}"/>
    <cellStyle name="40% - Accent4 41" xfId="1456" xr:uid="{433420E2-3A88-4E5D-8B11-039E6B33F0C3}"/>
    <cellStyle name="40% - Accent4 42" xfId="1457" xr:uid="{2E8F0B98-8119-496D-B58C-352009D1BBCF}"/>
    <cellStyle name="40% - Accent4 43" xfId="1458" xr:uid="{8213ACFD-8F52-40A6-916A-A177AB5D1034}"/>
    <cellStyle name="40% - Accent4 44" xfId="1459" xr:uid="{7B538916-1B81-4AA7-B3DC-9080DDBB3A5D}"/>
    <cellStyle name="40% - Accent4 45" xfId="1460" xr:uid="{21797990-67AF-4E4C-8F6A-455533E93A9B}"/>
    <cellStyle name="40% - Accent4 46" xfId="1461" xr:uid="{674DA337-070C-435E-BC54-D9565CB9D04F}"/>
    <cellStyle name="40% - Accent4 47" xfId="1462" xr:uid="{3BFE8567-A496-4FEA-A986-010FD4ED8DB0}"/>
    <cellStyle name="40% - Accent4 48" xfId="1463" xr:uid="{CBF5B5BF-44C8-4B49-A89B-11AF066390AC}"/>
    <cellStyle name="40% - Accent4 49" xfId="1464" xr:uid="{A2714231-105C-4BD5-8DD2-601ECF9B34D6}"/>
    <cellStyle name="40% - Accent4 5" xfId="1465" xr:uid="{7DFB1C29-25D6-40C8-81CC-731699A60B85}"/>
    <cellStyle name="40% - Accent4 50" xfId="1466" xr:uid="{E49A9DEF-9158-4421-B2D0-BE4039E88503}"/>
    <cellStyle name="40% - Accent4 51" xfId="1467" xr:uid="{66C4A1C8-E3B4-4550-8DE9-5CFC7E7BF7F6}"/>
    <cellStyle name="40% - Accent4 52" xfId="1468" xr:uid="{3003FD76-A943-436C-AF0C-B94976816AE7}"/>
    <cellStyle name="40% - Accent4 53" xfId="1469" xr:uid="{A345D6D9-E3A5-486D-80FB-079D4113E6EE}"/>
    <cellStyle name="40% - Accent4 54" xfId="1470" xr:uid="{376F767C-20D5-4415-9EDF-A2A3BADE6161}"/>
    <cellStyle name="40% - Accent4 55" xfId="1471" xr:uid="{790AA6D7-C4EF-4B68-A4AD-CEE372644C0D}"/>
    <cellStyle name="40% - Accent4 56" xfId="1472" xr:uid="{5A22314A-5247-4317-96D9-5EA8FA19A10C}"/>
    <cellStyle name="40% - Accent4 57" xfId="1473" xr:uid="{09925D8B-552F-44EA-8E6C-6A315838526F}"/>
    <cellStyle name="40% - Accent4 58" xfId="1474" xr:uid="{6908A013-AB1B-4BAA-8487-DD4BA432DC46}"/>
    <cellStyle name="40% - Accent4 59" xfId="1475" xr:uid="{4F409078-78CE-4D36-9DC3-13A8E2F4E137}"/>
    <cellStyle name="40% - Accent4 6" xfId="1476" xr:uid="{9992FA46-4214-493F-9237-846D1D9C10D1}"/>
    <cellStyle name="40% - Accent4 60" xfId="1477" xr:uid="{359F25A6-69AA-4663-8A70-B98333164FAD}"/>
    <cellStyle name="40% - Accent4 60 2" xfId="1478" xr:uid="{00FA01A6-F648-4785-AAE9-DF270AC8C227}"/>
    <cellStyle name="40% - Accent4 60 2 2" xfId="1479" xr:uid="{4E71D7F0-7703-41BA-A440-E55B1D4261CB}"/>
    <cellStyle name="40% - Accent4 60 2 2 2" xfId="1480" xr:uid="{E51413F8-1D3A-4E1D-B07F-C7012CDFD6E2}"/>
    <cellStyle name="40% - Accent4 60 2 3" xfId="1481" xr:uid="{EFEE0DE7-20E2-496C-8840-02793F683EC0}"/>
    <cellStyle name="40% - Accent4 60 3" xfId="1482" xr:uid="{A873E3D9-6D52-48A2-A56A-56E76C2C9F52}"/>
    <cellStyle name="40% - Accent4 61" xfId="1483" xr:uid="{F8888F88-AAE4-4E8A-9F95-9C101D7389AB}"/>
    <cellStyle name="40% - Accent4 62" xfId="1484" xr:uid="{4C406F8C-6F3D-45DA-8D4E-C0962D9DF46E}"/>
    <cellStyle name="40% - Accent4 63" xfId="1485" xr:uid="{13F7909E-2C47-4CE9-8A2E-CD83B177D00C}"/>
    <cellStyle name="40% - Accent4 64" xfId="1486" xr:uid="{0C31A872-E5BE-4C3E-9B23-007DF100F266}"/>
    <cellStyle name="40% - Accent4 65" xfId="1487" xr:uid="{79668BBA-A3D8-4CD7-8F1C-BE2EE4A9DB8B}"/>
    <cellStyle name="40% - Accent4 7" xfId="1488" xr:uid="{3F35E979-AFDF-4438-A0B4-391929D8DC62}"/>
    <cellStyle name="40% - Accent4 8" xfId="1489" xr:uid="{4133A663-32D7-490D-8831-941C4AA38083}"/>
    <cellStyle name="40% - Accent4 9" xfId="1490" xr:uid="{2301B543-CBAE-4094-8ABA-99CA1F13EDBD}"/>
    <cellStyle name="40% - Accent5 10" xfId="1491" xr:uid="{8617DC63-221A-443A-97F0-B94108EEE8F9}"/>
    <cellStyle name="40% - Accent5 11" xfId="1492" xr:uid="{7421F43E-74A3-41D7-9CC5-4693F5A0AEEC}"/>
    <cellStyle name="40% - Accent5 12" xfId="1493" xr:uid="{659E47E5-C2C0-487E-835F-F062E9B16EF2}"/>
    <cellStyle name="40% - Accent5 13" xfId="1494" xr:uid="{9D8B3C50-88D6-418D-BFCC-8B9A3A71D890}"/>
    <cellStyle name="40% - Accent5 14" xfId="1495" xr:uid="{8E165EC6-E470-4F69-825A-17D1F3934FE2}"/>
    <cellStyle name="40% - Accent5 15" xfId="1496" xr:uid="{1CD114B8-D70A-4DFA-B6FA-210B1449A528}"/>
    <cellStyle name="40% - Accent5 16" xfId="1497" xr:uid="{B82E7B90-1ECC-4F4D-B0DC-076FB48E16D6}"/>
    <cellStyle name="40% - Accent5 17" xfId="1498" xr:uid="{6E73BA1F-2CC6-4922-9BB0-C4CD3B323C86}"/>
    <cellStyle name="40% - Accent5 18" xfId="1499" xr:uid="{95D662C3-FFE7-4E8F-BD21-92C3F2025C8A}"/>
    <cellStyle name="40% - Accent5 19" xfId="1500" xr:uid="{E61929A3-F78C-4525-AC53-9B168FB830EE}"/>
    <cellStyle name="40% - Accent5 2" xfId="28" xr:uid="{7DE93656-E5FE-43D9-B1D8-64ED0B336157}"/>
    <cellStyle name="40% - Accent5 2 2" xfId="1502" xr:uid="{76E97EBB-00A2-493F-987F-D7D7FC1DF4A6}"/>
    <cellStyle name="40% - Accent5 2 2 2" xfId="1503" xr:uid="{48073312-29A6-4E82-B49C-AA53383EE3B1}"/>
    <cellStyle name="40% - Accent5 2 2 3" xfId="1504" xr:uid="{308C28A9-028F-42A5-9F1F-DB0262F0D6E1}"/>
    <cellStyle name="40% - Accent5 2 3" xfId="1505" xr:uid="{0DA0B0FC-D21E-4EFA-868F-7BAD596F32EC}"/>
    <cellStyle name="40% - Accent5 2 3 2" xfId="1506" xr:uid="{658FB47E-EA4F-4BB1-8131-A6993B46852F}"/>
    <cellStyle name="40% - Accent5 2 3 2 2" xfId="1507" xr:uid="{63E538D5-37BF-46D2-BDE5-FD0CF313C815}"/>
    <cellStyle name="40% - Accent5 2 3 3" xfId="1508" xr:uid="{10EE0736-7092-43A3-8BA8-D15C0F9B470A}"/>
    <cellStyle name="40% - Accent5 2 3 4" xfId="1509" xr:uid="{6A493006-0179-4035-8307-61CB69D2C223}"/>
    <cellStyle name="40% - Accent5 2 4" xfId="1510" xr:uid="{B538848F-DAFB-45FA-8218-DE05C7581BF1}"/>
    <cellStyle name="40% - Accent5 2 5" xfId="1511" xr:uid="{F93ABDB8-735D-4F8B-B443-007D6534439B}"/>
    <cellStyle name="40% - Accent5 2 6" xfId="1501" xr:uid="{85960882-C8DA-494A-A55F-27FC4F9A7517}"/>
    <cellStyle name="40% - Accent5 20" xfId="1512" xr:uid="{1A44FBF2-2D9A-4D40-8176-7F294AE6DF12}"/>
    <cellStyle name="40% - Accent5 21" xfId="1513" xr:uid="{9AD0B742-3887-41C2-8C93-1902E6BCF52E}"/>
    <cellStyle name="40% - Accent5 22" xfId="1514" xr:uid="{F29652C9-65D9-4406-9CDA-599ED2A9E4E9}"/>
    <cellStyle name="40% - Accent5 23" xfId="1515" xr:uid="{3F99EC90-CC24-4187-87B1-7CED34A7202F}"/>
    <cellStyle name="40% - Accent5 24" xfId="1516" xr:uid="{D9AE3A97-C379-4265-A2A2-373926341388}"/>
    <cellStyle name="40% - Accent5 25" xfId="1517" xr:uid="{633041DD-1CB3-4F1C-98AB-408D8AADDD72}"/>
    <cellStyle name="40% - Accent5 26" xfId="1518" xr:uid="{AF56B5EE-0328-40CC-8AFA-A1393D4BFBF0}"/>
    <cellStyle name="40% - Accent5 27" xfId="1519" xr:uid="{518A4948-62CD-4CBF-AA8D-B628AE974A43}"/>
    <cellStyle name="40% - Accent5 28" xfId="1520" xr:uid="{AA45F1B2-1091-4DB0-9F32-2FFE8DC1CCE7}"/>
    <cellStyle name="40% - Accent5 29" xfId="1521" xr:uid="{C0D7D03E-A8D7-4BB2-BEDB-36F2D28FC6DB}"/>
    <cellStyle name="40% - Accent5 3" xfId="1522" xr:uid="{EBDD4743-8092-47DA-B6AE-CED597FBF297}"/>
    <cellStyle name="40% - Accent5 3 2" xfId="1523" xr:uid="{B3D2D176-040B-4F5E-8CAC-B65F01A21754}"/>
    <cellStyle name="40% - Accent5 3 3" xfId="1524" xr:uid="{8675DA56-05EA-4D3E-9B19-78D8C3079361}"/>
    <cellStyle name="40% - Accent5 30" xfId="1525" xr:uid="{BDC9FEE8-939F-41D7-87AC-5F1C891AE425}"/>
    <cellStyle name="40% - Accent5 31" xfId="1526" xr:uid="{3CAF2A15-BCF1-47E2-81D3-BE6310D0347E}"/>
    <cellStyle name="40% - Accent5 32" xfId="1527" xr:uid="{49ED5150-453A-47BC-ACAF-1E18851963B6}"/>
    <cellStyle name="40% - Accent5 33" xfId="1528" xr:uid="{4EAB1125-13D0-4ACD-9A84-293A33E6CC9C}"/>
    <cellStyle name="40% - Accent5 34" xfId="1529" xr:uid="{D8FBF38F-5C0A-4168-BA71-D33592EF9E54}"/>
    <cellStyle name="40% - Accent5 35" xfId="1530" xr:uid="{CF61342C-DF5A-45E5-BF90-A577D01FACD4}"/>
    <cellStyle name="40% - Accent5 35 2" xfId="1531" xr:uid="{E065F416-6D1E-477C-941C-0B18079809B1}"/>
    <cellStyle name="40% - Accent5 35 2 2" xfId="1532" xr:uid="{16D5A751-7101-4C0E-9799-4939AD035683}"/>
    <cellStyle name="40% - Accent5 35 2 2 2" xfId="1533" xr:uid="{2D44821B-4D7C-4BF8-B6AE-42FF2B5C8930}"/>
    <cellStyle name="40% - Accent5 35 2 2 3" xfId="1534" xr:uid="{28F6980C-9DA0-4342-B254-F02279BC388F}"/>
    <cellStyle name="40% - Accent5 35 3" xfId="1535" xr:uid="{A0C40303-502B-4001-92E3-71DB4B74459E}"/>
    <cellStyle name="40% - Accent5 35 4" xfId="1536" xr:uid="{8F1499CB-ACD5-46B6-8B0C-C8E7ADFBF314}"/>
    <cellStyle name="40% - Accent5 35 5" xfId="1537" xr:uid="{FAFACCBA-2BC9-42D0-B690-3A9739BD73FD}"/>
    <cellStyle name="40% - Accent5 36" xfId="1538" xr:uid="{7666C6FD-9DAA-4547-9938-E98BFEC5A384}"/>
    <cellStyle name="40% - Accent5 37" xfId="1539" xr:uid="{93A875C5-3E1E-4571-82BE-0D912044B3A1}"/>
    <cellStyle name="40% - Accent5 38" xfId="1540" xr:uid="{018866FC-686C-46F1-9C37-A3791834483F}"/>
    <cellStyle name="40% - Accent5 39" xfId="1541" xr:uid="{14410DAE-92BF-4184-B2C5-E6BF8AEC4470}"/>
    <cellStyle name="40% - Accent5 4" xfId="1542" xr:uid="{18FDB22A-AF4A-4925-B573-76CF7D685C88}"/>
    <cellStyle name="40% - Accent5 4 2" xfId="1543" xr:uid="{F2F1468B-2F79-4B2E-9FE7-40C25489843D}"/>
    <cellStyle name="40% - Accent5 40" xfId="1544" xr:uid="{E0EC61EB-3456-4C0A-96F1-7BDDA9E03465}"/>
    <cellStyle name="40% - Accent5 41" xfId="1545" xr:uid="{9A914A1B-21C8-469B-90DC-02C6C17B33E2}"/>
    <cellStyle name="40% - Accent5 42" xfId="1546" xr:uid="{DF8A95D7-3172-48B7-9763-2D1E1A5CF8A7}"/>
    <cellStyle name="40% - Accent5 43" xfId="1547" xr:uid="{324BD647-D4A1-46D1-BFAC-5C64DA3F2414}"/>
    <cellStyle name="40% - Accent5 44" xfId="1548" xr:uid="{AA8B7AD5-188D-477F-BFA0-2D9BE61660A9}"/>
    <cellStyle name="40% - Accent5 45" xfId="1549" xr:uid="{043F35B3-0A6D-4922-A0FA-13E5DCA1D563}"/>
    <cellStyle name="40% - Accent5 46" xfId="1550" xr:uid="{B6807BEB-A8A4-4C39-A82C-543FA57C7CF9}"/>
    <cellStyle name="40% - Accent5 47" xfId="1551" xr:uid="{E561FA98-31FE-4E8A-942F-BB2A14A7AECB}"/>
    <cellStyle name="40% - Accent5 48" xfId="1552" xr:uid="{E450AA35-54A5-462D-A6D0-7B43018F859B}"/>
    <cellStyle name="40% - Accent5 49" xfId="1553" xr:uid="{E72943E2-A8F9-4696-A6B9-44C91A9B4D26}"/>
    <cellStyle name="40% - Accent5 5" xfId="1554" xr:uid="{FAE7D101-6300-4DB3-8D68-78922B68574F}"/>
    <cellStyle name="40% - Accent5 50" xfId="1555" xr:uid="{54EDEEBC-81AD-4E15-B139-1522D608EEEE}"/>
    <cellStyle name="40% - Accent5 51" xfId="1556" xr:uid="{E14A4886-54F6-44B1-8E64-FBDB374CE125}"/>
    <cellStyle name="40% - Accent5 52" xfId="1557" xr:uid="{B2D4CF74-2EEC-4632-9EBB-74994925B5C4}"/>
    <cellStyle name="40% - Accent5 53" xfId="1558" xr:uid="{B462B7F8-794F-43D2-9929-F3DBB7E97385}"/>
    <cellStyle name="40% - Accent5 54" xfId="1559" xr:uid="{0C96DD05-7FDB-4C75-A356-A13AC86288CD}"/>
    <cellStyle name="40% - Accent5 55" xfId="1560" xr:uid="{7F313F1E-F7C9-45CC-B668-D84F49C04FD9}"/>
    <cellStyle name="40% - Accent5 56" xfId="1561" xr:uid="{1306E55F-9445-41A1-AEA7-F8FBA346789B}"/>
    <cellStyle name="40% - Accent5 57" xfId="1562" xr:uid="{28A5D55D-0CB4-4A48-B949-49BA6B566E3A}"/>
    <cellStyle name="40% - Accent5 58" xfId="1563" xr:uid="{43A2385F-E12E-4FBA-ADAE-B5AB1F3E5A4E}"/>
    <cellStyle name="40% - Accent5 59" xfId="1564" xr:uid="{691CBACE-6F4C-4DE5-A42C-DD50BCEC1C7A}"/>
    <cellStyle name="40% - Accent5 6" xfId="1565" xr:uid="{DE896FE6-21C1-4EDB-97B1-9DE4A98B51DC}"/>
    <cellStyle name="40% - Accent5 60" xfId="1566" xr:uid="{E919B710-F8B9-4773-801C-0E786B5A3EB5}"/>
    <cellStyle name="40% - Accent5 60 2" xfId="1567" xr:uid="{0BE97E21-4E9C-4591-B063-794C81388655}"/>
    <cellStyle name="40% - Accent5 60 2 2" xfId="1568" xr:uid="{33CF55DA-4E9A-44F4-B064-4CF153FCE044}"/>
    <cellStyle name="40% - Accent5 60 2 3" xfId="1569" xr:uid="{9521884E-7FC7-421C-BEEB-BD575952E312}"/>
    <cellStyle name="40% - Accent5 60 3" xfId="1570" xr:uid="{1DA8DCFD-9174-4D77-A13C-66E257F10260}"/>
    <cellStyle name="40% - Accent5 61" xfId="1571" xr:uid="{88B0ADB2-6AE6-4E21-9B28-275C44E98945}"/>
    <cellStyle name="40% - Accent5 62" xfId="1572" xr:uid="{CEABCA72-844A-48F1-93DD-5A7555E4F51F}"/>
    <cellStyle name="40% - Accent5 63" xfId="1573" xr:uid="{2FB7D0CC-176E-4C38-B928-57F4AF7E2C1B}"/>
    <cellStyle name="40% - Accent5 64" xfId="1574" xr:uid="{D95661B0-7D97-4F6A-A210-9E08D6C3F2B0}"/>
    <cellStyle name="40% - Accent5 65" xfId="1575" xr:uid="{A6A4C7E9-683C-4250-A3CD-435D988C12EF}"/>
    <cellStyle name="40% - Accent5 7" xfId="1576" xr:uid="{F45B0CEF-DF0B-42DE-819A-BE379FAE29A9}"/>
    <cellStyle name="40% - Accent5 8" xfId="1577" xr:uid="{333BB56A-8E5B-4B5A-BD9C-7D0CBB0A2501}"/>
    <cellStyle name="40% - Accent5 9" xfId="1578" xr:uid="{B2423D5A-3AFB-4406-A506-4D095DC2B3AB}"/>
    <cellStyle name="40% - Accent6 10" xfId="1579" xr:uid="{13B7D82A-32BB-489F-A609-683D906282E9}"/>
    <cellStyle name="40% - Accent6 11" xfId="1580" xr:uid="{49F341C2-CF0B-495A-B76A-882B5B72E96D}"/>
    <cellStyle name="40% - Accent6 12" xfId="1581" xr:uid="{2F46F228-8D95-481D-B4FD-02D0020CA218}"/>
    <cellStyle name="40% - Accent6 13" xfId="1582" xr:uid="{BDB4C48C-4757-42BD-99CB-C7C4D9656C7C}"/>
    <cellStyle name="40% - Accent6 14" xfId="1583" xr:uid="{DFBF429F-0995-4B85-B3CC-C70684889B6A}"/>
    <cellStyle name="40% - Accent6 15" xfId="1584" xr:uid="{2E0DE792-785D-478F-8D02-0942AD0D9DA9}"/>
    <cellStyle name="40% - Accent6 16" xfId="1585" xr:uid="{26E900E2-D653-4140-A91C-BA86BE983BF6}"/>
    <cellStyle name="40% - Accent6 17" xfId="1586" xr:uid="{20FBA04D-7B4A-4D5A-9C34-14645A454F05}"/>
    <cellStyle name="40% - Accent6 18" xfId="1587" xr:uid="{7739A150-3E26-4BE1-B74E-EBCE7A91D2E5}"/>
    <cellStyle name="40% - Accent6 19" xfId="1588" xr:uid="{1A5FBD9A-53C1-4D4A-9B44-1DF8247358E0}"/>
    <cellStyle name="40% - Accent6 2" xfId="29" xr:uid="{41AFBB2B-9950-47BA-A880-EB7BAA84F31E}"/>
    <cellStyle name="40% - Accent6 2 2" xfId="1590" xr:uid="{A4902AE6-533C-4816-90E5-3C717AAB9ADE}"/>
    <cellStyle name="40% - Accent6 2 2 2" xfId="1591" xr:uid="{5E7ACCB8-C7D6-4291-9AAD-14AE57C54A2E}"/>
    <cellStyle name="40% - Accent6 2 2 3" xfId="1592" xr:uid="{90B01F42-3295-4397-A864-96530DDDFAD2}"/>
    <cellStyle name="40% - Accent6 2 3" xfId="1593" xr:uid="{2D9AE758-76F3-4AC2-96A2-FBDA2AC2A3F8}"/>
    <cellStyle name="40% - Accent6 2 3 2" xfId="1594" xr:uid="{AD40A487-9151-4F54-9244-C14735CDC6C7}"/>
    <cellStyle name="40% - Accent6 2 3 2 2" xfId="1595" xr:uid="{B06861DB-E935-4B45-AC5D-938013FBF5A6}"/>
    <cellStyle name="40% - Accent6 2 3 3" xfId="1596" xr:uid="{0DD1A17D-D4A4-4D24-93CC-E7E13A8FC902}"/>
    <cellStyle name="40% - Accent6 2 3 4" xfId="1597" xr:uid="{9F7772E5-E42E-4405-AB1E-306F904EEE77}"/>
    <cellStyle name="40% - Accent6 2 4" xfId="1598" xr:uid="{978BCFAD-7E04-4579-B4E1-345ACF5F20B5}"/>
    <cellStyle name="40% - Accent6 2 5" xfId="1599" xr:uid="{4CEAA58F-D7E7-4DA0-8352-ABE192471E26}"/>
    <cellStyle name="40% - Accent6 2 6" xfId="1589" xr:uid="{C01D6C8D-DCF6-4510-BCBD-7460625ADAFB}"/>
    <cellStyle name="40% - Accent6 20" xfId="1600" xr:uid="{736EFA36-3434-4801-916E-D390CEB44882}"/>
    <cellStyle name="40% - Accent6 21" xfId="1601" xr:uid="{E08AE3C5-1B00-4B2F-A3B0-B064E2CC5099}"/>
    <cellStyle name="40% - Accent6 22" xfId="1602" xr:uid="{9FF97E9E-3BF3-45AF-B8C5-6625F8CA1A1A}"/>
    <cellStyle name="40% - Accent6 23" xfId="1603" xr:uid="{C11A0FE4-BF0C-4CEC-BCA1-07BED5A6DE06}"/>
    <cellStyle name="40% - Accent6 24" xfId="1604" xr:uid="{A91971DC-3BD6-4EFA-9D52-5B4255C32AB2}"/>
    <cellStyle name="40% - Accent6 25" xfId="1605" xr:uid="{097BCE83-B31E-4BC3-A650-2A43286A5B1D}"/>
    <cellStyle name="40% - Accent6 26" xfId="1606" xr:uid="{9C0C8262-98FB-45A5-9952-C5EDF8C2A122}"/>
    <cellStyle name="40% - Accent6 27" xfId="1607" xr:uid="{6346FA87-30E6-46FC-A666-EFF6E0434A31}"/>
    <cellStyle name="40% - Accent6 28" xfId="1608" xr:uid="{E7F52D93-FF77-4384-BE6F-2B98C619EAEB}"/>
    <cellStyle name="40% - Accent6 29" xfId="1609" xr:uid="{4612A0D4-D9CB-4448-AC12-3AA2BF6457FA}"/>
    <cellStyle name="40% - Accent6 3" xfId="1610" xr:uid="{E5F68F31-5D3D-4D82-9679-06CEE2494798}"/>
    <cellStyle name="40% - Accent6 3 2" xfId="1611" xr:uid="{F497E236-C182-4B74-AFB3-C3FE14F778B5}"/>
    <cellStyle name="40% - Accent6 3 3" xfId="1612" xr:uid="{6A0CA19D-793D-47E4-A851-84047615562F}"/>
    <cellStyle name="40% - Accent6 30" xfId="1613" xr:uid="{83BCC269-4326-4B3E-9628-3F8C5AA28619}"/>
    <cellStyle name="40% - Accent6 31" xfId="1614" xr:uid="{63D24611-2416-4FB5-989D-83324C70F9C5}"/>
    <cellStyle name="40% - Accent6 32" xfId="1615" xr:uid="{06F4B23F-5D42-466B-8342-FA1123256EC7}"/>
    <cellStyle name="40% - Accent6 33" xfId="1616" xr:uid="{66A6E3E1-DDD5-4EE2-B009-2C2D36FADEA3}"/>
    <cellStyle name="40% - Accent6 34" xfId="1617" xr:uid="{7E7F9413-922B-4BF6-BD6B-4D7BD71956B9}"/>
    <cellStyle name="40% - Accent6 35" xfId="1618" xr:uid="{9AC83C8F-1379-4156-97DD-5E72B40ECEB8}"/>
    <cellStyle name="40% - Accent6 35 2" xfId="1619" xr:uid="{96598136-7F98-4FFB-A451-01C1EF5733C6}"/>
    <cellStyle name="40% - Accent6 35 2 2" xfId="1620" xr:uid="{9CF9E55F-4BB5-4198-B68E-644D69DBBADD}"/>
    <cellStyle name="40% - Accent6 35 2 2 2" xfId="1621" xr:uid="{1EB415D4-91AE-40F8-9AD2-94040D987F47}"/>
    <cellStyle name="40% - Accent6 35 2 2 3" xfId="1622" xr:uid="{BA47BF29-8C27-48C7-8C47-410A80958417}"/>
    <cellStyle name="40% - Accent6 35 3" xfId="1623" xr:uid="{9E7004BE-34EA-4897-B185-FADBE31105B3}"/>
    <cellStyle name="40% - Accent6 35 4" xfId="1624" xr:uid="{20900936-FC2B-42C8-B569-0886FEE2D70C}"/>
    <cellStyle name="40% - Accent6 35 5" xfId="1625" xr:uid="{01486F13-6C84-4C69-93F5-F45E5F89E25C}"/>
    <cellStyle name="40% - Accent6 36" xfId="1626" xr:uid="{CE09D248-EF10-45A1-B01D-A7F8BBF13C42}"/>
    <cellStyle name="40% - Accent6 37" xfId="1627" xr:uid="{00BA57ED-3B8A-4946-BF6A-A923E460E39B}"/>
    <cellStyle name="40% - Accent6 38" xfId="1628" xr:uid="{0767AB66-90E1-47E7-89D6-D7465B6CAD15}"/>
    <cellStyle name="40% - Accent6 39" xfId="1629" xr:uid="{5325A1F0-E27A-4C54-83B3-501B92D2E8D1}"/>
    <cellStyle name="40% - Accent6 4" xfId="1630" xr:uid="{F1CE539E-AEC2-4557-9988-9BDCD1BE953D}"/>
    <cellStyle name="40% - Accent6 4 2" xfId="1631" xr:uid="{8D72E98D-CE73-495E-8DCE-E80A2B509D1C}"/>
    <cellStyle name="40% - Accent6 40" xfId="1632" xr:uid="{6AFF3AAC-FA1E-4506-A2ED-2092D392974E}"/>
    <cellStyle name="40% - Accent6 41" xfId="1633" xr:uid="{DC75CC76-C492-41BD-BD19-A4883B176880}"/>
    <cellStyle name="40% - Accent6 42" xfId="1634" xr:uid="{E779F38B-A826-4278-90F2-5D2AACADC9F7}"/>
    <cellStyle name="40% - Accent6 43" xfId="1635" xr:uid="{35BB9C07-D338-4799-A650-8ABE9FF9C370}"/>
    <cellStyle name="40% - Accent6 44" xfId="1636" xr:uid="{4AEC899E-8B6F-4A62-A372-746605E2DC2F}"/>
    <cellStyle name="40% - Accent6 45" xfId="1637" xr:uid="{9708A877-C466-41A8-8638-8059A2DCC764}"/>
    <cellStyle name="40% - Accent6 46" xfId="1638" xr:uid="{69951404-F29D-4658-9AE9-3C66C5EC969B}"/>
    <cellStyle name="40% - Accent6 47" xfId="1639" xr:uid="{354ADD68-35BB-4C2A-813F-FA86D4ACB37D}"/>
    <cellStyle name="40% - Accent6 48" xfId="1640" xr:uid="{05D643EE-0CFE-4EDC-82A9-DBB9036CBC37}"/>
    <cellStyle name="40% - Accent6 49" xfId="1641" xr:uid="{DE80F821-39B0-4D8C-A1A1-A71197846123}"/>
    <cellStyle name="40% - Accent6 5" xfId="1642" xr:uid="{BF0CEDF4-4A64-4E42-BD7B-1A69EA312FA2}"/>
    <cellStyle name="40% - Accent6 50" xfId="1643" xr:uid="{93C1CB38-0C5B-43B5-9356-1609DCD57713}"/>
    <cellStyle name="40% - Accent6 51" xfId="1644" xr:uid="{878C62F3-A134-42B5-B8D0-A2EEFD56B536}"/>
    <cellStyle name="40% - Accent6 52" xfId="1645" xr:uid="{CD2C6294-0FBD-4D12-94DA-261885BDA6E4}"/>
    <cellStyle name="40% - Accent6 53" xfId="1646" xr:uid="{1894B456-0F44-43A4-9BAC-2F00810FCD56}"/>
    <cellStyle name="40% - Accent6 54" xfId="1647" xr:uid="{EC3CD1C7-E0A4-4E2C-99A1-6CFA57AF251B}"/>
    <cellStyle name="40% - Accent6 55" xfId="1648" xr:uid="{E8A5A03B-4352-4855-8398-AB89683F0B0E}"/>
    <cellStyle name="40% - Accent6 56" xfId="1649" xr:uid="{0A3EBAF2-A1E5-4469-93CB-CBA9CB910A44}"/>
    <cellStyle name="40% - Accent6 57" xfId="1650" xr:uid="{1B09B49A-87D1-4BAA-9813-30478C2DDDEF}"/>
    <cellStyle name="40% - Accent6 58" xfId="1651" xr:uid="{B14A4EAD-EA97-4DA2-B20D-9E5C2F97D39F}"/>
    <cellStyle name="40% - Accent6 59" xfId="1652" xr:uid="{8D3CA5BC-9535-48E7-B83B-9ACDCAD17963}"/>
    <cellStyle name="40% - Accent6 6" xfId="1653" xr:uid="{4B56F5B1-ABBD-4591-A53C-123109F714C8}"/>
    <cellStyle name="40% - Accent6 60" xfId="1654" xr:uid="{ED59794A-B276-425A-85F6-F1EEA1A3B2CB}"/>
    <cellStyle name="40% - Accent6 60 2" xfId="1655" xr:uid="{9F33EA84-4457-492F-AFB5-5F06C871C402}"/>
    <cellStyle name="40% - Accent6 60 2 2" xfId="1656" xr:uid="{121B4314-8CAF-4AA0-8E82-EE01B6193594}"/>
    <cellStyle name="40% - Accent6 60 2 2 2" xfId="1657" xr:uid="{C21CD227-9D88-400A-924E-9666855FC742}"/>
    <cellStyle name="40% - Accent6 60 2 3" xfId="1658" xr:uid="{ADFB7517-101E-4755-92E5-7460ED41A94A}"/>
    <cellStyle name="40% - Accent6 60 3" xfId="1659" xr:uid="{913BE32B-BDAC-4E7A-83F4-C1C4EEE52CEE}"/>
    <cellStyle name="40% - Accent6 61" xfId="1660" xr:uid="{A6E9E4AE-C01F-49E1-94CA-EA3D813D9E2A}"/>
    <cellStyle name="40% - Accent6 62" xfId="1661" xr:uid="{6051A052-5595-423F-8BB5-EEF949E18A54}"/>
    <cellStyle name="40% - Accent6 63" xfId="1662" xr:uid="{7CC18408-B5BD-4332-B2ED-7724D84D6778}"/>
    <cellStyle name="40% - Accent6 64" xfId="1663" xr:uid="{407695DA-1390-4392-A38A-0203281B98EA}"/>
    <cellStyle name="40% - Accent6 65" xfId="1664" xr:uid="{368F1ACB-B741-40C1-B7FB-230BEEBCB98D}"/>
    <cellStyle name="40% - Accent6 7" xfId="1665" xr:uid="{B86D3E56-12B8-49DE-83B8-AB8A66F94147}"/>
    <cellStyle name="40% - Accent6 8" xfId="1666" xr:uid="{2C1D38EB-C8FB-4617-870F-550042F88583}"/>
    <cellStyle name="40% - Accent6 9" xfId="1667" xr:uid="{5A2CE000-A773-4CA5-B5EF-4716E4EEE6E0}"/>
    <cellStyle name="40% - Colore 1" xfId="1668" xr:uid="{8663CA8A-7F3B-407A-836F-D0D485D56BE2}"/>
    <cellStyle name="40% - Colore 1 2" xfId="1669" xr:uid="{92022511-6223-4325-B74F-39EF88FA2C93}"/>
    <cellStyle name="40% - Colore 2" xfId="1670" xr:uid="{01FDBD99-57D1-4345-B441-E305D74A64C1}"/>
    <cellStyle name="40% - Colore 2 2" xfId="1671" xr:uid="{48EFD9E7-8550-448C-B702-B90343F48BF7}"/>
    <cellStyle name="40% - Colore 3" xfId="1672" xr:uid="{7A4B245D-B33D-4125-AA5C-11DFBBF5246E}"/>
    <cellStyle name="40% - Colore 3 2" xfId="1673" xr:uid="{0FA00E27-CD5B-4C1F-9416-25A1161356BD}"/>
    <cellStyle name="40% - Colore 4" xfId="1674" xr:uid="{540FF523-6BBE-4322-82A8-05B102CCE037}"/>
    <cellStyle name="40% - Colore 4 2" xfId="1675" xr:uid="{61AC9E23-2846-4D64-B9E1-058586B42DC2}"/>
    <cellStyle name="40% - Colore 5" xfId="1676" xr:uid="{E255418A-047E-4D3C-B2FE-249F285068D4}"/>
    <cellStyle name="40% - Colore 5 2" xfId="1677" xr:uid="{11352834-B778-450C-89D0-47ACD8F7241E}"/>
    <cellStyle name="40% - Colore 6" xfId="1678" xr:uid="{A58118E1-4DF8-470A-84D0-FB9E41A04319}"/>
    <cellStyle name="40% - Colore 6 2" xfId="1679" xr:uid="{0769AFB9-D060-4086-AA6A-5D719E4F5447}"/>
    <cellStyle name="4dp" xfId="30" xr:uid="{247985EB-1772-4712-B40F-F5B6C95F0EF1}"/>
    <cellStyle name="4dp 2" xfId="31" xr:uid="{ACFE3C72-46EB-4F24-B39C-DE001A9E9542}"/>
    <cellStyle name="4dp 2 2" xfId="1680" xr:uid="{16443A57-3F44-4EA6-8365-E08160A57A0B}"/>
    <cellStyle name="4dp 3" xfId="1681" xr:uid="{85B615A1-786A-4214-A512-C586FBA62DFC}"/>
    <cellStyle name="5x indented GHG Textfiels" xfId="1682" xr:uid="{5B697CC7-D4D2-4B39-8761-7259A9C77FFD}"/>
    <cellStyle name="5x indented GHG Textfiels 2" xfId="1683" xr:uid="{0DA5DBE9-4EAC-4848-9498-C0795F430328}"/>
    <cellStyle name="5x indented GHG Textfiels 3" xfId="1684" xr:uid="{39561DD5-2E05-4011-811A-8BA09C175623}"/>
    <cellStyle name="60% - Accent1 10" xfId="1685" xr:uid="{2D1BE6CE-9693-442C-8950-3AF085397D9A}"/>
    <cellStyle name="60% - Accent1 11" xfId="1686" xr:uid="{7D8653DB-1BF0-48C6-BBDA-8C486B59951A}"/>
    <cellStyle name="60% - Accent1 12" xfId="1687" xr:uid="{4DB4D8A4-5EA4-45D5-A2FA-DB7CCF45E9C4}"/>
    <cellStyle name="60% - Accent1 13" xfId="1688" xr:uid="{BA5ECBEE-7F2D-4257-BA90-9FBB3BF6294B}"/>
    <cellStyle name="60% - Accent1 14" xfId="1689" xr:uid="{9084E5C8-2960-4D19-AB0C-AABF56529ECD}"/>
    <cellStyle name="60% - Accent1 15" xfId="1690" xr:uid="{241B769D-23B9-4CE1-929B-E780FEBC6CBF}"/>
    <cellStyle name="60% - Accent1 16" xfId="1691" xr:uid="{CB42B181-4D7F-4884-9E8B-5EB118A4BC40}"/>
    <cellStyle name="60% - Accent1 17" xfId="1692" xr:uid="{615B3E3B-9ADD-45CA-9A38-F1BAC78D2453}"/>
    <cellStyle name="60% - Accent1 18" xfId="1693" xr:uid="{ECE3CA53-C843-4EDA-86FA-F1E04C14AE68}"/>
    <cellStyle name="60% - Accent1 19" xfId="1694" xr:uid="{1C3A0A47-6EB5-4162-90C0-B9127C3E7572}"/>
    <cellStyle name="60% - Accent1 2" xfId="32" xr:uid="{6E35E376-B21D-4635-A76A-CC9CE0ACFA85}"/>
    <cellStyle name="60% - Accent1 2 2" xfId="1696" xr:uid="{36986F46-D02B-4755-84E4-F9E45A5A5A04}"/>
    <cellStyle name="60% - Accent1 2 2 2" xfId="1697" xr:uid="{ADC1498F-A82D-4BD3-BFD7-194CB4CF3E01}"/>
    <cellStyle name="60% - Accent1 2 2 3" xfId="1698" xr:uid="{3C9FBECA-C42B-4E7C-8319-63DBBB9CE366}"/>
    <cellStyle name="60% - Accent1 2 3" xfId="1699" xr:uid="{A295CF32-574C-4092-95D9-AC38DE0C3112}"/>
    <cellStyle name="60% - Accent1 2 4" xfId="1700" xr:uid="{5F188900-05D3-4A75-8D42-634F90BE2B61}"/>
    <cellStyle name="60% - Accent1 2 5" xfId="1701" xr:uid="{0F7B081E-2D3E-484A-88A2-2AE52A931284}"/>
    <cellStyle name="60% - Accent1 2 6" xfId="1695" xr:uid="{CB4ACC1A-B94B-448A-A605-A696344AF97B}"/>
    <cellStyle name="60% - Accent1 20" xfId="1702" xr:uid="{4739D418-5E5B-4AF6-A17E-AE42BB38DAB7}"/>
    <cellStyle name="60% - Accent1 21" xfId="1703" xr:uid="{8B1897B8-A84E-4426-BB59-15466EB1E1E5}"/>
    <cellStyle name="60% - Accent1 22" xfId="1704" xr:uid="{61A656E6-8DDE-4C2E-B0DC-36F2895BC4C9}"/>
    <cellStyle name="60% - Accent1 23" xfId="1705" xr:uid="{A59FA2CB-11B4-4394-98D8-1D65E21332AC}"/>
    <cellStyle name="60% - Accent1 24" xfId="1706" xr:uid="{A478DA06-ACEA-450D-AE1D-2BCBF3606645}"/>
    <cellStyle name="60% - Accent1 25" xfId="1707" xr:uid="{EDDB5ADA-C61D-409D-BF1F-6C9307251E78}"/>
    <cellStyle name="60% - Accent1 26" xfId="1708" xr:uid="{BD09B33F-8A50-44F5-8465-0954832821D3}"/>
    <cellStyle name="60% - Accent1 27" xfId="1709" xr:uid="{BFD02F15-921A-4E7C-870B-9ABB9E752D43}"/>
    <cellStyle name="60% - Accent1 28" xfId="1710" xr:uid="{6177BFE5-95E5-4827-A3A5-B253FB1FFF17}"/>
    <cellStyle name="60% - Accent1 29" xfId="1711" xr:uid="{AA352753-CE16-4C4F-8D7A-5E91DBC951DB}"/>
    <cellStyle name="60% - Accent1 3" xfId="1712" xr:uid="{80FF367E-DE4F-4499-A09D-D4965256BD77}"/>
    <cellStyle name="60% - Accent1 3 2" xfId="1713" xr:uid="{BAE0325F-7B89-4D30-ACA0-3D9BE96B797D}"/>
    <cellStyle name="60% - Accent1 3 3" xfId="1714" xr:uid="{0E113232-736E-45AC-A25C-6D6D63700F2B}"/>
    <cellStyle name="60% - Accent1 30" xfId="1715" xr:uid="{305A43EF-E829-4C06-A948-A14D53D98769}"/>
    <cellStyle name="60% - Accent1 31" xfId="1716" xr:uid="{C0430B50-8D6B-417C-8706-3A678B1C3CF2}"/>
    <cellStyle name="60% - Accent1 32" xfId="1717" xr:uid="{1F8C0CE6-4ECB-4517-959D-F860EDA9F6CE}"/>
    <cellStyle name="60% - Accent1 33" xfId="1718" xr:uid="{E339EAA6-3CDC-492D-836E-CC1249D7BA75}"/>
    <cellStyle name="60% - Accent1 34" xfId="1719" xr:uid="{F4777057-BBCC-45AA-B308-2B5527B3C84B}"/>
    <cellStyle name="60% - Accent1 35" xfId="1720" xr:uid="{32B732F4-34CF-4BA6-B260-DA3800C93F7D}"/>
    <cellStyle name="60% - Accent1 35 2" xfId="1721" xr:uid="{DE557FC8-CFB4-4791-845A-A9F435235606}"/>
    <cellStyle name="60% - Accent1 35 2 2" xfId="1722" xr:uid="{3583F878-FCE0-4CA0-90B5-C108BDA3F8E8}"/>
    <cellStyle name="60% - Accent1 35 2 2 2" xfId="1723" xr:uid="{CB81EF6A-A45B-4BB1-B644-4D3F1D63E51D}"/>
    <cellStyle name="60% - Accent1 35 3" xfId="1724" xr:uid="{F8F3D26E-4685-44D6-85BD-3752879DFE0C}"/>
    <cellStyle name="60% - Accent1 35 4" xfId="1725" xr:uid="{60BDC08C-A06D-4A89-9C1F-BB5EB5B5883D}"/>
    <cellStyle name="60% - Accent1 36" xfId="1726" xr:uid="{7B430674-A209-463C-AED6-970B50D339F6}"/>
    <cellStyle name="60% - Accent1 37" xfId="1727" xr:uid="{D6537924-3B81-4BD7-9A66-A0C31650B7DA}"/>
    <cellStyle name="60% - Accent1 38" xfId="1728" xr:uid="{62FA092A-940F-4D06-BCCB-771E2553DB56}"/>
    <cellStyle name="60% - Accent1 39" xfId="1729" xr:uid="{1766EBA4-C34C-448A-9629-25DECC4B3027}"/>
    <cellStyle name="60% - Accent1 4" xfId="1730" xr:uid="{84414EC7-ADFB-4067-8AA6-C2122BA2436C}"/>
    <cellStyle name="60% - Accent1 4 2" xfId="1731" xr:uid="{8A345505-7C36-4088-813F-ED809FA2F738}"/>
    <cellStyle name="60% - Accent1 40" xfId="1732" xr:uid="{B492F5CF-9BE4-440B-979A-5A6C02AE6226}"/>
    <cellStyle name="60% - Accent1 41" xfId="1733" xr:uid="{EF94F461-90D7-44AC-ADA4-038C321549C9}"/>
    <cellStyle name="60% - Accent1 42" xfId="1734" xr:uid="{81E09EE9-13E5-4BBA-816B-408152C16D55}"/>
    <cellStyle name="60% - Accent1 43" xfId="1735" xr:uid="{38AC0EB0-7A55-4FDA-B650-3A45C2560E1F}"/>
    <cellStyle name="60% - Accent1 44" xfId="1736" xr:uid="{CBA3664F-85BF-438F-8FEE-B85146E75496}"/>
    <cellStyle name="60% - Accent1 45" xfId="1737" xr:uid="{F3E7AE47-5E79-4108-9528-7C63CFD030D2}"/>
    <cellStyle name="60% - Accent1 46" xfId="1738" xr:uid="{48E7ADB6-DB4E-4CF4-93F0-7125FFE24786}"/>
    <cellStyle name="60% - Accent1 47" xfId="1739" xr:uid="{0582752E-BD81-4143-B276-685E3CE46011}"/>
    <cellStyle name="60% - Accent1 48" xfId="1740" xr:uid="{491F4B25-B27E-4F4C-8CE3-060C15F05257}"/>
    <cellStyle name="60% - Accent1 49" xfId="1741" xr:uid="{AD5549AD-2250-4F49-8A74-4AADB6D6937C}"/>
    <cellStyle name="60% - Accent1 5" xfId="1742" xr:uid="{BAA5338A-570B-43A7-8155-5DFE3FF9B8B4}"/>
    <cellStyle name="60% - Accent1 50" xfId="1743" xr:uid="{0AAF6266-B775-4214-967F-E9218DE94741}"/>
    <cellStyle name="60% - Accent1 51" xfId="1744" xr:uid="{544DF4EB-E7FF-4C00-8BD6-94781A997404}"/>
    <cellStyle name="60% - Accent1 52" xfId="1745" xr:uid="{6EAF02B6-AE36-47B1-9E55-8FD192375923}"/>
    <cellStyle name="60% - Accent1 53" xfId="1746" xr:uid="{E32BEC8C-8248-43CD-B2EB-E384D07AF6FA}"/>
    <cellStyle name="60% - Accent1 54" xfId="1747" xr:uid="{2EF09FC8-86D0-4022-A45A-75E5642E12B4}"/>
    <cellStyle name="60% - Accent1 55" xfId="1748" xr:uid="{200BE6D8-F4CB-402E-9DDE-1FD3B5BB32EA}"/>
    <cellStyle name="60% - Accent1 56" xfId="1749" xr:uid="{8E56305A-2369-4B8A-9B92-A57265A1044F}"/>
    <cellStyle name="60% - Accent1 57" xfId="1750" xr:uid="{94BC7493-195E-4D5F-836C-AE13EE8B4DF7}"/>
    <cellStyle name="60% - Accent1 58" xfId="1751" xr:uid="{959990DA-A4AD-4EB5-A856-470253A9417D}"/>
    <cellStyle name="60% - Accent1 59" xfId="1752" xr:uid="{118F8733-B5A5-4572-9126-371A9690FAC6}"/>
    <cellStyle name="60% - Accent1 6" xfId="1753" xr:uid="{151AE255-7AA8-4EE4-A502-422D904C7AD1}"/>
    <cellStyle name="60% - Accent1 60" xfId="1754" xr:uid="{BF88942B-3EBA-4766-9E38-A3AD0925FF2E}"/>
    <cellStyle name="60% - Accent1 60 2" xfId="1755" xr:uid="{860E4244-CB5B-452D-89C7-958C8E46703E}"/>
    <cellStyle name="60% - Accent1 60 2 2" xfId="1756" xr:uid="{7A73ACBD-FE7E-48CF-8B34-20C94279A2BD}"/>
    <cellStyle name="60% - Accent1 60 2 2 2" xfId="1757" xr:uid="{CF1AD9B7-3C67-456B-8653-FE4C09B15832}"/>
    <cellStyle name="60% - Accent1 60 2 3" xfId="1758" xr:uid="{C97C78A3-7A03-40EE-8E1B-EA855179A587}"/>
    <cellStyle name="60% - Accent1 61" xfId="1759" xr:uid="{820515E5-F3BC-4894-9B5D-A5E9ABCE2954}"/>
    <cellStyle name="60% - Accent1 62" xfId="1760" xr:uid="{E0A06572-4AED-4D91-BBFA-AAB6ED0C4C64}"/>
    <cellStyle name="60% - Accent1 63" xfId="1761" xr:uid="{8E480E7D-6CC5-4F44-8A12-75AE8459535C}"/>
    <cellStyle name="60% - Accent1 64" xfId="1762" xr:uid="{33986AE4-6CE1-4564-AF1F-0DA6A37321F8}"/>
    <cellStyle name="60% - Accent1 65" xfId="1763" xr:uid="{8A9ABDF2-7109-402E-A77D-985D4F649DC4}"/>
    <cellStyle name="60% - Accent1 7" xfId="1764" xr:uid="{38425F5D-96C9-425D-9EF0-3534BCC4D4AD}"/>
    <cellStyle name="60% - Accent1 8" xfId="1765" xr:uid="{13F86118-5840-4BBD-95D5-4F6A6665BFB7}"/>
    <cellStyle name="60% - Accent1 9" xfId="1766" xr:uid="{831E0E00-5B86-430C-99AF-71168DE54EB4}"/>
    <cellStyle name="60% - Accent2 10" xfId="1767" xr:uid="{BBFBAD46-A48A-425D-A2A9-E997667EE05D}"/>
    <cellStyle name="60% - Accent2 11" xfId="1768" xr:uid="{7770B794-755B-4FB0-9939-562FCDFD14CF}"/>
    <cellStyle name="60% - Accent2 12" xfId="1769" xr:uid="{CA827B33-F6F2-4FA3-B6A1-55FB28D36E53}"/>
    <cellStyle name="60% - Accent2 13" xfId="1770" xr:uid="{E877461A-797D-461D-957D-7F07A80C0538}"/>
    <cellStyle name="60% - Accent2 14" xfId="1771" xr:uid="{6E0AF7D0-1515-4814-ABD3-FBBAA0D4A013}"/>
    <cellStyle name="60% - Accent2 15" xfId="1772" xr:uid="{4B5E7B7B-0D17-45DB-8449-1EFD476D07D1}"/>
    <cellStyle name="60% - Accent2 16" xfId="1773" xr:uid="{9AFF2BBC-BC77-498B-A70F-C8F3204AC228}"/>
    <cellStyle name="60% - Accent2 17" xfId="1774" xr:uid="{33942375-0F49-4476-9A6E-4CC1A2CD64CE}"/>
    <cellStyle name="60% - Accent2 18" xfId="1775" xr:uid="{F45B67A2-2C6F-478A-B58C-7120967B2DDC}"/>
    <cellStyle name="60% - Accent2 19" xfId="1776" xr:uid="{08A4BD18-DB66-42C9-99B5-83DBF3F75867}"/>
    <cellStyle name="60% - Accent2 2" xfId="33" xr:uid="{88DF81F7-DF40-4ACA-B6D6-A53040314A89}"/>
    <cellStyle name="60% - Accent2 2 2" xfId="1778" xr:uid="{00959467-5C92-4403-B678-EBC32D1500EB}"/>
    <cellStyle name="60% - Accent2 2 2 2" xfId="1779" xr:uid="{E9B65671-21A1-4786-8734-3C544BCF7C92}"/>
    <cellStyle name="60% - Accent2 2 2 3" xfId="1780" xr:uid="{B9EDC01D-020A-422C-9015-7045BD269AA9}"/>
    <cellStyle name="60% - Accent2 2 3" xfId="1781" xr:uid="{09D18CF3-EC26-4C0D-B50B-3E6E9F05514B}"/>
    <cellStyle name="60% - Accent2 2 4" xfId="1782" xr:uid="{414E280F-8FEC-437C-914F-88AAEA129DEA}"/>
    <cellStyle name="60% - Accent2 2 5" xfId="1783" xr:uid="{A7C8BAF3-F1FC-4CFB-B9B8-4C47C2059A2B}"/>
    <cellStyle name="60% - Accent2 2 6" xfId="1777" xr:uid="{3C87F3B3-1DAF-4878-9E2F-0F6D5AE315DA}"/>
    <cellStyle name="60% - Accent2 20" xfId="1784" xr:uid="{DC039DF0-5738-4B29-8BB0-90A0B8EDA4A2}"/>
    <cellStyle name="60% - Accent2 21" xfId="1785" xr:uid="{45EEAE42-C0F6-410F-9CB7-00F1F60089ED}"/>
    <cellStyle name="60% - Accent2 22" xfId="1786" xr:uid="{0F7DC057-7208-4AD9-B6E3-6FBC5C7F9F93}"/>
    <cellStyle name="60% - Accent2 23" xfId="1787" xr:uid="{D56AA4A6-0E5D-4CEF-8426-8107D91F1F29}"/>
    <cellStyle name="60% - Accent2 24" xfId="1788" xr:uid="{9A3D6E22-9E78-48D5-B66B-4FE46CA43EA5}"/>
    <cellStyle name="60% - Accent2 25" xfId="1789" xr:uid="{810701C0-BD7A-4B06-AD48-AD5E4196928C}"/>
    <cellStyle name="60% - Accent2 26" xfId="1790" xr:uid="{930F886D-AE4B-4CD8-ADCB-DF1EF46A6F57}"/>
    <cellStyle name="60% - Accent2 27" xfId="1791" xr:uid="{DC31F47F-49D2-4F05-9A3D-F13AABA92639}"/>
    <cellStyle name="60% - Accent2 28" xfId="1792" xr:uid="{6306F85A-5EBC-41EA-9EB7-BCB363757D28}"/>
    <cellStyle name="60% - Accent2 29" xfId="1793" xr:uid="{434E87E1-42F1-4943-AA07-99528CB6E5C1}"/>
    <cellStyle name="60% - Accent2 3" xfId="1794" xr:uid="{527517BF-0D5A-440C-97BC-9365F01D86BB}"/>
    <cellStyle name="60% - Accent2 3 2" xfId="1795" xr:uid="{EB900460-57F0-4771-9188-30593ED5D5EA}"/>
    <cellStyle name="60% - Accent2 30" xfId="1796" xr:uid="{FDD2874C-172C-4376-A7E6-991E60A785E2}"/>
    <cellStyle name="60% - Accent2 31" xfId="1797" xr:uid="{F97E2436-0FC8-434E-96E5-E8D93B55A9A9}"/>
    <cellStyle name="60% - Accent2 32" xfId="1798" xr:uid="{085BAAD1-DDB5-409F-818B-EF6191B26EC9}"/>
    <cellStyle name="60% - Accent2 33" xfId="1799" xr:uid="{7D657B5E-DB76-485D-AD5F-37F7D88BECEB}"/>
    <cellStyle name="60% - Accent2 34" xfId="1800" xr:uid="{3CC0123B-F320-4EBD-A280-3E1B9B578D4F}"/>
    <cellStyle name="60% - Accent2 35" xfId="1801" xr:uid="{05F5E438-B709-442D-BDC8-BFF8D3FE525D}"/>
    <cellStyle name="60% - Accent2 35 2" xfId="1802" xr:uid="{56EB0DB2-7128-4BFB-9520-774C2F829EC9}"/>
    <cellStyle name="60% - Accent2 35 2 2" xfId="1803" xr:uid="{DF57C0A5-1FAB-4BEA-85C8-A8A1C52A3A5A}"/>
    <cellStyle name="60% - Accent2 35 2 2 2" xfId="1804" xr:uid="{6841A2EC-8B41-4B30-A0C9-952C80F5BD1C}"/>
    <cellStyle name="60% - Accent2 35 3" xfId="1805" xr:uid="{1A9DDD1D-44EB-4B4A-91B9-C35DEDB66448}"/>
    <cellStyle name="60% - Accent2 35 4" xfId="1806" xr:uid="{232B3C04-F497-489E-80B6-49579746334F}"/>
    <cellStyle name="60% - Accent2 36" xfId="1807" xr:uid="{AC81CC66-7E9E-4B19-8A10-FB7E6DAB6937}"/>
    <cellStyle name="60% - Accent2 37" xfId="1808" xr:uid="{1666CA84-0F59-4D89-8694-AFB4BA562675}"/>
    <cellStyle name="60% - Accent2 38" xfId="1809" xr:uid="{E004D28A-90E1-4211-967F-66D32C3A44C3}"/>
    <cellStyle name="60% - Accent2 39" xfId="1810" xr:uid="{84EBA300-74AC-4E6E-AF9A-A62212FEE71F}"/>
    <cellStyle name="60% - Accent2 4" xfId="1811" xr:uid="{2B1DE3B9-AF2C-486A-810E-C2C246FE7CAA}"/>
    <cellStyle name="60% - Accent2 4 2" xfId="1812" xr:uid="{83474EA9-CF22-498B-B7F0-BE72FDDD3187}"/>
    <cellStyle name="60% - Accent2 40" xfId="1813" xr:uid="{E9DEA18D-F8E6-47F3-A800-4E4EB61E2D22}"/>
    <cellStyle name="60% - Accent2 41" xfId="1814" xr:uid="{B91EBEB8-F791-4811-8B31-B512C385EBC6}"/>
    <cellStyle name="60% - Accent2 42" xfId="1815" xr:uid="{612F88FC-FAFC-4E29-899D-4C0A579ED9F2}"/>
    <cellStyle name="60% - Accent2 43" xfId="1816" xr:uid="{649A42EC-4C06-40EB-93F3-17E230423F31}"/>
    <cellStyle name="60% - Accent2 44" xfId="1817" xr:uid="{EC466BBC-33E8-4604-8C42-B4128B3D6413}"/>
    <cellStyle name="60% - Accent2 45" xfId="1818" xr:uid="{E9A15DBA-BDF0-4536-AA85-0F5650A9F97A}"/>
    <cellStyle name="60% - Accent2 46" xfId="1819" xr:uid="{BFC53E8A-541D-4417-B28F-0AA06A8A160B}"/>
    <cellStyle name="60% - Accent2 47" xfId="1820" xr:uid="{1F5D00BE-391B-461A-BB66-2D12DB81A01E}"/>
    <cellStyle name="60% - Accent2 48" xfId="1821" xr:uid="{425922CD-5AC8-449A-A940-19EA7B47AEBD}"/>
    <cellStyle name="60% - Accent2 49" xfId="1822" xr:uid="{86511E8F-0121-4EB6-92AC-7CB11A4D18F2}"/>
    <cellStyle name="60% - Accent2 5" xfId="1823" xr:uid="{830BB482-5CDA-4ABE-928E-1AF885C569CA}"/>
    <cellStyle name="60% - Accent2 50" xfId="1824" xr:uid="{BE0FBEDE-D9E6-461D-AD97-7AB1F9D544D9}"/>
    <cellStyle name="60% - Accent2 51" xfId="1825" xr:uid="{CD31CBF0-A612-4B49-BF5A-D41DCA22699C}"/>
    <cellStyle name="60% - Accent2 52" xfId="1826" xr:uid="{A7AD59BD-DC4F-4D96-A34D-917E62CE8933}"/>
    <cellStyle name="60% - Accent2 53" xfId="1827" xr:uid="{562D6B2B-73FA-4402-A4D1-965EAB250258}"/>
    <cellStyle name="60% - Accent2 54" xfId="1828" xr:uid="{3EB6FC9B-6666-4DCB-B8F5-81462BC7C4FE}"/>
    <cellStyle name="60% - Accent2 55" xfId="1829" xr:uid="{EC8F0538-C45D-42AA-B92A-3A0FE5E337F2}"/>
    <cellStyle name="60% - Accent2 56" xfId="1830" xr:uid="{961DBD12-5967-4106-A70F-B5E9B9C04D07}"/>
    <cellStyle name="60% - Accent2 57" xfId="1831" xr:uid="{666D6D7F-1F2F-4235-97BB-3A806C2BC08C}"/>
    <cellStyle name="60% - Accent2 58" xfId="1832" xr:uid="{2F798446-FCF3-4898-8EE0-6B9E1ECF33E2}"/>
    <cellStyle name="60% - Accent2 59" xfId="1833" xr:uid="{75F33FF9-2029-433A-A3A6-84854738B1E0}"/>
    <cellStyle name="60% - Accent2 6" xfId="1834" xr:uid="{909E99B3-522F-44F5-B02D-56C9CAD217F0}"/>
    <cellStyle name="60% - Accent2 60" xfId="1835" xr:uid="{C48E956A-C9D0-4C33-BF5D-7E2200FFA857}"/>
    <cellStyle name="60% - Accent2 60 2" xfId="1836" xr:uid="{B18D6152-6B1F-4017-9363-C2646C552D82}"/>
    <cellStyle name="60% - Accent2 60 2 2" xfId="1837" xr:uid="{01CCE758-D18D-4332-833E-BF44EF6FEF79}"/>
    <cellStyle name="60% - Accent2 60 2 3" xfId="1838" xr:uid="{FA45A50F-BFBE-40F4-BE1D-2726F358B546}"/>
    <cellStyle name="60% - Accent2 61" xfId="1839" xr:uid="{94F9A1B2-F956-4355-AE3A-1F59C4C1C341}"/>
    <cellStyle name="60% - Accent2 62" xfId="1840" xr:uid="{FD026139-8ABC-4A5A-8FC1-47759F4579B0}"/>
    <cellStyle name="60% - Accent2 63" xfId="1841" xr:uid="{9B542EB2-4F53-4427-A788-ED4858D2FF5C}"/>
    <cellStyle name="60% - Accent2 64" xfId="1842" xr:uid="{88D8DD30-C389-4458-9062-B1EEDDA66CE6}"/>
    <cellStyle name="60% - Accent2 65" xfId="1843" xr:uid="{DA3ED8D4-8FD5-49EF-B690-53A21D0039BB}"/>
    <cellStyle name="60% - Accent2 7" xfId="1844" xr:uid="{51E1ED91-29C2-45F8-AAFA-240077D1B916}"/>
    <cellStyle name="60% - Accent2 8" xfId="1845" xr:uid="{DD056CD6-3152-498E-95BF-6529FBC9E2BE}"/>
    <cellStyle name="60% - Accent2 9" xfId="1846" xr:uid="{434775AE-7C14-40DE-A62F-F7B1C894644E}"/>
    <cellStyle name="60% - Accent3 10" xfId="1847" xr:uid="{A0D7B42A-CBDA-4FDD-A4B9-4F57C72217DB}"/>
    <cellStyle name="60% - Accent3 11" xfId="1848" xr:uid="{2DF6321D-D4CB-4E43-B4C9-8992DE1AA45F}"/>
    <cellStyle name="60% - Accent3 12" xfId="1849" xr:uid="{611169AE-B61C-4A7F-874C-AB9E5FAEFF3D}"/>
    <cellStyle name="60% - Accent3 13" xfId="1850" xr:uid="{C5947DD4-8F2C-4B0F-950B-36A28CBFA99C}"/>
    <cellStyle name="60% - Accent3 14" xfId="1851" xr:uid="{D1D0CD73-354C-4130-BB68-B2DD659EBF85}"/>
    <cellStyle name="60% - Accent3 15" xfId="1852" xr:uid="{449FDA24-2BD4-47D6-B843-02DED5B290CD}"/>
    <cellStyle name="60% - Accent3 16" xfId="1853" xr:uid="{7F03BC43-BCDA-40EE-A6A7-53E56C4BDFA2}"/>
    <cellStyle name="60% - Accent3 17" xfId="1854" xr:uid="{DDF16A36-AF50-4443-9359-879134E74A52}"/>
    <cellStyle name="60% - Accent3 18" xfId="1855" xr:uid="{54B338D2-D03F-47B2-A145-E206CC8C4220}"/>
    <cellStyle name="60% - Accent3 19" xfId="1856" xr:uid="{331C1C4D-5C34-4AC9-89A2-AB8DB52F50D0}"/>
    <cellStyle name="60% - Accent3 2" xfId="34" xr:uid="{EF70D975-949E-449A-A891-403B952D268A}"/>
    <cellStyle name="60% - Accent3 2 2" xfId="1858" xr:uid="{6A48C010-499D-411C-A2B0-526EA702FB92}"/>
    <cellStyle name="60% - Accent3 2 2 2" xfId="1859" xr:uid="{7175598E-AA2A-4E3E-9D26-DDA6737E718F}"/>
    <cellStyle name="60% - Accent3 2 2 3" xfId="1860" xr:uid="{518A2838-04E7-415C-9824-66D1BD7E2BB7}"/>
    <cellStyle name="60% - Accent3 2 3" xfId="1861" xr:uid="{92162FEB-1E9C-4DDA-A9C9-7EB446172C20}"/>
    <cellStyle name="60% - Accent3 2 4" xfId="1862" xr:uid="{BDD2DC78-EBEE-4B2B-ACFC-C5BF6CECE5B7}"/>
    <cellStyle name="60% - Accent3 2 5" xfId="1863" xr:uid="{1C66C8FA-A7EC-450E-A3D4-5E965602935D}"/>
    <cellStyle name="60% - Accent3 2 6" xfId="1857" xr:uid="{76ED4B8E-6FCF-4B4D-8D44-71DCB497311B}"/>
    <cellStyle name="60% - Accent3 20" xfId="1864" xr:uid="{50B30CAD-1C93-48CC-9057-449A83F86C54}"/>
    <cellStyle name="60% - Accent3 21" xfId="1865" xr:uid="{1B1A0367-A503-4EC4-BABD-8D67F1D81AB0}"/>
    <cellStyle name="60% - Accent3 22" xfId="1866" xr:uid="{167EFD74-A57D-40EA-89C5-010C1FB98885}"/>
    <cellStyle name="60% - Accent3 23" xfId="1867" xr:uid="{2A176BFF-8508-4049-85BB-6460853A077B}"/>
    <cellStyle name="60% - Accent3 24" xfId="1868" xr:uid="{5F9A963E-FEF7-4831-B03C-D8CC9281EF88}"/>
    <cellStyle name="60% - Accent3 25" xfId="1869" xr:uid="{E5198814-AC14-44EA-A01B-006FB4411DC5}"/>
    <cellStyle name="60% - Accent3 26" xfId="1870" xr:uid="{EB6613C0-BD0E-484B-A35C-FEE870B91B87}"/>
    <cellStyle name="60% - Accent3 27" xfId="1871" xr:uid="{BBE48651-9534-4087-AA2A-0B70AF5BE6CF}"/>
    <cellStyle name="60% - Accent3 28" xfId="1872" xr:uid="{A409E145-5ED4-4BBF-8DC8-772799281E48}"/>
    <cellStyle name="60% - Accent3 29" xfId="1873" xr:uid="{A7120BE3-FC31-43D1-9636-D4C07D22952D}"/>
    <cellStyle name="60% - Accent3 3" xfId="1874" xr:uid="{CBFA44F7-18D3-442D-B55A-02289246F617}"/>
    <cellStyle name="60% - Accent3 3 2" xfId="1875" xr:uid="{BDE4C645-8A0F-482D-A8AE-AAC852D0371B}"/>
    <cellStyle name="60% - Accent3 3 3" xfId="1876" xr:uid="{39049BCD-D334-420C-B00F-CF781FCB8100}"/>
    <cellStyle name="60% - Accent3 30" xfId="1877" xr:uid="{D1909D32-B548-4E4F-A40C-E956AB1C97C3}"/>
    <cellStyle name="60% - Accent3 31" xfId="1878" xr:uid="{AED3BB5F-EA62-4802-AD18-A8C103FB24AD}"/>
    <cellStyle name="60% - Accent3 32" xfId="1879" xr:uid="{E8657300-5199-49D7-B854-26186E87D7CF}"/>
    <cellStyle name="60% - Accent3 33" xfId="1880" xr:uid="{E09CB75C-9611-4C39-9A8F-BC0C1FFB222C}"/>
    <cellStyle name="60% - Accent3 34" xfId="1881" xr:uid="{3E48B47E-1E18-485D-913F-95D379920768}"/>
    <cellStyle name="60% - Accent3 35" xfId="1882" xr:uid="{504590B7-CE81-4B20-B846-F59B0229B13E}"/>
    <cellStyle name="60% - Accent3 35 2" xfId="1883" xr:uid="{3E57FB15-729F-4C9E-B8AD-DC88AA412CF7}"/>
    <cellStyle name="60% - Accent3 35 2 2" xfId="1884" xr:uid="{5383BC8E-A9F5-499D-B364-CACB3AF11570}"/>
    <cellStyle name="60% - Accent3 35 2 2 2" xfId="1885" xr:uid="{BCEAF6BA-399A-4E1C-8651-1702470FAC02}"/>
    <cellStyle name="60% - Accent3 35 3" xfId="1886" xr:uid="{0D6703EE-183C-491A-8757-AEC338A63FC5}"/>
    <cellStyle name="60% - Accent3 35 4" xfId="1887" xr:uid="{300AE31A-7AA9-4E77-B95D-14D055788DD9}"/>
    <cellStyle name="60% - Accent3 36" xfId="1888" xr:uid="{8F45B032-4B07-4AC1-BF9C-DF8304E7F8C6}"/>
    <cellStyle name="60% - Accent3 37" xfId="1889" xr:uid="{40D483E5-2B28-46D7-8F36-A63E22812663}"/>
    <cellStyle name="60% - Accent3 38" xfId="1890" xr:uid="{6F365302-E376-4D92-946B-486932A6DCDA}"/>
    <cellStyle name="60% - Accent3 39" xfId="1891" xr:uid="{7F073CD8-8598-4625-9B20-07E1807CB2B6}"/>
    <cellStyle name="60% - Accent3 4" xfId="1892" xr:uid="{9FCABF0A-F149-4E80-888E-ECC5173E66B8}"/>
    <cellStyle name="60% - Accent3 40" xfId="1893" xr:uid="{44386D24-6588-4D9E-BB95-8FAF68C08D2D}"/>
    <cellStyle name="60% - Accent3 41" xfId="1894" xr:uid="{877CAC2F-7D98-436E-BC96-C969817F30F9}"/>
    <cellStyle name="60% - Accent3 42" xfId="1895" xr:uid="{1F851F32-1439-47CF-83D1-A327A2B02C1C}"/>
    <cellStyle name="60% - Accent3 43" xfId="1896" xr:uid="{648C4998-D135-41E4-B26F-318C7242A2AD}"/>
    <cellStyle name="60% - Accent3 44" xfId="1897" xr:uid="{A65BCFDF-3804-434A-9D06-29E04CEACC1B}"/>
    <cellStyle name="60% - Accent3 45" xfId="1898" xr:uid="{9A4FF9E3-8145-41D5-BE92-73F71E078376}"/>
    <cellStyle name="60% - Accent3 46" xfId="1899" xr:uid="{E5DC97DB-89CC-407E-8B9E-DF5604165457}"/>
    <cellStyle name="60% - Accent3 47" xfId="1900" xr:uid="{651DDE61-3A69-44C5-90B7-A91C871BD884}"/>
    <cellStyle name="60% - Accent3 48" xfId="1901" xr:uid="{0D1E7A92-2130-44B7-8635-6BA6B10DB1F2}"/>
    <cellStyle name="60% - Accent3 49" xfId="1902" xr:uid="{6C99E07B-847F-456C-9B6E-1B6C706C881C}"/>
    <cellStyle name="60% - Accent3 5" xfId="1903" xr:uid="{2D01B2E4-8856-4516-B45B-FE1FC56BAD7A}"/>
    <cellStyle name="60% - Accent3 50" xfId="1904" xr:uid="{67977445-7206-4E85-8202-366149424181}"/>
    <cellStyle name="60% - Accent3 51" xfId="1905" xr:uid="{20CE0999-202E-4C09-8204-6CC97A5457E5}"/>
    <cellStyle name="60% - Accent3 52" xfId="1906" xr:uid="{71D956E6-1B3E-42CB-B592-54C0D2D20126}"/>
    <cellStyle name="60% - Accent3 53" xfId="1907" xr:uid="{0A45B40E-718C-415C-97FD-230CC7C1B022}"/>
    <cellStyle name="60% - Accent3 54" xfId="1908" xr:uid="{04F125C0-A43F-4A45-888A-311B3F1E304B}"/>
    <cellStyle name="60% - Accent3 55" xfId="1909" xr:uid="{D9758B62-1D61-44F8-819A-B7AEB356A196}"/>
    <cellStyle name="60% - Accent3 56" xfId="1910" xr:uid="{35EAD29D-4862-4E98-A9F7-EF3F2EE99588}"/>
    <cellStyle name="60% - Accent3 57" xfId="1911" xr:uid="{45F1E353-67BA-4AED-A523-72DC2EEC1C60}"/>
    <cellStyle name="60% - Accent3 58" xfId="1912" xr:uid="{A88B595E-35D9-43E5-8C10-27FB9A855DC6}"/>
    <cellStyle name="60% - Accent3 59" xfId="1913" xr:uid="{A550EC74-DEAF-4D9B-8A65-6ACD0C35FCEB}"/>
    <cellStyle name="60% - Accent3 6" xfId="1914" xr:uid="{17027AAF-EAC0-43FD-9990-3668A93C7AF4}"/>
    <cellStyle name="60% - Accent3 60" xfId="1915" xr:uid="{713CBE36-8ADF-440D-9AE4-EC8598C173B2}"/>
    <cellStyle name="60% - Accent3 60 2" xfId="1916" xr:uid="{895253A2-CA77-4730-A4D1-9C566EDA96A6}"/>
    <cellStyle name="60% - Accent3 60 2 2" xfId="1917" xr:uid="{831DFB69-C932-49FB-99EB-4CA10D013CAE}"/>
    <cellStyle name="60% - Accent3 60 2 2 2" xfId="1918" xr:uid="{4D4A014B-A6F0-4D54-ACD9-FDCBB4E8DD2E}"/>
    <cellStyle name="60% - Accent3 60 2 3" xfId="1919" xr:uid="{972D29AD-E1B2-4D9A-A7D7-3EA8DE97DC75}"/>
    <cellStyle name="60% - Accent3 61" xfId="1920" xr:uid="{32A877C1-31A2-4D9A-B945-FC74AD7A40C0}"/>
    <cellStyle name="60% - Accent3 62" xfId="1921" xr:uid="{C7BE96FF-F773-41B5-B5CF-3FC6609546BA}"/>
    <cellStyle name="60% - Accent3 63" xfId="1922" xr:uid="{556CC562-BCEF-4A5F-8110-7DF45A01D1EF}"/>
    <cellStyle name="60% - Accent3 64" xfId="1923" xr:uid="{59856B3D-7D0C-4E51-9D07-1D0A890FE3FE}"/>
    <cellStyle name="60% - Accent3 65" xfId="1924" xr:uid="{E479CB76-83E4-446E-BED2-C1B45A79CB37}"/>
    <cellStyle name="60% - Accent3 7" xfId="1925" xr:uid="{7601C63D-DC32-4643-9F73-32174BDB3061}"/>
    <cellStyle name="60% - Accent3 8" xfId="1926" xr:uid="{F5F9426A-9DC3-42EA-85CA-10561A8E8D66}"/>
    <cellStyle name="60% - Accent3 9" xfId="1927" xr:uid="{2609AB92-12F0-4886-AD7F-627E1FABAED5}"/>
    <cellStyle name="60% - Accent4 10" xfId="1928" xr:uid="{C076EE17-CA0A-4D2D-A819-F10B9D4B3DB6}"/>
    <cellStyle name="60% - Accent4 11" xfId="1929" xr:uid="{07666E43-B47F-498B-8048-7B49BB7BDD74}"/>
    <cellStyle name="60% - Accent4 12" xfId="1930" xr:uid="{D00CE64F-DA29-419B-933B-F409740D511C}"/>
    <cellStyle name="60% - Accent4 13" xfId="1931" xr:uid="{1829D675-7012-46F8-ABF4-AB97B70FEE11}"/>
    <cellStyle name="60% - Accent4 14" xfId="1932" xr:uid="{0A71611A-0356-471B-8C99-4FC92F54A04E}"/>
    <cellStyle name="60% - Accent4 15" xfId="1933" xr:uid="{7643C2D3-BF22-4321-A115-A03380E59082}"/>
    <cellStyle name="60% - Accent4 16" xfId="1934" xr:uid="{D3B2ED78-C256-4096-BACD-1E2442406CF3}"/>
    <cellStyle name="60% - Accent4 17" xfId="1935" xr:uid="{42F56F93-AC42-426E-9CDD-223ED5E2DDD0}"/>
    <cellStyle name="60% - Accent4 18" xfId="1936" xr:uid="{F1A42139-5F10-49EF-9161-E4FD9CD7E53E}"/>
    <cellStyle name="60% - Accent4 19" xfId="1937" xr:uid="{D46D8572-8F84-44E1-B34F-38DD8C8C41D5}"/>
    <cellStyle name="60% - Accent4 2" xfId="35" xr:uid="{7F8929CD-6251-441E-A0AD-EF4D4D6D13FF}"/>
    <cellStyle name="60% - Accent4 2 2" xfId="1939" xr:uid="{05F81C55-AE07-401F-851A-CBCAD2819C27}"/>
    <cellStyle name="60% - Accent4 2 2 2" xfId="1940" xr:uid="{FBC4AA8F-E5D0-4CBF-A9DD-FA0B2A4954FC}"/>
    <cellStyle name="60% - Accent4 2 2 3" xfId="1941" xr:uid="{1E105C86-AC4C-485E-B70C-36B1141475CE}"/>
    <cellStyle name="60% - Accent4 2 3" xfId="1942" xr:uid="{498DA8E5-BA5F-4CF2-9CD7-D36229AFF408}"/>
    <cellStyle name="60% - Accent4 2 4" xfId="1943" xr:uid="{51B1A8B2-053A-49CC-BFBB-769F1D1D6A11}"/>
    <cellStyle name="60% - Accent4 2 5" xfId="1944" xr:uid="{B9B0352A-3F97-438D-A621-DCB71185EE86}"/>
    <cellStyle name="60% - Accent4 2 6" xfId="1938" xr:uid="{25B737AC-3843-49F3-B11B-FA0C4A8C3A10}"/>
    <cellStyle name="60% - Accent4 20" xfId="1945" xr:uid="{D9278704-870E-4B37-86CD-763AE78BAE99}"/>
    <cellStyle name="60% - Accent4 21" xfId="1946" xr:uid="{F9E2ECA5-6CD0-43A5-BA95-FB0450361990}"/>
    <cellStyle name="60% - Accent4 22" xfId="1947" xr:uid="{675F0867-D7D5-4B74-876A-68460C7EE397}"/>
    <cellStyle name="60% - Accent4 23" xfId="1948" xr:uid="{1FDEDC17-8C67-4A8E-ABFF-693BBAF864CF}"/>
    <cellStyle name="60% - Accent4 24" xfId="1949" xr:uid="{ED1CBDEE-E69A-4F84-BD90-4840AA667217}"/>
    <cellStyle name="60% - Accent4 25" xfId="1950" xr:uid="{8558AFDB-115C-462A-923A-D41863EA00E3}"/>
    <cellStyle name="60% - Accent4 26" xfId="1951" xr:uid="{03486721-1CB1-4441-843A-C46AC949FA79}"/>
    <cellStyle name="60% - Accent4 27" xfId="1952" xr:uid="{15BD638D-45CE-4676-B2D4-0B6AE721E555}"/>
    <cellStyle name="60% - Accent4 28" xfId="1953" xr:uid="{8A3D2DF1-DE5E-4745-9822-5F6270D5548D}"/>
    <cellStyle name="60% - Accent4 29" xfId="1954" xr:uid="{A135BF38-C205-4725-8162-20E701B37843}"/>
    <cellStyle name="60% - Accent4 3" xfId="1955" xr:uid="{CF07D897-70BF-43B1-9EFA-4F45D6D2F10B}"/>
    <cellStyle name="60% - Accent4 3 2" xfId="1956" xr:uid="{A0CC2373-50BE-4FDF-89D1-087403BBEC1D}"/>
    <cellStyle name="60% - Accent4 3 3" xfId="1957" xr:uid="{567B0685-C6A1-4AEF-A1FC-1E3EBFD2CBBD}"/>
    <cellStyle name="60% - Accent4 30" xfId="1958" xr:uid="{EF85060C-56D7-447B-9D2E-066EBD87FDF4}"/>
    <cellStyle name="60% - Accent4 31" xfId="1959" xr:uid="{A4A8CF11-F0DE-453A-9793-CDF600763DC5}"/>
    <cellStyle name="60% - Accent4 32" xfId="1960" xr:uid="{E8B45634-CE5B-46DC-84E6-68E745A98477}"/>
    <cellStyle name="60% - Accent4 33" xfId="1961" xr:uid="{71FFBA8A-1239-4AF4-B3D6-2EFCEC9AC22D}"/>
    <cellStyle name="60% - Accent4 34" xfId="1962" xr:uid="{3E6B8E16-89EF-4C9A-9BD2-9AACA558B18B}"/>
    <cellStyle name="60% - Accent4 35" xfId="1963" xr:uid="{08FCF358-254E-426C-A266-A1746C021737}"/>
    <cellStyle name="60% - Accent4 35 2" xfId="1964" xr:uid="{01324D31-11A9-4CDF-9EAC-DA5AC4C12537}"/>
    <cellStyle name="60% - Accent4 35 2 2" xfId="1965" xr:uid="{F38F1518-E496-4A60-9D01-68D96A41E0D6}"/>
    <cellStyle name="60% - Accent4 35 2 2 2" xfId="1966" xr:uid="{773D6E76-97E6-4F38-8C96-C881499E4430}"/>
    <cellStyle name="60% - Accent4 35 3" xfId="1967" xr:uid="{687DA295-6397-4017-8E31-C25651659EA5}"/>
    <cellStyle name="60% - Accent4 35 4" xfId="1968" xr:uid="{A0581CE6-5D6D-4C80-B704-76C85763FFDB}"/>
    <cellStyle name="60% - Accent4 36" xfId="1969" xr:uid="{9B22B808-14E6-408A-92EC-316460E191CB}"/>
    <cellStyle name="60% - Accent4 37" xfId="1970" xr:uid="{45DB7D16-039A-4AA2-BE1A-F5A44EB0F05E}"/>
    <cellStyle name="60% - Accent4 38" xfId="1971" xr:uid="{990DBED0-63B1-4962-9AD6-281A817FCB29}"/>
    <cellStyle name="60% - Accent4 39" xfId="1972" xr:uid="{CA1FFDEF-6E5A-4BEB-998A-EB62626C4A01}"/>
    <cellStyle name="60% - Accent4 4" xfId="1973" xr:uid="{1AE4463A-187C-43E6-8F70-21042793A5A3}"/>
    <cellStyle name="60% - Accent4 4 2" xfId="1974" xr:uid="{11181DAF-7741-4445-8686-078AFDCE5C55}"/>
    <cellStyle name="60% - Accent4 40" xfId="1975" xr:uid="{7688346C-FF9F-450F-A5F5-B5BE5C1B53F3}"/>
    <cellStyle name="60% - Accent4 41" xfId="1976" xr:uid="{A456E10A-0FB6-4B78-BB26-266BDC8E6D99}"/>
    <cellStyle name="60% - Accent4 42" xfId="1977" xr:uid="{35550F88-27D8-48FA-BFC2-DC7D9564C19F}"/>
    <cellStyle name="60% - Accent4 43" xfId="1978" xr:uid="{AD4A70DC-BF40-4D49-825D-0EB7A7C7F78F}"/>
    <cellStyle name="60% - Accent4 44" xfId="1979" xr:uid="{38C27A89-5C57-4845-9292-68822D8E8E26}"/>
    <cellStyle name="60% - Accent4 45" xfId="1980" xr:uid="{DE00601C-FEED-4AB5-B7B9-A6C3366B1A78}"/>
    <cellStyle name="60% - Accent4 46" xfId="1981" xr:uid="{29A318CF-5F22-421C-B0AB-419FFE5065BA}"/>
    <cellStyle name="60% - Accent4 47" xfId="1982" xr:uid="{D49BE824-A6DE-4AEC-B0AD-9283F8ECDBDD}"/>
    <cellStyle name="60% - Accent4 48" xfId="1983" xr:uid="{F47CDF6D-4A71-4394-9C66-48E96D3D93AE}"/>
    <cellStyle name="60% - Accent4 49" xfId="1984" xr:uid="{9D4419D8-06EA-4484-80BE-2B5E3E321C51}"/>
    <cellStyle name="60% - Accent4 5" xfId="1985" xr:uid="{DEBAA707-5AF9-47BA-90DB-AD8938CFF76B}"/>
    <cellStyle name="60% - Accent4 50" xfId="1986" xr:uid="{04EE1036-9D58-467E-A6E7-847C1A102B33}"/>
    <cellStyle name="60% - Accent4 51" xfId="1987" xr:uid="{CDA3449B-C9CD-4964-9AD6-F62CDAA4685E}"/>
    <cellStyle name="60% - Accent4 52" xfId="1988" xr:uid="{57064AF5-58D6-4647-A8DD-E741F2794A73}"/>
    <cellStyle name="60% - Accent4 53" xfId="1989" xr:uid="{CB269C83-D22C-4CB8-9E5D-516D458C5069}"/>
    <cellStyle name="60% - Accent4 54" xfId="1990" xr:uid="{8776F1DB-9F59-4928-BB17-2AF873B2A5DA}"/>
    <cellStyle name="60% - Accent4 55" xfId="1991" xr:uid="{78DF9DB7-F469-4780-A5E0-A7584FC7CE0D}"/>
    <cellStyle name="60% - Accent4 56" xfId="1992" xr:uid="{E42581B6-914E-4AF3-89B3-2631E797330F}"/>
    <cellStyle name="60% - Accent4 57" xfId="1993" xr:uid="{90F31CEC-044C-40FD-84C5-48E1B9B31BBD}"/>
    <cellStyle name="60% - Accent4 58" xfId="1994" xr:uid="{B6207081-EC6B-472D-BB02-46F093851203}"/>
    <cellStyle name="60% - Accent4 59" xfId="1995" xr:uid="{53605318-8157-4DE6-824F-8ABC66822FEE}"/>
    <cellStyle name="60% - Accent4 6" xfId="1996" xr:uid="{FA4AF437-3D74-4800-B05F-48C20302D6EC}"/>
    <cellStyle name="60% - Accent4 60" xfId="1997" xr:uid="{A7883637-D512-42E8-9D56-30B16E6DBC91}"/>
    <cellStyle name="60% - Accent4 60 2" xfId="1998" xr:uid="{C335AC00-E49C-487F-8899-CBBB1937A1C4}"/>
    <cellStyle name="60% - Accent4 60 2 2" xfId="1999" xr:uid="{6AA60E29-F820-4B23-84DF-1F9748199973}"/>
    <cellStyle name="60% - Accent4 60 2 2 2" xfId="2000" xr:uid="{EF65DDF2-83BE-4DF9-A68E-4E00D3379129}"/>
    <cellStyle name="60% - Accent4 60 2 3" xfId="2001" xr:uid="{4D3D9DD7-8B23-4A3A-B859-135189F1D858}"/>
    <cellStyle name="60% - Accent4 61" xfId="2002" xr:uid="{2762D462-EFFF-4D71-AE15-90C47F288AAC}"/>
    <cellStyle name="60% - Accent4 62" xfId="2003" xr:uid="{C8AE3418-95CD-4C47-A289-7A1099E5B58E}"/>
    <cellStyle name="60% - Accent4 63" xfId="2004" xr:uid="{D6EB3A0D-9D24-47F0-8E21-F6C06F3D8DE5}"/>
    <cellStyle name="60% - Accent4 64" xfId="2005" xr:uid="{F335A1F6-7D08-406E-81E7-267CB5867610}"/>
    <cellStyle name="60% - Accent4 65" xfId="2006" xr:uid="{B1326998-5AE6-494F-82F5-8734D8E3A5E3}"/>
    <cellStyle name="60% - Accent4 7" xfId="2007" xr:uid="{9DEA839C-59E7-4E9A-A799-23F6E304C4A7}"/>
    <cellStyle name="60% - Accent4 8" xfId="2008" xr:uid="{57522F35-46E3-4E82-B3B0-62D78A09601A}"/>
    <cellStyle name="60% - Accent4 9" xfId="2009" xr:uid="{2988C222-41A4-4DD1-B87B-F35EE77BB0E4}"/>
    <cellStyle name="60% - Accent5 10" xfId="2010" xr:uid="{117FE386-2FD9-42FF-89D1-847168A61B32}"/>
    <cellStyle name="60% - Accent5 11" xfId="2011" xr:uid="{B0812517-15D7-47AA-B2A7-B8FCA223ACBA}"/>
    <cellStyle name="60% - Accent5 12" xfId="2012" xr:uid="{6C0FEAE9-690E-4F46-B467-709927DFCA42}"/>
    <cellStyle name="60% - Accent5 13" xfId="2013" xr:uid="{4F937484-1044-4B35-AD60-1641C5FED003}"/>
    <cellStyle name="60% - Accent5 14" xfId="2014" xr:uid="{14BAE4B8-FD8C-4681-A028-FD3DBBC49D73}"/>
    <cellStyle name="60% - Accent5 15" xfId="2015" xr:uid="{D41991EE-C5FA-4473-BDC3-B2C8A8747B15}"/>
    <cellStyle name="60% - Accent5 16" xfId="2016" xr:uid="{65CE94D1-F8CE-4A7A-966D-72F75E78B64B}"/>
    <cellStyle name="60% - Accent5 17" xfId="2017" xr:uid="{B2259650-680A-4759-9296-BB54128A9E83}"/>
    <cellStyle name="60% - Accent5 18" xfId="2018" xr:uid="{6777FDFF-4576-4FE8-A623-D6220DC61E6E}"/>
    <cellStyle name="60% - Accent5 19" xfId="2019" xr:uid="{1F12334A-637D-49A5-A8E5-E21E6371DA0C}"/>
    <cellStyle name="60% - Accent5 2" xfId="36" xr:uid="{D2DF0C0C-8A23-40C0-812F-BE1DEAC894C5}"/>
    <cellStyle name="60% - Accent5 2 2" xfId="2021" xr:uid="{F8B57812-BBF9-44BA-A37A-DD366FB05F53}"/>
    <cellStyle name="60% - Accent5 2 2 2" xfId="2022" xr:uid="{0F7994AB-AC4E-42BA-A739-29A281EE46C1}"/>
    <cellStyle name="60% - Accent5 2 2 3" xfId="2023" xr:uid="{BABACB6D-164A-4422-9CC2-6C1687EEE98A}"/>
    <cellStyle name="60% - Accent5 2 3" xfId="2024" xr:uid="{3F83B167-D6D2-483A-8443-07FA91F67AEA}"/>
    <cellStyle name="60% - Accent5 2 4" xfId="2025" xr:uid="{148121F2-7694-4FB0-8636-130F7F6BE5D1}"/>
    <cellStyle name="60% - Accent5 2 5" xfId="2026" xr:uid="{AD5861FD-CD37-4C4C-823A-4BEB2463EC10}"/>
    <cellStyle name="60% - Accent5 2 6" xfId="2020" xr:uid="{E1092FFA-65F6-4521-B2D6-B222A51BB856}"/>
    <cellStyle name="60% - Accent5 20" xfId="2027" xr:uid="{0C9FA177-DD4B-4457-A4AD-831149968527}"/>
    <cellStyle name="60% - Accent5 21" xfId="2028" xr:uid="{0FE955C8-360F-413B-8A45-63DCFA8FBD43}"/>
    <cellStyle name="60% - Accent5 22" xfId="2029" xr:uid="{C28C240A-C6FC-44A9-896C-44DC1F712CB5}"/>
    <cellStyle name="60% - Accent5 23" xfId="2030" xr:uid="{9E501942-41D6-4036-81DA-A2A89B5B15D0}"/>
    <cellStyle name="60% - Accent5 24" xfId="2031" xr:uid="{BA5B1C04-D92B-448B-8439-A5BF18EC2851}"/>
    <cellStyle name="60% - Accent5 25" xfId="2032" xr:uid="{CB208D4D-E205-44EA-8911-2FB06E0AA9E2}"/>
    <cellStyle name="60% - Accent5 26" xfId="2033" xr:uid="{A27D0FC3-FAF0-4DD9-A33A-9DAD9A9C5992}"/>
    <cellStyle name="60% - Accent5 27" xfId="2034" xr:uid="{255FEA87-4122-4C60-A469-841E4CC6D637}"/>
    <cellStyle name="60% - Accent5 28" xfId="2035" xr:uid="{56ACAA9D-1677-4FF5-9E37-EC81DA1B0472}"/>
    <cellStyle name="60% - Accent5 29" xfId="2036" xr:uid="{306E3AFB-F898-456B-AA72-C64675EEB12B}"/>
    <cellStyle name="60% - Accent5 3" xfId="2037" xr:uid="{2DD4B96F-4122-4F54-B111-9F438C325347}"/>
    <cellStyle name="60% - Accent5 3 2" xfId="2038" xr:uid="{AE27E8E3-E6F8-4DAE-9FDF-D5221559A474}"/>
    <cellStyle name="60% - Accent5 3 3" xfId="2039" xr:uid="{5803F229-882B-43AE-9EA9-D006AF0BCC97}"/>
    <cellStyle name="60% - Accent5 30" xfId="2040" xr:uid="{3DF5C88B-FC7D-436B-A7FA-B94C68789789}"/>
    <cellStyle name="60% - Accent5 31" xfId="2041" xr:uid="{811C87AF-85F9-431C-BC10-AC66EBBC32AD}"/>
    <cellStyle name="60% - Accent5 32" xfId="2042" xr:uid="{0A66A8CE-0E6F-40F7-8C36-2BE6286704AE}"/>
    <cellStyle name="60% - Accent5 33" xfId="2043" xr:uid="{635FAD0D-A886-4998-816B-C3338D0AF8CD}"/>
    <cellStyle name="60% - Accent5 34" xfId="2044" xr:uid="{F3104D6E-4849-4D49-A8B9-DFBBD207D262}"/>
    <cellStyle name="60% - Accent5 35" xfId="2045" xr:uid="{2C38B1D3-89AB-4465-B4D2-724081855359}"/>
    <cellStyle name="60% - Accent5 35 2" xfId="2046" xr:uid="{B06CDA4D-0C24-4181-A121-99F0A483675A}"/>
    <cellStyle name="60% - Accent5 35 2 2" xfId="2047" xr:uid="{FAC4113E-D4E2-4C6B-A82A-3043F8E235C9}"/>
    <cellStyle name="60% - Accent5 35 2 2 2" xfId="2048" xr:uid="{4FBED4F5-0413-4FD3-B3A2-D8B0A3116DF4}"/>
    <cellStyle name="60% - Accent5 35 3" xfId="2049" xr:uid="{7DB919DB-37CA-4B24-9B08-21009D944E8F}"/>
    <cellStyle name="60% - Accent5 35 4" xfId="2050" xr:uid="{FF33E324-115A-4A7B-A9D0-57B4223CD90F}"/>
    <cellStyle name="60% - Accent5 36" xfId="2051" xr:uid="{4F88C295-06DC-490A-8CF5-AD17A4580544}"/>
    <cellStyle name="60% - Accent5 37" xfId="2052" xr:uid="{DD066446-AE20-4295-8EA6-96D44B4DC3B3}"/>
    <cellStyle name="60% - Accent5 38" xfId="2053" xr:uid="{B732BD1B-6EF3-4B76-88AA-5BA319E5FBB4}"/>
    <cellStyle name="60% - Accent5 39" xfId="2054" xr:uid="{F1F4A214-3601-46D3-8639-8B3B49186E33}"/>
    <cellStyle name="60% - Accent5 4" xfId="2055" xr:uid="{6A19F8C2-7BD3-4DD0-943E-3F02AE20723A}"/>
    <cellStyle name="60% - Accent5 4 2" xfId="2056" xr:uid="{1D58D97B-0578-48E6-9C7E-E2785A371D1F}"/>
    <cellStyle name="60% - Accent5 40" xfId="2057" xr:uid="{88454F52-4F5F-48F5-8B15-9DB0AA141F41}"/>
    <cellStyle name="60% - Accent5 41" xfId="2058" xr:uid="{B4D4F919-F2D0-48C4-BA4A-56641ED34A60}"/>
    <cellStyle name="60% - Accent5 42" xfId="2059" xr:uid="{F0550905-6B7B-4AF1-9357-08F4408B0152}"/>
    <cellStyle name="60% - Accent5 43" xfId="2060" xr:uid="{26597398-85DD-4C69-956D-DFC02BAA2828}"/>
    <cellStyle name="60% - Accent5 44" xfId="2061" xr:uid="{F4F6EA93-B6EE-4784-8D07-1B24A0510508}"/>
    <cellStyle name="60% - Accent5 45" xfId="2062" xr:uid="{733FF803-3B58-4A14-B2CF-0A62B9389ACC}"/>
    <cellStyle name="60% - Accent5 46" xfId="2063" xr:uid="{3C6419C7-8B53-40DF-BAE7-EA07A9481C2B}"/>
    <cellStyle name="60% - Accent5 47" xfId="2064" xr:uid="{E132FD3C-1650-44C3-9668-C6F23BAD90AA}"/>
    <cellStyle name="60% - Accent5 48" xfId="2065" xr:uid="{985CE1ED-8A5C-43F2-94A1-7500E17AC27C}"/>
    <cellStyle name="60% - Accent5 49" xfId="2066" xr:uid="{48F5F178-B248-46E9-83C6-66B2C743F8D8}"/>
    <cellStyle name="60% - Accent5 5" xfId="2067" xr:uid="{A4B8495C-F52B-4C3D-AEEF-37A2ADD670E4}"/>
    <cellStyle name="60% - Accent5 50" xfId="2068" xr:uid="{5234C4E3-9D67-4D30-885C-94F3698AE6A4}"/>
    <cellStyle name="60% - Accent5 51" xfId="2069" xr:uid="{5BA977A8-C25C-4267-8908-6532945C70C8}"/>
    <cellStyle name="60% - Accent5 52" xfId="2070" xr:uid="{604543FE-D639-4AEF-B3B8-2826998C4867}"/>
    <cellStyle name="60% - Accent5 53" xfId="2071" xr:uid="{D951050F-B377-4824-8E94-59601A9BE5DB}"/>
    <cellStyle name="60% - Accent5 54" xfId="2072" xr:uid="{EA3CACD4-031A-4EA3-AE00-94F212EF1AB9}"/>
    <cellStyle name="60% - Accent5 55" xfId="2073" xr:uid="{62D4D9AF-C9E9-467E-AAEF-DF825C9772AF}"/>
    <cellStyle name="60% - Accent5 56" xfId="2074" xr:uid="{EEF963F7-326C-459E-BBBA-BC2ADE642FD3}"/>
    <cellStyle name="60% - Accent5 57" xfId="2075" xr:uid="{201E2EB2-3333-4FB3-8C21-B182B8F6BC71}"/>
    <cellStyle name="60% - Accent5 58" xfId="2076" xr:uid="{A0F02E1F-4750-48C9-B722-D48BC584B34A}"/>
    <cellStyle name="60% - Accent5 59" xfId="2077" xr:uid="{0048CBA9-10AD-4BE3-9FC1-7B0A3FCBB96E}"/>
    <cellStyle name="60% - Accent5 6" xfId="2078" xr:uid="{536513CE-BBA6-464F-9FF8-485B5D0C8CB8}"/>
    <cellStyle name="60% - Accent5 60" xfId="2079" xr:uid="{B38AD845-2D7B-4E80-952F-B40256CC392B}"/>
    <cellStyle name="60% - Accent5 60 2" xfId="2080" xr:uid="{751EC93B-F9EC-45CE-913B-6405E2554585}"/>
    <cellStyle name="60% - Accent5 60 2 2" xfId="2081" xr:uid="{112216CC-9101-4F55-9F4B-CC87B500A637}"/>
    <cellStyle name="60% - Accent5 60 2 3" xfId="2082" xr:uid="{B0716928-AED7-4A70-9B59-728307059558}"/>
    <cellStyle name="60% - Accent5 61" xfId="2083" xr:uid="{2517E381-E314-4093-9568-EA9D899F29C7}"/>
    <cellStyle name="60% - Accent5 62" xfId="2084" xr:uid="{A7C2260A-CEF3-4840-9A65-4BEFFF00C8E1}"/>
    <cellStyle name="60% - Accent5 63" xfId="2085" xr:uid="{9F9CAE85-CBBF-4901-9796-587A9EB9DAF7}"/>
    <cellStyle name="60% - Accent5 64" xfId="2086" xr:uid="{6F2CCCD7-1119-42A3-A9E5-6E8053B365D7}"/>
    <cellStyle name="60% - Accent5 65" xfId="2087" xr:uid="{A21E7737-E043-4891-96D5-54919AF3D0A0}"/>
    <cellStyle name="60% - Accent5 7" xfId="2088" xr:uid="{E7453CE8-EE08-4023-8521-4F8914299CE6}"/>
    <cellStyle name="60% - Accent5 8" xfId="2089" xr:uid="{EDEDD8E2-75E3-425B-B27B-25A0A6E40E3E}"/>
    <cellStyle name="60% - Accent5 9" xfId="2090" xr:uid="{5ECA4E32-1AC8-492D-9497-AA73C59E03AD}"/>
    <cellStyle name="60% - Accent6 10" xfId="2091" xr:uid="{ACD52F1F-E3CE-4BB9-9BA9-65225645BC7E}"/>
    <cellStyle name="60% - Accent6 11" xfId="2092" xr:uid="{AE825AE0-132C-4EB8-B33C-F1C410E469B2}"/>
    <cellStyle name="60% - Accent6 12" xfId="2093" xr:uid="{96F0474C-894C-40C0-96C1-5F8A21F13C99}"/>
    <cellStyle name="60% - Accent6 13" xfId="2094" xr:uid="{2DB4E7C1-6011-4675-B173-274DAC4EE75F}"/>
    <cellStyle name="60% - Accent6 14" xfId="2095" xr:uid="{89B340C5-0FCE-4CED-93CF-3DE6AE4E313C}"/>
    <cellStyle name="60% - Accent6 15" xfId="2096" xr:uid="{628627C6-747D-4296-A910-0AD99BAA2213}"/>
    <cellStyle name="60% - Accent6 16" xfId="2097" xr:uid="{5B7DF3F0-5D87-49FD-BEF7-5D5DEDDB38F2}"/>
    <cellStyle name="60% - Accent6 17" xfId="2098" xr:uid="{51ACADA5-0C8A-4E08-852E-05F7B582C57A}"/>
    <cellStyle name="60% - Accent6 18" xfId="2099" xr:uid="{F74CBCDC-8837-4DDF-A5CC-904A18219F51}"/>
    <cellStyle name="60% - Accent6 19" xfId="2100" xr:uid="{AA4876B5-B96F-4A97-AC1D-0A03A48BA318}"/>
    <cellStyle name="60% - Accent6 2" xfId="37" xr:uid="{E976A7C1-BDDD-4D10-985A-0B89019533A8}"/>
    <cellStyle name="60% - Accent6 2 2" xfId="2102" xr:uid="{5626AC52-82C5-407A-926F-6C2C009D9927}"/>
    <cellStyle name="60% - Accent6 2 2 2" xfId="2103" xr:uid="{4A312EB6-42B5-4B43-83A1-B4B9EA989073}"/>
    <cellStyle name="60% - Accent6 2 2 3" xfId="2104" xr:uid="{7BA0A5E7-B815-48B0-A840-0A41117C321D}"/>
    <cellStyle name="60% - Accent6 2 3" xfId="2105" xr:uid="{801D7BEF-AD92-4E18-BE80-16C46CD96E3A}"/>
    <cellStyle name="60% - Accent6 2 4" xfId="2106" xr:uid="{F5AFE2CC-287C-43FF-93E7-B1C3C8072850}"/>
    <cellStyle name="60% - Accent6 2 5" xfId="2107" xr:uid="{46FEC9C4-12B7-4308-AB98-4463B6D07345}"/>
    <cellStyle name="60% - Accent6 2 6" xfId="2101" xr:uid="{1284527F-AE37-4932-AA20-681D4EFCB8F9}"/>
    <cellStyle name="60% - Accent6 20" xfId="2108" xr:uid="{664C240F-0609-4E78-926D-61F516A2A86E}"/>
    <cellStyle name="60% - Accent6 21" xfId="2109" xr:uid="{E31A7E65-A1C8-4B21-AAC8-8B760BF2F0CC}"/>
    <cellStyle name="60% - Accent6 22" xfId="2110" xr:uid="{6265ACCD-96C5-424D-8F5E-F1AC0EEE2451}"/>
    <cellStyle name="60% - Accent6 23" xfId="2111" xr:uid="{8CAD8B59-0660-4DA1-8559-201576440D0C}"/>
    <cellStyle name="60% - Accent6 24" xfId="2112" xr:uid="{787CF315-8A8B-4CC2-BBE7-A63B1B114838}"/>
    <cellStyle name="60% - Accent6 25" xfId="2113" xr:uid="{B9AFA419-83F8-415A-9962-3A1658717CF7}"/>
    <cellStyle name="60% - Accent6 26" xfId="2114" xr:uid="{93DF6CF6-8BFE-4CD6-A0B6-2D0E642FBC05}"/>
    <cellStyle name="60% - Accent6 27" xfId="2115" xr:uid="{F9FC0C8A-6434-421F-810C-B724F6FCBC1E}"/>
    <cellStyle name="60% - Accent6 28" xfId="2116" xr:uid="{51B13C0E-64E7-40A0-8C84-CA02E348C471}"/>
    <cellStyle name="60% - Accent6 29" xfId="2117" xr:uid="{AC5AAB08-F99B-445C-ADF8-AD6C46717894}"/>
    <cellStyle name="60% - Accent6 3" xfId="2118" xr:uid="{F115D22D-3494-4C22-870B-1BE8F4204AA5}"/>
    <cellStyle name="60% - Accent6 3 2" xfId="2119" xr:uid="{A98E9029-5925-4BC9-91F3-B12B9C7660F0}"/>
    <cellStyle name="60% - Accent6 3 3" xfId="2120" xr:uid="{A1B4C784-4041-4066-AD1A-4692A7E25525}"/>
    <cellStyle name="60% - Accent6 30" xfId="2121" xr:uid="{5131CFB1-03A1-4FCC-9107-4FE3E8CD4985}"/>
    <cellStyle name="60% - Accent6 31" xfId="2122" xr:uid="{A1AB548E-FF40-4A2A-8AA2-219665B2678B}"/>
    <cellStyle name="60% - Accent6 32" xfId="2123" xr:uid="{724D9743-BC26-46D9-B1C1-B5D3B17F6921}"/>
    <cellStyle name="60% - Accent6 33" xfId="2124" xr:uid="{95BEE985-7694-439C-8583-82E4D33F8F1C}"/>
    <cellStyle name="60% - Accent6 34" xfId="2125" xr:uid="{1F36E848-A72C-4C15-8D2B-AAE97C308A3F}"/>
    <cellStyle name="60% - Accent6 35" xfId="2126" xr:uid="{847CA4DC-3F87-4540-A631-62BFA9091559}"/>
    <cellStyle name="60% - Accent6 35 2" xfId="2127" xr:uid="{813C03E8-1A30-4F4C-A653-F80E96CB322E}"/>
    <cellStyle name="60% - Accent6 35 2 2" xfId="2128" xr:uid="{BCE57FD4-1C61-4F7E-9566-B7D358CDE35E}"/>
    <cellStyle name="60% - Accent6 35 2 2 2" xfId="2129" xr:uid="{ACC1AE2E-258B-4D90-8F14-4C2A5E38E84C}"/>
    <cellStyle name="60% - Accent6 35 3" xfId="2130" xr:uid="{AC784FF0-729F-4AB3-ACAF-111D5F7614AB}"/>
    <cellStyle name="60% - Accent6 35 4" xfId="2131" xr:uid="{734FA88C-7EE3-469E-9687-95082B1221A1}"/>
    <cellStyle name="60% - Accent6 36" xfId="2132" xr:uid="{5E52BCFA-B9A7-46A2-8556-2FA54B57A016}"/>
    <cellStyle name="60% - Accent6 37" xfId="2133" xr:uid="{290BB8F0-D029-4E9D-B58E-1BDE03B79771}"/>
    <cellStyle name="60% - Accent6 38" xfId="2134" xr:uid="{87BB11E7-20FB-4F1B-8A58-527FBC69839E}"/>
    <cellStyle name="60% - Accent6 39" xfId="2135" xr:uid="{D6D75B04-EB05-4DC0-A713-8D2DE79AC2E5}"/>
    <cellStyle name="60% - Accent6 4" xfId="2136" xr:uid="{1350B444-13CB-4872-A8FA-713F612DC2A6}"/>
    <cellStyle name="60% - Accent6 4 2" xfId="2137" xr:uid="{4A9C0C2E-2692-4A4C-ABDE-AB8483052C30}"/>
    <cellStyle name="60% - Accent6 40" xfId="2138" xr:uid="{232A7547-3E94-46A0-9611-08D67ABB31B6}"/>
    <cellStyle name="60% - Accent6 41" xfId="2139" xr:uid="{B4EB41DA-54E1-4F09-A040-B1DD04E0FA37}"/>
    <cellStyle name="60% - Accent6 42" xfId="2140" xr:uid="{1402C2B8-B13E-485D-B641-8A81B5C6B371}"/>
    <cellStyle name="60% - Accent6 43" xfId="2141" xr:uid="{C759534A-9395-4A3E-99F8-E17A580B2CDF}"/>
    <cellStyle name="60% - Accent6 44" xfId="2142" xr:uid="{153FA5EC-1121-4486-AC41-D7125FF7B573}"/>
    <cellStyle name="60% - Accent6 45" xfId="2143" xr:uid="{7B80D15E-2C1B-4D95-9C96-732F98285EF4}"/>
    <cellStyle name="60% - Accent6 46" xfId="2144" xr:uid="{3AB1D26D-4BDB-48F8-A9F9-C2A39323F350}"/>
    <cellStyle name="60% - Accent6 47" xfId="2145" xr:uid="{4FA650F4-AE26-4DCB-9E8E-E5D10EB5E335}"/>
    <cellStyle name="60% - Accent6 48" xfId="2146" xr:uid="{7809C2A8-B275-485D-945B-D5613793D887}"/>
    <cellStyle name="60% - Accent6 49" xfId="2147" xr:uid="{F490AF52-8D52-497D-85BF-46A64544A84E}"/>
    <cellStyle name="60% - Accent6 5" xfId="2148" xr:uid="{A014B0D2-898F-4AFB-9508-10C0AB156792}"/>
    <cellStyle name="60% - Accent6 50" xfId="2149" xr:uid="{7B8427D9-20B9-4059-B522-9C98F5B7FA1D}"/>
    <cellStyle name="60% - Accent6 51" xfId="2150" xr:uid="{7C4D8E73-DDA7-4466-86B1-1578FAFC51D5}"/>
    <cellStyle name="60% - Accent6 52" xfId="2151" xr:uid="{C2B4D8CD-8643-4986-A290-7A721F11280E}"/>
    <cellStyle name="60% - Accent6 53" xfId="2152" xr:uid="{41F580A4-E308-4083-BEF4-573D2B63E820}"/>
    <cellStyle name="60% - Accent6 54" xfId="2153" xr:uid="{9234173D-620E-4DC8-A6CF-62CB8D9B88C3}"/>
    <cellStyle name="60% - Accent6 55" xfId="2154" xr:uid="{4506C2C4-A472-44B2-88F1-9636FF331BE2}"/>
    <cellStyle name="60% - Accent6 56" xfId="2155" xr:uid="{D823E1C0-CD1A-41DB-A0D1-206F0D9D77D2}"/>
    <cellStyle name="60% - Accent6 57" xfId="2156" xr:uid="{774718CF-1F04-48DA-B16F-473D1E418CCF}"/>
    <cellStyle name="60% - Accent6 58" xfId="2157" xr:uid="{050130B9-4699-4C86-B50E-BB55BE2B8BE4}"/>
    <cellStyle name="60% - Accent6 59" xfId="2158" xr:uid="{04B6E517-E726-4D5C-8ABF-321DD128A9C7}"/>
    <cellStyle name="60% - Accent6 6" xfId="2159" xr:uid="{E7300895-AB7A-44EE-838C-F30C93B744D5}"/>
    <cellStyle name="60% - Accent6 60" xfId="2160" xr:uid="{0D6514F0-9204-4B26-9DDA-45C65BE01C70}"/>
    <cellStyle name="60% - Accent6 60 2" xfId="2161" xr:uid="{4C30DD21-4F45-4920-9DE4-E787BC2C76F2}"/>
    <cellStyle name="60% - Accent6 60 2 2" xfId="2162" xr:uid="{DD457B3F-EFB9-41A5-8DC0-C54431D12DB2}"/>
    <cellStyle name="60% - Accent6 60 2 2 2" xfId="2163" xr:uid="{41EF97E7-5683-454F-BB83-434FE48B3F91}"/>
    <cellStyle name="60% - Accent6 60 2 3" xfId="2164" xr:uid="{77FD373F-264B-4FDB-BA45-DF8EF23D1551}"/>
    <cellStyle name="60% - Accent6 61" xfId="2165" xr:uid="{24051FF1-A968-41F1-A60B-12DAA80F34A4}"/>
    <cellStyle name="60% - Accent6 62" xfId="2166" xr:uid="{253E0FD3-6412-4084-A132-E89953390901}"/>
    <cellStyle name="60% - Accent6 63" xfId="2167" xr:uid="{023FEEC6-CCCE-4DD5-8201-8B632F66B1C3}"/>
    <cellStyle name="60% - Accent6 64" xfId="2168" xr:uid="{5B46A2E3-A86E-453B-A2FE-F0091B554E0F}"/>
    <cellStyle name="60% - Accent6 65" xfId="2169" xr:uid="{BBFE6E05-9D5D-4EBF-BF6C-CE68F6D27B99}"/>
    <cellStyle name="60% - Accent6 7" xfId="2170" xr:uid="{DA2837E9-F2A2-4A10-8B34-EB23FC394A03}"/>
    <cellStyle name="60% - Accent6 8" xfId="2171" xr:uid="{708D689A-CA19-41BB-BAC8-F825F0DE7FAB}"/>
    <cellStyle name="60% - Accent6 9" xfId="2172" xr:uid="{9032BDF4-ABDF-4703-8780-2F03FBA13804}"/>
    <cellStyle name="60% - Colore 1" xfId="2173" xr:uid="{52EC5EFC-B998-4EA3-981D-764CD5D7BFFD}"/>
    <cellStyle name="60% - Colore 1 2" xfId="2174" xr:uid="{EA1B48EA-9B95-4FB9-9502-6A37B4EF59D1}"/>
    <cellStyle name="60% - Colore 2" xfId="2175" xr:uid="{1E522A37-E379-4E21-938D-C22944F4769A}"/>
    <cellStyle name="60% - Colore 2 2" xfId="2176" xr:uid="{D2DABFAD-2724-4F0E-8094-0B9BF18AEB8F}"/>
    <cellStyle name="60% - Colore 3" xfId="2177" xr:uid="{4CE9822E-5087-403E-B49A-9B9E390CDBEF}"/>
    <cellStyle name="60% - Colore 3 2" xfId="2178" xr:uid="{38649FD2-5DB9-40CC-AF7F-A32C60E3AEBA}"/>
    <cellStyle name="60% - Colore 4" xfId="2179" xr:uid="{B69C24A8-F859-4483-844F-6DDB395EA481}"/>
    <cellStyle name="60% - Colore 4 2" xfId="2180" xr:uid="{7684EF0A-FC0A-4CB9-ABAF-DE5C0E64AD07}"/>
    <cellStyle name="60% - Colore 5" xfId="2181" xr:uid="{B0E7BA8D-BBDC-4422-876B-F1EB99F7C511}"/>
    <cellStyle name="60% - Colore 5 2" xfId="2182" xr:uid="{7756ABF8-A9D8-48B6-9A5C-C27D5A5F4B17}"/>
    <cellStyle name="60% - Colore 6" xfId="2183" xr:uid="{52C8DA97-563F-449C-86C4-9B93616B9BF1}"/>
    <cellStyle name="60% - Colore 6 2" xfId="2184" xr:uid="{814DCAB6-ADF2-4556-9906-FD9D07F2041B}"/>
    <cellStyle name="aaa" xfId="2185" xr:uid="{C4613541-4803-407C-9461-C4F8753FA032}"/>
    <cellStyle name="aaa 2" xfId="2186" xr:uid="{0BDB34FC-B235-4B73-BC7D-37043E5C9E98}"/>
    <cellStyle name="aaa 3" xfId="2187" xr:uid="{E2E86B6D-7651-44EB-83D7-859147A638A7}"/>
    <cellStyle name="aaa 4" xfId="2188" xr:uid="{C27DF52C-839A-47CE-A63E-A31132AF51D5}"/>
    <cellStyle name="aaa 5" xfId="2189" xr:uid="{F5A4B0AB-678C-40A7-9F16-F7D7D24513E0}"/>
    <cellStyle name="aaa 6" xfId="2190" xr:uid="{A7B1F99A-31A8-47F1-B7C9-647ED2C3A436}"/>
    <cellStyle name="aaa 7" xfId="2191" xr:uid="{5F1B6A82-3858-4A90-AE03-049011B9F0F6}"/>
    <cellStyle name="aaa 8" xfId="2192" xr:uid="{840AFD8F-171F-4317-9710-0C9A03BF6523}"/>
    <cellStyle name="aaa 9" xfId="2193" xr:uid="{DA163F61-9B1E-48E8-8755-4E0B72D8C543}"/>
    <cellStyle name="Accent" xfId="398" xr:uid="{444EB973-97AE-4936-836B-E9418457500B}"/>
    <cellStyle name="Accent 1" xfId="399" xr:uid="{0AC5DADC-E7B0-4A12-B4F0-82D2AC6183CE}"/>
    <cellStyle name="Accent 2" xfId="400" xr:uid="{71C6330C-C730-466B-84DE-11358F8D03B8}"/>
    <cellStyle name="Accent 3" xfId="401" xr:uid="{2CF8F679-17FA-43FD-9AB7-23A16F5AABC9}"/>
    <cellStyle name="Accent1 10" xfId="2194" xr:uid="{476FF902-6E50-41BF-967A-BA862AEF8EF6}"/>
    <cellStyle name="Accent1 11" xfId="2195" xr:uid="{79BF624C-A6AF-4F17-B7FB-94B8E2791617}"/>
    <cellStyle name="Accent1 12" xfId="2196" xr:uid="{86A651E7-9D1D-48B6-8B94-49BC163905EF}"/>
    <cellStyle name="Accent1 13" xfId="2197" xr:uid="{F4DF5EDF-1277-4DD0-8038-CC3FA6A61BAA}"/>
    <cellStyle name="Accent1 14" xfId="2198" xr:uid="{D4275163-E427-48EA-84E1-58489F1CB613}"/>
    <cellStyle name="Accent1 15" xfId="2199" xr:uid="{C21A48BB-DBE3-4627-ABE2-2A43940D8E74}"/>
    <cellStyle name="Accent1 16" xfId="2200" xr:uid="{A2A3DD47-2890-4C94-B2F7-BFC0FF21053B}"/>
    <cellStyle name="Accent1 17" xfId="2201" xr:uid="{2B277ECB-E4BC-486D-A0B8-BE176B9A9002}"/>
    <cellStyle name="Accent1 18" xfId="2202" xr:uid="{BF9EB98F-2AB1-44E2-9213-3DA981EE4A65}"/>
    <cellStyle name="Accent1 19" xfId="2203" xr:uid="{5EC63E51-98D6-46F9-8D21-D3295B9B3B4D}"/>
    <cellStyle name="Accent1 2" xfId="38" xr:uid="{F989BC46-9CDF-44CE-A41A-899DCC4EA93B}"/>
    <cellStyle name="Accent1 2 2" xfId="2205" xr:uid="{3685F1D8-56FC-4C9D-8C08-565162D60072}"/>
    <cellStyle name="Accent1 2 2 2" xfId="2206" xr:uid="{98D951B4-50AA-4E38-8973-A8F97A27A102}"/>
    <cellStyle name="Accent1 2 2 3" xfId="2207" xr:uid="{4A2F888C-EF33-418F-B8FD-D57A714E4BD1}"/>
    <cellStyle name="Accent1 2 3" xfId="2208" xr:uid="{ECAF80DC-E975-4448-81D2-A9BDA73CCFEB}"/>
    <cellStyle name="Accent1 2 4" xfId="2209" xr:uid="{5E3E1F8F-304C-4EA7-916D-D35FE6962168}"/>
    <cellStyle name="Accent1 2 5" xfId="2210" xr:uid="{375470AD-2743-4C85-9904-95BB42B597D8}"/>
    <cellStyle name="Accent1 2 6" xfId="2204" xr:uid="{C940BFF7-C016-4F16-8ECC-FA4CA6080A7C}"/>
    <cellStyle name="Accent1 20" xfId="2211" xr:uid="{10359A59-CE94-40F8-88C3-7869B6715F8C}"/>
    <cellStyle name="Accent1 21" xfId="2212" xr:uid="{FC9CC76E-C063-4B01-AF9C-6F22551FD3A7}"/>
    <cellStyle name="Accent1 22" xfId="2213" xr:uid="{8F6444E7-F884-4671-9761-ECF9D431BF0E}"/>
    <cellStyle name="Accent1 23" xfId="2214" xr:uid="{0DDA8147-35E3-4FC3-A9CE-2DB1C5B5621A}"/>
    <cellStyle name="Accent1 24" xfId="2215" xr:uid="{879DABD8-68AD-4DFF-BEBF-F11A61D588DD}"/>
    <cellStyle name="Accent1 25" xfId="2216" xr:uid="{E79A669A-CF1D-4523-A1DC-C631E3367A96}"/>
    <cellStyle name="Accent1 26" xfId="2217" xr:uid="{79F3203E-8374-44E3-B78C-4A8194F33DB9}"/>
    <cellStyle name="Accent1 27" xfId="2218" xr:uid="{4328B7EC-F8BE-403B-A2CE-65F9955AA841}"/>
    <cellStyle name="Accent1 28" xfId="2219" xr:uid="{21656ACF-971B-45A9-A870-7BBCF5C24E67}"/>
    <cellStyle name="Accent1 29" xfId="2220" xr:uid="{CF120F6B-B14D-4AB9-844C-79B32EFA1DB4}"/>
    <cellStyle name="Accent1 3" xfId="2221" xr:uid="{72A70373-3341-4070-AD6E-065A42014962}"/>
    <cellStyle name="Accent1 3 2" xfId="2222" xr:uid="{0DA756A8-8DF7-46E5-8F29-0DEB7FBDDD62}"/>
    <cellStyle name="Accent1 3 3" xfId="2223" xr:uid="{D8F380BD-EDBB-4E6A-80F9-ADB77330CB60}"/>
    <cellStyle name="Accent1 30" xfId="2224" xr:uid="{425BB8C7-1216-4F9F-9374-AEF75A7E7553}"/>
    <cellStyle name="Accent1 31" xfId="2225" xr:uid="{D76AC6C8-F9E7-464A-972D-0A8DBF72AE24}"/>
    <cellStyle name="Accent1 32" xfId="2226" xr:uid="{680B04EB-AE34-4775-A147-C7339FFB1C4C}"/>
    <cellStyle name="Accent1 33" xfId="2227" xr:uid="{6BA47BDB-0ADB-455B-9FA0-5E1B3A3A45B9}"/>
    <cellStyle name="Accent1 34" xfId="2228" xr:uid="{AD7281FC-9661-4E60-A952-C1CEB4B87816}"/>
    <cellStyle name="Accent1 35" xfId="2229" xr:uid="{E907D7EB-23AF-4FF3-B103-1ACAB39CF85B}"/>
    <cellStyle name="Accent1 35 2" xfId="2230" xr:uid="{05832B40-A2BB-49C3-A48D-DD904A9090B0}"/>
    <cellStyle name="Accent1 35 2 2" xfId="2231" xr:uid="{20AEE29C-A4C6-4219-B293-ACB3269A22E7}"/>
    <cellStyle name="Accent1 35 2 2 2" xfId="2232" xr:uid="{80D557E5-1E5E-4411-89D7-2D5293B33DA4}"/>
    <cellStyle name="Accent1 35 3" xfId="2233" xr:uid="{05A7CF20-5EC2-4CD5-A825-DEB17C705346}"/>
    <cellStyle name="Accent1 35 4" xfId="2234" xr:uid="{737C3087-CA1B-48C7-9D20-4CB9B08A5131}"/>
    <cellStyle name="Accent1 36" xfId="2235" xr:uid="{887CD1C0-B9F9-4AFD-8CF0-DF7D46F83F39}"/>
    <cellStyle name="Accent1 37" xfId="2236" xr:uid="{DAAA4CFD-9A6E-4633-97D1-F04937743B21}"/>
    <cellStyle name="Accent1 38" xfId="2237" xr:uid="{57B91D96-39EA-473E-B685-60432222F6AC}"/>
    <cellStyle name="Accent1 39" xfId="2238" xr:uid="{7B443FAA-A6AD-4A4A-818A-168FB6F87FE3}"/>
    <cellStyle name="Accent1 4" xfId="2239" xr:uid="{C0013A7D-6164-4088-B7CD-88D066C7FB33}"/>
    <cellStyle name="Accent1 4 2" xfId="2240" xr:uid="{D7383E08-A567-4C8B-935E-51F11467638E}"/>
    <cellStyle name="Accent1 40" xfId="2241" xr:uid="{DC98881B-844C-4614-855F-EBEC0B82C1EF}"/>
    <cellStyle name="Accent1 41" xfId="2242" xr:uid="{A33B1008-8492-415D-85B3-9D399370CE1D}"/>
    <cellStyle name="Accent1 42" xfId="2243" xr:uid="{6B150EC4-A34A-4CB7-97FF-4DE1292F3843}"/>
    <cellStyle name="Accent1 43" xfId="2244" xr:uid="{D425F670-A2B4-49A2-A55E-CA5C7251CF44}"/>
    <cellStyle name="Accent1 44" xfId="2245" xr:uid="{643090DB-D95F-4118-9CB7-D7A9930CC74A}"/>
    <cellStyle name="Accent1 45" xfId="2246" xr:uid="{0DEE6E3D-9EB5-48BE-9E7A-283228D7D571}"/>
    <cellStyle name="Accent1 46" xfId="2247" xr:uid="{06E93352-D1AB-4730-9A76-7EC65E913A3C}"/>
    <cellStyle name="Accent1 47" xfId="2248" xr:uid="{83F29FAF-9E37-49B6-90C4-47FE77AEF51B}"/>
    <cellStyle name="Accent1 48" xfId="2249" xr:uid="{C020CC3F-3235-4F13-9DAD-F318024D4AB5}"/>
    <cellStyle name="Accent1 49" xfId="2250" xr:uid="{A2DD091C-2779-4A8F-9B05-6D16845C18FA}"/>
    <cellStyle name="Accent1 5" xfId="2251" xr:uid="{1434CC97-B569-43BA-85EB-306D5614C36D}"/>
    <cellStyle name="Accent1 50" xfId="2252" xr:uid="{9F8C549A-3409-4EAC-BABA-F07679790934}"/>
    <cellStyle name="Accent1 51" xfId="2253" xr:uid="{70316E52-C61B-4080-87F3-2F087956441B}"/>
    <cellStyle name="Accent1 52" xfId="2254" xr:uid="{FA10A13E-1FFE-45D4-A352-01F27C205037}"/>
    <cellStyle name="Accent1 53" xfId="2255" xr:uid="{7F21A35A-1280-4BB6-BC16-C5143E7E2427}"/>
    <cellStyle name="Accent1 54" xfId="2256" xr:uid="{4FEBF83F-E864-4424-860B-39C2ADDF5396}"/>
    <cellStyle name="Accent1 55" xfId="2257" xr:uid="{70ABCA43-6819-40CE-856F-73238E31D916}"/>
    <cellStyle name="Accent1 56" xfId="2258" xr:uid="{3B5DFE3F-6483-4E73-81FC-CEAE83BEC456}"/>
    <cellStyle name="Accent1 57" xfId="2259" xr:uid="{9CC005F5-4478-4B3C-B4DC-11850C57FB10}"/>
    <cellStyle name="Accent1 58" xfId="2260" xr:uid="{47DECECD-6A8F-4E92-98E0-59C51673D790}"/>
    <cellStyle name="Accent1 59" xfId="2261" xr:uid="{4F8069A4-AB0A-4F4A-8453-D3DDC0CDCCE2}"/>
    <cellStyle name="Accent1 6" xfId="2262" xr:uid="{E18B6E17-E971-4154-AD44-DC83EFCF95CF}"/>
    <cellStyle name="Accent1 60" xfId="2263" xr:uid="{890A7EB1-32D5-4A25-B919-03FF5B83682C}"/>
    <cellStyle name="Accent1 60 2" xfId="2264" xr:uid="{A277D7F1-1834-403F-B4C3-CF9F26FB12E2}"/>
    <cellStyle name="Accent1 60 2 2" xfId="2265" xr:uid="{4471FF6A-3CDF-4286-8EB8-B0698BE95362}"/>
    <cellStyle name="Accent1 60 2 2 2" xfId="2266" xr:uid="{DE568B91-EA15-4202-87D3-BD3F1FE99748}"/>
    <cellStyle name="Accent1 60 2 3" xfId="2267" xr:uid="{1B76E31E-BF6D-4ACA-A944-0F1B1585C964}"/>
    <cellStyle name="Accent1 61" xfId="2268" xr:uid="{C51F6D08-5EB7-4C0D-8B31-D710B3EC4619}"/>
    <cellStyle name="Accent1 62" xfId="2269" xr:uid="{377FED18-23BC-47B6-9B2F-2BB268236BD4}"/>
    <cellStyle name="Accent1 63" xfId="2270" xr:uid="{BD42E6E3-8FBD-457D-AFFF-890CE2004055}"/>
    <cellStyle name="Accent1 64" xfId="2271" xr:uid="{444C76C5-D5B2-4110-97AC-202816F01F0D}"/>
    <cellStyle name="Accent1 65" xfId="2272" xr:uid="{5A5A2D26-3655-400B-B3BA-44C65539B499}"/>
    <cellStyle name="Accent1 7" xfId="2273" xr:uid="{68B51354-5CED-4759-B7D1-2D826B91DE6B}"/>
    <cellStyle name="Accent1 8" xfId="2274" xr:uid="{53884347-12B1-45A1-8AE0-9B1839845A4C}"/>
    <cellStyle name="Accent1 9" xfId="2275" xr:uid="{F14AF240-075F-4327-977F-1DCAD8358425}"/>
    <cellStyle name="Accent2 10" xfId="2276" xr:uid="{6AEEBD3F-78A8-498A-9763-C87CC5847FAE}"/>
    <cellStyle name="Accent2 11" xfId="2277" xr:uid="{CF412577-350D-40F2-A113-E3B4D6CFBD70}"/>
    <cellStyle name="Accent2 12" xfId="2278" xr:uid="{3E24735F-52E9-44FE-977F-D4DA5CBBC1BA}"/>
    <cellStyle name="Accent2 13" xfId="2279" xr:uid="{7E3ECE2A-2802-48C2-BD0F-B5EB0D391346}"/>
    <cellStyle name="Accent2 14" xfId="2280" xr:uid="{BF0F34AB-D930-4836-9D2E-774C98463FD3}"/>
    <cellStyle name="Accent2 15" xfId="2281" xr:uid="{8384CBDB-9961-40D6-93CC-2834A8532AAA}"/>
    <cellStyle name="Accent2 16" xfId="2282" xr:uid="{D955E46B-4114-470A-B50C-F0C62662F06F}"/>
    <cellStyle name="Accent2 17" xfId="2283" xr:uid="{5E21A429-9477-4904-A484-3E1C5E649EBE}"/>
    <cellStyle name="Accent2 18" xfId="2284" xr:uid="{D2AB2052-87D0-49D4-BC44-0A4D6CAC5AD6}"/>
    <cellStyle name="Accent2 19" xfId="2285" xr:uid="{A622B454-A137-49F6-B815-6F59E3F3114D}"/>
    <cellStyle name="Accent2 2" xfId="39" xr:uid="{14D932C7-2B50-4125-927A-2D19D9BE0EBD}"/>
    <cellStyle name="Accent2 2 2" xfId="2287" xr:uid="{61414332-4AEF-4816-98D5-342C030F7EDA}"/>
    <cellStyle name="Accent2 2 2 2" xfId="2288" xr:uid="{19008611-841A-4C2D-84AC-186847228FE0}"/>
    <cellStyle name="Accent2 2 2 3" xfId="2289" xr:uid="{22834C0C-A9F4-4AC8-9E7C-7D4F00A91324}"/>
    <cellStyle name="Accent2 2 3" xfId="2290" xr:uid="{9D211E3B-86CF-4B7A-BEFD-94ADD3DC9DFA}"/>
    <cellStyle name="Accent2 2 4" xfId="2291" xr:uid="{CD0047F6-58E2-4557-BE04-498156F4A392}"/>
    <cellStyle name="Accent2 2 5" xfId="2292" xr:uid="{69DEE917-2B43-4D09-B4B9-76476CF619D7}"/>
    <cellStyle name="Accent2 2 6" xfId="2286" xr:uid="{F6177E0E-C42B-418A-B14F-23457E578FB1}"/>
    <cellStyle name="Accent2 20" xfId="2293" xr:uid="{B3580035-BFE5-4332-9AB3-433F7E5AB008}"/>
    <cellStyle name="Accent2 21" xfId="2294" xr:uid="{8BC8ECFC-00E6-418E-9A2C-AA38290E93FA}"/>
    <cellStyle name="Accent2 22" xfId="2295" xr:uid="{4CEE99E8-FC5B-45FF-AF38-14225EE1AAA8}"/>
    <cellStyle name="Accent2 23" xfId="2296" xr:uid="{A618A8D3-5372-4B29-8E48-6C2506406900}"/>
    <cellStyle name="Accent2 24" xfId="2297" xr:uid="{E8C1D951-4B41-49F4-A70D-DFD50104D3E6}"/>
    <cellStyle name="Accent2 25" xfId="2298" xr:uid="{9C423B57-E595-4A85-B31B-51C898D5D93D}"/>
    <cellStyle name="Accent2 26" xfId="2299" xr:uid="{211FE8E0-669C-49BB-909A-128D1E9FE9E5}"/>
    <cellStyle name="Accent2 27" xfId="2300" xr:uid="{4B399DC2-88BF-4057-A876-D5C31957AE7D}"/>
    <cellStyle name="Accent2 28" xfId="2301" xr:uid="{1FD7D853-5795-4D28-B703-EC6A9BB1E02F}"/>
    <cellStyle name="Accent2 29" xfId="2302" xr:uid="{8135E41F-D64F-41C5-9B53-12DCD5E6D031}"/>
    <cellStyle name="Accent2 3" xfId="2303" xr:uid="{2B5772D6-863C-4D7C-901E-7038C978CFD3}"/>
    <cellStyle name="Accent2 3 2" xfId="2304" xr:uid="{61133B5B-DACC-4CED-8352-1D156CB1A2BB}"/>
    <cellStyle name="Accent2 3 3" xfId="2305" xr:uid="{9655224E-55D3-4C3B-8E16-0DA32B2AB312}"/>
    <cellStyle name="Accent2 30" xfId="2306" xr:uid="{1937563A-B933-4432-9FD9-631283DD957A}"/>
    <cellStyle name="Accent2 31" xfId="2307" xr:uid="{DCE58121-4E3F-4719-A456-B92623D592E5}"/>
    <cellStyle name="Accent2 32" xfId="2308" xr:uid="{78A7230F-E138-4C75-9B3E-E93FA9A302E0}"/>
    <cellStyle name="Accent2 33" xfId="2309" xr:uid="{74CFD900-0FAF-44EC-B73F-2ABB895F5B2E}"/>
    <cellStyle name="Accent2 34" xfId="2310" xr:uid="{277D6145-1B3D-4D71-B272-297676DEE884}"/>
    <cellStyle name="Accent2 35" xfId="2311" xr:uid="{1236A21F-3E44-4992-B3B1-9B80D6189F51}"/>
    <cellStyle name="Accent2 35 2" xfId="2312" xr:uid="{C599A744-85B3-4868-9788-54E4462A54DC}"/>
    <cellStyle name="Accent2 35 2 2" xfId="2313" xr:uid="{AA42C228-8AB1-4326-B3C8-727369A9F856}"/>
    <cellStyle name="Accent2 35 2 2 2" xfId="2314" xr:uid="{81EA5B75-7C15-4A1F-B282-7868B8E9F702}"/>
    <cellStyle name="Accent2 35 3" xfId="2315" xr:uid="{5BCA2E45-7EED-4895-924A-0E438259ED93}"/>
    <cellStyle name="Accent2 35 4" xfId="2316" xr:uid="{113BA3CE-76EA-4E52-ABF3-9420610631B4}"/>
    <cellStyle name="Accent2 36" xfId="2317" xr:uid="{7A8C95A0-08D8-4974-BF20-A2B431076808}"/>
    <cellStyle name="Accent2 37" xfId="2318" xr:uid="{9263A39B-B087-4AAB-8A7B-62AA30454D5D}"/>
    <cellStyle name="Accent2 38" xfId="2319" xr:uid="{83DCF0E3-7F36-4127-B6A7-33428325A0E9}"/>
    <cellStyle name="Accent2 39" xfId="2320" xr:uid="{7AAD137A-AB37-43D4-B1F3-1C7A4DB37395}"/>
    <cellStyle name="Accent2 4" xfId="2321" xr:uid="{650E7C38-AAB1-4B18-A7A1-07C1C48FF82A}"/>
    <cellStyle name="Accent2 4 2" xfId="2322" xr:uid="{24ABD577-AECA-418E-8F2E-FA5CF7DCFD14}"/>
    <cellStyle name="Accent2 40" xfId="2323" xr:uid="{F2187247-81B7-4731-A744-4B421D7AC207}"/>
    <cellStyle name="Accent2 41" xfId="2324" xr:uid="{A02AF11E-7C7C-4E3E-97E7-970667448787}"/>
    <cellStyle name="Accent2 42" xfId="2325" xr:uid="{47A2AC84-753E-45A8-A877-9A02355415A4}"/>
    <cellStyle name="Accent2 43" xfId="2326" xr:uid="{9FD073BF-1152-40A0-813B-DC53F9F666A3}"/>
    <cellStyle name="Accent2 44" xfId="2327" xr:uid="{386EEDF4-24BE-49E1-B56F-58EDF49A0995}"/>
    <cellStyle name="Accent2 45" xfId="2328" xr:uid="{46337BE8-886D-41DC-8E17-FAC16EECF2AE}"/>
    <cellStyle name="Accent2 46" xfId="2329" xr:uid="{518B91ED-1CEB-4AE5-BF6E-C58F4BD895A7}"/>
    <cellStyle name="Accent2 47" xfId="2330" xr:uid="{6E367505-2DC4-457A-B7E8-E4894983F633}"/>
    <cellStyle name="Accent2 48" xfId="2331" xr:uid="{AEAE1986-C5CD-4FF5-971A-D151246E16A0}"/>
    <cellStyle name="Accent2 49" xfId="2332" xr:uid="{88EB9471-58B1-4E6D-8F64-E20152CA7593}"/>
    <cellStyle name="Accent2 5" xfId="2333" xr:uid="{FAEC8FF9-A1B6-47FB-B52D-7856013FFABB}"/>
    <cellStyle name="Accent2 50" xfId="2334" xr:uid="{09F336F8-A2CB-41B4-87BB-2DC250866F46}"/>
    <cellStyle name="Accent2 51" xfId="2335" xr:uid="{CB321D6C-426F-4238-843D-85478E10C53C}"/>
    <cellStyle name="Accent2 52" xfId="2336" xr:uid="{7AE8ABD2-4653-4001-A352-7790F93256F5}"/>
    <cellStyle name="Accent2 53" xfId="2337" xr:uid="{9E5D3DF3-69A9-4A0A-A2D7-01ECADC73786}"/>
    <cellStyle name="Accent2 54" xfId="2338" xr:uid="{734CF041-3D42-4D0A-8721-53210583F1EF}"/>
    <cellStyle name="Accent2 55" xfId="2339" xr:uid="{C4F7DAF3-3FFE-4E2B-97AD-9B2D1F988C07}"/>
    <cellStyle name="Accent2 56" xfId="2340" xr:uid="{3C4A27EB-F79F-4FBD-A9F4-7EDEFA1E77E6}"/>
    <cellStyle name="Accent2 57" xfId="2341" xr:uid="{6BCE86E9-CEB7-4EC5-95B7-521D46DB3980}"/>
    <cellStyle name="Accent2 58" xfId="2342" xr:uid="{5622731A-A9AD-49E8-A2D4-B7625D72D1CE}"/>
    <cellStyle name="Accent2 59" xfId="2343" xr:uid="{CEC9E47A-FA84-428F-8796-EF320A27CC52}"/>
    <cellStyle name="Accent2 6" xfId="2344" xr:uid="{BD1955FD-F0C9-4BA8-8835-71E733C54DC6}"/>
    <cellStyle name="Accent2 60" xfId="2345" xr:uid="{44C56204-FF0F-4E47-B28B-80B3006869BC}"/>
    <cellStyle name="Accent2 60 2" xfId="2346" xr:uid="{00A1B923-3AE9-4200-A7B5-401F77B20EC2}"/>
    <cellStyle name="Accent2 60 2 2" xfId="2347" xr:uid="{B21A40E5-8B36-4C11-907E-74A58553A568}"/>
    <cellStyle name="Accent2 60 2 3" xfId="2348" xr:uid="{4974AC78-CE91-4BBB-9BC2-0E68642F8FEF}"/>
    <cellStyle name="Accent2 61" xfId="2349" xr:uid="{F939246C-DA7B-4881-8A9F-715BAE205B3E}"/>
    <cellStyle name="Accent2 62" xfId="2350" xr:uid="{26A6FE03-2A6F-403A-A7F9-D9922762B189}"/>
    <cellStyle name="Accent2 63" xfId="2351" xr:uid="{EFFD6AEC-D143-4AAE-920B-F2C333DFF610}"/>
    <cellStyle name="Accent2 64" xfId="2352" xr:uid="{5F97B0D1-DA6E-44B5-A404-113BAD9421E7}"/>
    <cellStyle name="Accent2 65" xfId="2353" xr:uid="{0B766E59-A366-4BA7-BD77-D31DD9A40CDB}"/>
    <cellStyle name="Accent2 7" xfId="2354" xr:uid="{455EC887-7B8C-4A6A-A9AF-BF05DC07E22C}"/>
    <cellStyle name="Accent2 8" xfId="2355" xr:uid="{049CC26E-16E9-4841-B2C7-F929EEBA2590}"/>
    <cellStyle name="Accent2 9" xfId="2356" xr:uid="{714F9F96-3560-4EF0-ABD9-CC79350F1DAA}"/>
    <cellStyle name="Accent3 10" xfId="2357" xr:uid="{1C11B0CE-ED54-4670-B8FC-89194A122CC3}"/>
    <cellStyle name="Accent3 11" xfId="2358" xr:uid="{5A0DBB84-6663-4478-9F55-7FED2DD85300}"/>
    <cellStyle name="Accent3 12" xfId="2359" xr:uid="{51010CC5-EDE0-438F-B4B2-62C806DB28F7}"/>
    <cellStyle name="Accent3 13" xfId="2360" xr:uid="{1D1C7409-0513-4531-B420-97DCDA1161D8}"/>
    <cellStyle name="Accent3 14" xfId="2361" xr:uid="{AAAF56DC-34B3-4655-AA46-A2442BD511B9}"/>
    <cellStyle name="Accent3 15" xfId="2362" xr:uid="{7EFCE7B3-ED97-4C0F-9B40-16A1481594DE}"/>
    <cellStyle name="Accent3 16" xfId="2363" xr:uid="{B99B451B-1F82-4473-8323-C45B55653217}"/>
    <cellStyle name="Accent3 17" xfId="2364" xr:uid="{AB6CED54-7DFD-46A1-A73E-A22A6E983AFB}"/>
    <cellStyle name="Accent3 18" xfId="2365" xr:uid="{7D6A0884-0649-493C-BCD6-9B2EFC607CBF}"/>
    <cellStyle name="Accent3 19" xfId="2366" xr:uid="{704594C4-B01C-4D08-BF5A-DD72A756A8A8}"/>
    <cellStyle name="Accent3 2" xfId="40" xr:uid="{56593D0E-2092-4442-B3D3-83D6877A8CC4}"/>
    <cellStyle name="Accent3 2 2" xfId="2368" xr:uid="{F09942D6-CBED-44B6-9279-4BFE1E41B973}"/>
    <cellStyle name="Accent3 2 2 2" xfId="2369" xr:uid="{1E797FC6-AF1C-4F50-B2A8-75E5B51E4D87}"/>
    <cellStyle name="Accent3 2 2 3" xfId="2370" xr:uid="{829A535B-E01E-48E0-923A-B0B06C61C1B9}"/>
    <cellStyle name="Accent3 2 3" xfId="2371" xr:uid="{8214AC72-AA70-47A0-93A4-ADDE9A53776D}"/>
    <cellStyle name="Accent3 2 4" xfId="2372" xr:uid="{9ABFCB1A-7FAF-4C6A-A7A0-9946C8FAD381}"/>
    <cellStyle name="Accent3 2 5" xfId="2373" xr:uid="{C498F347-2CCF-47BB-9233-C9FA4B223B95}"/>
    <cellStyle name="Accent3 2 6" xfId="2367" xr:uid="{370DE4A1-0A55-4338-AA7B-CFAF435E210E}"/>
    <cellStyle name="Accent3 20" xfId="2374" xr:uid="{F2C0B145-DA57-45E8-A22D-CFA7606A984D}"/>
    <cellStyle name="Accent3 21" xfId="2375" xr:uid="{9A3710E3-D565-49AB-81DF-ED90E8C336F3}"/>
    <cellStyle name="Accent3 22" xfId="2376" xr:uid="{85262ADE-8D52-4B99-8EBA-A5FC4FC92B62}"/>
    <cellStyle name="Accent3 23" xfId="2377" xr:uid="{FFAF749F-C336-4B57-8491-B20ECD5F6149}"/>
    <cellStyle name="Accent3 24" xfId="2378" xr:uid="{D8647FFE-91DB-447E-8F85-A73CF40502D1}"/>
    <cellStyle name="Accent3 25" xfId="2379" xr:uid="{3BAFE6E1-66AA-4DCB-AAD1-D1F44EEE25AC}"/>
    <cellStyle name="Accent3 26" xfId="2380" xr:uid="{5E885151-3EA8-4D24-8ECD-E9C63AC8BEB7}"/>
    <cellStyle name="Accent3 27" xfId="2381" xr:uid="{86776CF2-C96C-4785-A605-6E96C0EC6C6B}"/>
    <cellStyle name="Accent3 28" xfId="2382" xr:uid="{55E3674F-A9B6-4AF8-8366-C825152C3C65}"/>
    <cellStyle name="Accent3 29" xfId="2383" xr:uid="{DBC4EA9D-3FE0-46B8-B5C4-D61D4E88DD9F}"/>
    <cellStyle name="Accent3 3" xfId="2384" xr:uid="{36118AE4-819D-47C1-B9CC-B605452CC594}"/>
    <cellStyle name="Accent3 3 2" xfId="2385" xr:uid="{AC96463C-B264-4734-A629-2BF241374CB9}"/>
    <cellStyle name="Accent3 3 3" xfId="2386" xr:uid="{5088F416-2ECF-40AD-9FF6-8FD7834FDB04}"/>
    <cellStyle name="Accent3 30" xfId="2387" xr:uid="{AFB0EB11-FE61-420B-B893-5506859070DC}"/>
    <cellStyle name="Accent3 31" xfId="2388" xr:uid="{F8388E37-4CE7-4038-B585-D74DB503C5EF}"/>
    <cellStyle name="Accent3 32" xfId="2389" xr:uid="{5694E75F-95B6-410B-A403-DF5ECD1F4576}"/>
    <cellStyle name="Accent3 33" xfId="2390" xr:uid="{6427D477-B7FF-4A4A-917A-FAC8BE751278}"/>
    <cellStyle name="Accent3 34" xfId="2391" xr:uid="{F21E2291-E209-476F-BD6C-DB35980911FB}"/>
    <cellStyle name="Accent3 35" xfId="2392" xr:uid="{CABC9C7B-4CFF-40AF-8884-9F41AE84E58F}"/>
    <cellStyle name="Accent3 35 2" xfId="2393" xr:uid="{01C67C7B-EB8F-49D9-B382-4F85F19EECFF}"/>
    <cellStyle name="Accent3 35 2 2" xfId="2394" xr:uid="{68B678F0-11B8-4F2D-A95C-ED3044D68DAE}"/>
    <cellStyle name="Accent3 35 2 2 2" xfId="2395" xr:uid="{C3C3E6C5-E43D-47F4-90ED-C13077CF5635}"/>
    <cellStyle name="Accent3 35 3" xfId="2396" xr:uid="{99B54CE2-45C0-4770-A560-2F320F99B295}"/>
    <cellStyle name="Accent3 35 4" xfId="2397" xr:uid="{57AFA774-F22F-441F-AA79-2EC23C5FEDAC}"/>
    <cellStyle name="Accent3 36" xfId="2398" xr:uid="{240EBB10-0542-4571-AE4B-8F40EFF8C8AF}"/>
    <cellStyle name="Accent3 37" xfId="2399" xr:uid="{780A3B27-644F-4608-B987-3A6A246A8D2F}"/>
    <cellStyle name="Accent3 38" xfId="2400" xr:uid="{FDF92841-D2EF-4DE6-B9E0-142CBB4820CF}"/>
    <cellStyle name="Accent3 39" xfId="2401" xr:uid="{71255983-916C-42A4-A0CD-1FAA5DDF6B31}"/>
    <cellStyle name="Accent3 4" xfId="2402" xr:uid="{CD42BDE1-B694-41C3-B166-C68236542EB5}"/>
    <cellStyle name="Accent3 4 2" xfId="2403" xr:uid="{1F776F18-9234-4511-9713-8E63A7CC985E}"/>
    <cellStyle name="Accent3 40" xfId="2404" xr:uid="{2E2377A0-E550-4ADD-BB61-2A7FCF252144}"/>
    <cellStyle name="Accent3 41" xfId="2405" xr:uid="{C60DB039-512F-4FDA-AB42-15C4B58F0D07}"/>
    <cellStyle name="Accent3 42" xfId="2406" xr:uid="{DD273A62-6F2A-423C-9A86-55ADCAB2859F}"/>
    <cellStyle name="Accent3 43" xfId="2407" xr:uid="{D3E4DB5F-1C02-42A1-A848-DF18DDA91947}"/>
    <cellStyle name="Accent3 44" xfId="2408" xr:uid="{6AA92ABE-80FD-4BED-98A1-F8B2C173E988}"/>
    <cellStyle name="Accent3 45" xfId="2409" xr:uid="{A5F6A2E3-6014-4678-B9A1-2DABA96E48A9}"/>
    <cellStyle name="Accent3 46" xfId="2410" xr:uid="{4A5D15FE-A682-4124-A102-DA58AA449827}"/>
    <cellStyle name="Accent3 47" xfId="2411" xr:uid="{89970659-D688-43FE-B5FF-C9FC764FC054}"/>
    <cellStyle name="Accent3 48" xfId="2412" xr:uid="{15EFF638-89C4-42BB-9D7E-051DE1D5EEC7}"/>
    <cellStyle name="Accent3 49" xfId="2413" xr:uid="{0A13104D-6E63-4888-B4BA-17F169F43A28}"/>
    <cellStyle name="Accent3 5" xfId="2414" xr:uid="{AFDF10B7-C474-4A97-A74E-F547237CFB6E}"/>
    <cellStyle name="Accent3 50" xfId="2415" xr:uid="{22CCE8DF-098F-45A4-9019-08496FE7F8F6}"/>
    <cellStyle name="Accent3 51" xfId="2416" xr:uid="{C9242061-A8AF-45C6-8687-2A49842E3AF6}"/>
    <cellStyle name="Accent3 52" xfId="2417" xr:uid="{A0E2757E-C8C7-430C-90F5-7FA5245B13EC}"/>
    <cellStyle name="Accent3 53" xfId="2418" xr:uid="{7C9E20C5-CE60-4DA7-9B29-C83CFF18BA27}"/>
    <cellStyle name="Accent3 54" xfId="2419" xr:uid="{F42CDDEE-A60A-4014-AAC8-DCB93B0A6B85}"/>
    <cellStyle name="Accent3 55" xfId="2420" xr:uid="{9283C6F2-CFFE-4A62-A613-C4C7A646438B}"/>
    <cellStyle name="Accent3 56" xfId="2421" xr:uid="{643C1498-FF6A-4E11-8EA8-7C17BC537798}"/>
    <cellStyle name="Accent3 57" xfId="2422" xr:uid="{90337897-632E-4802-9F8C-4D98CF8E0BF3}"/>
    <cellStyle name="Accent3 58" xfId="2423" xr:uid="{0DD616E9-FE86-470C-B1B7-7FCFD0618CD0}"/>
    <cellStyle name="Accent3 59" xfId="2424" xr:uid="{F1586AB9-2A79-4975-874E-5862492C65DD}"/>
    <cellStyle name="Accent3 6" xfId="2425" xr:uid="{2A32A669-9F2E-4F67-82D6-7577CB1DDDAE}"/>
    <cellStyle name="Accent3 60" xfId="2426" xr:uid="{DDEC6BF8-80AB-413A-8B0A-5E3918768D2E}"/>
    <cellStyle name="Accent3 60 2" xfId="2427" xr:uid="{D2EA114C-2130-42C9-9C9C-A897796F6E1D}"/>
    <cellStyle name="Accent3 60 2 2" xfId="2428" xr:uid="{79841A55-5DFC-4BAD-9863-DED81335FCB3}"/>
    <cellStyle name="Accent3 60 2 3" xfId="2429" xr:uid="{AE5E8130-6178-4469-B9D8-BEC2A40CD99B}"/>
    <cellStyle name="Accent3 61" xfId="2430" xr:uid="{5DB83456-6E7B-43DE-B87C-ECD43986FB0E}"/>
    <cellStyle name="Accent3 62" xfId="2431" xr:uid="{5D74B043-593F-456B-B34D-13DDDABFAD15}"/>
    <cellStyle name="Accent3 63" xfId="2432" xr:uid="{7AFC33B8-DAB4-455B-BE5B-AAF285673D78}"/>
    <cellStyle name="Accent3 64" xfId="2433" xr:uid="{7FD04394-22A6-4C9A-AA77-16EA364EECC8}"/>
    <cellStyle name="Accent3 65" xfId="2434" xr:uid="{16CF3EC5-9AEC-49A0-A6D1-C46F546E584B}"/>
    <cellStyle name="Accent3 7" xfId="2435" xr:uid="{0E5BD0A3-3337-4DF6-85F5-5C8F3CA4FE71}"/>
    <cellStyle name="Accent3 8" xfId="2436" xr:uid="{31F3667C-BA2F-4B7C-9E22-73A5D3444779}"/>
    <cellStyle name="Accent3 9" xfId="2437" xr:uid="{B799115B-BF5A-4F2D-A7E6-13133B6FCD28}"/>
    <cellStyle name="Accent4 10" xfId="2438" xr:uid="{2734D2AD-361C-44F5-871D-45484377A67D}"/>
    <cellStyle name="Accent4 11" xfId="2439" xr:uid="{7A38032B-782B-492D-813C-0768B839F1CE}"/>
    <cellStyle name="Accent4 12" xfId="2440" xr:uid="{162F8863-D273-46A0-BA76-24DE363F8192}"/>
    <cellStyle name="Accent4 13" xfId="2441" xr:uid="{E843E684-29EF-4694-9A52-9DE320ACC427}"/>
    <cellStyle name="Accent4 14" xfId="2442" xr:uid="{858EE1D1-9BB4-4CB5-BB46-67CE0B2725F4}"/>
    <cellStyle name="Accent4 15" xfId="2443" xr:uid="{966D1F38-CF97-42CA-BADD-AED28E78D21D}"/>
    <cellStyle name="Accent4 16" xfId="2444" xr:uid="{5977E4F6-4E97-4225-AB2D-2625E1BE7997}"/>
    <cellStyle name="Accent4 17" xfId="2445" xr:uid="{C5F8C888-A460-4925-AAE0-8736C72F4563}"/>
    <cellStyle name="Accent4 18" xfId="2446" xr:uid="{E37B2C4A-DFB5-4176-857C-DD4D91D574DB}"/>
    <cellStyle name="Accent4 19" xfId="2447" xr:uid="{40AE3822-1700-4A51-B6D5-FB907BF5EED5}"/>
    <cellStyle name="Accent4 2" xfId="41" xr:uid="{369D090A-1B0F-4BB3-812B-415F71DF8535}"/>
    <cellStyle name="Accent4 2 2" xfId="2449" xr:uid="{42369C9A-EEB9-40EB-814B-CB0E6807E552}"/>
    <cellStyle name="Accent4 2 2 2" xfId="2450" xr:uid="{FCF98A06-67EA-48AB-BAAE-4CF2B5491479}"/>
    <cellStyle name="Accent4 2 2 3" xfId="2451" xr:uid="{4E0A85F4-DB09-4C84-8D33-DA720FA03029}"/>
    <cellStyle name="Accent4 2 3" xfId="2452" xr:uid="{5730525B-CA94-4FED-99AE-8F7B3AFC8AF1}"/>
    <cellStyle name="Accent4 2 4" xfId="2453" xr:uid="{D1333595-AA76-4D40-8FAD-ACAEAA239DBB}"/>
    <cellStyle name="Accent4 2 5" xfId="2454" xr:uid="{62BE410A-972B-4053-B678-F1477EDBDC67}"/>
    <cellStyle name="Accent4 2 6" xfId="2448" xr:uid="{A52F21AE-E1CE-43FA-A2F1-11ECF8554B6B}"/>
    <cellStyle name="Accent4 20" xfId="2455" xr:uid="{A9D2AA05-34EC-43D0-A3A7-2847D4C0B06A}"/>
    <cellStyle name="Accent4 21" xfId="2456" xr:uid="{A6140DC9-EE07-402A-8CE8-131451A20B8C}"/>
    <cellStyle name="Accent4 22" xfId="2457" xr:uid="{2C12D25A-2313-4D5C-A694-25BEB09F01B9}"/>
    <cellStyle name="Accent4 23" xfId="2458" xr:uid="{33922ED1-6C78-4F56-AFFC-3E4E21AFB5F7}"/>
    <cellStyle name="Accent4 24" xfId="2459" xr:uid="{C1D38373-65E3-4E9E-833C-872401F4FA51}"/>
    <cellStyle name="Accent4 25" xfId="2460" xr:uid="{1B866D49-DEBA-4A86-B099-E972A71CE96A}"/>
    <cellStyle name="Accent4 26" xfId="2461" xr:uid="{B0346320-70EF-4666-BB51-9B7F40E8F726}"/>
    <cellStyle name="Accent4 27" xfId="2462" xr:uid="{E2E8F7C2-247D-47F0-BC4D-57CEE34ED544}"/>
    <cellStyle name="Accent4 28" xfId="2463" xr:uid="{A043520E-6A3E-49F8-BEB6-87C8BAC0B1D4}"/>
    <cellStyle name="Accent4 29" xfId="2464" xr:uid="{86D9C3A0-1C9A-411D-B2C0-3507B554BEC2}"/>
    <cellStyle name="Accent4 3" xfId="2465" xr:uid="{B340D0B5-0FE0-43C1-BA95-E29E17F20D2A}"/>
    <cellStyle name="Accent4 3 2" xfId="2466" xr:uid="{50513760-8A73-4186-9527-DB2F52B05DC2}"/>
    <cellStyle name="Accent4 3 3" xfId="2467" xr:uid="{24B16F5A-073F-49B0-9A2A-D231EFCACA18}"/>
    <cellStyle name="Accent4 30" xfId="2468" xr:uid="{F8C6B6E2-9738-40DC-885F-F82B65030CA0}"/>
    <cellStyle name="Accent4 31" xfId="2469" xr:uid="{7DB8E813-F5AA-4C6D-88F9-D9E5D439C484}"/>
    <cellStyle name="Accent4 32" xfId="2470" xr:uid="{42720EE4-9FCC-4F43-BD2C-150675727126}"/>
    <cellStyle name="Accent4 33" xfId="2471" xr:uid="{61A063FC-B335-42EF-B90C-7D3FFE939B3F}"/>
    <cellStyle name="Accent4 34" xfId="2472" xr:uid="{9E493790-F8BD-40FF-9DB1-CFC10BAE09E2}"/>
    <cellStyle name="Accent4 35" xfId="2473" xr:uid="{618EDCC4-D1FA-4A8C-93A0-49840210079F}"/>
    <cellStyle name="Accent4 35 2" xfId="2474" xr:uid="{9C06F165-FD96-4C3F-B89A-42F893EFA847}"/>
    <cellStyle name="Accent4 35 2 2" xfId="2475" xr:uid="{9C70ABA9-2901-4956-AC48-31D57FFBE9DC}"/>
    <cellStyle name="Accent4 35 2 2 2" xfId="2476" xr:uid="{E46859C0-5C8D-4172-A4FE-1F0378C24966}"/>
    <cellStyle name="Accent4 35 3" xfId="2477" xr:uid="{A82B51AF-CC4B-4287-8922-91ED6B05C9A9}"/>
    <cellStyle name="Accent4 35 4" xfId="2478" xr:uid="{045606A4-3B5D-4072-A6F5-25DD95E02B87}"/>
    <cellStyle name="Accent4 36" xfId="2479" xr:uid="{CC8CC648-0B1D-49EF-A34D-26E7C297594C}"/>
    <cellStyle name="Accent4 37" xfId="2480" xr:uid="{5A967287-07C3-444E-89AA-B30124522CB2}"/>
    <cellStyle name="Accent4 38" xfId="2481" xr:uid="{582180F3-500C-4763-8D13-D2A620395F6E}"/>
    <cellStyle name="Accent4 39" xfId="2482" xr:uid="{2F1093A8-C119-410C-BE37-284636BA1191}"/>
    <cellStyle name="Accent4 4" xfId="2483" xr:uid="{201D4C80-4F66-4E4C-BB3B-0F2BC90B779D}"/>
    <cellStyle name="Accent4 4 2" xfId="2484" xr:uid="{D6CBD455-E70A-40E2-BD2C-048D04A20D52}"/>
    <cellStyle name="Accent4 40" xfId="2485" xr:uid="{10AC149E-F54D-4564-B5F3-702151A7CFFA}"/>
    <cellStyle name="Accent4 41" xfId="2486" xr:uid="{B2B6E1EE-C036-4F51-81AB-407FDDAE3E93}"/>
    <cellStyle name="Accent4 42" xfId="2487" xr:uid="{B6E94749-E1C8-4E80-AC96-A4CB5804C3EC}"/>
    <cellStyle name="Accent4 43" xfId="2488" xr:uid="{9534F591-A63B-4A1B-98C7-E50342BFB995}"/>
    <cellStyle name="Accent4 44" xfId="2489" xr:uid="{22FE6B1A-AC48-43AD-89B0-63D5C3CEA928}"/>
    <cellStyle name="Accent4 45" xfId="2490" xr:uid="{50CCEAA7-F161-4745-B5DF-00D1F1E4DEE3}"/>
    <cellStyle name="Accent4 46" xfId="2491" xr:uid="{16A1056C-A017-43C6-863E-8996DB936B4D}"/>
    <cellStyle name="Accent4 47" xfId="2492" xr:uid="{A6FE18EC-5246-45CE-95B9-CC55F3C295C6}"/>
    <cellStyle name="Accent4 48" xfId="2493" xr:uid="{775B3A6C-4051-42E4-8A62-00F044AD71AE}"/>
    <cellStyle name="Accent4 49" xfId="2494" xr:uid="{4D7BBD8E-E331-4719-BC42-FC942623FC92}"/>
    <cellStyle name="Accent4 5" xfId="2495" xr:uid="{C26C1E2D-DC37-4471-9B3E-C31C94CD38F8}"/>
    <cellStyle name="Accent4 50" xfId="2496" xr:uid="{D4D60E1F-8D11-4A5A-87D2-2FE4B78A7E9D}"/>
    <cellStyle name="Accent4 51" xfId="2497" xr:uid="{D380FDD5-52FA-4CE9-939A-EB31D95C7133}"/>
    <cellStyle name="Accent4 52" xfId="2498" xr:uid="{69E6D2B4-5F75-42BE-B14F-023AC4750529}"/>
    <cellStyle name="Accent4 53" xfId="2499" xr:uid="{A771BA34-D777-4552-AC66-A0BDBBA8EE88}"/>
    <cellStyle name="Accent4 54" xfId="2500" xr:uid="{BCEA6CB4-DDDD-48C6-82DE-A9B293A93A44}"/>
    <cellStyle name="Accent4 55" xfId="2501" xr:uid="{C8A0E8EB-1589-4B12-81F4-802EF8D000F4}"/>
    <cellStyle name="Accent4 56" xfId="2502" xr:uid="{F86087F4-32FE-4724-B655-7248727516A0}"/>
    <cellStyle name="Accent4 57" xfId="2503" xr:uid="{C2A02D58-21E7-494A-A4D1-BACC609CC046}"/>
    <cellStyle name="Accent4 58" xfId="2504" xr:uid="{9AF8AE03-4099-4833-9EDF-548ACDCF4B9C}"/>
    <cellStyle name="Accent4 59" xfId="2505" xr:uid="{054B3153-AF74-490F-848A-9DE2F366AAFA}"/>
    <cellStyle name="Accent4 6" xfId="2506" xr:uid="{2948C5B5-4FA2-4216-97CE-AFCCCCD087D6}"/>
    <cellStyle name="Accent4 60" xfId="2507" xr:uid="{90AF6E8C-1B23-4821-840E-329E2797D83E}"/>
    <cellStyle name="Accent4 60 2" xfId="2508" xr:uid="{D484F745-4D31-46E2-B1A8-A76E8CB8743F}"/>
    <cellStyle name="Accent4 60 2 2" xfId="2509" xr:uid="{F337312D-7B8E-45BC-9BA8-DE0FB20CDE52}"/>
    <cellStyle name="Accent4 60 2 2 2" xfId="2510" xr:uid="{8613276D-4C67-42D0-9D1D-A2D753168B01}"/>
    <cellStyle name="Accent4 60 2 3" xfId="2511" xr:uid="{00CC7E79-EB07-4B1A-8CBD-79618EB83992}"/>
    <cellStyle name="Accent4 61" xfId="2512" xr:uid="{96F9740D-C19F-46FF-B78C-B25F0C2F0F70}"/>
    <cellStyle name="Accent4 62" xfId="2513" xr:uid="{FE328CC9-76F5-41EB-B4FC-89A337AC7A86}"/>
    <cellStyle name="Accent4 63" xfId="2514" xr:uid="{E6E8CB6A-196D-4F9C-A1FE-8028C3A50431}"/>
    <cellStyle name="Accent4 64" xfId="2515" xr:uid="{4E8EC12D-3E04-4C6D-A290-B209C0F57D8D}"/>
    <cellStyle name="Accent4 65" xfId="2516" xr:uid="{0F0C463E-EF38-47F9-BE34-29C90EE5652C}"/>
    <cellStyle name="Accent4 7" xfId="2517" xr:uid="{6CF06BB9-7ED3-41D3-B885-BB682CB14ABA}"/>
    <cellStyle name="Accent4 8" xfId="2518" xr:uid="{4A5C6546-5C78-4E6C-9F22-F9BA29B4237C}"/>
    <cellStyle name="Accent4 9" xfId="2519" xr:uid="{8D703CAF-6C6E-4CA8-97B0-13C221B9D634}"/>
    <cellStyle name="Accent5 10" xfId="2520" xr:uid="{983AAC00-6243-4CD2-B950-9D1D664CE62E}"/>
    <cellStyle name="Accent5 11" xfId="2521" xr:uid="{09C6DCF5-7B86-4DEA-BFB5-D6AA64BEE232}"/>
    <cellStyle name="Accent5 12" xfId="2522" xr:uid="{D6A75DCE-4021-4542-A582-E9A4458A77CD}"/>
    <cellStyle name="Accent5 13" xfId="2523" xr:uid="{34B66A56-D4D0-42B9-89AD-C1E09249C9ED}"/>
    <cellStyle name="Accent5 14" xfId="2524" xr:uid="{AA443C19-A926-4AAA-9363-A172FFA322F7}"/>
    <cellStyle name="Accent5 15" xfId="2525" xr:uid="{A84ED51D-AB53-4064-8212-8B7EB99436B0}"/>
    <cellStyle name="Accent5 16" xfId="2526" xr:uid="{62E9F237-DD63-44B4-8CB8-CCC1FA850976}"/>
    <cellStyle name="Accent5 17" xfId="2527" xr:uid="{2451F77E-D237-4440-8728-63AEA7C7F3AC}"/>
    <cellStyle name="Accent5 18" xfId="2528" xr:uid="{37AC744C-71CE-4C04-95F9-934C64F44DFE}"/>
    <cellStyle name="Accent5 19" xfId="2529" xr:uid="{2A327BB7-B29B-46EE-910B-3A31A2D2C50A}"/>
    <cellStyle name="Accent5 2" xfId="42" xr:uid="{D6F45CD5-E3AB-48B6-88BF-9E11E65EDF09}"/>
    <cellStyle name="Accent5 2 2" xfId="2531" xr:uid="{BA3FBF41-3309-4028-969C-1B925DF9B36E}"/>
    <cellStyle name="Accent5 2 2 2" xfId="2532" xr:uid="{83FAC7CB-1B30-4CE2-A72F-D2EA3EE96914}"/>
    <cellStyle name="Accent5 2 2 3" xfId="2533" xr:uid="{A7FB43B4-8355-48F6-AC03-F3B4872B5C11}"/>
    <cellStyle name="Accent5 2 3" xfId="2534" xr:uid="{92ECE159-E7F5-4949-9F3F-16946BB0A0E0}"/>
    <cellStyle name="Accent5 2 4" xfId="2535" xr:uid="{C1769A8F-8F51-44AD-ACBD-2D7AA7780028}"/>
    <cellStyle name="Accent5 2 5" xfId="2536" xr:uid="{50FDFAD3-98DB-4C3D-B419-7C9957EB09D7}"/>
    <cellStyle name="Accent5 2 6" xfId="2530" xr:uid="{45B89232-0277-4819-8478-B075F31D98F8}"/>
    <cellStyle name="Accent5 20" xfId="2537" xr:uid="{1C49FB45-553D-4CD8-B805-906949909894}"/>
    <cellStyle name="Accent5 21" xfId="2538" xr:uid="{3766F7DB-7113-4FF1-A0E4-EDDBB3B6ECFF}"/>
    <cellStyle name="Accent5 22" xfId="2539" xr:uid="{5408F880-FDC1-4F2F-ACC1-8428E2FFEF05}"/>
    <cellStyle name="Accent5 23" xfId="2540" xr:uid="{D6738053-422F-49FD-BF13-00FBEC7E13A7}"/>
    <cellStyle name="Accent5 24" xfId="2541" xr:uid="{EFF48E16-F2C6-4DD2-935D-287B3587ED4B}"/>
    <cellStyle name="Accent5 25" xfId="2542" xr:uid="{BF399FE4-C280-4D61-9424-4E6F28D18BFC}"/>
    <cellStyle name="Accent5 26" xfId="2543" xr:uid="{42D590BF-B68F-43F2-B9F3-440BAC89213B}"/>
    <cellStyle name="Accent5 27" xfId="2544" xr:uid="{D6071804-D9E9-4FAC-ADF0-035D62E3D218}"/>
    <cellStyle name="Accent5 28" xfId="2545" xr:uid="{1A59434D-7A0D-442D-BDA8-2988AA8BF2B0}"/>
    <cellStyle name="Accent5 29" xfId="2546" xr:uid="{ECC8907B-4BC6-4A15-B0A0-5B73315CA902}"/>
    <cellStyle name="Accent5 3" xfId="2547" xr:uid="{3C4579E3-BFB2-40BE-93EA-F76C21EA1163}"/>
    <cellStyle name="Accent5 3 2" xfId="2548" xr:uid="{8ABCF896-14AE-4FA5-B45E-8C4D6363477E}"/>
    <cellStyle name="Accent5 30" xfId="2549" xr:uid="{877E899E-FF4A-4E8B-9098-3F1D2A1A32B9}"/>
    <cellStyle name="Accent5 31" xfId="2550" xr:uid="{AC648979-B2B9-4D79-B6E2-665B2D695289}"/>
    <cellStyle name="Accent5 32" xfId="2551" xr:uid="{EF9C0C83-316A-48E0-9AB5-304FC43C156F}"/>
    <cellStyle name="Accent5 33" xfId="2552" xr:uid="{1FF16980-6073-4932-AADF-223EC05B1EC9}"/>
    <cellStyle name="Accent5 34" xfId="2553" xr:uid="{6323375F-1663-4D6D-BDC2-4776C2CE8B6C}"/>
    <cellStyle name="Accent5 35" xfId="2554" xr:uid="{C54D7F8D-CC49-4A9F-AA56-F06FC1FAF039}"/>
    <cellStyle name="Accent5 35 2" xfId="2555" xr:uid="{A86B4AE6-87CD-4591-95FE-68379E202A3B}"/>
    <cellStyle name="Accent5 35 2 2" xfId="2556" xr:uid="{9B710887-1F91-432D-A4AF-85A5491D7822}"/>
    <cellStyle name="Accent5 35 2 2 2" xfId="2557" xr:uid="{E44DA533-0544-4354-AFBA-312F0A2CB535}"/>
    <cellStyle name="Accent5 35 3" xfId="2558" xr:uid="{08656B66-9A06-4DB9-9579-8467241FB3B9}"/>
    <cellStyle name="Accent5 35 4" xfId="2559" xr:uid="{4775A9CD-E9EE-4A0A-9F33-613C0F354343}"/>
    <cellStyle name="Accent5 36" xfId="2560" xr:uid="{269FB97F-069D-4202-A987-62DF94439C95}"/>
    <cellStyle name="Accent5 37" xfId="2561" xr:uid="{8915CC0B-749C-4308-BFFC-F699BE282C19}"/>
    <cellStyle name="Accent5 38" xfId="2562" xr:uid="{DA60F8AF-4DC2-4427-A520-49F15C10AD8E}"/>
    <cellStyle name="Accent5 39" xfId="2563" xr:uid="{F8E2BF0D-AD2A-4F2B-BA8C-58AF81EEDD65}"/>
    <cellStyle name="Accent5 4" xfId="2564" xr:uid="{4152C9CC-CDBC-41F9-943C-B6331D464F48}"/>
    <cellStyle name="Accent5 4 2" xfId="2565" xr:uid="{E5ABF305-7293-43F6-AFF7-D98411B08A5D}"/>
    <cellStyle name="Accent5 40" xfId="2566" xr:uid="{EF7017FB-408C-4B2C-B448-2EBF152969A8}"/>
    <cellStyle name="Accent5 41" xfId="2567" xr:uid="{792C357B-A95B-478C-BB5B-6A774A2B2A6B}"/>
    <cellStyle name="Accent5 42" xfId="2568" xr:uid="{7322ADB1-AFAD-403F-90FA-AF6859B3487E}"/>
    <cellStyle name="Accent5 43" xfId="2569" xr:uid="{BB69FF1F-CB8E-49D0-927D-6511A784DFE3}"/>
    <cellStyle name="Accent5 44" xfId="2570" xr:uid="{60CA2166-FE70-4AFC-B6CD-8079B5324263}"/>
    <cellStyle name="Accent5 45" xfId="2571" xr:uid="{0FD19F8F-6C71-4F06-9156-9940973C2997}"/>
    <cellStyle name="Accent5 46" xfId="2572" xr:uid="{7DA9997B-2425-4DA5-BDCE-9C503B2EB79C}"/>
    <cellStyle name="Accent5 47" xfId="2573" xr:uid="{FADC70CE-F0F5-4E46-A3B5-F04AEEC95431}"/>
    <cellStyle name="Accent5 48" xfId="2574" xr:uid="{AE8A10AC-466E-4252-BE86-68C92E6CC2A0}"/>
    <cellStyle name="Accent5 49" xfId="2575" xr:uid="{889BBEF0-AFC5-4352-BA9A-D4B0307F18B5}"/>
    <cellStyle name="Accent5 5" xfId="2576" xr:uid="{7D1C7FB5-68F7-456D-A5E0-7ECF1A2FE2C0}"/>
    <cellStyle name="Accent5 50" xfId="2577" xr:uid="{3AF13601-8CDE-4397-85C0-1A90862C2EC6}"/>
    <cellStyle name="Accent5 51" xfId="2578" xr:uid="{03966EB8-251C-4E09-960A-9DE25E1014EB}"/>
    <cellStyle name="Accent5 52" xfId="2579" xr:uid="{AF04CFAA-5261-4526-B28F-08EDE79F0CB4}"/>
    <cellStyle name="Accent5 53" xfId="2580" xr:uid="{133C2850-08BC-4FDB-87D9-0692624F7D94}"/>
    <cellStyle name="Accent5 54" xfId="2581" xr:uid="{58349499-BE2D-465B-876E-1C83469553C9}"/>
    <cellStyle name="Accent5 55" xfId="2582" xr:uid="{8AABC9BA-3BFC-46BA-8058-11F4F737964F}"/>
    <cellStyle name="Accent5 56" xfId="2583" xr:uid="{476AAFD4-378F-4161-9F39-5056680676AB}"/>
    <cellStyle name="Accent5 57" xfId="2584" xr:uid="{6512F323-5FAB-47D9-9C3C-BE443EA98685}"/>
    <cellStyle name="Accent5 58" xfId="2585" xr:uid="{52D0D8F5-00D1-4C88-A60B-5DAE61BA710B}"/>
    <cellStyle name="Accent5 59" xfId="2586" xr:uid="{0D37A9C2-F31C-4EB9-9C1B-DE74BD35EAA8}"/>
    <cellStyle name="Accent5 6" xfId="2587" xr:uid="{EEE0772B-8193-4584-B55E-233E373CBB14}"/>
    <cellStyle name="Accent5 60" xfId="2588" xr:uid="{CDC4C580-35FC-49CF-8792-3284B54CE0B0}"/>
    <cellStyle name="Accent5 60 2" xfId="2589" xr:uid="{5EB3DFD5-51B6-43D7-A8F4-BC2B618D9BBA}"/>
    <cellStyle name="Accent5 60 2 2" xfId="2590" xr:uid="{D8857FAE-CB25-40DF-8045-1CE0470485B4}"/>
    <cellStyle name="Accent5 60 2 3" xfId="2591" xr:uid="{1868A89E-1CEA-41D8-AD03-912C446D626D}"/>
    <cellStyle name="Accent5 61" xfId="2592" xr:uid="{DFCFEBC9-CDAC-4B6E-B8E0-DBE0D6995F25}"/>
    <cellStyle name="Accent5 62" xfId="2593" xr:uid="{19EB7CE6-7C00-4ED9-B44D-0DFE8B0DBA1B}"/>
    <cellStyle name="Accent5 63" xfId="2594" xr:uid="{48723DD2-AF19-4F48-B5F7-B7B6CEDA6675}"/>
    <cellStyle name="Accent5 64" xfId="2595" xr:uid="{9D7145F8-E2E3-4BBC-B78C-300FC5A75479}"/>
    <cellStyle name="Accent5 65" xfId="2596" xr:uid="{64CDFE4B-6D84-4974-B980-2AE1818CF2AC}"/>
    <cellStyle name="Accent5 7" xfId="2597" xr:uid="{1B6F417F-54D0-4C54-A775-B9CBA94636FC}"/>
    <cellStyle name="Accent5 8" xfId="2598" xr:uid="{C18C3315-6EA1-4521-9619-E506896EC44C}"/>
    <cellStyle name="Accent5 9" xfId="2599" xr:uid="{7DBA6BBE-530D-4CA7-8E6D-7BD178AFD334}"/>
    <cellStyle name="Accent6 10" xfId="2600" xr:uid="{D1A3C88D-3401-4256-9C67-2336F9FA7D65}"/>
    <cellStyle name="Accent6 11" xfId="2601" xr:uid="{E769A31C-3A6F-40F1-83CD-267256FD3E1A}"/>
    <cellStyle name="Accent6 12" xfId="2602" xr:uid="{D0FE809C-DE2E-4292-B32D-3133A35EF8F9}"/>
    <cellStyle name="Accent6 13" xfId="2603" xr:uid="{D91604B6-C5D2-430E-9A99-B644C58BAAEB}"/>
    <cellStyle name="Accent6 14" xfId="2604" xr:uid="{7B357935-EC08-4468-92BE-8718C5612ECB}"/>
    <cellStyle name="Accent6 15" xfId="2605" xr:uid="{70002E12-EBED-40D8-A78C-BC6D5B724A2A}"/>
    <cellStyle name="Accent6 16" xfId="2606" xr:uid="{FAF2794B-D96B-46FD-82DF-71C67841FBAA}"/>
    <cellStyle name="Accent6 17" xfId="2607" xr:uid="{3AF96B38-A943-412A-9B22-78A8B7AA0944}"/>
    <cellStyle name="Accent6 18" xfId="2608" xr:uid="{9893DF17-670A-4902-A9B2-DF6AE5702005}"/>
    <cellStyle name="Accent6 19" xfId="2609" xr:uid="{53FB574A-496C-4AA8-BC85-37AC96CFB31E}"/>
    <cellStyle name="Accent6 2" xfId="43" xr:uid="{890EDADC-1C77-4291-8715-EB1AAA6B952A}"/>
    <cellStyle name="Accent6 2 2" xfId="2611" xr:uid="{BEB3E228-C527-43D1-AF83-F6D9A92DFCB8}"/>
    <cellStyle name="Accent6 2 2 2" xfId="2612" xr:uid="{31370329-72C7-4264-8FCC-42FA274674D2}"/>
    <cellStyle name="Accent6 2 2 3" xfId="2613" xr:uid="{9725DFE0-7229-4181-8C9E-226F92CEA248}"/>
    <cellStyle name="Accent6 2 3" xfId="2614" xr:uid="{DFEF125F-4C67-4EAD-8491-EC9E20E40391}"/>
    <cellStyle name="Accent6 2 4" xfId="2615" xr:uid="{B65A0F8E-1A45-4372-9ED3-4BC375967128}"/>
    <cellStyle name="Accent6 2 5" xfId="2616" xr:uid="{2576EE4C-2771-4929-8974-0E00E960100E}"/>
    <cellStyle name="Accent6 2 6" xfId="2610" xr:uid="{FEA1DBF7-2F63-4AB9-B918-39F2AE1A4665}"/>
    <cellStyle name="Accent6 20" xfId="2617" xr:uid="{1701C948-2776-476F-84D2-15FD026797FF}"/>
    <cellStyle name="Accent6 21" xfId="2618" xr:uid="{DC181B0A-6076-4D36-B00E-D4D6180F8837}"/>
    <cellStyle name="Accent6 22" xfId="2619" xr:uid="{624C7EC1-01C0-4375-B2B3-B910D6EC7984}"/>
    <cellStyle name="Accent6 23" xfId="2620" xr:uid="{1E0B5F5C-4925-400C-BAB5-958F84BA3A50}"/>
    <cellStyle name="Accent6 24" xfId="2621" xr:uid="{9EB1FED3-0B84-40E3-95F7-50A95A2056DA}"/>
    <cellStyle name="Accent6 25" xfId="2622" xr:uid="{D4246D66-06BC-40E7-851C-93E345E719E4}"/>
    <cellStyle name="Accent6 26" xfId="2623" xr:uid="{BFCBE2E8-03AB-466C-AFF2-678EE4226583}"/>
    <cellStyle name="Accent6 27" xfId="2624" xr:uid="{2A64CFC4-DE77-4E71-8CDF-1D2521DD6400}"/>
    <cellStyle name="Accent6 28" xfId="2625" xr:uid="{F3BBFAEC-D328-46B0-8318-2E78FD38B42C}"/>
    <cellStyle name="Accent6 29" xfId="2626" xr:uid="{6168D565-5002-4FCD-9941-DF4626829F98}"/>
    <cellStyle name="Accent6 3" xfId="2627" xr:uid="{77121392-68A0-4204-8C47-167C82983C19}"/>
    <cellStyle name="Accent6 3 2" xfId="2628" xr:uid="{2621FF3C-BD7B-47C0-8BC0-5886D87A3D1F}"/>
    <cellStyle name="Accent6 3 3" xfId="2629" xr:uid="{E211FFAA-4F07-46C2-891C-DBFBFCA9F571}"/>
    <cellStyle name="Accent6 30" xfId="2630" xr:uid="{59429BC7-9D85-4966-AEEB-EB766A042002}"/>
    <cellStyle name="Accent6 31" xfId="2631" xr:uid="{20136A21-53D5-4F09-86D3-C7D04CF5BDCC}"/>
    <cellStyle name="Accent6 32" xfId="2632" xr:uid="{ED83888E-0BF4-43AF-A119-3D75BF18AB40}"/>
    <cellStyle name="Accent6 33" xfId="2633" xr:uid="{818412A2-BDB8-4A96-B38A-10CB030E88EF}"/>
    <cellStyle name="Accent6 34" xfId="2634" xr:uid="{E8156C39-BD12-4217-A2DB-40229180A652}"/>
    <cellStyle name="Accent6 35" xfId="2635" xr:uid="{D8B5C644-5F9E-4D05-9B94-7E748D754436}"/>
    <cellStyle name="Accent6 35 2" xfId="2636" xr:uid="{312AEC6E-324F-43D3-8D3E-3B7009003182}"/>
    <cellStyle name="Accent6 35 2 2" xfId="2637" xr:uid="{CEEB6C57-E5B5-4B29-8F7B-ADFA02A231FA}"/>
    <cellStyle name="Accent6 35 2 2 2" xfId="2638" xr:uid="{34944F2D-6783-4E57-BCA0-7EB680689599}"/>
    <cellStyle name="Accent6 35 3" xfId="2639" xr:uid="{577479A4-065C-4982-92B5-48325D7521FC}"/>
    <cellStyle name="Accent6 35 4" xfId="2640" xr:uid="{CB455D57-2470-4690-972A-20FF00F89983}"/>
    <cellStyle name="Accent6 36" xfId="2641" xr:uid="{5BA624AC-8C09-4DBF-BEB5-914C8A9D51E9}"/>
    <cellStyle name="Accent6 37" xfId="2642" xr:uid="{FE420532-582F-4A8C-A56C-A7E2970CC450}"/>
    <cellStyle name="Accent6 38" xfId="2643" xr:uid="{387F289D-65B2-4C41-8B36-ED2EE0C30EA5}"/>
    <cellStyle name="Accent6 39" xfId="2644" xr:uid="{4170D0A2-2F13-4F69-B1CC-D0CD70713C65}"/>
    <cellStyle name="Accent6 4" xfId="2645" xr:uid="{28586AF3-4D69-4AFC-87BF-3FACA7D99CD1}"/>
    <cellStyle name="Accent6 4 2" xfId="2646" xr:uid="{204B1A8B-321A-4725-8488-ED2BB02A9986}"/>
    <cellStyle name="Accent6 40" xfId="2647" xr:uid="{34A9965F-DBA2-41A7-810E-9A00BDF83A99}"/>
    <cellStyle name="Accent6 41" xfId="2648" xr:uid="{19246D8E-4330-4009-B024-C0AD74A12AE5}"/>
    <cellStyle name="Accent6 42" xfId="2649" xr:uid="{620ADFC2-ADE3-4D98-B054-B3E445A9ED1C}"/>
    <cellStyle name="Accent6 43" xfId="2650" xr:uid="{DF1B0A9D-AEF9-40C2-A43F-C1B745D96907}"/>
    <cellStyle name="Accent6 44" xfId="2651" xr:uid="{E015A288-D260-446C-95D4-E23E7524DEE5}"/>
    <cellStyle name="Accent6 45" xfId="2652" xr:uid="{F93F3B24-AA5C-418D-B678-BD39CC50E7B3}"/>
    <cellStyle name="Accent6 46" xfId="2653" xr:uid="{38A9BC77-8C40-481F-B631-8D2FD0A5C962}"/>
    <cellStyle name="Accent6 47" xfId="2654" xr:uid="{31967AF5-0D79-4763-AF1F-337CBA5596E8}"/>
    <cellStyle name="Accent6 48" xfId="2655" xr:uid="{EB37217D-76D3-4189-89A3-947E3AB97436}"/>
    <cellStyle name="Accent6 49" xfId="2656" xr:uid="{DA592301-7A43-42AB-B92E-A85FAA60644C}"/>
    <cellStyle name="Accent6 5" xfId="2657" xr:uid="{2D50DDA8-A3D1-4C60-AB24-B38075849DDA}"/>
    <cellStyle name="Accent6 50" xfId="2658" xr:uid="{AA7E63BB-6BD5-4F1A-9F3F-13AA88ADF8FC}"/>
    <cellStyle name="Accent6 51" xfId="2659" xr:uid="{D63AF4FA-76FA-4538-9AE4-5A1C1FFB11CF}"/>
    <cellStyle name="Accent6 52" xfId="2660" xr:uid="{5F55DE8F-ECC5-4F08-93E2-E9B0E17CE287}"/>
    <cellStyle name="Accent6 53" xfId="2661" xr:uid="{AEBA7667-B137-4069-AFE0-F559114BFABB}"/>
    <cellStyle name="Accent6 54" xfId="2662" xr:uid="{543A5201-56B8-4607-B3BB-A1CED5D8BB5B}"/>
    <cellStyle name="Accent6 55" xfId="2663" xr:uid="{A10820BD-01EA-4408-85EF-71E3CA2FFFCA}"/>
    <cellStyle name="Accent6 56" xfId="2664" xr:uid="{DAD93174-A94A-41DA-8D35-B1C6DCF2A7DD}"/>
    <cellStyle name="Accent6 57" xfId="2665" xr:uid="{C06690BB-64AA-4680-AD60-DD28C77C5700}"/>
    <cellStyle name="Accent6 58" xfId="2666" xr:uid="{4B656ADA-C25B-42E3-B85A-E08FF69C4F5C}"/>
    <cellStyle name="Accent6 59" xfId="2667" xr:uid="{72A05F8E-5D8C-44E6-AEA3-77810761226D}"/>
    <cellStyle name="Accent6 6" xfId="2668" xr:uid="{A84170CC-55B5-461A-88A2-673E775CBA65}"/>
    <cellStyle name="Accent6 60" xfId="2669" xr:uid="{3D89A82D-77D1-431C-A56E-6BA1AB17EE13}"/>
    <cellStyle name="Accent6 60 2" xfId="2670" xr:uid="{68F16081-6181-4FDA-A79A-6C6A6EC14D17}"/>
    <cellStyle name="Accent6 60 2 2" xfId="2671" xr:uid="{0A5B8E57-2533-46E1-A969-758A1C23B3B0}"/>
    <cellStyle name="Accent6 60 2 3" xfId="2672" xr:uid="{ACC54D4D-4D54-457F-A360-B6EC26C90113}"/>
    <cellStyle name="Accent6 61" xfId="2673" xr:uid="{859E35D1-6DD5-4203-BFF4-7817F463C3C5}"/>
    <cellStyle name="Accent6 62" xfId="2674" xr:uid="{E4185481-86D6-447F-AFA0-7A7DBC0B5A62}"/>
    <cellStyle name="Accent6 63" xfId="2675" xr:uid="{89E03C5B-B693-4489-808D-65F7B9A8F287}"/>
    <cellStyle name="Accent6 64" xfId="2676" xr:uid="{0C347767-9787-4FF1-B593-D065683DA038}"/>
    <cellStyle name="Accent6 65" xfId="2677" xr:uid="{928F643B-31B2-465F-865D-4B28F8078391}"/>
    <cellStyle name="Accent6 7" xfId="2678" xr:uid="{419410CF-15D5-46C2-9325-0BA0404B1AC7}"/>
    <cellStyle name="Accent6 8" xfId="2679" xr:uid="{47E7C3D3-B392-44CB-BB39-755F5BEE1ABD}"/>
    <cellStyle name="Accent6 9" xfId="2680" xr:uid="{C04DA56B-EB15-4D5B-9212-ED5DD1A3A5D6}"/>
    <cellStyle name="Actual Date" xfId="2681" xr:uid="{6C39CA18-E37C-45D7-8CF9-7FB4D57DBE9C}"/>
    <cellStyle name="Adjustable" xfId="2682" xr:uid="{C0B7FFA7-6990-4F5B-A440-77C916D3EB6B}"/>
    <cellStyle name="AFE" xfId="2683" xr:uid="{B021AB98-68A5-4417-84D0-69A8EDC45032}"/>
    <cellStyle name="AggblueCels_1x" xfId="2684" xr:uid="{E85CB315-79E6-4FEE-A640-20D2D211CCD4}"/>
    <cellStyle name="Alternate Rows" xfId="2685" xr:uid="{CD2B4F25-BC52-4CB0-82DC-9151894D4E4E}"/>
    <cellStyle name="Alternate Yellow" xfId="2686" xr:uid="{93F8B86D-9641-4F69-A389-55F0E391D421}"/>
    <cellStyle name="Alternate Yellow 2" xfId="2687" xr:uid="{F3FF9132-6BFE-478B-9B79-7282B7B9EF5C}"/>
    <cellStyle name="Alternate Yellow 3" xfId="2688" xr:uid="{36F30409-CE46-4581-A431-B105F33522AE}"/>
    <cellStyle name="Alternate Yellow 4" xfId="2689" xr:uid="{CED5F274-B0EC-41D8-98E7-6F1DCFAB3CFC}"/>
    <cellStyle name="Alternate Yellow 5" xfId="2690" xr:uid="{1567C982-B1D8-48F9-8180-7A56B7D87673}"/>
    <cellStyle name="ANCLAS,REZONES Y SUS PARTES,DE FUNDICION,DE HIERRO O DE ACERO" xfId="2691" xr:uid="{883F4405-9D59-4271-B59F-B81FAD969005}"/>
    <cellStyle name="ANCLAS,REZONES Y SUS PARTES,DE FUNDICION,DE HIERRO O DE ACERO 2" xfId="2692" xr:uid="{26353AA6-43A8-417C-8C04-9F650AD3BDC6}"/>
    <cellStyle name="ANCLAS,REZONES Y SUS PARTES,DE FUNDICION,DE HIERRO O DE ACERO 3" xfId="2693" xr:uid="{44E900F6-4A34-4099-A4F9-14589558EC41}"/>
    <cellStyle name="ANCLAS,REZONES Y SUS PARTES,DE FUNDICION,DE HIERRO O DE ACERO_Ch4 v2" xfId="2694" xr:uid="{2074254E-2B3F-4777-87C1-5C971297919F}"/>
    <cellStyle name="annee semestre" xfId="2695" xr:uid="{8774E9DB-D35E-467A-8148-4C5954F598F3}"/>
    <cellStyle name="Array" xfId="2696" xr:uid="{288224D6-A06F-4D98-B567-9569178539C0}"/>
    <cellStyle name="Assumption" xfId="2697" xr:uid="{B2E10F87-32D5-4C9B-8730-DA1A13D6AF71}"/>
    <cellStyle name="Assumption Heading." xfId="2698" xr:uid="{DFCD6E45-4DDC-4560-8F32-B979187A551A}"/>
    <cellStyle name="AutoFormat-Optionen" xfId="2699" xr:uid="{E896C30E-666D-47DA-B7EB-B945900F0BF6}"/>
    <cellStyle name="AutoFormat-Optionen 10" xfId="2700" xr:uid="{3E429387-5AB1-4A7A-933E-312598472241}"/>
    <cellStyle name="AutoFormat-Optionen 2" xfId="2701" xr:uid="{936D1736-648B-4269-8622-FC874A792262}"/>
    <cellStyle name="AutoFormat-Optionen 2 2" xfId="2702" xr:uid="{8D1328CC-C09E-47C8-86F7-19E452597159}"/>
    <cellStyle name="AutoFormat-Optionen 2 2 2" xfId="2703" xr:uid="{5925880F-C0E5-4DF4-A8D8-61E09DB926F6}"/>
    <cellStyle name="AutoFormat-Optionen 3" xfId="2704" xr:uid="{8A0EDE30-E944-46AA-AFF5-ECC7A23C824A}"/>
    <cellStyle name="AutoFormat-Optionen 4" xfId="2705" xr:uid="{9B237955-D00E-4ABF-9C52-9B6AF775EDE2}"/>
    <cellStyle name="AutoFormat-Optionen 5" xfId="2706" xr:uid="{9D944315-35E4-4215-A842-50D3730437A2}"/>
    <cellStyle name="AutoFormat-Optionen 6" xfId="2707" xr:uid="{0616B402-DEDB-4FFA-A31F-3D1A7A5F3316}"/>
    <cellStyle name="AutoFormat-Optionen 7" xfId="2708" xr:uid="{23FA92F5-A6EA-437D-BFC0-3D9DD5FAE3CB}"/>
    <cellStyle name="AutoFormat-Optionen 8" xfId="2709" xr:uid="{E868216C-A6C0-4744-9537-D372972012AE}"/>
    <cellStyle name="AutoFormat-Optionen 9" xfId="2710" xr:uid="{059CB0FD-262B-40EA-84CE-6A380ED036F3}"/>
    <cellStyle name="AutoFormat-Optionen_Results &amp; Sensitivities" xfId="2711" xr:uid="{4B4BF00A-35AC-43E0-9D5B-C4D69C7BFBD8}"/>
    <cellStyle name="AxeHor" xfId="2712" xr:uid="{9B6423BE-CF87-4CFD-8031-0A5D6122DC36}"/>
    <cellStyle name="Bad 10" xfId="2713" xr:uid="{49FD7ED0-E0AC-41A9-A7C7-3A82982B0392}"/>
    <cellStyle name="Bad 11" xfId="2714" xr:uid="{051958A1-F8D3-4619-916C-AA68D8DE947B}"/>
    <cellStyle name="Bad 12" xfId="2715" xr:uid="{2B3A1722-8334-4090-B4D4-9C40C59807FE}"/>
    <cellStyle name="Bad 13" xfId="2716" xr:uid="{D6E768C6-EC17-4231-B829-2687F80E7112}"/>
    <cellStyle name="Bad 14" xfId="2717" xr:uid="{7C654601-72BF-4E58-8107-B9EA9BEEF105}"/>
    <cellStyle name="Bad 15" xfId="2718" xr:uid="{1FCF09FB-21A2-4592-80A5-568914CE3EB5}"/>
    <cellStyle name="Bad 16" xfId="2719" xr:uid="{FB5B237E-0256-418C-A281-615CD18F181C}"/>
    <cellStyle name="Bad 17" xfId="2720" xr:uid="{1DB369ED-38B3-47F7-B0D9-B14AC097F465}"/>
    <cellStyle name="Bad 18" xfId="2721" xr:uid="{FB14CC27-3404-4897-87EF-D6C03BF61806}"/>
    <cellStyle name="Bad 19" xfId="2722" xr:uid="{848BE916-BCD7-42F9-B073-308043B0A491}"/>
    <cellStyle name="Bad 2" xfId="44" xr:uid="{F9C68D6E-56FE-4293-A26F-CDAB646C6841}"/>
    <cellStyle name="Bad 2 2" xfId="2724" xr:uid="{52F2AEE1-C001-4F6E-A7C1-35E797A20DF1}"/>
    <cellStyle name="Bad 2 2 2" xfId="2725" xr:uid="{0A61E9C1-2921-4E47-87DC-15DAB7314BBE}"/>
    <cellStyle name="Bad 2 2 3" xfId="2726" xr:uid="{AD68D9B2-0B88-46A7-AA92-A15F6F01ABB3}"/>
    <cellStyle name="Bad 2 3" xfId="2727" xr:uid="{1EB7A591-7116-433A-BE35-261EF15C0214}"/>
    <cellStyle name="Bad 2 4" xfId="2728" xr:uid="{8F174510-3E12-4A9C-BDA3-30C90C34F9AA}"/>
    <cellStyle name="Bad 2 5" xfId="2729" xr:uid="{E73BFE8B-4177-4EC1-880E-9571E65AA0F3}"/>
    <cellStyle name="Bad 2 6" xfId="2723" xr:uid="{2EF7A978-346C-424E-9047-512D1D4EED63}"/>
    <cellStyle name="Bad 20" xfId="2730" xr:uid="{A66E8944-8C01-4E42-9E76-7AE26C43F0BE}"/>
    <cellStyle name="Bad 21" xfId="2731" xr:uid="{D01341E9-2306-4A79-B06C-76529A734E35}"/>
    <cellStyle name="Bad 22" xfId="2732" xr:uid="{050B7E0C-F9E0-49B5-9A76-93119BD6BBD5}"/>
    <cellStyle name="Bad 23" xfId="2733" xr:uid="{E83F40F6-0EF1-46BD-B1FE-10074BF43CF8}"/>
    <cellStyle name="Bad 24" xfId="2734" xr:uid="{48A20154-3376-4A51-AA7C-18DE99E334BB}"/>
    <cellStyle name="Bad 25" xfId="2735" xr:uid="{29C226F7-BD21-4379-9276-9665D0FB26DF}"/>
    <cellStyle name="Bad 26" xfId="2736" xr:uid="{37796F9C-FFDD-4134-AF2C-863ADEA2AD0F}"/>
    <cellStyle name="Bad 27" xfId="2737" xr:uid="{2A43F435-0249-42BA-9B89-BE518270D347}"/>
    <cellStyle name="Bad 28" xfId="2738" xr:uid="{53661346-0721-4F0D-8B98-B9D8AD60A6AF}"/>
    <cellStyle name="Bad 29" xfId="2739" xr:uid="{3E6EBD34-1A48-403C-8032-FD158F9D657E}"/>
    <cellStyle name="Bad 3" xfId="395" xr:uid="{C7907F9B-B7ED-490A-9CEA-56354070A4BB}"/>
    <cellStyle name="Bad 3 2" xfId="2741" xr:uid="{0A3C6532-7A0D-4D11-BA76-3BBDA9A11E7D}"/>
    <cellStyle name="Bad 3 3" xfId="2742" xr:uid="{1DC333F7-DF94-4296-9F39-DAE5D1A0DAA9}"/>
    <cellStyle name="Bad 3 4" xfId="2740" xr:uid="{3DE017DB-D43C-40E0-8DBF-C1609527E1AB}"/>
    <cellStyle name="Bad 30" xfId="2743" xr:uid="{9BD78134-EB4E-4468-B242-6F19CC9AE8BA}"/>
    <cellStyle name="Bad 31" xfId="2744" xr:uid="{FC502557-85BB-49BF-93FD-51A953FB382E}"/>
    <cellStyle name="Bad 32" xfId="2745" xr:uid="{CB2CDC84-B89A-41AA-927D-3A604D8F9B8D}"/>
    <cellStyle name="Bad 33" xfId="2746" xr:uid="{D30930B2-446F-432F-9BA4-7A0A1B3D03BF}"/>
    <cellStyle name="Bad 34" xfId="2747" xr:uid="{70B7D8B3-6E9F-4DF8-B8CE-772CF6D6EE23}"/>
    <cellStyle name="Bad 35" xfId="2748" xr:uid="{43E09AFA-5F83-431B-9CDA-2CD6D940781D}"/>
    <cellStyle name="Bad 35 2" xfId="2749" xr:uid="{F62C3066-163E-42CB-8EE4-243E84B0A13A}"/>
    <cellStyle name="Bad 35 2 2" xfId="2750" xr:uid="{6C946BCE-9F91-4632-BAE7-F334C48DB51C}"/>
    <cellStyle name="Bad 35 2 2 2" xfId="2751" xr:uid="{F6B0A9EA-BAAF-4D33-A5E6-3EBBEC915107}"/>
    <cellStyle name="Bad 35 3" xfId="2752" xr:uid="{655CF3C0-093B-41EF-AC59-D5EC2ED0270F}"/>
    <cellStyle name="Bad 35 4" xfId="2753" xr:uid="{6AEA5F06-F67C-45D0-B61D-E7F6BD2366AA}"/>
    <cellStyle name="Bad 36" xfId="2754" xr:uid="{7E064443-12CA-460E-BDCA-F932C7467B1C}"/>
    <cellStyle name="Bad 37" xfId="2755" xr:uid="{9706029F-A7AA-469B-A363-1355C83221F9}"/>
    <cellStyle name="Bad 38" xfId="2756" xr:uid="{D2D2DE66-54B7-4E72-BC24-CE9181931EC1}"/>
    <cellStyle name="Bad 39" xfId="2757" xr:uid="{4E35AD5F-28F3-401B-993B-465470CC4EC9}"/>
    <cellStyle name="Bad 4" xfId="2758" xr:uid="{21C696BF-A872-46D4-AF2D-7E85FB35518C}"/>
    <cellStyle name="Bad 40" xfId="2759" xr:uid="{09840393-7755-4B43-9756-FF6F006788D4}"/>
    <cellStyle name="Bad 41" xfId="2760" xr:uid="{8B17C164-179C-4275-A536-387AD647C937}"/>
    <cellStyle name="Bad 42" xfId="2761" xr:uid="{713EACD9-39D8-42E8-90EE-8F48FDEEEEA2}"/>
    <cellStyle name="Bad 43" xfId="2762" xr:uid="{B8E9E87F-D4E0-40EF-BEB5-75FBA4315153}"/>
    <cellStyle name="Bad 44" xfId="2763" xr:uid="{A51B9902-CB7A-4160-8E72-9CA02DFC8609}"/>
    <cellStyle name="Bad 45" xfId="2764" xr:uid="{943CF8FC-3063-4B0B-91CD-8330A3F9CD8B}"/>
    <cellStyle name="Bad 46" xfId="2765" xr:uid="{454A2E07-B5F3-408B-B40F-203894A0182B}"/>
    <cellStyle name="Bad 47" xfId="2766" xr:uid="{421AEF01-6E2C-41DF-96CD-17A22A344C86}"/>
    <cellStyle name="Bad 48" xfId="2767" xr:uid="{FDF73173-CD3C-4207-96F9-858B034AA24A}"/>
    <cellStyle name="Bad 49" xfId="2768" xr:uid="{489F964F-CB3F-4FBE-A1FF-B01A2E61BB86}"/>
    <cellStyle name="Bad 5" xfId="2769" xr:uid="{AE920D85-DEDF-43AD-8B85-A4B48152F570}"/>
    <cellStyle name="Bad 50" xfId="2770" xr:uid="{B3B66F0B-9A98-4EC2-AB7D-7F42065E36C5}"/>
    <cellStyle name="Bad 51" xfId="2771" xr:uid="{2845023C-38EF-4FC8-A71D-A0872AE782BE}"/>
    <cellStyle name="Bad 52" xfId="2772" xr:uid="{BB382A64-4DAF-4CE1-AD89-31A53C0AAB5A}"/>
    <cellStyle name="Bad 53" xfId="2773" xr:uid="{C0B88482-EED8-4A6A-8E4E-19B880F750AF}"/>
    <cellStyle name="Bad 54" xfId="2774" xr:uid="{AF380EF9-BE25-4A90-9E57-DBD3B3F25DCB}"/>
    <cellStyle name="Bad 55" xfId="2775" xr:uid="{60E16CC3-54AD-45D3-93FE-0EB2792C5438}"/>
    <cellStyle name="Bad 56" xfId="2776" xr:uid="{1BE6161D-2075-48FC-AE96-DA079E79BAF6}"/>
    <cellStyle name="Bad 57" xfId="2777" xr:uid="{8BB23DAC-55EA-43CA-BEFD-05483BF8E875}"/>
    <cellStyle name="Bad 58" xfId="2778" xr:uid="{45EAA1FC-242B-4DF9-8421-4C040C3F4114}"/>
    <cellStyle name="Bad 59" xfId="2779" xr:uid="{61EC4797-3B6F-436A-915C-E4D2054E8D13}"/>
    <cellStyle name="Bad 6" xfId="2780" xr:uid="{3A77BEFC-AB84-4046-9DB9-2D5CC96C946D}"/>
    <cellStyle name="Bad 60" xfId="2781" xr:uid="{5C481C8A-6723-483F-A5E5-B996E16D63B0}"/>
    <cellStyle name="Bad 60 2" xfId="2782" xr:uid="{C80A2473-8174-477E-9721-1B8A1E38A7F9}"/>
    <cellStyle name="Bad 60 2 2" xfId="2783" xr:uid="{EBFDD9E9-9A04-44DA-A323-113232975A0D}"/>
    <cellStyle name="Bad 60 2 2 2" xfId="2784" xr:uid="{2EDD1995-B7AB-498B-8099-F1BBEFCFF650}"/>
    <cellStyle name="Bad 60 2 3" xfId="2785" xr:uid="{A542C35B-3343-4A22-A3EE-FD5780A77AF7}"/>
    <cellStyle name="Bad 61" xfId="2786" xr:uid="{A99AF857-39DD-4086-A575-8386B879BCEF}"/>
    <cellStyle name="Bad 62" xfId="2787" xr:uid="{BF9CA896-B559-4DE9-958C-F584B8F5BBE7}"/>
    <cellStyle name="Bad 63" xfId="2788" xr:uid="{1FEFA587-1D53-4CF3-AA21-2218D90D9B39}"/>
    <cellStyle name="Bad 64" xfId="2789" xr:uid="{3DDE1994-4925-4829-8234-650F755F4E29}"/>
    <cellStyle name="Bad 65" xfId="2790" xr:uid="{2B08393A-3978-4531-9004-327D82298504}"/>
    <cellStyle name="Bad 7" xfId="2791" xr:uid="{314C6719-06E9-4BAB-AB93-E9143B872505}"/>
    <cellStyle name="Bad 8" xfId="2792" xr:uid="{1ED88AA9-DED6-4435-9667-E8D32A253C10}"/>
    <cellStyle name="Bad 9" xfId="2793" xr:uid="{83BC253E-180B-4768-BEC6-94CFD67BAA3D}"/>
    <cellStyle name="Best" xfId="2794" xr:uid="{17D5701A-C6CD-4CF3-B569-64AF8CC01652}"/>
    <cellStyle name="Besuchter Hyperlink" xfId="2795" xr:uid="{50686AA7-7106-4D4B-8B67-A7B45ECAC497}"/>
    <cellStyle name="Bid £m format" xfId="45" xr:uid="{57704935-3314-493F-8398-565D72CF5F93}"/>
    <cellStyle name="Bid £m format 2" xfId="2796" xr:uid="{6C0871CE-671A-439B-B273-C2A67D59B6AD}"/>
    <cellStyle name="Blank" xfId="2797" xr:uid="{D67FBCE9-DAC1-48BA-9B51-9BD9DC8D491E}"/>
    <cellStyle name="blue" xfId="2798" xr:uid="{4A7C0E96-F4C8-4021-AC48-2D1795045F80}"/>
    <cellStyle name="Bold GHG Numbers (0.00)" xfId="2799" xr:uid="{C7380E86-6249-491E-BF10-C340ED0FA9DC}"/>
    <cellStyle name="Bold GHG Numbers (0.00) 2" xfId="2800" xr:uid="{10C8ADFC-D749-47B7-A686-FF42EF4D5372}"/>
    <cellStyle name="Border" xfId="2801" xr:uid="{D628647A-DCA5-49D3-93F1-8B76D4DAFB5D}"/>
    <cellStyle name="Brand Align Left Text" xfId="2802" xr:uid="{0E6C0A70-06FA-4B20-ACA1-FE37568BA759}"/>
    <cellStyle name="Brand Default" xfId="2803" xr:uid="{067D1322-7821-4EE6-A088-B49707334FE4}"/>
    <cellStyle name="Brand Percent" xfId="2804" xr:uid="{9965388B-8114-4E20-8FAC-9066B8763A9E}"/>
    <cellStyle name="Brand Source" xfId="2805" xr:uid="{584AC37B-051B-4848-A88C-1B91CB8EF2F4}"/>
    <cellStyle name="Brand Subtitle with Underline" xfId="2806" xr:uid="{A8E1B562-6248-4571-B85A-5DE22CA9B179}"/>
    <cellStyle name="Brand Subtitle without Underline" xfId="2807" xr:uid="{188A5BAA-EEB5-469D-8F91-44541273E54D}"/>
    <cellStyle name="Brand Title" xfId="2808" xr:uid="{1B247231-0DF1-4B40-9C45-359C6DFCC65F}"/>
    <cellStyle name="CALC Amount" xfId="2809" xr:uid="{22F8A0F0-D175-451F-B772-89056EA390DF}"/>
    <cellStyle name="CALC Amount [1]" xfId="2810" xr:uid="{D5246C4F-48D5-4212-AB07-9DBF6065B756}"/>
    <cellStyle name="CALC Amount [1] 2" xfId="2811" xr:uid="{4AB641E2-28E4-4D2C-A980-106395CEA660}"/>
    <cellStyle name="CALC Amount [1] 3" xfId="2812" xr:uid="{851F86F1-F6AE-4256-A676-CA8BE9BCDBC2}"/>
    <cellStyle name="CALC Amount [1] 4" xfId="2813" xr:uid="{2019D892-F4A6-4FE6-A8A2-00095D9BBF39}"/>
    <cellStyle name="CALC Amount [1] 5" xfId="2814" xr:uid="{689DD699-8B23-4B4F-BC50-C57CF6B8348F}"/>
    <cellStyle name="CALC Amount [1] 6" xfId="2815" xr:uid="{3F7170E3-AAD4-490F-BE29-D5F52C036081}"/>
    <cellStyle name="CALC Amount [1] 7" xfId="2816" xr:uid="{67CA553D-0B32-4961-B568-22049FBA7CED}"/>
    <cellStyle name="CALC Amount [1] 8" xfId="2817" xr:uid="{AAC776A5-807A-4CE3-ACB3-FA968BBDCB83}"/>
    <cellStyle name="CALC Amount [2]" xfId="2818" xr:uid="{F39AF524-2175-43DD-94D1-AF18118A2097}"/>
    <cellStyle name="CALC Amount [2] 2" xfId="2819" xr:uid="{DB0ECBDC-1792-40D5-8576-77348E7B3DC0}"/>
    <cellStyle name="CALC Amount [2] 3" xfId="2820" xr:uid="{38D6BA77-5432-4CF2-B03B-656A1E7B5625}"/>
    <cellStyle name="CALC Amount [2] 4" xfId="2821" xr:uid="{687721F2-6A2F-4C35-A5CE-F3E71364EC87}"/>
    <cellStyle name="CALC Amount [2] 5" xfId="2822" xr:uid="{4890F6E1-6657-430E-A63D-B5C817AA9FD5}"/>
    <cellStyle name="CALC Amount [2] 6" xfId="2823" xr:uid="{B6332FD7-412B-4516-8A89-43DF8FD5C3FE}"/>
    <cellStyle name="CALC Amount [2] 7" xfId="2824" xr:uid="{8419DC23-6A6D-47EF-87A1-D8232F052E94}"/>
    <cellStyle name="CALC Amount [2] 8" xfId="2825" xr:uid="{4A31B2DB-EA80-4243-91DE-16743F58A67D}"/>
    <cellStyle name="CALC Amount 2" xfId="2826" xr:uid="{A4415503-6306-41BA-8725-50F1C009991A}"/>
    <cellStyle name="CALC Amount 3" xfId="2827" xr:uid="{680DE344-FAED-4CE4-8B9A-45FAFD36CB32}"/>
    <cellStyle name="CALC Amount 4" xfId="2828" xr:uid="{55260362-44B1-4581-B13D-02748F032FB9}"/>
    <cellStyle name="CALC Amount 5" xfId="2829" xr:uid="{DA9DBFD3-04BF-431E-A583-77040EA44A09}"/>
    <cellStyle name="CALC Amount 6" xfId="2830" xr:uid="{A4E342E7-09BF-48F1-BC5D-88C0AFC7E314}"/>
    <cellStyle name="CALC Amount 7" xfId="2831" xr:uid="{81DFD027-02AE-4002-85B9-50FFD6E1F9D9}"/>
    <cellStyle name="CALC Amount 8" xfId="2832" xr:uid="{B36AD01F-448B-4908-8763-36CE40CD1B08}"/>
    <cellStyle name="CALC Amount Total" xfId="2833" xr:uid="{7E578AD0-7A7E-4255-8361-F62A68B90350}"/>
    <cellStyle name="CALC Amount Total [1]" xfId="2834" xr:uid="{435CC6E4-49DE-4709-A988-A70AFB9704FA}"/>
    <cellStyle name="CALC Amount Total [1] 10" xfId="2835" xr:uid="{0CCBEC01-3C87-4FD8-AEC6-0F1F29A8A138}"/>
    <cellStyle name="CALC Amount Total [1] 11" xfId="2836" xr:uid="{8A88D376-561C-4FFB-ADC6-986E15F20291}"/>
    <cellStyle name="CALC Amount Total [1] 2" xfId="2837" xr:uid="{91FA1EAF-7CB7-43A2-B8F3-AA123CEBF619}"/>
    <cellStyle name="CALC Amount Total [1] 3" xfId="2838" xr:uid="{518DF4CD-2FF2-46BF-8380-79E8F581194F}"/>
    <cellStyle name="CALC Amount Total [1] 4" xfId="2839" xr:uid="{B581A549-4031-48E2-A4F3-16D8BBAB8DCF}"/>
    <cellStyle name="CALC Amount Total [1] 5" xfId="2840" xr:uid="{0960FDC4-0F1F-40B3-8CC5-428EE3FDA4A4}"/>
    <cellStyle name="CALC Amount Total [1] 6" xfId="2841" xr:uid="{08789728-6698-4802-B6FB-2A23A1945067}"/>
    <cellStyle name="CALC Amount Total [1] 7" xfId="2842" xr:uid="{FDEDD251-7D82-4C28-BB16-CD5A95812BF1}"/>
    <cellStyle name="CALC Amount Total [1] 8" xfId="2843" xr:uid="{8981B9B5-8D0F-4AB6-9EF7-6DD15CD8DB5C}"/>
    <cellStyle name="CALC Amount Total [1] 9" xfId="2844" xr:uid="{F3306F29-680F-4A48-9193-F3AC2A59375A}"/>
    <cellStyle name="CALC Amount Total [2]" xfId="2845" xr:uid="{84826F30-C1CD-49F1-B56C-7CE63D1E9D39}"/>
    <cellStyle name="CALC Amount Total [2] 10" xfId="2846" xr:uid="{F08ADC1A-25FD-4C42-B724-3F86E07EF2A0}"/>
    <cellStyle name="CALC Amount Total [2] 11" xfId="2847" xr:uid="{A36234D6-AB5C-460D-A573-82DCD0187683}"/>
    <cellStyle name="CALC Amount Total [2] 2" xfId="2848" xr:uid="{3378AAE6-8248-432D-9C1D-817F77580B78}"/>
    <cellStyle name="CALC Amount Total [2] 3" xfId="2849" xr:uid="{34B64C5A-9025-4511-B4CF-86C4D9CDC436}"/>
    <cellStyle name="CALC Amount Total [2] 4" xfId="2850" xr:uid="{90F72A93-6E6F-4AE9-825C-E073380BFF72}"/>
    <cellStyle name="CALC Amount Total [2] 5" xfId="2851" xr:uid="{146E1D82-96CE-49C8-829B-FF5F6D012796}"/>
    <cellStyle name="CALC Amount Total [2] 6" xfId="2852" xr:uid="{83E6500F-5F16-40AB-8A96-99744CA3673F}"/>
    <cellStyle name="CALC Amount Total [2] 7" xfId="2853" xr:uid="{4E54FEC2-EEDF-46A1-822E-60522AE46F92}"/>
    <cellStyle name="CALC Amount Total [2] 8" xfId="2854" xr:uid="{4ACD3915-4465-47A8-8A27-3820B440E8E1}"/>
    <cellStyle name="CALC Amount Total [2] 9" xfId="2855" xr:uid="{3FA88A07-8C7E-40AC-847A-45AC42EE9A07}"/>
    <cellStyle name="CALC Amount Total 10" xfId="2856" xr:uid="{4BA291F2-45B1-4918-97CA-0749E2499C3E}"/>
    <cellStyle name="CALC Amount Total 11" xfId="2857" xr:uid="{E4C0911A-1F4E-4470-8680-8675301045C2}"/>
    <cellStyle name="CALC Amount Total 12" xfId="2858" xr:uid="{798A529B-B163-42B8-8A50-C2DEA6052337}"/>
    <cellStyle name="CALC Amount Total 13" xfId="2859" xr:uid="{E2A56300-A680-4515-A2B4-B4672FB6F929}"/>
    <cellStyle name="CALC Amount Total 2" xfId="2860" xr:uid="{FF59324D-1C36-4264-BFD7-F1DE11104DC6}"/>
    <cellStyle name="CALC Amount Total 3" xfId="2861" xr:uid="{62A7D976-51E7-40E1-BF37-8AD105723527}"/>
    <cellStyle name="CALC Amount Total 4" xfId="2862" xr:uid="{3733F42A-961D-4178-989A-8C16D29429EB}"/>
    <cellStyle name="CALC Amount Total 5" xfId="2863" xr:uid="{BBF4D55A-3F6E-442C-8654-B327F19EDE0A}"/>
    <cellStyle name="CALC Amount Total 6" xfId="2864" xr:uid="{F82117AC-1A94-4435-ADFB-D41B0938738A}"/>
    <cellStyle name="CALC Amount Total 7" xfId="2865" xr:uid="{DE8C39C5-042E-4662-807B-32673057C62E}"/>
    <cellStyle name="CALC Amount Total 8" xfId="2866" xr:uid="{2924C8E3-AE85-4EBA-A8CF-CE3D0C0AEC3F}"/>
    <cellStyle name="CALC Amount Total 9" xfId="2867" xr:uid="{95672CD7-B4B1-46E6-B92D-5A1C54C3F2EB}"/>
    <cellStyle name="CALC Amount Total_Sheet1" xfId="2868" xr:uid="{71724695-7796-47CE-9E9C-ADBE015080B8}"/>
    <cellStyle name="CALC Currency" xfId="2869" xr:uid="{FCFB1E56-1F9C-4FF8-AC56-0D9003105B76}"/>
    <cellStyle name="CALC Currency [1]" xfId="2870" xr:uid="{002B9E6C-EA6E-418B-B510-FDBDD0AF124F}"/>
    <cellStyle name="CALC Currency [1] 2" xfId="2871" xr:uid="{08FFC259-1DB9-4280-BFC3-1FBBC0BD358E}"/>
    <cellStyle name="CALC Currency [1] 3" xfId="2872" xr:uid="{4AC12CE0-DD7F-4E9C-801D-3EE5D1F93AAF}"/>
    <cellStyle name="CALC Currency [1] 4" xfId="2873" xr:uid="{CA1EF380-9E46-4620-88B5-32FC4E0F59EE}"/>
    <cellStyle name="CALC Currency [1] 5" xfId="2874" xr:uid="{FF71DC2F-7EE9-44EA-867D-BA27BE30C76B}"/>
    <cellStyle name="CALC Currency [1] 6" xfId="2875" xr:uid="{BD581116-751E-4E96-953A-DFC5A9F8BE92}"/>
    <cellStyle name="CALC Currency [1] 7" xfId="2876" xr:uid="{3F9A7D56-2ED1-4325-8884-8589B77F594B}"/>
    <cellStyle name="CALC Currency [1] 8" xfId="2877" xr:uid="{6F7B4188-2B5B-4D41-91E2-BF69E338C51D}"/>
    <cellStyle name="CALC Currency [2]" xfId="2878" xr:uid="{D1F3D0AB-C1D4-4462-968E-F4ED37137D73}"/>
    <cellStyle name="CALC Currency [2] 2" xfId="2879" xr:uid="{84298255-AEE5-4E33-A654-256E50445110}"/>
    <cellStyle name="CALC Currency [2] 3" xfId="2880" xr:uid="{8FF59085-FFE5-4361-851B-E6F596099B52}"/>
    <cellStyle name="CALC Currency [2] 4" xfId="2881" xr:uid="{82D1C99C-F427-46FC-AED7-C7D3A134FCA1}"/>
    <cellStyle name="CALC Currency [2] 5" xfId="2882" xr:uid="{E331B3A6-DB04-4A0C-BED1-5A68C28F7CEC}"/>
    <cellStyle name="CALC Currency [2] 6" xfId="2883" xr:uid="{C60231E8-15AE-472F-BC3D-EA1403A53E5D}"/>
    <cellStyle name="CALC Currency [2] 7" xfId="2884" xr:uid="{9420B06F-E526-485A-8940-A38F5B16976F}"/>
    <cellStyle name="CALC Currency [2] 8" xfId="2885" xr:uid="{1D695117-43FE-4F05-89B8-194FA89CD49E}"/>
    <cellStyle name="CALC Currency 2" xfId="2886" xr:uid="{31B821A1-3EB5-457E-85FE-3165C658C5A5}"/>
    <cellStyle name="CALC Currency 3" xfId="2887" xr:uid="{AFEB7C05-1C0E-423D-B945-9998C19DE1DD}"/>
    <cellStyle name="CALC Currency 4" xfId="2888" xr:uid="{C99BBF33-4F18-4671-9A84-FF30A156C898}"/>
    <cellStyle name="CALC Currency 5" xfId="2889" xr:uid="{BBBA0092-501E-412D-AF43-5E5293828742}"/>
    <cellStyle name="CALC Currency 6" xfId="2890" xr:uid="{FF2110D1-3509-4A7C-B75B-28AED92DCB2D}"/>
    <cellStyle name="CALC Currency 7" xfId="2891" xr:uid="{3683758E-F97A-4DA7-B821-57ACDC4C0673}"/>
    <cellStyle name="CALC Currency 8" xfId="2892" xr:uid="{AADE2602-90FA-4199-B0CF-4E5F7AD53773}"/>
    <cellStyle name="CALC Currency Total" xfId="2893" xr:uid="{2434D4F5-6285-4B2C-A103-330EAA30B928}"/>
    <cellStyle name="CALC Currency Total [1]" xfId="2894" xr:uid="{40CC7635-386C-44F0-8266-21D5264F6477}"/>
    <cellStyle name="CALC Currency Total [1] 10" xfId="2895" xr:uid="{7AF49F2A-5307-4ADA-819B-BB74E972277E}"/>
    <cellStyle name="CALC Currency Total [1] 11" xfId="2896" xr:uid="{0A27C949-1831-471C-91F8-2EAEC3099EFB}"/>
    <cellStyle name="CALC Currency Total [1] 2" xfId="2897" xr:uid="{2E555702-D157-4C72-8660-109613F90603}"/>
    <cellStyle name="CALC Currency Total [1] 3" xfId="2898" xr:uid="{5F7ACF09-2AB9-4E9E-8B24-C8A9DDA1F3CC}"/>
    <cellStyle name="CALC Currency Total [1] 4" xfId="2899" xr:uid="{E7EAA6B4-5821-4816-BDE8-EA375652BBD8}"/>
    <cellStyle name="CALC Currency Total [1] 5" xfId="2900" xr:uid="{690C6035-F356-4F8D-A905-1A275725E745}"/>
    <cellStyle name="CALC Currency Total [1] 6" xfId="2901" xr:uid="{6DC84EE6-5969-43BE-A358-AFE9B0B71169}"/>
    <cellStyle name="CALC Currency Total [1] 7" xfId="2902" xr:uid="{5B446911-133C-492F-9748-66732A2EF633}"/>
    <cellStyle name="CALC Currency Total [1] 8" xfId="2903" xr:uid="{4C0194BC-F544-40F8-A94D-D4D7CE3B8285}"/>
    <cellStyle name="CALC Currency Total [1] 9" xfId="2904" xr:uid="{2067B225-1D54-48B6-8285-516A1CF8C8D9}"/>
    <cellStyle name="CALC Currency Total [2]" xfId="2905" xr:uid="{514720B1-0A49-49B1-A0D4-1D6313E95EAB}"/>
    <cellStyle name="CALC Currency Total [2] 10" xfId="2906" xr:uid="{52C5F36C-59E6-4953-A8D8-BC24F94ACEE3}"/>
    <cellStyle name="CALC Currency Total [2] 11" xfId="2907" xr:uid="{82E1FC6E-1A8E-45C2-83DC-2F6374A800E4}"/>
    <cellStyle name="CALC Currency Total [2] 2" xfId="2908" xr:uid="{EA4C77F8-60C7-4FE6-8DE1-59ACEE00CF3F}"/>
    <cellStyle name="CALC Currency Total [2] 3" xfId="2909" xr:uid="{A8112046-DD02-4B03-A3DF-18C53D2DDC92}"/>
    <cellStyle name="CALC Currency Total [2] 4" xfId="2910" xr:uid="{B784C481-B904-49DA-9B99-7C4D4A2D1B4C}"/>
    <cellStyle name="CALC Currency Total [2] 5" xfId="2911" xr:uid="{47987217-AE2B-49D4-BD29-42B9F7BD6210}"/>
    <cellStyle name="CALC Currency Total [2] 6" xfId="2912" xr:uid="{BE7685A0-8BFF-4B55-B58C-ABF0A7E414D2}"/>
    <cellStyle name="CALC Currency Total [2] 7" xfId="2913" xr:uid="{2A72C0D7-4FEA-4146-9DDD-4BF13E178503}"/>
    <cellStyle name="CALC Currency Total [2] 8" xfId="2914" xr:uid="{D92F622A-CF68-4B42-88E6-FB7F2120AAC8}"/>
    <cellStyle name="CALC Currency Total [2] 9" xfId="2915" xr:uid="{278E7223-7594-472D-B4E8-F6B484B3A89E}"/>
    <cellStyle name="CALC Currency Total 10" xfId="2916" xr:uid="{676D7CF7-1836-4B20-87DB-29720A9B4E6D}"/>
    <cellStyle name="CALC Currency Total 11" xfId="2917" xr:uid="{063C1D53-27DB-4B25-9FDD-2C2C118D467F}"/>
    <cellStyle name="CALC Currency Total 12" xfId="2918" xr:uid="{274991D9-90E2-4043-AF04-3AE1071D0B0B}"/>
    <cellStyle name="CALC Currency Total 13" xfId="2919" xr:uid="{33BF0204-7751-4184-ABD6-F1ED047B5F4F}"/>
    <cellStyle name="CALC Currency Total 2" xfId="2920" xr:uid="{A8ED4F5C-9FF7-4ABF-B5A1-E41109E465A5}"/>
    <cellStyle name="CALC Currency Total 3" xfId="2921" xr:uid="{4C51938C-F26F-4DA9-8E79-A34D6A2502C3}"/>
    <cellStyle name="CALC Currency Total 4" xfId="2922" xr:uid="{C6358D12-F304-4B24-B451-77B81AD42BD8}"/>
    <cellStyle name="CALC Currency Total 5" xfId="2923" xr:uid="{CF874234-CF19-4051-A996-A51C55BC66BB}"/>
    <cellStyle name="CALC Currency Total 6" xfId="2924" xr:uid="{7FDB3FBF-07FE-4A2D-AA51-BED063F08682}"/>
    <cellStyle name="CALC Currency Total 7" xfId="2925" xr:uid="{B26A1DB5-ACC2-4CB1-B70F-1805AFC6627F}"/>
    <cellStyle name="CALC Currency Total 8" xfId="2926" xr:uid="{ECE2A5B7-D703-482B-BB4D-9F2F5A6382E8}"/>
    <cellStyle name="CALC Currency Total 9" xfId="2927" xr:uid="{60155019-4A8C-454B-8C79-59345DA5AB19}"/>
    <cellStyle name="CALC Currency Total_Sheet1" xfId="2928" xr:uid="{7AE5ECAA-2160-476F-A646-D12382D6DD75}"/>
    <cellStyle name="CALC Date Long" xfId="2929" xr:uid="{8AF144FE-F740-4B66-B65D-56BE0284E297}"/>
    <cellStyle name="CALC Date Long 2" xfId="2930" xr:uid="{5DB45AD9-88FE-42DC-BE39-E6382703E14C}"/>
    <cellStyle name="CALC Date Long 3" xfId="2931" xr:uid="{2FFA9574-0B21-4F6A-B47D-F20FEF4B833B}"/>
    <cellStyle name="CALC Date Long 4" xfId="2932" xr:uid="{E80E467B-B9CD-40BC-9D95-EFAD31C63A65}"/>
    <cellStyle name="CALC Date Long 5" xfId="2933" xr:uid="{DEE8CEC9-A2A8-4EA3-BF82-DF6242CAA7AD}"/>
    <cellStyle name="CALC Date Long 6" xfId="2934" xr:uid="{CED8D7E1-5784-43E1-AAEC-F06C0C500C78}"/>
    <cellStyle name="CALC Date Long 7" xfId="2935" xr:uid="{16A6B562-6C9C-4399-A9B4-E689CD740615}"/>
    <cellStyle name="CALC Date Long 8" xfId="2936" xr:uid="{3206F3A6-4B27-4076-BE94-B5B90FE70DB0}"/>
    <cellStyle name="CALC Date Short" xfId="2937" xr:uid="{32EAD09C-3876-421D-A6C5-CF6225D5905E}"/>
    <cellStyle name="CALC Date Short 2" xfId="2938" xr:uid="{B8D4B116-C3D4-46DE-A84F-EA2E90809D16}"/>
    <cellStyle name="CALC Date Short 3" xfId="2939" xr:uid="{7EFA784E-E171-47B9-8765-7AA9D3148E41}"/>
    <cellStyle name="CALC Date Short 4" xfId="2940" xr:uid="{4D21189E-54AD-42FD-9483-F7970E0F7CB6}"/>
    <cellStyle name="CALC Date Short 5" xfId="2941" xr:uid="{0C5A1D24-0748-4F35-AC34-B2C5275F088B}"/>
    <cellStyle name="CALC Date Short 6" xfId="2942" xr:uid="{0FC1F48A-9DE8-491E-ABA5-D660BB10A4D3}"/>
    <cellStyle name="CALC Date Short 7" xfId="2943" xr:uid="{7DD83098-DADD-4E3B-9FBD-B7134B06BD1F}"/>
    <cellStyle name="CALC Date Short 8" xfId="2944" xr:uid="{15E41867-EE41-4C27-9F80-25DDD3811CE9}"/>
    <cellStyle name="CALC Percent" xfId="2945" xr:uid="{17AF5CF3-56C6-442B-AE9B-6029F6D82F50}"/>
    <cellStyle name="CALC Percent [1]" xfId="2946" xr:uid="{B1E00E02-48C4-4C9F-A05E-EF550F52DB76}"/>
    <cellStyle name="CALC Percent [1] 2" xfId="2947" xr:uid="{2C3E5B70-4716-482C-B5B9-5EB0C2CB49BE}"/>
    <cellStyle name="CALC Percent [1] 3" xfId="2948" xr:uid="{63FBC959-EF13-4219-A25E-BAB8991D4362}"/>
    <cellStyle name="CALC Percent [1] 4" xfId="2949" xr:uid="{511629C0-A09D-48D1-A1DD-C58A12B0DBCB}"/>
    <cellStyle name="CALC Percent [1] 5" xfId="2950" xr:uid="{DA3654B5-C48A-4F34-9C3E-9DBA9D4ED53C}"/>
    <cellStyle name="CALC Percent [1] 6" xfId="2951" xr:uid="{0FA5345C-21EF-4E9A-98D0-959FFCC03E96}"/>
    <cellStyle name="CALC Percent [1] 7" xfId="2952" xr:uid="{A91FB034-5214-4089-9554-E7DB068F860A}"/>
    <cellStyle name="CALC Percent [1] 8" xfId="2953" xr:uid="{9CD73944-3FB6-4562-BBB9-57191EBBBB9E}"/>
    <cellStyle name="CALC Percent [2]" xfId="2954" xr:uid="{8AE2DD63-923C-4FB4-9F63-3715EF43C9CD}"/>
    <cellStyle name="CALC Percent [2] 2" xfId="2955" xr:uid="{2BA336A9-3198-4535-81C6-665A8B0A3A30}"/>
    <cellStyle name="CALC Percent [2] 3" xfId="2956" xr:uid="{A304B513-ADE8-4DAB-B42A-CC1CD2A1C0AC}"/>
    <cellStyle name="CALC Percent [2] 4" xfId="2957" xr:uid="{94C00D14-CE12-4789-B45C-8EB8422E31DD}"/>
    <cellStyle name="CALC Percent [2] 5" xfId="2958" xr:uid="{6C025413-D542-4579-BC71-5E9C839AA2CA}"/>
    <cellStyle name="CALC Percent [2] 6" xfId="2959" xr:uid="{7AB54A58-323A-489E-95C5-618EEF6A76F8}"/>
    <cellStyle name="CALC Percent [2] 7" xfId="2960" xr:uid="{0CB5DAFF-290B-44C0-A2C7-027039D6940F}"/>
    <cellStyle name="CALC Percent [2] 8" xfId="2961" xr:uid="{A2874E26-2023-4E57-9622-46723AE2A1F0}"/>
    <cellStyle name="CALC Percent 2" xfId="2962" xr:uid="{871C8E99-6766-4570-AA52-923F4F681FDD}"/>
    <cellStyle name="CALC Percent 3" xfId="2963" xr:uid="{18FF92E5-14B5-4207-BC86-9834C872E1CB}"/>
    <cellStyle name="CALC Percent 4" xfId="2964" xr:uid="{5BD08B6C-E4A8-4B41-B4C1-F59A3EA5A8D5}"/>
    <cellStyle name="CALC Percent 5" xfId="2965" xr:uid="{9C5B41A8-BD1E-4974-A924-1827A975EA94}"/>
    <cellStyle name="CALC Percent 6" xfId="2966" xr:uid="{DD55A118-7BFC-43E4-87CA-AFE1DFF7C30C}"/>
    <cellStyle name="CALC Percent 7" xfId="2967" xr:uid="{78146040-5DC5-4989-A7B7-EFCAC123E38E}"/>
    <cellStyle name="CALC Percent 8" xfId="2968" xr:uid="{8A072389-C9AF-46B4-B38D-69F8D52AC3A5}"/>
    <cellStyle name="CALC Percent Total" xfId="2969" xr:uid="{52BA60FD-CEB8-40AF-BFDE-05F7CA7BAB04}"/>
    <cellStyle name="CALC Percent Total [1]" xfId="2970" xr:uid="{FDD5B410-D6E4-44B5-A758-E93344EEF1F0}"/>
    <cellStyle name="CALC Percent Total [1] 10" xfId="2971" xr:uid="{639A73DF-6582-44D3-8F1A-57BBAF95280D}"/>
    <cellStyle name="CALC Percent Total [1] 11" xfId="2972" xr:uid="{3A8C55E3-DDE3-43B2-9B33-A6A9F76D3BB6}"/>
    <cellStyle name="CALC Percent Total [1] 2" xfId="2973" xr:uid="{3A550DF9-566B-4515-BB17-F69B5BAB43F9}"/>
    <cellStyle name="CALC Percent Total [1] 3" xfId="2974" xr:uid="{8D53BE02-B181-496F-B572-522F0C12F6F7}"/>
    <cellStyle name="CALC Percent Total [1] 4" xfId="2975" xr:uid="{632605E8-68EF-44CE-A8D2-C41A88BCDD38}"/>
    <cellStyle name="CALC Percent Total [1] 5" xfId="2976" xr:uid="{C6DBEB26-6807-42A3-A289-62FCC7A3EC24}"/>
    <cellStyle name="CALC Percent Total [1] 6" xfId="2977" xr:uid="{09EAFB71-E940-4EB9-AA53-59636A82E2FE}"/>
    <cellStyle name="CALC Percent Total [1] 7" xfId="2978" xr:uid="{4865E6DF-62AD-4FA6-9C68-E1D5A7C969BB}"/>
    <cellStyle name="CALC Percent Total [1] 8" xfId="2979" xr:uid="{412BF80D-B0C7-4A67-9B22-071B7381CF0D}"/>
    <cellStyle name="CALC Percent Total [1] 9" xfId="2980" xr:uid="{2EA170FD-3B21-4E5A-AD09-74785190680E}"/>
    <cellStyle name="CALC Percent Total [2]" xfId="2981" xr:uid="{88F5DE3B-141A-42FF-A11A-D7725F288098}"/>
    <cellStyle name="CALC Percent Total [2] 10" xfId="2982" xr:uid="{A18495EB-BD8B-4FD0-9545-63A357C9B6AD}"/>
    <cellStyle name="CALC Percent Total [2] 11" xfId="2983" xr:uid="{00007724-8270-4C1F-A8BC-C86D79E2DAB6}"/>
    <cellStyle name="CALC Percent Total [2] 2" xfId="2984" xr:uid="{A41CF304-8257-4DC0-A846-5768D76361BF}"/>
    <cellStyle name="CALC Percent Total [2] 3" xfId="2985" xr:uid="{9072032A-6345-47AA-A6BC-AECAD1858583}"/>
    <cellStyle name="CALC Percent Total [2] 4" xfId="2986" xr:uid="{F1FCDF30-3E4C-423A-A138-CCE84D9E0C3C}"/>
    <cellStyle name="CALC Percent Total [2] 5" xfId="2987" xr:uid="{19AAB3BD-081F-455E-8002-ABC0C85DDE94}"/>
    <cellStyle name="CALC Percent Total [2] 6" xfId="2988" xr:uid="{3612D5E1-6118-4A20-827B-2390546DFCD5}"/>
    <cellStyle name="CALC Percent Total [2] 7" xfId="2989" xr:uid="{5AEA59C4-4D14-421F-A2AD-9E114DF67723}"/>
    <cellStyle name="CALC Percent Total [2] 8" xfId="2990" xr:uid="{16FE3B34-BF2D-45AA-A8D2-C3CC1BF410E6}"/>
    <cellStyle name="CALC Percent Total [2] 9" xfId="2991" xr:uid="{3550D77B-F8F1-4DAE-8CE9-AFC336852781}"/>
    <cellStyle name="CALC Percent Total 10" xfId="2992" xr:uid="{19FE1ED7-0C03-4478-B188-FEC2BCCC72E4}"/>
    <cellStyle name="CALC Percent Total 11" xfId="2993" xr:uid="{38B5BF56-5717-4C8A-B5DE-ED85AE70C2E1}"/>
    <cellStyle name="CALC Percent Total 12" xfId="2994" xr:uid="{124070AA-E050-42C8-B804-D4490FC7B1FC}"/>
    <cellStyle name="CALC Percent Total 13" xfId="2995" xr:uid="{96EC9D5C-259D-4A9E-B1F1-11718B5B0DDF}"/>
    <cellStyle name="CALC Percent Total 2" xfId="2996" xr:uid="{2159BFE6-ADEA-4059-B5FB-7EFBEF523F81}"/>
    <cellStyle name="CALC Percent Total 3" xfId="2997" xr:uid="{0267970F-755F-4DCC-B5F8-79CEB7DF1E0C}"/>
    <cellStyle name="CALC Percent Total 4" xfId="2998" xr:uid="{7C46DE99-5CC5-41F0-9F10-A74FB539D6F1}"/>
    <cellStyle name="CALC Percent Total 5" xfId="2999" xr:uid="{CB89AC81-9464-4B53-9AF7-80FFC42DFEDE}"/>
    <cellStyle name="CALC Percent Total 6" xfId="3000" xr:uid="{697288F7-23CE-45EF-9030-81B2A7E038EB}"/>
    <cellStyle name="CALC Percent Total 7" xfId="3001" xr:uid="{3744C0E9-0D13-4397-AD2D-BFBB6A88D8D6}"/>
    <cellStyle name="CALC Percent Total 8" xfId="3002" xr:uid="{70BACB9B-AA2A-4B33-9D28-3112B4CCF70E}"/>
    <cellStyle name="CALC Percent Total 9" xfId="3003" xr:uid="{C1E315E5-78EE-4374-BF11-0E2B9B9D8F72}"/>
    <cellStyle name="CALC Percent Total_Sheet1" xfId="3004" xr:uid="{0457B768-C77A-424F-9B7C-137B51F1E415}"/>
    <cellStyle name="Calcolo" xfId="3005" xr:uid="{E2F9F0C8-340F-4B8A-84C5-094885E57457}"/>
    <cellStyle name="Calcolo 2" xfId="3006" xr:uid="{FADC0683-C1CE-4981-B765-FFC46FE75531}"/>
    <cellStyle name="Calcolo 3" xfId="3007" xr:uid="{44FA5047-D1E6-4BC1-BE1E-F22F617E5715}"/>
    <cellStyle name="Calcolo 4" xfId="3008" xr:uid="{DB85BE6F-6076-4C4D-B86F-FDD1133E5613}"/>
    <cellStyle name="Calculation 1" xfId="3009" xr:uid="{BA03C39F-636D-4D6B-8224-CDEA74F983D0}"/>
    <cellStyle name="Calculation 10" xfId="3010" xr:uid="{2CDA1C99-8AA9-4EF9-999F-FD4468AF4B2F}"/>
    <cellStyle name="Calculation 11" xfId="3011" xr:uid="{8734B3E1-B1C9-4600-8E36-9EA4B4A769BD}"/>
    <cellStyle name="Calculation 12" xfId="3012" xr:uid="{D1CC7367-C270-4E86-B91B-39C145072186}"/>
    <cellStyle name="Calculation 13" xfId="3013" xr:uid="{0FE02F45-7D5F-49B5-82E5-087EB8EE0E0B}"/>
    <cellStyle name="Calculation 14" xfId="3014" xr:uid="{3641C83B-723F-4985-B273-1FC4560692CF}"/>
    <cellStyle name="Calculation 15" xfId="3015" xr:uid="{3593AD92-4420-4148-8F0F-47BA65E5EE05}"/>
    <cellStyle name="Calculation 16" xfId="3016" xr:uid="{2DCDB485-34F0-489E-BBA0-F40DBA9179BB}"/>
    <cellStyle name="Calculation 17" xfId="3017" xr:uid="{A10F1F16-7B41-463A-9021-DB36D8302BAB}"/>
    <cellStyle name="Calculation 18" xfId="3018" xr:uid="{3561638B-6C20-49F6-AE7F-92FE589C2C16}"/>
    <cellStyle name="Calculation 19" xfId="3019" xr:uid="{54F89C96-BD4C-4E1A-A9C0-600D693EE960}"/>
    <cellStyle name="Calculation 2" xfId="46" xr:uid="{5A4A116F-4A6A-4A3D-B0BA-2729EF442183}"/>
    <cellStyle name="Calculation 2 10" xfId="3021" xr:uid="{4DECA4EF-F1C6-4F73-9475-998040F5306D}"/>
    <cellStyle name="Calculation 2 11" xfId="3022" xr:uid="{9ABD0F75-04E9-4983-8D2F-506120AA75FA}"/>
    <cellStyle name="Calculation 2 12" xfId="3023" xr:uid="{0741546D-DB18-4057-868D-DCFA42B18BE3}"/>
    <cellStyle name="Calculation 2 13" xfId="3024" xr:uid="{FA1EDA73-98F2-4AA9-999A-FBC1BA87E3FC}"/>
    <cellStyle name="Calculation 2 14" xfId="3020" xr:uid="{31DF5813-093A-428A-8DF9-8509F99F4876}"/>
    <cellStyle name="Calculation 2 2" xfId="3025" xr:uid="{77B82B08-7349-49BC-A120-FF41FC1687A0}"/>
    <cellStyle name="Calculation 2 2 2" xfId="3026" xr:uid="{777516EF-4338-4A29-AD4D-402A42DCA88A}"/>
    <cellStyle name="Calculation 2 2 2 2" xfId="3027" xr:uid="{A040030D-4909-4B84-BB28-7688664B9F6A}"/>
    <cellStyle name="Calculation 2 2 2 2 2" xfId="3028" xr:uid="{BBC443DF-BF38-4A6E-9595-E3A8041ACD2D}"/>
    <cellStyle name="Calculation 2 2 2 2 3" xfId="3029" xr:uid="{49638EE0-1E5A-4883-887F-D32D7B41C7FD}"/>
    <cellStyle name="Calculation 2 2 2 2 4" xfId="3030" xr:uid="{EF03A108-4276-44F5-9D34-AE67F0C147B5}"/>
    <cellStyle name="Calculation 2 2 2 3" xfId="3031" xr:uid="{2A215C14-1692-4122-AD21-F187A466DD38}"/>
    <cellStyle name="Calculation 2 2 2 3 2" xfId="3032" xr:uid="{A006519A-2980-4318-8F3F-51786FD6905B}"/>
    <cellStyle name="Calculation 2 2 2 3 3" xfId="3033" xr:uid="{C09A6C1E-40F8-4E41-B058-E2A50742263A}"/>
    <cellStyle name="Calculation 2 2 2 3 4" xfId="3034" xr:uid="{5E5503CC-9CD3-4AE0-BA39-6745F851B92B}"/>
    <cellStyle name="Calculation 2 2 2 4" xfId="3035" xr:uid="{6548D5A1-00FE-444A-9721-A8F0883460EB}"/>
    <cellStyle name="Calculation 2 2 2 5" xfId="3036" xr:uid="{62B66DEE-AD83-403F-AF0B-71CE6D018CB3}"/>
    <cellStyle name="Calculation 2 2 2 6" xfId="3037" xr:uid="{C357C6D2-9820-432C-BB2C-9D06F6482BFD}"/>
    <cellStyle name="Calculation 2 2 3" xfId="3038" xr:uid="{CF71006A-B6D3-4FF5-A985-EB2D5B2FA872}"/>
    <cellStyle name="Calculation 2 2 4" xfId="3039" xr:uid="{5994FE86-4F98-43D9-BF5D-2CAF9D1A52F5}"/>
    <cellStyle name="Calculation 2 2 5" xfId="3040" xr:uid="{CDA52F64-B67C-4457-9A61-381D522A9618}"/>
    <cellStyle name="Calculation 2 2 6" xfId="3041" xr:uid="{F16C0A4D-B2DE-488F-8782-20D90B42CA86}"/>
    <cellStyle name="Calculation 2 2 7" xfId="3042" xr:uid="{4C724B2F-C5FC-4323-A250-88B7F06A5C35}"/>
    <cellStyle name="Calculation 2 3" xfId="3043" xr:uid="{32B35F0B-E502-4D7B-9811-17EF89705B1A}"/>
    <cellStyle name="Calculation 2 3 2" xfId="3044" xr:uid="{0920C55D-6766-4CE9-B555-1CFB736BDA92}"/>
    <cellStyle name="Calculation 2 3 2 2" xfId="3045" xr:uid="{348ABE28-3B96-47D4-962D-DD01E468277D}"/>
    <cellStyle name="Calculation 2 3 2 2 2" xfId="3046" xr:uid="{548E3794-C90A-4EE6-8BB5-46F7FF8DB8C4}"/>
    <cellStyle name="Calculation 2 3 2 2 3" xfId="3047" xr:uid="{74201219-218B-4A3B-A624-159B1DDDF25A}"/>
    <cellStyle name="Calculation 2 3 2 2 4" xfId="3048" xr:uid="{7E3AB989-D729-4D15-87DF-B38599D2B7E2}"/>
    <cellStyle name="Calculation 2 3 2 3" xfId="3049" xr:uid="{3064522C-3888-4330-B474-A472B6363CBD}"/>
    <cellStyle name="Calculation 2 3 2 3 2" xfId="3050" xr:uid="{8971F153-E9CF-462A-812A-35217491759E}"/>
    <cellStyle name="Calculation 2 3 2 3 3" xfId="3051" xr:uid="{2F4522E8-ECE7-4788-96DC-DE68B1DB7814}"/>
    <cellStyle name="Calculation 2 3 2 3 4" xfId="3052" xr:uid="{506FAE08-8986-40D6-AEDB-17586AC40753}"/>
    <cellStyle name="Calculation 2 3 2 4" xfId="3053" xr:uid="{688117D9-EE60-416E-A832-3DDAB979E678}"/>
    <cellStyle name="Calculation 2 3 2 5" xfId="3054" xr:uid="{6CF5E3F6-99C4-4CD9-A2B5-B20AC7BC05FD}"/>
    <cellStyle name="Calculation 2 3 2 6" xfId="3055" xr:uid="{D7604C73-39C9-4C7F-A4A7-931E7948DA4E}"/>
    <cellStyle name="Calculation 2 3 3" xfId="3056" xr:uid="{39CCF204-1FFA-434F-83E8-6351ECC3F0F0}"/>
    <cellStyle name="Calculation 2 3 4" xfId="3057" xr:uid="{5D89FA45-00C7-44CD-9E04-579AB914F47A}"/>
    <cellStyle name="Calculation 2 3 5" xfId="3058" xr:uid="{C313CF83-8CCA-422B-9E16-6567D7EACB50}"/>
    <cellStyle name="Calculation 2 4" xfId="3059" xr:uid="{A38C5753-D563-4314-B903-9983F4A09C7C}"/>
    <cellStyle name="Calculation 2 4 2" xfId="3060" xr:uid="{F8BD8D8A-EA62-4FA7-BC46-8CEA625C2F7D}"/>
    <cellStyle name="Calculation 2 4 2 2" xfId="3061" xr:uid="{E728028F-260F-4B74-9754-204D94ADBFB9}"/>
    <cellStyle name="Calculation 2 4 2 3" xfId="3062" xr:uid="{E2E8689C-3B73-47E8-9C35-C945416F3DAE}"/>
    <cellStyle name="Calculation 2 4 2 4" xfId="3063" xr:uid="{EA41916E-0BDB-42CF-B6B6-B15049DD21C9}"/>
    <cellStyle name="Calculation 2 4 3" xfId="3064" xr:uid="{D6FEB224-D2A3-4C5C-897A-F4AFDC7597E6}"/>
    <cellStyle name="Calculation 2 4 3 2" xfId="3065" xr:uid="{65659B3E-B03A-4E4C-8E7F-6953DAC9FBC4}"/>
    <cellStyle name="Calculation 2 4 3 3" xfId="3066" xr:uid="{60B15940-F632-4F84-8E9D-581F858CFE8C}"/>
    <cellStyle name="Calculation 2 4 3 4" xfId="3067" xr:uid="{ADE331DE-4B50-48BA-A760-182B80810A98}"/>
    <cellStyle name="Calculation 2 4 4" xfId="3068" xr:uid="{D5674050-EFBD-473D-BF87-EC713FB964A2}"/>
    <cellStyle name="Calculation 2 4 5" xfId="3069" xr:uid="{08ABA02D-10EB-4B33-8514-A5C7AEE8D5FD}"/>
    <cellStyle name="Calculation 2 4 6" xfId="3070" xr:uid="{5551C567-F2EF-4098-838B-0EEEAB502BA6}"/>
    <cellStyle name="Calculation 2 5" xfId="3071" xr:uid="{118E84EE-499D-4545-8662-6F43618C50B9}"/>
    <cellStyle name="Calculation 2 6" xfId="3072" xr:uid="{72D3EAD7-323C-434C-9DC1-7D5D2ED6E994}"/>
    <cellStyle name="Calculation 2 7" xfId="3073" xr:uid="{F46E4DF4-ADA0-4CC6-B874-2D8967E08273}"/>
    <cellStyle name="Calculation 2 8" xfId="3074" xr:uid="{AC9A8BB5-93DE-442A-B721-DFED6444FCA4}"/>
    <cellStyle name="Calculation 2 9" xfId="3075" xr:uid="{F1D2A412-EF3F-4EC6-BE62-4827DC220EE8}"/>
    <cellStyle name="Calculation 20" xfId="3076" xr:uid="{CC6C0561-FDC4-4521-ABE0-19C56FB1F427}"/>
    <cellStyle name="Calculation 21" xfId="3077" xr:uid="{EEBABA38-09B5-4A04-9831-4C2795AF2325}"/>
    <cellStyle name="Calculation 22" xfId="3078" xr:uid="{D2B0EFB7-BE65-405C-9B78-1D05EFAF6B6C}"/>
    <cellStyle name="Calculation 23" xfId="3079" xr:uid="{DABAC45C-C238-478C-AE47-3E337A0D60B7}"/>
    <cellStyle name="Calculation 24" xfId="3080" xr:uid="{48A397E0-DA4A-48D4-A582-227FF2D23663}"/>
    <cellStyle name="Calculation 25" xfId="3081" xr:uid="{CB98512D-2424-43B7-A3CC-52B65238D583}"/>
    <cellStyle name="Calculation 26" xfId="3082" xr:uid="{767099F6-37CA-42C4-BC74-1565E582881A}"/>
    <cellStyle name="Calculation 27" xfId="3083" xr:uid="{DF83E268-201C-43DB-95A7-D656BD05C97E}"/>
    <cellStyle name="Calculation 28" xfId="3084" xr:uid="{942E2B80-EC68-41B7-A812-C46861BC2A29}"/>
    <cellStyle name="Calculation 29" xfId="3085" xr:uid="{B0EF49A3-AF08-43B4-9AF0-86657CA557CB}"/>
    <cellStyle name="Calculation 3" xfId="3086" xr:uid="{2D47A671-3FC1-4ECF-9A3F-01129D7EAAD2}"/>
    <cellStyle name="Calculation 3 10" xfId="3087" xr:uid="{83931235-8C54-43E0-B662-5EF5812F8CC1}"/>
    <cellStyle name="Calculation 3 11" xfId="3088" xr:uid="{9563C122-E97C-49FF-84BE-C742801C5508}"/>
    <cellStyle name="Calculation 3 2" xfId="3089" xr:uid="{0ED0D583-A207-492B-83B7-7DD2AD04DF14}"/>
    <cellStyle name="Calculation 3 3" xfId="3090" xr:uid="{FDAC40BA-4035-4518-BDC8-996E750E7177}"/>
    <cellStyle name="Calculation 3 4" xfId="3091" xr:uid="{407EF3F3-151D-4C6A-9211-08D7022242E4}"/>
    <cellStyle name="Calculation 3 5" xfId="3092" xr:uid="{A7FF33E0-0B32-42A4-9417-D5B6150178FF}"/>
    <cellStyle name="Calculation 3 6" xfId="3093" xr:uid="{FEB3D601-3784-4C79-A36B-CE94FA14389C}"/>
    <cellStyle name="Calculation 3 7" xfId="3094" xr:uid="{404ABF75-CC12-4367-A57C-FF548C13B18A}"/>
    <cellStyle name="Calculation 3 8" xfId="3095" xr:uid="{435C2BEC-1527-47AB-B9E5-F21393507070}"/>
    <cellStyle name="Calculation 3 9" xfId="3096" xr:uid="{DD7C11B9-57B1-4438-89FF-CC76BB251B86}"/>
    <cellStyle name="Calculation 30" xfId="3097" xr:uid="{46C8B792-2316-4DA8-A927-587A848F2200}"/>
    <cellStyle name="Calculation 31" xfId="3098" xr:uid="{B3C0C0C2-3BE3-46AF-97DB-EB408F1A4DCC}"/>
    <cellStyle name="Calculation 32" xfId="3099" xr:uid="{F0335AB9-1A66-48C6-975A-3C6DC2DC406F}"/>
    <cellStyle name="Calculation 33" xfId="3100" xr:uid="{7D15BC82-CCEB-4CB2-BD58-E5306098A9B4}"/>
    <cellStyle name="Calculation 34" xfId="3101" xr:uid="{1C0B708A-5099-4E6B-95A0-1299C0F013C8}"/>
    <cellStyle name="Calculation 35" xfId="3102" xr:uid="{6D6E8766-DA61-4D97-BAAE-D46C06334A83}"/>
    <cellStyle name="Calculation 35 2" xfId="3103" xr:uid="{D1D3CDDD-800A-4928-901D-1A3A1D360EEB}"/>
    <cellStyle name="Calculation 35 2 2" xfId="3104" xr:uid="{0F57F516-AEE0-4FE5-AD6A-E9600499DDDC}"/>
    <cellStyle name="Calculation 35 2 2 2" xfId="3105" xr:uid="{929B6AC8-86C7-46BA-BEC9-77C452FA8961}"/>
    <cellStyle name="Calculation 35 3" xfId="3106" xr:uid="{5FB09391-F0ED-4AE4-8FC4-F784047C2FE6}"/>
    <cellStyle name="Calculation 35 4" xfId="3107" xr:uid="{833E59BB-17E5-4013-A48E-072407084E7A}"/>
    <cellStyle name="Calculation 36" xfId="3108" xr:uid="{F2C1A2F6-8CE5-49A8-A985-B74E453E42F3}"/>
    <cellStyle name="Calculation 37" xfId="3109" xr:uid="{0FEC9484-261B-4EBC-9CF2-3F76F7F8E704}"/>
    <cellStyle name="Calculation 38" xfId="3110" xr:uid="{8C83F7FF-5A4C-437C-BC9E-2260644B24AB}"/>
    <cellStyle name="Calculation 39" xfId="3111" xr:uid="{F197CD44-476F-4213-A733-1DD393969EB5}"/>
    <cellStyle name="Calculation 4" xfId="3112" xr:uid="{8B088BA7-4562-40AB-B78A-F490CB1A9A41}"/>
    <cellStyle name="Calculation 4 2" xfId="3113" xr:uid="{DC59411E-2AEC-42A6-BA83-011D9BCB25D4}"/>
    <cellStyle name="Calculation 4 3" xfId="3114" xr:uid="{DF493AB7-514E-4EA3-A3D8-87735C6103E6}"/>
    <cellStyle name="Calculation 4 4" xfId="3115" xr:uid="{730244B0-1492-4C9A-8009-F68F32B3CB7A}"/>
    <cellStyle name="Calculation 4 5" xfId="3116" xr:uid="{699DD49E-B608-48F1-B3E5-C3A9D7FCACBE}"/>
    <cellStyle name="Calculation 40" xfId="3117" xr:uid="{E7852BE7-49D8-43BD-BE5F-1BA200C927F9}"/>
    <cellStyle name="Calculation 41" xfId="3118" xr:uid="{B238F9EC-A64D-43D6-9887-01B41662A85E}"/>
    <cellStyle name="Calculation 42" xfId="3119" xr:uid="{5E35C491-327A-4149-AFE2-05F8AD206471}"/>
    <cellStyle name="Calculation 43" xfId="3120" xr:uid="{56000919-E39B-4F4D-B7FD-BF2A0479682E}"/>
    <cellStyle name="Calculation 44" xfId="3121" xr:uid="{16BD1EB9-84DC-4E58-BD33-EC8EC5BBC8A0}"/>
    <cellStyle name="Calculation 45" xfId="3122" xr:uid="{B4578837-528D-4322-A50A-B39D2793DF46}"/>
    <cellStyle name="Calculation 46" xfId="3123" xr:uid="{5E2BA5C9-8232-468B-A384-0A5E5B36D3B4}"/>
    <cellStyle name="Calculation 47" xfId="3124" xr:uid="{39B8D258-5720-4727-B8B3-8AB163A8D146}"/>
    <cellStyle name="Calculation 48" xfId="3125" xr:uid="{9F83BA7D-38E2-41F9-94D3-434AD6171D51}"/>
    <cellStyle name="Calculation 49" xfId="3126" xr:uid="{875BBD45-0B1C-4158-B95B-CABC65307100}"/>
    <cellStyle name="Calculation 5" xfId="3127" xr:uid="{E5396E04-9007-4BE3-BF58-1231E42E0697}"/>
    <cellStyle name="Calculation 5 2" xfId="3128" xr:uid="{2F2B4749-580D-4FB8-BAAA-46A2A4F09B3D}"/>
    <cellStyle name="Calculation 50" xfId="3129" xr:uid="{C832C3D9-49EC-4121-AB04-2058786F7BF9}"/>
    <cellStyle name="Calculation 51" xfId="3130" xr:uid="{7998FA35-0893-4FED-B4EB-5EECC17E0805}"/>
    <cellStyle name="Calculation 52" xfId="3131" xr:uid="{C071E2D6-D7CE-41B6-97C1-163389F433AA}"/>
    <cellStyle name="Calculation 53" xfId="3132" xr:uid="{D67220B4-B759-4757-9DC6-DBE67E2CCDBA}"/>
    <cellStyle name="Calculation 54" xfId="3133" xr:uid="{5F351A46-7412-4D9A-9511-5D82CBDA0094}"/>
    <cellStyle name="Calculation 55" xfId="3134" xr:uid="{7E5B095B-2112-4486-9E2B-E0EAB27A6AA9}"/>
    <cellStyle name="Calculation 56" xfId="3135" xr:uid="{39FF8FF7-1E41-44EF-8A8E-B2F6557DE112}"/>
    <cellStyle name="Calculation 57" xfId="3136" xr:uid="{BAD4A54A-6C30-4377-ADFC-89558CFB116B}"/>
    <cellStyle name="Calculation 58" xfId="3137" xr:uid="{55FD6F81-5A11-4A93-AF30-E248D02C868B}"/>
    <cellStyle name="Calculation 59" xfId="3138" xr:uid="{5FDB1C75-0EBB-4BC5-B568-BE564955D537}"/>
    <cellStyle name="Calculation 6" xfId="3139" xr:uid="{26A8E579-7C77-476F-9D43-EA39FBFF5947}"/>
    <cellStyle name="Calculation 60" xfId="3140" xr:uid="{3DB2B4F8-F7D5-48EE-8236-21705FAEFF17}"/>
    <cellStyle name="Calculation 60 2" xfId="3141" xr:uid="{25B90226-E2F9-44E0-A9FC-1DB54CF92661}"/>
    <cellStyle name="Calculation 60 2 2" xfId="3142" xr:uid="{1348DBE6-5135-4F1C-A8B8-03522093A04F}"/>
    <cellStyle name="Calculation 60 2 2 2" xfId="3143" xr:uid="{531AA6A2-E550-464C-A691-5E926B8E9417}"/>
    <cellStyle name="Calculation 60 2 3" xfId="3144" xr:uid="{553D3D3E-769D-41DC-829F-D82247C8A97E}"/>
    <cellStyle name="Calculation 61" xfId="3145" xr:uid="{1D1DD3C3-4B66-47DB-9BD3-BC6C90659267}"/>
    <cellStyle name="Calculation 62" xfId="3146" xr:uid="{942B4AC6-C815-49EA-8892-05F49454F789}"/>
    <cellStyle name="Calculation 63" xfId="3147" xr:uid="{EEA1715E-0BDC-414C-97E7-48BEA40BE8B2}"/>
    <cellStyle name="Calculation 64" xfId="3148" xr:uid="{3F301A7D-3FE7-4034-AEA8-FEB9603993A1}"/>
    <cellStyle name="Calculation 65" xfId="3149" xr:uid="{FB911BEC-3071-43A7-9DF8-CFEFF6F77FE9}"/>
    <cellStyle name="Calculation 66" xfId="3150" xr:uid="{2848E13A-07DB-40F9-8E53-A4F184C973F4}"/>
    <cellStyle name="Calculation 67" xfId="3151" xr:uid="{1E928705-78D2-4266-97A0-A2877D22BFB3}"/>
    <cellStyle name="Calculation 67 2" xfId="3152" xr:uid="{055806B5-9F92-449C-B04F-65681B8ADAA6}"/>
    <cellStyle name="Calculation 68" xfId="3153" xr:uid="{6D8070B5-F03D-49CB-AA1A-07D932042522}"/>
    <cellStyle name="Calculation 69" xfId="3154" xr:uid="{914FCF7C-F652-479A-B9C1-07BF4F065893}"/>
    <cellStyle name="Calculation 7" xfId="3155" xr:uid="{45B4796F-A18D-4DD2-BBB7-F6034631234D}"/>
    <cellStyle name="Calculation 70" xfId="3156" xr:uid="{FEA33706-DF21-4FE1-AED2-EB4CDDF7D983}"/>
    <cellStyle name="Calculation 8" xfId="3157" xr:uid="{1060D6F3-7704-4755-97CC-5CB02DCA70F9}"/>
    <cellStyle name="Calculation 9" xfId="3158" xr:uid="{7A6ABDB9-F2F5-480D-99A9-E7E5CFDE9DB8}"/>
    <cellStyle name="Cell Link." xfId="3159" xr:uid="{A92A4884-869E-4918-BEDC-4937019DA76A}"/>
    <cellStyle name="Cella collegata" xfId="3160" xr:uid="{30BD93FC-184A-4116-A3FD-B2E0B81E3D33}"/>
    <cellStyle name="Cella collegata 2" xfId="3161" xr:uid="{72DA5DB1-A5E4-41C2-B23A-816DE10DC110}"/>
    <cellStyle name="Cella da controllare" xfId="3162" xr:uid="{31EBB6A4-A21D-4689-A2D6-FDDC6FAC0DBE}"/>
    <cellStyle name="Cella da controllare 2" xfId="3163" xr:uid="{65666A68-9BA5-40ED-998F-897D3805F1B1}"/>
    <cellStyle name="CellBACode" xfId="363" xr:uid="{74ADADB1-EB22-475F-A6CB-1128E5C559D9}"/>
    <cellStyle name="CellBAName" xfId="364" xr:uid="{73E45FC8-F61C-4E7D-8ECA-B404ADE855EC}"/>
    <cellStyle name="CellMCCode" xfId="365" xr:uid="{B4601740-B8AC-4AA3-98BD-51D1586F4664}"/>
    <cellStyle name="CellMCName" xfId="366" xr:uid="{FC46A7A4-CD3F-44A3-B775-1A2BBC300952}"/>
    <cellStyle name="CellNationCode" xfId="367" xr:uid="{811869C5-8609-42A8-B0DD-7E965EEFDE66}"/>
    <cellStyle name="CellNationName" xfId="368" xr:uid="{0FDD7917-66EC-4AC0-A0AC-8166D96EFA3F}"/>
    <cellStyle name="CellNationSubName" xfId="369" xr:uid="{F9CAFFF2-6864-4333-8925-52744F334961}"/>
    <cellStyle name="CellNationValue" xfId="370" xr:uid="{736692FB-24B1-44FF-BBB0-A1F63639667A}"/>
    <cellStyle name="CellRegionCode" xfId="371" xr:uid="{7417A684-CC0F-4886-8349-7D4BB245212E}"/>
    <cellStyle name="CellRegionName" xfId="372" xr:uid="{B47AFEFF-9CB9-42DA-94A6-1F0ECD57F680}"/>
    <cellStyle name="CellRegionValue" xfId="373" xr:uid="{7FFBAB08-EF0C-4DA4-B010-E51653EEC53F}"/>
    <cellStyle name="CellUACode" xfId="374" xr:uid="{44793E06-B3AE-4E93-A660-FE1EE046E7F5}"/>
    <cellStyle name="CellUAName" xfId="375" xr:uid="{CD5F2632-52E7-45C6-913F-7013505A2252}"/>
    <cellStyle name="Characteristic" xfId="3164" xr:uid="{D1CBDB55-E3BA-4FAF-865A-FD619D744C63}"/>
    <cellStyle name="CharactGroup" xfId="3165" xr:uid="{71E0AFC1-36F8-4555-B638-B7FD1576C54B}"/>
    <cellStyle name="CharactNote" xfId="3166" xr:uid="{814B768B-8F5F-4EE3-95CA-C5F1E27FAE5B}"/>
    <cellStyle name="CharactType" xfId="3167" xr:uid="{01838C10-E3D9-43C5-8DD3-6620A3A11AA0}"/>
    <cellStyle name="CharactValue" xfId="3168" xr:uid="{499C500C-081A-4436-ABF5-BAC0FCBDC361}"/>
    <cellStyle name="CharactValueNote" xfId="3169" xr:uid="{08ADAD72-38F5-4268-A7CF-BC4FD2A6D2F1}"/>
    <cellStyle name="CharShortType" xfId="3170" xr:uid="{D56062BC-48B7-411E-9609-245B2952A821}"/>
    <cellStyle name="Check Cell 10" xfId="3171" xr:uid="{A6A0EF2B-A299-41FB-9A8F-0B554EB96F6F}"/>
    <cellStyle name="Check Cell 11" xfId="3172" xr:uid="{FEEA1213-CB67-454B-95B6-4C2B095F8826}"/>
    <cellStyle name="Check Cell 12" xfId="3173" xr:uid="{711EEEC3-89AD-4E9C-96A4-7546268BB607}"/>
    <cellStyle name="Check Cell 13" xfId="3174" xr:uid="{2E0796C4-48F2-4514-94BD-28035A5A1559}"/>
    <cellStyle name="Check Cell 14" xfId="3175" xr:uid="{3C78E05E-D321-4B50-8103-9A81E7BC8E98}"/>
    <cellStyle name="Check Cell 15" xfId="3176" xr:uid="{2F4CA2FB-6314-47F2-80DE-D1A3EA40EA00}"/>
    <cellStyle name="Check Cell 16" xfId="3177" xr:uid="{16FFEFF1-BE5E-4BA3-AF43-062A3B131BA6}"/>
    <cellStyle name="Check Cell 17" xfId="3178" xr:uid="{144AC740-AD37-483F-8127-DB78FB779139}"/>
    <cellStyle name="Check Cell 18" xfId="3179" xr:uid="{6A9059E4-35B0-441C-B0FF-4C3DCAB05C3C}"/>
    <cellStyle name="Check Cell 19" xfId="3180" xr:uid="{7F66BC7A-5342-4B89-A375-C35D26E6EA10}"/>
    <cellStyle name="Check Cell 2" xfId="47" xr:uid="{5B744447-8767-44DE-BF80-84B139F1EEB3}"/>
    <cellStyle name="Check Cell 2 2" xfId="3182" xr:uid="{524AA204-DE18-42B1-9D46-15A85024BBC4}"/>
    <cellStyle name="Check Cell 2 2 2" xfId="3183" xr:uid="{F623B25C-1E6A-488E-927B-EDD53D13952D}"/>
    <cellStyle name="Check Cell 2 2 3" xfId="3184" xr:uid="{9C50E4A3-4353-4F31-8FE2-79FA066E3088}"/>
    <cellStyle name="Check Cell 2 3" xfId="3185" xr:uid="{C2FE5949-3413-4601-BD5E-CA822E78C742}"/>
    <cellStyle name="Check Cell 2 4" xfId="3186" xr:uid="{DC6F5821-9F23-4D92-9E4A-DF3771BA7F7C}"/>
    <cellStyle name="Check Cell 2 5" xfId="3187" xr:uid="{1D6EB7AF-7754-45DA-9A1A-4F320FB101CC}"/>
    <cellStyle name="Check Cell 2 6" xfId="3181" xr:uid="{9AB9F406-2CB6-43AE-8BB3-97F55192EE37}"/>
    <cellStyle name="Check Cell 20" xfId="3188" xr:uid="{61209623-534B-4C78-8776-F7711C1C7419}"/>
    <cellStyle name="Check Cell 21" xfId="3189" xr:uid="{779745EB-9D78-42C3-8203-E5ACA2EEFCE8}"/>
    <cellStyle name="Check Cell 22" xfId="3190" xr:uid="{A0DD0BCF-9B02-4084-8F21-6FFAAA452251}"/>
    <cellStyle name="Check Cell 23" xfId="3191" xr:uid="{332B10A3-2D7B-46C6-9F07-AC68E0879B9E}"/>
    <cellStyle name="Check Cell 24" xfId="3192" xr:uid="{E4AC6087-8329-4F6E-8873-4E75F60FFC21}"/>
    <cellStyle name="Check Cell 25" xfId="3193" xr:uid="{431AB28B-BAF8-4F53-8D2F-0B412AB74BE5}"/>
    <cellStyle name="Check Cell 26" xfId="3194" xr:uid="{F1F701BD-3A39-4F90-BEBD-A54162103542}"/>
    <cellStyle name="Check Cell 27" xfId="3195" xr:uid="{9CDD5906-0E79-4C5E-A4BD-3A5A17F91AAF}"/>
    <cellStyle name="Check Cell 28" xfId="3196" xr:uid="{3B97510D-ADD3-4D68-A98E-120BF5B763A6}"/>
    <cellStyle name="Check Cell 29" xfId="3197" xr:uid="{23A6B9DA-2B25-438B-B78C-6980417DBEEA}"/>
    <cellStyle name="Check Cell 3" xfId="3198" xr:uid="{BD9CAE21-ABD8-4A0F-BD90-79F263E85F15}"/>
    <cellStyle name="Check Cell 3 2" xfId="3199" xr:uid="{5146B888-B860-44E6-AA64-80833B34A163}"/>
    <cellStyle name="Check Cell 30" xfId="3200" xr:uid="{CADBFD4A-AF34-482B-A6D1-163B71EA5727}"/>
    <cellStyle name="Check Cell 31" xfId="3201" xr:uid="{018FED0B-1315-426F-875F-983D7BE035C9}"/>
    <cellStyle name="Check Cell 32" xfId="3202" xr:uid="{D314D246-7251-4885-A73E-0D9DEB734DA9}"/>
    <cellStyle name="Check Cell 33" xfId="3203" xr:uid="{C2D437DA-7DFC-45D9-940D-9206D34E3811}"/>
    <cellStyle name="Check Cell 34" xfId="3204" xr:uid="{E56C665D-A892-4D89-840C-C8670149AAA0}"/>
    <cellStyle name="Check Cell 35" xfId="3205" xr:uid="{22606FEF-1732-44C3-A062-2C7453756EA2}"/>
    <cellStyle name="Check Cell 35 2" xfId="3206" xr:uid="{E52B4887-4EC8-4695-83A4-282AEFFEE804}"/>
    <cellStyle name="Check Cell 35 2 2" xfId="3207" xr:uid="{955D699F-52DF-4B0F-9B32-64083381B071}"/>
    <cellStyle name="Check Cell 35 2 2 2" xfId="3208" xr:uid="{6D3AA65D-4AB9-43AB-A413-DA2706D6B84B}"/>
    <cellStyle name="Check Cell 35 3" xfId="3209" xr:uid="{56A82B83-67A7-45F0-8724-9BB13DFDCEAB}"/>
    <cellStyle name="Check Cell 35 4" xfId="3210" xr:uid="{AFFA5997-2D27-4970-8DD9-301BEDA0AD13}"/>
    <cellStyle name="Check Cell 36" xfId="3211" xr:uid="{B4E36DE5-FCB3-424B-8450-C0CF36D9A98B}"/>
    <cellStyle name="Check Cell 37" xfId="3212" xr:uid="{07B73A16-C29E-4E4A-9119-C011D6593D3D}"/>
    <cellStyle name="Check Cell 38" xfId="3213" xr:uid="{8069BC61-5BFE-44F6-A7FF-CE77FC36E009}"/>
    <cellStyle name="Check Cell 39" xfId="3214" xr:uid="{0891AEE7-B9DB-40A9-9DDE-EF42BD3AFE42}"/>
    <cellStyle name="Check Cell 4" xfId="3215" xr:uid="{BC465715-9405-40AD-827B-AB36AF868F52}"/>
    <cellStyle name="Check Cell 4 2" xfId="3216" xr:uid="{4648ACA8-FE5B-430B-8584-5BF7DCF36203}"/>
    <cellStyle name="Check Cell 40" xfId="3217" xr:uid="{E3A41B50-CF4C-4E33-A7CA-793F16382363}"/>
    <cellStyle name="Check Cell 41" xfId="3218" xr:uid="{F4DE7401-84C6-479B-92E7-A12E6E9F721E}"/>
    <cellStyle name="Check Cell 42" xfId="3219" xr:uid="{D77590D7-EE04-4DED-B124-0CFFDB6060C8}"/>
    <cellStyle name="Check Cell 43" xfId="3220" xr:uid="{0F4E4202-B847-4913-9470-E60CB06A384E}"/>
    <cellStyle name="Check Cell 44" xfId="3221" xr:uid="{11B986AD-3A59-4814-9126-75BCD92BDB57}"/>
    <cellStyle name="Check Cell 45" xfId="3222" xr:uid="{6B72B867-9FA2-4433-B952-8AE254984B1A}"/>
    <cellStyle name="Check Cell 46" xfId="3223" xr:uid="{5FF1C678-E17C-4367-8DCF-BB3A6B25134F}"/>
    <cellStyle name="Check Cell 47" xfId="3224" xr:uid="{557F7E2E-59D8-4654-8D66-D029ADA7FE75}"/>
    <cellStyle name="Check Cell 48" xfId="3225" xr:uid="{CA9ABB45-B419-4071-BADA-B89EA9F236BE}"/>
    <cellStyle name="Check Cell 49" xfId="3226" xr:uid="{A650842D-CC84-4E19-BF3A-AE578B81DCA8}"/>
    <cellStyle name="Check Cell 5" xfId="3227" xr:uid="{25260BA0-0782-45EA-8B2F-447AF0BFCD77}"/>
    <cellStyle name="Check Cell 50" xfId="3228" xr:uid="{F76D548C-DA32-4019-B1FB-3BA46A1FE82F}"/>
    <cellStyle name="Check Cell 51" xfId="3229" xr:uid="{F20967FD-0CE1-4C95-A0B4-6FD687793518}"/>
    <cellStyle name="Check Cell 52" xfId="3230" xr:uid="{9AC3FB63-D2BE-4D2F-A3C6-A7434B491806}"/>
    <cellStyle name="Check Cell 53" xfId="3231" xr:uid="{F60C303C-9222-4549-BAAA-64E25FB1A792}"/>
    <cellStyle name="Check Cell 54" xfId="3232" xr:uid="{8DDF9AAF-0376-4B30-ABA3-B4ED2389D4A3}"/>
    <cellStyle name="Check Cell 55" xfId="3233" xr:uid="{775B2E2B-6FFC-48F8-8605-3EF61A8FE893}"/>
    <cellStyle name="Check Cell 56" xfId="3234" xr:uid="{C02D72AC-E19E-43E5-A121-BC7451B90DB7}"/>
    <cellStyle name="Check Cell 57" xfId="3235" xr:uid="{9763B35F-C843-4CEE-A333-F3ADAFDCEE04}"/>
    <cellStyle name="Check Cell 58" xfId="3236" xr:uid="{27728001-8F65-4E02-BE5C-61342C482281}"/>
    <cellStyle name="Check Cell 59" xfId="3237" xr:uid="{B61BA063-699E-4392-8902-F11CA80C2027}"/>
    <cellStyle name="Check Cell 6" xfId="3238" xr:uid="{7CD0DCA4-40C4-493B-A7C9-ACCC83FD743E}"/>
    <cellStyle name="Check Cell 60" xfId="3239" xr:uid="{D8F428D2-F133-4A94-88D2-BE61F7AA0945}"/>
    <cellStyle name="Check Cell 60 2" xfId="3240" xr:uid="{252E10BE-3CDC-4A4F-9535-1B868B71CA0C}"/>
    <cellStyle name="Check Cell 60 2 2" xfId="3241" xr:uid="{ADC9E38D-B3C9-48AF-A8F0-117F3BDEB817}"/>
    <cellStyle name="Check Cell 60 2 2 2" xfId="3242" xr:uid="{059AC378-176C-471C-B76B-64D0683135B9}"/>
    <cellStyle name="Check Cell 60 2 3" xfId="3243" xr:uid="{4CBC627B-628B-4B55-A8CA-CC5B02F8BC22}"/>
    <cellStyle name="Check Cell 61" xfId="3244" xr:uid="{B100C9E9-39F2-416C-810F-038912B9B8F7}"/>
    <cellStyle name="Check Cell 62" xfId="3245" xr:uid="{642D68BF-BFB1-406C-8AEA-FCA22B9B3BCD}"/>
    <cellStyle name="Check Cell 63" xfId="3246" xr:uid="{655215CA-EBDC-499A-BF46-73B5BF807ED8}"/>
    <cellStyle name="Check Cell 64" xfId="3247" xr:uid="{85940677-5731-421A-B61B-57B08F03A462}"/>
    <cellStyle name="Check Cell 65" xfId="3248" xr:uid="{0B28E289-433C-405B-96CB-9CF3C6F6C701}"/>
    <cellStyle name="Check Cell 7" xfId="3249" xr:uid="{3F365FDF-4442-48CC-850B-965B8F0FF107}"/>
    <cellStyle name="Check Cell 8" xfId="3250" xr:uid="{10A54E49-DACB-4B12-B82B-5B2521D874C1}"/>
    <cellStyle name="Check Cell 9" xfId="3251" xr:uid="{9FB6B27F-5A2E-477A-B6EB-A8990DD88C8C}"/>
    <cellStyle name="Check Green" xfId="3252" xr:uid="{10F5E489-5B5A-43AF-AF15-E04E7BC5D519}"/>
    <cellStyle name="Check Orange" xfId="3253" xr:uid="{7312308F-022E-470D-AE56-428BF416A1A7}"/>
    <cellStyle name="Check Red" xfId="3254" xr:uid="{D6FBDF33-562F-4B98-A68A-B37E50E4D74A}"/>
    <cellStyle name="Check2_EA" xfId="3255" xr:uid="{8E7C101F-B594-4FE2-8522-379DFCF8DE81}"/>
    <cellStyle name="CheckCell_RP" xfId="3256" xr:uid="{3333A45D-BE78-4574-A6E2-CCCAA6C18FAE}"/>
    <cellStyle name="CheckCelLbll_RP" xfId="3257" xr:uid="{6DF5386A-6BC3-4E2A-AD60-57EE17A208D0}"/>
    <cellStyle name="CIL" xfId="48" xr:uid="{1F18FF20-8792-4105-897D-DF414A68B1BE}"/>
    <cellStyle name="CIU" xfId="49" xr:uid="{BE28CC9A-B5F6-4B59-AC78-70A886EB2D82}"/>
    <cellStyle name="CodeOutput_RP" xfId="3258" xr:uid="{12EC8A7D-FE9E-450C-B56E-260F158A50EE}"/>
    <cellStyle name="Colore 1" xfId="3259" xr:uid="{C7A9BA40-89DD-48F1-B8B0-C7C8AB0B2208}"/>
    <cellStyle name="Colore 1 2" xfId="3260" xr:uid="{9803C3E2-EECF-44A0-98B5-CED5D3E3F873}"/>
    <cellStyle name="Colore 2" xfId="3261" xr:uid="{B547BF93-3505-4672-9676-C928E3C33D27}"/>
    <cellStyle name="Colore 2 2" xfId="3262" xr:uid="{2B502E92-F4E4-4459-A1C6-55758B87323E}"/>
    <cellStyle name="Colore 3" xfId="3263" xr:uid="{F79498C7-4BC1-4686-825C-CC0BD288A567}"/>
    <cellStyle name="Colore 3 2" xfId="3264" xr:uid="{4B0C1216-EB57-483A-B17E-C445E9B57DB4}"/>
    <cellStyle name="Colore 4" xfId="3265" xr:uid="{9F35D9CE-B679-434F-A831-BE61B2E0EB35}"/>
    <cellStyle name="Colore 4 2" xfId="3266" xr:uid="{BA34391D-4F62-4809-8F71-EDF0A276655C}"/>
    <cellStyle name="Colore 5" xfId="3267" xr:uid="{16ABB74B-291E-487E-91B1-2CB230E7EA7C}"/>
    <cellStyle name="Colore 5 2" xfId="3268" xr:uid="{C18DBF68-DA12-4BDD-B55E-D6FB05065390}"/>
    <cellStyle name="Colore 6" xfId="3269" xr:uid="{654F4ACC-E09C-405B-A282-2134411C9B75}"/>
    <cellStyle name="Colore 6 2" xfId="3270" xr:uid="{AD6423BC-E773-4B84-AF84-53DE72225666}"/>
    <cellStyle name="Column_Heading_RP" xfId="3271" xr:uid="{C71AB442-AE8B-48A5-A33F-7F2C3C1A3C2F}"/>
    <cellStyle name="Comma" xfId="360" builtinId="3"/>
    <cellStyle name="Comma -" xfId="3272" xr:uid="{CF51D26E-C3DF-454B-8644-C2E21305B11C}"/>
    <cellStyle name="Comma  - Style1" xfId="3273" xr:uid="{CA1D6AE0-9238-415F-9C9D-665946151B44}"/>
    <cellStyle name="Comma  - Style2" xfId="3274" xr:uid="{CC572C77-EA19-4906-8448-359B5FEB3D00}"/>
    <cellStyle name="Comma  - Style3" xfId="3275" xr:uid="{AA544F24-61DA-492E-AB96-526E6B06AEFB}"/>
    <cellStyle name="Comma  - Style4" xfId="3276" xr:uid="{74E889B5-FD1F-4A9D-B726-E5851E3EE1BD}"/>
    <cellStyle name="Comma  - Style5" xfId="3277" xr:uid="{45EBDCDA-EDF4-4210-AD03-5BB3431F4E97}"/>
    <cellStyle name="Comma  - Style6" xfId="3278" xr:uid="{762198FE-F813-445B-8F1E-B73B19D17251}"/>
    <cellStyle name="Comma  - Style7" xfId="3279" xr:uid="{B3539DA4-0BF3-4F05-821D-8A80BC64C565}"/>
    <cellStyle name="Comma  - Style8" xfId="3280" xr:uid="{C73F71F1-5C9E-4175-B7D3-C84E2D7ED0E6}"/>
    <cellStyle name="Comma [0] 2" xfId="51" xr:uid="{F2C44BC9-E9AA-454F-A34D-91C2AEB9BCE4}"/>
    <cellStyle name="Comma [0] 2 2" xfId="3281" xr:uid="{EA4E7C5C-3BA2-4FE7-80A3-DC65B015FB25}"/>
    <cellStyle name="Comma [0] 3" xfId="52" xr:uid="{09B0E8FB-E341-40BD-B51D-23CCEF93EDE8}"/>
    <cellStyle name="Comma [0] 3 2" xfId="3282" xr:uid="{DE0A48B0-91F2-485D-B1FF-4088220F1F4A}"/>
    <cellStyle name="Comma [0] 4" xfId="53" xr:uid="{00EB6ABE-54E9-44B9-A194-2B7D4D0880D6}"/>
    <cellStyle name="Comma [1]" xfId="3283" xr:uid="{E3CB0B12-4E35-4B37-A5E2-5FA3E21D70E7}"/>
    <cellStyle name="Comma [1] 2" xfId="3284" xr:uid="{5BD51AE3-8515-4849-89AE-9109AC190DA3}"/>
    <cellStyle name="Comma [2]" xfId="3285" xr:uid="{913A3135-B218-46F7-BC2B-504C2DBD0E0D}"/>
    <cellStyle name="Comma [2] 2" xfId="3286" xr:uid="{566AB75D-B217-42E0-AB23-2C63D7E43605}"/>
    <cellStyle name="Comma [3]" xfId="3287" xr:uid="{C0B0C69C-C809-42FC-81AA-39F5C0787100}"/>
    <cellStyle name="Comma [3] 2" xfId="3288" xr:uid="{D431861D-C975-41EC-8FDA-3E5CB70A1091}"/>
    <cellStyle name="Comma 0" xfId="3289" xr:uid="{57926E38-726B-466E-AD96-4742763AF445}"/>
    <cellStyle name="Comma 0*" xfId="3290" xr:uid="{E46BA83D-CBB3-4213-88C2-D9D581C50E74}"/>
    <cellStyle name="Comma 10" xfId="389" xr:uid="{6C443206-5B5D-4970-BB65-CB7BC1B84127}"/>
    <cellStyle name="Comma 10 2" xfId="3291" xr:uid="{2702D040-207B-4B83-A647-1CAD8FCC745B}"/>
    <cellStyle name="Comma 11" xfId="3292" xr:uid="{60E5703C-D422-41D4-8FE7-3DD4133CCCF6}"/>
    <cellStyle name="Comma 12" xfId="3293" xr:uid="{4B6F1183-D1C6-4DAD-A2FA-D0B6140CB3ED}"/>
    <cellStyle name="Comma 13" xfId="3294" xr:uid="{552517FC-8A4E-46DD-928D-977A4EB3924C}"/>
    <cellStyle name="Comma 14" xfId="3295" xr:uid="{38727A6D-4B69-4570-95E4-D166112F4B7F}"/>
    <cellStyle name="Comma 15" xfId="3296" xr:uid="{8C0FC6F2-CF81-400B-879B-DE034339E498}"/>
    <cellStyle name="Comma 16" xfId="3297" xr:uid="{149321B0-2F99-4B9F-9FA3-BA07F1095633}"/>
    <cellStyle name="Comma 17" xfId="3298" xr:uid="{F1968B87-5050-4678-A300-31CECE911E07}"/>
    <cellStyle name="Comma 18" xfId="3299" xr:uid="{718E0C8A-E1B7-4B4A-8483-8EF2D17B58E5}"/>
    <cellStyle name="Comma 19" xfId="3300" xr:uid="{F7293A3F-0E92-465E-BACF-6F7230F19FC7}"/>
    <cellStyle name="Comma 2" xfId="54" xr:uid="{2ADDBFB3-A299-49C6-BDCF-E60A687B4A1C}"/>
    <cellStyle name="Comma 2 10" xfId="3301" xr:uid="{EF511CDD-E1DD-43EA-99B4-BCF2263F4F26}"/>
    <cellStyle name="Comma 2 10 2" xfId="3302" xr:uid="{038E792C-F13A-485D-ADB7-C893341A6D4C}"/>
    <cellStyle name="Comma 2 11" xfId="3303" xr:uid="{F39A6CCF-AC5A-4812-8864-0C1B6612536A}"/>
    <cellStyle name="Comma 2 11 2" xfId="3304" xr:uid="{F9D0F90B-6D7F-48AA-9DDD-4E38A7486191}"/>
    <cellStyle name="Comma 2 12" xfId="3305" xr:uid="{975721CA-5871-4B25-80B4-E1D0AED3BBCF}"/>
    <cellStyle name="Comma 2 12 2" xfId="3306" xr:uid="{11346F9D-448B-439D-B48D-E84C5AD047F1}"/>
    <cellStyle name="Comma 2 13" xfId="3307" xr:uid="{1B44D918-6D66-4EA8-9C81-C37DCADCE02E}"/>
    <cellStyle name="Comma 2 13 2" xfId="3308" xr:uid="{711E4B9D-6025-4787-9D2A-E705A2EECA70}"/>
    <cellStyle name="Comma 2 14" xfId="3309" xr:uid="{502AE50F-3C5C-4278-9E11-2ABE7A5FFC0C}"/>
    <cellStyle name="Comma 2 14 2" xfId="3310" xr:uid="{2E821047-F30F-427A-A6CE-5CFCD10DB0D3}"/>
    <cellStyle name="Comma 2 15" xfId="3311" xr:uid="{2BB2DCB9-0B59-4842-A5AF-30788D0D7018}"/>
    <cellStyle name="Comma 2 15 2" xfId="3312" xr:uid="{BBEBEC8F-AAD5-4CD3-AC61-8A075F9B379C}"/>
    <cellStyle name="Comma 2 16" xfId="3313" xr:uid="{4527DF5F-CD28-4463-A350-A957A3D02C2F}"/>
    <cellStyle name="Comma 2 16 2" xfId="3314" xr:uid="{A33E2F85-3DEB-41D0-94E8-3BA8A015C8B5}"/>
    <cellStyle name="Comma 2 17" xfId="3315" xr:uid="{E059D5C3-D42E-44B2-92F5-96070B4A94EF}"/>
    <cellStyle name="Comma 2 17 2" xfId="3316" xr:uid="{EB6C4A41-1310-4737-B5DB-A43A0114B11C}"/>
    <cellStyle name="Comma 2 18" xfId="3317" xr:uid="{92EFF098-6C06-419E-A839-3D1A3A8ED6F1}"/>
    <cellStyle name="Comma 2 19" xfId="3318" xr:uid="{4C4C567D-D17E-45D3-BB52-010A5FF17CC4}"/>
    <cellStyle name="Comma 2 2" xfId="376" xr:uid="{30303F95-89DE-4B86-B407-3D9E91200317}"/>
    <cellStyle name="Comma 2 2 10" xfId="3319" xr:uid="{24DBFD75-2AA4-4D2C-91B4-58231596D7F9}"/>
    <cellStyle name="Comma 2 2 11" xfId="3320" xr:uid="{EDA0CF8A-D961-4C35-B9EB-4E77D7A94AC8}"/>
    <cellStyle name="Comma 2 2 12" xfId="3321" xr:uid="{CCE0FDC5-DB85-486D-BDE2-DEB343A652D0}"/>
    <cellStyle name="Comma 2 2 13" xfId="3322" xr:uid="{719ADB2C-D985-46AB-892A-482943EDCD05}"/>
    <cellStyle name="Comma 2 2 14" xfId="3323" xr:uid="{C73D69F2-03E2-4875-A662-66B2400DB56F}"/>
    <cellStyle name="Comma 2 2 15" xfId="3324" xr:uid="{2C118293-53AD-4E13-AC26-416BC10A3477}"/>
    <cellStyle name="Comma 2 2 16" xfId="3325" xr:uid="{49CAFCAC-1C16-4194-93CC-027B9338D31F}"/>
    <cellStyle name="Comma 2 2 17" xfId="3326" xr:uid="{AF41F5C5-EDF7-4F71-9C7F-4D6B8ABFC957}"/>
    <cellStyle name="Comma 2 2 18" xfId="3327" xr:uid="{3693C6E7-0F10-46E2-85A1-A10DD1BA8575}"/>
    <cellStyle name="Comma 2 2 19" xfId="3328" xr:uid="{EB5A5DF6-15A5-4D26-94C8-CC0881CB7C8C}"/>
    <cellStyle name="Comma 2 2 2" xfId="3329" xr:uid="{47C78465-0D77-4161-A715-017CD7C62F8B}"/>
    <cellStyle name="Comma 2 2 2 10" xfId="3330" xr:uid="{3B4B3C0A-1A02-4782-A10E-475FAB17DAF2}"/>
    <cellStyle name="Comma 2 2 2 11" xfId="3331" xr:uid="{C601032F-C69A-4768-AEDB-60AF2BC008BA}"/>
    <cellStyle name="Comma 2 2 2 12" xfId="3332" xr:uid="{16C51345-5C60-4863-96E8-1F51986E806B}"/>
    <cellStyle name="Comma 2 2 2 13" xfId="3333" xr:uid="{994243D7-F499-4D74-B3FB-F093893E308C}"/>
    <cellStyle name="Comma 2 2 2 14" xfId="3334" xr:uid="{BD088A84-A619-4681-AD72-0E8001E09513}"/>
    <cellStyle name="Comma 2 2 2 15" xfId="3335" xr:uid="{17F0C363-36F6-420F-807B-E5D83B02DCD7}"/>
    <cellStyle name="Comma 2 2 2 16" xfId="3336" xr:uid="{C3E418B0-F9D5-4F5C-A877-075B6B81DFCC}"/>
    <cellStyle name="Comma 2 2 2 17" xfId="3337" xr:uid="{A2DFC9D5-88AC-4924-9B2C-7F7A27FB1776}"/>
    <cellStyle name="Comma 2 2 2 18" xfId="3338" xr:uid="{5EA018BB-BD70-479A-8D72-F7FD8C9A25B4}"/>
    <cellStyle name="Comma 2 2 2 19" xfId="3339" xr:uid="{29181AB9-94D6-4BB7-A899-63F4E72BB820}"/>
    <cellStyle name="Comma 2 2 2 2" xfId="3340" xr:uid="{1049BA39-7479-47B5-8A0A-2D82AC183DC3}"/>
    <cellStyle name="Comma 2 2 2 2 10" xfId="3341" xr:uid="{0A196A2A-1EDE-42EA-8333-7345A6CE7733}"/>
    <cellStyle name="Comma 2 2 2 2 11" xfId="3342" xr:uid="{D3D41F96-557C-4D85-BB9E-F6B1C4E2569B}"/>
    <cellStyle name="Comma 2 2 2 2 12" xfId="3343" xr:uid="{A9DA01D0-44F5-45E7-885A-63C018E72239}"/>
    <cellStyle name="Comma 2 2 2 2 13" xfId="3344" xr:uid="{C0FBFBD5-4A0B-45E9-8834-E4659F701030}"/>
    <cellStyle name="Comma 2 2 2 2 14" xfId="3345" xr:uid="{C5E73C33-CD95-4860-A71E-A7FF9E7CC40C}"/>
    <cellStyle name="Comma 2 2 2 2 15" xfId="3346" xr:uid="{7881DBC6-95DD-4A2D-A7E4-B65AC8F48C87}"/>
    <cellStyle name="Comma 2 2 2 2 16" xfId="3347" xr:uid="{FA2B04EE-1243-405F-9122-C4C1A4F91B6A}"/>
    <cellStyle name="Comma 2 2 2 2 17" xfId="3348" xr:uid="{6A03BB3B-3BEF-4B3C-9FA6-48C42AAF1F56}"/>
    <cellStyle name="Comma 2 2 2 2 18" xfId="3349" xr:uid="{730B4C10-B0D0-4A1B-9CA8-C7A4BB48C3EA}"/>
    <cellStyle name="Comma 2 2 2 2 19" xfId="3350" xr:uid="{B1913882-90E3-4E14-9659-B017A1A01DD0}"/>
    <cellStyle name="Comma 2 2 2 2 2" xfId="3351" xr:uid="{8576B972-478A-42A8-87D3-7F046D9351A6}"/>
    <cellStyle name="Comma 2 2 2 2 2 2" xfId="3352" xr:uid="{21B37578-AC16-427D-AB94-EE4DA8196ED8}"/>
    <cellStyle name="Comma 2 2 2 2 2 2 2" xfId="3353" xr:uid="{8899FCE7-86BD-417C-9B81-60EB7D535053}"/>
    <cellStyle name="Comma 2 2 2 2 2 2 2 2" xfId="3354" xr:uid="{745430F0-4501-4AB5-8136-EF2A15871125}"/>
    <cellStyle name="Comma 2 2 2 2 2 3" xfId="3355" xr:uid="{13D9E185-F3C5-4EAD-9C09-0832491C6DB6}"/>
    <cellStyle name="Comma 2 2 2 2 20" xfId="3356" xr:uid="{C57664AB-4329-42B9-8BE2-7EC9A4D79ED1}"/>
    <cellStyle name="Comma 2 2 2 2 21" xfId="3357" xr:uid="{A452FCAE-E1A4-4E86-8261-80A652E5D2CB}"/>
    <cellStyle name="Comma 2 2 2 2 22" xfId="3358" xr:uid="{072A9963-E33D-4443-BC8C-1E87783A3C98}"/>
    <cellStyle name="Comma 2 2 2 2 23" xfId="3359" xr:uid="{ED331B0B-3097-4735-B42F-FE05B32A9DE9}"/>
    <cellStyle name="Comma 2 2 2 2 24" xfId="3360" xr:uid="{E58B11E7-8817-4415-B5BD-FD88AA82AB11}"/>
    <cellStyle name="Comma 2 2 2 2 25" xfId="3361" xr:uid="{7DC66D30-BF32-4D83-8C4F-7250214AA098}"/>
    <cellStyle name="Comma 2 2 2 2 26" xfId="3362" xr:uid="{4147A41F-C8A1-46F8-92E0-31967F0BB175}"/>
    <cellStyle name="Comma 2 2 2 2 27" xfId="3363" xr:uid="{9C472544-D0AE-4C2F-A151-793EFB557AB6}"/>
    <cellStyle name="Comma 2 2 2 2 28" xfId="3364" xr:uid="{65A7B761-9C08-448F-904E-9FA29CC3F272}"/>
    <cellStyle name="Comma 2 2 2 2 28 2" xfId="3365" xr:uid="{CA7DAA6B-BE0B-4B2B-96B3-95E0D2247151}"/>
    <cellStyle name="Comma 2 2 2 2 29" xfId="3366" xr:uid="{16C5451C-EFBE-46CF-AC7A-320D85F72FE0}"/>
    <cellStyle name="Comma 2 2 2 2 3" xfId="3367" xr:uid="{647E3B5D-63F5-44D2-B1BF-2AB49A3D5732}"/>
    <cellStyle name="Comma 2 2 2 2 30" xfId="3368" xr:uid="{9BE104A4-62AF-4EA7-B4A5-3385149F1C14}"/>
    <cellStyle name="Comma 2 2 2 2 4" xfId="3369" xr:uid="{E33D2995-DA8F-4DB4-9CC3-B2317AA372A7}"/>
    <cellStyle name="Comma 2 2 2 2 5" xfId="3370" xr:uid="{00C0D7E4-0F5B-4A03-AA9F-DA8B6288D075}"/>
    <cellStyle name="Comma 2 2 2 2 6" xfId="3371" xr:uid="{1D711355-0D04-4D65-BF2D-75917F26C116}"/>
    <cellStyle name="Comma 2 2 2 2 7" xfId="3372" xr:uid="{59DE1C1B-E667-49FE-ABA3-0E24DF9DD04E}"/>
    <cellStyle name="Comma 2 2 2 2 8" xfId="3373" xr:uid="{F1F5C343-ED47-4E34-BE18-B91DA2383810}"/>
    <cellStyle name="Comma 2 2 2 2 9" xfId="3374" xr:uid="{209FBBC1-5E56-479E-A4E7-777E2FF22538}"/>
    <cellStyle name="Comma 2 2 2 20" xfId="3375" xr:uid="{5514B9AB-31CD-4ACC-8A4E-53C1D3512697}"/>
    <cellStyle name="Comma 2 2 2 21" xfId="3376" xr:uid="{5D994A7B-D68C-4DBF-9B71-6880A2FE8008}"/>
    <cellStyle name="Comma 2 2 2 22" xfId="3377" xr:uid="{809D9DE4-F20D-4D8C-AE4E-5F281EB43F23}"/>
    <cellStyle name="Comma 2 2 2 23" xfId="3378" xr:uid="{1CCD260A-309B-4509-8EA1-BD7B338EE0BB}"/>
    <cellStyle name="Comma 2 2 2 24" xfId="3379" xr:uid="{1EE5FFD2-159F-4A0E-B51E-260B74F9CDA1}"/>
    <cellStyle name="Comma 2 2 2 25" xfId="3380" xr:uid="{EAF40A83-9656-462E-88C6-8360E5437347}"/>
    <cellStyle name="Comma 2 2 2 26" xfId="3381" xr:uid="{96157564-1E1F-4361-AA03-F68668A76282}"/>
    <cellStyle name="Comma 2 2 2 27" xfId="3382" xr:uid="{C2789F19-1431-475D-ABF8-255DFA9B105C}"/>
    <cellStyle name="Comma 2 2 2 28" xfId="3383" xr:uid="{011A08C0-DDA1-4AC4-9DAE-7C666A0BA065}"/>
    <cellStyle name="Comma 2 2 2 29" xfId="3384" xr:uid="{0713913A-0C19-49F6-A7F5-F3FE17E0BFE1}"/>
    <cellStyle name="Comma 2 2 2 29 2" xfId="3385" xr:uid="{54A1F141-7C13-4D88-98AB-C42A3D558930}"/>
    <cellStyle name="Comma 2 2 2 3" xfId="3386" xr:uid="{3C053B80-3C77-42B8-AF7F-FACBECBE5AF0}"/>
    <cellStyle name="Comma 2 2 2 30" xfId="3387" xr:uid="{E2FDF624-B9EE-4035-8149-1017CE882BE9}"/>
    <cellStyle name="Comma 2 2 2 31" xfId="3388" xr:uid="{2DA30E18-AA32-4673-9BB1-D5B8FE02A7E9}"/>
    <cellStyle name="Comma 2 2 2 32" xfId="3389" xr:uid="{826DC48B-6B8D-4FF0-9EB6-010080B52E13}"/>
    <cellStyle name="Comma 2 2 2 33" xfId="3390" xr:uid="{EF693F0A-A8CF-4155-8578-A1A4FD73B8A1}"/>
    <cellStyle name="Comma 2 2 2 34" xfId="3391" xr:uid="{DF78F565-4A74-444F-AB0B-4DA16DFFB5F4}"/>
    <cellStyle name="Comma 2 2 2 35" xfId="3392" xr:uid="{7C6CF266-05F8-41C8-8E8F-E2D4BEBEAE28}"/>
    <cellStyle name="Comma 2 2 2 4" xfId="3393" xr:uid="{E1EC86C9-EE9F-4E49-A7E7-2365D46301DE}"/>
    <cellStyle name="Comma 2 2 2 4 2" xfId="3394" xr:uid="{D5AF2B5E-9B94-443E-8682-AEBD16FCA593}"/>
    <cellStyle name="Comma 2 2 2 4 2 2" xfId="3395" xr:uid="{0AB4E50C-04D7-435B-9CA2-FB58ECC898D7}"/>
    <cellStyle name="Comma 2 2 2 4 2 2 2" xfId="3396" xr:uid="{1216E372-30CB-40A5-9BF3-A1555FBA2837}"/>
    <cellStyle name="Comma 2 2 2 4 3" xfId="3397" xr:uid="{41B6DFBD-D90E-40A8-853B-D0C3F2186E5F}"/>
    <cellStyle name="Comma 2 2 2 5" xfId="3398" xr:uid="{A757991F-63FE-4C8D-B97D-C7704EC82C07}"/>
    <cellStyle name="Comma 2 2 2 6" xfId="3399" xr:uid="{252E25EC-8B79-453A-8A2B-623CFB278B8C}"/>
    <cellStyle name="Comma 2 2 2 7" xfId="3400" xr:uid="{663544A6-F026-46DD-92F6-0D7757082A36}"/>
    <cellStyle name="Comma 2 2 2 8" xfId="3401" xr:uid="{005EC146-462A-41FB-A0BB-069C439D5998}"/>
    <cellStyle name="Comma 2 2 2 9" xfId="3402" xr:uid="{7431CD97-F1CC-4DDD-A2DC-54A808A4A7E4}"/>
    <cellStyle name="Comma 2 2 20" xfId="3403" xr:uid="{FBF8450E-27F5-40E5-8005-4B4CEF540DFF}"/>
    <cellStyle name="Comma 2 2 21" xfId="3404" xr:uid="{012C7830-EE17-4263-B0B2-481A4AE15471}"/>
    <cellStyle name="Comma 2 2 22" xfId="3405" xr:uid="{359E6AAE-8989-438D-9B9B-6EAB8035230E}"/>
    <cellStyle name="Comma 2 2 23" xfId="3406" xr:uid="{4100DEFD-CE0E-4404-BF7D-E667069F53D8}"/>
    <cellStyle name="Comma 2 2 24" xfId="3407" xr:uid="{A2387239-3D0A-4607-9140-00D009AB2CCA}"/>
    <cellStyle name="Comma 2 2 25" xfId="3408" xr:uid="{4CF31C47-DEB8-4340-8E67-0FE1B7A4C148}"/>
    <cellStyle name="Comma 2 2 26" xfId="3409" xr:uid="{ED86C4EA-ED63-49E4-B91A-5401B051C421}"/>
    <cellStyle name="Comma 2 2 27" xfId="3410" xr:uid="{7CFCBE4C-549B-496D-9E9F-16B86B2AC361}"/>
    <cellStyle name="Comma 2 2 28" xfId="3411" xr:uid="{5675B57E-BDC6-4E80-96C7-616252EED162}"/>
    <cellStyle name="Comma 2 2 29" xfId="3412" xr:uid="{81DA2233-E2D9-41C4-A8CF-C7FDC7ECBD45}"/>
    <cellStyle name="Comma 2 2 3" xfId="3413" xr:uid="{1D2528E5-8AEC-4E7C-81AF-F35E7B19B61E}"/>
    <cellStyle name="Comma 2 2 30" xfId="3414" xr:uid="{FF711CFF-1DFA-42EF-9517-A7A73EFE6CB2}"/>
    <cellStyle name="Comma 2 2 31" xfId="3415" xr:uid="{0F6B3662-94A8-458E-B245-C5C4B5FEB2F8}"/>
    <cellStyle name="Comma 2 2 32" xfId="3416" xr:uid="{342FC91A-CC21-4810-9925-A5E6C74B6868}"/>
    <cellStyle name="Comma 2 2 33" xfId="3417" xr:uid="{0C223906-2303-4816-BF1B-A33EE8171941}"/>
    <cellStyle name="Comma 2 2 34" xfId="3418" xr:uid="{53AD563B-B781-4E0C-B62C-09A15932C22C}"/>
    <cellStyle name="Comma 2 2 35" xfId="3419" xr:uid="{C641E128-E5BE-46EF-BC55-9C22CDECEF4B}"/>
    <cellStyle name="Comma 2 2 36" xfId="3420" xr:uid="{7603E078-C4C8-4450-A512-73387D4043F3}"/>
    <cellStyle name="Comma 2 2 37" xfId="3421" xr:uid="{63BE1910-8280-4C92-8C2C-F9D46CA779D7}"/>
    <cellStyle name="Comma 2 2 37 2" xfId="3422" xr:uid="{BD117CF0-87B9-45B5-9A75-125CC6310671}"/>
    <cellStyle name="Comma 2 2 37 2 2" xfId="3423" xr:uid="{F47E8DBD-9994-4435-A020-008FAA76B4FD}"/>
    <cellStyle name="Comma 2 2 37 2 2 2" xfId="3424" xr:uid="{DE90B267-4111-4C56-87CF-AAEDA9810562}"/>
    <cellStyle name="Comma 2 2 37 3" xfId="3425" xr:uid="{37A27FB6-CD18-4F14-815C-B0AF796A30A7}"/>
    <cellStyle name="Comma 2 2 38" xfId="3426" xr:uid="{BB7FAFC2-8A1C-4804-BA58-8A42B9AFF7CE}"/>
    <cellStyle name="Comma 2 2 39" xfId="3427" xr:uid="{C31BB6F9-CBBB-444E-94FD-B23C72237453}"/>
    <cellStyle name="Comma 2 2 4" xfId="3428" xr:uid="{A5C07C32-AEA0-49AF-9B4C-DE4741D0B85A}"/>
    <cellStyle name="Comma 2 2 40" xfId="3429" xr:uid="{EAE53DF0-71CB-4652-8A96-05EFA3A95EFB}"/>
    <cellStyle name="Comma 2 2 41" xfId="3430" xr:uid="{EC75478D-C5EA-4085-9F17-211D711AB3A4}"/>
    <cellStyle name="Comma 2 2 42" xfId="3431" xr:uid="{036272D8-18AD-4981-A790-BEE379DA1447}"/>
    <cellStyle name="Comma 2 2 43" xfId="3432" xr:uid="{65B2FAA2-074E-4EB4-B682-2377D03BAB15}"/>
    <cellStyle name="Comma 2 2 44" xfId="3433" xr:uid="{E72C2353-8401-42CE-99B2-51CA7E2247C1}"/>
    <cellStyle name="Comma 2 2 45" xfId="3434" xr:uid="{31B39995-1787-47B9-A1E7-5615DFD6780A}"/>
    <cellStyle name="Comma 2 2 46" xfId="3435" xr:uid="{C5EC95BC-F88F-4C27-93C1-B779B57DAEEC}"/>
    <cellStyle name="Comma 2 2 47" xfId="3436" xr:uid="{A01548E1-E68D-4366-955A-F421853B23D5}"/>
    <cellStyle name="Comma 2 2 48" xfId="3437" xr:uid="{F43DDB7F-89D6-4819-B0B3-6AF19C7D40B1}"/>
    <cellStyle name="Comma 2 2 49" xfId="3438" xr:uid="{1FDF6523-98B3-45FB-882A-D7B5CC3D2C9F}"/>
    <cellStyle name="Comma 2 2 5" xfId="3439" xr:uid="{F75B475B-52E8-4084-B828-5191606DD17F}"/>
    <cellStyle name="Comma 2 2 50" xfId="3440" xr:uid="{6D7A6659-BB73-4358-B0EE-9EF566117556}"/>
    <cellStyle name="Comma 2 2 51" xfId="3441" xr:uid="{2345A801-B423-46B3-A0D6-A8D30B04DB95}"/>
    <cellStyle name="Comma 2 2 52" xfId="3442" xr:uid="{0613ABB5-D58A-44A9-AE56-7BFBFD73EC03}"/>
    <cellStyle name="Comma 2 2 53" xfId="3443" xr:uid="{70EBE13C-8668-4126-9E38-077AD7D59504}"/>
    <cellStyle name="Comma 2 2 54" xfId="3444" xr:uid="{299AA605-211B-48D3-AE3C-9473C3F3A7BD}"/>
    <cellStyle name="Comma 2 2 55" xfId="3445" xr:uid="{9D664DB8-6984-4A55-BFA8-AA892F3942A3}"/>
    <cellStyle name="Comma 2 2 56" xfId="3446" xr:uid="{A6B23F5E-C945-4495-96B1-ECE0BDA81B4A}"/>
    <cellStyle name="Comma 2 2 57" xfId="3447" xr:uid="{4BA33933-805A-4514-8E9B-0F8F3CCF619E}"/>
    <cellStyle name="Comma 2 2 58" xfId="3448" xr:uid="{B8CECB50-2B50-4360-9396-8C159D7B27F6}"/>
    <cellStyle name="Comma 2 2 59" xfId="3449" xr:uid="{CF7FE4A5-0F55-401E-B8EA-6E3CEC8B7809}"/>
    <cellStyle name="Comma 2 2 6" xfId="3450" xr:uid="{3CFDE0E2-3195-410B-8740-28DA019B8218}"/>
    <cellStyle name="Comma 2 2 60" xfId="3451" xr:uid="{5361739A-73F2-44CC-ABD4-21A9B8361F1F}"/>
    <cellStyle name="Comma 2 2 61" xfId="3452" xr:uid="{9B0249A3-FD2B-45D7-B91B-20635AC9AB1A}"/>
    <cellStyle name="Comma 2 2 62" xfId="3453" xr:uid="{D9715C83-2A5B-4E6B-B958-16561EAF8F99}"/>
    <cellStyle name="Comma 2 2 62 2" xfId="3454" xr:uid="{F7485776-E90B-42B6-9F5D-0859E8D8E394}"/>
    <cellStyle name="Comma 2 2 63" xfId="3455" xr:uid="{CA9FEE47-0289-4CF2-82B9-869577DA01A7}"/>
    <cellStyle name="Comma 2 2 64" xfId="3456" xr:uid="{8A53A980-F0D3-4160-91AD-CF9F64469BE0}"/>
    <cellStyle name="Comma 2 2 65" xfId="3457" xr:uid="{610DF719-9E57-475F-B4DC-D5DB15B52DCD}"/>
    <cellStyle name="Comma 2 2 66" xfId="3458" xr:uid="{D3591A39-77FC-4B97-8C96-CCD4A4097B0B}"/>
    <cellStyle name="Comma 2 2 7" xfId="3459" xr:uid="{D87F79EE-0E25-42CF-A80C-BEDED542A003}"/>
    <cellStyle name="Comma 2 2 8" xfId="3460" xr:uid="{86869055-410D-4956-B958-9396BD3E8CA1}"/>
    <cellStyle name="Comma 2 2 9" xfId="3461" xr:uid="{4C37937A-3C18-4363-9B92-423516B0317B}"/>
    <cellStyle name="Comma 2 20" xfId="3462" xr:uid="{08B170E3-0A21-4594-8D9A-11F23E0AD7F7}"/>
    <cellStyle name="Comma 2 21" xfId="3463" xr:uid="{56AA0045-1D30-4AB8-832D-D6CD3E1BDA0A}"/>
    <cellStyle name="Comma 2 22" xfId="3464" xr:uid="{8501CAD4-CD53-49E4-A4DF-2BB6B96614E1}"/>
    <cellStyle name="Comma 2 23" xfId="3465" xr:uid="{1461D88D-BBDE-43C8-820F-704EA0B2CF62}"/>
    <cellStyle name="Comma 2 24" xfId="3466" xr:uid="{1B04858C-517F-4FE3-AE8F-32301817988A}"/>
    <cellStyle name="Comma 2 25" xfId="3467" xr:uid="{355A254D-D79F-48D0-8756-CCC087D99F9A}"/>
    <cellStyle name="Comma 2 26" xfId="3468" xr:uid="{AB784FB6-38FF-4377-BA29-704E5BBC15BD}"/>
    <cellStyle name="Comma 2 27" xfId="3469" xr:uid="{EFD10145-C8C9-44FB-8E5A-6E62560BA670}"/>
    <cellStyle name="Comma 2 28" xfId="3470" xr:uid="{B96627CE-AAAD-4D83-9017-9F752EA75A6F}"/>
    <cellStyle name="Comma 2 29" xfId="3471" xr:uid="{57198991-7361-4541-AA16-21D72CD2F89E}"/>
    <cellStyle name="Comma 2 3" xfId="3472" xr:uid="{B99D9D3C-B475-484B-AF41-F14D3F785D9D}"/>
    <cellStyle name="Comma 2 3 10" xfId="3473" xr:uid="{8A48CEDE-F59B-4DAA-B83F-5A3754955639}"/>
    <cellStyle name="Comma 2 3 11" xfId="3474" xr:uid="{BB398541-C5DB-42FC-835D-88ACF48701AD}"/>
    <cellStyle name="Comma 2 3 12" xfId="3475" xr:uid="{21E52828-AF8C-4FBC-A1B7-361C3F590BD0}"/>
    <cellStyle name="Comma 2 3 2" xfId="3476" xr:uid="{5E065D82-BA6C-41A7-86F2-30A85D08FD37}"/>
    <cellStyle name="Comma 2 3 2 2" xfId="3477" xr:uid="{C53493C1-42EA-44A9-9FFF-35C316BCD56A}"/>
    <cellStyle name="Comma 2 3 3" xfId="3478" xr:uid="{91E25951-F352-4E3E-AF4E-F6886C3E0DF5}"/>
    <cellStyle name="Comma 2 3 3 2" xfId="3479" xr:uid="{05382244-641C-40BF-9A32-1246117AF32A}"/>
    <cellStyle name="Comma 2 3 4" xfId="3480" xr:uid="{330FF5C2-A617-4245-A30D-FC32B13C7AFA}"/>
    <cellStyle name="Comma 2 3 4 2" xfId="3481" xr:uid="{59F8E559-FFA5-429B-A647-C0C810882DFD}"/>
    <cellStyle name="Comma 2 3 5" xfId="3482" xr:uid="{29D2C9DD-E3E8-4FB0-871A-A321C2C57876}"/>
    <cellStyle name="Comma 2 3 5 2" xfId="3483" xr:uid="{3686E4A4-A347-4960-AE5B-307DD37A5FF1}"/>
    <cellStyle name="Comma 2 3 6" xfId="3484" xr:uid="{2B8C2FB4-AECE-4C77-81D1-4F6CFDA8FE04}"/>
    <cellStyle name="Comma 2 3 6 2" xfId="3485" xr:uid="{BEC72D95-E3CC-4015-BAEA-1501371A7534}"/>
    <cellStyle name="Comma 2 3 7" xfId="3486" xr:uid="{EA526924-B553-43BA-B1D4-11804AC2A858}"/>
    <cellStyle name="Comma 2 3 7 2" xfId="3487" xr:uid="{B56B535F-0D37-4FCB-A25F-9CE6EB1322BF}"/>
    <cellStyle name="Comma 2 3 8" xfId="3488" xr:uid="{2F3592E2-A113-4D37-995F-9F57C72A08BD}"/>
    <cellStyle name="Comma 2 3 8 2" xfId="3489" xr:uid="{A5851DE8-554C-46A8-A703-7D1466FBBEED}"/>
    <cellStyle name="Comma 2 3 9" xfId="3490" xr:uid="{8EF3CB68-E482-4F5B-B0F2-06A2E6D9EE32}"/>
    <cellStyle name="Comma 2 3 9 2" xfId="3491" xr:uid="{0102946A-3B40-4BDB-A12B-43EC1F61591B}"/>
    <cellStyle name="Comma 2 3 9 3" xfId="3492" xr:uid="{F9E8B277-E885-4C34-A016-EB3E4B7AA737}"/>
    <cellStyle name="Comma 2 30" xfId="3493" xr:uid="{AA180CEF-4D58-432F-AC37-3AFC95DE8748}"/>
    <cellStyle name="Comma 2 31" xfId="3494" xr:uid="{5DE28E74-12C3-4271-8D65-6CA5CEF7FB9D}"/>
    <cellStyle name="Comma 2 32" xfId="3495" xr:uid="{01C614E9-4AA3-4ABC-9CC2-A30865D2AA23}"/>
    <cellStyle name="Comma 2 33" xfId="3496" xr:uid="{98825825-822D-4E68-871E-B58EB8940F3E}"/>
    <cellStyle name="Comma 2 34" xfId="3497" xr:uid="{AD86B4AF-0091-4FA5-8DA2-F0E757545E66}"/>
    <cellStyle name="Comma 2 35" xfId="3498" xr:uid="{B67EFD34-EFB5-40E3-B40C-9629EDAA1114}"/>
    <cellStyle name="Comma 2 36" xfId="3499" xr:uid="{1833B712-C879-4E6D-8CF5-04122EE79DB8}"/>
    <cellStyle name="Comma 2 37" xfId="3500" xr:uid="{FAF67D19-5B7F-4142-B0F5-61CC0E3DE435}"/>
    <cellStyle name="Comma 2 38" xfId="3501" xr:uid="{7CD9BAB8-0B7D-4658-B12D-C4B04B43DDE0}"/>
    <cellStyle name="Comma 2 39" xfId="3502" xr:uid="{6C1EBFD9-A758-45C2-904B-0261F0FA63CE}"/>
    <cellStyle name="Comma 2 4" xfId="3503" xr:uid="{0B1B1549-62C9-4F23-AEF7-EAD685B9A838}"/>
    <cellStyle name="Comma 2 4 2" xfId="3504" xr:uid="{A7021D1F-D156-4735-9D77-08AF5C7C4B1E}"/>
    <cellStyle name="Comma 2 4 3" xfId="3505" xr:uid="{70D53FD3-73F3-46F4-BCDA-9649E3FE43CA}"/>
    <cellStyle name="Comma 2 4 4" xfId="3506" xr:uid="{2AC84072-D28C-4779-8FC4-AB70F120DEC5}"/>
    <cellStyle name="Comma 2 40" xfId="3507" xr:uid="{9A7D3628-4CD8-4759-992F-5A99D8DC19DB}"/>
    <cellStyle name="Comma 2 41" xfId="3508" xr:uid="{DA4C6B8D-95CF-4FF6-8398-AD3DA723AC9A}"/>
    <cellStyle name="Comma 2 42" xfId="3509" xr:uid="{CFD4BD90-EA7A-4A35-8421-84CB442E7B90}"/>
    <cellStyle name="Comma 2 43" xfId="3510" xr:uid="{4535A7D7-DC25-4F5C-AC89-23F5A728A886}"/>
    <cellStyle name="Comma 2 44" xfId="3511" xr:uid="{9BE9256D-39DE-4DFD-A726-D4DE627BC8E6}"/>
    <cellStyle name="Comma 2 45" xfId="3512" xr:uid="{18242029-C362-4847-AAAC-16FE0B225DB8}"/>
    <cellStyle name="Comma 2 46" xfId="3513" xr:uid="{C9696D79-19EE-49DE-9184-768F17B55477}"/>
    <cellStyle name="Comma 2 47" xfId="3514" xr:uid="{4CD69B42-9DF6-4A5F-AEA4-3F28B00780AE}"/>
    <cellStyle name="Comma 2 48" xfId="3515" xr:uid="{D610A46A-DA27-4BF9-A347-EBB3C8630606}"/>
    <cellStyle name="Comma 2 49" xfId="3516" xr:uid="{8D250A1B-7CA8-4922-82ED-4184E3231BDA}"/>
    <cellStyle name="Comma 2 5" xfId="3517" xr:uid="{478DE8C8-D021-414F-B30C-9EE2C20CBDC2}"/>
    <cellStyle name="Comma 2 5 2" xfId="3518" xr:uid="{50780544-4C08-47A4-B08A-D718E646D1AA}"/>
    <cellStyle name="Comma 2 50" xfId="3519" xr:uid="{2ED79165-B5C9-4DCD-A925-A5F44FF035F7}"/>
    <cellStyle name="Comma 2 51" xfId="3520" xr:uid="{92178ED0-8A6D-43A0-BEC9-762E6BD53440}"/>
    <cellStyle name="Comma 2 52" xfId="3521" xr:uid="{835355C3-D5BB-4DD5-9B7E-770D2DFA9382}"/>
    <cellStyle name="Comma 2 53" xfId="3522" xr:uid="{33141713-460F-4F9F-BE9D-664F35BB3C5E}"/>
    <cellStyle name="Comma 2 54" xfId="3523" xr:uid="{ECCF20F0-094B-4E66-A146-626B9EF67148}"/>
    <cellStyle name="Comma 2 55" xfId="3524" xr:uid="{672E4244-465E-4F4B-8BFB-11A50C0C800F}"/>
    <cellStyle name="Comma 2 56" xfId="3525" xr:uid="{5B7F3109-18B2-4728-9004-4B77609D2DF1}"/>
    <cellStyle name="Comma 2 57" xfId="3526" xr:uid="{7F7C78EA-6639-4C89-A03C-09E76D5B88C4}"/>
    <cellStyle name="Comma 2 58" xfId="3527" xr:uid="{A02524ED-828D-4F12-9AA8-A7193F09B977}"/>
    <cellStyle name="Comma 2 59" xfId="3528" xr:uid="{C89DC627-5E61-42BD-968F-0BFC6AB0B140}"/>
    <cellStyle name="Comma 2 6" xfId="3529" xr:uid="{AC34754D-6310-4AF9-8C69-9C8E0E77E4B4}"/>
    <cellStyle name="Comma 2 6 2" xfId="3530" xr:uid="{82F5F8B7-31F9-44C5-9CE0-193A608185C5}"/>
    <cellStyle name="Comma 2 60" xfId="3531" xr:uid="{C1124A8B-FC93-4E67-A029-ADF5B57CBD3E}"/>
    <cellStyle name="Comma 2 61" xfId="3532" xr:uid="{8D4879F6-94C5-4A4E-AD0E-A04D1F32DCB8}"/>
    <cellStyle name="Comma 2 62" xfId="3533" xr:uid="{2F8584AD-57A8-42C0-9E2B-C95D52A25323}"/>
    <cellStyle name="Comma 2 63" xfId="3534" xr:uid="{8DCE7E39-BDC7-4F15-8E6D-97FB70F356FF}"/>
    <cellStyle name="Comma 2 64" xfId="3535" xr:uid="{C374C39A-1B31-42DB-AE37-77768C9D7E94}"/>
    <cellStyle name="Comma 2 65" xfId="3536" xr:uid="{A958702B-F750-44F7-A1E6-FFE88CC9AA61}"/>
    <cellStyle name="Comma 2 66" xfId="3537" xr:uid="{23454212-9DE2-4DF5-A287-FEF15A8B7D28}"/>
    <cellStyle name="Comma 2 66 2" xfId="3538" xr:uid="{E99EB4C0-546E-4E8D-86DF-80ACA6EE4E91}"/>
    <cellStyle name="Comma 2 66 2 2" xfId="3539" xr:uid="{AD49F19F-4B5A-4FD5-B637-C5703C97E194}"/>
    <cellStyle name="Comma 2 66 3" xfId="3540" xr:uid="{DC0B1B38-4976-4A58-805B-76D13F27908F}"/>
    <cellStyle name="Comma 2 66 4" xfId="3541" xr:uid="{90D26332-968F-41F3-94DD-71A7BE04B0A1}"/>
    <cellStyle name="Comma 2 67" xfId="3542" xr:uid="{0DA2B1C4-0267-43F7-91DA-60942BED1569}"/>
    <cellStyle name="Comma 2 68" xfId="3543" xr:uid="{CB601EFD-F232-402F-A4FD-94BA961D18AD}"/>
    <cellStyle name="Comma 2 69" xfId="38069" xr:uid="{D93AD116-9435-4F14-9FEC-45EB07A99206}"/>
    <cellStyle name="Comma 2 7" xfId="3544" xr:uid="{8EEC509A-142E-4224-B84E-26E655C38135}"/>
    <cellStyle name="Comma 2 7 2" xfId="3545" xr:uid="{00F3BFB4-FF4A-4C82-938B-1CE289E11984}"/>
    <cellStyle name="Comma 2 8" xfId="3546" xr:uid="{44760185-E4BB-4185-ADCF-03044B6DA3E4}"/>
    <cellStyle name="Comma 2 8 2" xfId="3547" xr:uid="{87699A64-C280-4914-97ED-C9C7BA15C754}"/>
    <cellStyle name="Comma 2 9" xfId="3548" xr:uid="{068C3BC7-4A59-4223-A592-FF8A37A5CAD5}"/>
    <cellStyle name="Comma 2 9 2" xfId="3549" xr:uid="{E69DAB18-2D14-4966-BA3B-9255D2A08F11}"/>
    <cellStyle name="Comma 2*" xfId="3550" xr:uid="{89B30123-B5E6-4A34-8583-6797CFBCE5DE}"/>
    <cellStyle name="Comma 2__MasterJRComps" xfId="3551" xr:uid="{A0069743-D4AC-4E10-A5EE-D6BB3FFD85D2}"/>
    <cellStyle name="Comma 20" xfId="3552" xr:uid="{D4438C1A-8AD9-40A3-9236-04C0BA76423F}"/>
    <cellStyle name="Comma 21" xfId="3553" xr:uid="{5521531A-9A5E-48C1-9BF6-223928A34520}"/>
    <cellStyle name="Comma 22" xfId="3554" xr:uid="{C865C455-CA39-44E0-B256-10BCD4E51119}"/>
    <cellStyle name="Comma 23" xfId="3555" xr:uid="{3D7C52BE-D3B6-4CE4-B67B-CE01FE078D1D}"/>
    <cellStyle name="Comma 24" xfId="3556" xr:uid="{848AA91C-39CB-41AE-B542-F4BBE22570FF}"/>
    <cellStyle name="Comma 25" xfId="3557" xr:uid="{8F338A98-2ADF-4419-B14C-810DBD7206D7}"/>
    <cellStyle name="Comma 26" xfId="3558" xr:uid="{FDE14490-1A9A-415F-BD4D-521A40F15A0B}"/>
    <cellStyle name="Comma 27" xfId="3559" xr:uid="{1A2759E0-0F97-4E59-B92D-8E2AAA789A62}"/>
    <cellStyle name="Comma 28" xfId="38068" xr:uid="{E1ABBDB7-5C30-42BB-93D8-368DCBB553E1}"/>
    <cellStyle name="Comma 29" xfId="38073" xr:uid="{AF3B37B5-425F-4154-B2E5-70842B35B4FD}"/>
    <cellStyle name="Comma 3" xfId="55" xr:uid="{B7B71B4E-7205-47A7-951D-86B7C99F646A}"/>
    <cellStyle name="Comma 3 10" xfId="3560" xr:uid="{CE7E31A1-5870-4BDD-9711-D4ABC9B31947}"/>
    <cellStyle name="Comma 3 11" xfId="3561" xr:uid="{85C2B415-F829-4423-8A9E-C22FF4BF4264}"/>
    <cellStyle name="Comma 3 12" xfId="3562" xr:uid="{9C38DA45-AD5B-4277-B28C-7D08DD31A2BC}"/>
    <cellStyle name="Comma 3 13" xfId="3563" xr:uid="{7ACC69B4-BCAA-416C-AF46-944607CF5F52}"/>
    <cellStyle name="Comma 3 14" xfId="3564" xr:uid="{54031D61-5AA5-4A73-8253-DB7270453420}"/>
    <cellStyle name="Comma 3 2" xfId="56" xr:uid="{5733241E-6941-4340-B70F-FDCF654E19EE}"/>
    <cellStyle name="Comma 3 2 2" xfId="3565" xr:uid="{10D972DB-BEE2-4A05-8F5E-5098C8773472}"/>
    <cellStyle name="Comma 3 2 3" xfId="3566" xr:uid="{476B100C-79F4-415A-A4C7-CA73B12A14E0}"/>
    <cellStyle name="Comma 3 2 4" xfId="3567" xr:uid="{8450EF57-E7F3-4057-B5E3-90BA309EF390}"/>
    <cellStyle name="Comma 3 3" xfId="377" xr:uid="{52F2B649-0398-488B-AEF8-35A399A9F534}"/>
    <cellStyle name="Comma 3 3 2" xfId="3569" xr:uid="{B0C175B6-C36A-45C3-B514-F7307BA4F727}"/>
    <cellStyle name="Comma 3 3 3" xfId="3570" xr:uid="{7BAC4242-2839-4862-9E78-51751F2DCCD9}"/>
    <cellStyle name="Comma 3 3 4" xfId="3568" xr:uid="{5C3FCB26-F799-41FD-BA01-D0C733C68877}"/>
    <cellStyle name="Comma 3 4" xfId="3571" xr:uid="{E0A3ED3D-9E75-4D1D-B62F-0161F7C67158}"/>
    <cellStyle name="Comma 3 4 2" xfId="3572" xr:uid="{F24CD801-3682-4D3C-995E-B8AD28D0A283}"/>
    <cellStyle name="Comma 3 5" xfId="3573" xr:uid="{36EDAB8C-9D92-463B-BAFE-F8E9C5967E3D}"/>
    <cellStyle name="Comma 3 5 2" xfId="3574" xr:uid="{65EA7D64-D26A-420B-90EE-B0239BD5C63D}"/>
    <cellStyle name="Comma 3 6" xfId="3575" xr:uid="{623E32C4-FA5D-43CA-816C-C2B19EDFEE13}"/>
    <cellStyle name="Comma 3 6 2" xfId="3576" xr:uid="{07DF23A9-FD03-4280-B7E5-786888A2BAFD}"/>
    <cellStyle name="Comma 3 7" xfId="3577" xr:uid="{8C0FB4AA-3EBB-40FB-A297-CCC0A91238D2}"/>
    <cellStyle name="Comma 3 7 2" xfId="3578" xr:uid="{2BFFCD0D-1D09-4649-BBF1-AB52BFE9C73E}"/>
    <cellStyle name="Comma 3 8" xfId="3579" xr:uid="{E7407B89-B309-4430-98A0-2608B13FE432}"/>
    <cellStyle name="Comma 3 8 2" xfId="3580" xr:uid="{B2D3AB3F-C032-4F39-ADE4-F06DCE937063}"/>
    <cellStyle name="Comma 3 9" xfId="3581" xr:uid="{7A50BF26-5E3E-4ADD-B8BA-512E9E9FF0C1}"/>
    <cellStyle name="Comma 3 9 2" xfId="3582" xr:uid="{8A65ADB4-D183-4754-9F7C-C3544944BBE2}"/>
    <cellStyle name="Comma 3 9 3" xfId="3583" xr:uid="{C2C1FB9F-786D-43A0-841B-453ADA27C67C}"/>
    <cellStyle name="Comma 3*" xfId="3584" xr:uid="{9CFC2E07-10A3-4A9F-99F1-C15E95C01413}"/>
    <cellStyle name="Comma 3_Ch4 v2" xfId="3585" xr:uid="{9CF0B7B3-5E4A-48CF-BA1D-F5B2B28E333D}"/>
    <cellStyle name="Comma 30" xfId="38074" xr:uid="{6A6744C5-28E7-420E-AEBB-6D3642E58B73}"/>
    <cellStyle name="Comma 31" xfId="38076" xr:uid="{D5A115BF-DE21-4688-81FA-A92C688451D9}"/>
    <cellStyle name="Comma 32" xfId="38078" xr:uid="{9AF8CB6E-1C75-4015-9199-F038C1A6AD7E}"/>
    <cellStyle name="Comma 33" xfId="38080" xr:uid="{BD7C144E-6F14-4937-B697-79E358F0FB08}"/>
    <cellStyle name="Comma 34" xfId="38082" xr:uid="{CEAD3C7B-BF0C-4387-845F-6815FFF353B4}"/>
    <cellStyle name="Comma 35" xfId="38084" xr:uid="{E270A926-7A5D-423A-A360-1799E6735464}"/>
    <cellStyle name="Comma 36" xfId="38086" xr:uid="{5C1C34B8-A87C-478B-97E2-B760FB84192E}"/>
    <cellStyle name="Comma 37" xfId="38088" xr:uid="{87F44AE9-668C-4436-9DDC-3C9BA88C3A9A}"/>
    <cellStyle name="Comma 38" xfId="38090" xr:uid="{97A0B7BB-AD16-4D87-9C72-31F4DE5FFC33}"/>
    <cellStyle name="Comma 39" xfId="38092" xr:uid="{0758EF9A-56F9-44E9-8E53-A41AD7234F77}"/>
    <cellStyle name="Comma 4" xfId="57" xr:uid="{F0622B92-1214-4308-8E5A-FE8B1D3CD93F}"/>
    <cellStyle name="Comma 4 2" xfId="3586" xr:uid="{ACB5D7BE-4621-415C-8AB2-0FBFDC934A73}"/>
    <cellStyle name="Comma 4 3" xfId="3587" xr:uid="{7D8888A1-660D-4FB2-A864-030082B07D85}"/>
    <cellStyle name="Comma 4 3 2" xfId="3588" xr:uid="{D9BDB7F6-01C4-43C2-8F22-6CB8087E3473}"/>
    <cellStyle name="Comma 40" xfId="38094" xr:uid="{ECCF6D70-0C49-4089-8E7B-A8CB0F5C53CF}"/>
    <cellStyle name="Comma 41" xfId="38096" xr:uid="{60F62B6E-2019-4D33-BD03-13C5FE29F076}"/>
    <cellStyle name="Comma 42" xfId="38098" xr:uid="{EEFED8D7-27EE-489F-84F4-27121D97896D}"/>
    <cellStyle name="Comma 43" xfId="38100" xr:uid="{A8B474BE-EEB6-4F63-ACA0-AB8F0C773F0C}"/>
    <cellStyle name="Comma 44" xfId="38102" xr:uid="{07C96E56-8305-4B45-8AD5-6A3417361CBD}"/>
    <cellStyle name="Comma 45" xfId="38104" xr:uid="{D5875E09-40A4-4BB5-BF6F-CAB134A03453}"/>
    <cellStyle name="Comma 46" xfId="38106" xr:uid="{637F2D2D-1688-486A-BD3A-72C6D0A1D286}"/>
    <cellStyle name="Comma 47" xfId="38108" xr:uid="{A9CA6D48-C780-43DF-9436-30C26E64E6D2}"/>
    <cellStyle name="Comma 48" xfId="38110" xr:uid="{6D920659-1B3B-41B4-A6F9-20BA2998D5A4}"/>
    <cellStyle name="Comma 49" xfId="38112" xr:uid="{4B0FD2C5-0EDD-4106-8084-42435D8B027C}"/>
    <cellStyle name="Comma 5" xfId="58" xr:uid="{CD831002-165C-4835-955C-C894BAC8AFD3}"/>
    <cellStyle name="Comma 5 2" xfId="3590" xr:uid="{087B64AE-DD65-4F86-84F5-5F015E0D5EC2}"/>
    <cellStyle name="Comma 5 3" xfId="3591" xr:uid="{FA8B7E8C-CF84-4E41-9CA8-6E0F2D40E92E}"/>
    <cellStyle name="Comma 5 4" xfId="3592" xr:uid="{3DF67FEB-A48E-4112-9C24-84C02C908DAE}"/>
    <cellStyle name="Comma 5 5" xfId="3589" xr:uid="{715CD3E1-1315-4265-B452-9E91DD09C350}"/>
    <cellStyle name="Comma 50" xfId="38114" xr:uid="{FF77C4D2-1D8A-41F5-BAD3-420D4296F1D7}"/>
    <cellStyle name="Comma 51" xfId="38116" xr:uid="{2A3A0552-17D0-4BFB-8CFA-D33DB52F6F1C}"/>
    <cellStyle name="Comma 52" xfId="38118" xr:uid="{A35D8E15-54B2-45ED-9148-ABD53CB64392}"/>
    <cellStyle name="Comma 53" xfId="38120" xr:uid="{FA88182B-D1C0-4C6F-8C7B-7C54BAE240F1}"/>
    <cellStyle name="Comma 54" xfId="38122" xr:uid="{D3CB1FA9-3E25-430A-AB33-35F384A4684A}"/>
    <cellStyle name="Comma 55" xfId="413" xr:uid="{4179A8BD-A758-46A4-B743-F4EB23C9A88E}"/>
    <cellStyle name="Comma 6" xfId="59" xr:uid="{7B496AF0-9593-4548-A1CD-8621AB35B905}"/>
    <cellStyle name="Comma 6 2" xfId="3594" xr:uid="{C695549D-8532-494F-B463-667C8B60BBFC}"/>
    <cellStyle name="Comma 6 3" xfId="3595" xr:uid="{369EB61F-D2BD-4BD2-A9F6-E557C61F65B7}"/>
    <cellStyle name="Comma 6 4" xfId="3596" xr:uid="{20ED4091-F138-466B-B0A5-4149B9AC7F2D}"/>
    <cellStyle name="Comma 6 5" xfId="3597" xr:uid="{8FB9792C-264C-417D-8FBA-DBCBB0F7AF74}"/>
    <cellStyle name="Comma 6 6" xfId="3598" xr:uid="{A68EC642-824A-4474-9610-B5289D724824}"/>
    <cellStyle name="Comma 6 7" xfId="3593" xr:uid="{2AAE68D7-B913-4A23-A243-8EC0EE5CD8CF}"/>
    <cellStyle name="Comma 7" xfId="60" xr:uid="{2F93F5AA-328A-4392-AB81-3D43397B2EF5}"/>
    <cellStyle name="Comma 7 2" xfId="3600" xr:uid="{E420F026-F2E8-48DF-B86A-4E54C683CEF3}"/>
    <cellStyle name="Comma 7 2 2" xfId="3601" xr:uid="{B99C4B27-8F5F-4EDC-91CB-AADFEEE6B263}"/>
    <cellStyle name="Comma 7 3" xfId="3602" xr:uid="{6EE9D943-E434-4236-A991-84F91F0EF9E4}"/>
    <cellStyle name="Comma 7 4" xfId="3603" xr:uid="{872CB0A2-6C57-4132-97CF-BB7533C9FEC0}"/>
    <cellStyle name="Comma 7 5" xfId="3604" xr:uid="{54D8D8B6-0A59-44EB-AED6-EE9061639F18}"/>
    <cellStyle name="Comma 7 6" xfId="3605" xr:uid="{FAADBD7D-AE57-4552-A70C-9E6255D256C8}"/>
    <cellStyle name="Comma 7 7" xfId="3599" xr:uid="{3DC838CF-8532-4117-8C09-03022B3B5E3D}"/>
    <cellStyle name="Comma 8" xfId="50" xr:uid="{55C43DD9-9771-42DC-A377-8F3E9D209B92}"/>
    <cellStyle name="Comma 8 2" xfId="3607" xr:uid="{4D456AF9-3004-4F11-BDD5-2D174FF571BE}"/>
    <cellStyle name="Comma 8 3" xfId="3608" xr:uid="{6A6A9508-59DF-4648-A226-5B79F3D57CC1}"/>
    <cellStyle name="Comma 8 4" xfId="3606" xr:uid="{25F80BE4-0F3E-4E5F-AF9D-C9E661859BE4}"/>
    <cellStyle name="Comma 9" xfId="378" xr:uid="{D3EA25EE-44B8-4157-81B3-8A8F2F70CB5F}"/>
    <cellStyle name="Comma 9 2" xfId="3609" xr:uid="{379A4F43-38FE-4373-AC56-C7A42D2EAE09}"/>
    <cellStyle name="Comma*" xfId="3610" xr:uid="{13AE9FDF-EA62-4BF3-9AB1-F77E63E82BCB}"/>
    <cellStyle name="Comma0" xfId="3611" xr:uid="{28034DD0-BE8B-4222-9F91-52C5A9B3637E}"/>
    <cellStyle name="Comma0 - Modelo1" xfId="3612" xr:uid="{4610663B-3673-4A99-BBCC-921893E6CA6C}"/>
    <cellStyle name="Comma0 - Style1" xfId="3613" xr:uid="{9C842229-469A-4FF2-9EB6-0F82B8875215}"/>
    <cellStyle name="Comma0 - Style2" xfId="3614" xr:uid="{98A48BA4-316C-4129-A6D7-6A0251E12433}"/>
    <cellStyle name="Comma0_% Change (PW)" xfId="3615" xr:uid="{C25DF6F0-A26E-47DA-910E-52C1D28DB5A7}"/>
    <cellStyle name="Comma1" xfId="3616" xr:uid="{47288EE5-9529-4FAD-8363-45931E2A48DC}"/>
    <cellStyle name="Comma1 - Modelo2" xfId="3617" xr:uid="{2153C310-4943-45E3-81DC-4DCBE853699C}"/>
    <cellStyle name="Comma1 - Style2" xfId="3618" xr:uid="{D7A0C356-A149-462E-AED8-A6D4798A75E9}"/>
    <cellStyle name="Comma1 2" xfId="3619" xr:uid="{C43B77D0-5285-4EA7-BDDF-E7F84425F20E}"/>
    <cellStyle name="Comma1 3" xfId="3620" xr:uid="{82D570B3-9B30-48CB-9858-62F40952A6CD}"/>
    <cellStyle name="Comma1 4" xfId="3621" xr:uid="{0E5B38B9-9601-4F3E-9E17-18C6B2FDA22E}"/>
    <cellStyle name="Comma2" xfId="3622" xr:uid="{BDE33332-8E96-49EC-892D-29028BCC5392}"/>
    <cellStyle name="Comma2 2" xfId="3623" xr:uid="{09FB1AF4-F14B-4477-8F67-EFC7CD67BB97}"/>
    <cellStyle name="Comma2 3" xfId="3624" xr:uid="{4E185C51-84C9-4768-9A99-5D44A3845B00}"/>
    <cellStyle name="Comma2 4" xfId="3625" xr:uid="{9CFDD25E-DB76-4B4F-85ED-DEFDC553455A}"/>
    <cellStyle name="Condition" xfId="3626" xr:uid="{ABD63491-AD5F-4159-9FF4-9E7D4FBCDA1A}"/>
    <cellStyle name="CondMandatory" xfId="3627" xr:uid="{A276B2E5-39EE-4DD0-AC8F-0DE026C8833A}"/>
    <cellStyle name="Constant" xfId="3628" xr:uid="{BF2F21DB-50D5-48A9-A78B-A6745D2ED5D5}"/>
    <cellStyle name="ConstantLbl_RP" xfId="3629" xr:uid="{7281F935-D1C4-4236-BF8B-E7759C47173E}"/>
    <cellStyle name="Content1" xfId="3630" xr:uid="{22EEB5B4-979F-4A43-8DF2-0D7D465BA390}"/>
    <cellStyle name="Content2" xfId="3631" xr:uid="{B053FB75-009D-4689-BD75-EF7422DE23FE}"/>
    <cellStyle name="Content3" xfId="3632" xr:uid="{FD3EAAEA-58B2-45E5-A137-0F30E28DE878}"/>
    <cellStyle name="Cover" xfId="3633" xr:uid="{A9F9DD4B-9DA0-4691-9F93-73439D2EAABE}"/>
    <cellStyle name="Cover 2" xfId="3634" xr:uid="{3A1CCF03-C13D-45DC-836C-497864A74E53}"/>
    <cellStyle name="Cover Date" xfId="3635" xr:uid="{032D0FE0-DEF9-4F21-A623-8C920D508863}"/>
    <cellStyle name="Cover Subtitle" xfId="3636" xr:uid="{71E23557-F2C0-42F5-B8AF-5E39322C6250}"/>
    <cellStyle name="Cover Title" xfId="3637" xr:uid="{1CFD9488-86FE-4956-8DE3-840DA44DEBD0}"/>
    <cellStyle name="Cur" xfId="3638" xr:uid="{2AB939B0-6934-4D28-83FD-CE756421B30D}"/>
    <cellStyle name="Cur 2" xfId="3639" xr:uid="{D73C7A9D-613C-4201-9E83-84639EF1EE9D}"/>
    <cellStyle name="Currency" xfId="359" builtinId="4"/>
    <cellStyle name="Currency [0] 2" xfId="3640" xr:uid="{C5E5CC6A-45DF-4FCB-A4E0-3DEFB4F9564E}"/>
    <cellStyle name="Currency 0" xfId="3641" xr:uid="{D66FDED9-3B6F-46C3-AD32-232E79DED30D}"/>
    <cellStyle name="Currency 13" xfId="3642" xr:uid="{AC27E73F-6932-4E05-92DC-C4D9E6D81727}"/>
    <cellStyle name="Currency 13 2" xfId="3643" xr:uid="{35F6DE68-0A50-4DB8-9EC5-3CF0C1F2A6C5}"/>
    <cellStyle name="Currency 13 2 2" xfId="3644" xr:uid="{1B6BA229-D70C-495F-B7E8-97F8539F7837}"/>
    <cellStyle name="Currency 13 3" xfId="3645" xr:uid="{29E5EEBB-B6EC-4B18-9BF6-C02A9D637D61}"/>
    <cellStyle name="Currency 13 4" xfId="3646" xr:uid="{59FAFBBA-3BAC-4123-9B47-62173F811552}"/>
    <cellStyle name="Currency 13 5" xfId="3647" xr:uid="{783E4C1C-54F7-48E1-9D15-38AFA1D297D4}"/>
    <cellStyle name="Currency 2" xfId="61" xr:uid="{DCAE0538-17EB-4B1C-B72E-8E0EFBB1C1DB}"/>
    <cellStyle name="Currency 2 2" xfId="3648" xr:uid="{81241B3C-343F-4F1B-9FED-9F788F4A472D}"/>
    <cellStyle name="Currency 2 2 2" xfId="3649" xr:uid="{D68E2600-A95A-4784-8722-5D919BA11F14}"/>
    <cellStyle name="Currency 2 3" xfId="3650" xr:uid="{5B9CB988-84FF-4931-97BA-488810B46EFC}"/>
    <cellStyle name="Currency 2 3 2" xfId="3651" xr:uid="{E7671FFB-CAD1-433E-83F4-E1612820AC02}"/>
    <cellStyle name="Currency 2 4" xfId="3652" xr:uid="{01A652E9-7351-4A85-91E8-91436844674C}"/>
    <cellStyle name="Currency 2 5" xfId="3653" xr:uid="{8B0D70E9-5AA4-4C31-8F07-83123BEA7A80}"/>
    <cellStyle name="Currency 2 6" xfId="3654" xr:uid="{D2C54591-A857-4D3E-B8F1-81DB1E1D3E49}"/>
    <cellStyle name="Currency 2 7" xfId="3655" xr:uid="{8C6E9D62-4B7D-4D03-8E62-C40D57C3D2F7}"/>
    <cellStyle name="Currency 2 8" xfId="3656" xr:uid="{98FB8CF0-EAA9-4ADE-9EE4-14567DFBA588}"/>
    <cellStyle name="Currency 2 9" xfId="3657" xr:uid="{37083C7F-4262-41B4-971A-39A4D2AE51E5}"/>
    <cellStyle name="Currency 2*" xfId="3658" xr:uid="{74FD2EDD-142D-4B18-8D74-E18E9D3A4F94}"/>
    <cellStyle name="Currency 2_% Change" xfId="3659" xr:uid="{08697BD0-FDFB-47DF-9FA8-1223C718B748}"/>
    <cellStyle name="Currency 3" xfId="3660" xr:uid="{318E4B47-381D-4B73-AEAB-937413D4A370}"/>
    <cellStyle name="Currency 3 2" xfId="3661" xr:uid="{253A41DD-C7DA-4A1D-8808-8EDF90F4208E}"/>
    <cellStyle name="Currency 3 3" xfId="3662" xr:uid="{A1109FF4-8A36-4F7D-B234-67A2D0A3F07F}"/>
    <cellStyle name="Currency 3*" xfId="3663" xr:uid="{AEC51133-08D2-4A97-A7E1-3C6B5EBE04F3}"/>
    <cellStyle name="Currency 4" xfId="3664" xr:uid="{EBD7FC42-382B-484F-AF48-87A4E4A158F3}"/>
    <cellStyle name="Currency 4 2" xfId="3665" xr:uid="{929370CA-8151-481F-9878-78464693DAA2}"/>
    <cellStyle name="Currency 5" xfId="3666" xr:uid="{BE59AEFA-C12D-48A6-84FB-241160205F5A}"/>
    <cellStyle name="Currency*" xfId="3667" xr:uid="{3F505A78-8455-4366-A562-F4CE89B46F7D}"/>
    <cellStyle name="Currency0" xfId="3668" xr:uid="{1DCAA036-04D1-422F-B149-56C68F4B6F3D}"/>
    <cellStyle name="Currency-Denomination" xfId="3669" xr:uid="{2130ABD8-94CC-4E82-9CEC-B86F56044EF4}"/>
    <cellStyle name="D - bottom border" xfId="3670" xr:uid="{0982C1B7-B15E-4777-A026-9FEFC4DB97DF}"/>
    <cellStyle name="D - headers" xfId="3671" xr:uid="{16A1FA77-CFF1-4F86-9108-F6720AA133F0}"/>
    <cellStyle name="D - normal" xfId="3672" xr:uid="{0C98A721-A8E1-4B92-9BA2-D29C9D823715}"/>
    <cellStyle name="Data" xfId="3673" xr:uid="{F6134746-7FB5-4C42-836F-2078751ACD39}"/>
    <cellStyle name="DATA Amount" xfId="3674" xr:uid="{E5C92B34-D28A-4F62-BED2-720A96A6B9B9}"/>
    <cellStyle name="DATA Amount [1]" xfId="3675" xr:uid="{9FC4597C-6A9B-41CC-91B6-A53F09DCC327}"/>
    <cellStyle name="DATA Amount [1] 10" xfId="3676" xr:uid="{AC3B4E8E-4592-4DF8-B73E-FB2AC16A688A}"/>
    <cellStyle name="DATA Amount [1] 11" xfId="3677" xr:uid="{E66F0FAD-95DA-4C35-A1B9-55D0FF900264}"/>
    <cellStyle name="DATA Amount [1] 2" xfId="3678" xr:uid="{E7B1BDF0-2BB2-4863-925D-646E058E6960}"/>
    <cellStyle name="DATA Amount [1] 3" xfId="3679" xr:uid="{F2586885-BAE8-47A5-917C-0F9128584260}"/>
    <cellStyle name="DATA Amount [1] 4" xfId="3680" xr:uid="{0E0B1E84-859D-4527-B724-EDB7EDDEE1DE}"/>
    <cellStyle name="DATA Amount [1] 5" xfId="3681" xr:uid="{DBDD702B-BE81-42BA-85CB-0DE6CA05E10C}"/>
    <cellStyle name="DATA Amount [1] 6" xfId="3682" xr:uid="{54FC58DA-ACBF-4A34-BBEC-71C001075127}"/>
    <cellStyle name="DATA Amount [1] 7" xfId="3683" xr:uid="{1238B5B9-A35D-4B86-BAC7-CFDAB4A4D3C9}"/>
    <cellStyle name="DATA Amount [1] 8" xfId="3684" xr:uid="{AE318FE5-0F70-4A29-B1E5-287665AC92C1}"/>
    <cellStyle name="DATA Amount [1] 9" xfId="3685" xr:uid="{A450FF14-2DBB-4536-9858-6E5FBC44FD78}"/>
    <cellStyle name="DATA Amount [2]" xfId="3686" xr:uid="{19A0B3D1-CC7D-4F61-A746-92A2D0C5C00D}"/>
    <cellStyle name="DATA Amount [2] 10" xfId="3687" xr:uid="{E3B9C701-2979-4852-A687-80B63DC0A650}"/>
    <cellStyle name="DATA Amount [2] 11" xfId="3688" xr:uid="{01FEC4B6-609C-48BA-8209-9FDBB57DC5A2}"/>
    <cellStyle name="DATA Amount [2] 2" xfId="3689" xr:uid="{B3F289EA-1285-42A9-9FA7-4996157D3963}"/>
    <cellStyle name="DATA Amount [2] 3" xfId="3690" xr:uid="{552B03CB-8781-46EB-8C16-DEA61369B690}"/>
    <cellStyle name="DATA Amount [2] 4" xfId="3691" xr:uid="{5B26CE26-880D-435A-865B-9568B6AF16AF}"/>
    <cellStyle name="DATA Amount [2] 5" xfId="3692" xr:uid="{D89B9074-E18E-4265-9951-0A86B035311A}"/>
    <cellStyle name="DATA Amount [2] 6" xfId="3693" xr:uid="{657B45DF-2449-4FEF-8F70-19807FD29656}"/>
    <cellStyle name="DATA Amount [2] 7" xfId="3694" xr:uid="{95743535-F1F6-4A6A-A7B5-BC14AFA04FA7}"/>
    <cellStyle name="DATA Amount [2] 8" xfId="3695" xr:uid="{2338F4B3-4983-4622-ACEE-D9A8ED308EAC}"/>
    <cellStyle name="DATA Amount [2] 9" xfId="3696" xr:uid="{CAEF6F20-0646-4D14-93FE-16D7E9FA3FFB}"/>
    <cellStyle name="DATA Amount 10" xfId="3697" xr:uid="{DC31D669-0BF7-47EF-813B-7A01B14F7340}"/>
    <cellStyle name="DATA Amount 11" xfId="3698" xr:uid="{12D5D2AA-6C38-47E9-B505-B7BF673B5446}"/>
    <cellStyle name="DATA Amount 12" xfId="3699" xr:uid="{C63A355B-3B4D-42AC-9CE9-05D3F651332A}"/>
    <cellStyle name="DATA Amount 13" xfId="3700" xr:uid="{AD471342-A25F-41B2-B76D-07D668F96084}"/>
    <cellStyle name="DATA Amount 2" xfId="3701" xr:uid="{DF6FABE9-326E-4336-8ADC-EB3A39E186BC}"/>
    <cellStyle name="DATA Amount 2 2" xfId="3702" xr:uid="{BA1DE7E3-3869-4898-A803-A38C1CB8C060}"/>
    <cellStyle name="DATA Amount 2 2 7" xfId="3703" xr:uid="{3822DEBB-0940-4704-BDDA-A86AE7FF11FE}"/>
    <cellStyle name="DATA Amount 2 2 7 2" xfId="3704" xr:uid="{BBECF16D-CB44-4644-A630-C0ED78E8E0D1}"/>
    <cellStyle name="DATA Amount 2 3" xfId="3705" xr:uid="{573C17FD-948D-4D50-B7F2-8B6ADA19E9E8}"/>
    <cellStyle name="DATA Amount 2 4" xfId="3706" xr:uid="{10617DF1-AF4B-435B-AB53-518DAABA9CD6}"/>
    <cellStyle name="DATA Amount 3" xfId="3707" xr:uid="{4D270C89-8F29-491F-B648-A8E115551A8E}"/>
    <cellStyle name="DATA Amount 4" xfId="3708" xr:uid="{9A710858-3D7A-4EAC-98AE-F18D3597C9E4}"/>
    <cellStyle name="DATA Amount 5" xfId="3709" xr:uid="{C30F9D92-339B-4E26-B7BB-DC36786C7AD8}"/>
    <cellStyle name="DATA Amount 6" xfId="3710" xr:uid="{5785ABBD-22BA-4336-A375-12E3131FC062}"/>
    <cellStyle name="DATA Amount 7" xfId="3711" xr:uid="{9B5AC15C-384F-46F1-B9BA-EB355A3606F2}"/>
    <cellStyle name="DATA Amount 8" xfId="3712" xr:uid="{38680E37-4666-4EAC-BDE8-FE77F109DADF}"/>
    <cellStyle name="DATA Amount 9" xfId="3713" xr:uid="{91F96511-D601-4562-A162-236F7C86E328}"/>
    <cellStyle name="DATA Amount_Best Practice Model Disclaimer v1.1" xfId="3714" xr:uid="{2877D983-F9AB-4ED1-A37E-CFB14D18E14D}"/>
    <cellStyle name="DATA Currency" xfId="3715" xr:uid="{FC4DEC3A-59EF-423C-BABA-6CE0C1BC4E11}"/>
    <cellStyle name="DATA Currency [1]" xfId="3716" xr:uid="{8E16C8FE-4ED1-4218-9442-76A207F0164C}"/>
    <cellStyle name="DATA Currency [1] 10" xfId="3717" xr:uid="{4CD09E5F-2536-4489-BA06-ED50CDA591CF}"/>
    <cellStyle name="DATA Currency [1] 11" xfId="3718" xr:uid="{BA465F4A-3B55-4B48-A16A-9DEB510F31BD}"/>
    <cellStyle name="DATA Currency [1] 2" xfId="3719" xr:uid="{A4BCF33C-7D63-4794-B145-438EFAC579A1}"/>
    <cellStyle name="DATA Currency [1] 3" xfId="3720" xr:uid="{6A4B7EAF-4709-4260-8553-E00A169AFBEE}"/>
    <cellStyle name="DATA Currency [1] 4" xfId="3721" xr:uid="{FF5DA867-898F-41FA-BDC7-468DD5A08237}"/>
    <cellStyle name="DATA Currency [1] 5" xfId="3722" xr:uid="{F01E44B3-850C-498B-B40D-083A04B72BC1}"/>
    <cellStyle name="DATA Currency [1] 6" xfId="3723" xr:uid="{B24F3CA6-CFCD-46B9-8518-5A6BF491B460}"/>
    <cellStyle name="DATA Currency [1] 7" xfId="3724" xr:uid="{3622E62F-7D8B-4752-96B2-7223B536A734}"/>
    <cellStyle name="DATA Currency [1] 8" xfId="3725" xr:uid="{895E4ABC-EADA-44BC-B1D8-9171D98BA0EE}"/>
    <cellStyle name="DATA Currency [1] 9" xfId="3726" xr:uid="{8C656B42-7A4C-4C19-8D8C-7E23F3715917}"/>
    <cellStyle name="DATA Currency [2]" xfId="3727" xr:uid="{07F4D2FC-7EC4-4A0F-A569-7A99416368D7}"/>
    <cellStyle name="DATA Currency [2] 10" xfId="3728" xr:uid="{7E88F6E7-4F3D-4E24-B073-21894DD4D206}"/>
    <cellStyle name="DATA Currency [2] 11" xfId="3729" xr:uid="{4FD90A41-95F8-418A-85E1-BA45BD79EAC9}"/>
    <cellStyle name="DATA Currency [2] 2" xfId="3730" xr:uid="{A4C75939-0890-4DB9-8424-2018A4283D05}"/>
    <cellStyle name="DATA Currency [2] 3" xfId="3731" xr:uid="{3176A948-AE6F-4437-927E-EF88F9CC473C}"/>
    <cellStyle name="DATA Currency [2] 4" xfId="3732" xr:uid="{05462699-12E5-40B1-915F-F83F04853332}"/>
    <cellStyle name="DATA Currency [2] 5" xfId="3733" xr:uid="{3B5AD93A-7885-4415-A3A1-4B575DAA462C}"/>
    <cellStyle name="DATA Currency [2] 6" xfId="3734" xr:uid="{F53898BB-72C4-4B05-8A08-EABD1DA1B61B}"/>
    <cellStyle name="DATA Currency [2] 7" xfId="3735" xr:uid="{79B3F192-0D8B-4933-8241-C809E144DE28}"/>
    <cellStyle name="DATA Currency [2] 8" xfId="3736" xr:uid="{FAA538C9-24A1-4D20-8AD5-8F73C90AD671}"/>
    <cellStyle name="DATA Currency [2] 9" xfId="3737" xr:uid="{653A1ADA-64B4-480F-ACB6-75D427CDB8AD}"/>
    <cellStyle name="DATA Currency 10" xfId="3738" xr:uid="{61DEBEBD-837C-4ED9-8A39-5029E67A3E10}"/>
    <cellStyle name="DATA Currency 11" xfId="3739" xr:uid="{08DE35A3-165A-4834-AC35-FA13B1329BB8}"/>
    <cellStyle name="DATA Currency 12" xfId="3740" xr:uid="{36032700-FFF4-4F0B-BEA3-3597F5FB5AAA}"/>
    <cellStyle name="DATA Currency 13" xfId="3741" xr:uid="{EBCEA223-D626-4E51-B924-5AC1D5CA9DF6}"/>
    <cellStyle name="DATA Currency 2" xfId="3742" xr:uid="{26C67598-6B73-4196-89DE-D8D1D1B79014}"/>
    <cellStyle name="DATA Currency 3" xfId="3743" xr:uid="{669387F6-39BE-47D6-B253-C198E73E8899}"/>
    <cellStyle name="DATA Currency 4" xfId="3744" xr:uid="{F1A46890-B55B-4F01-BC57-7617369B4EEC}"/>
    <cellStyle name="DATA Currency 5" xfId="3745" xr:uid="{3FD4F208-D8E0-483D-9500-CA87FB86BC50}"/>
    <cellStyle name="DATA Currency 6" xfId="3746" xr:uid="{EA536757-B2FD-4BD6-97D1-FFD31F3FB9B7}"/>
    <cellStyle name="DATA Currency 7" xfId="3747" xr:uid="{36FE9D8F-768A-4C6A-9089-30A4589C0902}"/>
    <cellStyle name="DATA Currency 8" xfId="3748" xr:uid="{0EA3AAFA-1688-497F-8F74-C9912E5A7C98}"/>
    <cellStyle name="DATA Currency 9" xfId="3749" xr:uid="{CC5AB9F7-9986-4DB7-86F8-00E6F7D1B972}"/>
    <cellStyle name="DATA Currency_Best Practice Model Disclaimer v1.1" xfId="3750" xr:uid="{FB8AD0E2-D192-451D-B55B-CA338AC903C5}"/>
    <cellStyle name="DATA Date Long" xfId="3751" xr:uid="{D04997D8-BA8D-4C19-B225-56146F43D86C}"/>
    <cellStyle name="DATA Date Long 10" xfId="3752" xr:uid="{358E1374-CC20-411B-B021-D18E0783728F}"/>
    <cellStyle name="DATA Date Long 11" xfId="3753" xr:uid="{13452252-481E-4AA1-B4C4-5A4D78F5E66E}"/>
    <cellStyle name="DATA Date Long 2" xfId="3754" xr:uid="{3DD700DE-8C99-48A7-9F08-ED5CC11FAFB4}"/>
    <cellStyle name="DATA Date Long 3" xfId="3755" xr:uid="{1BDED92C-A1EC-465A-B9C6-61A94D99FFED}"/>
    <cellStyle name="DATA Date Long 4" xfId="3756" xr:uid="{542C388E-C043-458B-9EBB-3932FD90FC8E}"/>
    <cellStyle name="DATA Date Long 5" xfId="3757" xr:uid="{31654640-E43B-4134-8D96-03A5168E2887}"/>
    <cellStyle name="DATA Date Long 6" xfId="3758" xr:uid="{9AE51357-470D-40D0-A52D-AE606502F5DA}"/>
    <cellStyle name="DATA Date Long 7" xfId="3759" xr:uid="{A4D7022C-53FC-4952-8117-35D66BB9FED8}"/>
    <cellStyle name="DATA Date Long 8" xfId="3760" xr:uid="{67888135-59BF-49FF-92EF-4356461D5BEF}"/>
    <cellStyle name="DATA Date Long 9" xfId="3761" xr:uid="{0B31C4F1-F7D4-4231-9B33-FA299D3F76C6}"/>
    <cellStyle name="DATA Date Short" xfId="3762" xr:uid="{F1F7E886-E87B-42A7-BB74-B019FC7E62C0}"/>
    <cellStyle name="DATA Date Short 10" xfId="3763" xr:uid="{6A0616C1-D0CA-4B0E-8E29-721E86777E3C}"/>
    <cellStyle name="DATA Date Short 11" xfId="3764" xr:uid="{70E4F285-3B98-4B22-8328-0E1A911330F4}"/>
    <cellStyle name="DATA Date Short 2" xfId="3765" xr:uid="{27B75332-68FC-4FA4-835D-75A9F349CD8B}"/>
    <cellStyle name="DATA Date Short 3" xfId="3766" xr:uid="{00EBAD7A-CDE8-4173-8B3D-A1B5E8B667CF}"/>
    <cellStyle name="DATA Date Short 4" xfId="3767" xr:uid="{71058D4B-9161-47A1-A324-3F4ED9B1CEE3}"/>
    <cellStyle name="DATA Date Short 5" xfId="3768" xr:uid="{91FC5DC9-7037-41CA-81C2-F17EFA315D00}"/>
    <cellStyle name="DATA Date Short 6" xfId="3769" xr:uid="{5957BC86-EF40-4526-AE07-27DC728160AA}"/>
    <cellStyle name="DATA Date Short 7" xfId="3770" xr:uid="{32AEE663-92A7-4432-8AF4-094807EDA169}"/>
    <cellStyle name="DATA Date Short 8" xfId="3771" xr:uid="{34623A4D-D343-48E9-9279-5D264A8D1BE2}"/>
    <cellStyle name="DATA Date Short 9" xfId="3772" xr:uid="{E586B60F-5F7E-4513-8999-960500C24D65}"/>
    <cellStyle name="DATA List" xfId="3773" xr:uid="{FB0E5646-ED8E-4C8D-95C8-452C55A479E5}"/>
    <cellStyle name="DATA List 10" xfId="3774" xr:uid="{477DE26A-F0B1-4858-87D7-0A9C574A546A}"/>
    <cellStyle name="DATA List 11" xfId="3775" xr:uid="{A9256F81-142E-4D3A-BB2C-C0A7CB005D99}"/>
    <cellStyle name="DATA List 12" xfId="3776" xr:uid="{6773BC10-4181-40E0-9D5E-B88EA9599A5C}"/>
    <cellStyle name="DATA List 13" xfId="3777" xr:uid="{F924D204-97FF-44A9-945D-6E8875E8A09D}"/>
    <cellStyle name="DATA List 2" xfId="3778" xr:uid="{1FA81766-0FF6-4090-9429-904D2496DFDE}"/>
    <cellStyle name="DATA List 2 12" xfId="3779" xr:uid="{D9FB6E16-30D5-4327-B2D6-4800A681DAA5}"/>
    <cellStyle name="DATA List 2 2" xfId="3780" xr:uid="{B81BEBEF-1031-4AA3-8CAC-C586F99AD361}"/>
    <cellStyle name="DATA List 2 3" xfId="3781" xr:uid="{2B8AC1D5-8621-427F-AF48-D4518904EB84}"/>
    <cellStyle name="DATA List 2 4" xfId="3782" xr:uid="{3C9750BD-3270-4244-B7F6-660846BD67BC}"/>
    <cellStyle name="DATA List 2 4 2" xfId="3783" xr:uid="{E2D57784-A8C6-47F0-BE9F-9FAB64EDD293}"/>
    <cellStyle name="DATA List 2 4 3" xfId="3784" xr:uid="{C788505A-7528-4906-9F68-AF91047053AA}"/>
    <cellStyle name="DATA List 2 5" xfId="3785" xr:uid="{A9039852-5F17-45F1-9B1E-D3F0E6A550EB}"/>
    <cellStyle name="DATA List 3" xfId="3786" xr:uid="{87AE8248-EEDE-4606-A73C-25A028A516D9}"/>
    <cellStyle name="DATA List 4" xfId="3787" xr:uid="{87C47843-91B7-442B-9FDF-1A9B1BE290C6}"/>
    <cellStyle name="DATA List 5" xfId="3788" xr:uid="{C4046D06-BCF7-4024-901C-1A73448585AA}"/>
    <cellStyle name="DATA List 6" xfId="3789" xr:uid="{22097B14-7A2F-4F3E-BAF8-2B336281F94C}"/>
    <cellStyle name="DATA List 7" xfId="3790" xr:uid="{423C588C-6A52-4875-A600-85F9012D164D}"/>
    <cellStyle name="DATA List 8" xfId="3791" xr:uid="{359A1861-4671-42F3-B415-DB28E43C357C}"/>
    <cellStyle name="DATA List 9" xfId="3792" xr:uid="{92693764-4747-4CF2-9420-862DA3B9818C}"/>
    <cellStyle name="DATA Memo" xfId="3793" xr:uid="{802B7096-AB40-43AE-BDA1-826451D87F8E}"/>
    <cellStyle name="DATA Memo 10" xfId="3794" xr:uid="{5C2EE385-C92D-4C56-B733-5C1FB9107160}"/>
    <cellStyle name="DATA Memo 2" xfId="3795" xr:uid="{B246E2EB-A2FA-4864-B351-A2F666664D60}"/>
    <cellStyle name="DATA Memo 3" xfId="3796" xr:uid="{D6FF294C-244E-49FC-94DF-879B99A20EF5}"/>
    <cellStyle name="DATA Memo 4" xfId="3797" xr:uid="{03516FBB-7B23-4A41-89CC-08B1696FA09D}"/>
    <cellStyle name="DATA Memo 5" xfId="3798" xr:uid="{FE790852-D33F-4A9C-9830-FAAF7CBFEDC5}"/>
    <cellStyle name="DATA Memo 6" xfId="3799" xr:uid="{D11A1EDD-FBFA-47E6-AD13-794FE16C5B91}"/>
    <cellStyle name="DATA Memo 7" xfId="3800" xr:uid="{74671D5E-D0B1-4B94-B271-9A51FBEC305E}"/>
    <cellStyle name="DATA Memo 8" xfId="3801" xr:uid="{0A6C727C-BC77-4C3D-B58C-8BCF1DD861B5}"/>
    <cellStyle name="DATA Memo 9" xfId="3802" xr:uid="{0CD784B2-D599-4B1B-A270-B0C2590ADBB3}"/>
    <cellStyle name="DATA Percent" xfId="3803" xr:uid="{DABCCDCE-2646-4EC4-AD71-7EA0E7A29C3F}"/>
    <cellStyle name="DATA Percent [1]" xfId="3804" xr:uid="{25E638A6-B7E2-401A-8429-71152B5A54F6}"/>
    <cellStyle name="DATA Percent [1] 10" xfId="3805" xr:uid="{7E345E1B-E527-4D9E-BFCC-B35309BEC6F2}"/>
    <cellStyle name="DATA Percent [1] 11" xfId="3806" xr:uid="{D6DAAF7E-92AD-49D3-B3D0-ECB235E728F3}"/>
    <cellStyle name="DATA Percent [1] 2" xfId="3807" xr:uid="{76F4E3BD-569E-4C6B-B61F-082A6AEC64CD}"/>
    <cellStyle name="DATA Percent [1] 3" xfId="3808" xr:uid="{3637AAB6-80CC-4857-9D74-D24718CAE1ED}"/>
    <cellStyle name="DATA Percent [1] 4" xfId="3809" xr:uid="{DDDAD3DE-8695-4781-B9D3-A28FD35167C6}"/>
    <cellStyle name="DATA Percent [1] 5" xfId="3810" xr:uid="{1A215817-B035-4FEA-B9ED-0D0F941B6024}"/>
    <cellStyle name="DATA Percent [1] 6" xfId="3811" xr:uid="{212D0169-4C4C-4FC7-8270-25410D68335A}"/>
    <cellStyle name="DATA Percent [1] 7" xfId="3812" xr:uid="{C5D48F44-9F36-4187-B38C-4FC997BE6E7D}"/>
    <cellStyle name="DATA Percent [1] 8" xfId="3813" xr:uid="{CC0F5A70-8452-49F0-A51E-E9B4EB5E0ACC}"/>
    <cellStyle name="DATA Percent [1] 9" xfId="3814" xr:uid="{E2AFE5CD-44D8-4A47-9739-2E2B908A4514}"/>
    <cellStyle name="DATA Percent [2]" xfId="3815" xr:uid="{217EFFD0-A477-48F5-B7A3-B40E0D23F1DD}"/>
    <cellStyle name="DATA Percent [2] 10" xfId="3816" xr:uid="{C6D8837F-E1E5-4108-B4B6-1EE3587216DC}"/>
    <cellStyle name="DATA Percent [2] 11" xfId="3817" xr:uid="{680B58CE-9823-4AF0-AE81-08F5E503DCB2}"/>
    <cellStyle name="DATA Percent [2] 2" xfId="3818" xr:uid="{5D62E380-1C1E-469F-A70E-445FFB355A37}"/>
    <cellStyle name="DATA Percent [2] 3" xfId="3819" xr:uid="{4AFDFC6E-85F4-469A-960F-75CCDF031B7F}"/>
    <cellStyle name="DATA Percent [2] 4" xfId="3820" xr:uid="{96099993-2D2B-484F-9606-E4467B05D98B}"/>
    <cellStyle name="DATA Percent [2] 5" xfId="3821" xr:uid="{419F9B5C-345B-4E1F-AA28-AB9CBCF1C62E}"/>
    <cellStyle name="DATA Percent [2] 6" xfId="3822" xr:uid="{4DFA9780-C3E5-4DB2-B6D0-B261D8FBAA0C}"/>
    <cellStyle name="DATA Percent [2] 7" xfId="3823" xr:uid="{559DFB2F-C2A9-4604-B7B0-BAD4B4873BBA}"/>
    <cellStyle name="DATA Percent [2] 8" xfId="3824" xr:uid="{35270B41-234A-4FB8-A405-3391948A8027}"/>
    <cellStyle name="DATA Percent [2] 9" xfId="3825" xr:uid="{689B903B-C1C7-4E60-8070-A698EB88F88F}"/>
    <cellStyle name="DATA Percent 10" xfId="3826" xr:uid="{9CA5963A-4E25-4491-A121-1DBDA35907C5}"/>
    <cellStyle name="DATA Percent 11" xfId="3827" xr:uid="{76A81DC6-7903-4F32-9001-D7FD2537358C}"/>
    <cellStyle name="DATA Percent 12" xfId="3828" xr:uid="{148F2467-DDF4-468E-B02C-FF8200EF169E}"/>
    <cellStyle name="DATA Percent 13" xfId="3829" xr:uid="{D668B9E5-5C68-4E38-A636-5C88424ABEBF}"/>
    <cellStyle name="DATA Percent 2" xfId="3830" xr:uid="{B5C513FC-BDF1-4A6B-8213-1F03A0202806}"/>
    <cellStyle name="DATA Percent 2 2" xfId="3831" xr:uid="{630F7787-A204-4C81-8B22-34551ADD44BF}"/>
    <cellStyle name="DATA Percent 2 2 7" xfId="3832" xr:uid="{8728AC72-466C-40BA-81B5-96F8395416A2}"/>
    <cellStyle name="DATA Percent 2 2 7 2" xfId="3833" xr:uid="{FC4E2B53-DB4A-44CC-9C53-8FF45E16AB1B}"/>
    <cellStyle name="DATA Percent 2 3" xfId="3834" xr:uid="{D749C1C3-69A7-49F4-9934-7A41D31F4A8C}"/>
    <cellStyle name="DATA Percent 2 4" xfId="3835" xr:uid="{2F1A6331-E01C-4241-91F5-18179A2C9CAB}"/>
    <cellStyle name="DATA Percent 3" xfId="3836" xr:uid="{F940AC94-0191-4841-A6DC-EEB1499D6F8E}"/>
    <cellStyle name="DATA Percent 4" xfId="3837" xr:uid="{18868BCD-1267-407F-B872-1DBAF6695E52}"/>
    <cellStyle name="DATA Percent 44" xfId="3838" xr:uid="{0F227116-D5D4-4714-9EAE-EEB610CB5503}"/>
    <cellStyle name="DATA Percent 44 3" xfId="3839" xr:uid="{23049E01-04C6-4E3E-8502-D84D660A065B}"/>
    <cellStyle name="DATA Percent 45" xfId="3840" xr:uid="{DB3E900A-47CE-449A-9C90-AA80D800AAAE}"/>
    <cellStyle name="DATA Percent 45 3" xfId="3841" xr:uid="{F52DB5FB-6644-4660-9670-FA6F4681BBA0}"/>
    <cellStyle name="DATA Percent 46" xfId="3842" xr:uid="{F10AEBEF-2656-495D-87DA-FA0938DC64A2}"/>
    <cellStyle name="DATA Percent 46 3" xfId="3843" xr:uid="{7C997704-A3B5-41EB-91B7-F8D23619ECA1}"/>
    <cellStyle name="DATA Percent 5" xfId="3844" xr:uid="{8CF6C366-C956-422C-90B7-F32E24CB039B}"/>
    <cellStyle name="DATA Percent 6" xfId="3845" xr:uid="{03ED3400-9E17-4147-919E-94C3697D4481}"/>
    <cellStyle name="DATA Percent 7" xfId="3846" xr:uid="{F7738F7D-1C91-4D97-A8B8-C93865FD4BDC}"/>
    <cellStyle name="DATA Percent 8" xfId="3847" xr:uid="{63F72A9A-9905-4B94-A908-1094F4BC767F}"/>
    <cellStyle name="DATA Percent 9" xfId="3848" xr:uid="{5F9A66CD-DF57-4FFF-866A-2A479C5CAA93}"/>
    <cellStyle name="DATA Percent_Best Practice Model Disclaimer v1.1" xfId="3849" xr:uid="{3FF7E6C4-68E8-4D4C-9207-6B62B7EA0A67}"/>
    <cellStyle name="DATA Text" xfId="3850" xr:uid="{6853189C-94A8-49BF-874F-191551079A77}"/>
    <cellStyle name="DATA Text 10" xfId="3851" xr:uid="{E89B3187-AF6A-4572-B86C-B9DD9DAEE65D}"/>
    <cellStyle name="DATA Text 11" xfId="3852" xr:uid="{F196DD4B-BE07-4D33-8734-0944EB8F263B}"/>
    <cellStyle name="DATA Text 2" xfId="3853" xr:uid="{CF17CB85-701B-4887-AD67-B58936CE7AED}"/>
    <cellStyle name="DATA Text 3" xfId="3854" xr:uid="{A5BE8EBF-9AE7-40CC-A9F9-5933EAE636B0}"/>
    <cellStyle name="DATA Text 4" xfId="3855" xr:uid="{1CA331BC-A64D-450F-AF6C-33AA160F6B49}"/>
    <cellStyle name="DATA Text 5" xfId="3856" xr:uid="{D8A3C9F6-6722-445C-96B1-79CCF5988750}"/>
    <cellStyle name="DATA Text 6" xfId="3857" xr:uid="{4C9B6C31-8453-4D4B-A5F6-D5139E3ADD7C}"/>
    <cellStyle name="DATA Text 7" xfId="3858" xr:uid="{AB4E6C17-FA64-4C20-A1CE-2FC6CB310BBF}"/>
    <cellStyle name="DATA Text 8" xfId="3859" xr:uid="{86A50F66-F37A-4227-A5DE-2AB83261BD98}"/>
    <cellStyle name="DATA Text 9" xfId="3860" xr:uid="{C6385228-20F4-4032-9310-533B8131976B}"/>
    <cellStyle name="DATA Version" xfId="3861" xr:uid="{D1791833-9D5E-462C-8CB4-3B7762485AB9}"/>
    <cellStyle name="DATA Version 10" xfId="3862" xr:uid="{905B2F6A-8067-4393-A8AB-0CC87FAE49F6}"/>
    <cellStyle name="DATA Version 2" xfId="3863" xr:uid="{3C317D0E-04BA-4430-8ACF-D33F539CA226}"/>
    <cellStyle name="DATA Version 3" xfId="3864" xr:uid="{727412D8-06F8-4D8B-9556-63F188B8E610}"/>
    <cellStyle name="DATA Version 4" xfId="3865" xr:uid="{5516BD53-702A-45B6-A1E2-8E49DE7E96DA}"/>
    <cellStyle name="DATA Version 5" xfId="3866" xr:uid="{55255804-28D9-45F8-AB1D-4C8F37ECDBF8}"/>
    <cellStyle name="DATA Version 6" xfId="3867" xr:uid="{EF4C420D-BE00-4A27-ADA4-608E77A3F740}"/>
    <cellStyle name="DATA Version 7" xfId="3868" xr:uid="{66EA28F7-2994-4B49-ACE6-3A0A99D496C6}"/>
    <cellStyle name="DATA Version 8" xfId="3869" xr:uid="{040B6127-47F0-4B79-851A-F13CCA51DEB3}"/>
    <cellStyle name="DATA Version 9" xfId="3870" xr:uid="{63D2B564-2F0E-4AD9-B45F-9019D87F4669}"/>
    <cellStyle name="DATA_Amount" xfId="3871" xr:uid="{EB3C3670-2637-48FE-8C05-4CA286A716A3}"/>
    <cellStyle name="Date" xfId="3872" xr:uid="{EBA27057-DE4C-4A4C-851B-255E203562FE}"/>
    <cellStyle name="Date 2" xfId="3873" xr:uid="{41AD5CEA-A253-4461-B65F-3490554C0739}"/>
    <cellStyle name="Date Aligned" xfId="3874" xr:uid="{262C89F4-9A23-4216-8B32-14823E465B72}"/>
    <cellStyle name="Date Aligned*" xfId="3875" xr:uid="{01D27FCC-5695-4CEA-8C65-959EC1E877CD}"/>
    <cellStyle name="Date dd-mmm" xfId="3876" xr:uid="{C4A4B5A1-3BB9-4F22-A76B-72B406D97F79}"/>
    <cellStyle name="Date dd-mmm-yy" xfId="3877" xr:uid="{83568B96-A46E-4557-BAF2-077F58475FF8}"/>
    <cellStyle name="Date mmm-yy" xfId="3878" xr:uid="{147F23F6-4D62-429B-8011-E143A058C3B0}"/>
    <cellStyle name="Date_Ch4 v2" xfId="3879" xr:uid="{E5B1BD03-6968-4377-8161-E8613FB1CCC4}"/>
    <cellStyle name="DateJL" xfId="3880" xr:uid="{502BCE32-B141-43ED-AF0C-B0C87FEED1AF}"/>
    <cellStyle name="DateJL 2" xfId="3881" xr:uid="{047451A2-7AB1-4359-AA84-9A99CC8965B0}"/>
    <cellStyle name="DateJL 2 2" xfId="3882" xr:uid="{0F4252F7-8A43-48D2-B353-61084E143480}"/>
    <cellStyle name="DateJL 2 3" xfId="3883" xr:uid="{61708CCB-7ED8-4F51-BBC1-0F678D2E71BC}"/>
    <cellStyle name="DateJL 2 4" xfId="3884" xr:uid="{4BDECA4D-ECFC-4390-9D18-7CED613350D9}"/>
    <cellStyle name="DateJL 2 5" xfId="3885" xr:uid="{5AC74DB8-93F7-4801-ABA4-2F882A882DE0}"/>
    <cellStyle name="DateJL 3" xfId="3886" xr:uid="{BE57CBF8-3951-4679-93E8-51E73C940E67}"/>
    <cellStyle name="DateJL 4" xfId="3887" xr:uid="{9350CB60-02E9-4318-9570-7F647820CFB6}"/>
    <cellStyle name="DateJL 5" xfId="3888" xr:uid="{BCEBA78E-4BFE-4AE9-8049-7AEADAE95793}"/>
    <cellStyle name="DateJL 6" xfId="3889" xr:uid="{15F13A76-04ED-4006-A701-AC4616285AB9}"/>
    <cellStyle name="DateJL 7" xfId="3890" xr:uid="{C1020726-2C1F-4629-9943-B7E61B47A303}"/>
    <cellStyle name="DateJL 8" xfId="3891" xr:uid="{95A2AC3F-83EC-458E-ACA1-471F82ABFCD5}"/>
    <cellStyle name="DateTime" xfId="3892" xr:uid="{45944525-713C-471F-B5A4-6E77812B3F45}"/>
    <cellStyle name="Dec_EA" xfId="3893" xr:uid="{4EF4ADB0-3AC2-4B36-A3A5-99470E93DF34}"/>
    <cellStyle name="Decimal nos" xfId="3894" xr:uid="{BA65F212-D929-4412-B7DF-E690F044C866}"/>
    <cellStyle name="Decimal nos 2" xfId="3895" xr:uid="{D2FD571A-519E-4C03-9990-C4B496E97FC9}"/>
    <cellStyle name="Decimal nos 2 2" xfId="3896" xr:uid="{9C9344E0-6F7D-4929-AC5E-961D37918B32}"/>
    <cellStyle name="Decimal nos 2 3" xfId="3897" xr:uid="{BB7554F9-B8E6-4510-A03A-5559F0E5D209}"/>
    <cellStyle name="Decimal nos 2 4" xfId="3898" xr:uid="{335FBF80-843A-4C5F-9DFB-60FC236117A5}"/>
    <cellStyle name="Decimal nos 2 5" xfId="3899" xr:uid="{67FB7D95-1EE5-4B94-A31C-B4CB8C62A4EA}"/>
    <cellStyle name="Decimal nos 3" xfId="3900" xr:uid="{7366A1E5-9F9D-4C79-930D-2B3480121329}"/>
    <cellStyle name="Decimal nos 4" xfId="3901" xr:uid="{4AAE2446-00E9-4CFE-93C3-18CBF258A4B5}"/>
    <cellStyle name="Decimal nos 5" xfId="3902" xr:uid="{B96BFDD2-2906-42BC-9B30-AA5652D4B8B4}"/>
    <cellStyle name="Decimal nos 6" xfId="3903" xr:uid="{B6AE19D8-4B7F-4349-8966-348AB4208D41}"/>
    <cellStyle name="Decimal nos 7" xfId="3904" xr:uid="{159B269E-EBFE-49A8-AA4A-86DB1C00E686}"/>
    <cellStyle name="Decimal nos 8" xfId="3905" xr:uid="{8AB497C3-5A6D-443C-932F-2F793C528B0E}"/>
    <cellStyle name="Decimal nos acct" xfId="3906" xr:uid="{5CCB817B-1F9E-409B-9552-0EEA4219D435}"/>
    <cellStyle name="Decimal nos acct 2" xfId="3907" xr:uid="{C805B583-B10B-4B4A-A013-4DF0DBD20722}"/>
    <cellStyle name="Decimal nos acct 2 2" xfId="3908" xr:uid="{729296AE-3AE1-4D26-88CB-7B666C23288E}"/>
    <cellStyle name="Decimal nos acct 2 3" xfId="3909" xr:uid="{ED64AB93-F0EC-4150-88AF-2B9EDCA7E724}"/>
    <cellStyle name="Decimal nos acct 2 4" xfId="3910" xr:uid="{FC15C858-90F1-4805-910E-08893CEAB52C}"/>
    <cellStyle name="Decimal nos acct 2 5" xfId="3911" xr:uid="{55778408-2B24-44B0-8D0D-285D082F773A}"/>
    <cellStyle name="Decimal nos acct 3" xfId="3912" xr:uid="{63B03D57-34F1-4A26-9D22-CF5E4B461A21}"/>
    <cellStyle name="Decimal nos acct 4" xfId="3913" xr:uid="{DEE03FBB-DEDA-4968-9BE4-B81A9F17C619}"/>
    <cellStyle name="Decimal nos acct 5" xfId="3914" xr:uid="{C44B3C02-9A04-42BF-B74F-2F1C0106C689}"/>
    <cellStyle name="Decimal nos acct 6" xfId="3915" xr:uid="{58ECBE13-21D6-4957-9EEC-4C0C69C32F1C}"/>
    <cellStyle name="Decimal nos acct 7" xfId="3916" xr:uid="{DD796F0B-AEE5-46DE-9D89-03602A11AA9A}"/>
    <cellStyle name="Decimal nos acct 8" xfId="3917" xr:uid="{B86CE616-5502-4F06-AE52-3BAADEA3134A}"/>
    <cellStyle name="Decimal_0dp" xfId="3918" xr:uid="{F434796F-4905-4AAB-BE23-7E179020BC6C}"/>
    <cellStyle name="Description" xfId="62" xr:uid="{70C7CED1-B370-4063-9149-07739353586B}"/>
    <cellStyle name="Deviant" xfId="3919" xr:uid="{E50B1964-2897-4960-A9F6-8634DAAC4B7A}"/>
    <cellStyle name="Dezimal [0]_0002VS" xfId="3920" xr:uid="{AD0393D9-1C12-4419-B994-013562EE6827}"/>
    <cellStyle name="Dezimal_0002VS" xfId="3921" xr:uid="{1F761D5B-5678-4542-86DE-469F9FA25F3B}"/>
    <cellStyle name="Dia" xfId="3922" xr:uid="{F1664FC8-C776-4857-AA40-684FC87D81C8}"/>
    <cellStyle name="DistributionType" xfId="3923" xr:uid="{BE71B225-2DAF-4BC0-ADAF-C61A2D441E9E}"/>
    <cellStyle name="données" xfId="3924" xr:uid="{52E0849B-E232-4A4C-9E98-80BB7EBC70C8}"/>
    <cellStyle name="donnéesbord" xfId="3925" xr:uid="{72DD6133-55BA-4B0E-93C8-BBB5246BFC0B}"/>
    <cellStyle name="Dotted Line" xfId="3926" xr:uid="{E1C6D2AC-1D90-405A-9B4F-3866C76D0954}"/>
    <cellStyle name="Double" xfId="3927" xr:uid="{F98F83E2-C0AD-4C2D-9DD2-39CC4D9B37A1}"/>
    <cellStyle name="Encabez1" xfId="3928" xr:uid="{26FDC32D-03DE-4A0B-A679-482D1E3DCCAF}"/>
    <cellStyle name="Encabez2" xfId="3929" xr:uid="{296CC5FD-F1C6-4B11-8462-99AE2DFF6464}"/>
    <cellStyle name="EnVision body" xfId="3930" xr:uid="{8DFCF1B6-F3F2-4061-A13E-EAB00A01147F}"/>
    <cellStyle name="EnVision body 2" xfId="3931" xr:uid="{721CC3B1-896D-4C8A-8237-E2996F36F5FE}"/>
    <cellStyle name="EnVision Header" xfId="3932" xr:uid="{97850C24-077E-494E-9B17-FB2775982BB3}"/>
    <cellStyle name="EnVision Header 2" xfId="3933" xr:uid="{03E2E7EB-D23A-40CB-8ABB-4364869472A0}"/>
    <cellStyle name="EnVision Heading" xfId="3934" xr:uid="{EC462775-DCF2-4DBF-9417-82A956A6D63F}"/>
    <cellStyle name="EnVision Sub" xfId="3935" xr:uid="{DE5E5167-E0B1-419C-9489-8AE1EB163EA7}"/>
    <cellStyle name="EnVision table" xfId="3936" xr:uid="{EC724C5B-327B-47E9-B875-5B2E6FB53708}"/>
    <cellStyle name="EnVision table 2" xfId="3937" xr:uid="{2531BCF5-B3F8-411C-83C3-F7FBDD9E58AE}"/>
    <cellStyle name="EnVision table 3" xfId="3938" xr:uid="{E1AFD8CD-10BD-419E-AE2E-48E143F6EEAB}"/>
    <cellStyle name="EnVision table 4" xfId="3939" xr:uid="{A4A1ACC2-5ECC-43A1-82DF-8B576821DDC0}"/>
    <cellStyle name="Envision Table Body" xfId="3940" xr:uid="{F87364D3-15A2-48A9-BFEE-92A4944BFA03}"/>
    <cellStyle name="Envision Table Body 2" xfId="3941" xr:uid="{BECCFE70-DC42-4BD5-84ED-C3F663133D3A}"/>
    <cellStyle name="Envision Table Body 3" xfId="3942" xr:uid="{0DE0ED7F-3641-48C3-8AC2-EE6842D475B4}"/>
    <cellStyle name="Envision Table Body 4" xfId="3943" xr:uid="{00F51DC4-CA84-4BFF-8F79-18D09D712AA9}"/>
    <cellStyle name="Envision Table Body 5" xfId="3944" xr:uid="{994FB8C0-E2E5-4AA7-8C73-BB416AE462B4}"/>
    <cellStyle name="Envision Table Body 6" xfId="3945" xr:uid="{F3CC560C-0752-4D80-8BBA-2A2B0E4CE2F7}"/>
    <cellStyle name="Envision Table Body 7" xfId="3946" xr:uid="{1A42B2CD-9C78-471F-9CAD-3E0EB9C09361}"/>
    <cellStyle name="Envision Table Body 8" xfId="3947" xr:uid="{805C1565-D228-4D3B-8A1C-F2444DDC461B}"/>
    <cellStyle name="EnVision Table Heading" xfId="3948" xr:uid="{1974ABB6-83C3-4FFF-BD5F-4D0B02936013}"/>
    <cellStyle name="EnVision Table Heading 2" xfId="3949" xr:uid="{20BDD9B9-760B-47A2-8E22-2E08395334F4}"/>
    <cellStyle name="EnVision Table Heading 3" xfId="3950" xr:uid="{BDBA6F13-0924-45A9-B6FC-AC4C5DC29794}"/>
    <cellStyle name="EnVision Table Heading 3 2" xfId="3951" xr:uid="{DE0F40F8-9EFC-4211-92D0-EEF7316DAF69}"/>
    <cellStyle name="EnVision Table Heading 4" xfId="3952" xr:uid="{8020AF48-05F5-4CB9-8171-4F12D78DA731}"/>
    <cellStyle name="EnVision Table Heading 5" xfId="3953" xr:uid="{88BBCB26-68F8-4E02-B6D8-060C9418C274}"/>
    <cellStyle name="EnVision Table Heading 6" xfId="3954" xr:uid="{8F05147C-2D35-48C6-8BCE-86DDABB89C78}"/>
    <cellStyle name="EnVision Title" xfId="3955" xr:uid="{C55873D4-C937-463A-B4C9-265C596E333E}"/>
    <cellStyle name="EnVision Title 2" xfId="3956" xr:uid="{174D3A6F-F8DE-4388-B89F-F07CFB8D5691}"/>
    <cellStyle name="EnVision Title 3" xfId="3957" xr:uid="{998FCF92-8B7E-489E-A118-4646514D3B77}"/>
    <cellStyle name="EnVision Title 4" xfId="3958" xr:uid="{3A67E351-A824-4759-B167-B5F798188288}"/>
    <cellStyle name="Error" xfId="402" xr:uid="{351DFCB7-D9AD-4802-8C8F-A47076EBAA76}"/>
    <cellStyle name="Euro" xfId="63" xr:uid="{1B9155A5-6A74-4C30-A4AC-D730DA0B812B}"/>
    <cellStyle name="Euro 10" xfId="3959" xr:uid="{8F36DA6D-C425-464C-82FD-EC202F27438B}"/>
    <cellStyle name="Euro 11" xfId="3960" xr:uid="{1A5D7A25-1160-457C-8509-7E3395F6E3BC}"/>
    <cellStyle name="Euro 12" xfId="3961" xr:uid="{C93754EE-1C8D-4CAB-B9DE-A55D3330C2EC}"/>
    <cellStyle name="Euro 13" xfId="3962" xr:uid="{E87745B1-4A8E-44B3-8424-A3E10C99334B}"/>
    <cellStyle name="Euro 14" xfId="3963" xr:uid="{6F1FFBD6-6AEE-41EF-A088-E5B31084C63F}"/>
    <cellStyle name="Euro 15" xfId="3964" xr:uid="{140CC798-4DA8-410A-9731-E5BAE9A861D4}"/>
    <cellStyle name="Euro 16" xfId="3965" xr:uid="{B47E1A9B-A014-4034-8EF7-A3A6BC68D3E6}"/>
    <cellStyle name="Euro 17" xfId="3966" xr:uid="{BC75C581-AC19-4B3D-9A12-8BE055621369}"/>
    <cellStyle name="Euro 18" xfId="3967" xr:uid="{EE9A29D5-2CD4-4E1A-A85C-7A501A50ACBA}"/>
    <cellStyle name="Euro 19" xfId="3968" xr:uid="{98F16F0F-4651-4208-BE88-D05681D5A3F1}"/>
    <cellStyle name="Euro 2" xfId="3969" xr:uid="{0C738B35-8DDA-4685-8B4C-E7DEF57117DC}"/>
    <cellStyle name="Euro 2 2" xfId="3970" xr:uid="{0228ACC3-99CD-485C-A80E-53FBA28C08F6}"/>
    <cellStyle name="Euro 2 3" xfId="3971" xr:uid="{3F2AAD7F-E646-40CD-AC40-8DE097849D09}"/>
    <cellStyle name="Euro 2 4" xfId="3972" xr:uid="{D17C6A7B-D303-4569-AD3B-4943A5F886C2}"/>
    <cellStyle name="Euro 2 5" xfId="3973" xr:uid="{F52112E5-B10E-4EE5-B21D-006D0B253202}"/>
    <cellStyle name="Euro 2 6" xfId="3974" xr:uid="{420AF7CF-2024-467C-AF96-38D11EA7B985}"/>
    <cellStyle name="Euro 2 7" xfId="3975" xr:uid="{BB8D7690-3F2A-492A-999E-896C079B8E60}"/>
    <cellStyle name="Euro 20" xfId="3976" xr:uid="{D0D458E3-FD5F-47AB-9DEB-45E35DAF281D}"/>
    <cellStyle name="Euro 21" xfId="3977" xr:uid="{56822D6D-6650-4F49-B10B-EAEE31605253}"/>
    <cellStyle name="Euro 22" xfId="3978" xr:uid="{19A4FB4C-C963-4E1B-999A-4914053D6A09}"/>
    <cellStyle name="Euro 23" xfId="3979" xr:uid="{09CDCAE5-DF33-412C-AEC7-E4FFA10BAE00}"/>
    <cellStyle name="Euro 24" xfId="3980" xr:uid="{D922D927-5601-4968-BD8B-847A7BC3AE34}"/>
    <cellStyle name="Euro 25" xfId="3981" xr:uid="{4A63AEA7-8CFD-4C3A-BEEE-9CEA9D700940}"/>
    <cellStyle name="Euro 26" xfId="3982" xr:uid="{EAEBD501-9E42-4A04-B04B-9547CEA0DD33}"/>
    <cellStyle name="Euro 27" xfId="3983" xr:uid="{88F1470A-39DE-4438-87DB-2C7B563B8CDD}"/>
    <cellStyle name="Euro 28" xfId="3984" xr:uid="{360B5401-98F0-48DB-A8CB-452526FD999A}"/>
    <cellStyle name="Euro 29" xfId="3985" xr:uid="{1925FCFC-B0FA-4481-81DA-A041B73AE3B0}"/>
    <cellStyle name="Euro 3" xfId="3986" xr:uid="{56953085-CB9B-437A-90E1-349627D7322A}"/>
    <cellStyle name="Euro 4" xfId="3987" xr:uid="{7BC51CE6-078C-47A7-804C-5A2A59D6646B}"/>
    <cellStyle name="Euro 5" xfId="3988" xr:uid="{DEB65923-B6A7-403B-A2E4-A71CAF761985}"/>
    <cellStyle name="Euro 6" xfId="3989" xr:uid="{9B9FD885-B95C-4D7A-BF13-49B8F6D5E792}"/>
    <cellStyle name="Euro 7" xfId="3990" xr:uid="{48A42B6A-2347-44F3-A86A-BAB0685B4A39}"/>
    <cellStyle name="Euro 8" xfId="3991" xr:uid="{1403FD6B-838E-4B94-A5FC-63860122BB4B}"/>
    <cellStyle name="Euro 9" xfId="3992" xr:uid="{3995276F-DA1C-4E49-8BF2-9A81A5CB50B7}"/>
    <cellStyle name="Explanatory Text 10" xfId="3993" xr:uid="{21C9837E-C86B-421D-BE5E-4729578616D9}"/>
    <cellStyle name="Explanatory Text 11" xfId="3994" xr:uid="{8DF64091-0635-42FA-91B7-19534FE427DC}"/>
    <cellStyle name="Explanatory Text 12" xfId="3995" xr:uid="{BEF1925B-6F38-49A2-96A0-BEA05598305C}"/>
    <cellStyle name="Explanatory Text 13" xfId="3996" xr:uid="{F3C7563A-29FF-4691-B8AC-AAFBBF203DB1}"/>
    <cellStyle name="Explanatory Text 14" xfId="3997" xr:uid="{629362A5-9441-4E02-BDCC-0795279B95D7}"/>
    <cellStyle name="Explanatory Text 15" xfId="3998" xr:uid="{F29C674C-5320-4418-995C-5F39ADA4B2E3}"/>
    <cellStyle name="Explanatory Text 16" xfId="3999" xr:uid="{893AA7F7-3E41-4A5E-A2F0-F186C2385A2B}"/>
    <cellStyle name="Explanatory Text 17" xfId="4000" xr:uid="{B4422100-E340-4F92-ACF7-A87356CDD3E2}"/>
    <cellStyle name="Explanatory Text 18" xfId="4001" xr:uid="{CD4C6E7F-9E59-45B1-B1BF-F83E31C96426}"/>
    <cellStyle name="Explanatory Text 19" xfId="4002" xr:uid="{1F63BAFD-5642-4674-A753-70116773BB2D}"/>
    <cellStyle name="Explanatory Text 2" xfId="64" xr:uid="{36EC584A-0A99-4B5F-AE4B-42516B288364}"/>
    <cellStyle name="Explanatory Text 2 2" xfId="4004" xr:uid="{E257D117-0656-4A32-8B6B-5FB49FEED6AF}"/>
    <cellStyle name="Explanatory Text 2 2 2" xfId="4005" xr:uid="{5305523E-C0BE-4A57-83F7-E90E25F3B39E}"/>
    <cellStyle name="Explanatory Text 2 3" xfId="4006" xr:uid="{B4743378-DD7F-48D0-A027-E8D0A63F0E3D}"/>
    <cellStyle name="Explanatory Text 2 4" xfId="4007" xr:uid="{9F58F183-5C63-4B0C-83EC-3E4463F78374}"/>
    <cellStyle name="Explanatory Text 2 5" xfId="4008" xr:uid="{D65B118D-405D-4DDA-BC1D-36F64F399B29}"/>
    <cellStyle name="Explanatory Text 2 6" xfId="4003" xr:uid="{39B1BCD5-C2B6-4102-ABEE-47C97333B8C9}"/>
    <cellStyle name="Explanatory Text 20" xfId="4009" xr:uid="{16EF1DBB-DA6B-4ABD-B8AB-B542146EE183}"/>
    <cellStyle name="Explanatory Text 21" xfId="4010" xr:uid="{40E6631F-1ACA-4CCD-8ABE-F17BC32D4186}"/>
    <cellStyle name="Explanatory Text 22" xfId="4011" xr:uid="{C86CE36B-AC81-4AD4-92B4-02FE3C92C6C6}"/>
    <cellStyle name="Explanatory Text 23" xfId="4012" xr:uid="{3BACFCC5-526A-4573-856A-1193F14359F8}"/>
    <cellStyle name="Explanatory Text 24" xfId="4013" xr:uid="{09EE01DB-61C4-4908-9FEF-FCA6FCBF8CB3}"/>
    <cellStyle name="Explanatory Text 25" xfId="4014" xr:uid="{C1D8A57A-4679-4C42-A040-90C7643A7ACD}"/>
    <cellStyle name="Explanatory Text 26" xfId="4015" xr:uid="{4D0738D5-0755-4AE2-BCC9-A33E12281DD5}"/>
    <cellStyle name="Explanatory Text 27" xfId="4016" xr:uid="{9D005BEE-F137-49B4-87B3-7BA0A4BFBDEA}"/>
    <cellStyle name="Explanatory Text 28" xfId="4017" xr:uid="{167F395E-E801-4A96-9F47-565A9424D42D}"/>
    <cellStyle name="Explanatory Text 29" xfId="4018" xr:uid="{4363E1E4-A668-4672-BEAC-E607C125DB65}"/>
    <cellStyle name="Explanatory Text 3" xfId="4019" xr:uid="{69F6503C-B551-4FFD-9207-44BFB811397C}"/>
    <cellStyle name="Explanatory Text 3 2" xfId="4020" xr:uid="{7A3E6BF8-6A10-444A-9FA8-03A401ED1019}"/>
    <cellStyle name="Explanatory Text 30" xfId="4021" xr:uid="{A758840E-7B80-4F65-9559-703A1A13D7F4}"/>
    <cellStyle name="Explanatory Text 31" xfId="4022" xr:uid="{F86B5CEE-EFEE-4C32-8E53-12C188D2985A}"/>
    <cellStyle name="Explanatory Text 32" xfId="4023" xr:uid="{AC20A34B-23E7-4533-B206-5B474DBE720D}"/>
    <cellStyle name="Explanatory Text 33" xfId="4024" xr:uid="{C311D3D9-2A0E-485B-B84B-A1317319C289}"/>
    <cellStyle name="Explanatory Text 34" xfId="4025" xr:uid="{A091F8AB-92DE-4856-BE64-14A22E6A7B33}"/>
    <cellStyle name="Explanatory Text 35" xfId="4026" xr:uid="{C52BFEB0-A1DB-4861-9439-F08122C4C835}"/>
    <cellStyle name="Explanatory Text 35 2" xfId="4027" xr:uid="{58D8FBD3-7939-4F87-92E3-D7AF598A9B7C}"/>
    <cellStyle name="Explanatory Text 35 2 2" xfId="4028" xr:uid="{9895D424-F177-4980-9FBB-C3878A721E4A}"/>
    <cellStyle name="Explanatory Text 35 2 2 2" xfId="4029" xr:uid="{88B0A0F9-D8FA-427B-B964-D73279C8AA26}"/>
    <cellStyle name="Explanatory Text 35 3" xfId="4030" xr:uid="{9ADFF7FE-8300-4AFA-B485-E9AC3E7AAF9B}"/>
    <cellStyle name="Explanatory Text 35 4" xfId="4031" xr:uid="{5BE37299-977A-4944-8C20-4D95EACF4C0D}"/>
    <cellStyle name="Explanatory Text 36" xfId="4032" xr:uid="{B71438A6-BC7A-49E9-9131-FD2DC7E1691B}"/>
    <cellStyle name="Explanatory Text 37" xfId="4033" xr:uid="{5A0FF50E-30BB-4397-8691-8D8D8D71EF84}"/>
    <cellStyle name="Explanatory Text 38" xfId="4034" xr:uid="{F2C46970-CB11-4E7C-A544-0527C5B11944}"/>
    <cellStyle name="Explanatory Text 39" xfId="4035" xr:uid="{1C2AD4FE-6C61-4176-A797-B4B8E5D08CA4}"/>
    <cellStyle name="Explanatory Text 4" xfId="4036" xr:uid="{D78867B2-4057-4AC6-B2E0-A36AAFCDE05F}"/>
    <cellStyle name="Explanatory Text 40" xfId="4037" xr:uid="{B61937DD-05E2-4B2D-ACCF-D56467D78C56}"/>
    <cellStyle name="Explanatory Text 41" xfId="4038" xr:uid="{21A5E099-E8E8-488D-8D35-6A99DA12FD5C}"/>
    <cellStyle name="Explanatory Text 42" xfId="4039" xr:uid="{FE229936-6E71-40EB-8DE1-F38B34A3D1E9}"/>
    <cellStyle name="Explanatory Text 43" xfId="4040" xr:uid="{95FAB1E6-4AC7-47EC-8BD9-D9FB86323232}"/>
    <cellStyle name="Explanatory Text 44" xfId="4041" xr:uid="{C2DF4CF4-A417-4EF9-8778-69BA824730DC}"/>
    <cellStyle name="Explanatory Text 45" xfId="4042" xr:uid="{B48FBE84-5D73-4440-9259-076691D5DD34}"/>
    <cellStyle name="Explanatory Text 46" xfId="4043" xr:uid="{B2B8A140-6FB6-4872-9A33-FEF6AEB0BD18}"/>
    <cellStyle name="Explanatory Text 47" xfId="4044" xr:uid="{A049ED31-5F68-496D-BEE1-44A1FEC04FC1}"/>
    <cellStyle name="Explanatory Text 48" xfId="4045" xr:uid="{3F65582C-79B1-4AC5-B57B-EF581856F4C7}"/>
    <cellStyle name="Explanatory Text 49" xfId="4046" xr:uid="{EAD14617-C22E-41F2-96EB-9888A081D9ED}"/>
    <cellStyle name="Explanatory Text 5" xfId="4047" xr:uid="{8AFA9C21-6EF9-48C5-A346-4FCB2F7FED97}"/>
    <cellStyle name="Explanatory Text 50" xfId="4048" xr:uid="{DED56C4B-C5E1-46A2-A1AF-B76A10DFAFE4}"/>
    <cellStyle name="Explanatory Text 51" xfId="4049" xr:uid="{1C30FC0A-3CB2-43D1-B913-A23F1329C7B3}"/>
    <cellStyle name="Explanatory Text 52" xfId="4050" xr:uid="{14F46BED-1FF1-4833-BE05-455CD5F974BC}"/>
    <cellStyle name="Explanatory Text 53" xfId="4051" xr:uid="{105D0F3C-9BC6-4582-A732-EDEC2504C34E}"/>
    <cellStyle name="Explanatory Text 54" xfId="4052" xr:uid="{2648DED7-4BCD-45DD-A2F2-ABA184EF5BFB}"/>
    <cellStyle name="Explanatory Text 55" xfId="4053" xr:uid="{71DC5242-47AC-425B-986E-685B7EF84BBB}"/>
    <cellStyle name="Explanatory Text 56" xfId="4054" xr:uid="{64A79D27-0EDF-4EF4-8D17-C5B4D19ED65C}"/>
    <cellStyle name="Explanatory Text 57" xfId="4055" xr:uid="{1937DB59-9CE8-4C7D-B126-54E7C6551889}"/>
    <cellStyle name="Explanatory Text 58" xfId="4056" xr:uid="{9EC105C4-B156-43E2-BEE1-417603729856}"/>
    <cellStyle name="Explanatory Text 59" xfId="4057" xr:uid="{06101F20-ACC2-4AA4-942C-7C53B8452F7E}"/>
    <cellStyle name="Explanatory Text 6" xfId="4058" xr:uid="{D31CD449-4C6B-47D3-957F-6C1B4C96E903}"/>
    <cellStyle name="Explanatory Text 60" xfId="4059" xr:uid="{97C43F77-85BB-489F-B903-60BA04B9C470}"/>
    <cellStyle name="Explanatory Text 60 2" xfId="4060" xr:uid="{1C8112F4-7B0B-4FB3-ACB3-84665434D4F8}"/>
    <cellStyle name="Explanatory Text 60 2 2" xfId="4061" xr:uid="{FDDB0D88-AB27-46E5-9B00-55CF5C4D1220}"/>
    <cellStyle name="Explanatory Text 60 2 3" xfId="4062" xr:uid="{E6694E1F-07C3-496F-B3B8-B92743B1B6B5}"/>
    <cellStyle name="Explanatory Text 61" xfId="4063" xr:uid="{4D69AE4E-C6AE-4EBD-A1D3-E3997ADA32B2}"/>
    <cellStyle name="Explanatory Text 62" xfId="4064" xr:uid="{3D738891-B7BE-4A76-89D3-228ADF3F463F}"/>
    <cellStyle name="Explanatory Text 63" xfId="4065" xr:uid="{081C8F9C-4A54-459F-84B8-0C8C6A47A1F3}"/>
    <cellStyle name="Explanatory Text 64" xfId="4066" xr:uid="{A3AD6582-6F4A-4ECD-8886-827BCA21A577}"/>
    <cellStyle name="Explanatory Text 65" xfId="4067" xr:uid="{48EA4BBA-093E-4239-B513-321A8BD9FD9D}"/>
    <cellStyle name="Explanatory Text 7" xfId="4068" xr:uid="{D7E94F82-3006-46A9-BAD5-F230AD0D7816}"/>
    <cellStyle name="Explanatory Text 8" xfId="4069" xr:uid="{37BA7BF4-9C21-432E-A9A4-DD3E5A2CE474}"/>
    <cellStyle name="Explanatory Text 9" xfId="4070" xr:uid="{D1C4B5F9-8E1B-442C-9693-5D0A46DBA6A9}"/>
    <cellStyle name="EYBlocked" xfId="4071" xr:uid="{6D6C580A-EBDE-4E16-BD62-843D8394C72D}"/>
    <cellStyle name="EYCallUp" xfId="4072" xr:uid="{F1E2A738-C398-4AE0-A6D0-440EE51D1137}"/>
    <cellStyle name="EYCheck" xfId="4073" xr:uid="{909CC055-E54F-4B03-BA4B-A9FDC61EE510}"/>
    <cellStyle name="EYDate" xfId="4074" xr:uid="{6956AF18-C5DF-4FF2-AA33-7EF9D72F7FDF}"/>
    <cellStyle name="EYDeviant" xfId="4075" xr:uid="{338C0DCF-56AC-4720-8DF6-8D9B95E2913D}"/>
    <cellStyle name="EYFlag" xfId="4076" xr:uid="{4BB54528-C215-4608-BF04-DF8855C31F83}"/>
    <cellStyle name="EYHeader1" xfId="4077" xr:uid="{2E9CF704-0109-4B6F-9BEC-653F9EECD2ED}"/>
    <cellStyle name="EYHeader2" xfId="4078" xr:uid="{ED5E86E0-166F-4CB1-A1A7-DD498F9E3B77}"/>
    <cellStyle name="EYHeader3" xfId="4079" xr:uid="{EEFAC89D-07E3-4041-8A2E-C3DA01B903DE}"/>
    <cellStyle name="EYInputDate" xfId="4080" xr:uid="{3682A9F2-80DB-41C2-B046-F354AA16098D}"/>
    <cellStyle name="EYInputPercent" xfId="4081" xr:uid="{035F7456-E46E-445E-934C-76C7E49AB6E2}"/>
    <cellStyle name="EYInputValue" xfId="4082" xr:uid="{60C26FA7-A116-4ECA-A61E-BEA16289D06C}"/>
    <cellStyle name="EYNormal" xfId="4083" xr:uid="{F2CD55EB-F122-4B28-90CD-F9F712EFF984}"/>
    <cellStyle name="EYPercent" xfId="4084" xr:uid="{DCF31DB1-A90A-4FBE-978E-ED65109B5F9B}"/>
    <cellStyle name="EYPercentCapped" xfId="4085" xr:uid="{D1C7FEEB-F59F-44C0-B6FE-2CD9329F55D7}"/>
    <cellStyle name="EYSubTotal" xfId="4086" xr:uid="{98737012-C0C1-4EA9-B257-3FD1CBD0D444}"/>
    <cellStyle name="EYTotal" xfId="4087" xr:uid="{FD3EB1B2-3390-4CB5-9342-9EDB54556CC9}"/>
    <cellStyle name="EYWIP" xfId="4088" xr:uid="{74DC5CD7-0C81-451F-8443-482C78500C1E}"/>
    <cellStyle name="F2" xfId="4089" xr:uid="{3EA2E025-3C83-45C1-9F29-84D02DE2F6DC}"/>
    <cellStyle name="F3" xfId="4090" xr:uid="{21BE4A94-E70C-47C6-8F0B-320A640B8B0F}"/>
    <cellStyle name="F4" xfId="4091" xr:uid="{66C5ADDE-6C46-4E23-ABE1-3858CC9E5B89}"/>
    <cellStyle name="F5" xfId="4092" xr:uid="{996E6028-86DC-4174-AE1A-B092174570C4}"/>
    <cellStyle name="F6" xfId="4093" xr:uid="{1C8BC66E-B0D0-40F3-8BEB-90C8957AE604}"/>
    <cellStyle name="F7" xfId="4094" xr:uid="{3A4B9802-BA93-4C22-9F97-A9A26A23DF3D}"/>
    <cellStyle name="F8" xfId="4095" xr:uid="{9FDB6828-66F9-47D8-A6DF-E2DC0A79D505}"/>
    <cellStyle name="Fijo" xfId="4096" xr:uid="{755E71FF-A250-4861-9B98-492C3F89934C}"/>
    <cellStyle name="Filler" xfId="4097" xr:uid="{8840B87C-E060-4250-8866-03E95521B44C}"/>
    <cellStyle name="Filler 2" xfId="4098" xr:uid="{56C52259-25A7-4606-B6F7-EA134CFF17F7}"/>
    <cellStyle name="Filler 3" xfId="4099" xr:uid="{6DEC4194-6BE4-4C27-9EA7-6F2441252632}"/>
    <cellStyle name="Filler 4" xfId="4100" xr:uid="{26046453-8F01-4606-A69B-71EEB286C7DC}"/>
    <cellStyle name="Filler 5" xfId="4101" xr:uid="{F7EC30BD-0356-4080-BFCD-C479265DEA64}"/>
    <cellStyle name="Filler 6" xfId="4102" xr:uid="{F9BEBA62-D129-4A15-8B02-5DBACAB88C88}"/>
    <cellStyle name="Financiero" xfId="4103" xr:uid="{DC1481EC-0A2D-45EE-87F1-4F965DBBF07D}"/>
    <cellStyle name="Fixed" xfId="4104" xr:uid="{DBDC7B2E-1555-46D3-9404-90117D2C49C6}"/>
    <cellStyle name="Fixed 2" xfId="4105" xr:uid="{9047BB6A-CFC9-4FC6-B218-D892696BE8EE}"/>
    <cellStyle name="Fixed1 - Style1" xfId="4106" xr:uid="{A2D2F913-5D6B-43ED-BCA1-3652D48BBE05}"/>
    <cellStyle name="Flag" xfId="4107" xr:uid="{F3871F18-4D1D-4C88-B4A9-FE3851AFA808}"/>
    <cellStyle name="Flash" xfId="65" xr:uid="{19C10D99-AAB2-4EDD-9CCE-9FA12CEB6230}"/>
    <cellStyle name="Fonts" xfId="4108" xr:uid="{2D9D5CB8-F333-4F6E-9E2C-470516BB9432}"/>
    <cellStyle name="Footer SBILogo1" xfId="4109" xr:uid="{A8C77884-4F76-452F-9C88-52E719FCE037}"/>
    <cellStyle name="Footer SBILogo2" xfId="4110" xr:uid="{0F816FA2-AEBA-4B46-8432-61A1AB6A6E26}"/>
    <cellStyle name="Footnote" xfId="403" xr:uid="{F5BF3948-EE8B-4971-AE0C-1111639630B0}"/>
    <cellStyle name="Footnote 2" xfId="4111" xr:uid="{AC009973-4513-435C-9419-B69E0C385211}"/>
    <cellStyle name="footnote ref" xfId="66" xr:uid="{5B76624A-E3FD-4B3F-9E36-53F5EF37BB37}"/>
    <cellStyle name="Footnote Reference" xfId="4112" xr:uid="{3B456DFE-4C45-4A31-8818-C703A67FEB11}"/>
    <cellStyle name="footnote text" xfId="67" xr:uid="{84B8F9D3-D6B8-478E-BCB1-B2D6843A9043}"/>
    <cellStyle name="Footnote_% Change" xfId="4113" xr:uid="{9BEA565A-0AB5-46E3-8806-C89D95C57E36}"/>
    <cellStyle name="Forecast Cell Column Heading" xfId="4114" xr:uid="{B3729616-91D5-42B1-B656-1451A09C514F}"/>
    <cellStyle name="Forecast Cell Column Heading 2" xfId="4115" xr:uid="{2CA03D13-4AA7-4B14-AA1E-91197C460609}"/>
    <cellStyle name="Forecast Cell Column Heading 3" xfId="4116" xr:uid="{1465DCEC-197C-44CC-A333-F7EFB09EDBE7}"/>
    <cellStyle name="Forecast Cell Column Heading 4" xfId="4117" xr:uid="{14A33E05-8B88-405C-A136-C1D61D3BD0F9}"/>
    <cellStyle name="Forecast Cell Column Heading 5" xfId="4118" xr:uid="{8BA476F0-75E1-4930-B1DF-7D6AD73D5B55}"/>
    <cellStyle name="Forecast Cell Column Heading 6" xfId="4119" xr:uid="{FEA920B0-E13C-4B2A-8537-FE72AD587FA2}"/>
    <cellStyle name="Forecast Cell Column Heading 7" xfId="4120" xr:uid="{83C25E11-FB65-4872-95C7-ED9FAEE70089}"/>
    <cellStyle name="Forecast Cell Column Heading 8" xfId="4121" xr:uid="{74A6E0EC-30AD-42A7-9568-090DCA08077B}"/>
    <cellStyle name="Forecast Cell Column Heading 9" xfId="4122" xr:uid="{3AC56A58-7879-4734-8CAB-49F409628E5D}"/>
    <cellStyle name="Formula_RP" xfId="4123" xr:uid="{B045C9B3-5076-486E-8B5E-B4B3C68C960B}"/>
    <cellStyle name="FormulaLbl_RP" xfId="4124" xr:uid="{D3DB1CAD-8F6E-41FE-9A5F-0EF2149E0020}"/>
    <cellStyle name="General" xfId="68" xr:uid="{6A26FEFC-071F-46F1-B63C-BE2A45751235}"/>
    <cellStyle name="General 2" xfId="69" xr:uid="{73A213F6-2BD6-4BBB-ACC4-10D1047E9DE8}"/>
    <cellStyle name="General 2 2" xfId="4125" xr:uid="{BD63E97A-07D2-4994-A6D1-C20011623AAA}"/>
    <cellStyle name="General 3" xfId="4126" xr:uid="{72B4B32C-EDAA-4D31-BA14-BFCD66D074E6}"/>
    <cellStyle name="Good 10" xfId="4127" xr:uid="{7D5A01F4-A835-4C99-B8BC-6A5B9962B406}"/>
    <cellStyle name="Good 11" xfId="4128" xr:uid="{8AC729E4-9BDA-49AB-BC64-034087D8397F}"/>
    <cellStyle name="Good 12" xfId="4129" xr:uid="{0774F47A-CA48-42CF-B177-A83799423FA9}"/>
    <cellStyle name="Good 13" xfId="4130" xr:uid="{7468CA2F-9456-4208-930C-A8A80D01B974}"/>
    <cellStyle name="Good 14" xfId="4131" xr:uid="{DF2231DC-17A8-4D79-A56B-27714787A789}"/>
    <cellStyle name="Good 15" xfId="4132" xr:uid="{667FB6CA-9BFC-4EBD-BD81-8C88683127BC}"/>
    <cellStyle name="Good 16" xfId="4133" xr:uid="{FBAEBED9-85F6-4380-84B5-BC456C8E611B}"/>
    <cellStyle name="Good 17" xfId="4134" xr:uid="{980533C9-B47A-44CF-9FAA-2C60B5636EB4}"/>
    <cellStyle name="Good 18" xfId="4135" xr:uid="{C93CD46F-E714-424F-BEF0-5949F6AC0DD6}"/>
    <cellStyle name="Good 19" xfId="4136" xr:uid="{121467CF-F8F2-4580-AD93-5AB9A103F5D4}"/>
    <cellStyle name="Good 2" xfId="70" xr:uid="{65C8E19B-F8C2-4202-A46C-48D1BD128E46}"/>
    <cellStyle name="Good 2 2" xfId="4138" xr:uid="{6AAAA15F-694D-4D57-B199-DA22E0A855D4}"/>
    <cellStyle name="Good 2 2 2" xfId="4139" xr:uid="{2F709AD2-C59D-49C6-9B43-A57D240CBA05}"/>
    <cellStyle name="Good 2 2 3" xfId="4140" xr:uid="{96FAC606-2099-4A02-80BE-F9F68E95E9B4}"/>
    <cellStyle name="Good 2 3" xfId="4141" xr:uid="{643431D9-4247-4A8D-AD74-A986133EB630}"/>
    <cellStyle name="Good 2 4" xfId="4142" xr:uid="{8D137C92-4CAC-46D7-92AF-6D25DFA05297}"/>
    <cellStyle name="Good 2 5" xfId="4143" xr:uid="{464CC27F-79CF-430A-94CB-235AEEC2A81F}"/>
    <cellStyle name="Good 2 6" xfId="4137" xr:uid="{19F879CE-72C9-4428-9563-8D75BF76C61D}"/>
    <cellStyle name="Good 20" xfId="4144" xr:uid="{7D28CBE8-F7B9-4494-A2C4-488566B4824A}"/>
    <cellStyle name="Good 21" xfId="4145" xr:uid="{89CE5105-7741-4AD3-8071-9691F006F7FF}"/>
    <cellStyle name="Good 22" xfId="4146" xr:uid="{B8E9342D-B598-4F3C-9F77-253C88BB3FC0}"/>
    <cellStyle name="Good 23" xfId="4147" xr:uid="{7E5905FA-F46B-479C-BCA3-951226850F99}"/>
    <cellStyle name="Good 24" xfId="4148" xr:uid="{9ED39C98-AB86-43AB-9FD2-AF239F009AAF}"/>
    <cellStyle name="Good 25" xfId="4149" xr:uid="{7BB5ACF3-34C8-44DC-B3D1-E29B2C33278C}"/>
    <cellStyle name="Good 26" xfId="4150" xr:uid="{A012F051-1DEF-42B4-BB66-287D9B9448C0}"/>
    <cellStyle name="Good 27" xfId="4151" xr:uid="{E315368C-6D41-4EDD-9037-CFC6B36ECD63}"/>
    <cellStyle name="Good 28" xfId="4152" xr:uid="{E98EA27E-A86B-487C-B0BF-62BB589F52BA}"/>
    <cellStyle name="Good 29" xfId="4153" xr:uid="{74B79C2C-A2FC-4574-ABF4-B5507739F6FD}"/>
    <cellStyle name="Good 3" xfId="394" xr:uid="{3C5E892B-996D-4FF3-96F2-B8B3ADE46C1C}"/>
    <cellStyle name="Good 3 2" xfId="4155" xr:uid="{BD46E6F6-ADEB-41EB-8596-91CE6733CE0C}"/>
    <cellStyle name="Good 3 3" xfId="4156" xr:uid="{D020C695-1C20-4EB7-9781-0C89E5CB065F}"/>
    <cellStyle name="Good 3 4" xfId="4154" xr:uid="{1EF6D2BF-B274-4991-8FF1-1D0DC062DA80}"/>
    <cellStyle name="Good 30" xfId="4157" xr:uid="{B64F290A-1C5B-403E-84D5-7564CDEE534A}"/>
    <cellStyle name="Good 31" xfId="4158" xr:uid="{C8A9148B-E146-4B5E-BA52-6812F9A8BF1F}"/>
    <cellStyle name="Good 32" xfId="4159" xr:uid="{732B8785-A8AD-4CC9-A1C1-D24F3E0240C8}"/>
    <cellStyle name="Good 33" xfId="4160" xr:uid="{DE9BDAA3-797F-4D44-80E6-2056D7F34476}"/>
    <cellStyle name="Good 34" xfId="4161" xr:uid="{11AE54F9-9DA3-4AB8-AE4B-557B16DDB351}"/>
    <cellStyle name="Good 35" xfId="4162" xr:uid="{DA146A02-5844-468C-84A5-EAB0B61A1484}"/>
    <cellStyle name="Good 35 2" xfId="4163" xr:uid="{DB48CCC0-0E5C-4C03-A926-8BD1E96B0700}"/>
    <cellStyle name="Good 35 2 2" xfId="4164" xr:uid="{4F1805D3-D041-41A5-81EE-1ED6D9A8BAE5}"/>
    <cellStyle name="Good 35 2 2 2" xfId="4165" xr:uid="{2617ECBB-2FE9-4446-8D91-75AEEA919549}"/>
    <cellStyle name="Good 35 3" xfId="4166" xr:uid="{A7BDD489-465A-449D-95B3-6EF09D23F868}"/>
    <cellStyle name="Good 35 4" xfId="4167" xr:uid="{C61A3A22-375D-4937-BD9C-A99FA468A941}"/>
    <cellStyle name="Good 36" xfId="4168" xr:uid="{9B359E29-E591-46B0-9908-61422131A96F}"/>
    <cellStyle name="Good 37" xfId="4169" xr:uid="{B86120DB-1C6A-44EC-881E-576555A1E9D9}"/>
    <cellStyle name="Good 38" xfId="4170" xr:uid="{81EACDF7-CF34-45B3-B8B7-AE48C3ABA071}"/>
    <cellStyle name="Good 39" xfId="4171" xr:uid="{5547331D-2476-4993-A65A-0C69F12ACC16}"/>
    <cellStyle name="Good 4" xfId="4172" xr:uid="{F997124E-3AA7-44E9-B812-3F846B368CE0}"/>
    <cellStyle name="Good 4 2" xfId="4173" xr:uid="{FE9B7CF7-5F9A-4F83-8751-145ECD282320}"/>
    <cellStyle name="Good 40" xfId="4174" xr:uid="{7105D072-F692-4ECF-ABF4-6A18F4422DC3}"/>
    <cellStyle name="Good 41" xfId="4175" xr:uid="{E1675999-F390-4C50-9A6B-89374D7ADFC7}"/>
    <cellStyle name="Good 42" xfId="4176" xr:uid="{5109998C-5FEC-473B-A300-4F6D27FBC4EB}"/>
    <cellStyle name="Good 43" xfId="4177" xr:uid="{19DD7131-C01D-45A7-A951-380C82EFFBB4}"/>
    <cellStyle name="Good 44" xfId="4178" xr:uid="{6B864816-211B-49E4-AE13-7043891AC9B5}"/>
    <cellStyle name="Good 45" xfId="4179" xr:uid="{7D1B2C50-D04A-4C67-BA11-942F7262E5EE}"/>
    <cellStyle name="Good 46" xfId="4180" xr:uid="{B7925C6D-C2E2-462A-8099-BB2B210270FD}"/>
    <cellStyle name="Good 47" xfId="4181" xr:uid="{6275BD7D-2CC8-4B1A-8099-245AF1B42DE0}"/>
    <cellStyle name="Good 48" xfId="4182" xr:uid="{9D7A6AD6-CF0C-4BCA-880B-2A7256B0BE19}"/>
    <cellStyle name="Good 49" xfId="4183" xr:uid="{6742D2C1-5D75-4B6B-A218-ACA22A837DFF}"/>
    <cellStyle name="Good 5" xfId="4184" xr:uid="{F2589EB7-C70A-49DF-9183-6BAF594283C7}"/>
    <cellStyle name="Good 50" xfId="4185" xr:uid="{E2004523-6892-4913-B848-E0321AD96266}"/>
    <cellStyle name="Good 51" xfId="4186" xr:uid="{4377C3EF-5142-40F5-B519-F17E463C2F04}"/>
    <cellStyle name="Good 52" xfId="4187" xr:uid="{F92A425E-8373-42D6-A91A-21065B9D6AC6}"/>
    <cellStyle name="Good 53" xfId="4188" xr:uid="{A7969A37-A4E8-430A-8B78-8E8510509EA0}"/>
    <cellStyle name="Good 54" xfId="4189" xr:uid="{09578189-F560-45BB-866D-6DC1526D908B}"/>
    <cellStyle name="Good 55" xfId="4190" xr:uid="{0EABEF52-4DC9-4921-9853-DD893EE72C90}"/>
    <cellStyle name="Good 56" xfId="4191" xr:uid="{DBF2A846-9185-4DB4-94F0-C6DC35B97EF0}"/>
    <cellStyle name="Good 57" xfId="4192" xr:uid="{5E5AEA18-5191-4C40-B1A4-8161C0A229CC}"/>
    <cellStyle name="Good 58" xfId="4193" xr:uid="{ECFFD33F-1545-4D91-A511-72CB12F756B8}"/>
    <cellStyle name="Good 59" xfId="4194" xr:uid="{79DDABF2-9807-4984-938A-217A2E4AF111}"/>
    <cellStyle name="Good 6" xfId="4195" xr:uid="{3D0B5FE1-E72E-42A1-9B94-3E8C728930B7}"/>
    <cellStyle name="Good 60" xfId="4196" xr:uid="{D933D1F0-5852-4BFF-984C-D1B1AC7DD69D}"/>
    <cellStyle name="Good 60 2" xfId="4197" xr:uid="{B3D9869B-F233-4A5D-A1D1-D85BEF198E27}"/>
    <cellStyle name="Good 60 2 2" xfId="4198" xr:uid="{80C8C4FE-1AB0-4D67-8C1E-9B2564E43EEA}"/>
    <cellStyle name="Good 60 2 3" xfId="4199" xr:uid="{E8E6D4B3-1185-434E-84CD-10103943E0EA}"/>
    <cellStyle name="Good 61" xfId="4200" xr:uid="{FF195DEC-606F-4D7E-8DD3-8DDB2971578B}"/>
    <cellStyle name="Good 62" xfId="4201" xr:uid="{89BBD68C-B4EB-44FC-BD51-CB45FDA13455}"/>
    <cellStyle name="Good 63" xfId="4202" xr:uid="{5F6BF3FF-7CD0-4739-87B6-44FC5ECAFAEC}"/>
    <cellStyle name="Good 64" xfId="4203" xr:uid="{780706AD-B049-41BB-BFA8-58D1AFEE83CB}"/>
    <cellStyle name="Good 65" xfId="4204" xr:uid="{CB60BB9E-BF4B-4C03-A4CD-6643479AA994}"/>
    <cellStyle name="Good 7" xfId="4205" xr:uid="{AAA5703C-6D82-431B-865E-1272B7286A62}"/>
    <cellStyle name="Good 8" xfId="4206" xr:uid="{83A5B73D-AD4D-4A9A-9D7D-939C3362A71B}"/>
    <cellStyle name="Good 9" xfId="4207" xr:uid="{FA414A68-B1CE-4193-AAAD-5CFB697D95FD}"/>
    <cellStyle name="Grey" xfId="71" xr:uid="{F2DAF9BD-F9EB-449E-A684-F73351DDE699}"/>
    <cellStyle name="Grey 2" xfId="4208" xr:uid="{9581AF85-7567-420D-80F0-330F26DA20EC}"/>
    <cellStyle name="Group" xfId="4209" xr:uid="{ADBBB736-94B4-4EF6-B8A9-A7279CCBFCC1}"/>
    <cellStyle name="GroupNote" xfId="4210" xr:uid="{4D2F1F6D-89B0-4053-8F0A-4DE16F2D973D}"/>
    <cellStyle name="Hard Percent" xfId="4211" xr:uid="{7D4553A2-2F91-4E1A-9919-FC8BA9F3F372}"/>
    <cellStyle name="HardCodeCalc" xfId="4212" xr:uid="{55498EAF-4F18-4D6D-8557-3CD2366CF785}"/>
    <cellStyle name="head11a" xfId="4213" xr:uid="{0BB437DA-E70F-49FE-A311-A603C3E897AD}"/>
    <cellStyle name="head11b" xfId="4214" xr:uid="{6A97179F-0E46-4542-B3C8-9DA1AC310246}"/>
    <cellStyle name="head11c" xfId="4215" xr:uid="{B3F6B506-2450-4D33-9F92-141236F4D948}"/>
    <cellStyle name="head14" xfId="4216" xr:uid="{6371FC1F-A124-48DC-9D9B-DBC0C467A76C}"/>
    <cellStyle name="headd" xfId="4217" xr:uid="{5A65F3E5-5182-41F5-8F41-BEE222D5768E}"/>
    <cellStyle name="Header" xfId="4218" xr:uid="{3A2DD0E4-9E64-4B7C-AE95-4E15654887F4}"/>
    <cellStyle name="Header 2" xfId="4219" xr:uid="{47371B0A-891D-4AAC-B64B-A3E4F87E112E}"/>
    <cellStyle name="Header Draft Stamp" xfId="4220" xr:uid="{B9B7AB8E-6D69-463C-B024-B331C5405DA8}"/>
    <cellStyle name="Header_% Change" xfId="4221" xr:uid="{3301DA0E-4237-49B3-89D2-430F4D020245}"/>
    <cellStyle name="Header1" xfId="4222" xr:uid="{F13A88B4-DF10-4CB5-9485-5D71EECBAF04}"/>
    <cellStyle name="Header2" xfId="4223" xr:uid="{4DAE5699-986F-4B10-AEC3-F90C782E8B6F}"/>
    <cellStyle name="HeaderLabel" xfId="72" xr:uid="{E7ABDF4A-4958-47F8-A6CD-170A987AE700}"/>
    <cellStyle name="HeaderText" xfId="73" xr:uid="{CE248CE7-3991-4E5A-A40C-3695A9BEBAE8}"/>
    <cellStyle name="Heading" xfId="404" xr:uid="{52645E4C-CDFB-4DEE-ABD4-15833B6FB747}"/>
    <cellStyle name="Heading 1" xfId="4" builtinId="16" customBuiltin="1"/>
    <cellStyle name="Heading 1 10" xfId="4225" xr:uid="{96F4B4A6-50E4-4990-B5B2-9EB6AF66A0C1}"/>
    <cellStyle name="Heading 1 11" xfId="4226" xr:uid="{5E10CF88-CB56-4C21-9F43-2664C3ACC886}"/>
    <cellStyle name="Heading 1 12" xfId="4227" xr:uid="{E6E3DE99-3642-40AC-A5C9-1B9F3461FAC1}"/>
    <cellStyle name="Heading 1 13" xfId="4228" xr:uid="{0F8E6DFD-D67E-4F60-870E-B1DBA900F891}"/>
    <cellStyle name="Heading 1 14" xfId="4229" xr:uid="{45651073-D5E0-41AD-B716-25921DFB36D7}"/>
    <cellStyle name="Heading 1 15" xfId="4230" xr:uid="{693AC16A-6F2C-4FD1-B9D5-47C8BDC7C228}"/>
    <cellStyle name="Heading 1 16" xfId="4231" xr:uid="{C9807050-7FA0-4500-A978-84A0DEFCAE93}"/>
    <cellStyle name="Heading 1 17" xfId="4232" xr:uid="{B17343F1-551C-4E9C-B67F-1142F17226BE}"/>
    <cellStyle name="Heading 1 18" xfId="4233" xr:uid="{A4A0ED1D-2607-4C00-8892-119B31B504DD}"/>
    <cellStyle name="Heading 1 19" xfId="4234" xr:uid="{477D3661-E532-4E84-A5D6-6E4E8A856923}"/>
    <cellStyle name="Heading 1 2" xfId="74" xr:uid="{F65A6958-0033-4BAB-9B53-090EDFB30D4B}"/>
    <cellStyle name="HEADING 1 2 10" xfId="4236" xr:uid="{B2955DAD-BDEE-4ECA-9299-AC94B01CADDD}"/>
    <cellStyle name="Heading 1 2 11" xfId="4237" xr:uid="{5650F614-3DC4-4542-9567-DFD0BE326C23}"/>
    <cellStyle name="Heading 1 2 12" xfId="4238" xr:uid="{BB98723E-EBCA-4B7E-93CB-D5083EC08F0F}"/>
    <cellStyle name="Heading 1 2 13" xfId="4239" xr:uid="{414E8CB3-1136-4E6F-8769-D2C68530172C}"/>
    <cellStyle name="Heading 1 2 14" xfId="4240" xr:uid="{D6FF827E-F826-46F8-8F22-86AB04C6FE24}"/>
    <cellStyle name="Heading 1 2 15" xfId="4241" xr:uid="{C2147502-3CC0-40CF-B0CD-B4E49D4B354D}"/>
    <cellStyle name="Heading 1 2 16" xfId="4242" xr:uid="{89FB8467-4B28-4C0F-B537-73873E300947}"/>
    <cellStyle name="Heading 1 2 17" xfId="4243" xr:uid="{459881EB-082B-48A9-A6C0-4389DFA8CAE4}"/>
    <cellStyle name="Heading 1 2 18" xfId="4244" xr:uid="{48D58D52-52DB-4085-9D47-64C9C43A5966}"/>
    <cellStyle name="Heading 1 2 19" xfId="4245" xr:uid="{E0ADFF3E-0A7D-45AF-8A77-B41F6B4C6E62}"/>
    <cellStyle name="Heading 1 2 2" xfId="75" xr:uid="{A1C60287-0F5E-4423-A473-0A236A4813CA}"/>
    <cellStyle name="Heading 1 2 2 2" xfId="4246" xr:uid="{3705C3AE-0AF9-43D7-B943-6354A88D7FE2}"/>
    <cellStyle name="Heading 1 2 20" xfId="4235" xr:uid="{4C54BA24-FEF2-496D-80E5-5DDAA751DA6A}"/>
    <cellStyle name="Heading 1 2 3" xfId="4247" xr:uid="{F4A752FF-FD6F-4A6C-AF6B-541FC3D42A1A}"/>
    <cellStyle name="Heading 1 2 3 2" xfId="4248" xr:uid="{5D53D073-F19F-41C5-873A-CEFC35A6F369}"/>
    <cellStyle name="Heading 1 2 4" xfId="4249" xr:uid="{E5AF9DE8-51BA-4ED5-AD78-69AC8AA78B1E}"/>
    <cellStyle name="Heading 1 2 4 2" xfId="4250" xr:uid="{E0F91C9F-89AC-4715-9786-823A4AE19091}"/>
    <cellStyle name="Heading 1 2 5" xfId="4251" xr:uid="{483F8A54-6BCA-4DB5-B406-DCFB1F66F92D}"/>
    <cellStyle name="Heading 1 2 5 2" xfId="4252" xr:uid="{92C0DACE-6875-4825-B25E-ED82C509BC74}"/>
    <cellStyle name="Heading 1 2 6" xfId="4253" xr:uid="{FC4D9E6C-462B-43B6-9A11-8C6A2BAC7BFB}"/>
    <cellStyle name="Heading 1 2 6 2" xfId="4254" xr:uid="{9BC08A0A-7C89-4309-AB66-BFEF77FB46C3}"/>
    <cellStyle name="HEADING 1 2 7" xfId="4255" xr:uid="{996D57E9-7C56-408B-9EEF-287404FC0EB5}"/>
    <cellStyle name="HEADING 1 2 8" xfId="4256" xr:uid="{B311E59A-26A2-40F7-B07C-A79490A29F8E}"/>
    <cellStyle name="HEADING 1 2 9" xfId="4257" xr:uid="{4406AE13-1B85-4DCB-A107-5379C38F34F7}"/>
    <cellStyle name="Heading 1 2_asset sales" xfId="76" xr:uid="{9C4375B4-F75D-436B-82D5-6F8033394888}"/>
    <cellStyle name="Heading 1 20" xfId="4258" xr:uid="{BEE6023D-A000-4898-AA0A-9BB751EF5986}"/>
    <cellStyle name="Heading 1 21" xfId="4259" xr:uid="{B3E4C7E9-5C2B-48E7-97D3-3DA1389C3F52}"/>
    <cellStyle name="Heading 1 22" xfId="4260" xr:uid="{F1E8BE89-3271-4B17-9C73-A404705CC67C}"/>
    <cellStyle name="Heading 1 23" xfId="4261" xr:uid="{34F085EF-D072-496B-BAAA-FAB4E1F3B2A6}"/>
    <cellStyle name="Heading 1 24" xfId="4262" xr:uid="{00246643-5916-40E5-A5E3-D3BC2FD7E428}"/>
    <cellStyle name="Heading 1 25" xfId="4263" xr:uid="{BE7AA988-E061-4A90-B649-612F919973EB}"/>
    <cellStyle name="Heading 1 26" xfId="4264" xr:uid="{4CCFF76E-FF8D-4DA7-9D6E-9E53BF15B952}"/>
    <cellStyle name="Heading 1 27" xfId="4265" xr:uid="{50DF8494-0ACE-481C-A6B5-CBF5FECB3C8B}"/>
    <cellStyle name="Heading 1 28" xfId="4266" xr:uid="{E98B17E4-969F-4B85-8195-A1615DCF3A80}"/>
    <cellStyle name="Heading 1 29" xfId="4267" xr:uid="{70D00C5D-E1C3-4BF9-955B-7F2F4D65C198}"/>
    <cellStyle name="Heading 1 3" xfId="77" xr:uid="{C281E150-56A8-40FC-9C78-2DA1BE51F7B1}"/>
    <cellStyle name="HEADING 1 3 2" xfId="4268" xr:uid="{FB3502F4-18DA-45E7-805E-9E487C06FCEA}"/>
    <cellStyle name="Heading 1 30" xfId="4269" xr:uid="{9A66A359-103A-426B-96D7-52C032F13ABC}"/>
    <cellStyle name="Heading 1 31" xfId="4270" xr:uid="{F54C8F21-DA56-46C3-8CE7-5B79B7C9C0F9}"/>
    <cellStyle name="Heading 1 32" xfId="4271" xr:uid="{11B1AFA0-5854-4F81-99F2-7866CEEAED4A}"/>
    <cellStyle name="Heading 1 33" xfId="4272" xr:uid="{9D536CD2-CBC5-447D-9D92-20965508D183}"/>
    <cellStyle name="Heading 1 34" xfId="4273" xr:uid="{4B101BCB-0E8D-48BB-B0E3-5728DDEA4EA6}"/>
    <cellStyle name="Heading 1 35" xfId="4274" xr:uid="{B16529F3-2F41-4BD8-BAD1-FE1FF4EA16E1}"/>
    <cellStyle name="Heading 1 35 2" xfId="4275" xr:uid="{AFA9F977-F9CF-400B-BCE6-1FAB1F1FC03F}"/>
    <cellStyle name="Heading 1 35 2 2" xfId="4276" xr:uid="{B17FE33B-31FA-4A88-BBD0-E864F3AF9A47}"/>
    <cellStyle name="Heading 1 35 2 2 2" xfId="4277" xr:uid="{7CD284EF-BDDD-4D53-BEF1-9061CBC524B9}"/>
    <cellStyle name="Heading 1 35 3" xfId="4278" xr:uid="{95762FB8-946F-46B7-B2A7-9B37738AD7B8}"/>
    <cellStyle name="Heading 1 35 4" xfId="4279" xr:uid="{B36951EE-4386-4D66-97B1-0487341BE7FE}"/>
    <cellStyle name="Heading 1 36" xfId="4280" xr:uid="{377A24BD-0840-47E5-94A7-92D9D37C9796}"/>
    <cellStyle name="Heading 1 37" xfId="4281" xr:uid="{1A85B073-9A40-4FC9-99E9-84CA8AFFBE06}"/>
    <cellStyle name="Heading 1 38" xfId="4282" xr:uid="{BB8BD8AB-C1BD-4A39-B4F3-A2FD3C8AB204}"/>
    <cellStyle name="Heading 1 39" xfId="4283" xr:uid="{5FDE49B4-BCA7-4101-A217-1AE037BE3563}"/>
    <cellStyle name="Heading 1 4" xfId="78" xr:uid="{7DC5EDE3-D189-4387-A2AF-9CC0A75B9922}"/>
    <cellStyle name="Heading 1 4 2" xfId="379" xr:uid="{C79FDDC3-6DF8-4C76-B512-7599B941543B}"/>
    <cellStyle name="Heading 1 4 2 2" xfId="4284" xr:uid="{F9647ADD-F026-4CF0-AE44-9A70ED596343}"/>
    <cellStyle name="HEADING 1 4 3" xfId="4285" xr:uid="{F8F94E07-2151-4649-9820-2357C3EC6A73}"/>
    <cellStyle name="HEADING 1 4 4" xfId="4286" xr:uid="{519061EB-7426-494C-A7CA-18262D05EA10}"/>
    <cellStyle name="HEADING 1 4 5" xfId="4287" xr:uid="{9B7A90EA-AE2D-4ADB-8313-ADD6129AF0F7}"/>
    <cellStyle name="HEADING 1 4 6" xfId="4288" xr:uid="{D9850F92-47D3-4D09-80BA-48953F067A7E}"/>
    <cellStyle name="HEADING 1 4 7" xfId="4289" xr:uid="{D65ABE4B-76EF-4ADF-8079-7ACFFB5E6F2F}"/>
    <cellStyle name="Heading 1 40" xfId="4290" xr:uid="{780D0455-A6AC-4878-8389-BE2C5650377F}"/>
    <cellStyle name="Heading 1 41" xfId="4291" xr:uid="{71338355-31CF-49AA-8E9C-819964AA118A}"/>
    <cellStyle name="Heading 1 42" xfId="4292" xr:uid="{77126CAB-8AFA-4ADF-9F8C-D3D6174BAD65}"/>
    <cellStyle name="Heading 1 43" xfId="4293" xr:uid="{100C45B6-82AD-4415-9495-484CAF14889F}"/>
    <cellStyle name="Heading 1 44" xfId="4294" xr:uid="{7CC43519-7E0B-4FDF-9422-60B6E51D210B}"/>
    <cellStyle name="Heading 1 45" xfId="4295" xr:uid="{D8903F07-18D2-4707-A43C-DCB7FF8975D4}"/>
    <cellStyle name="Heading 1 46" xfId="4296" xr:uid="{FECADB98-9307-4C26-A2D0-A168D5D2A2E6}"/>
    <cellStyle name="Heading 1 47" xfId="4297" xr:uid="{B80BB9D9-AF04-4D58-A105-169D2EB0E3AE}"/>
    <cellStyle name="Heading 1 48" xfId="4298" xr:uid="{C071DC8D-2521-41F3-96AC-F474D65CF421}"/>
    <cellStyle name="Heading 1 49" xfId="4299" xr:uid="{BEBE34DE-2839-4338-AE99-F3FD1C5608EE}"/>
    <cellStyle name="Heading 1 5" xfId="380" xr:uid="{AF7F7802-97AB-4A08-A9ED-683B53A73A06}"/>
    <cellStyle name="Heading 1 5 2" xfId="4300" xr:uid="{A273DA8B-611B-49A5-B8CD-B22830A27825}"/>
    <cellStyle name="Heading 1 50" xfId="4301" xr:uid="{4234DC12-5822-467B-9C57-FD5E82BE29EE}"/>
    <cellStyle name="Heading 1 51" xfId="4302" xr:uid="{D318708F-641A-4BBB-AC93-3EA35FF73301}"/>
    <cellStyle name="Heading 1 52" xfId="4303" xr:uid="{BC163219-0CD1-440C-8BD9-48B48E3979A4}"/>
    <cellStyle name="Heading 1 53" xfId="4304" xr:uid="{06FCB72A-6D41-42E9-B4B7-53C12C2C076A}"/>
    <cellStyle name="Heading 1 54" xfId="4305" xr:uid="{634F27E5-5D7B-49B9-A55A-3CA1ADB174DD}"/>
    <cellStyle name="Heading 1 55" xfId="4306" xr:uid="{BF979410-B951-4D34-B944-4D7FE21C9744}"/>
    <cellStyle name="Heading 1 56" xfId="4307" xr:uid="{D4BED477-0FE0-4833-B8FB-78C26B39A191}"/>
    <cellStyle name="Heading 1 57" xfId="4308" xr:uid="{44A88B4C-483A-4FF6-89CC-521698F9D335}"/>
    <cellStyle name="Heading 1 58" xfId="4309" xr:uid="{A3609080-A663-400B-8D4D-FA35857334F7}"/>
    <cellStyle name="Heading 1 59" xfId="4310" xr:uid="{DC270163-16E8-46D2-9F50-4D8408E928F9}"/>
    <cellStyle name="Heading 1 6" xfId="390" xr:uid="{B51FC753-C394-4C8B-B18D-E12206E1A316}"/>
    <cellStyle name="Heading 1 6 2" xfId="4311" xr:uid="{EB4D51DB-9A23-4AC3-B39F-38B1A42B9982}"/>
    <cellStyle name="Heading 1 60" xfId="4312" xr:uid="{D37C983C-D9CF-4A4C-B7CF-AB358D7F0E8F}"/>
    <cellStyle name="Heading 1 60 2" xfId="4313" xr:uid="{2AC8B3A3-1FF2-4F81-A251-C695719F4DF5}"/>
    <cellStyle name="Heading 1 60 2 2" xfId="4314" xr:uid="{F801A5FB-11A2-498F-9CD7-F356C8607C61}"/>
    <cellStyle name="Heading 1 60 2 2 2" xfId="4315" xr:uid="{C786052E-6801-45BE-A157-237394229A26}"/>
    <cellStyle name="Heading 1 60 2 3" xfId="4316" xr:uid="{F1E5ED49-61F7-4931-9D1B-9DCC90C958AC}"/>
    <cellStyle name="Heading 1 61" xfId="4317" xr:uid="{126E0B42-2248-40FC-9655-5DF921249C02}"/>
    <cellStyle name="Heading 1 62" xfId="4318" xr:uid="{53A04A8D-4A23-4454-9BEC-67475EB273BC}"/>
    <cellStyle name="Heading 1 63" xfId="4319" xr:uid="{83E46E78-3631-439C-930D-B592BB31395A}"/>
    <cellStyle name="Heading 1 64" xfId="4320" xr:uid="{7368A1ED-6E13-445B-A7C7-CBAFF7C2047E}"/>
    <cellStyle name="Heading 1 65" xfId="4321" xr:uid="{34D54CBE-09BD-4630-A7E5-277896C29274}"/>
    <cellStyle name="Heading 1 7" xfId="392" xr:uid="{A12C4B45-AE86-40A8-B8C2-5F6DFF0B3A43}"/>
    <cellStyle name="Heading 1 7 2" xfId="4322" xr:uid="{99AE868D-AEBB-47B8-98E4-B0384FE47825}"/>
    <cellStyle name="Heading 1 8" xfId="409" xr:uid="{088ADD14-6EC0-4232-A688-FA8F1A53C307}"/>
    <cellStyle name="Heading 1 8 2" xfId="4323" xr:uid="{E073EA3B-8DA3-41EA-8C77-7F5B52CD76A5}"/>
    <cellStyle name="Heading 1 9" xfId="410" xr:uid="{F49F1753-E03F-4A25-A57E-4327E4D433E9}"/>
    <cellStyle name="Heading 1 9 2" xfId="4324" xr:uid="{9A366633-E148-4E19-A900-77679984916D}"/>
    <cellStyle name="Heading 1 Above" xfId="4325" xr:uid="{CF2E1520-CF05-4E8A-B979-B91F176F99A4}"/>
    <cellStyle name="Heading 1." xfId="4326" xr:uid="{62B4BBF7-DD1E-4A0C-B10C-C78097A13FF9}"/>
    <cellStyle name="Heading 1+" xfId="4327" xr:uid="{74552936-D313-4A34-B732-C0BB7647E512}"/>
    <cellStyle name="heading 10" xfId="4328" xr:uid="{B6693556-B23C-48AB-B5B0-B699302A1573}"/>
    <cellStyle name="Heading 11" xfId="4224" xr:uid="{7837A96F-145B-4518-8F88-F1E2AEDDFA3E}"/>
    <cellStyle name="Heading 2" xfId="5" builtinId="17" customBuiltin="1"/>
    <cellStyle name="Heading 2 10" xfId="4329" xr:uid="{3207DB3C-BF37-45D1-BA85-D96BF333FF0F}"/>
    <cellStyle name="Heading 2 11" xfId="4330" xr:uid="{1FB3114D-7676-4346-B17D-1B6E6B82972A}"/>
    <cellStyle name="Heading 2 12" xfId="4331" xr:uid="{75DD5AFA-55AA-4097-AD11-69DF0BB31D39}"/>
    <cellStyle name="Heading 2 13" xfId="4332" xr:uid="{0DB1EDFE-571B-45FB-89D1-8E0C499B4549}"/>
    <cellStyle name="Heading 2 14" xfId="4333" xr:uid="{4D4A2EBF-57FF-41EB-9F37-F1E864B64F71}"/>
    <cellStyle name="Heading 2 15" xfId="4334" xr:uid="{7C2CEEF5-C68C-482D-9650-0DDD3513CE34}"/>
    <cellStyle name="Heading 2 16" xfId="4335" xr:uid="{74269365-B56D-4C01-BE6B-550D52317D28}"/>
    <cellStyle name="Heading 2 17" xfId="4336" xr:uid="{F992CCFE-1837-4872-9C78-978FDD2700F8}"/>
    <cellStyle name="Heading 2 18" xfId="4337" xr:uid="{9D76BB9A-20B5-4301-B613-1F2E8133D0DC}"/>
    <cellStyle name="Heading 2 19" xfId="4338" xr:uid="{CAB3887B-2DEB-4D06-B3F2-33C38D562BBB}"/>
    <cellStyle name="Heading 2 2" xfId="79" xr:uid="{8EE95800-C877-4309-9DFA-9C7448558163}"/>
    <cellStyle name="HEADING 2 2 10" xfId="4340" xr:uid="{A5722846-E2D0-4D99-8C21-D4F58F2807B8}"/>
    <cellStyle name="Heading 2 2 11" xfId="4341" xr:uid="{E8DB2CE7-DC8B-49A7-A6EA-80AA7F11EA03}"/>
    <cellStyle name="Heading 2 2 12" xfId="4342" xr:uid="{DA953E49-4BC7-4EC2-AF38-4D4DF3018C67}"/>
    <cellStyle name="Heading 2 2 13" xfId="4343" xr:uid="{EEB1D3EB-3E50-45A4-B61E-949EE7FAEFED}"/>
    <cellStyle name="Heading 2 2 14" xfId="4344" xr:uid="{DC76159D-4563-4FB1-BA7F-E8707E8810AC}"/>
    <cellStyle name="Heading 2 2 15" xfId="4345" xr:uid="{8FFA7A38-3634-449E-A4ED-B8B156CCAF8E}"/>
    <cellStyle name="Heading 2 2 16" xfId="4346" xr:uid="{C4ED1E3D-A4A8-4204-B697-5D237D56C5F7}"/>
    <cellStyle name="Heading 2 2 17" xfId="4347" xr:uid="{FBC65A0A-1068-4263-B5BE-F0E919E5C163}"/>
    <cellStyle name="Heading 2 2 18" xfId="4348" xr:uid="{EB171324-4FF7-4D21-8898-6C2368E7419F}"/>
    <cellStyle name="Heading 2 2 19" xfId="4339" xr:uid="{17C2EBA0-CF3C-49D3-A801-9470738050F6}"/>
    <cellStyle name="Heading 2 2 2" xfId="381" xr:uid="{AA92BC6A-CA86-4C75-BD6F-650A07A7402E}"/>
    <cellStyle name="Heading 2 2 2 2" xfId="4350" xr:uid="{021194B3-2D36-4A14-B667-2F893E595041}"/>
    <cellStyle name="Heading 2 2 2 3" xfId="4349" xr:uid="{A249E281-5FCD-4C44-850A-00F6C41FBAE4}"/>
    <cellStyle name="Heading 2 2 3" xfId="4351" xr:uid="{2816BCBF-17B2-46A7-AC6C-D7B8EC7978AA}"/>
    <cellStyle name="HEADING 2 2 4" xfId="4352" xr:uid="{F038E7D9-4B45-4092-915A-70AECEC8494D}"/>
    <cellStyle name="HEADING 2 2 5" xfId="4353" xr:uid="{8895746C-11AF-41F7-A367-B47922585797}"/>
    <cellStyle name="HEADING 2 2 6" xfId="4354" xr:uid="{5FB1D9B7-5EFA-46A9-8DF9-E092B137D147}"/>
    <cellStyle name="HEADING 2 2 7" xfId="4355" xr:uid="{F6A6252A-863F-410A-B96E-97E977BAF8EE}"/>
    <cellStyle name="HEADING 2 2 8" xfId="4356" xr:uid="{DA00CF23-7185-4234-83F2-46AC579D9722}"/>
    <cellStyle name="HEADING 2 2 9" xfId="4357" xr:uid="{3ECB541B-D306-4FFC-A805-0A35E805F0B3}"/>
    <cellStyle name="Heading 2 20" xfId="4358" xr:uid="{735CC3D2-1142-45B3-9C53-F135A541C3EB}"/>
    <cellStyle name="Heading 2 21" xfId="4359" xr:uid="{B5CA4806-520F-4E6C-BA65-24ACE64EDDA6}"/>
    <cellStyle name="Heading 2 22" xfId="4360" xr:uid="{268F4AB7-1B2D-4FE2-8EDB-B33E1746AD04}"/>
    <cellStyle name="Heading 2 23" xfId="4361" xr:uid="{723D73B9-44F4-4B58-97AC-41BF155D2415}"/>
    <cellStyle name="Heading 2 24" xfId="4362" xr:uid="{43EE4D0D-862B-4CBA-B474-D462B31EAE11}"/>
    <cellStyle name="Heading 2 25" xfId="4363" xr:uid="{46693E87-DCE8-44D1-B833-B40596683478}"/>
    <cellStyle name="Heading 2 26" xfId="4364" xr:uid="{64E2AFA5-577C-46C7-9162-4EA401530028}"/>
    <cellStyle name="Heading 2 27" xfId="4365" xr:uid="{B51039FA-B73D-4030-9A32-BE2A87E442EC}"/>
    <cellStyle name="Heading 2 28" xfId="4366" xr:uid="{2686C021-B497-452B-A4F9-1603E86E9AD3}"/>
    <cellStyle name="Heading 2 29" xfId="4367" xr:uid="{44274644-08FA-42B4-95DF-01EDCAD26773}"/>
    <cellStyle name="Heading 2 3" xfId="80" xr:uid="{057B30B1-C59D-4E8A-8611-556E65EE3D5B}"/>
    <cellStyle name="HEADING 2 3 2" xfId="4368" xr:uid="{F13123DE-17D8-47B5-A38C-D3EFFC1D5F3A}"/>
    <cellStyle name="Heading 2 30" xfId="4369" xr:uid="{DEFAC4DE-70A9-49FF-B190-DCC73445CC65}"/>
    <cellStyle name="Heading 2 31" xfId="4370" xr:uid="{1C27F285-9814-402F-ACD0-639B03DDB2D4}"/>
    <cellStyle name="Heading 2 32" xfId="4371" xr:uid="{10CE66AB-0DA4-4D55-B6A0-544B63D05782}"/>
    <cellStyle name="Heading 2 33" xfId="4372" xr:uid="{EC127B6D-F91E-4B76-BDAB-2721A71AC6BA}"/>
    <cellStyle name="Heading 2 34" xfId="4373" xr:uid="{EF9BDCDE-A881-4C87-9361-B1E6B0C1D5AB}"/>
    <cellStyle name="Heading 2 35" xfId="4374" xr:uid="{DFEC2285-08C5-4868-A9E8-E0BDE3D5B394}"/>
    <cellStyle name="Heading 2 35 2" xfId="4375" xr:uid="{88BDDD65-3230-415E-B261-BCD4CF1217ED}"/>
    <cellStyle name="Heading 2 35 2 2" xfId="4376" xr:uid="{415F576E-15F5-4ECF-B295-F23857980FFE}"/>
    <cellStyle name="Heading 2 35 2 2 2" xfId="4377" xr:uid="{9D320392-6DDB-4256-81CA-2D6258FC47E6}"/>
    <cellStyle name="Heading 2 35 3" xfId="4378" xr:uid="{1EF1D6D1-2399-449E-87B8-292064AD388D}"/>
    <cellStyle name="Heading 2 35 4" xfId="4379" xr:uid="{BD3870C7-6650-4F75-A433-1F339E04FEE7}"/>
    <cellStyle name="Heading 2 36" xfId="4380" xr:uid="{8A08F479-BCE9-4064-824B-DEB74010E1A0}"/>
    <cellStyle name="Heading 2 37" xfId="4381" xr:uid="{9E2A0E2F-C145-4C79-B2D1-37C2DA023A06}"/>
    <cellStyle name="Heading 2 38" xfId="4382" xr:uid="{1E0E6B24-B2D7-47E8-887B-D0D09AC8F866}"/>
    <cellStyle name="Heading 2 39" xfId="4383" xr:uid="{C6077B0B-EE3F-4086-8763-A70A2D6C3710}"/>
    <cellStyle name="Heading 2 4" xfId="382" xr:uid="{72AC3D28-8DCF-4E72-B2BB-F87843FE5AEF}"/>
    <cellStyle name="Heading 2 4 2" xfId="4385" xr:uid="{B8B0F99E-6E68-469C-B00A-E4DAFD9D5DA2}"/>
    <cellStyle name="HEADING 2 4 3" xfId="4386" xr:uid="{9F0B8AC9-CCC2-4E35-B6C0-9F056D2C996E}"/>
    <cellStyle name="HEADING 2 4 4" xfId="4387" xr:uid="{0BE10162-0B74-4D3F-BD4B-A5E1414DAC8C}"/>
    <cellStyle name="HEADING 2 4 5" xfId="4388" xr:uid="{4C6412DE-4ACD-47A1-832E-56A2B8E3AF09}"/>
    <cellStyle name="HEADING 2 4 6" xfId="4389" xr:uid="{9786B2C7-96F7-4980-B4F4-908BD78D23B3}"/>
    <cellStyle name="HEADING 2 4 7" xfId="4390" xr:uid="{3A6205A0-9105-42F9-8EB9-C7B536123543}"/>
    <cellStyle name="Heading 2 4 8" xfId="4384" xr:uid="{C6917F9E-417C-4DDF-8C4C-595409D03CAA}"/>
    <cellStyle name="Heading 2 40" xfId="4391" xr:uid="{3469C7DF-DA36-432D-AEDD-76C6CD91C2BB}"/>
    <cellStyle name="Heading 2 41" xfId="4392" xr:uid="{4750A11C-1DE8-432F-83EA-D6D77A81B972}"/>
    <cellStyle name="Heading 2 42" xfId="4393" xr:uid="{F75E7434-85DC-4B5C-9AA1-CF54A674F3CB}"/>
    <cellStyle name="Heading 2 43" xfId="4394" xr:uid="{741A0F13-E82A-4C68-86BE-FC9BE47F0000}"/>
    <cellStyle name="Heading 2 44" xfId="4395" xr:uid="{F04C2A6A-9AC9-4C50-81E2-5DFD93F856C3}"/>
    <cellStyle name="Heading 2 45" xfId="4396" xr:uid="{127172A6-A2CC-4CB9-B7D1-91E775CFB06C}"/>
    <cellStyle name="Heading 2 46" xfId="4397" xr:uid="{41E1B1B1-E745-4E09-999B-4EBA6393DE64}"/>
    <cellStyle name="Heading 2 47" xfId="4398" xr:uid="{77F3B1B2-152F-4723-8393-67E6B3D304FE}"/>
    <cellStyle name="Heading 2 48" xfId="4399" xr:uid="{59AE2C89-C2DD-4726-A9A7-C03DB0151A0B}"/>
    <cellStyle name="Heading 2 49" xfId="4400" xr:uid="{5CD16C53-3A90-4DB9-8FE2-7DE5907D8704}"/>
    <cellStyle name="Heading 2 5" xfId="393" xr:uid="{09F776D0-4BBA-4DFE-A074-2EBC45FF4A0D}"/>
    <cellStyle name="Heading 2 5 2" xfId="4401" xr:uid="{E6C2AB73-80EB-4740-813F-AA9C6703B53F}"/>
    <cellStyle name="Heading 2 50" xfId="4402" xr:uid="{BAC1F068-DFFC-493A-8338-FEA4A288F71D}"/>
    <cellStyle name="Heading 2 51" xfId="4403" xr:uid="{E313403A-A72C-4CB2-A966-5158DF85C7CB}"/>
    <cellStyle name="Heading 2 52" xfId="4404" xr:uid="{2ADA179B-4860-4B07-B3BB-AD12D15775D9}"/>
    <cellStyle name="Heading 2 53" xfId="4405" xr:uid="{9A9BBD0E-A622-49B5-B4FA-1C8093F19852}"/>
    <cellStyle name="Heading 2 54" xfId="4406" xr:uid="{83A71E68-78A1-4605-846F-8813826F07AE}"/>
    <cellStyle name="Heading 2 55" xfId="4407" xr:uid="{9B4DA927-2E8A-47CD-8BC8-2AD3E3F61EEB}"/>
    <cellStyle name="Heading 2 56" xfId="4408" xr:uid="{8C3F912A-B950-49A8-9C3B-6BC63DD6FED6}"/>
    <cellStyle name="Heading 2 57" xfId="4409" xr:uid="{871D0E08-B34C-4A3A-B586-18FD73650246}"/>
    <cellStyle name="Heading 2 58" xfId="4410" xr:uid="{7A711999-9EE3-435E-B124-A7E46F3AFD3D}"/>
    <cellStyle name="Heading 2 59" xfId="4411" xr:uid="{0AC738AB-8D64-44B1-B962-7AD80001BEAD}"/>
    <cellStyle name="Heading 2 6" xfId="4412" xr:uid="{17DDDCE1-AF30-46FD-AB08-7328A8B66AE5}"/>
    <cellStyle name="Heading 2 60" xfId="4413" xr:uid="{E39C73F7-2C10-487D-A615-AD5FCFBFF3F0}"/>
    <cellStyle name="Heading 2 60 2" xfId="4414" xr:uid="{E5F194C2-23B5-4704-9767-7A39E598F98E}"/>
    <cellStyle name="Heading 2 60 2 2" xfId="4415" xr:uid="{C689B7A2-93AA-480A-A958-E25D59FF13A2}"/>
    <cellStyle name="Heading 2 60 2 2 2" xfId="4416" xr:uid="{61A17EBD-55DC-4343-8F11-7A9A5CCDF48D}"/>
    <cellStyle name="Heading 2 60 2 3" xfId="4417" xr:uid="{37FCE64E-211D-4F63-9D59-B815D7F34B68}"/>
    <cellStyle name="Heading 2 61" xfId="4418" xr:uid="{336D10B8-4BD7-4081-8895-01454250863F}"/>
    <cellStyle name="Heading 2 62" xfId="4419" xr:uid="{EABBCD78-F7E7-474C-B8BD-E799AF9385CA}"/>
    <cellStyle name="Heading 2 63" xfId="4420" xr:uid="{319681AA-E356-4D7B-801E-570FCDE6BDBD}"/>
    <cellStyle name="Heading 2 64" xfId="4421" xr:uid="{2705F712-05A7-4E42-98BA-8CBFC3F4B971}"/>
    <cellStyle name="Heading 2 65" xfId="4422" xr:uid="{0454FA5F-674E-4ACD-AABD-48D2EBFC4513}"/>
    <cellStyle name="Heading 2 7" xfId="4423" xr:uid="{9BB1B6DB-3D64-4051-92C8-CDA1A1B220E7}"/>
    <cellStyle name="Heading 2 8" xfId="4424" xr:uid="{30891849-B2C9-4F72-8197-AFF394684972}"/>
    <cellStyle name="Heading 2 9" xfId="4425" xr:uid="{63D61906-8BD1-4CB9-8865-306040E71076}"/>
    <cellStyle name="Heading 2 Below" xfId="4426" xr:uid="{3B7E99C2-A67B-4009-8324-DE7472255A3E}"/>
    <cellStyle name="Heading 2." xfId="4427" xr:uid="{F55718C1-F593-44E5-AF91-3B19BF49A9F3}"/>
    <cellStyle name="Heading 2+" xfId="4428" xr:uid="{6B7EBF12-3A20-41C4-8CF1-53B85F9B6F60}"/>
    <cellStyle name="Heading 3" xfId="6" builtinId="18" customBuiltin="1"/>
    <cellStyle name="Heading 3 10" xfId="4429" xr:uid="{90EA6F96-F972-4921-8841-4A807085E90A}"/>
    <cellStyle name="Heading 3 11" xfId="4430" xr:uid="{0DAD14B3-563E-442C-B97B-3CDA7F2D22EE}"/>
    <cellStyle name="Heading 3 12" xfId="4431" xr:uid="{6940FBC4-9572-46F0-A2C3-59A0DFD25FB7}"/>
    <cellStyle name="Heading 3 13" xfId="4432" xr:uid="{50DFBD6B-8546-4F7F-AA3A-05E95A6BBAE2}"/>
    <cellStyle name="Heading 3 14" xfId="4433" xr:uid="{E8FEEB3D-A064-42E2-98B0-22C7FC9ADB9E}"/>
    <cellStyle name="Heading 3 15" xfId="4434" xr:uid="{16F65F66-D8A6-4EA7-8CBB-01162D963AE9}"/>
    <cellStyle name="Heading 3 16" xfId="4435" xr:uid="{FAA81210-2150-4C8F-9610-A958E518C3FE}"/>
    <cellStyle name="Heading 3 17" xfId="4436" xr:uid="{6EB6DB06-ABC9-419B-8E7A-EE9C66F43DC9}"/>
    <cellStyle name="Heading 3 18" xfId="4437" xr:uid="{0AB51DE0-410F-4554-ADF4-3D5BFCC6F28E}"/>
    <cellStyle name="Heading 3 19" xfId="4438" xr:uid="{7D09E79F-B291-4839-A9A9-30EEC981995C}"/>
    <cellStyle name="Heading 3 2" xfId="81" xr:uid="{B6DAE4D6-9FB2-420E-8684-3A873CA51283}"/>
    <cellStyle name="HEADING 3 2 10" xfId="4440" xr:uid="{13729313-1D3E-4DDE-8F8E-FD928B5BBF66}"/>
    <cellStyle name="Heading 3 2 11" xfId="4441" xr:uid="{BE0C14C4-FEB1-4A12-BACC-CED8A3E71BB2}"/>
    <cellStyle name="Heading 3 2 12" xfId="4442" xr:uid="{5F03156E-58E6-46EA-BE5F-1A72B99AF8A9}"/>
    <cellStyle name="Heading 3 2 13" xfId="4443" xr:uid="{77F9FF65-4E89-440C-9FC7-88B1825AA8EA}"/>
    <cellStyle name="Heading 3 2 14" xfId="4444" xr:uid="{71E36401-493E-4EF7-9C91-AB1CF74A2D7D}"/>
    <cellStyle name="Heading 3 2 15" xfId="4445" xr:uid="{11BD2BD8-2C5B-4B8B-B27C-21ADFBEF6C12}"/>
    <cellStyle name="Heading 3 2 16" xfId="4446" xr:uid="{8065D792-6BE2-4055-89A8-FFEE32C42718}"/>
    <cellStyle name="Heading 3 2 17" xfId="4447" xr:uid="{E3F4A50D-38BD-4B37-995F-92910BF8C43C}"/>
    <cellStyle name="Heading 3 2 18" xfId="4448" xr:uid="{01523CA8-FB4C-47DD-9E7C-F0294D93945D}"/>
    <cellStyle name="Heading 3 2 19" xfId="4439" xr:uid="{A57B34F8-CE42-4CB7-9F0C-60E910233D8C}"/>
    <cellStyle name="HEADING 3 2 2" xfId="4449" xr:uid="{0053192D-AF61-49E8-A5CD-55C4FCB27733}"/>
    <cellStyle name="Heading 3 2 2 2" xfId="4450" xr:uid="{257E5F2A-DBC1-4569-855F-A841DE47286E}"/>
    <cellStyle name="Heading 3 2 3" xfId="4451" xr:uid="{0417492A-D1E4-4DB9-AD1D-13B0F440F1D1}"/>
    <cellStyle name="Heading 3 2 3 2" xfId="4452" xr:uid="{ABC7B7A7-4204-49EA-95A7-0F081322CF7D}"/>
    <cellStyle name="Heading 3 2 4" xfId="4453" xr:uid="{F3669E4F-0C1D-455B-AD55-4AD16B947475}"/>
    <cellStyle name="Heading 3 2 4 2" xfId="4454" xr:uid="{612FDB67-A944-4D2A-AAD5-A99D439DB3B7}"/>
    <cellStyle name="Heading 3 2 5" xfId="4455" xr:uid="{BE90D7C6-D732-4D8C-9F28-EFB76273248B}"/>
    <cellStyle name="Heading 3 2 5 2" xfId="4456" xr:uid="{A76268C2-0F26-403C-8A99-53C986695288}"/>
    <cellStyle name="Heading 3 2 6" xfId="4457" xr:uid="{F1E2CC4A-979E-4112-8F64-4E9C58396AF7}"/>
    <cellStyle name="Heading 3 2 6 2" xfId="4458" xr:uid="{40066BCF-4830-4565-86E2-8344AB358DA1}"/>
    <cellStyle name="HEADING 3 2 7" xfId="4459" xr:uid="{1CCD8F15-9827-47F7-BEF1-A2FCFEE9C58E}"/>
    <cellStyle name="HEADING 3 2 8" xfId="4460" xr:uid="{06FC67E8-FC28-4D23-92D8-A01B8484AB3E}"/>
    <cellStyle name="HEADING 3 2 9" xfId="4461" xr:uid="{D213414F-0642-4A13-8103-9E16FFB12939}"/>
    <cellStyle name="Heading 3 20" xfId="4462" xr:uid="{BF6F69EC-005E-4326-8644-7A90C07352C2}"/>
    <cellStyle name="Heading 3 21" xfId="4463" xr:uid="{5E580425-0B06-40BE-8D4A-30921B1799EA}"/>
    <cellStyle name="Heading 3 22" xfId="4464" xr:uid="{D5993FE9-0EEB-43FD-B40F-92358E636020}"/>
    <cellStyle name="Heading 3 23" xfId="4465" xr:uid="{0419DA08-3D85-4566-B12C-4F37CA64E2BF}"/>
    <cellStyle name="Heading 3 24" xfId="4466" xr:uid="{AD082335-C88B-419B-9B89-050C17927971}"/>
    <cellStyle name="Heading 3 25" xfId="4467" xr:uid="{72B4FDD1-3B4A-4894-A9E1-1DABEF105DAE}"/>
    <cellStyle name="Heading 3 26" xfId="4468" xr:uid="{DCACC39E-C1B8-4B2E-9F77-2F167E599F9B}"/>
    <cellStyle name="Heading 3 27" xfId="4469" xr:uid="{F28F7F6C-3C98-4BDE-815B-9BDB186B1217}"/>
    <cellStyle name="Heading 3 28" xfId="4470" xr:uid="{1913BCE2-C73F-41B0-98E7-0B8382D13AD1}"/>
    <cellStyle name="Heading 3 29" xfId="4471" xr:uid="{345A9669-7865-4C92-AFB4-24D865332E45}"/>
    <cellStyle name="Heading 3 3" xfId="82" xr:uid="{34C3EC46-71E7-4BE8-BF1A-71E384F8B6D0}"/>
    <cellStyle name="Heading 3 3 2" xfId="4472" xr:uid="{42593807-0464-4669-8A0A-A4B1E610D498}"/>
    <cellStyle name="HEADING 3 3 3" xfId="4473" xr:uid="{42C9E24D-115C-4472-8BF5-89006ED1A22B}"/>
    <cellStyle name="HEADING 3 3 4" xfId="4474" xr:uid="{0BAD48B6-2065-424A-992A-9A5EBD5A7209}"/>
    <cellStyle name="HEADING 3 3 5" xfId="4475" xr:uid="{836F7CC2-786D-484C-B7AF-9774FA858185}"/>
    <cellStyle name="HEADING 3 3 6" xfId="4476" xr:uid="{5D9FF8E4-5079-42E5-BBDF-39F10E1ECE30}"/>
    <cellStyle name="HEADING 3 3 7" xfId="4477" xr:uid="{8F327135-BBF6-4BCA-A299-C0FCC33E39C0}"/>
    <cellStyle name="Heading 3 30" xfId="4478" xr:uid="{A83DF4FA-8994-4C83-84C7-8F73688AB65B}"/>
    <cellStyle name="Heading 3 31" xfId="4479" xr:uid="{D0D152BC-1D1C-403E-B65D-F2E7EF9185AF}"/>
    <cellStyle name="Heading 3 32" xfId="4480" xr:uid="{00E0DA90-B38E-4E8E-880C-25D86A0B611A}"/>
    <cellStyle name="Heading 3 33" xfId="4481" xr:uid="{DE860816-01CC-4915-B00B-3F101668E042}"/>
    <cellStyle name="Heading 3 34" xfId="4482" xr:uid="{EF53553D-8575-447D-A300-B7E7BBF968BA}"/>
    <cellStyle name="Heading 3 35" xfId="4483" xr:uid="{2F85C746-2629-44A7-A81C-1C970D3B60A0}"/>
    <cellStyle name="Heading 3 35 2" xfId="4484" xr:uid="{F599DAAC-C171-413D-84BF-8E4BBAB5E479}"/>
    <cellStyle name="Heading 3 35 2 2" xfId="4485" xr:uid="{B953C443-73F3-4B5A-B509-3F422FDB8719}"/>
    <cellStyle name="Heading 3 35 2 2 2" xfId="4486" xr:uid="{6C3BA420-7D8A-43E0-879C-A08C44EB6401}"/>
    <cellStyle name="Heading 3 35 3" xfId="4487" xr:uid="{FB18EE66-643F-4BC5-BE3A-9B7004F61CEF}"/>
    <cellStyle name="Heading 3 35 4" xfId="4488" xr:uid="{7784C130-95AC-44BF-8540-2C2732FE3DCE}"/>
    <cellStyle name="Heading 3 36" xfId="4489" xr:uid="{ECFA5BF1-655F-4409-A146-CBD098D03E64}"/>
    <cellStyle name="Heading 3 37" xfId="4490" xr:uid="{CA8BEF02-AA08-4D21-BFF7-99E909600ADE}"/>
    <cellStyle name="Heading 3 38" xfId="4491" xr:uid="{95C8BF0D-5C6F-4887-9051-FD2FB0576B59}"/>
    <cellStyle name="Heading 3 39" xfId="4492" xr:uid="{E18EBAEA-33B1-4D22-BF4D-131F35228CBC}"/>
    <cellStyle name="Heading 3 4" xfId="383" xr:uid="{77B19FED-BEF9-4312-A35D-7654CBFF919B}"/>
    <cellStyle name="Heading 3 4 2" xfId="4494" xr:uid="{7C37E564-1533-4B94-8881-1C571D00E8A2}"/>
    <cellStyle name="HEADING 3 4 3" xfId="4495" xr:uid="{8EC13208-826D-492F-808A-3A86624F6B06}"/>
    <cellStyle name="HEADING 3 4 4" xfId="4496" xr:uid="{7C808A29-6EC3-40E4-A7D7-62978F06D4C0}"/>
    <cellStyle name="HEADING 3 4 5" xfId="4497" xr:uid="{75BF016B-BD8C-4F6B-90CA-BB68A7C94B74}"/>
    <cellStyle name="HEADING 3 4 6" xfId="4498" xr:uid="{B507967B-5DA5-4952-A77B-BCE79D09D600}"/>
    <cellStyle name="HEADING 3 4 7" xfId="4499" xr:uid="{291981FA-C1E9-445E-9DD1-01BDA83C2E95}"/>
    <cellStyle name="Heading 3 4 8" xfId="4493" xr:uid="{987500CE-7F2E-4D7C-B212-7C3D944005DE}"/>
    <cellStyle name="Heading 3 40" xfId="4500" xr:uid="{585AB19E-FCD4-45E9-9ED4-AF5744338692}"/>
    <cellStyle name="Heading 3 41" xfId="4501" xr:uid="{48851C2C-6DFC-4BC2-AF3B-82180BE379B9}"/>
    <cellStyle name="Heading 3 42" xfId="4502" xr:uid="{F657BD4F-548E-4043-B266-A7402190F056}"/>
    <cellStyle name="Heading 3 43" xfId="4503" xr:uid="{FCAEB444-37D5-4FB3-ABE1-2747DFA2F192}"/>
    <cellStyle name="Heading 3 44" xfId="4504" xr:uid="{7EEADB11-C44A-4E61-9411-6F4178C3BE61}"/>
    <cellStyle name="Heading 3 45" xfId="4505" xr:uid="{FD454901-177F-4054-8986-30C99EC2BA61}"/>
    <cellStyle name="Heading 3 46" xfId="4506" xr:uid="{686F94A2-9EC0-4EDA-BD32-0266D8F4896D}"/>
    <cellStyle name="Heading 3 47" xfId="4507" xr:uid="{22FFA7F2-D5A5-443A-BE08-C4D33F26187D}"/>
    <cellStyle name="Heading 3 48" xfId="4508" xr:uid="{29A34887-A39A-426F-AD3F-BDF0C31F6C76}"/>
    <cellStyle name="Heading 3 49" xfId="4509" xr:uid="{26F58F3C-753A-4DB6-9EFC-87042F4B1D9C}"/>
    <cellStyle name="Heading 3 5" xfId="4510" xr:uid="{4F0362F6-BAF1-40DC-A71B-9EB5EB7BC1FA}"/>
    <cellStyle name="Heading 3 50" xfId="4511" xr:uid="{A99B0EEE-958B-492D-B68D-2EA5BF1BD6BF}"/>
    <cellStyle name="Heading 3 51" xfId="4512" xr:uid="{ABA07E84-1DC9-46B6-8220-1BEF02274A55}"/>
    <cellStyle name="Heading 3 52" xfId="4513" xr:uid="{621BC5AD-B325-4142-8A61-9EDA287FCE18}"/>
    <cellStyle name="Heading 3 53" xfId="4514" xr:uid="{357F78EE-E716-4E2B-A7BE-ABA140214054}"/>
    <cellStyle name="Heading 3 54" xfId="4515" xr:uid="{7C2300A4-4088-43C5-A1EB-57AAFABC671F}"/>
    <cellStyle name="Heading 3 55" xfId="4516" xr:uid="{506AC2A8-14D8-4DE0-AA7F-2A01618E718C}"/>
    <cellStyle name="Heading 3 56" xfId="4517" xr:uid="{B96AB594-8387-473F-8C25-E1C8F9C7B433}"/>
    <cellStyle name="Heading 3 57" xfId="4518" xr:uid="{C132DF6C-5BD4-43E7-9912-6F95FCC50739}"/>
    <cellStyle name="Heading 3 58" xfId="4519" xr:uid="{C5F30126-5674-4049-9D76-5A2B4DAD7C63}"/>
    <cellStyle name="Heading 3 59" xfId="4520" xr:uid="{A0AC2655-351C-41DA-8ECB-DFF14C437864}"/>
    <cellStyle name="Heading 3 6" xfId="4521" xr:uid="{6B2AE3AB-02E3-4DEF-8B33-7C36E7DAA368}"/>
    <cellStyle name="Heading 3 60" xfId="4522" xr:uid="{1F9DD934-C297-4F3A-BB38-D14F6D70B845}"/>
    <cellStyle name="Heading 3 60 2" xfId="4523" xr:uid="{2AC1EEF8-BF9E-44E7-8E24-677B060FD1FE}"/>
    <cellStyle name="Heading 3 60 2 2" xfId="4524" xr:uid="{FB6E38F6-935B-4A65-A190-3E8F55A7C385}"/>
    <cellStyle name="Heading 3 60 2 2 2" xfId="4525" xr:uid="{B8CB3975-5742-437E-A954-CF3D7CFA1296}"/>
    <cellStyle name="Heading 3 60 2 3" xfId="4526" xr:uid="{6E5FD2FC-9FD7-43D8-BF4F-459F930AB851}"/>
    <cellStyle name="Heading 3 61" xfId="4527" xr:uid="{8AEECA85-87E6-43D9-8D14-9B99177ADC41}"/>
    <cellStyle name="Heading 3 62" xfId="4528" xr:uid="{9A35A2AA-F897-451C-95D6-A2749E1A091F}"/>
    <cellStyle name="Heading 3 63" xfId="4529" xr:uid="{8D785191-4A14-4A2A-9F5E-BA6889768E0A}"/>
    <cellStyle name="Heading 3 64" xfId="4530" xr:uid="{9AA5C20F-2361-4035-994B-58957A2FEE21}"/>
    <cellStyle name="Heading 3 65" xfId="4531" xr:uid="{6FA87B22-1E07-4A0D-AE7B-1FDEED82D7B6}"/>
    <cellStyle name="Heading 3 7" xfId="4532" xr:uid="{853A31CA-8FEF-4B0D-9A71-1E5C47B5EDA6}"/>
    <cellStyle name="Heading 3 8" xfId="4533" xr:uid="{94ABD510-1CC2-4FD3-A987-29FB52EF35C3}"/>
    <cellStyle name="Heading 3 9" xfId="4534" xr:uid="{3E3618AD-F5B4-4AAB-9506-64D8BF49C7D8}"/>
    <cellStyle name="Heading 3." xfId="4535" xr:uid="{515183A6-8ACE-4945-9DB7-A20E2B74F26E}"/>
    <cellStyle name="Heading 3+" xfId="4536" xr:uid="{ABF13B6C-0909-455E-8897-2DBC5E2FF133}"/>
    <cellStyle name="Heading 4" xfId="7" builtinId="19" customBuiltin="1"/>
    <cellStyle name="Heading 4 10" xfId="4537" xr:uid="{D0D7E529-69C6-4630-B954-8E309F614634}"/>
    <cellStyle name="Heading 4 11" xfId="4538" xr:uid="{CF6E64AE-E682-4FF2-95B4-2EBBAFE49ECB}"/>
    <cellStyle name="Heading 4 12" xfId="4539" xr:uid="{FB8FF1BE-3535-43B3-B6C5-DD64F06AB7EA}"/>
    <cellStyle name="Heading 4 13" xfId="4540" xr:uid="{779215A1-F33E-441A-9686-94B63C07B163}"/>
    <cellStyle name="Heading 4 14" xfId="4541" xr:uid="{50E02F12-ABA9-4982-92E3-B805FDF03139}"/>
    <cellStyle name="Heading 4 15" xfId="4542" xr:uid="{B29A9BA9-ABF0-442D-84E4-2E9009C52A55}"/>
    <cellStyle name="Heading 4 16" xfId="4543" xr:uid="{FFE48BF6-A038-4520-BA6B-E342E6D9EEA4}"/>
    <cellStyle name="Heading 4 17" xfId="4544" xr:uid="{A8A005DB-A39A-4A5A-94CE-E68411966335}"/>
    <cellStyle name="Heading 4 18" xfId="4545" xr:uid="{FCEB583D-3732-4C25-ADAB-6C8969986AD1}"/>
    <cellStyle name="Heading 4 19" xfId="4546" xr:uid="{3312EC16-0A02-4AAD-99EC-EABCA966B41B}"/>
    <cellStyle name="Heading 4 2" xfId="83" xr:uid="{91973C2B-F953-4B9F-9BD1-B756180033A9}"/>
    <cellStyle name="Heading 4 2 2" xfId="4548" xr:uid="{F5BFE1BB-65B2-4512-BD88-FF9900EAD5FE}"/>
    <cellStyle name="Heading 4 2 2 2" xfId="4549" xr:uid="{22AAE3A8-2DBA-4A8E-AF6E-9D3AFEA3BA7C}"/>
    <cellStyle name="Heading 4 2 3" xfId="4550" xr:uid="{D8FDDA93-B591-4EF6-B6FF-84D9F421F94B}"/>
    <cellStyle name="Heading 4 2 4" xfId="4551" xr:uid="{5615A6B2-97C3-4146-8EEC-502A5AD56546}"/>
    <cellStyle name="Heading 4 2 5" xfId="4552" xr:uid="{1BD0F35A-082A-4D47-8F8C-35DADC9C3396}"/>
    <cellStyle name="Heading 4 2 6" xfId="4547" xr:uid="{1B3570A9-D618-4FDD-AA06-8D5C5085256F}"/>
    <cellStyle name="Heading 4 20" xfId="4553" xr:uid="{9A7E39D7-FB19-4710-8EED-4D83BF2032E6}"/>
    <cellStyle name="Heading 4 21" xfId="4554" xr:uid="{A8C0CB25-306F-40A1-A357-839093F95C9B}"/>
    <cellStyle name="Heading 4 22" xfId="4555" xr:uid="{783B5708-3CA5-44F2-B18A-5B95A51F3D08}"/>
    <cellStyle name="Heading 4 23" xfId="4556" xr:uid="{7B9F3D0E-BD84-493B-AE60-8CAFC3189AC3}"/>
    <cellStyle name="Heading 4 24" xfId="4557" xr:uid="{F65C9488-0DC3-4D6E-90CF-CC0714D438AE}"/>
    <cellStyle name="Heading 4 25" xfId="4558" xr:uid="{86390E2A-49EA-4739-AF40-68C211FA41D3}"/>
    <cellStyle name="Heading 4 26" xfId="4559" xr:uid="{C8512A75-3EBD-413D-83DD-D3FB90711CD7}"/>
    <cellStyle name="Heading 4 27" xfId="4560" xr:uid="{69DC7C51-8D34-4E3F-8274-DBE625A69EB6}"/>
    <cellStyle name="Heading 4 28" xfId="4561" xr:uid="{61FBA409-78F0-406A-A95B-7401BAACBB7A}"/>
    <cellStyle name="Heading 4 29" xfId="4562" xr:uid="{C959E5C2-046E-44AC-9E56-229DBF4C3524}"/>
    <cellStyle name="Heading 4 3" xfId="84" xr:uid="{B71A5981-7BBD-4E83-9B40-95250F904E83}"/>
    <cellStyle name="Heading 4 3 2" xfId="4563" xr:uid="{9D77B219-58A8-4337-A18F-59F7E2F0D702}"/>
    <cellStyle name="Heading 4 30" xfId="4564" xr:uid="{E9F42E2A-B3D8-4882-8B18-4E31348FA834}"/>
    <cellStyle name="Heading 4 31" xfId="4565" xr:uid="{60FAAA78-3A9C-4908-94A7-D37358D274B2}"/>
    <cellStyle name="Heading 4 32" xfId="4566" xr:uid="{BF36089F-97C4-451F-88A9-70013EA95E4D}"/>
    <cellStyle name="Heading 4 33" xfId="4567" xr:uid="{2B864AB3-6FA6-4631-932A-8D4FF5E4A3C9}"/>
    <cellStyle name="Heading 4 34" xfId="4568" xr:uid="{30214D4D-84CC-4CC3-9A84-C782E6463E6A}"/>
    <cellStyle name="Heading 4 35" xfId="4569" xr:uid="{7F34488B-BC6A-4CE6-BEF4-7D1E9E512E73}"/>
    <cellStyle name="Heading 4 35 2" xfId="4570" xr:uid="{C7E271E8-588C-49DC-89DD-D721D84C65CB}"/>
    <cellStyle name="Heading 4 35 2 2" xfId="4571" xr:uid="{E8F114DC-77CB-4053-98ED-2A3D66DF3CEC}"/>
    <cellStyle name="Heading 4 35 2 2 2" xfId="4572" xr:uid="{0F7F8FF8-1C8E-49B9-97E4-FF2776F7E2F6}"/>
    <cellStyle name="Heading 4 35 3" xfId="4573" xr:uid="{890E15E5-A50D-4E45-A78A-701DD4A58DD5}"/>
    <cellStyle name="Heading 4 35 4" xfId="4574" xr:uid="{9DF4DEC2-29FE-4183-B18E-1F78395978BF}"/>
    <cellStyle name="Heading 4 36" xfId="4575" xr:uid="{0BCDD676-51D3-4BF9-BD36-4107AFA83442}"/>
    <cellStyle name="Heading 4 37" xfId="4576" xr:uid="{642F87B1-A9D3-4E72-8159-BE7FE1F7F46D}"/>
    <cellStyle name="Heading 4 38" xfId="4577" xr:uid="{C2FDAF42-7EE6-4233-B61E-1EB05E56204E}"/>
    <cellStyle name="Heading 4 39" xfId="4578" xr:uid="{0A7F622F-F381-4144-82D4-B1DA32352BE7}"/>
    <cellStyle name="Heading 4 4" xfId="4579" xr:uid="{25820F54-444C-4646-987C-DD14B6694B29}"/>
    <cellStyle name="Heading 4 4 2" xfId="4580" xr:uid="{658797A7-8328-49F2-9226-2C24850252E0}"/>
    <cellStyle name="Heading 4 40" xfId="4581" xr:uid="{061B317C-6BA1-4562-A7D3-0772DC706DA4}"/>
    <cellStyle name="Heading 4 41" xfId="4582" xr:uid="{1AE47EAC-6084-44F2-ADB9-9E0363A862DB}"/>
    <cellStyle name="Heading 4 42" xfId="4583" xr:uid="{6F37EFB0-A9E0-48EF-B42B-9D9970659949}"/>
    <cellStyle name="Heading 4 43" xfId="4584" xr:uid="{397E5040-3D25-4433-ACDE-B6F4C8D1FC4C}"/>
    <cellStyle name="Heading 4 44" xfId="4585" xr:uid="{692A674D-F320-424E-8BD8-CC695B85B087}"/>
    <cellStyle name="Heading 4 45" xfId="4586" xr:uid="{7A3C50C3-1BE9-4DFA-8745-8A1E426C614D}"/>
    <cellStyle name="Heading 4 46" xfId="4587" xr:uid="{A22012B4-9846-4109-86E1-FF8DBBF402DE}"/>
    <cellStyle name="Heading 4 47" xfId="4588" xr:uid="{DCD413BE-65B0-4382-8994-879EBAE0D3D2}"/>
    <cellStyle name="Heading 4 48" xfId="4589" xr:uid="{48CF1B2F-7917-4175-A35F-F518700F5909}"/>
    <cellStyle name="Heading 4 49" xfId="4590" xr:uid="{890D8D60-F1A2-4593-ADAB-D3373D6DA44F}"/>
    <cellStyle name="Heading 4 5" xfId="4591" xr:uid="{9303EC11-EC83-4F9B-B870-68F13E3A3FF0}"/>
    <cellStyle name="Heading 4 50" xfId="4592" xr:uid="{BF28460C-018B-405E-A432-66B00463E7F9}"/>
    <cellStyle name="Heading 4 51" xfId="4593" xr:uid="{7DE6E93E-5A9D-412F-AC7B-84524D507EC3}"/>
    <cellStyle name="Heading 4 52" xfId="4594" xr:uid="{F2CF83E2-25DD-47AD-AAD8-07B9DA1F27B8}"/>
    <cellStyle name="Heading 4 53" xfId="4595" xr:uid="{ECD58A23-A59A-4A1D-9F81-9AFD40FA86B4}"/>
    <cellStyle name="Heading 4 54" xfId="4596" xr:uid="{88911D2D-63C4-4295-B025-295B220F1A2E}"/>
    <cellStyle name="Heading 4 55" xfId="4597" xr:uid="{2E35ED69-5E28-462A-9F53-EC248EE5681C}"/>
    <cellStyle name="Heading 4 56" xfId="4598" xr:uid="{64428906-403A-40FB-8131-814B3A31A202}"/>
    <cellStyle name="Heading 4 57" xfId="4599" xr:uid="{E0A7BF3D-3138-4F0A-81F5-9BE384C8CBC6}"/>
    <cellStyle name="Heading 4 58" xfId="4600" xr:uid="{7B1FE0EF-081F-4A5B-8F03-A9A0E7FB2CAB}"/>
    <cellStyle name="Heading 4 59" xfId="4601" xr:uid="{4C5A5FCD-FA59-4A2D-9F52-FA4BD87A804A}"/>
    <cellStyle name="Heading 4 6" xfId="4602" xr:uid="{18B0DF78-7916-41B3-AC52-3EF50BADDD56}"/>
    <cellStyle name="Heading 4 60" xfId="4603" xr:uid="{EF186043-94B7-4254-B7A7-BBAED853AF12}"/>
    <cellStyle name="Heading 4 60 2" xfId="4604" xr:uid="{C9E0B22B-6A9A-4B12-8B57-4C286993CB00}"/>
    <cellStyle name="Heading 4 60 2 2" xfId="4605" xr:uid="{6DB6E1FF-1706-403A-9023-7E4D30A89C22}"/>
    <cellStyle name="Heading 4 60 2 2 2" xfId="4606" xr:uid="{BBFAD103-7E41-4211-BF8F-B3BC272F5B2E}"/>
    <cellStyle name="Heading 4 60 2 3" xfId="4607" xr:uid="{3BE82F40-3165-4CB6-8863-5631D4DC37B1}"/>
    <cellStyle name="Heading 4 61" xfId="4608" xr:uid="{4B3B0B39-FD88-40DB-A2B1-10925B40FBD4}"/>
    <cellStyle name="Heading 4 62" xfId="4609" xr:uid="{BE8FFA18-7E60-4647-A8BD-6F927ECA0EFD}"/>
    <cellStyle name="Heading 4 63" xfId="4610" xr:uid="{042DB5D7-FBC8-4925-A6D7-9AC1F424640E}"/>
    <cellStyle name="Heading 4 64" xfId="4611" xr:uid="{2793941E-15FD-40D1-98FA-9B12AD5D14C2}"/>
    <cellStyle name="Heading 4 65" xfId="4612" xr:uid="{11798124-4AC9-4583-8CD6-483873B2CBD7}"/>
    <cellStyle name="Heading 4 7" xfId="4613" xr:uid="{8B3ABD62-FD51-4E91-9E6E-2E91A888CC85}"/>
    <cellStyle name="Heading 4 8" xfId="4614" xr:uid="{865E490C-C0A8-441B-AAF0-E75975CC0CBC}"/>
    <cellStyle name="Heading 4 9" xfId="4615" xr:uid="{BB019D56-E981-4F94-B2F3-FCBF070BA21A}"/>
    <cellStyle name="Heading 4." xfId="4616" xr:uid="{627312B1-B1F4-4D1E-A977-90D35703F4B8}"/>
    <cellStyle name="Heading 5" xfId="85" xr:uid="{A8AE6B49-8FA8-4B2A-A0D6-9F78AFB59412}"/>
    <cellStyle name="Heading 6" xfId="86" xr:uid="{39B9165E-BA7E-4226-8DCE-A3A189EA4CBE}"/>
    <cellStyle name="Heading 7" xfId="87" xr:uid="{0F25F6B3-3F4E-4F3D-9CB2-27178DF8D10F}"/>
    <cellStyle name="Heading 8" xfId="88" xr:uid="{F8E971CF-3A1F-438E-B50F-C35368B9C775}"/>
    <cellStyle name="Heading 9" xfId="4617" xr:uid="{F66F06FE-F382-41C6-BD75-2294254EC33E}"/>
    <cellStyle name="heading info" xfId="4618" xr:uid="{993E8212-51B0-45F7-BA7D-856C9F7F6283}"/>
    <cellStyle name="Heading Title" xfId="4619" xr:uid="{C45B4AF7-E324-4F86-BE57-042BC7FD156A}"/>
    <cellStyle name="HEADING1" xfId="4620" xr:uid="{0F8036C4-AA2B-417C-A8BF-82E07C64CB35}"/>
    <cellStyle name="Heading1 2" xfId="4621" xr:uid="{72647D3F-66A6-4DAA-AE30-958F74FD6CAF}"/>
    <cellStyle name="HEADING2" xfId="4622" xr:uid="{4EF898F9-6FE9-40F6-AEF3-22B58C0BDE72}"/>
    <cellStyle name="Heading2 2" xfId="4623" xr:uid="{791B4CB3-401D-4747-9006-D02D6ECAB312}"/>
    <cellStyle name="Heading3" xfId="4624" xr:uid="{6FB97C92-3E9E-41AB-9F0D-D687CEC85C1A}"/>
    <cellStyle name="Heading4" xfId="4625" xr:uid="{B3BD33C5-BA68-4AD2-B69B-2609B032B259}"/>
    <cellStyle name="Heading5" xfId="4626" xr:uid="{4A597E9E-92A7-4ADF-BA5A-19356849BAEF}"/>
    <cellStyle name="Headings" xfId="4627" xr:uid="{BEC883CE-D258-4277-B6C4-3A1D936A6F2F}"/>
    <cellStyle name="Headings 2" xfId="4628" xr:uid="{A6355B49-BD51-421E-88CC-2C015E13BB35}"/>
    <cellStyle name="Headline" xfId="4629" xr:uid="{295B9064-F473-4EE1-AEBA-56F196E9F460}"/>
    <cellStyle name="HIGHLIGHT" xfId="4630" xr:uid="{84931672-BBDB-4628-A05A-F65D5E62E316}"/>
    <cellStyle name="Horizontal" xfId="4631" xr:uid="{27476472-8BCB-4FD9-90BD-19705BC8900A}"/>
    <cellStyle name="Hyperlink" xfId="89" builtinId="8"/>
    <cellStyle name="Hyperlink 10" xfId="4632" xr:uid="{706A6177-2604-4923-BB93-33D8BDF52E6A}"/>
    <cellStyle name="Hyperlink 11" xfId="4633" xr:uid="{A3B4E937-66C1-474D-911C-4CF3894B127F}"/>
    <cellStyle name="Hyperlink 12" xfId="357" xr:uid="{4A6509B0-757A-4E9C-9846-89E58605D987}"/>
    <cellStyle name="Hyperlink 13" xfId="420" xr:uid="{B1E1A9AC-CC6F-45D1-AC40-99E6B41672E7}"/>
    <cellStyle name="Hyperlink 14" xfId="38070" xr:uid="{A369F1C7-A680-4D24-9949-CAB5E0B0413E}"/>
    <cellStyle name="Hyperlink 2" xfId="90" xr:uid="{59634ABD-2811-4157-B0D1-E542E1A74887}"/>
    <cellStyle name="Hyperlink 2 10" xfId="414" xr:uid="{CF355058-D07F-4F7E-B685-E3363EA053F4}"/>
    <cellStyle name="Hyperlink 2 2" xfId="91" xr:uid="{CBAE6779-C8AE-4A57-943E-1D8C4987BDDC}"/>
    <cellStyle name="Hyperlink 2 2 2" xfId="4635" xr:uid="{F6C496B4-05E4-4AC5-B140-0BE87037DCFD}"/>
    <cellStyle name="Hyperlink 2 3" xfId="4636" xr:uid="{FA61AED4-72C7-4E3F-8149-B14E413C2B8F}"/>
    <cellStyle name="Hyperlink 2 4" xfId="4637" xr:uid="{562187DE-4685-46D2-B4FE-CC236EF9E3E4}"/>
    <cellStyle name="Hyperlink 2 5" xfId="4638" xr:uid="{71C77F4F-5F63-4B60-9247-A0A0F59672FC}"/>
    <cellStyle name="Hyperlink 2 6" xfId="4639" xr:uid="{13DFDAA9-7582-4BBF-8C3E-01E1E0125411}"/>
    <cellStyle name="Hyperlink 2 7" xfId="4640" xr:uid="{7071CC83-F04C-4D02-AAF0-C162016121B4}"/>
    <cellStyle name="Hyperlink 2 8" xfId="4641" xr:uid="{E2CA32B9-75E1-461C-9FEE-27DE7AD5860F}"/>
    <cellStyle name="Hyperlink 2 9" xfId="4634" xr:uid="{A66CF939-5788-4E9B-9CE3-5BFDB9079758}"/>
    <cellStyle name="Hyperlink 2_Ch4 v2" xfId="4642" xr:uid="{3ADB99F5-627B-4D7F-8B48-11BED3D76165}"/>
    <cellStyle name="Hyperlink 3" xfId="92" xr:uid="{6FAFA4FC-89E6-469F-ABB6-5363D54D4D43}"/>
    <cellStyle name="Hyperlink 3 2" xfId="4644" xr:uid="{8249B258-A72B-41D4-83C2-ED26940005C0}"/>
    <cellStyle name="Hyperlink 3 3" xfId="4645" xr:uid="{2A87A214-B251-4633-9985-DE4D17B7AC71}"/>
    <cellStyle name="Hyperlink 3 4" xfId="4646" xr:uid="{42E1458D-E141-4EE8-82CA-BD0680EC4A0B}"/>
    <cellStyle name="Hyperlink 3 5" xfId="4643" xr:uid="{7DBA0854-8B59-46D0-A1FB-C17CFB6BB564}"/>
    <cellStyle name="Hyperlink 4" xfId="93" xr:uid="{6997D77A-1D4D-4BA4-981D-501C104914C3}"/>
    <cellStyle name="Hyperlink 4 2" xfId="4648" xr:uid="{5C72D4E9-AC1C-4424-9021-4B745212BE8D}"/>
    <cellStyle name="Hyperlink 4 3" xfId="4649" xr:uid="{198B0767-3282-4383-9A4E-E1BE77FE4674}"/>
    <cellStyle name="Hyperlink 4 4" xfId="4650" xr:uid="{07537FAA-FDFC-43E8-BA15-DF2F8ADAB778}"/>
    <cellStyle name="Hyperlink 4 5" xfId="4647" xr:uid="{FFBFCF45-0613-4656-8623-1DFD08813794}"/>
    <cellStyle name="Hyperlink 5" xfId="384" xr:uid="{5028DCBF-0E7C-47FA-BA87-0226D9B3A1A0}"/>
    <cellStyle name="Hyperlink 5 2" xfId="4652" xr:uid="{4734EA15-E388-4E6B-BCB3-C0E8FE0F9FA9}"/>
    <cellStyle name="Hyperlink 5 3" xfId="4653" xr:uid="{FDBB07D6-8C81-4210-8615-6F29233E85FD}"/>
    <cellStyle name="Hyperlink 5 4" xfId="4651" xr:uid="{F06C9551-B63C-4CA6-AF99-D4B568B32BAA}"/>
    <cellStyle name="Hyperlink 6" xfId="4654" xr:uid="{2B70DE2F-AEA3-4D18-BA0E-486EAB34A3F3}"/>
    <cellStyle name="Hyperlink 6 2" xfId="4655" xr:uid="{B901D205-F618-452A-B752-B15A1A23F292}"/>
    <cellStyle name="Hyperlink 7" xfId="4656" xr:uid="{04FB3A38-8CD3-44F4-801A-856DF068B631}"/>
    <cellStyle name="Hyperlink 8" xfId="4657" xr:uid="{39C9051A-B1CF-49C6-9136-74091809A83E}"/>
    <cellStyle name="Hyperlink 8 2" xfId="4658" xr:uid="{9DB03BF9-A059-4806-8135-CD9F9DF719A3}"/>
    <cellStyle name="Hyperlink 9" xfId="4659" xr:uid="{307ED0A9-DDBC-4BCE-8453-900422272F62}"/>
    <cellStyle name="Hyperlink Arrow." xfId="4660" xr:uid="{51E58635-2561-43CD-80E6-3055BE184E48}"/>
    <cellStyle name="Hyperlink Check." xfId="4661" xr:uid="{61A65F97-792A-4091-85CD-A853C657504C}"/>
    <cellStyle name="Hyperlink Text." xfId="4662" xr:uid="{342A135D-787C-4428-8E10-A8874F0306DD}"/>
    <cellStyle name="Information" xfId="94" xr:uid="{F98F1C42-38D3-4B06-9C31-811A2DC5256F}"/>
    <cellStyle name="Input [yellow]" xfId="95" xr:uid="{5D4CB044-9589-47C3-8884-D6D5C456E31A}"/>
    <cellStyle name="Input [yellow] 2" xfId="4663" xr:uid="{747E927F-63E2-4380-A312-EE981D644112}"/>
    <cellStyle name="Input [yellow] 3" xfId="4664" xr:uid="{2F7BA71D-5D3B-46D9-8C61-22F09B7B1F2B}"/>
    <cellStyle name="Input 10" xfId="96" xr:uid="{7CCB3ABA-E1BE-4D1D-A8FA-C029DF74080A}"/>
    <cellStyle name="Input 10 2" xfId="4665" xr:uid="{ED4D991A-3106-408A-9D38-E5132D0AB363}"/>
    <cellStyle name="Input 11" xfId="97" xr:uid="{5D9B1BEA-9F8F-4B2F-BB94-C602CB7941AC}"/>
    <cellStyle name="Input 11 2" xfId="4666" xr:uid="{9C480A07-A059-4F5A-B900-82232D1BC00C}"/>
    <cellStyle name="Input 12" xfId="98" xr:uid="{37F5B34E-FDFB-49B9-91F9-8277E827DEFA}"/>
    <cellStyle name="Input 12 2" xfId="4667" xr:uid="{2B35334F-0A90-49D2-ACC8-64B93740C892}"/>
    <cellStyle name="Input 13" xfId="99" xr:uid="{5FCC04AE-40FE-4B92-91E7-BA5C8075A48F}"/>
    <cellStyle name="Input 13 2" xfId="4668" xr:uid="{1786C8DA-09AB-434F-9195-961945934FEB}"/>
    <cellStyle name="Input 14" xfId="100" xr:uid="{98FEF5B2-0685-46F8-86F9-85372575C365}"/>
    <cellStyle name="Input 14 2" xfId="4669" xr:uid="{2EE77700-79FB-4E14-8C54-656F96896282}"/>
    <cellStyle name="Input 15" xfId="101" xr:uid="{9C8CEDE5-3648-4A54-AE6C-1CCE74101691}"/>
    <cellStyle name="Input 15 2" xfId="4670" xr:uid="{243992C9-6427-4B5E-898C-F27185031BE7}"/>
    <cellStyle name="Input 16" xfId="102" xr:uid="{5753FD64-2D5C-45C1-B688-7AC130B7DA28}"/>
    <cellStyle name="Input 16 2" xfId="4671" xr:uid="{75E8FE2B-CDF5-4DEF-B2DD-ED48EA486891}"/>
    <cellStyle name="Input 17" xfId="103" xr:uid="{4824942F-39C1-47B7-A2CF-5B7761AFE9D2}"/>
    <cellStyle name="Input 17 2" xfId="4672" xr:uid="{986C302E-7944-41E2-8E67-03DAB2762BE5}"/>
    <cellStyle name="Input 18" xfId="104" xr:uid="{948D2FA6-9868-4E25-897D-F4B723738D71}"/>
    <cellStyle name="Input 18 2" xfId="4673" xr:uid="{F29B0AC7-BEBC-4E78-A2FB-ACD72F8B43CD}"/>
    <cellStyle name="Input 19" xfId="105" xr:uid="{FDBBD1C7-B5AA-4C40-B5F6-4551A2D0A409}"/>
    <cellStyle name="Input 19 2" xfId="4674" xr:uid="{AB38DF23-595D-40F4-99F5-190597BEF702}"/>
    <cellStyle name="Input 2" xfId="106" xr:uid="{A7CAD044-14D3-4DFB-9705-8EA305EC5CBE}"/>
    <cellStyle name="Input 2 10" xfId="4676" xr:uid="{58402CCF-0331-415D-B1EF-5C5829E48F56}"/>
    <cellStyle name="Input 2 11" xfId="4677" xr:uid="{531DCB6B-A2F4-4321-937B-D86666842A68}"/>
    <cellStyle name="Input 2 12" xfId="4678" xr:uid="{E992CB54-CC8F-4AFB-A94B-C4D7751E9031}"/>
    <cellStyle name="Input 2 13" xfId="4679" xr:uid="{DAFAB554-A6CF-4A45-93AB-71CFE2F1E73B}"/>
    <cellStyle name="Input 2 14" xfId="4675" xr:uid="{2C1713F8-AB35-45D5-90D7-FC3D709BE2F5}"/>
    <cellStyle name="Input 2 2" xfId="4680" xr:uid="{0291AC98-F93F-41CE-8F64-AC61EF2B500C}"/>
    <cellStyle name="Input 2 2 2" xfId="4681" xr:uid="{66C0C165-B887-4204-B64E-B350849F71DF}"/>
    <cellStyle name="Input 2 2 2 2" xfId="4682" xr:uid="{31ECC548-9A26-4B71-8FEC-40F8559FC89A}"/>
    <cellStyle name="Input 2 2 2 2 2" xfId="4683" xr:uid="{16FB9D0F-5962-4952-99A3-83414BD1B797}"/>
    <cellStyle name="Input 2 2 2 2 3" xfId="4684" xr:uid="{17FC3A7D-1700-43EC-BFAA-6184357555B5}"/>
    <cellStyle name="Input 2 2 2 2 4" xfId="4685" xr:uid="{A286DC1E-FFD1-42B2-BE55-A6497F9309E0}"/>
    <cellStyle name="Input 2 2 2 3" xfId="4686" xr:uid="{0582FDF5-B562-4DB1-AE1D-F4A2B9951A6E}"/>
    <cellStyle name="Input 2 2 2 3 2" xfId="4687" xr:uid="{18FBDC1B-545B-4467-A922-F4FCC7B00DD1}"/>
    <cellStyle name="Input 2 2 2 3 3" xfId="4688" xr:uid="{E70934D0-D087-4139-862D-60B5A0E98CBE}"/>
    <cellStyle name="Input 2 2 2 3 4" xfId="4689" xr:uid="{25DFFD28-9266-41A3-A3F2-D0A5127B6127}"/>
    <cellStyle name="Input 2 2 2 4" xfId="4690" xr:uid="{9726A577-F90E-49C1-B490-B43867BBB2D9}"/>
    <cellStyle name="Input 2 2 2 5" xfId="4691" xr:uid="{411D95E4-9A04-4EF8-80A5-DE5A70FA921B}"/>
    <cellStyle name="Input 2 2 2 6" xfId="4692" xr:uid="{F7833B95-41B9-4317-838F-061EF6E534CB}"/>
    <cellStyle name="Input 2 2 3" xfId="4693" xr:uid="{51349F5E-1D14-4753-BD1D-2F14309D8111}"/>
    <cellStyle name="Input 2 2 4" xfId="4694" xr:uid="{EB8D1C31-2A22-4D87-91C7-09E57024F2EC}"/>
    <cellStyle name="Input 2 2 5" xfId="4695" xr:uid="{E11F5275-5E6A-4DF2-BB0B-004F3C165DB3}"/>
    <cellStyle name="Input 2 2 6" xfId="4696" xr:uid="{CDE09837-282F-4525-832B-E873F220E9C5}"/>
    <cellStyle name="Input 2 3" xfId="4697" xr:uid="{18431C03-DE19-40B5-8FED-D402BB628DFE}"/>
    <cellStyle name="Input 2 3 2" xfId="4698" xr:uid="{55942761-2338-40FF-82D0-8C675DAC1B75}"/>
    <cellStyle name="Input 2 3 2 2" xfId="4699" xr:uid="{48774AF7-A053-42B5-BD75-8DE04BA9F0E9}"/>
    <cellStyle name="Input 2 3 2 2 2" xfId="4700" xr:uid="{834C20CE-8611-4E77-9EEE-A8577C1D8CAC}"/>
    <cellStyle name="Input 2 3 2 2 3" xfId="4701" xr:uid="{90AB3245-29DB-4298-8139-5E5622FD4B3D}"/>
    <cellStyle name="Input 2 3 2 2 4" xfId="4702" xr:uid="{87715269-5B42-478E-A8D7-91E946F7AA56}"/>
    <cellStyle name="Input 2 3 2 3" xfId="4703" xr:uid="{D1B87D95-506E-4720-960C-A5F2D228EC88}"/>
    <cellStyle name="Input 2 3 2 3 2" xfId="4704" xr:uid="{52E03053-E32D-46D3-AED3-9A4E459DDD63}"/>
    <cellStyle name="Input 2 3 2 3 3" xfId="4705" xr:uid="{FD92DDB9-A8EF-46E0-8BD7-3BEE2DF421B1}"/>
    <cellStyle name="Input 2 3 2 3 4" xfId="4706" xr:uid="{747E495B-1B72-419A-894C-D67B7078C9A8}"/>
    <cellStyle name="Input 2 3 2 4" xfId="4707" xr:uid="{75043F53-DF43-4AD8-8604-40F2A4B97DB9}"/>
    <cellStyle name="Input 2 3 2 5" xfId="4708" xr:uid="{2CDB4071-5C05-4ED0-BA58-4DB45E4980E9}"/>
    <cellStyle name="Input 2 3 2 6" xfId="4709" xr:uid="{A0D23A29-27FA-413A-9A90-26BA7F94054B}"/>
    <cellStyle name="Input 2 3 3" xfId="4710" xr:uid="{F1120FA6-BEE2-457A-AD31-A09269A17D11}"/>
    <cellStyle name="Input 2 3 4" xfId="4711" xr:uid="{0AFC53F6-2603-4A6C-892F-77F3F823A06E}"/>
    <cellStyle name="Input 2 3 5" xfId="4712" xr:uid="{B79D41A5-1AAB-4F8D-BCC6-304B47F230CA}"/>
    <cellStyle name="Input 2 4" xfId="4713" xr:uid="{707F11A0-BFB3-4269-A9FB-5E1788CC029C}"/>
    <cellStyle name="Input 2 4 2" xfId="4714" xr:uid="{3EA9D75F-128E-4E37-9087-39C2FCCE4243}"/>
    <cellStyle name="Input 2 4 2 2" xfId="4715" xr:uid="{3C74CCA5-82F6-4DFA-AA48-3263543B5963}"/>
    <cellStyle name="Input 2 4 2 3" xfId="4716" xr:uid="{5CA57401-8AA3-45C2-8E57-BD30647BB47D}"/>
    <cellStyle name="Input 2 4 2 4" xfId="4717" xr:uid="{1AC61C79-82C0-45CE-81BF-3C722096E7BE}"/>
    <cellStyle name="Input 2 4 3" xfId="4718" xr:uid="{E605B7A7-85FF-40BC-8D4D-A34675878284}"/>
    <cellStyle name="Input 2 4 3 2" xfId="4719" xr:uid="{635CDC4B-23F6-4F7D-8C55-359AFE41802D}"/>
    <cellStyle name="Input 2 4 3 3" xfId="4720" xr:uid="{33B1C23D-4174-42AA-888D-0FC2043EA385}"/>
    <cellStyle name="Input 2 4 3 4" xfId="4721" xr:uid="{9DC5B767-3318-4769-B7DA-C2F019120A4F}"/>
    <cellStyle name="Input 2 4 4" xfId="4722" xr:uid="{D34D06F2-FB69-43BA-B34D-38E5357523C9}"/>
    <cellStyle name="Input 2 4 5" xfId="4723" xr:uid="{94BF38D8-439C-4E9A-8283-71FC33D553BD}"/>
    <cellStyle name="Input 2 4 6" xfId="4724" xr:uid="{F56F8869-BCF2-4D27-B897-5C0C2FDD34D2}"/>
    <cellStyle name="Input 2 5" xfId="4725" xr:uid="{6F559C1E-76C4-418B-AFD3-58F995CA7868}"/>
    <cellStyle name="Input 2 6" xfId="4726" xr:uid="{526A3CE7-A75F-4137-88BB-29FA3D047ADA}"/>
    <cellStyle name="Input 2 7" xfId="4727" xr:uid="{63869A68-C09A-4C75-BCF5-D7EF72B6C034}"/>
    <cellStyle name="Input 2 8" xfId="4728" xr:uid="{3FC3D68B-BB2F-4BFC-AAE5-D01D2870DBD1}"/>
    <cellStyle name="Input 2 9" xfId="4729" xr:uid="{21AB4E80-5FDE-41BA-974A-637306074767}"/>
    <cellStyle name="Input 20" xfId="4730" xr:uid="{4080BB10-23D9-479D-A83A-86012E8E5B03}"/>
    <cellStyle name="Input 21" xfId="4731" xr:uid="{1A8BAC53-31AC-404B-83E5-63FEA4D21F1A}"/>
    <cellStyle name="Input 22" xfId="4732" xr:uid="{4BAD527C-CF4F-40A7-809F-E5CAE460BCCF}"/>
    <cellStyle name="Input 23" xfId="4733" xr:uid="{9618C545-6F28-4B6D-AEEB-64D2CB1C98C2}"/>
    <cellStyle name="Input 24" xfId="4734" xr:uid="{407F1AB2-0E49-41C4-A9BB-7E9AAA020DCF}"/>
    <cellStyle name="Input 25" xfId="4735" xr:uid="{11BF89D4-E039-4057-8AA3-237AF9183DA9}"/>
    <cellStyle name="Input 26" xfId="4736" xr:uid="{708A485E-D13F-4F14-AEDF-DD1DD998AD6E}"/>
    <cellStyle name="Input 27" xfId="4737" xr:uid="{B25A1C40-2FCE-4CBA-8B46-A214E9E4B8B8}"/>
    <cellStyle name="Input 28" xfId="4738" xr:uid="{2F303E48-EFD1-4C55-A063-C9B4BC3262DA}"/>
    <cellStyle name="Input 29" xfId="4739" xr:uid="{155D07FD-64C0-4FC5-9234-DB15BE6B6655}"/>
    <cellStyle name="Input 3" xfId="107" xr:uid="{9FB80171-EDFB-46C6-A5C0-DF0229654F26}"/>
    <cellStyle name="Input 3 2" xfId="4740" xr:uid="{A5D86594-134D-4B58-97B6-AE867E4CFA04}"/>
    <cellStyle name="Input 3 3" xfId="4741" xr:uid="{CEB025C1-C2B9-43D2-BB47-30401814075B}"/>
    <cellStyle name="Input 3 4" xfId="4742" xr:uid="{C1C2844B-5BE7-4B79-971F-6D45BCE953BA}"/>
    <cellStyle name="Input 3 5" xfId="4743" xr:uid="{0421B7D9-0153-498F-AECE-D7E885D44B1F}"/>
    <cellStyle name="Input 30" xfId="4744" xr:uid="{67FDCE51-732C-4012-B969-D131746BDE82}"/>
    <cellStyle name="Input 31" xfId="4745" xr:uid="{2B51BF7A-5021-47E0-9E51-7629E4D7616E}"/>
    <cellStyle name="Input 32" xfId="4746" xr:uid="{866C4DEE-8235-41C5-984A-6DCB7FDC5A28}"/>
    <cellStyle name="Input 33" xfId="4747" xr:uid="{9C0CB09D-528F-423D-8D03-9E9CBEEBA350}"/>
    <cellStyle name="Input 34" xfId="4748" xr:uid="{03274354-215C-4D2D-BB1B-E47A5E3E674A}"/>
    <cellStyle name="Input 35" xfId="4749" xr:uid="{9E7E1BE9-000C-4B37-B5AF-6B0C1A6B9A25}"/>
    <cellStyle name="Input 35 2" xfId="4750" xr:uid="{F37DC044-4E29-459C-AA6E-052B49907008}"/>
    <cellStyle name="Input 35 2 2" xfId="4751" xr:uid="{CA391716-5A95-4651-8890-6E8F78B3F957}"/>
    <cellStyle name="Input 35 2 2 2" xfId="4752" xr:uid="{D534C2A4-ED3D-4B00-BD8D-2AF11547BF88}"/>
    <cellStyle name="Input 35 3" xfId="4753" xr:uid="{F3053C15-A781-4F30-B012-8CEDBF795E48}"/>
    <cellStyle name="Input 35 4" xfId="4754" xr:uid="{8AC465D5-4F56-46C2-A27B-CF0BF0F018AA}"/>
    <cellStyle name="Input 36" xfId="4755" xr:uid="{9E30C9B1-C23F-45BA-8557-AE12E953E566}"/>
    <cellStyle name="Input 37" xfId="4756" xr:uid="{471863AB-8F02-4A99-B47D-CBB2E7B62FC4}"/>
    <cellStyle name="Input 38" xfId="4757" xr:uid="{F1A4838C-BFFD-4A2C-9E79-7DB2546D1BDC}"/>
    <cellStyle name="Input 39" xfId="4758" xr:uid="{54468307-B708-4B8A-B729-5174FEBF1213}"/>
    <cellStyle name="Input 4" xfId="108" xr:uid="{D5AAA06D-87B1-48FF-8F73-132373A65AB2}"/>
    <cellStyle name="Input 4 2" xfId="4759" xr:uid="{E782CF0C-E1F0-4730-B567-F289E03D26CB}"/>
    <cellStyle name="Input 4 3" xfId="4760" xr:uid="{F153DE9C-1EA6-4BD3-BA30-9F5962D4EA8D}"/>
    <cellStyle name="Input 4 4" xfId="4761" xr:uid="{E1A569E3-9714-4B81-B4EC-9147478B3894}"/>
    <cellStyle name="Input 40" xfId="4762" xr:uid="{D1B80C68-08D0-48EB-AA95-584529685038}"/>
    <cellStyle name="Input 41" xfId="4763" xr:uid="{2F7F82DB-B86F-4856-9F9B-E648B071FDBD}"/>
    <cellStyle name="Input 42" xfId="4764" xr:uid="{6B550DA5-0521-4DAE-B684-8B1AACA31CB5}"/>
    <cellStyle name="Input 43" xfId="4765" xr:uid="{A535C600-8723-4A3D-9AB4-A21A4F72FF77}"/>
    <cellStyle name="Input 44" xfId="4766" xr:uid="{D657AC83-1721-4A11-A206-A7677B0EA22A}"/>
    <cellStyle name="Input 45" xfId="4767" xr:uid="{B9890839-D714-4F67-A5DC-55D366C423AF}"/>
    <cellStyle name="Input 46" xfId="4768" xr:uid="{698D6E67-0E9A-4DA1-975E-4085AB9EE9EE}"/>
    <cellStyle name="Input 47" xfId="4769" xr:uid="{E665A399-A14E-41A0-B746-16C35FFF1943}"/>
    <cellStyle name="Input 48" xfId="4770" xr:uid="{199BE923-09AD-43BD-8435-9E8A8B548C84}"/>
    <cellStyle name="Input 49" xfId="4771" xr:uid="{070500C9-D854-40B7-BFCB-42615914F531}"/>
    <cellStyle name="Input 5" xfId="109" xr:uid="{947D6554-6EEE-44F1-8CF3-F1445928B13B}"/>
    <cellStyle name="Input 5 2" xfId="4772" xr:uid="{70130DF8-3C5D-40D9-B862-5A92682B5B29}"/>
    <cellStyle name="Input 50" xfId="4773" xr:uid="{1F4C48DB-173D-4395-BED2-CB9A9EBAE29D}"/>
    <cellStyle name="Input 51" xfId="4774" xr:uid="{ABD052F2-E3EC-4385-9731-33B5BDD1F2CE}"/>
    <cellStyle name="Input 52" xfId="4775" xr:uid="{ED37C47D-3D69-4420-B069-F6945A82FD3D}"/>
    <cellStyle name="Input 53" xfId="4776" xr:uid="{A19195A7-24E8-49EB-A43B-5BAC44AD90E8}"/>
    <cellStyle name="Input 54" xfId="4777" xr:uid="{6F110E8D-6A0D-486E-8539-992FEDF37DC2}"/>
    <cellStyle name="Input 55" xfId="4778" xr:uid="{D858AF62-83BD-48BB-AA7C-6A4C8AF080C1}"/>
    <cellStyle name="Input 56" xfId="4779" xr:uid="{EB171EC8-30F4-464C-87E7-4E0D73064AD7}"/>
    <cellStyle name="Input 57" xfId="4780" xr:uid="{850F3AEC-3CEE-460C-B2D9-A6C5E57D0518}"/>
    <cellStyle name="Input 58" xfId="4781" xr:uid="{3CFF0AEE-6A82-4AEC-9ED1-8362178A9DA8}"/>
    <cellStyle name="Input 59" xfId="4782" xr:uid="{0C910170-C77C-4151-B192-BC8252A3DEFC}"/>
    <cellStyle name="Input 6" xfId="110" xr:uid="{8619BCCE-B9D0-42C9-8AC8-F77434F8FF89}"/>
    <cellStyle name="Input 6 2" xfId="4783" xr:uid="{9DA1F747-4AC7-4913-B3FB-E721B855E684}"/>
    <cellStyle name="Input 60" xfId="4784" xr:uid="{E2B3B985-98DA-4196-A867-4DE84726E7A6}"/>
    <cellStyle name="Input 60 2" xfId="4785" xr:uid="{EA97E956-5898-4AED-8810-B74250C2914F}"/>
    <cellStyle name="Input 60 2 2" xfId="4786" xr:uid="{49DA2FDA-A334-4256-AA8F-47A9049EB229}"/>
    <cellStyle name="Input 60 2 3" xfId="4787" xr:uid="{FE8B2291-886A-47BC-B8CD-D3DA943224A3}"/>
    <cellStyle name="Input 61" xfId="4788" xr:uid="{5AAD9A5B-E0FF-471D-B960-411FAB723DCF}"/>
    <cellStyle name="Input 62" xfId="4789" xr:uid="{69F2A861-DB28-402D-8742-49E92D971E76}"/>
    <cellStyle name="Input 63" xfId="4790" xr:uid="{8E0B89BA-FB85-4F1E-B444-2957AE74C604}"/>
    <cellStyle name="Input 64" xfId="4791" xr:uid="{544A11EE-A14C-43C8-9B2D-E0D1D85DB291}"/>
    <cellStyle name="Input 65" xfId="4792" xr:uid="{111CADB5-4C41-40B0-B379-C1ABE86100CB}"/>
    <cellStyle name="Input 66" xfId="4793" xr:uid="{71C8ED61-7963-4DD8-A37E-D9556C5E0A41}"/>
    <cellStyle name="Input 67" xfId="4794" xr:uid="{5966226D-4860-43D2-94D7-D66E72AE67D5}"/>
    <cellStyle name="Input 7" xfId="111" xr:uid="{6253BBAC-497C-44C1-BAE4-1BFEB62081C0}"/>
    <cellStyle name="Input 7 2" xfId="4795" xr:uid="{7F323691-1E86-483E-AE4F-247D0F722EED}"/>
    <cellStyle name="Input 8" xfId="112" xr:uid="{8EB46AD8-8F6C-410A-ABBB-B5EC28B1388C}"/>
    <cellStyle name="Input 8 2" xfId="4796" xr:uid="{9208189D-5734-48A7-B148-423BAAE3A712}"/>
    <cellStyle name="Input 9" xfId="113" xr:uid="{86EE4EBC-83F3-4B78-9036-60DC5218C5ED}"/>
    <cellStyle name="Input 9 2" xfId="4797" xr:uid="{BD049D8B-D319-422B-B598-FD87B9F9C406}"/>
    <cellStyle name="Input Currency" xfId="4798" xr:uid="{94851D1F-EAD0-4637-8D0C-A6E317C91769}"/>
    <cellStyle name="Input Currency 2" xfId="4799" xr:uid="{4663614A-D927-461B-8CB5-3AD136AC1B9D}"/>
    <cellStyle name="Input data" xfId="4800" xr:uid="{11AF55D1-06A1-451B-84FB-A27B08CDEF18}"/>
    <cellStyle name="Input Multiple" xfId="4801" xr:uid="{6D944F50-B133-4B84-8C4B-9AB19C37A79D}"/>
    <cellStyle name="Input Percent" xfId="4802" xr:uid="{B4CB657B-74BE-4356-BDA0-75ADE4B1F657}"/>
    <cellStyle name="InputCell" xfId="4803" xr:uid="{FB4A7F83-EB53-488B-B86B-AEC2A822301E}"/>
    <cellStyle name="InputCell 10" xfId="4804" xr:uid="{C0188D1D-8DB3-4E28-976F-30EE6E82E14B}"/>
    <cellStyle name="InputCell 2" xfId="4805" xr:uid="{5097E253-4925-4737-9EFD-41B99CF8D179}"/>
    <cellStyle name="InputCell 2 2" xfId="4806" xr:uid="{322CDAE2-B351-4D22-A373-E7D9A7A82E95}"/>
    <cellStyle name="InputCell 2 2 2" xfId="4807" xr:uid="{198E9D02-60F5-4B45-A91B-C02FA8B7FDCC}"/>
    <cellStyle name="InputCell 2 2 3" xfId="4808" xr:uid="{6218908A-37AE-46D5-AD24-4AD18F46F496}"/>
    <cellStyle name="InputCell 2 3" xfId="4809" xr:uid="{AB54B8B1-8541-4D52-B684-29847D28FC86}"/>
    <cellStyle name="InputCell 2 4" xfId="4810" xr:uid="{8569312E-9B8D-4AE2-B423-A9563264505D}"/>
    <cellStyle name="InputCell 3" xfId="4811" xr:uid="{2811A6E6-3F80-4490-9757-CA1EF1C342DD}"/>
    <cellStyle name="InputCell 3 2" xfId="4812" xr:uid="{A01770A1-E479-4670-AF06-59863A41D86D}"/>
    <cellStyle name="InputCell 3 2 2" xfId="4813" xr:uid="{EE56DECC-AFB6-42E0-901E-6CEB4BEA88A0}"/>
    <cellStyle name="InputCell 3 2 3" xfId="4814" xr:uid="{D14E839C-8DBB-49A7-BFCE-3954C2EB32EB}"/>
    <cellStyle name="InputCell 3 3" xfId="4815" xr:uid="{1039774A-FD4F-40C8-AE82-2DD6A3568034}"/>
    <cellStyle name="InputCell 3 4" xfId="4816" xr:uid="{D5A7593A-BBBD-4312-8251-254CFE162F5C}"/>
    <cellStyle name="InputCell 4" xfId="4817" xr:uid="{DCDB79D5-ABC9-419A-B124-640A35FB8BFF}"/>
    <cellStyle name="InputCell 4 2" xfId="4818" xr:uid="{459E537A-32B4-4302-95D8-15FCAF632442}"/>
    <cellStyle name="InputCell 4 2 2" xfId="4819" xr:uid="{F6072669-738A-448B-B006-54C88D0453B2}"/>
    <cellStyle name="InputCell 4 2 3" xfId="4820" xr:uid="{A49D5CFF-D787-4D37-A5CE-2F94652361AE}"/>
    <cellStyle name="InputCell 4 3" xfId="4821" xr:uid="{DC2E445D-850B-4AC4-B7D2-8FFD4EDD1699}"/>
    <cellStyle name="InputCell 4 4" xfId="4822" xr:uid="{2B5D0706-6A05-46DD-9ABF-6B9BBA5845CA}"/>
    <cellStyle name="InputCell 5" xfId="4823" xr:uid="{C14ECDA6-003B-4B6D-892A-18EEF38E11F0}"/>
    <cellStyle name="InputCell 5 2" xfId="4824" xr:uid="{FF9940E5-4E9B-4F1F-B4D4-654E5A9F0B6A}"/>
    <cellStyle name="InputCell 5 2 2" xfId="4825" xr:uid="{ED68D343-70BF-4E92-8529-B4F6903BDB87}"/>
    <cellStyle name="InputCell 5 2 3" xfId="4826" xr:uid="{7C28D93F-6B41-4C49-8796-844D2195DC30}"/>
    <cellStyle name="InputCell 5 3" xfId="4827" xr:uid="{F7909EEA-CE8C-46FA-9D40-0E897611F03F}"/>
    <cellStyle name="InputCell 5 4" xfId="4828" xr:uid="{CC3118B4-FEB4-4E1B-B62C-5B26BC3A5A27}"/>
    <cellStyle name="InputCell 6" xfId="4829" xr:uid="{4B9E7C02-6819-4373-AE9E-FE52DDA75B09}"/>
    <cellStyle name="InputCell 6 2" xfId="4830" xr:uid="{561D09AD-6CAD-431D-B93D-52A783C5BD0A}"/>
    <cellStyle name="InputCell 6 2 2" xfId="4831" xr:uid="{412A043D-217C-45CF-A590-E7439D66635C}"/>
    <cellStyle name="InputCell 6 2 3" xfId="4832" xr:uid="{E7852D20-AFD1-405A-9ED6-DF9A048FCDE8}"/>
    <cellStyle name="InputCell 6 3" xfId="4833" xr:uid="{81A5C495-7DE9-48D2-8090-D46FC5AACCC6}"/>
    <cellStyle name="InputCell 6 4" xfId="4834" xr:uid="{A85DD7D7-4D21-471F-936D-71D42C9C71FE}"/>
    <cellStyle name="InputCell 7" xfId="4835" xr:uid="{37E278F5-1AF0-432B-8F1A-E081BB5DBCEA}"/>
    <cellStyle name="InputCell 7 2" xfId="4836" xr:uid="{7BFBC7AD-4449-40D7-B738-96C6A05A3FA1}"/>
    <cellStyle name="InputCell 7 2 2" xfId="4837" xr:uid="{1722985A-A577-4D19-ABF5-778DE390822F}"/>
    <cellStyle name="InputCell 7 2 3" xfId="4838" xr:uid="{4FC423DB-21F4-4BEE-A68A-C8DC44FC44B9}"/>
    <cellStyle name="InputCell 7 3" xfId="4839" xr:uid="{D4F7DBED-094E-409D-B553-210F9770042F}"/>
    <cellStyle name="InputCell 7 4" xfId="4840" xr:uid="{E04E8F10-0FD4-4C0F-8A9C-430299A2F7D3}"/>
    <cellStyle name="InputCell 8" xfId="4841" xr:uid="{F394CEB2-94AC-4A6B-AAAA-AE602837696E}"/>
    <cellStyle name="InputCell 8 2" xfId="4842" xr:uid="{8E211EBE-D2F4-456C-9A49-FEE2139D10A8}"/>
    <cellStyle name="InputCell 8 3" xfId="4843" xr:uid="{0C4FE64D-4D1E-43F0-B399-05D642525F83}"/>
    <cellStyle name="InputCell 9" xfId="4844" xr:uid="{EAB5C0DE-D1A3-430F-9964-7832BFAAD511}"/>
    <cellStyle name="InputCells" xfId="4845" xr:uid="{AFD79AA0-DD33-4EED-B7BC-5643260F755E}"/>
    <cellStyle name="InputCells 2" xfId="4846" xr:uid="{44E0D0CD-1216-4831-85E1-4C71760AFAFE}"/>
    <cellStyle name="InputCells12_BBorder_CRFReport-template" xfId="4847" xr:uid="{3C40D724-2F92-4D4D-A38F-B71FB7A3609D}"/>
    <cellStyle name="InputJL" xfId="4848" xr:uid="{D40E7053-9448-4125-BA7B-3D8B2A42B9F9}"/>
    <cellStyle name="InputJL 2" xfId="4849" xr:uid="{C3469895-5651-42F1-819E-C8DBE04AF626}"/>
    <cellStyle name="InputJL 2 2" xfId="4850" xr:uid="{8FDF87BF-3033-4ACD-BB24-AEB4F8410C17}"/>
    <cellStyle name="InputJL 2 3" xfId="4851" xr:uid="{E35D23D8-FEC4-439F-A43F-0D1B0E42A173}"/>
    <cellStyle name="InputJL 2 4" xfId="4852" xr:uid="{131A1B8A-F415-4AC2-9A2F-94AF434BDB17}"/>
    <cellStyle name="InputJL 2 5" xfId="4853" xr:uid="{C2A16B56-1CC0-4B18-A554-0958F89F14D1}"/>
    <cellStyle name="InputJL 3" xfId="4854" xr:uid="{FD692DF6-7C40-40CA-86B9-14BF0E96CEAA}"/>
    <cellStyle name="InputJL 4" xfId="4855" xr:uid="{B929376F-3026-442F-B29A-1891F34C7195}"/>
    <cellStyle name="InputJL 5" xfId="4856" xr:uid="{4F2DA8D3-A7EB-47D9-A603-90D09C142A71}"/>
    <cellStyle name="InputJL 6" xfId="4857" xr:uid="{D244AB19-281A-419E-83EE-F43C8BCBDC8B}"/>
    <cellStyle name="InputJL 7" xfId="4858" xr:uid="{2E2341A1-EDEA-4DF0-BD62-D2337C8301B4}"/>
    <cellStyle name="InputJL 8" xfId="4859" xr:uid="{AAD22F62-EB5D-4C6C-BCDF-CDA7CD3C0938}"/>
    <cellStyle name="Int_EA" xfId="4860" xr:uid="{417C8650-AA0D-4FBC-9D58-D4375F32D920}"/>
    <cellStyle name="IntermediateCalc_RP" xfId="4861" xr:uid="{9A339EE1-3016-4F5A-B191-4885BFB1F1C1}"/>
    <cellStyle name="Label" xfId="4862" xr:uid="{10985278-8721-41C7-920B-8223167FDE84}"/>
    <cellStyle name="LABEL Normal" xfId="4863" xr:uid="{9A5258BE-72F4-4016-8E97-9DA9CA9779F5}"/>
    <cellStyle name="LABEL Normal 2" xfId="4864" xr:uid="{52255605-57D9-4332-B2C4-555EE12CCDB6}"/>
    <cellStyle name="LABEL Normal 2 2" xfId="4865" xr:uid="{8E75FDEA-78B9-44C1-A09B-589E6FB9ADB0}"/>
    <cellStyle name="LABEL Normal 3" xfId="4866" xr:uid="{ADD7DD05-F30A-4C0C-85C0-6A526590FB64}"/>
    <cellStyle name="LABEL Note" xfId="4867" xr:uid="{78C78806-E140-4CDD-86FA-B0FB6E9E1649}"/>
    <cellStyle name="LABEL Note 2" xfId="4868" xr:uid="{AC4FF5E6-34FE-4EF3-879F-55A7A5ED0628}"/>
    <cellStyle name="LABEL Units" xfId="4869" xr:uid="{319951E5-3649-4099-8C3F-9A054F99A668}"/>
    <cellStyle name="LABEL Units 2" xfId="4870" xr:uid="{770BB0A1-CE45-4F89-AF42-BEF9A9D52E67}"/>
    <cellStyle name="LABEL Units 2 2" xfId="4871" xr:uid="{95A53C07-1DA9-40BD-89C4-EA9116476342}"/>
    <cellStyle name="LABEL Units 3" xfId="4872" xr:uid="{E83FCC5F-AF36-4FE6-9FDF-51B6ECD5BD7B}"/>
    <cellStyle name="LABEL Units 3 2" xfId="4873" xr:uid="{B0C45C35-5ADD-4188-BFA8-124E03ABA31C}"/>
    <cellStyle name="LABEL Units 4" xfId="4874" xr:uid="{9EEC4CA6-16CD-4923-BDC0-1AA083E670C3}"/>
    <cellStyle name="Label_RP" xfId="4875" xr:uid="{58E89DF7-DE13-4694-B07A-93E465569F1B}"/>
    <cellStyle name="LabelIntersect" xfId="114" xr:uid="{16DD8FD4-D1A8-401B-BBAF-B261AB73059C}"/>
    <cellStyle name="LabelLeft" xfId="115" xr:uid="{AA535C96-88CB-4F0C-BBB7-448D8B9D0981}"/>
    <cellStyle name="LabelTop" xfId="116" xr:uid="{E8AE1E4B-3D80-408C-A6FF-859FE54DFF0F}"/>
    <cellStyle name="Level" xfId="4876" xr:uid="{1C8C9FE4-548C-4731-8EA5-EFD05B40296B}"/>
    <cellStyle name="Linked Cell 10" xfId="4877" xr:uid="{8AFEC3AA-FB2D-42A7-901D-42C87EACBE86}"/>
    <cellStyle name="Linked Cell 11" xfId="4878" xr:uid="{6D51DD82-B363-4544-BD46-AC12658291F3}"/>
    <cellStyle name="Linked Cell 12" xfId="4879" xr:uid="{F939A436-3455-4AFD-A7F1-DC399BC16A2C}"/>
    <cellStyle name="Linked Cell 13" xfId="4880" xr:uid="{6830C97E-DEB6-4560-80F7-A239D2D901D8}"/>
    <cellStyle name="Linked Cell 14" xfId="4881" xr:uid="{DB6E9930-B5C5-4B5C-8B20-253BFFA2B333}"/>
    <cellStyle name="Linked Cell 15" xfId="4882" xr:uid="{65507285-5A73-4D19-BDBB-F0971D0307D4}"/>
    <cellStyle name="Linked Cell 16" xfId="4883" xr:uid="{6CEED2E6-E4C4-4E2B-BD4A-031B8811C853}"/>
    <cellStyle name="Linked Cell 17" xfId="4884" xr:uid="{EEB444A8-B9B2-4296-B024-344AEF2C3A43}"/>
    <cellStyle name="Linked Cell 18" xfId="4885" xr:uid="{5A3812F6-2675-498C-9480-807425486072}"/>
    <cellStyle name="Linked Cell 19" xfId="4886" xr:uid="{A0B5AC07-4ECE-4822-A512-6D01AE6D739A}"/>
    <cellStyle name="Linked Cell 2" xfId="117" xr:uid="{5AA3BFB9-D176-49FC-87FD-A4D2B952E752}"/>
    <cellStyle name="Linked Cell 2 2" xfId="4888" xr:uid="{BD7058E0-0A1E-430C-BAAE-7FCA02FF2A9D}"/>
    <cellStyle name="Linked Cell 2 2 2" xfId="4889" xr:uid="{91512304-15FA-452E-BE13-8E1AFA326FA7}"/>
    <cellStyle name="Linked Cell 2 3" xfId="4890" xr:uid="{F1A09FA1-3A0C-464C-A01A-5F1B3E463762}"/>
    <cellStyle name="Linked Cell 2 4" xfId="4891" xr:uid="{4E7DDFFA-24A2-4007-8243-CCC8190E1660}"/>
    <cellStyle name="Linked Cell 2 5" xfId="4892" xr:uid="{FAEC3B4E-D859-45FF-9014-910ABE038D2C}"/>
    <cellStyle name="Linked Cell 2 6" xfId="4887" xr:uid="{3C81E719-41EB-4DFA-8CE9-F88B3A64CE70}"/>
    <cellStyle name="Linked Cell 20" xfId="4893" xr:uid="{0AD8B14E-91B4-40B5-AEC2-F2DFFDF7338E}"/>
    <cellStyle name="Linked Cell 21" xfId="4894" xr:uid="{27B1A4CB-DFC1-48DF-BC59-3199363BBBAE}"/>
    <cellStyle name="Linked Cell 22" xfId="4895" xr:uid="{BA7DFE1D-1B3E-4EE4-AEDF-6A25E120B399}"/>
    <cellStyle name="Linked Cell 23" xfId="4896" xr:uid="{0DEFECA5-E269-436C-91BA-6C5AD26EA607}"/>
    <cellStyle name="Linked Cell 24" xfId="4897" xr:uid="{D8E33700-15AE-49DC-A26B-5738EBDE2E59}"/>
    <cellStyle name="Linked Cell 25" xfId="4898" xr:uid="{F471BCED-9D3B-47DC-AAFF-497296BB2EE0}"/>
    <cellStyle name="Linked Cell 26" xfId="4899" xr:uid="{AEEA4991-A4AE-4B44-9256-36FD77BE0D54}"/>
    <cellStyle name="Linked Cell 27" xfId="4900" xr:uid="{FB197977-12AA-45E3-8C13-A351E48F7929}"/>
    <cellStyle name="Linked Cell 28" xfId="4901" xr:uid="{3F4E380B-88C8-435B-B655-DF6B687E893B}"/>
    <cellStyle name="Linked Cell 29" xfId="4902" xr:uid="{765CF1B5-719B-43F8-93E3-0825B4694DB3}"/>
    <cellStyle name="Linked Cell 3" xfId="4903" xr:uid="{06059E06-C89B-4E3D-BBEA-AFEF861ADDAD}"/>
    <cellStyle name="Linked Cell 3 2" xfId="4904" xr:uid="{4ABC732D-9089-4FAB-812F-932AFB31F70C}"/>
    <cellStyle name="Linked Cell 3 3" xfId="4905" xr:uid="{8683D830-BB88-4C0D-BD23-90A51AE6278E}"/>
    <cellStyle name="Linked Cell 30" xfId="4906" xr:uid="{56134833-5CC8-48BC-8DC7-C44AE2A9209A}"/>
    <cellStyle name="Linked Cell 31" xfId="4907" xr:uid="{49B0D208-37CE-49B4-8E6A-09E23FC49345}"/>
    <cellStyle name="Linked Cell 32" xfId="4908" xr:uid="{CC24D968-6A19-413B-8121-9030D56FB010}"/>
    <cellStyle name="Linked Cell 33" xfId="4909" xr:uid="{B0F840B9-CECB-49D9-B833-95C8D2D52396}"/>
    <cellStyle name="Linked Cell 34" xfId="4910" xr:uid="{4E8E2C80-9230-4B1F-BE26-4B69333160B1}"/>
    <cellStyle name="Linked Cell 35" xfId="4911" xr:uid="{0E3D00AB-345F-4955-A751-BC521FF083EA}"/>
    <cellStyle name="Linked Cell 35 2" xfId="4912" xr:uid="{20A030AE-BDFF-4C99-A999-5A413747316A}"/>
    <cellStyle name="Linked Cell 35 2 2" xfId="4913" xr:uid="{20A7FFB3-7A80-480B-BD95-6B10DEA6CD2C}"/>
    <cellStyle name="Linked Cell 35 2 2 2" xfId="4914" xr:uid="{41FB6071-CEF4-4CB8-BC1A-7533C46797DC}"/>
    <cellStyle name="Linked Cell 35 3" xfId="4915" xr:uid="{6EC1325A-8171-4BE4-BA9C-B3B8396D34A8}"/>
    <cellStyle name="Linked Cell 35 4" xfId="4916" xr:uid="{F185FD3A-6F08-4089-AD16-6EDCF68D3489}"/>
    <cellStyle name="Linked Cell 36" xfId="4917" xr:uid="{E48DB424-17F2-4197-AD70-D2F64C7FD27B}"/>
    <cellStyle name="Linked Cell 37" xfId="4918" xr:uid="{1C41F93A-94B6-4F95-B3CE-E6E1C9914BCC}"/>
    <cellStyle name="Linked Cell 38" xfId="4919" xr:uid="{F74A0DE3-884A-4276-BE53-3FC85043E057}"/>
    <cellStyle name="Linked Cell 39" xfId="4920" xr:uid="{89464792-A146-4ED4-8C70-30A9FFAFDB5A}"/>
    <cellStyle name="Linked Cell 4" xfId="4921" xr:uid="{2266B7F9-292D-48A6-8C19-1AD08E2CE5CF}"/>
    <cellStyle name="Linked Cell 40" xfId="4922" xr:uid="{EA12320D-06DC-4B40-B83E-59F9F7699B61}"/>
    <cellStyle name="Linked Cell 41" xfId="4923" xr:uid="{C9BF2116-9BA0-4854-B04C-D6A200D125F2}"/>
    <cellStyle name="Linked Cell 42" xfId="4924" xr:uid="{1662A20B-94B0-48A7-A656-74BE7EB9B801}"/>
    <cellStyle name="Linked Cell 43" xfId="4925" xr:uid="{5D2B54B7-21A6-47AB-BE55-47F9B1E5FB59}"/>
    <cellStyle name="Linked Cell 44" xfId="4926" xr:uid="{2F488660-A7EC-4B9C-A655-FD9C1DA1FD87}"/>
    <cellStyle name="Linked Cell 45" xfId="4927" xr:uid="{574AF8A1-8E0A-4632-8B4C-70E4888D0221}"/>
    <cellStyle name="Linked Cell 46" xfId="4928" xr:uid="{EAC16484-F236-4B26-80C9-DACB9B95D056}"/>
    <cellStyle name="Linked Cell 47" xfId="4929" xr:uid="{55F6EC1A-0E00-400D-89AF-054D73EA161F}"/>
    <cellStyle name="Linked Cell 48" xfId="4930" xr:uid="{CDD51970-E812-4BFC-9EC7-E52574FF02AD}"/>
    <cellStyle name="Linked Cell 49" xfId="4931" xr:uid="{A54E4AA5-4D50-4D1E-B360-F31252220799}"/>
    <cellStyle name="Linked Cell 5" xfId="4932" xr:uid="{0653D3B7-F758-4CE4-B197-D034D6CDCE81}"/>
    <cellStyle name="Linked Cell 50" xfId="4933" xr:uid="{97F40F52-5BD7-4BF9-9BC3-ADBCCFE8211D}"/>
    <cellStyle name="Linked Cell 51" xfId="4934" xr:uid="{44888B9D-4F72-454B-8A24-7C9C7FAE2D89}"/>
    <cellStyle name="Linked Cell 52" xfId="4935" xr:uid="{4911E6D3-4326-41FF-A1E7-DB3B34457A4B}"/>
    <cellStyle name="Linked Cell 53" xfId="4936" xr:uid="{938C944F-D466-4299-96C4-3E9106C105CC}"/>
    <cellStyle name="Linked Cell 54" xfId="4937" xr:uid="{74D2FCF7-933A-4795-B911-1F968932552D}"/>
    <cellStyle name="Linked Cell 55" xfId="4938" xr:uid="{679E7D4F-F126-4DD4-BEFE-20E0A6A097DE}"/>
    <cellStyle name="Linked Cell 56" xfId="4939" xr:uid="{912288DF-BEB9-4760-BCCB-C172D4344E4A}"/>
    <cellStyle name="Linked Cell 57" xfId="4940" xr:uid="{E94B3174-028A-4467-9E48-865ACD63BDA0}"/>
    <cellStyle name="Linked Cell 58" xfId="4941" xr:uid="{B3668F08-220C-40A2-8E25-0739BE61165A}"/>
    <cellStyle name="Linked Cell 59" xfId="4942" xr:uid="{E7541B52-0C89-4554-944B-332E083A18A3}"/>
    <cellStyle name="Linked Cell 6" xfId="4943" xr:uid="{A67BC180-2BF6-4A2E-9B6E-4710D4DF6A6E}"/>
    <cellStyle name="Linked Cell 60" xfId="4944" xr:uid="{EC3EC11E-7C22-42C6-B3DA-10E97D93319C}"/>
    <cellStyle name="Linked Cell 60 2" xfId="4945" xr:uid="{2953D9F6-25F2-43A8-B2CD-152B23993364}"/>
    <cellStyle name="Linked Cell 60 2 2" xfId="4946" xr:uid="{5EECB07A-6001-48B7-A740-A9322C62DC2C}"/>
    <cellStyle name="Linked Cell 60 2 3" xfId="4947" xr:uid="{9286B0DF-AA8E-4289-B370-95B3EC63E2BB}"/>
    <cellStyle name="Linked Cell 61" xfId="4948" xr:uid="{56A39864-D7BE-4853-BC87-39245C5EE598}"/>
    <cellStyle name="Linked Cell 62" xfId="4949" xr:uid="{00A4C324-74C8-4DD1-B39A-F69F779F5B77}"/>
    <cellStyle name="Linked Cell 63" xfId="4950" xr:uid="{E248494C-421D-415E-948F-3C02B00DF064}"/>
    <cellStyle name="Linked Cell 64" xfId="4951" xr:uid="{60183691-9B0C-497F-A161-57B9FA94C71D}"/>
    <cellStyle name="Linked Cell 65" xfId="4952" xr:uid="{233F3B91-84FA-4869-84D1-366EA03CBB56}"/>
    <cellStyle name="Linked Cell 7" xfId="4953" xr:uid="{623B880F-39AC-4406-867D-0928AC7CC265}"/>
    <cellStyle name="Linked Cell 8" xfId="4954" xr:uid="{2804536A-5069-40C6-BFD3-B7497EE15EEA}"/>
    <cellStyle name="Linked Cell 9" xfId="4955" xr:uid="{4E32D0D7-FAF7-4CA8-BA76-001C6FB7070A}"/>
    <cellStyle name="LinkedCell_RP" xfId="4956" xr:uid="{72B12C73-BED6-4D77-A69F-38190B80C7F7}"/>
    <cellStyle name="LinkedCellLbl_RP" xfId="4957" xr:uid="{71F06023-E004-4DCC-B054-5F8DB4F077BE}"/>
    <cellStyle name="LTM Cell Column Heading" xfId="4958" xr:uid="{CE902728-0409-4CFB-8D5E-5416FFC72866}"/>
    <cellStyle name="LTM Cell Column Heading 2" xfId="4959" xr:uid="{624BCA66-912C-43EB-B26A-CD52B3872A98}"/>
    <cellStyle name="LTM Cell Column Heading 3" xfId="4960" xr:uid="{17C911B9-EDCD-4AF2-A1E4-765576AC3EE0}"/>
    <cellStyle name="LTM Cell Column Heading 4" xfId="4961" xr:uid="{DB5EB8B9-B279-42C8-AE39-A994C4B71B34}"/>
    <cellStyle name="LTM Cell Column Heading 5" xfId="4962" xr:uid="{286F024E-3BA6-4A13-BBFC-1EC90C23EFA1}"/>
    <cellStyle name="LTM Cell Column Heading 6" xfId="4963" xr:uid="{ED67C3B1-3CC0-4829-AB03-A7F4B8F3AC3D}"/>
    <cellStyle name="LTM Cell Column Heading 7" xfId="4964" xr:uid="{FCD5D352-1DBA-4D52-BDBF-169B747B40BB}"/>
    <cellStyle name="LTM Cell Column Heading 8" xfId="4965" xr:uid="{B9997864-948A-4E16-A9A4-8DF55F2DCA82}"/>
    <cellStyle name="LTM Cell Column Heading 9" xfId="4966" xr:uid="{6842543E-0127-46D0-BDA2-6CDAA50A7E13}"/>
    <cellStyle name="Menu" xfId="4967" xr:uid="{A7D94764-80A8-4B50-9E2D-4C3E29A9F99F}"/>
    <cellStyle name="Menu 2" xfId="4968" xr:uid="{B4E12A52-DC84-4390-B2A4-30FECAC80287}"/>
    <cellStyle name="Meta_RHI Model Results-091211-055438" xfId="4969" xr:uid="{C99E4FB7-E6EA-4ECD-89A2-9D95449AEB34}"/>
    <cellStyle name="Migliaia 2" xfId="4970" xr:uid="{4D41A753-EF45-4E45-948D-E236374EEADA}"/>
    <cellStyle name="Migliaia 2 2" xfId="4971" xr:uid="{1167FB2F-4734-4F24-9E0B-4EB5A0C36464}"/>
    <cellStyle name="Mik" xfId="118" xr:uid="{760E10C7-1657-49C1-9538-8CFB3EC88A42}"/>
    <cellStyle name="Mik 2" xfId="119" xr:uid="{1888AF78-2075-45E4-9821-9E66D293C383}"/>
    <cellStyle name="Mik 2 2" xfId="4972" xr:uid="{F7E42556-1884-4531-8CA1-9E4DD978984B}"/>
    <cellStyle name="Mik 3" xfId="4973" xr:uid="{D189BBCE-6DD4-42B2-AB75-808611461039}"/>
    <cellStyle name="Mik_Additional charts" xfId="4974" xr:uid="{0D13F5FE-0B79-438E-8EA3-A8BA6AEA8A50}"/>
    <cellStyle name="Millares [0]_10 AVERIAS MASIVAS + ANT" xfId="4975" xr:uid="{344F4049-F9BE-4133-B3FB-41AB84270D3B}"/>
    <cellStyle name="Millares_10 AVERIAS MASIVAS + ANT" xfId="4976" xr:uid="{91C36469-FB27-4DD1-8623-C030EF715D2D}"/>
    <cellStyle name="Milliers [0]_03tabmat" xfId="4977" xr:uid="{FB3E8141-9712-4CA3-8CA1-0BAAD84D2FA6}"/>
    <cellStyle name="Milliers_03tabmat" xfId="4978" xr:uid="{3A5A18C9-B25F-4602-A080-E32814703A02}"/>
    <cellStyle name="Model Name." xfId="4979" xr:uid="{FAF79A35-3E61-4443-9550-45C9312700D9}"/>
    <cellStyle name="Moneda [0]_Clasif por Diferencial" xfId="4980" xr:uid="{1121EE28-71B4-46CA-8EC6-5BEC25978CE8}"/>
    <cellStyle name="Moneda_Clasif por Diferencial" xfId="4981" xr:uid="{AA57E0AB-7EC6-4439-840A-585EDB666E4B}"/>
    <cellStyle name="Monétaire [0]_03tabmat" xfId="4982" xr:uid="{EAED02CA-1F67-4AF8-89C2-54E0236A4095}"/>
    <cellStyle name="Monétaire_03tabmat" xfId="4983" xr:uid="{7CC9D823-433A-4248-9358-D995D8398790}"/>
    <cellStyle name="MS_English" xfId="4984" xr:uid="{051DE38E-38B6-48EB-9550-86850915E532}"/>
    <cellStyle name="Multiple" xfId="4985" xr:uid="{3ADFD158-BA5F-4A73-935F-48C7116092D7}"/>
    <cellStyle name="Multiple Cell Column Heading" xfId="4986" xr:uid="{AB6B631D-4A62-4BEA-820F-AACB38D9090A}"/>
    <cellStyle name="MultipleBelow" xfId="4987" xr:uid="{40DD50F4-A4A4-4783-915A-9EF1D3E14F13}"/>
    <cellStyle name="N" xfId="120" xr:uid="{39FEBAF9-7DEA-457C-A308-F0DA9C46072F}"/>
    <cellStyle name="N 2" xfId="121" xr:uid="{6C31D2E1-3849-4720-990C-1D430D0EE399}"/>
    <cellStyle name="N 2 2" xfId="4988" xr:uid="{E25BAAF7-8583-4533-8AFF-12A71DFF6C42}"/>
    <cellStyle name="N 3" xfId="4989" xr:uid="{DA02F700-9DB4-40BA-9F1F-215C30394035}"/>
    <cellStyle name="Neutral 10" xfId="4990" xr:uid="{5E004885-B87F-47F6-9D80-97DB50F9EBF6}"/>
    <cellStyle name="Neutral 11" xfId="4991" xr:uid="{1710DD2C-8196-493F-9F0F-9265943AE007}"/>
    <cellStyle name="Neutral 12" xfId="4992" xr:uid="{A5A66924-EAC2-47F8-9846-D80FB40028A6}"/>
    <cellStyle name="Neutral 13" xfId="4993" xr:uid="{824D0B1A-0666-4BA6-878C-904B013AED4E}"/>
    <cellStyle name="Neutral 14" xfId="4994" xr:uid="{45D4E2CF-624F-4C37-AEDA-0EDD14ACC903}"/>
    <cellStyle name="Neutral 15" xfId="4995" xr:uid="{659CDD43-07C6-492A-9AA4-D5F216D4F865}"/>
    <cellStyle name="Neutral 16" xfId="4996" xr:uid="{1A360C48-5D48-4911-B8A8-E16E3C701BC0}"/>
    <cellStyle name="Neutral 17" xfId="4997" xr:uid="{B685C923-0210-4F60-9A2B-526B0F46D197}"/>
    <cellStyle name="Neutral 18" xfId="4998" xr:uid="{2224F58C-A17B-4E7E-A2E2-043D02D8A780}"/>
    <cellStyle name="Neutral 19" xfId="4999" xr:uid="{C984B581-A2CD-4677-BCC8-F361E3D09F30}"/>
    <cellStyle name="Neutral 2" xfId="122" xr:uid="{7B7F4886-3372-40F1-B09B-1CCBA846D772}"/>
    <cellStyle name="Neutral 2 2" xfId="5001" xr:uid="{27937CA1-AD91-4AEF-9937-A60970DC0428}"/>
    <cellStyle name="Neutral 2 2 2" xfId="5002" xr:uid="{6EEEE156-4F13-4D60-8F17-532FB219A6A9}"/>
    <cellStyle name="Neutral 2 2 3" xfId="5003" xr:uid="{D9554BEB-D14B-4691-B953-60515304828E}"/>
    <cellStyle name="Neutral 2 3" xfId="5004" xr:uid="{EDCDBAAA-3CD8-4081-B90E-A55D5C58A27B}"/>
    <cellStyle name="Neutral 2 4" xfId="5005" xr:uid="{CBCA0385-B3D2-4D75-A4D5-C131CB6F461A}"/>
    <cellStyle name="Neutral 2 5" xfId="5006" xr:uid="{CEC1F894-D95E-4EA9-B722-4F8E5B47917C}"/>
    <cellStyle name="Neutral 2 6" xfId="5000" xr:uid="{A44E0609-C07E-4252-AA41-21886BF63D12}"/>
    <cellStyle name="Neutral 20" xfId="5007" xr:uid="{415DD5F7-FB9B-41D9-8427-4F8985545348}"/>
    <cellStyle name="Neutral 21" xfId="5008" xr:uid="{3B9C4D60-179F-4A5D-8C33-58F45D1202CE}"/>
    <cellStyle name="Neutral 22" xfId="5009" xr:uid="{E3EC2C68-FEAA-4B9D-8078-EA45210D7DC0}"/>
    <cellStyle name="Neutral 23" xfId="5010" xr:uid="{5745FF56-4541-4520-A2A1-6A64251FF573}"/>
    <cellStyle name="Neutral 24" xfId="5011" xr:uid="{B01E51A2-CCB1-4D80-9E17-DC6FECFA1F54}"/>
    <cellStyle name="Neutral 25" xfId="5012" xr:uid="{AF109AFD-A5FB-4B9D-9B2A-DB524B1B4024}"/>
    <cellStyle name="Neutral 26" xfId="5013" xr:uid="{4A1FDD38-E965-45AB-B8B0-A0328D28B9D2}"/>
    <cellStyle name="Neutral 27" xfId="5014" xr:uid="{EBE35921-4F1B-4F8A-938C-63DB492B75B5}"/>
    <cellStyle name="Neutral 28" xfId="5015" xr:uid="{5E0449DF-07A3-4913-B233-324004CD3BB5}"/>
    <cellStyle name="Neutral 29" xfId="5016" xr:uid="{772EA2A8-2049-4222-8C75-0B7463CBD1F3}"/>
    <cellStyle name="Neutral 3" xfId="396" xr:uid="{941BE6EA-1FBE-478E-8D52-42B4B0FC2192}"/>
    <cellStyle name="Neutral 3 2" xfId="5018" xr:uid="{B007E0EF-EF69-4889-8982-ACC363E09FD8}"/>
    <cellStyle name="Neutral 3 3" xfId="5019" xr:uid="{3891D229-2C33-4284-8226-E86CCDD9841C}"/>
    <cellStyle name="Neutral 3 4" xfId="5017" xr:uid="{6A1D48B3-20F5-4DFB-8DD0-CC00BA95E321}"/>
    <cellStyle name="Neutral 30" xfId="5020" xr:uid="{E3B9CE90-A5F4-4138-B259-70769C5C3204}"/>
    <cellStyle name="Neutral 31" xfId="5021" xr:uid="{D4436D4B-0CBE-415E-A195-AF6CE73D76AB}"/>
    <cellStyle name="Neutral 32" xfId="5022" xr:uid="{8AADA58C-CF93-48C3-B93A-4560DE435ECD}"/>
    <cellStyle name="Neutral 33" xfId="5023" xr:uid="{CDA07914-8331-4228-BC96-2399283341F5}"/>
    <cellStyle name="Neutral 34" xfId="5024" xr:uid="{D866E164-B123-48CD-98CC-6352C8F58A18}"/>
    <cellStyle name="Neutral 35" xfId="5025" xr:uid="{CB4F61DF-8235-42F0-82E0-22E02EB5DFEF}"/>
    <cellStyle name="Neutral 35 2" xfId="5026" xr:uid="{DF0894BC-B500-4B5D-B194-A744D4442B6D}"/>
    <cellStyle name="Neutral 35 2 2" xfId="5027" xr:uid="{58942AA3-FF1A-4BD4-8B35-1FC88C9A246E}"/>
    <cellStyle name="Neutral 35 2 2 2" xfId="5028" xr:uid="{3F7B585E-BA9F-4F89-A720-EE1FA240E3AA}"/>
    <cellStyle name="Neutral 35 3" xfId="5029" xr:uid="{52706115-8106-4D7A-89C9-9C6BA4322DAE}"/>
    <cellStyle name="Neutral 35 4" xfId="5030" xr:uid="{FD910D45-47AB-4ED3-8DE3-98004896EAE4}"/>
    <cellStyle name="Neutral 36" xfId="5031" xr:uid="{66F7CE19-FFAE-413A-B8D0-D327C12A40C7}"/>
    <cellStyle name="Neutral 37" xfId="5032" xr:uid="{4EDA9145-3F60-4EE9-A421-EF2514C3181C}"/>
    <cellStyle name="Neutral 38" xfId="5033" xr:uid="{D00FCB62-B739-4FD7-80F1-09D9FE8BDE37}"/>
    <cellStyle name="Neutral 39" xfId="5034" xr:uid="{EC066C2B-0642-4BB9-A622-112955FFE6CD}"/>
    <cellStyle name="Neutral 4" xfId="5035" xr:uid="{44C5D4E6-D81F-45FB-861C-77B077821FA3}"/>
    <cellStyle name="Neutral 4 2" xfId="5036" xr:uid="{3069DCA1-B3EF-4866-B6F0-646B37A84661}"/>
    <cellStyle name="Neutral 40" xfId="5037" xr:uid="{27B62E2D-1961-423E-9B83-2AA3AA86C024}"/>
    <cellStyle name="Neutral 41" xfId="5038" xr:uid="{32960E48-0EC3-4BB7-8A73-ED7DAFA837F8}"/>
    <cellStyle name="Neutral 42" xfId="5039" xr:uid="{59C3D18F-E808-4A09-8E4D-58B88523D680}"/>
    <cellStyle name="Neutral 43" xfId="5040" xr:uid="{CE6DDA19-8AE6-430B-A9C9-076BAB3FE174}"/>
    <cellStyle name="Neutral 44" xfId="5041" xr:uid="{FC08B04F-D438-4090-8ADC-D9C887299F30}"/>
    <cellStyle name="Neutral 45" xfId="5042" xr:uid="{9940B672-D846-4DC9-BD7C-5A4DD21D744B}"/>
    <cellStyle name="Neutral 46" xfId="5043" xr:uid="{D9759848-A864-4CF2-B3A0-90A17CB66FBC}"/>
    <cellStyle name="Neutral 47" xfId="5044" xr:uid="{52E1E67C-DA37-4C67-8988-633756D8D599}"/>
    <cellStyle name="Neutral 48" xfId="5045" xr:uid="{7768716E-C287-4AA0-841B-D5F8B73F2FBC}"/>
    <cellStyle name="Neutral 49" xfId="5046" xr:uid="{78FF7A8F-2DB5-48C5-8438-069E1C65813A}"/>
    <cellStyle name="Neutral 5" xfId="5047" xr:uid="{8BB45348-BB9C-478F-9E21-34BE661B4DEA}"/>
    <cellStyle name="Neutral 50" xfId="5048" xr:uid="{70CCEBEF-9122-47BF-8EE0-C3FD1F55B9C0}"/>
    <cellStyle name="Neutral 51" xfId="5049" xr:uid="{47ECC03B-35A1-492A-A41D-5FD19217C178}"/>
    <cellStyle name="Neutral 52" xfId="5050" xr:uid="{281B75C9-1C2A-496E-80D8-7CE60993819A}"/>
    <cellStyle name="Neutral 53" xfId="5051" xr:uid="{7FBFDAAE-424F-4110-B7B4-A3ECA9777792}"/>
    <cellStyle name="Neutral 54" xfId="5052" xr:uid="{81C45916-C307-4F87-A08D-1FA9C787B12B}"/>
    <cellStyle name="Neutral 55" xfId="5053" xr:uid="{8FF6A3FB-2BFB-4ADC-B3D1-BE6F14960925}"/>
    <cellStyle name="Neutral 56" xfId="5054" xr:uid="{65667A33-E98D-4597-9447-61C93E46D15E}"/>
    <cellStyle name="Neutral 57" xfId="5055" xr:uid="{0067E80B-C139-4477-990B-1B49CF0E0807}"/>
    <cellStyle name="Neutral 58" xfId="5056" xr:uid="{D0C91A52-4D19-44D5-B042-C778CFFB8C11}"/>
    <cellStyle name="Neutral 59" xfId="5057" xr:uid="{A636BB33-CFB7-40D3-8FC4-0535FD563427}"/>
    <cellStyle name="Neutral 6" xfId="5058" xr:uid="{6EE56973-2259-4B56-A3EC-614AFBA47E60}"/>
    <cellStyle name="Neutral 60" xfId="5059" xr:uid="{9A8E2D85-5D2F-42C9-9343-37AD0D52E646}"/>
    <cellStyle name="Neutral 60 2" xfId="5060" xr:uid="{E5E2862C-600E-4196-ADB2-B21B71726F41}"/>
    <cellStyle name="Neutral 60 2 2" xfId="5061" xr:uid="{5DCED2B7-9AFD-4B68-9915-626D7AF5EA2C}"/>
    <cellStyle name="Neutral 60 2 3" xfId="5062" xr:uid="{65ACC72D-C042-4177-8E99-10F49696BF32}"/>
    <cellStyle name="Neutral 61" xfId="5063" xr:uid="{3F585BAA-5C7F-4C1D-9A0B-1648F7573ADD}"/>
    <cellStyle name="Neutral 62" xfId="5064" xr:uid="{3095C1F1-6437-4BC3-B568-702F97E62CA3}"/>
    <cellStyle name="Neutral 63" xfId="5065" xr:uid="{4CF34824-D0F5-4834-8DAE-914FCE019EF2}"/>
    <cellStyle name="Neutral 64" xfId="5066" xr:uid="{D463053E-55BF-4E93-A4C5-639902EAEBE6}"/>
    <cellStyle name="Neutral 65" xfId="5067" xr:uid="{8C5ACF77-F43A-440A-BC92-39A7F52BA7BB}"/>
    <cellStyle name="Neutral 7" xfId="5068" xr:uid="{6C7A87A5-137A-4928-AB02-9312C0FA74CC}"/>
    <cellStyle name="Neutral 8" xfId="5069" xr:uid="{E420B668-DC49-48FD-897C-750CBF25A4CA}"/>
    <cellStyle name="Neutral 9" xfId="5070" xr:uid="{C2C99965-3598-4A81-9DB5-449B94DB585C}"/>
    <cellStyle name="Neutrale" xfId="5071" xr:uid="{4C9AA208-298F-4E18-A767-5AD3AFEC2D19}"/>
    <cellStyle name="Neutrale 2" xfId="5072" xr:uid="{16A82ADD-D33C-41B5-BB1B-0AA25C76C6EB}"/>
    <cellStyle name="no dec" xfId="5073" xr:uid="{6BD1442A-24D2-4E66-BB23-40C1F203C753}"/>
    <cellStyle name="Non Standard Formula" xfId="5074" xr:uid="{0DB85A27-FA50-4455-91FD-F3E4507C015B}"/>
    <cellStyle name="Non User Input" xfId="5075" xr:uid="{206043F1-372A-4C11-906A-47DBEEFCBAFB}"/>
    <cellStyle name="None" xfId="5076" xr:uid="{1CF90A69-DE69-474F-8F1A-15219DD87D39}"/>
    <cellStyle name="None 2" xfId="5077" xr:uid="{39460694-F8C4-4DBA-86A6-7DAF9691B9A0}"/>
    <cellStyle name="Normal" xfId="0" builtinId="0" customBuiltin="1"/>
    <cellStyle name="Normal - Style1" xfId="123" xr:uid="{AB897478-B157-4EB8-8A1E-F88BFE7E8C17}"/>
    <cellStyle name="Normal - Style1 2" xfId="5078" xr:uid="{CBD343E3-D9A0-4479-BC46-8FF74DB6884B}"/>
    <cellStyle name="Normal - Style1_Ch4 v2" xfId="5079" xr:uid="{2D946002-376E-48C5-82CF-00E2519672BA}"/>
    <cellStyle name="Normal - Style2" xfId="124" xr:uid="{F2085639-814A-4085-9402-C00D872619CE}"/>
    <cellStyle name="Normal - Style3" xfId="125" xr:uid="{F11638B0-4D53-4E61-A295-7C1EBDA391F2}"/>
    <cellStyle name="Normal - Style4" xfId="126" xr:uid="{6F3FF6CC-E382-448B-9B00-511B53021E9B}"/>
    <cellStyle name="Normal - Style5" xfId="127" xr:uid="{CB800948-4C97-4C80-A082-3E77DBE854E2}"/>
    <cellStyle name="Normal 0" xfId="5080" xr:uid="{E0D6A18A-6433-41E4-9C3C-C9CE23974E31}"/>
    <cellStyle name="Normal 10" xfId="128" xr:uid="{7B043F88-5010-4FC5-9F20-6A087E0759AE}"/>
    <cellStyle name="Normal 10 10" xfId="421" xr:uid="{62A951CD-5E10-4857-857B-BAE8A910A459}"/>
    <cellStyle name="Normal 10 10 2" xfId="5082" xr:uid="{AB994DB4-ECA9-4A6B-8EB5-E6FC170711EF}"/>
    <cellStyle name="Normal 10 10 3" xfId="5083" xr:uid="{AF362CC5-BD8A-4524-8549-FFF6FC188B19}"/>
    <cellStyle name="Normal 10 10 4" xfId="5084" xr:uid="{955FC4F1-4237-4C56-A3E9-2B9769DFDBBE}"/>
    <cellStyle name="Normal 10 11" xfId="5085" xr:uid="{0F5C68FA-4726-4F3F-ABB1-0D3916C73738}"/>
    <cellStyle name="Normal 10 12" xfId="5086" xr:uid="{C2E52720-B6E3-4476-A3F7-0EAF67411DAE}"/>
    <cellStyle name="Normal 10 13" xfId="5087" xr:uid="{01A4262B-01C8-471D-A5BD-3D109E046797}"/>
    <cellStyle name="Normal 10 14" xfId="5088" xr:uid="{4078E83C-1337-4C84-9C96-E9BE3EE2F4D5}"/>
    <cellStyle name="Normal 10 15" xfId="5089" xr:uid="{56F11463-55EF-4928-8BF3-DC97B833AFDE}"/>
    <cellStyle name="Normal 10 16" xfId="5090" xr:uid="{1F576E98-BD93-4ECE-BAE1-8A7D0789A3C8}"/>
    <cellStyle name="Normal 10 17" xfId="5091" xr:uid="{2914D667-60A3-4855-BB2E-B94AC0C229D3}"/>
    <cellStyle name="Normal 10 18" xfId="5092" xr:uid="{86229347-AFB1-4125-AFE2-A6F4E963F220}"/>
    <cellStyle name="Normal 10 19" xfId="5093" xr:uid="{768516A8-152C-4546-9159-97291D5F2FE8}"/>
    <cellStyle name="Normal 10 2" xfId="129" xr:uid="{0F90644E-0106-4275-8AAB-0EFDCEC10FC0}"/>
    <cellStyle name="Normal 10 2 2" xfId="5095" xr:uid="{DF1274A5-A7FD-4EA8-87CE-74647B68D4D2}"/>
    <cellStyle name="Normal 10 2 2 2" xfId="5096" xr:uid="{19DEDE2A-5889-4D5E-A643-488070930B52}"/>
    <cellStyle name="Normal 10 2 2 3" xfId="5097" xr:uid="{7AE1EC4A-1D21-442B-8DCA-6A60BEB24148}"/>
    <cellStyle name="Normal 10 2 2 4" xfId="5098" xr:uid="{6F0F8FE5-8DA3-49BD-BC4A-8470739E23CC}"/>
    <cellStyle name="Normal 10 2 3" xfId="5099" xr:uid="{F1F6C747-44A7-4830-993B-F72CB28BAE72}"/>
    <cellStyle name="Normal 10 2 4" xfId="5100" xr:uid="{208CEEE0-0DD7-473A-B338-E4EB69E49385}"/>
    <cellStyle name="Normal 10 2 5" xfId="5094" xr:uid="{A1F55814-913D-428B-A77C-A5381E8C39F2}"/>
    <cellStyle name="Normal 10 20" xfId="5101" xr:uid="{8452FC0C-43DF-42D7-8A57-13A13D7C1E6E}"/>
    <cellStyle name="Normal 10 21" xfId="5102" xr:uid="{A4F91F96-6C58-4DD1-9A0A-D1E0421125AD}"/>
    <cellStyle name="Normal 10 22" xfId="5103" xr:uid="{E90B8021-1303-4CA3-A1C7-9ADBBEC17F0F}"/>
    <cellStyle name="Normal 10 23" xfId="5104" xr:uid="{3587E765-8B6D-43A6-A384-64459484033C}"/>
    <cellStyle name="Normal 10 24" xfId="5105" xr:uid="{CEB747B9-578D-48DB-A92D-DB23B877153F}"/>
    <cellStyle name="Normal 10 25" xfId="5106" xr:uid="{53EE380B-6740-4B41-AA20-169A3CC4DB12}"/>
    <cellStyle name="Normal 10 26" xfId="5107" xr:uid="{5FAF0D17-00EC-4640-A6EC-D5AB57C653E5}"/>
    <cellStyle name="Normal 10 27" xfId="5108" xr:uid="{C315F197-FEC3-4492-8A59-05981727E101}"/>
    <cellStyle name="Normal 10 28" xfId="5081" xr:uid="{C49AC1B2-0770-4CC1-9AC7-98398EB3764E}"/>
    <cellStyle name="Normal 10 3" xfId="5109" xr:uid="{50E7C8EB-A4B6-496F-BAED-C26D75CBE5AC}"/>
    <cellStyle name="Normal 10 3 2" xfId="5110" xr:uid="{5454B222-31DC-4B77-82E5-DD79B9BE2A3C}"/>
    <cellStyle name="Normal 10 3 2 2" xfId="5111" xr:uid="{7CFCCA3D-629D-45B2-867A-A86ABCEFEF2B}"/>
    <cellStyle name="Normal 10 3 2 3" xfId="5112" xr:uid="{80E8E3EF-3E74-4BFF-8CFE-0A8B40979D3E}"/>
    <cellStyle name="Normal 10 3 3" xfId="5113" xr:uid="{B0C6ED36-FA4F-41E7-ADBA-D949DBA131B7}"/>
    <cellStyle name="Normal 10 3 4" xfId="5114" xr:uid="{878D0AAC-9E2C-4E03-BCAC-1CF9647F3C7B}"/>
    <cellStyle name="Normal 10 4" xfId="5115" xr:uid="{5EABEB62-9D45-481A-B323-DA24CBC5A1FF}"/>
    <cellStyle name="Normal 10 4 2" xfId="5116" xr:uid="{5A354E0E-B125-4747-847D-F730435130D3}"/>
    <cellStyle name="Normal 10 4 3" xfId="5117" xr:uid="{515CBF28-3FC2-4B8B-8030-B210AA8D198A}"/>
    <cellStyle name="Normal 10 5" xfId="5118" xr:uid="{1D1C81A1-8045-4E7F-859D-4DB3C1CA317A}"/>
    <cellStyle name="Normal 10 6" xfId="5119" xr:uid="{638A7BCB-70EF-4CFB-8592-5ACB8553C515}"/>
    <cellStyle name="Normal 10 7" xfId="5120" xr:uid="{83FAE599-53DF-4A51-BB81-E70D8EFD945C}"/>
    <cellStyle name="Normal 10 8" xfId="5121" xr:uid="{96D4381A-9FFC-4F0C-9157-F79B4D152EB0}"/>
    <cellStyle name="Normal 10 9" xfId="5122" xr:uid="{DB1D0FF3-40C1-4AE4-B7E2-6D61E91ADB56}"/>
    <cellStyle name="Normal 100" xfId="5123" xr:uid="{772B46AE-13E6-4496-A8DE-615A028A660A}"/>
    <cellStyle name="Normal 101" xfId="5124" xr:uid="{5266AADE-E47C-422E-9023-931AEAB5FA05}"/>
    <cellStyle name="Normal 102" xfId="5125" xr:uid="{B7598B8C-ED96-4FCA-865D-347B3C308C22}"/>
    <cellStyle name="Normal 103" xfId="5126" xr:uid="{D97FF5EE-19A2-48D2-8F30-33017349B52D}"/>
    <cellStyle name="Normal 104" xfId="5127" xr:uid="{70B4E56E-ACDD-4B18-ACE0-223EDB8EA140}"/>
    <cellStyle name="Normal 105" xfId="5128" xr:uid="{95E03CBC-2794-4AD4-8C00-C05F0443FCD7}"/>
    <cellStyle name="Normal 106" xfId="5129" xr:uid="{BC96D39D-458C-4EBE-9905-9F10D1253162}"/>
    <cellStyle name="Normal 107" xfId="5130" xr:uid="{24D1E180-8467-4D63-9397-C42777381FBD}"/>
    <cellStyle name="Normal 108" xfId="5131" xr:uid="{DD710D56-8418-4E2B-9316-8EAFCBF3DEBE}"/>
    <cellStyle name="Normal 108 2" xfId="5132" xr:uid="{448CFAD6-BA49-4458-B2AA-DF5FC47978CA}"/>
    <cellStyle name="Normal 108 3" xfId="5133" xr:uid="{C15E87EB-D981-4D15-992B-68ACA59DFA18}"/>
    <cellStyle name="Normal 108 4" xfId="5134" xr:uid="{F9600F70-BDB9-461C-B9A1-278B04009F6F}"/>
    <cellStyle name="Normal 108 5" xfId="5135" xr:uid="{1B0D16D7-D1EE-4825-B41F-A0EF1C16E9F2}"/>
    <cellStyle name="Normal 108 6" xfId="5136" xr:uid="{F69AF688-78C6-440E-ABAF-F2D0A3CD93C2}"/>
    <cellStyle name="Normal 108 7" xfId="5137" xr:uid="{203A4770-FEE6-4762-9423-8F45F861D2B6}"/>
    <cellStyle name="Normal 108 8" xfId="5138" xr:uid="{C8836CA4-141E-4EC1-97E4-43D1CD548117}"/>
    <cellStyle name="Normal 108 9" xfId="5139" xr:uid="{49589F2C-7412-4BF2-8401-F87C6F46821D}"/>
    <cellStyle name="Normal 109" xfId="5140" xr:uid="{DF234953-6862-4474-8A02-A2D21EBADEF1}"/>
    <cellStyle name="Normal 109 2" xfId="5141" xr:uid="{D0B1D6C1-F3C0-439B-A119-8CAEB28BF9CE}"/>
    <cellStyle name="Normal 109 3" xfId="5142" xr:uid="{8F151CF1-29EC-472B-9E34-BD9870AFFA9B}"/>
    <cellStyle name="Normal 109 4" xfId="5143" xr:uid="{16BF97C5-FE15-4BF9-B756-DE1E9B2B0755}"/>
    <cellStyle name="Normal 109 5" xfId="5144" xr:uid="{E337CE6A-B13E-49A9-AE58-0A37310E597D}"/>
    <cellStyle name="Normal 109 6" xfId="5145" xr:uid="{85EB65E3-B86C-490E-84F5-BEEF58C37750}"/>
    <cellStyle name="Normal 109 7" xfId="5146" xr:uid="{D655022C-A68B-4552-9BFE-A012C81821C8}"/>
    <cellStyle name="Normal 109 8" xfId="5147" xr:uid="{74519D77-F8EF-4F4A-AF80-34D0BDE4F4B1}"/>
    <cellStyle name="Normal 109 9" xfId="5148" xr:uid="{60DAC8A6-2950-4C1D-B7CA-F6650BF20C8D}"/>
    <cellStyle name="Normal 11" xfId="130" xr:uid="{0DAACEE6-14C5-46C1-810E-CA75D84EF686}"/>
    <cellStyle name="Normal 11 10" xfId="131" xr:uid="{FFDB6738-3E2B-4A5B-B7E8-240FDB9BD1F2}"/>
    <cellStyle name="Normal 11 10 2" xfId="132" xr:uid="{4099C0AB-2D69-4083-B01D-B18AF314EEEE}"/>
    <cellStyle name="Normal 11 10 3" xfId="133" xr:uid="{CD6FE397-FA9F-4C6A-815C-4D6A4260C644}"/>
    <cellStyle name="Normal 11 10 4" xfId="5150" xr:uid="{914A594E-921A-4652-8293-82F77FB5F102}"/>
    <cellStyle name="Normal 11 11" xfId="134" xr:uid="{E5D74BD1-335A-4E60-B684-87B0DDEB5741}"/>
    <cellStyle name="Normal 11 11 2" xfId="5151" xr:uid="{2B2174FB-3410-4535-8592-122860A3BC3B}"/>
    <cellStyle name="Normal 11 12" xfId="5152" xr:uid="{96ED2C51-00DA-4FE1-A35A-D39ED8E838A7}"/>
    <cellStyle name="Normal 11 13" xfId="5153" xr:uid="{EFD63672-0BE7-4B66-A533-A76F333D00B2}"/>
    <cellStyle name="Normal 11 14" xfId="5154" xr:uid="{1D015D0B-8DE4-4EBC-9A3A-F3070DC756A0}"/>
    <cellStyle name="Normal 11 15" xfId="5155" xr:uid="{1E9FE7C4-8EC7-4E34-A689-0FBE504B4366}"/>
    <cellStyle name="Normal 11 16" xfId="5156" xr:uid="{FACCDCA4-9672-414E-A3DC-E548B7803763}"/>
    <cellStyle name="Normal 11 17" xfId="5157" xr:uid="{F2964AA6-13EA-4C1F-99F0-2D9D25AB20B2}"/>
    <cellStyle name="Normal 11 18" xfId="5158" xr:uid="{A95EA7D5-EBCB-47BE-AC72-F98C1AA669C0}"/>
    <cellStyle name="Normal 11 19" xfId="5159" xr:uid="{475C8879-F218-4C90-BDEE-4B2CF30EC6FF}"/>
    <cellStyle name="Normal 11 2" xfId="135" xr:uid="{0B3AB966-ED29-4EAF-9148-E241579DB9B9}"/>
    <cellStyle name="Normal 11 2 2" xfId="5161" xr:uid="{27D2EEBF-1C79-4F94-8F79-28A56F39F705}"/>
    <cellStyle name="Normal 11 2 3" xfId="5162" xr:uid="{BC5DA63B-BA6E-41F8-BD6F-4D4BA2F63608}"/>
    <cellStyle name="Normal 11 2 4" xfId="5160" xr:uid="{6630CF59-3DC7-4C0E-A412-63D252205C45}"/>
    <cellStyle name="Normal 11 20" xfId="5163" xr:uid="{BBCC835B-C57D-426F-99AE-C6C9C69657A9}"/>
    <cellStyle name="Normal 11 21" xfId="5164" xr:uid="{BEC4F4D6-0E5F-4D0C-BC2D-876B23A873F6}"/>
    <cellStyle name="Normal 11 22" xfId="5165" xr:uid="{DF6990BB-7963-4128-8862-6D57E83F4189}"/>
    <cellStyle name="Normal 11 23" xfId="5166" xr:uid="{ABF5103A-04F8-4703-89F3-6ABABF8CBF48}"/>
    <cellStyle name="Normal 11 24" xfId="5167" xr:uid="{851E180C-2B22-4733-B9EB-36BB54268BED}"/>
    <cellStyle name="Normal 11 25" xfId="5168" xr:uid="{1B1F3138-524A-4C8A-9A2C-D4A9D8E305AA}"/>
    <cellStyle name="Normal 11 26" xfId="5169" xr:uid="{053EE3C2-3C36-465E-8C6E-31F2370949DD}"/>
    <cellStyle name="Normal 11 27" xfId="5149" xr:uid="{1A56BA4A-82F9-4D75-8CDA-5D1970DA7C69}"/>
    <cellStyle name="Normal 11 3" xfId="136" xr:uid="{E65FFF04-143E-4066-992B-9614EB22CB8C}"/>
    <cellStyle name="Normal 11 3 2" xfId="5171" xr:uid="{98B265E1-5480-419A-897A-A9916A1179E7}"/>
    <cellStyle name="Normal 11 3 3" xfId="5170" xr:uid="{E40E838F-9890-4E44-BBDD-8837BB23FDE2}"/>
    <cellStyle name="Normal 11 4" xfId="137" xr:uid="{0E726F46-311C-4E61-8FBD-E656B44AB817}"/>
    <cellStyle name="Normal 11 4 2" xfId="5172" xr:uid="{6DF194EC-EB17-42FF-A41C-8C94A733C852}"/>
    <cellStyle name="Normal 11 5" xfId="138" xr:uid="{56CC7CDE-5F90-4C77-B641-A9CC1CBED5C7}"/>
    <cellStyle name="Normal 11 5 2" xfId="5173" xr:uid="{4F3D033B-0C05-40E6-B658-7FA2FF1D800C}"/>
    <cellStyle name="Normal 11 6" xfId="139" xr:uid="{C1BCED08-9E3A-4192-98D5-ABDC6C6DCA44}"/>
    <cellStyle name="Normal 11 6 2" xfId="5174" xr:uid="{604CFB05-27DA-4B06-B090-28AF31DA0A6C}"/>
    <cellStyle name="Normal 11 7" xfId="140" xr:uid="{5D7AC0EF-D0E2-4B5D-8780-25D8EE4C84CC}"/>
    <cellStyle name="Normal 11 7 2" xfId="5175" xr:uid="{E21EECCC-AC6A-49CF-8547-0E5DC60D88B3}"/>
    <cellStyle name="Normal 11 8" xfId="141" xr:uid="{9E1866B6-134E-48F6-9F7C-F34A6F6F84DF}"/>
    <cellStyle name="Normal 11 8 2" xfId="5176" xr:uid="{3109DAC2-5C49-4861-A31D-0EBEDACD1C26}"/>
    <cellStyle name="Normal 11 9" xfId="142" xr:uid="{04B7F556-7CF7-4B06-9E56-FB740DD7B783}"/>
    <cellStyle name="Normal 11 9 2" xfId="5177" xr:uid="{D3DB69B0-8017-48C7-A881-1952754A2942}"/>
    <cellStyle name="Normal 110" xfId="5178" xr:uid="{BD299F93-8A45-4C8B-BA11-C1FE30EA50BA}"/>
    <cellStyle name="Normal 111" xfId="5179" xr:uid="{37072DF3-99AD-4E50-8ADF-61D6D3D272ED}"/>
    <cellStyle name="Normal 112" xfId="5180" xr:uid="{D708429F-E058-4263-8286-BE7D8705EF50}"/>
    <cellStyle name="Normal 113" xfId="5181" xr:uid="{94A0AA62-4C01-49C7-B468-74496ACBF7A6}"/>
    <cellStyle name="Normal 114" xfId="5182" xr:uid="{9DF20886-867F-47DB-BB0A-455A7D3B7923}"/>
    <cellStyle name="Normal 115" xfId="5183" xr:uid="{BE5C59DD-3A87-4949-B08A-6F9B79DD92EC}"/>
    <cellStyle name="Normal 116" xfId="5184" xr:uid="{A338BAF5-386C-48C7-BBFD-44136FAF45F6}"/>
    <cellStyle name="Normal 117" xfId="5185" xr:uid="{B17087D4-8F94-49CD-9D03-D00382BBA9C5}"/>
    <cellStyle name="Normal 118" xfId="5186" xr:uid="{63B94CCE-9DF5-4868-8657-399079068F45}"/>
    <cellStyle name="Normal 119" xfId="5187" xr:uid="{6A09C3D7-E8B6-4BC3-9F70-87EDEC12B2E6}"/>
    <cellStyle name="Normal 12" xfId="143" xr:uid="{2A2BA462-D0DE-4315-9BBC-5EB0EA3454C4}"/>
    <cellStyle name="Normal 12 10" xfId="5189" xr:uid="{C3FB80C7-ACE9-4F44-8945-4D7FD5E858AF}"/>
    <cellStyle name="Normal 12 11" xfId="5190" xr:uid="{59C65101-3469-459D-A3F2-96B6CC795B3D}"/>
    <cellStyle name="Normal 12 12" xfId="5191" xr:uid="{2D7535F1-05BD-428C-BCF3-A670C7412072}"/>
    <cellStyle name="Normal 12 13" xfId="5192" xr:uid="{92C194CF-9683-4C4C-9F39-00AD126AFDD4}"/>
    <cellStyle name="Normal 12 14" xfId="5193" xr:uid="{BC2A6828-063D-4834-BF5B-77A8A3CE1011}"/>
    <cellStyle name="Normal 12 15" xfId="5194" xr:uid="{D8856E1D-0D73-4B9E-909C-97CBB3B88E82}"/>
    <cellStyle name="Normal 12 16" xfId="5195" xr:uid="{0C22259A-E610-4851-BF1A-BACFE4944378}"/>
    <cellStyle name="Normal 12 17" xfId="5196" xr:uid="{BEE807FE-ECB5-4645-9531-38807919BB49}"/>
    <cellStyle name="Normal 12 18" xfId="5197" xr:uid="{FD5227DA-73D0-4102-B1A1-1DED9E1DD73F}"/>
    <cellStyle name="Normal 12 19" xfId="5198" xr:uid="{6DD7DE31-74F3-4049-AFDF-B873A626BD9F}"/>
    <cellStyle name="Normal 12 2" xfId="144" xr:uid="{1773AD43-D882-49DF-B3E5-E30FAE430E7B}"/>
    <cellStyle name="Normal 12 2 2" xfId="5200" xr:uid="{2FF0FCBC-AD95-4C15-87BC-E57C2138DD05}"/>
    <cellStyle name="Normal 12 2 3" xfId="5199" xr:uid="{503E635C-F926-4372-9E18-A6DF0B68CCB4}"/>
    <cellStyle name="Normal 12 20" xfId="5201" xr:uid="{20E47E26-801B-40B6-A681-CE85AA87D1D1}"/>
    <cellStyle name="Normal 12 21" xfId="5202" xr:uid="{3CF5C4A5-1389-46D6-B023-E40E8A50AFB1}"/>
    <cellStyle name="Normal 12 22" xfId="5203" xr:uid="{657FEBCC-5202-4C92-819D-A7B1468E6C05}"/>
    <cellStyle name="Normal 12 23" xfId="5204" xr:uid="{F67972F2-B6B3-4106-B1D0-343CC61E9188}"/>
    <cellStyle name="Normal 12 24" xfId="5205" xr:uid="{9CBF3498-9F27-4A45-AAEA-69DA7BFD82F3}"/>
    <cellStyle name="Normal 12 25" xfId="5188" xr:uid="{D0850EF1-EA7B-4457-82F2-797541A97093}"/>
    <cellStyle name="Normal 12 3" xfId="5206" xr:uid="{AB2DF5E0-A318-4FEC-B3BC-8F31245C22BE}"/>
    <cellStyle name="Normal 12 4" xfId="5207" xr:uid="{687428C8-5E64-4FC7-B1F7-9D43E0F1E64D}"/>
    <cellStyle name="Normal 12 5" xfId="5208" xr:uid="{987E1DA8-0672-4F78-B0A6-51B15885C65A}"/>
    <cellStyle name="Normal 12 6" xfId="5209" xr:uid="{4560C9B4-D1AE-4817-816C-AE9EAD14FC2C}"/>
    <cellStyle name="Normal 12 7" xfId="5210" xr:uid="{7587EF04-0F6A-423E-9C3B-3139FB6B8AD1}"/>
    <cellStyle name="Normal 12 8" xfId="5211" xr:uid="{EBDA5A18-08DC-4D8D-B764-D7E42D69EA79}"/>
    <cellStyle name="Normal 12 9" xfId="5212" xr:uid="{D2E41D6C-87A9-44EF-8260-D907CBA205A2}"/>
    <cellStyle name="Normal 120" xfId="5213" xr:uid="{34F45D01-19CC-40B2-8D3B-33DB7F46B686}"/>
    <cellStyle name="Normal 121" xfId="5214" xr:uid="{B9070346-6AA4-4622-9A8F-C24B81CBB091}"/>
    <cellStyle name="Normal 122" xfId="5215" xr:uid="{4BDFDBB7-79B4-440F-9155-017C1684A93A}"/>
    <cellStyle name="Normal 123" xfId="5216" xr:uid="{83B21ABA-1CFD-4C02-9D3E-EDFD8E20B35C}"/>
    <cellStyle name="Normal 124" xfId="5217" xr:uid="{ABA93046-6646-44FB-90DC-D8D2D51C17CF}"/>
    <cellStyle name="Normal 125" xfId="5218" xr:uid="{9784492E-5CE9-4A6D-8D07-D9905B4335C4}"/>
    <cellStyle name="Normal 126" xfId="5219" xr:uid="{71FA53DE-E710-40BF-A34A-E33A56CC4B3F}"/>
    <cellStyle name="Normal 127" xfId="5220" xr:uid="{FB9B1358-3153-436D-A384-99A62AFF1093}"/>
    <cellStyle name="Normal 128" xfId="5221" xr:uid="{0DCF40C2-06F6-408B-9622-673EDC2AD8B1}"/>
    <cellStyle name="Normal 128 2" xfId="5222" xr:uid="{BBC74210-438E-4237-8F64-E9493BBE7E7E}"/>
    <cellStyle name="Normal 128 3" xfId="5223" xr:uid="{4B0E59CF-FFAC-41CE-B9BE-AC298AAF6110}"/>
    <cellStyle name="Normal 128 4" xfId="5224" xr:uid="{7D51403C-3331-4110-B9CA-7BCEB63B39B1}"/>
    <cellStyle name="Normal 128 5" xfId="5225" xr:uid="{F8E6689F-C038-4753-8944-067199E2FB73}"/>
    <cellStyle name="Normal 129" xfId="5226" xr:uid="{0C26F079-2CC3-4127-A2C1-24EC3D86FB7E}"/>
    <cellStyle name="Normal 129 2" xfId="5227" xr:uid="{13E38220-ADAE-4AD4-BA18-A32F0DEF8B8D}"/>
    <cellStyle name="Normal 129 3" xfId="5228" xr:uid="{95A8B64C-411F-4188-8F42-4AC5A0388D08}"/>
    <cellStyle name="Normal 129 4" xfId="5229" xr:uid="{5C03D46F-3FEB-46C5-AA46-B3D6ABC5D4FF}"/>
    <cellStyle name="Normal 129 5" xfId="5230" xr:uid="{5BD5E350-77A8-431A-8B9B-BCF9F8509D1B}"/>
    <cellStyle name="Normal 13" xfId="145" xr:uid="{C9A6EC8E-72ED-4A71-B893-17AC7ABF870B}"/>
    <cellStyle name="Normal 13 10" xfId="5232" xr:uid="{99135A0F-1796-48B6-A6AB-4FD03FBF2C4E}"/>
    <cellStyle name="Normal 13 11" xfId="5233" xr:uid="{30FA08FC-5F68-4664-974B-6F7064C79F1E}"/>
    <cellStyle name="Normal 13 12" xfId="5234" xr:uid="{E9A75534-8169-4050-AC97-A140969B9987}"/>
    <cellStyle name="Normal 13 13" xfId="5235" xr:uid="{665FAC22-9239-4CD6-812C-FBCDD091EBF4}"/>
    <cellStyle name="Normal 13 14" xfId="5236" xr:uid="{7AE74144-9201-454E-A2CA-C3242D62AF27}"/>
    <cellStyle name="Normal 13 15" xfId="5237" xr:uid="{0FC8A1C0-587C-4DBF-8D59-84380D5309A1}"/>
    <cellStyle name="Normal 13 16" xfId="5238" xr:uid="{6AAC5E88-5850-44FB-9719-EEF1C2204C47}"/>
    <cellStyle name="Normal 13 17" xfId="5239" xr:uid="{311E6F5A-8766-4A48-AA6B-F2C77CFE38E2}"/>
    <cellStyle name="Normal 13 18" xfId="5240" xr:uid="{F4F98054-5354-403B-98EA-1F4D134E0B00}"/>
    <cellStyle name="Normal 13 19" xfId="5241" xr:uid="{DA90CCBC-A793-408E-8AC3-6C188F6CB2FE}"/>
    <cellStyle name="Normal 13 2" xfId="146" xr:uid="{A9D8BCBE-8C1F-4355-82A7-559B2280438D}"/>
    <cellStyle name="Normal 13 2 2" xfId="5243" xr:uid="{3298CDA6-5CB4-492D-8E99-9D2A3B687540}"/>
    <cellStyle name="Normal 13 2 3" xfId="5244" xr:uid="{CBD89A14-ECB2-43A1-A3F3-3064B8B0D385}"/>
    <cellStyle name="Normal 13 2 3 2" xfId="5245" xr:uid="{DCDB75BA-CB42-40E4-B744-29FCE53C21D2}"/>
    <cellStyle name="Normal 13 2 4" xfId="5246" xr:uid="{48A63B31-F9ED-40CE-82F1-AE0A85C5DD80}"/>
    <cellStyle name="Normal 13 2 5" xfId="5247" xr:uid="{BA54D6C7-A123-4906-955E-2B27CDD7C667}"/>
    <cellStyle name="Normal 13 2 6" xfId="5248" xr:uid="{CC220753-53C8-4A11-BCED-7901D2D4B599}"/>
    <cellStyle name="Normal 13 2 7" xfId="5242" xr:uid="{027C9DF6-4547-4BF4-91EB-FF5FD0E95D05}"/>
    <cellStyle name="Normal 13 20" xfId="5249" xr:uid="{1706FF65-3FD8-42AD-A477-2D229A53E674}"/>
    <cellStyle name="Normal 13 21" xfId="5250" xr:uid="{4AB258E0-B495-4691-AADC-6FC3E3DEA9C6}"/>
    <cellStyle name="Normal 13 22" xfId="5251" xr:uid="{04E2590E-3165-4864-BF01-D8721BD323BC}"/>
    <cellStyle name="Normal 13 23" xfId="5252" xr:uid="{6F7835FA-83D3-48E2-B3CE-4713D9401394}"/>
    <cellStyle name="Normal 13 24" xfId="5253" xr:uid="{377AF263-6F84-4CCF-86FC-DFD3741087FB}"/>
    <cellStyle name="Normal 13 25" xfId="5254" xr:uid="{BD3D8DBC-1674-4557-A12B-28C2B3E75F04}"/>
    <cellStyle name="Normal 13 26" xfId="5231" xr:uid="{269128FF-7EE5-4224-9AAC-0277BD24D27D}"/>
    <cellStyle name="Normal 13 3" xfId="5255" xr:uid="{CD1A3BD6-FC4E-40F0-B9E0-3F61C993961D}"/>
    <cellStyle name="Normal 13 3 2" xfId="5256" xr:uid="{0ABFC6E1-0479-45DB-85AB-6E42B79341C9}"/>
    <cellStyle name="Normal 13 3 3" xfId="5257" xr:uid="{13E607AE-21F8-44DA-9C5F-21747A4254DA}"/>
    <cellStyle name="Normal 13 3 4" xfId="5258" xr:uid="{8E922C79-4812-47F7-A0CE-AF34FF468214}"/>
    <cellStyle name="Normal 13 4" xfId="5259" xr:uid="{71525AE2-675F-4204-B3BB-231E24FD44E8}"/>
    <cellStyle name="Normal 13 4 2" xfId="5260" xr:uid="{4C72F1B6-1981-4B6D-8EF8-22648958E1E0}"/>
    <cellStyle name="Normal 13 5" xfId="5261" xr:uid="{1542EF71-A0AD-4287-BAF1-59A2D75E8AB6}"/>
    <cellStyle name="Normal 13 5 2" xfId="5262" xr:uid="{9F601025-0AC3-4295-95ED-0BBD42A7F2E3}"/>
    <cellStyle name="Normal 13 6" xfId="5263" xr:uid="{ABA038D0-8943-4D75-8182-2CC44E338EF1}"/>
    <cellStyle name="Normal 13 6 2" xfId="5264" xr:uid="{2A883613-1EBE-4A27-9CE8-325C05953E0C}"/>
    <cellStyle name="Normal 13 7" xfId="5265" xr:uid="{7ACD0AEB-3AD0-4E3A-880D-AEF65A101E0B}"/>
    <cellStyle name="Normal 13 8" xfId="5266" xr:uid="{5EC8F908-19AE-40D4-A736-163DB80E00A5}"/>
    <cellStyle name="Normal 13 9" xfId="5267" xr:uid="{EFA63467-4125-4D8B-8BF8-4D934B6644E2}"/>
    <cellStyle name="Normal 130" xfId="5268" xr:uid="{30DE1E33-FC45-468F-8436-8808929F225C}"/>
    <cellStyle name="Normal 131" xfId="5269" xr:uid="{1D090CA2-4E18-4F90-BD3E-4F88C8869445}"/>
    <cellStyle name="Normal 132" xfId="5270" xr:uid="{E512D774-8D33-4F25-8551-BF0267AB4F76}"/>
    <cellStyle name="Normal 133" xfId="5271" xr:uid="{D2CDFF61-D379-440A-9848-F22F3FEB9D05}"/>
    <cellStyle name="Normal 134" xfId="5272" xr:uid="{E4677FA7-2934-4171-8B88-845DE0EF567B}"/>
    <cellStyle name="Normal 135" xfId="5273" xr:uid="{78D2688E-9FFF-44B6-8ECA-FCFC00C32970}"/>
    <cellStyle name="Normal 136" xfId="5274" xr:uid="{84F3EBD5-96B5-44E6-9953-CC8AC4EF28DE}"/>
    <cellStyle name="Normal 137" xfId="5275" xr:uid="{76C9EAAB-D319-4989-AFD8-5869E5E2F91A}"/>
    <cellStyle name="Normal 138" xfId="5276" xr:uid="{F59BBA18-3304-4B05-86A1-40ADED942F08}"/>
    <cellStyle name="Normal 139" xfId="5277" xr:uid="{657F3320-E9EE-455C-A0B6-E3B65950F607}"/>
    <cellStyle name="Normal 14" xfId="147" xr:uid="{82CB2147-3A34-40CE-944C-38CD2C8D3C06}"/>
    <cellStyle name="Normal 14 10" xfId="5278" xr:uid="{09538A8C-0DA8-402B-ABAD-5490BBF86A90}"/>
    <cellStyle name="Normal 14 11" xfId="5279" xr:uid="{607D9116-56F9-45A8-B162-9DF057188FAE}"/>
    <cellStyle name="Normal 14 12" xfId="5280" xr:uid="{61298378-6B64-4159-BDA8-CCBBEC0B15EE}"/>
    <cellStyle name="Normal 14 13" xfId="5281" xr:uid="{B27F8191-D1DF-4DC8-85A7-DF0D0EA49E75}"/>
    <cellStyle name="Normal 14 14" xfId="5282" xr:uid="{A3F9231F-87FF-43AC-B4A1-964C80440432}"/>
    <cellStyle name="Normal 14 15" xfId="5283" xr:uid="{F0D3903D-C280-40BD-B502-DBAFCB36F9A9}"/>
    <cellStyle name="Normal 14 16" xfId="5284" xr:uid="{EC7D6D81-C98E-487D-8D74-63C321524028}"/>
    <cellStyle name="Normal 14 17" xfId="5285" xr:uid="{0005F44C-4A91-40A5-898B-70FFC8D3BCB0}"/>
    <cellStyle name="Normal 14 18" xfId="5286" xr:uid="{EA2B5015-BDE1-48D2-9378-50A0A807D923}"/>
    <cellStyle name="Normal 14 19" xfId="5287" xr:uid="{16736E77-F9CB-4C8C-B051-A1E16C7F213E}"/>
    <cellStyle name="Normal 14 2" xfId="148" xr:uid="{243EEA42-21C4-43DB-B88A-603613A86EDE}"/>
    <cellStyle name="Normal 14 2 2" xfId="5289" xr:uid="{4B5C6BD0-526F-4699-8FBD-31A3431ADA1B}"/>
    <cellStyle name="Normal 14 2 2 2" xfId="5290" xr:uid="{C09E7CE7-A9A4-445E-870C-C87C9D2AC3DD}"/>
    <cellStyle name="Normal 14 2 2 2 2" xfId="5291" xr:uid="{6C9FA3C6-AB73-410A-9C5E-2AAE48B7E184}"/>
    <cellStyle name="Normal 14 2 2 2 3" xfId="5292" xr:uid="{C6862C88-E8BB-4047-A31C-2B1EDC7ED5CE}"/>
    <cellStyle name="Normal 14 2 2 3" xfId="5293" xr:uid="{85F5BF05-BA66-4D42-9272-B183CE5F058D}"/>
    <cellStyle name="Normal 14 2 2 4" xfId="5294" xr:uid="{1032ADA0-83C9-4D00-ACE4-882179945F5D}"/>
    <cellStyle name="Normal 14 2 3" xfId="5295" xr:uid="{C2C68133-4C68-4CF1-8AA2-F250478C182E}"/>
    <cellStyle name="Normal 14 2 4" xfId="5288" xr:uid="{09833C74-2AC4-4C45-9FB2-1F006D240BB6}"/>
    <cellStyle name="Normal 14 20" xfId="5296" xr:uid="{1E8FBAC8-59CA-4EF6-89A2-C8CFAC759ECB}"/>
    <cellStyle name="Normal 14 21" xfId="5297" xr:uid="{9A8FB281-D46C-4B82-B9D1-F8F103B2A89A}"/>
    <cellStyle name="Normal 14 22" xfId="5298" xr:uid="{EDDF931D-7EA0-44FE-99C6-1DF7814F53F1}"/>
    <cellStyle name="Normal 14 23" xfId="5299" xr:uid="{551D0A7C-283C-49A2-AF66-A01BFD0C7190}"/>
    <cellStyle name="Normal 14 24" xfId="5300" xr:uid="{A91EE820-1011-4176-AA34-7504D7030E6C}"/>
    <cellStyle name="Normal 14 25" xfId="5301" xr:uid="{9C1867F1-962C-44DE-B5A6-4FFE7AAB0ECA}"/>
    <cellStyle name="Normal 14 26" xfId="5302" xr:uid="{F680C02A-3A6F-4F51-8046-5D5B0D72D5D9}"/>
    <cellStyle name="Normal 14 27" xfId="422" xr:uid="{1669E036-078F-4800-846A-E40D2351FC6E}"/>
    <cellStyle name="Normal 14 3" xfId="5303" xr:uid="{05A34B9B-F201-4C69-B808-26CFBE0E6104}"/>
    <cellStyle name="Normal 14 3 2" xfId="5304" xr:uid="{69D2152D-5375-4C2F-B141-78FE72457793}"/>
    <cellStyle name="Normal 14 4" xfId="5305" xr:uid="{7A27D4F4-77A5-4999-9009-D4589A7064DF}"/>
    <cellStyle name="Normal 14 4 2" xfId="5306" xr:uid="{CCC51520-EA19-47B9-B21B-83DD9B2B154A}"/>
    <cellStyle name="Normal 14 4 3" xfId="5307" xr:uid="{B3C60B47-4317-4C64-AD5D-FCBB7D54FA0B}"/>
    <cellStyle name="Normal 14 5" xfId="5308" xr:uid="{1A3C6E1D-D12D-415F-996B-FC957ECB2F38}"/>
    <cellStyle name="Normal 14 5 2" xfId="5309" xr:uid="{F75A36E6-0F6D-4087-9EAA-E41A9295730D}"/>
    <cellStyle name="Normal 14 5 3" xfId="5310" xr:uid="{46E9921A-9760-452C-862A-4697A740C722}"/>
    <cellStyle name="Normal 14 6" xfId="5311" xr:uid="{655C5144-1BE3-4D09-BA6E-56D15FFC8946}"/>
    <cellStyle name="Normal 14 7" xfId="5312" xr:uid="{0EE698CA-2D76-4F00-B91D-3830AF2918C4}"/>
    <cellStyle name="Normal 14 8" xfId="5313" xr:uid="{3B31587C-044B-45A6-999F-7B4CC7426331}"/>
    <cellStyle name="Normal 14 9" xfId="5314" xr:uid="{AAC91654-C997-46BF-A7FA-CF8FA71BC237}"/>
    <cellStyle name="Normal 140" xfId="5315" xr:uid="{98576B3A-9910-447B-8F50-86FE5CF8F5DD}"/>
    <cellStyle name="Normal 141" xfId="5316" xr:uid="{25322B9A-9AA7-45C2-B2CC-B1EBC47E3EED}"/>
    <cellStyle name="Normal 142" xfId="5317" xr:uid="{E8EE4943-4FB3-4B9F-91D3-12AC57D216AE}"/>
    <cellStyle name="Normal 143" xfId="5318" xr:uid="{67BD9D00-8F5A-4636-B603-45C622766C7A}"/>
    <cellStyle name="Normal 144" xfId="5319" xr:uid="{C1B452E4-0A85-4D45-82ED-83EBA3DB8A85}"/>
    <cellStyle name="Normal 145" xfId="5320" xr:uid="{E25C15F7-6C09-4191-96F9-8E36DBF85613}"/>
    <cellStyle name="Normal 146" xfId="5321" xr:uid="{AA95CFCF-4710-404F-9F07-E71C5F6974BA}"/>
    <cellStyle name="Normal 147" xfId="5322" xr:uid="{7296F722-6290-4398-ACB5-1F2443A95759}"/>
    <cellStyle name="Normal 147 2" xfId="5323" xr:uid="{C47D113C-BBE7-4281-9AFD-1376CE19A331}"/>
    <cellStyle name="Normal 147 3" xfId="5324" xr:uid="{1A98D1BE-49AE-420D-A0C1-1589BE5E5DBF}"/>
    <cellStyle name="Normal 147 4" xfId="5325" xr:uid="{708B2FEF-381C-4039-BD0D-0D8B2DE27508}"/>
    <cellStyle name="Normal 148" xfId="5326" xr:uid="{A17CDB09-1C25-469D-9276-2426A0CCD1C0}"/>
    <cellStyle name="Normal 149" xfId="5327" xr:uid="{F0F46715-2802-4338-9D16-988531F761CA}"/>
    <cellStyle name="Normal 15" xfId="149" xr:uid="{44A3DDBC-8C8D-48CF-8609-8C813CCC196C}"/>
    <cellStyle name="Normal 15 10" xfId="5328" xr:uid="{FC43E5CD-A59B-4FC7-AC7F-CB27FDFC4EF5}"/>
    <cellStyle name="Normal 15 11" xfId="5329" xr:uid="{2C02FD9D-D8D4-4475-8E8D-64E29CEB7FED}"/>
    <cellStyle name="Normal 15 12" xfId="5330" xr:uid="{88A65805-CDAD-4423-BDDE-AF16DFA498C3}"/>
    <cellStyle name="Normal 15 13" xfId="5331" xr:uid="{D58C74A1-B123-4A11-8B93-83972A3709B8}"/>
    <cellStyle name="Normal 15 14" xfId="5332" xr:uid="{4970EC23-323E-4701-A902-3535EA66BE02}"/>
    <cellStyle name="Normal 15 15" xfId="5333" xr:uid="{9091BF76-67EA-461E-9DB7-6D51659FF11B}"/>
    <cellStyle name="Normal 15 16" xfId="5334" xr:uid="{2BB1967F-7C29-4F75-900D-09D71124E48F}"/>
    <cellStyle name="Normal 15 17" xfId="5335" xr:uid="{729395ED-C2E4-4F57-A275-735D67AACCEF}"/>
    <cellStyle name="Normal 15 18" xfId="5336" xr:uid="{124B0C90-B56E-4FC7-8BEF-4C0AFB80874A}"/>
    <cellStyle name="Normal 15 19" xfId="5337" xr:uid="{B9DC0640-56A5-48FF-BE8D-DB2C8F35FDF8}"/>
    <cellStyle name="Normal 15 2" xfId="150" xr:uid="{982E2299-3B1A-4D97-86C5-838C2141A24F}"/>
    <cellStyle name="Normal 15 2 2" xfId="5339" xr:uid="{A0D111C0-C2E8-4D53-81FC-D55CB6D2BD97}"/>
    <cellStyle name="Normal 15 2 2 2" xfId="5340" xr:uid="{7C92E131-E28D-4787-8196-A9A713D92506}"/>
    <cellStyle name="Normal 15 2 3" xfId="5341" xr:uid="{C8E2664B-99A5-4630-8782-02414BC26A0C}"/>
    <cellStyle name="Normal 15 2 4" xfId="5338" xr:uid="{8F1B37DF-4C48-47F9-958E-95161ACF832B}"/>
    <cellStyle name="Normal 15 20" xfId="5342" xr:uid="{24A10A94-0AD9-415A-BC9B-B6B561AC92D1}"/>
    <cellStyle name="Normal 15 21" xfId="5343" xr:uid="{B761BD64-80A0-426E-A902-9D5FF0C38D9C}"/>
    <cellStyle name="Normal 15 22" xfId="5344" xr:uid="{318593C7-B425-4651-AF15-4D9E9C4CCF66}"/>
    <cellStyle name="Normal 15 23" xfId="5345" xr:uid="{3CB8EBD9-FF80-44EB-BE98-90E5A13701DF}"/>
    <cellStyle name="Normal 15 24" xfId="5346" xr:uid="{F25F617F-014A-4BC8-85D3-2AD0B834C901}"/>
    <cellStyle name="Normal 15 25" xfId="5347" xr:uid="{6F5F80A8-6E7A-459C-9A50-1CEAAD34D715}"/>
    <cellStyle name="Normal 15 3" xfId="5348" xr:uid="{2505F2BD-F72E-4DFA-B930-D391077A5528}"/>
    <cellStyle name="Normal 15 3 2" xfId="5349" xr:uid="{065B2997-1BA6-46C4-A943-13CCA5B5D75C}"/>
    <cellStyle name="Normal 15 4" xfId="5350" xr:uid="{885A34B8-B36F-48E1-91AE-F4A2C4A23411}"/>
    <cellStyle name="Normal 15 5" xfId="5351" xr:uid="{EA58C234-393D-4260-BF00-703F844BE440}"/>
    <cellStyle name="Normal 15 6" xfId="5352" xr:uid="{DB037FA5-DFE9-4320-9E9C-507E8A26128A}"/>
    <cellStyle name="Normal 15 7" xfId="5353" xr:uid="{2E78BA34-AC66-4090-8D6D-79BB49C87E12}"/>
    <cellStyle name="Normal 15 8" xfId="5354" xr:uid="{9BC5947C-E234-415D-976A-529FEFBF98BE}"/>
    <cellStyle name="Normal 15 9" xfId="5355" xr:uid="{0CD1153D-D631-4D11-8A15-135D2C76DE1B}"/>
    <cellStyle name="Normal 15_Ch4 v2" xfId="5356" xr:uid="{AFC65215-0DEE-4078-821A-E98042969988}"/>
    <cellStyle name="Normal 150" xfId="5357" xr:uid="{6F908F8A-6FEE-4CD8-B778-14FC641F2EA3}"/>
    <cellStyle name="Normal 151" xfId="5358" xr:uid="{8F50B0F7-13AE-49B7-A956-E7A2016EDCEA}"/>
    <cellStyle name="Normal 152" xfId="5359" xr:uid="{A052CF6E-F55F-42CC-9361-5B39D5D0059F}"/>
    <cellStyle name="Normal 153" xfId="5360" xr:uid="{9C8B32DF-0A35-495D-AF0A-0D0F9337AB17}"/>
    <cellStyle name="Normal 154" xfId="5361" xr:uid="{5143D801-DE68-4665-BB16-5BE55D7606A7}"/>
    <cellStyle name="Normal 155" xfId="5362" xr:uid="{52772A32-217F-4382-9DB2-B6C934A9FBA3}"/>
    <cellStyle name="Normal 156" xfId="5363" xr:uid="{6967FA93-C1D7-469B-8006-8CB77F0FA9AD}"/>
    <cellStyle name="Normal 157" xfId="5364" xr:uid="{AAC8D1DF-4D1A-4B5F-AE1C-FB65115D43FA}"/>
    <cellStyle name="Normal 158" xfId="5365" xr:uid="{57E75610-2154-46E6-9A5B-697FE5C27707}"/>
    <cellStyle name="Normal 159" xfId="5366" xr:uid="{D1B359AE-FED2-4A48-8570-A22021E1ADAD}"/>
    <cellStyle name="Normal 16" xfId="151" xr:uid="{0315FC9E-8716-4179-BAE0-A0FC860C0B0C}"/>
    <cellStyle name="Normal 16 10" xfId="5367" xr:uid="{EC240FC8-78A6-4795-BD6B-362F22A8CA0C}"/>
    <cellStyle name="Normal 16 11" xfId="5368" xr:uid="{E46D74EF-0C26-4F1B-9947-7666045D9A2E}"/>
    <cellStyle name="Normal 16 12" xfId="5369" xr:uid="{E449A8E0-2714-4C2D-8257-B5FAD9B49581}"/>
    <cellStyle name="Normal 16 13" xfId="5370" xr:uid="{630396F2-EBDD-48D3-94DB-942C1631DEFC}"/>
    <cellStyle name="Normal 16 14" xfId="5371" xr:uid="{15439041-E884-490F-BF69-0FD89727E0F8}"/>
    <cellStyle name="Normal 16 15" xfId="5372" xr:uid="{A542FACE-CF97-47C9-9820-25BE1D8A7A2C}"/>
    <cellStyle name="Normal 16 16" xfId="5373" xr:uid="{B701B787-52F1-4B11-AEA8-BEA908871B1F}"/>
    <cellStyle name="Normal 16 17" xfId="5374" xr:uid="{D10F9C4C-EA47-4116-B7E6-FA6B38896807}"/>
    <cellStyle name="Normal 16 18" xfId="5375" xr:uid="{1B5F6B1F-0CDA-4C1F-8CC9-B35DD83801CA}"/>
    <cellStyle name="Normal 16 19" xfId="5376" xr:uid="{1C2F4594-CDB5-4CBA-8866-CB465ECF083D}"/>
    <cellStyle name="Normal 16 2" xfId="152" xr:uid="{346A5C9C-49CB-42C0-9063-24FD1DDF4CAE}"/>
    <cellStyle name="Normal 16 2 2" xfId="5378" xr:uid="{E0530237-7718-4C8F-B478-477067F9A7FE}"/>
    <cellStyle name="Normal 16 2 3" xfId="5377" xr:uid="{09F8DCD6-C819-41E5-8B3D-D2420176BD7B}"/>
    <cellStyle name="Normal 16 20" xfId="5379" xr:uid="{7204F9BD-1211-4D05-8028-4A01F3F4D390}"/>
    <cellStyle name="Normal 16 21" xfId="5380" xr:uid="{3B6347B5-8A44-4384-88A2-FFC54AFF11B8}"/>
    <cellStyle name="Normal 16 22" xfId="5381" xr:uid="{ED86FE49-F5E7-4FE4-B4BA-03CCB9C49678}"/>
    <cellStyle name="Normal 16 23" xfId="5382" xr:uid="{CFF633D6-9B23-468F-9207-49FCCDF17195}"/>
    <cellStyle name="Normal 16 3" xfId="153" xr:uid="{ED50EB4B-48B9-4A46-AFDF-52A5070F80A5}"/>
    <cellStyle name="Normal 16 3 2" xfId="5383" xr:uid="{DC1FA023-343B-474E-BB6D-7099180303A1}"/>
    <cellStyle name="Normal 16 4" xfId="5384" xr:uid="{C55183F9-D3C5-444E-8046-F3C5744C7FBB}"/>
    <cellStyle name="Normal 16 5" xfId="5385" xr:uid="{BC645514-4267-4546-860B-3BA187940FF4}"/>
    <cellStyle name="Normal 16 6" xfId="5386" xr:uid="{F32F670F-A36B-4B80-BE24-5B90C360A8FB}"/>
    <cellStyle name="Normal 16 7" xfId="5387" xr:uid="{6B03ACB9-88E4-46E3-A57B-B7F7772013FB}"/>
    <cellStyle name="Normal 16 8" xfId="5388" xr:uid="{D57F897E-9C7C-45CE-B49A-DF6EF61AFEE9}"/>
    <cellStyle name="Normal 16 9" xfId="5389" xr:uid="{FB77E2A1-C427-440D-83B7-9FAC3D41372A}"/>
    <cellStyle name="Normal 160" xfId="5390" xr:uid="{F6FB2E85-AD53-4281-8BFC-C300089E4E07}"/>
    <cellStyle name="Normal 161" xfId="5391" xr:uid="{66887452-DBCC-414A-B09B-C3E02A765F50}"/>
    <cellStyle name="Normal 162" xfId="5392" xr:uid="{8A555FD3-32FD-42B0-BE44-52EFC569A75B}"/>
    <cellStyle name="Normal 163" xfId="5393" xr:uid="{CCCAE8DA-72FB-45DC-AF70-321376F78195}"/>
    <cellStyle name="Normal 164" xfId="5394" xr:uid="{3E5F332F-7CD6-41F3-831D-D8626C39F5BA}"/>
    <cellStyle name="Normal 165" xfId="5395" xr:uid="{D4FB5AAF-9503-48A3-A787-18D8F89B81FC}"/>
    <cellStyle name="Normal 166" xfId="5396" xr:uid="{5E2C415B-4A2A-4C3F-8C51-83EE8CB3031F}"/>
    <cellStyle name="Normal 167" xfId="5397" xr:uid="{F3DEBA04-711B-49D2-840F-B4E218882F86}"/>
    <cellStyle name="Normal 168" xfId="5398" xr:uid="{A5A2353D-ACA5-407D-96C2-FA9FFF0D1CC5}"/>
    <cellStyle name="Normal 169" xfId="5399" xr:uid="{2CD603C8-6CD1-4836-9F12-437A96109401}"/>
    <cellStyle name="Normal 17" xfId="154" xr:uid="{DEFC6A04-AC41-4806-A2B8-F9C062B02952}"/>
    <cellStyle name="Normal 17 10" xfId="5400" xr:uid="{8F6281CC-6CA6-414F-9FB2-6F58C820A5ED}"/>
    <cellStyle name="Normal 17 11" xfId="5401" xr:uid="{4D6D235B-01C6-4CC7-B11B-8E951C173019}"/>
    <cellStyle name="Normal 17 12" xfId="5402" xr:uid="{330252C5-7C7E-450B-A183-99A4ABC3486B}"/>
    <cellStyle name="Normal 17 13" xfId="5403" xr:uid="{F225E342-D569-4013-8889-1A38467A0F95}"/>
    <cellStyle name="Normal 17 14" xfId="5404" xr:uid="{59EB9DB0-789B-4D7E-ACE0-9CF13C6A1493}"/>
    <cellStyle name="Normal 17 15" xfId="5405" xr:uid="{7E69E366-7E55-43E0-B7E4-A19DA950FDE0}"/>
    <cellStyle name="Normal 17 16" xfId="5406" xr:uid="{33E8D3CE-FF68-4E64-B9E1-89B451E1FBF2}"/>
    <cellStyle name="Normal 17 17" xfId="5407" xr:uid="{AE74FD8A-00E4-4715-B7AD-52CBD3F07073}"/>
    <cellStyle name="Normal 17 18" xfId="5408" xr:uid="{C6131240-A319-4065-B303-4A3A0B307FC3}"/>
    <cellStyle name="Normal 17 19" xfId="5409" xr:uid="{6DFF9E21-DD30-4637-A6D7-EED0CCAABEFD}"/>
    <cellStyle name="Normal 17 2" xfId="155" xr:uid="{06854ED5-D3C8-4293-8F35-4BC96E2D01D3}"/>
    <cellStyle name="Normal 17 2 2" xfId="5411" xr:uid="{BE7DC9B4-92D4-4ECD-894F-5B3498BF368A}"/>
    <cellStyle name="Normal 17 2 3" xfId="5412" xr:uid="{E0BE2442-2F08-4732-88F4-5B67F2AA92B1}"/>
    <cellStyle name="Normal 17 2 4" xfId="5410" xr:uid="{21104CAA-18C4-4F7D-A0E8-DED51AB5F5AB}"/>
    <cellStyle name="Normal 17 20" xfId="5413" xr:uid="{C7A65235-FF5C-4A4D-8FC4-B8CBA8773F9F}"/>
    <cellStyle name="Normal 17 21" xfId="5414" xr:uid="{6027D627-6641-449F-9431-3D36744EF8BE}"/>
    <cellStyle name="Normal 17 22" xfId="5415" xr:uid="{00856579-8EB7-4DA4-AA7D-5416F04EEA02}"/>
    <cellStyle name="Normal 17 23" xfId="5416" xr:uid="{828518C6-7866-433F-BE7D-AC0457563A85}"/>
    <cellStyle name="Normal 17 24" xfId="5417" xr:uid="{1CDD0845-D927-4294-973D-39F59A7BB4DF}"/>
    <cellStyle name="Normal 17 25" xfId="5418" xr:uid="{19B376D3-62CB-4FB5-8214-E4F153F15BB8}"/>
    <cellStyle name="Normal 17 3" xfId="5419" xr:uid="{AFC0EFCB-D0CD-4D1D-B6D8-2B3D0A96B5B7}"/>
    <cellStyle name="Normal 17 4" xfId="5420" xr:uid="{4778867A-D723-44D6-92E2-46DF42823261}"/>
    <cellStyle name="Normal 17 5" xfId="5421" xr:uid="{E9529A59-A29D-471A-AE26-4D5E3497AFAB}"/>
    <cellStyle name="Normal 17 6" xfId="5422" xr:uid="{FABFFDBF-C909-499D-9EE3-6756836C525C}"/>
    <cellStyle name="Normal 17 7" xfId="5423" xr:uid="{F1B757D8-41CA-4135-815D-3984E0858125}"/>
    <cellStyle name="Normal 17 8" xfId="5424" xr:uid="{AFB0934F-B858-4311-B376-F35C58D7EFCB}"/>
    <cellStyle name="Normal 17 9" xfId="5425" xr:uid="{1FC521DD-3AE6-498C-A2E0-688C3CBC3549}"/>
    <cellStyle name="Normal 170" xfId="5426" xr:uid="{4A6434CE-D0F7-4BF9-943F-BC48ED1C2F76}"/>
    <cellStyle name="Normal 171" xfId="5427" xr:uid="{9CA7871C-520D-487B-96C2-849F6657D677}"/>
    <cellStyle name="Normal 172" xfId="5428" xr:uid="{0EE6FCAF-617E-43A8-953B-5C81FADF51E2}"/>
    <cellStyle name="Normal 173" xfId="5429" xr:uid="{DAEEA40F-EBCE-43E4-9113-B1B9675885E9}"/>
    <cellStyle name="Normal 174" xfId="5430" xr:uid="{EE1FED1D-0B07-4C1D-8763-604DE1510EB9}"/>
    <cellStyle name="Normal 175" xfId="5431" xr:uid="{771C1AEA-312C-4A8F-B9DA-596574D0E5A1}"/>
    <cellStyle name="Normal 176" xfId="5432" xr:uid="{1D78341C-7CA2-4CE0-9087-2F2CEA59ED5C}"/>
    <cellStyle name="Normal 177" xfId="5433" xr:uid="{64064649-C158-4212-B597-78C19D657DBE}"/>
    <cellStyle name="Normal 178" xfId="5434" xr:uid="{91C8D79C-AC17-4A37-BB73-8A4DBC20F65A}"/>
    <cellStyle name="Normal 179" xfId="5435" xr:uid="{5E341380-CDF4-4B98-877E-097E273F1223}"/>
    <cellStyle name="Normal 18" xfId="156" xr:uid="{AE615A86-E39B-4965-850F-3FFB637C7EC0}"/>
    <cellStyle name="Normal 18 2" xfId="157" xr:uid="{E9234AB6-C6BA-4C6F-8D4A-84A1FD13F691}"/>
    <cellStyle name="Normal 18 2 2" xfId="5437" xr:uid="{AFBBAF80-B6AD-41C7-8F48-0461D8D4FBE1}"/>
    <cellStyle name="Normal 18 2 3" xfId="5436" xr:uid="{D874E263-1F33-4E64-95AF-FF5555425465}"/>
    <cellStyle name="Normal 18 3" xfId="158" xr:uid="{CC0E5494-F69F-4B43-AB75-2ECB9E52F7C7}"/>
    <cellStyle name="Normal 18 3 2" xfId="5438" xr:uid="{667CFEC3-29AE-4E66-A7FE-564C04BB51ED}"/>
    <cellStyle name="Normal 18 4" xfId="5439" xr:uid="{04077375-A507-4F3F-BE00-8A00ED2F3788}"/>
    <cellStyle name="Normal 18 5" xfId="5440" xr:uid="{FFFAB42F-2A33-451A-9D78-95FDF94A9A9C}"/>
    <cellStyle name="Normal 18 6" xfId="5441" xr:uid="{973782B2-F44E-46D9-AF1C-7B0266345F24}"/>
    <cellStyle name="Normal 180" xfId="5442" xr:uid="{F430C697-AFEA-4B8E-BE5A-F9DC6CDF24DA}"/>
    <cellStyle name="Normal 181" xfId="5443" xr:uid="{CF15CFED-4D0F-4D7E-8ADF-D8CEF71A96DF}"/>
    <cellStyle name="Normal 182" xfId="5444" xr:uid="{7AAB268C-4B68-4972-9CB3-368E47AA34E0}"/>
    <cellStyle name="Normal 183" xfId="5445" xr:uid="{E797622A-FA6D-4889-A5C1-172767F0B334}"/>
    <cellStyle name="Normal 184" xfId="5446" xr:uid="{6D39034F-DA7C-4057-B110-20EC3E3A3B6E}"/>
    <cellStyle name="Normal 185" xfId="5447" xr:uid="{81DD4DF1-C457-498D-9FFF-D14BCA1575DC}"/>
    <cellStyle name="Normal 186" xfId="5448" xr:uid="{E482F572-E9F6-49F8-9D14-2AE8F2DCBECB}"/>
    <cellStyle name="Normal 187" xfId="5449" xr:uid="{29619743-7C04-45CD-BD99-5DE5E7DEFED4}"/>
    <cellStyle name="Normal 188" xfId="5450" xr:uid="{EBE8DB37-9179-4C11-8153-3A278E6CDE25}"/>
    <cellStyle name="Normal 189" xfId="5451" xr:uid="{6E192F84-723A-42D6-8CE1-8C5AEF3F1AB3}"/>
    <cellStyle name="Normal 19" xfId="159" xr:uid="{71CBB9AA-976B-435E-BBEA-E3E5DE9E6DCD}"/>
    <cellStyle name="Normal 19 10" xfId="5452" xr:uid="{EB814E8C-25E4-4759-AEB4-321A26DBC6C2}"/>
    <cellStyle name="Normal 19 11" xfId="5453" xr:uid="{457D7BCE-3AA2-4797-8294-B1981806994B}"/>
    <cellStyle name="Normal 19 12" xfId="5454" xr:uid="{DDFD59D7-FE10-4FFB-A571-C8DD49D04379}"/>
    <cellStyle name="Normal 19 13" xfId="5455" xr:uid="{E2C6693D-5582-420D-B7F1-2F4488A190AB}"/>
    <cellStyle name="Normal 19 14" xfId="5456" xr:uid="{1A13AB6A-03A6-49F6-93F8-B072042CEDC6}"/>
    <cellStyle name="Normal 19 15" xfId="5457" xr:uid="{069BC6F0-E369-489E-A238-3E59ECB83E85}"/>
    <cellStyle name="Normal 19 16" xfId="5458" xr:uid="{5F11CD15-AC69-4E0D-910F-01B285C13054}"/>
    <cellStyle name="Normal 19 17" xfId="5459" xr:uid="{A9F0C6BE-331D-4EAA-89F7-82394A073820}"/>
    <cellStyle name="Normal 19 18" xfId="5460" xr:uid="{2C184F49-C2C7-4F33-8B31-889C554DD238}"/>
    <cellStyle name="Normal 19 19" xfId="5461" xr:uid="{92F92C1E-E602-43E1-8CA8-32B02F56A8A8}"/>
    <cellStyle name="Normal 19 2" xfId="160" xr:uid="{10AE30D0-3518-4415-8FF4-737D1F0B4C3A}"/>
    <cellStyle name="Normal 19 2 2" xfId="5463" xr:uid="{020234FE-8C62-43F0-B74C-0428D0E60828}"/>
    <cellStyle name="Normal 19 2 2 2" xfId="5464" xr:uid="{A7DFAB91-3CC2-4F38-A934-D80E7FA72298}"/>
    <cellStyle name="Normal 19 2 3" xfId="5465" xr:uid="{7BC20BBF-AB22-4D0E-B3C9-5E87D5257F45}"/>
    <cellStyle name="Normal 19 2 4" xfId="5462" xr:uid="{4A0F7E1B-C1C1-4670-8FBB-2CF1734384BE}"/>
    <cellStyle name="Normal 19 20" xfId="5466" xr:uid="{57364DCE-01DF-4BC3-9418-0FFCF514BD6B}"/>
    <cellStyle name="Normal 19 21" xfId="5467" xr:uid="{9F4805E4-7961-4FEF-97DD-FC6202B2958F}"/>
    <cellStyle name="Normal 19 22" xfId="5468" xr:uid="{63B59585-D826-4827-9191-8896941819FD}"/>
    <cellStyle name="Normal 19 23" xfId="5469" xr:uid="{238614D9-BF0B-4593-8C1E-7DFF5E6C8A3B}"/>
    <cellStyle name="Normal 19 3" xfId="161" xr:uid="{75065176-F892-4825-A1F3-E810512070CA}"/>
    <cellStyle name="Normal 19 3 2" xfId="5471" xr:uid="{402E47F3-8008-407B-9882-0EE836711629}"/>
    <cellStyle name="Normal 19 3 3" xfId="5470" xr:uid="{5F6E6202-75D3-40F1-BCA5-511CDFFCD392}"/>
    <cellStyle name="Normal 19 4" xfId="5472" xr:uid="{90AE9AE2-E5B7-470B-9BF9-430A38D29B97}"/>
    <cellStyle name="Normal 19 5" xfId="5473" xr:uid="{891B0FE2-0650-4B76-8FDB-5456D43A4735}"/>
    <cellStyle name="Normal 19 6" xfId="5474" xr:uid="{647C80AA-E47A-47F2-895E-AAB7425DA23D}"/>
    <cellStyle name="Normal 19 7" xfId="5475" xr:uid="{27D5303C-59CF-45B9-8E10-94AF595726D6}"/>
    <cellStyle name="Normal 19 8" xfId="5476" xr:uid="{68C1EF73-FAB0-4F3C-923C-2A8082177A40}"/>
    <cellStyle name="Normal 19 9" xfId="5477" xr:uid="{AA5A5557-BEA8-42B7-944B-2B182FCA90F4}"/>
    <cellStyle name="Normal 190" xfId="5478" xr:uid="{D18F072F-DC9E-4EC4-93ED-8EFEDE54E700}"/>
    <cellStyle name="Normal 191" xfId="5479" xr:uid="{BCD0D449-1C5B-4023-87C1-D3CD99F9D11D}"/>
    <cellStyle name="Normal 192" xfId="5480" xr:uid="{4DC24BB5-E483-4C81-83AF-D02D3E2E9232}"/>
    <cellStyle name="Normal 193" xfId="5481" xr:uid="{07FAC895-3AAA-4FFC-B907-058D44733570}"/>
    <cellStyle name="Normal 194" xfId="5482" xr:uid="{2855016F-FA69-4D4B-B1AB-9197C5742686}"/>
    <cellStyle name="Normal 195" xfId="5483" xr:uid="{42F84592-0B17-44A8-B718-197C86770F91}"/>
    <cellStyle name="Normal 196" xfId="5484" xr:uid="{08D36CEC-BFA6-4E9A-ACAB-04400B5F6583}"/>
    <cellStyle name="Normal 196 2" xfId="5485" xr:uid="{DA21CBCD-CA8B-4B06-971A-4589FC5CD632}"/>
    <cellStyle name="Normal 196 3" xfId="5486" xr:uid="{5FC4D9FC-EF31-4DA3-A8DA-D0EDE792A835}"/>
    <cellStyle name="Normal 197" xfId="5487" xr:uid="{F6CFE72E-9959-4267-8E77-4E2F2A947DC3}"/>
    <cellStyle name="Normal 198" xfId="5488" xr:uid="{68B8A4BC-E4FE-4D83-A753-A3CC22B8B2A7}"/>
    <cellStyle name="Normal 199" xfId="5489" xr:uid="{C266B14A-F12A-45EF-923F-D679A345F97A}"/>
    <cellStyle name="Normal 199 2" xfId="5490" xr:uid="{3106EF98-6B73-4083-89C9-C81F8840BCFF}"/>
    <cellStyle name="Normal 2" xfId="1" xr:uid="{3BC9F2CF-8901-4C70-95BB-124ECC97EC00}"/>
    <cellStyle name="Normal 2 10" xfId="5492" xr:uid="{F5BF0449-51D1-4101-BA38-74EEC9F30A52}"/>
    <cellStyle name="Normal 2 10 2" xfId="5493" xr:uid="{4784F7FE-D712-4D09-B627-9DB52B3DB91E}"/>
    <cellStyle name="Normal 2 10 3" xfId="5494" xr:uid="{F5CAE5A4-410B-4F33-BD31-AA1AD818D7B2}"/>
    <cellStyle name="Normal 2 100" xfId="5495" xr:uid="{D9F00102-DB71-467E-84B4-FAC1C042041F}"/>
    <cellStyle name="Normal 2 101" xfId="5496" xr:uid="{B4E4452F-8883-4CCE-B002-BC0B3316476F}"/>
    <cellStyle name="Normal 2 102" xfId="5497" xr:uid="{77F99CA3-850F-4C5D-AE5B-E7C38024E186}"/>
    <cellStyle name="Normal 2 103" xfId="5498" xr:uid="{AE7A22E1-70B0-4392-8A8F-4BBC312F91FF}"/>
    <cellStyle name="Normal 2 104" xfId="5499" xr:uid="{2B12379B-CE0A-4781-A2B4-2397A1A4CF2E}"/>
    <cellStyle name="Normal 2 105" xfId="5500" xr:uid="{BCFC73D2-699A-4799-89D9-5A0E94D491A6}"/>
    <cellStyle name="Normal 2 106" xfId="5501" xr:uid="{B8398ADC-71A6-4BF6-9259-75C282AD1868}"/>
    <cellStyle name="Normal 2 107" xfId="5502" xr:uid="{2613D43A-2469-4C51-BEBC-B9CCCF55AD79}"/>
    <cellStyle name="Normal 2 108" xfId="5503" xr:uid="{ADCA81F1-07B5-48CE-92F2-C1BB1D80CEB3}"/>
    <cellStyle name="Normal 2 109" xfId="5504" xr:uid="{2A4CCEB9-82C6-46D3-9497-00CA79C760D0}"/>
    <cellStyle name="Normal 2 11" xfId="5505" xr:uid="{6B2FFE59-C8AA-47E0-840A-92FD47B7D800}"/>
    <cellStyle name="Normal 2 11 2" xfId="5506" xr:uid="{6AF20E93-F473-4003-9EB4-702089E9797A}"/>
    <cellStyle name="Normal 2 11 3" xfId="5507" xr:uid="{799FD054-259E-4884-921D-A9FC16B2CD35}"/>
    <cellStyle name="Normal 2 110" xfId="5508" xr:uid="{90D1C405-7E08-4F92-BB6A-33DA9B9E772F}"/>
    <cellStyle name="Normal 2 111" xfId="5509" xr:uid="{789B3F83-C994-40E1-975F-C133CD6B2357}"/>
    <cellStyle name="Normal 2 112" xfId="5510" xr:uid="{90E57124-C943-4F8F-A382-B2935A4ECAD8}"/>
    <cellStyle name="Normal 2 113" xfId="5511" xr:uid="{F6A9E14D-805F-456B-9544-525A9991B94C}"/>
    <cellStyle name="Normal 2 113 2" xfId="5512" xr:uid="{F4AB7C0B-601B-413F-800A-EED6372674F2}"/>
    <cellStyle name="Normal 2 113 3" xfId="5513" xr:uid="{D14CE382-52A8-41FF-A2AD-F4141116FA9D}"/>
    <cellStyle name="Normal 2 113 4" xfId="5514" xr:uid="{2DB3829E-171C-468D-919D-968D46ADFC5F}"/>
    <cellStyle name="Normal 2 113 5" xfId="5515" xr:uid="{4B992788-802A-4015-86B5-D95AAE7CA70D}"/>
    <cellStyle name="Normal 2 113 6" xfId="5516" xr:uid="{9E5EBCA5-E641-46F0-B612-641D03495A0E}"/>
    <cellStyle name="Normal 2 113 7" xfId="5517" xr:uid="{37B438ED-A983-4AA4-BBB9-3FA6F9D9438F}"/>
    <cellStyle name="Normal 2 114" xfId="5518" xr:uid="{DC2CBFD7-753F-42F4-853C-6D9680DAA6DD}"/>
    <cellStyle name="Normal 2 115" xfId="5519" xr:uid="{E5695538-FFEF-475E-9F81-E3C141F0EA14}"/>
    <cellStyle name="Normal 2 116" xfId="5520" xr:uid="{0D4260AB-9E71-49FF-A06A-8E4DC59AB844}"/>
    <cellStyle name="Normal 2 117" xfId="5521" xr:uid="{E457A702-53E6-4490-A3AB-7CFE7D4852A6}"/>
    <cellStyle name="Normal 2 118" xfId="5522" xr:uid="{193737D9-3F9E-451F-9B5B-0427088E930C}"/>
    <cellStyle name="Normal 2 119" xfId="5523" xr:uid="{A3CF7E97-2492-4DA1-B0EB-9722D2626A2A}"/>
    <cellStyle name="Normal 2 12" xfId="5524" xr:uid="{C6F81C3F-8C1A-479D-9E7C-227D96584C32}"/>
    <cellStyle name="Normal 2 12 2" xfId="5525" xr:uid="{00314856-C664-471F-AE3E-2A7E349FC907}"/>
    <cellStyle name="Normal 2 12 3" xfId="5526" xr:uid="{4473BA9E-5B26-4BD5-8957-9EF7CD3DCA29}"/>
    <cellStyle name="Normal 2 12 4" xfId="5527" xr:uid="{233E9385-C20F-4891-85A6-12D801756ECB}"/>
    <cellStyle name="Normal 2 12 5" xfId="5528" xr:uid="{2C837EE3-A886-43CF-B553-4182B2A4A2BF}"/>
    <cellStyle name="Normal 2 12 6" xfId="5529" xr:uid="{4DF6F162-5E50-4DEB-956D-E7EAF0B863CB}"/>
    <cellStyle name="Normal 2 12 7" xfId="5530" xr:uid="{99D4051E-FE02-465A-9C21-9B25A4CD3D8B}"/>
    <cellStyle name="Normal 2 120" xfId="5531" xr:uid="{9936A7B8-E3BC-45B1-9B28-61472FF4D5B2}"/>
    <cellStyle name="Normal 2 121" xfId="5532" xr:uid="{E43913EB-AC29-46AE-84EB-57BB38D8A4AB}"/>
    <cellStyle name="Normal 2 122" xfId="5533" xr:uid="{5001F27F-7F6F-4842-9EBE-5A81931C3D8A}"/>
    <cellStyle name="Normal 2 123" xfId="5534" xr:uid="{BD17DD02-E854-48CD-8FDC-1B2B16AC67D1}"/>
    <cellStyle name="Normal 2 124" xfId="5535" xr:uid="{02880620-C25A-41A4-B751-4EBA151CD1B2}"/>
    <cellStyle name="Normal 2 125" xfId="5536" xr:uid="{2C88D553-4631-4EB6-A979-FE0B31B731BB}"/>
    <cellStyle name="Normal 2 126" xfId="5537" xr:uid="{52FC8D01-CBB3-4D3B-BD97-D2CC7E33BD34}"/>
    <cellStyle name="Normal 2 127" xfId="5538" xr:uid="{8D526076-4422-4A97-9526-94BC059A020F}"/>
    <cellStyle name="Normal 2 128" xfId="5539" xr:uid="{23FE811B-C3AD-4EC7-8726-3694E7C77AA2}"/>
    <cellStyle name="Normal 2 129" xfId="5540" xr:uid="{167A14E9-76ED-47C9-A259-A8E82B72E962}"/>
    <cellStyle name="Normal 2 129 2" xfId="5541" xr:uid="{1D239E20-72B6-4A08-98ED-F6A027E17462}"/>
    <cellStyle name="Normal 2 129 3" xfId="5542" xr:uid="{87230D08-1F81-4A4C-8883-D4DBF868E185}"/>
    <cellStyle name="Normal 2 129 4" xfId="5543" xr:uid="{4A1F0F08-A084-47EE-8BCC-9121613A9A8F}"/>
    <cellStyle name="Normal 2 129 5" xfId="5544" xr:uid="{0389B433-F7EB-465B-989E-1DC50F4C2416}"/>
    <cellStyle name="Normal 2 13" xfId="5545" xr:uid="{DCDAD99D-C52D-4CB5-AE49-77F0C06F7C98}"/>
    <cellStyle name="Normal 2 13 2" xfId="5546" xr:uid="{F8854BFD-58D8-4178-B270-D200E167820C}"/>
    <cellStyle name="Normal 2 13 3" xfId="5547" xr:uid="{B599E592-4DAD-4EDF-81D1-2F1191CF91CC}"/>
    <cellStyle name="Normal 2 130" xfId="5548" xr:uid="{AD138A96-9158-4348-B010-6B06F6ED928F}"/>
    <cellStyle name="Normal 2 131" xfId="5549" xr:uid="{993FC8F1-1343-4B9B-AA03-D4F56204DE90}"/>
    <cellStyle name="Normal 2 132" xfId="5550" xr:uid="{BC385752-D9B4-421C-AFDF-B8C98FAF22B6}"/>
    <cellStyle name="Normal 2 133" xfId="5551" xr:uid="{0464F013-B860-4806-9D8B-72A0E9342B62}"/>
    <cellStyle name="Normal 2 134" xfId="5552" xr:uid="{027FFC4F-623F-40C3-BFC0-EDEE13241FFF}"/>
    <cellStyle name="Normal 2 135" xfId="5553" xr:uid="{8933F328-950C-4100-B5F4-79A6F04E9D73}"/>
    <cellStyle name="Normal 2 136" xfId="5554" xr:uid="{44A19E2C-98D9-4789-BAAF-EFC2EF16C239}"/>
    <cellStyle name="Normal 2 137" xfId="5555" xr:uid="{D82B4253-E516-45DC-96B8-49671A35617A}"/>
    <cellStyle name="Normal 2 138" xfId="5556" xr:uid="{05660386-243B-4B83-8D44-389123E24D9C}"/>
    <cellStyle name="Normal 2 139" xfId="5557" xr:uid="{34F97A58-1BF8-4DA8-B185-53A9268A081D}"/>
    <cellStyle name="Normal 2 14" xfId="5558" xr:uid="{B285F68B-B061-4144-AE59-9207330FA13F}"/>
    <cellStyle name="Normal 2 14 2" xfId="5559" xr:uid="{58BD10A5-8A18-42A2-A83E-F15942FF2B58}"/>
    <cellStyle name="Normal 2 14 3" xfId="5560" xr:uid="{E7C23632-E8C2-4E55-8EE2-0887BE6E10CE}"/>
    <cellStyle name="Normal 2 140" xfId="5561" xr:uid="{B4331887-99CF-4FF5-BA2F-E7EF40FB1FA1}"/>
    <cellStyle name="Normal 2 141" xfId="5562" xr:uid="{0B5B37BC-C976-43DE-AE0A-DBD9505AD1EA}"/>
    <cellStyle name="Normal 2 142" xfId="5563" xr:uid="{CABAFE6C-7FA3-47FC-9B24-CAECC936473F}"/>
    <cellStyle name="Normal 2 143" xfId="5564" xr:uid="{0C9DC9AC-B3CD-405A-89B5-A4F8FBB5F42C}"/>
    <cellStyle name="Normal 2 144" xfId="5565" xr:uid="{060BDBC9-5DC9-40B9-8048-2BAE566BC166}"/>
    <cellStyle name="Normal 2 145" xfId="5566" xr:uid="{96528672-3578-4BC1-8CC6-55F230E8A695}"/>
    <cellStyle name="Normal 2 145 10" xfId="5567" xr:uid="{DB8A7B40-4478-4A6C-AE32-6A91E37F9EAF}"/>
    <cellStyle name="Normal 2 145 11" xfId="5568" xr:uid="{847A2CDD-278B-4402-9EBA-473AC920664E}"/>
    <cellStyle name="Normal 2 145 12" xfId="5569" xr:uid="{2C8F77FF-EF8A-4D36-B0C6-200010F6172A}"/>
    <cellStyle name="Normal 2 145 13" xfId="5570" xr:uid="{62D9A033-18BB-492E-B6E8-4AF4C15A2E95}"/>
    <cellStyle name="Normal 2 145 14" xfId="5571" xr:uid="{87C04121-F8F6-4137-95E0-A23919F5FB2E}"/>
    <cellStyle name="Normal 2 145 15" xfId="5572" xr:uid="{2E7B7780-3895-4ACD-A189-6FF28D2B6C50}"/>
    <cellStyle name="Normal 2 145 16" xfId="5573" xr:uid="{7ED68FA0-C38B-4D56-9DB0-80ED9285FACC}"/>
    <cellStyle name="Normal 2 145 17" xfId="5574" xr:uid="{F8F2B696-B701-484C-8C30-AF706FF7E617}"/>
    <cellStyle name="Normal 2 145 18" xfId="5575" xr:uid="{10B25800-ECCF-4BDF-B4CC-02007C68CF1F}"/>
    <cellStyle name="Normal 2 145 19" xfId="5576" xr:uid="{20F10819-6D17-4133-9968-61BB29A4BCC1}"/>
    <cellStyle name="Normal 2 145 2" xfId="5577" xr:uid="{6B8A1762-3CB4-4D37-9F29-DBB410649062}"/>
    <cellStyle name="Normal 2 145 20" xfId="5578" xr:uid="{D99D8A1E-31AA-4C41-B02F-AB28B6DC52A6}"/>
    <cellStyle name="Normal 2 145 3" xfId="5579" xr:uid="{B47C8905-E8A4-4BC5-A250-D16C92A556B8}"/>
    <cellStyle name="Normal 2 145 4" xfId="5580" xr:uid="{4C45EA4B-24BD-4714-AD61-C2912A0BC31F}"/>
    <cellStyle name="Normal 2 145 5" xfId="5581" xr:uid="{D75D50D4-E936-46B4-B68A-3EE7ACF2779B}"/>
    <cellStyle name="Normal 2 145 6" xfId="5582" xr:uid="{1468780C-BBD5-4C93-9C76-9786180DB049}"/>
    <cellStyle name="Normal 2 145 7" xfId="5583" xr:uid="{ED47A849-5BEA-47A5-A6DA-DD8E7BA0383C}"/>
    <cellStyle name="Normal 2 145 8" xfId="5584" xr:uid="{35C07E11-37B5-43BB-96B3-AC4B65BC2712}"/>
    <cellStyle name="Normal 2 145 9" xfId="5585" xr:uid="{1B58BB91-A719-4388-B1A5-F0C2E84F9E94}"/>
    <cellStyle name="Normal 2 146" xfId="5586" xr:uid="{610893EF-1A5A-4730-8299-3EFC4C4D3A7D}"/>
    <cellStyle name="Normal 2 146 10" xfId="5587" xr:uid="{58ACDD21-4889-446A-B5E8-D12FD1F8F20C}"/>
    <cellStyle name="Normal 2 146 11" xfId="5588" xr:uid="{7F2E3BA6-51FC-4B61-B430-FE514828BC0E}"/>
    <cellStyle name="Normal 2 146 12" xfId="5589" xr:uid="{13CC1E2C-E805-4505-8A83-00544CD598FA}"/>
    <cellStyle name="Normal 2 146 13" xfId="5590" xr:uid="{9B64C7A3-EFE9-4C71-B941-B60726E8FF68}"/>
    <cellStyle name="Normal 2 146 14" xfId="5591" xr:uid="{8C136176-222B-4368-864B-6AF5F934995C}"/>
    <cellStyle name="Normal 2 146 15" xfId="5592" xr:uid="{0F28371E-1117-4D81-B1D6-4BBAAC66C4B8}"/>
    <cellStyle name="Normal 2 146 16" xfId="5593" xr:uid="{F8EEBB33-59CC-4897-8225-2E10B39CED0C}"/>
    <cellStyle name="Normal 2 146 17" xfId="5594" xr:uid="{AD82CD6F-2538-4A1B-A421-A19A398BC42C}"/>
    <cellStyle name="Normal 2 146 2" xfId="5595" xr:uid="{84D98FBD-305D-4C24-BCAE-C92E4DE2449C}"/>
    <cellStyle name="Normal 2 146 3" xfId="5596" xr:uid="{76F66D9C-935E-45CB-8D03-E59D9A76335E}"/>
    <cellStyle name="Normal 2 146 4" xfId="5597" xr:uid="{F9FE8A04-CFC3-42C7-B04A-1A0A33B584BF}"/>
    <cellStyle name="Normal 2 146 5" xfId="5598" xr:uid="{E10BD753-C678-43A6-A558-048FFB51DDB2}"/>
    <cellStyle name="Normal 2 146 6" xfId="5599" xr:uid="{BE744311-2162-4D91-933C-64DFF83EE4E0}"/>
    <cellStyle name="Normal 2 146 7" xfId="5600" xr:uid="{4EFD92C5-B907-42EC-8437-A804716DB40E}"/>
    <cellStyle name="Normal 2 146 8" xfId="5601" xr:uid="{98BF7C26-EAC9-4084-971A-7583B1544EC4}"/>
    <cellStyle name="Normal 2 146 9" xfId="5602" xr:uid="{5F2B3058-D541-4278-9599-2A791ED01870}"/>
    <cellStyle name="Normal 2 147" xfId="5603" xr:uid="{6CACAEA2-830F-4F16-BEA9-587C7F50CD2E}"/>
    <cellStyle name="Normal 2 147 10" xfId="5604" xr:uid="{6A59CFEE-5CCD-4ED5-9294-D37C8D37133D}"/>
    <cellStyle name="Normal 2 147 11" xfId="5605" xr:uid="{EE3206DC-D30B-4617-BDC2-25D9BAB091A2}"/>
    <cellStyle name="Normal 2 147 12" xfId="5606" xr:uid="{D49D832E-E0B5-4CA5-8B6D-1AA0110B4A7C}"/>
    <cellStyle name="Normal 2 147 13" xfId="5607" xr:uid="{8A2023F3-9A3B-4AD2-91B0-D970844DD8BC}"/>
    <cellStyle name="Normal 2 147 14" xfId="5608" xr:uid="{BDE6048E-D8A1-4167-BA6D-FD1B9D71275A}"/>
    <cellStyle name="Normal 2 147 15" xfId="5609" xr:uid="{0990B07E-C927-463C-995D-6D1FA9F00BCB}"/>
    <cellStyle name="Normal 2 147 16" xfId="5610" xr:uid="{B06F314C-2F66-4330-8130-32AB04709049}"/>
    <cellStyle name="Normal 2 147 17" xfId="5611" xr:uid="{A2C1A424-B89F-4D91-9F8A-1A02595B3A06}"/>
    <cellStyle name="Normal 2 147 2" xfId="5612" xr:uid="{1F9D3494-0F63-4CF1-A06A-AA14A6E8E896}"/>
    <cellStyle name="Normal 2 147 3" xfId="5613" xr:uid="{67E16332-7A2D-4F72-BF46-0798BADB6D0C}"/>
    <cellStyle name="Normal 2 147 4" xfId="5614" xr:uid="{185A5731-47F0-427E-A72E-E6234FE66A30}"/>
    <cellStyle name="Normal 2 147 5" xfId="5615" xr:uid="{73D92363-A23D-4A93-920A-384F7C24BDEF}"/>
    <cellStyle name="Normal 2 147 6" xfId="5616" xr:uid="{F668ADBA-577F-46B7-942A-FDA7654AF45D}"/>
    <cellStyle name="Normal 2 147 7" xfId="5617" xr:uid="{1681BD53-09CD-42AF-9A96-8B982189F67D}"/>
    <cellStyle name="Normal 2 147 8" xfId="5618" xr:uid="{C7DB810A-965B-4B4A-B8BB-216B843100B5}"/>
    <cellStyle name="Normal 2 147 9" xfId="5619" xr:uid="{5FFA2157-2DC9-451D-BAF5-48622B9E462F}"/>
    <cellStyle name="Normal 2 148" xfId="5620" xr:uid="{6FD59307-6B10-4222-B4CB-6AB0945EB1D9}"/>
    <cellStyle name="Normal 2 148 10" xfId="5621" xr:uid="{130B7709-B896-4AEF-A7C3-9C47106602E4}"/>
    <cellStyle name="Normal 2 148 11" xfId="5622" xr:uid="{F9DCD3FD-A065-45F3-BD59-827E065F653C}"/>
    <cellStyle name="Normal 2 148 12" xfId="5623" xr:uid="{B8E8C7FE-248C-493E-9D42-8D95376AAAEF}"/>
    <cellStyle name="Normal 2 148 13" xfId="5624" xr:uid="{062EA591-EFFE-45BB-A498-5E6A3985FE21}"/>
    <cellStyle name="Normal 2 148 2" xfId="5625" xr:uid="{6D5EA9B3-579C-4115-AC7F-A6294CFF48A5}"/>
    <cellStyle name="Normal 2 148 3" xfId="5626" xr:uid="{9D95A1F1-1B0F-49C8-A51C-CABD4A7B874C}"/>
    <cellStyle name="Normal 2 148 4" xfId="5627" xr:uid="{76E0BEDD-C979-45A5-B2B8-1FB655B5C741}"/>
    <cellStyle name="Normal 2 148 5" xfId="5628" xr:uid="{0DFCBD4A-F1F4-496F-8B8E-76D623DDBDB4}"/>
    <cellStyle name="Normal 2 148 6" xfId="5629" xr:uid="{AF9A9E22-03D5-448C-A278-D5A0535002BB}"/>
    <cellStyle name="Normal 2 148 7" xfId="5630" xr:uid="{B890D03C-CF32-4140-A0B4-5D0E6E0D0F04}"/>
    <cellStyle name="Normal 2 148 8" xfId="5631" xr:uid="{DCB692FD-17D7-4254-85A9-64D04AE1F2AA}"/>
    <cellStyle name="Normal 2 148 9" xfId="5632" xr:uid="{D2C4346D-112D-4017-A4BA-FB453BF22817}"/>
    <cellStyle name="Normal 2 149" xfId="5633" xr:uid="{8970262C-C3F6-4C12-AD74-B12A958A58C4}"/>
    <cellStyle name="Normal 2 15" xfId="5634" xr:uid="{8B0B5F17-FDF4-40DC-A75F-5B23415AAD8D}"/>
    <cellStyle name="Normal 2 15 2" xfId="5635" xr:uid="{91D32A83-4733-4BAE-B7B4-38B043A01C95}"/>
    <cellStyle name="Normal 2 15 3" xfId="5636" xr:uid="{3DE32FF9-BFCD-48F3-9A60-34DC28F5C59B}"/>
    <cellStyle name="Normal 2 150" xfId="5637" xr:uid="{E69B6315-255E-4A77-8A97-8B78624FCDC3}"/>
    <cellStyle name="Normal 2 151" xfId="5638" xr:uid="{93C257A1-27B6-4193-837A-9540E6EA4261}"/>
    <cellStyle name="Normal 2 152" xfId="5639" xr:uid="{2968903C-24C8-4F75-A94C-6DFEB2EB05C2}"/>
    <cellStyle name="Normal 2 153" xfId="5640" xr:uid="{839AB88A-F540-4BD1-98F6-F02429D05F5A}"/>
    <cellStyle name="Normal 2 154" xfId="5641" xr:uid="{7D904F19-AB35-448C-B355-6E8EE5F68DCC}"/>
    <cellStyle name="Normal 2 155" xfId="5642" xr:uid="{212EA6C4-4B4C-4FEA-A201-832298AA5886}"/>
    <cellStyle name="Normal 2 156" xfId="5643" xr:uid="{F48AC3EB-95A0-4403-B0C2-B3DF80C8BCEB}"/>
    <cellStyle name="Normal 2 157" xfId="5644" xr:uid="{C227A7DC-425E-45E2-A439-E7698E6F23EB}"/>
    <cellStyle name="Normal 2 158" xfId="5645" xr:uid="{3E7A6DA7-FA9B-4B1F-8373-6EE3963CE42F}"/>
    <cellStyle name="Normal 2 159" xfId="5646" xr:uid="{C2F60AC0-231C-48C4-A809-68C036756E9E}"/>
    <cellStyle name="Normal 2 16" xfId="5647" xr:uid="{F8737712-93A6-4802-B8F3-7D7E8E5111C8}"/>
    <cellStyle name="Normal 2 16 2" xfId="5648" xr:uid="{49D849C4-F516-4611-BE5D-1844139BEE5B}"/>
    <cellStyle name="Normal 2 16 3" xfId="5649" xr:uid="{F6C247CF-37D9-42DA-9C39-85D9BBA0B32E}"/>
    <cellStyle name="Normal 2 160" xfId="5650" xr:uid="{255E1052-3D71-4FFE-8C3B-0A11ADA2A462}"/>
    <cellStyle name="Normal 2 161" xfId="5651" xr:uid="{4F62164E-7812-458F-8261-870240D5A709}"/>
    <cellStyle name="Normal 2 162" xfId="5652" xr:uid="{B3D56EB5-0542-447A-96FF-EAB7A69B3399}"/>
    <cellStyle name="Normal 2 163" xfId="5653" xr:uid="{DBC3550A-C4E1-4942-8B84-DA917DC27FDC}"/>
    <cellStyle name="Normal 2 164" xfId="5654" xr:uid="{353C674B-748E-4E12-8DFC-159CF13E646B}"/>
    <cellStyle name="Normal 2 165" xfId="5655" xr:uid="{29EA25D5-0A16-41D9-A0C0-2444A460C52B}"/>
    <cellStyle name="Normal 2 166" xfId="5656" xr:uid="{48C29193-BDC3-40F6-A01D-E7304FEB7B1B}"/>
    <cellStyle name="Normal 2 167" xfId="5657" xr:uid="{5ADA7491-72E0-4D1E-A8B4-59D8D371B6BA}"/>
    <cellStyle name="Normal 2 168" xfId="5658" xr:uid="{25234208-50BB-4120-96FE-E47D3AD5F6C9}"/>
    <cellStyle name="Normal 2 168 2" xfId="5659" xr:uid="{4DAA6E52-C198-4EA8-84A1-853998F14C50}"/>
    <cellStyle name="Normal 2 168 3" xfId="5660" xr:uid="{7B3D5854-6C11-46A3-8813-005FC3094AE2}"/>
    <cellStyle name="Normal 2 168 4" xfId="5661" xr:uid="{12D800C6-01B2-485A-9108-82577BE600F0}"/>
    <cellStyle name="Normal 2 169" xfId="5662" xr:uid="{D15CB7DE-0C82-44F6-84B9-DB4B2602D088}"/>
    <cellStyle name="Normal 2 17" xfId="5663" xr:uid="{A9C99713-C830-4562-B368-14F8D28A08E3}"/>
    <cellStyle name="Normal 2 17 2" xfId="5664" xr:uid="{5F72A9C3-EC7F-475E-814A-C73D04B5CD2B}"/>
    <cellStyle name="Normal 2 17 3" xfId="5665" xr:uid="{258BCA83-1AE6-416F-87B9-DB741B782443}"/>
    <cellStyle name="Normal 2 170" xfId="5666" xr:uid="{03322626-14F5-49B7-8FF7-069FD89566F3}"/>
    <cellStyle name="Normal 2 171" xfId="5667" xr:uid="{1BBE2843-F08E-4147-AAB6-82362A392895}"/>
    <cellStyle name="Normal 2 172" xfId="5668" xr:uid="{A2F51E00-6C53-4896-9274-7C0288502ECF}"/>
    <cellStyle name="Normal 2 173" xfId="5669" xr:uid="{E233E675-D2D2-48D5-BF34-8673B98D1F93}"/>
    <cellStyle name="Normal 2 174" xfId="5670" xr:uid="{32A8A76B-42BC-4855-AA3F-2DD70FA9D38A}"/>
    <cellStyle name="Normal 2 175" xfId="5671" xr:uid="{56F00E77-B9F6-4620-9D6D-C92A28522545}"/>
    <cellStyle name="Normal 2 176" xfId="5672" xr:uid="{D56EA78D-94D8-4EB5-B8BD-66D2D0CF38C6}"/>
    <cellStyle name="Normal 2 177" xfId="5673" xr:uid="{7536D72C-EEAE-46A0-8986-C606E625CE60}"/>
    <cellStyle name="Normal 2 178" xfId="5674" xr:uid="{10469CA8-7F6D-431C-A717-5F350F17222E}"/>
    <cellStyle name="Normal 2 179" xfId="5675" xr:uid="{410B8FE4-ADE0-4AF4-8AEA-EE066A6F0AF9}"/>
    <cellStyle name="Normal 2 18" xfId="5676" xr:uid="{B059C59D-D52F-485E-A046-97E01F1B98BD}"/>
    <cellStyle name="Normal 2 18 2" xfId="5677" xr:uid="{3501F67A-BD5E-4A26-BC2C-73E265C98452}"/>
    <cellStyle name="Normal 2 18 3" xfId="5678" xr:uid="{2759FCEF-690F-483F-9874-4219F4885CB6}"/>
    <cellStyle name="Normal 2 180" xfId="5679" xr:uid="{E2F9AF46-E89D-4488-A9C9-B753274B4807}"/>
    <cellStyle name="Normal 2 181" xfId="5680" xr:uid="{881E1906-695B-4083-81BD-A5D740F37F25}"/>
    <cellStyle name="Normal 2 182" xfId="5681" xr:uid="{509C2355-B2BB-4C96-AF7F-2971882555C2}"/>
    <cellStyle name="Normal 2 183" xfId="5682" xr:uid="{E7410515-5DA2-471D-9A64-45FC34446FC7}"/>
    <cellStyle name="Normal 2 184" xfId="5683" xr:uid="{94EB2FCB-FE2A-4437-929A-6BA3A46F17F3}"/>
    <cellStyle name="Normal 2 185" xfId="5684" xr:uid="{19C11B55-167B-40DD-89D7-9134FA3E444C}"/>
    <cellStyle name="Normal 2 186" xfId="5685" xr:uid="{975F16C3-A8EA-41B1-96FF-0DC6C50D1765}"/>
    <cellStyle name="Normal 2 187" xfId="5686" xr:uid="{33BAF38B-D466-41C9-9F9D-01B3B13EAD79}"/>
    <cellStyle name="Normal 2 188" xfId="5687" xr:uid="{5A6BE8A0-9304-474F-B994-9D44EE02432F}"/>
    <cellStyle name="Normal 2 189" xfId="5688" xr:uid="{4048772F-833A-4178-A091-CB42D65C37F4}"/>
    <cellStyle name="Normal 2 19" xfId="5689" xr:uid="{32C77109-F8D8-418C-9F33-DF5A8B532DD5}"/>
    <cellStyle name="Normal 2 19 2" xfId="5690" xr:uid="{974E164A-A80E-4BB0-B56D-4956AF8BB59F}"/>
    <cellStyle name="Normal 2 19 3" xfId="5691" xr:uid="{6BBDD6C5-BE00-41F7-8D25-13FFFB95F978}"/>
    <cellStyle name="Normal 2 190" xfId="5692" xr:uid="{32EA75AF-BCF7-4B06-95D7-973A5F2D11DB}"/>
    <cellStyle name="Normal 2 191" xfId="5693" xr:uid="{435C58CC-9244-4201-A1A3-EEBD6788B144}"/>
    <cellStyle name="Normal 2 192" xfId="5694" xr:uid="{7F2FDFCB-0C15-4EAA-899F-0C32D2EA24DC}"/>
    <cellStyle name="Normal 2 193" xfId="5695" xr:uid="{A6A780D6-EF5C-4D69-8FEF-A33821B34D58}"/>
    <cellStyle name="Normal 2 194" xfId="5696" xr:uid="{6A55FB42-EDD9-45C0-8862-14062DDAC448}"/>
    <cellStyle name="Normal 2 195" xfId="5697" xr:uid="{6505CB90-88C0-4603-A5AC-15C21BC7D12B}"/>
    <cellStyle name="Normal 2 196" xfId="5698" xr:uid="{2DF8FA57-D4B6-4B3E-BB37-33F53E892446}"/>
    <cellStyle name="Normal 2 197" xfId="5699" xr:uid="{EDFCBC5D-C46E-44A9-8C1C-AF8A68E59D78}"/>
    <cellStyle name="Normal 2 198" xfId="5700" xr:uid="{F5ABA876-6E25-489D-875B-9E27C58DA2F1}"/>
    <cellStyle name="Normal 2 199" xfId="5701" xr:uid="{35DABA65-194D-4A41-8DCB-3ADB2D79C388}"/>
    <cellStyle name="Normal 2 2" xfId="2" xr:uid="{56E6692E-1E4C-4661-A89E-345772A97718}"/>
    <cellStyle name="Normal 2 2 10" xfId="5702" xr:uid="{F6982F52-4260-4252-A8D5-11F38A53A305}"/>
    <cellStyle name="Normal 2 2 10 2" xfId="5703" xr:uid="{0687CD9D-54CE-42AD-A359-304496F7C04E}"/>
    <cellStyle name="Normal 2 2 100" xfId="5704" xr:uid="{87346011-71D3-4490-A2D5-9F806AA9712F}"/>
    <cellStyle name="Normal 2 2 101" xfId="5705" xr:uid="{B3730BC1-BCBE-41F7-ADC5-BF82F186CB4D}"/>
    <cellStyle name="Normal 2 2 102" xfId="5706" xr:uid="{29CF6824-21EE-4920-9514-AE8CA3E31343}"/>
    <cellStyle name="Normal 2 2 103" xfId="5707" xr:uid="{E183E610-8AC2-4A9E-9616-67DA011EABF7}"/>
    <cellStyle name="Normal 2 2 104" xfId="5708" xr:uid="{692B2535-5C63-4584-9586-71A9D848A362}"/>
    <cellStyle name="Normal 2 2 105" xfId="5709" xr:uid="{2116DD4B-DB07-4FA8-A2C1-88ABB13F53A7}"/>
    <cellStyle name="Normal 2 2 106" xfId="5710" xr:uid="{D79AD0F2-168E-4BDE-AD95-37440EBB4C31}"/>
    <cellStyle name="Normal 2 2 107" xfId="5711" xr:uid="{FA072012-8E2F-40E3-A118-EBB201E2A559}"/>
    <cellStyle name="Normal 2 2 108" xfId="5712" xr:uid="{0B48F3A7-9CB4-4785-94FA-4F2E7AE69F6E}"/>
    <cellStyle name="Normal 2 2 109" xfId="5713" xr:uid="{0AE96C29-CDE1-44D5-933E-D501D9547215}"/>
    <cellStyle name="Normal 2 2 11" xfId="5714" xr:uid="{B45203D9-5222-485B-9DAE-14A63257DA4A}"/>
    <cellStyle name="Normal 2 2 11 2" xfId="5715" xr:uid="{3A868C82-983B-4DEF-8EDF-24016814C4C8}"/>
    <cellStyle name="Normal 2 2 110" xfId="5716" xr:uid="{9B0A1758-9922-4AB0-A0A4-FABDD25B6CB7}"/>
    <cellStyle name="Normal 2 2 111" xfId="5717" xr:uid="{7B1C37F0-E245-4B2A-B310-BE7C42FA1C9A}"/>
    <cellStyle name="Normal 2 2 111 2" xfId="5718" xr:uid="{E40DFE6B-3A79-4553-A382-966A211B49B4}"/>
    <cellStyle name="Normal 2 2 111 3" xfId="5719" xr:uid="{47A9E05C-2D7D-4F1E-A1DD-0DD403A624A6}"/>
    <cellStyle name="Normal 2 2 111 4" xfId="5720" xr:uid="{5BB0F042-D254-4FE1-B43F-90B6C08AAB08}"/>
    <cellStyle name="Normal 2 2 111 5" xfId="5721" xr:uid="{A161C1C0-FA83-4D60-A451-CC01303D424F}"/>
    <cellStyle name="Normal 2 2 111 6" xfId="5722" xr:uid="{51D6F202-5DC0-41C9-AFD9-896A8671130C}"/>
    <cellStyle name="Normal 2 2 111 7" xfId="5723" xr:uid="{56068129-46E8-416C-9441-16FFCE9BE5F8}"/>
    <cellStyle name="Normal 2 2 112" xfId="5724" xr:uid="{AD77D806-BB4B-4DF9-859E-053020F1D368}"/>
    <cellStyle name="Normal 2 2 113" xfId="5725" xr:uid="{7C29F6A2-E263-4A89-A601-B0B6A0CFEEDA}"/>
    <cellStyle name="Normal 2 2 114" xfId="5726" xr:uid="{6B88C6CE-0E39-4532-B502-C490F35D3F8B}"/>
    <cellStyle name="Normal 2 2 115" xfId="5727" xr:uid="{79A997FD-C967-4172-9148-48FB76C07116}"/>
    <cellStyle name="Normal 2 2 116" xfId="5728" xr:uid="{8AD92AEE-EC52-4A7C-918A-8E2F9195043A}"/>
    <cellStyle name="Normal 2 2 117" xfId="5729" xr:uid="{4E07A2C2-29B5-4C85-A716-43853F2DF8D1}"/>
    <cellStyle name="Normal 2 2 118" xfId="5730" xr:uid="{798AEC35-71DA-41C3-A1AD-3C969406BB6A}"/>
    <cellStyle name="Normal 2 2 119" xfId="5731" xr:uid="{C6A6ADC6-F14D-4D41-A217-595DB6E1ECB6}"/>
    <cellStyle name="Normal 2 2 12" xfId="5732" xr:uid="{F027AC21-1DE4-4981-809F-1EF135A1B359}"/>
    <cellStyle name="Normal 2 2 12 2" xfId="5733" xr:uid="{36E33E02-FE4E-4FD3-985A-F65BE5C02631}"/>
    <cellStyle name="Normal 2 2 120" xfId="5734" xr:uid="{FBA52BD4-DD32-404F-A3A5-C9C88C9082F6}"/>
    <cellStyle name="Normal 2 2 121" xfId="5735" xr:uid="{C2DBF51B-08BF-4C00-8192-09F20E5AC8A5}"/>
    <cellStyle name="Normal 2 2 122" xfId="5736" xr:uid="{B3564AD3-EB3B-4442-AC89-A19385CEEBF8}"/>
    <cellStyle name="Normal 2 2 123" xfId="5737" xr:uid="{1EB88738-9FFB-4E57-A346-24B06D77BD8B}"/>
    <cellStyle name="Normal 2 2 124" xfId="5738" xr:uid="{CA6BB7AC-2024-45FE-8FC9-B905B4C4AD45}"/>
    <cellStyle name="Normal 2 2 125" xfId="5739" xr:uid="{EE4BA30F-EFF5-492F-BC23-F633C99BCC83}"/>
    <cellStyle name="Normal 2 2 126" xfId="5740" xr:uid="{733CCE0B-5C38-4728-8CAA-4A8606FFEC6C}"/>
    <cellStyle name="Normal 2 2 127" xfId="5741" xr:uid="{48189CF6-F0C3-41D6-AE61-DD2098E20F97}"/>
    <cellStyle name="Normal 2 2 128" xfId="5742" xr:uid="{435FD320-6D19-4914-8006-8376B9974B04}"/>
    <cellStyle name="Normal 2 2 129" xfId="5743" xr:uid="{BE35AAA7-28CC-459E-BA48-07905D83FE62}"/>
    <cellStyle name="Normal 2 2 13" xfId="5744" xr:uid="{9CF62EF5-69E0-4671-A998-DF979CE032E8}"/>
    <cellStyle name="Normal 2 2 13 2" xfId="5745" xr:uid="{FAB8E2C5-6221-4CC6-A445-0E85CEF4891F}"/>
    <cellStyle name="Normal 2 2 130" xfId="5746" xr:uid="{AFCFB0E8-7AC0-4A6F-B64D-22B6528D5E57}"/>
    <cellStyle name="Normal 2 2 131" xfId="5747" xr:uid="{FFF3410E-B5A7-4EF1-9A86-DB1F8DC1078D}"/>
    <cellStyle name="Normal 2 2 132" xfId="5748" xr:uid="{44CF9450-F1CC-4C5B-A367-04E38E91D921}"/>
    <cellStyle name="Normal 2 2 133" xfId="5749" xr:uid="{D93B15D6-0739-4291-BF01-52A544894449}"/>
    <cellStyle name="Normal 2 2 134" xfId="5750" xr:uid="{5BD9AECC-807F-4AA0-97E5-6EE54AEA41C9}"/>
    <cellStyle name="Normal 2 2 135" xfId="5751" xr:uid="{D11D46B9-EF04-423C-9162-282B14432E2F}"/>
    <cellStyle name="Normal 2 2 136" xfId="5752" xr:uid="{7CB04CC3-0CAB-46E6-A999-8BAB88759E72}"/>
    <cellStyle name="Normal 2 2 137" xfId="5753" xr:uid="{8CFE7755-EF8D-4D01-A582-11F17E5E54A9}"/>
    <cellStyle name="Normal 2 2 138" xfId="5754" xr:uid="{66579D36-3595-4242-A739-460F46466FDE}"/>
    <cellStyle name="Normal 2 2 139" xfId="5755" xr:uid="{DD1C114A-ACAD-4578-9BFC-D3DEB88987AF}"/>
    <cellStyle name="Normal 2 2 14" xfId="5756" xr:uid="{9945F5B9-C9C6-4294-A0C3-9C5109015C17}"/>
    <cellStyle name="Normal 2 2 14 2" xfId="5757" xr:uid="{11F53AC5-387A-4E47-AF28-36CC9E172032}"/>
    <cellStyle name="Normal 2 2 140" xfId="5758" xr:uid="{2FD32A83-C495-4463-8F79-32E579AF7FA1}"/>
    <cellStyle name="Normal 2 2 141" xfId="5759" xr:uid="{789DF1CF-0C33-488B-A9C3-BE07E96EE0C7}"/>
    <cellStyle name="Normal 2 2 142" xfId="5760" xr:uid="{381BC24D-C450-4B1A-9BB1-865965ADEA9F}"/>
    <cellStyle name="Normal 2 2 143" xfId="5761" xr:uid="{E0EC4D90-4495-4245-8AA2-AFA254032F60}"/>
    <cellStyle name="Normal 2 2 144" xfId="5762" xr:uid="{185B1D70-5942-4ED6-9FDA-B30217A9D8F3}"/>
    <cellStyle name="Normal 2 2 145" xfId="5763" xr:uid="{42497BC3-7CF3-4755-A1A3-5A225DFDB71B}"/>
    <cellStyle name="Normal 2 2 146" xfId="5764" xr:uid="{B741851E-82EC-491E-A8AE-B31199B1C532}"/>
    <cellStyle name="Normal 2 2 147" xfId="5765" xr:uid="{EF366855-3391-475F-9D92-B6C77F70C1F5}"/>
    <cellStyle name="Normal 2 2 148" xfId="5766" xr:uid="{E7235CE8-F282-4BE9-9850-DC70EB8B557D}"/>
    <cellStyle name="Normal 2 2 149" xfId="5767" xr:uid="{01D8C8AC-0019-454E-90BB-083684480BE9}"/>
    <cellStyle name="Normal 2 2 15" xfId="5768" xr:uid="{DD7BDDBE-4F3C-4402-A802-89DF12C55D72}"/>
    <cellStyle name="Normal 2 2 15 2" xfId="5769" xr:uid="{4CB304EE-6404-44F2-9F16-29D1180DB1C5}"/>
    <cellStyle name="Normal 2 2 150" xfId="5770" xr:uid="{CFCD5188-1A37-46CB-B8B9-ADF1D8B9DDCD}"/>
    <cellStyle name="Normal 2 2 151" xfId="5771" xr:uid="{5202A60D-CECF-4AFF-A570-6477843F95B0}"/>
    <cellStyle name="Normal 2 2 152" xfId="5772" xr:uid="{C0F3BD13-E16E-46BD-9076-ED5618BCEA07}"/>
    <cellStyle name="Normal 2 2 153" xfId="5773" xr:uid="{38496BA7-D79C-46C1-B0A2-3110A4B26312}"/>
    <cellStyle name="Normal 2 2 154" xfId="5774" xr:uid="{11D3A9CB-7520-4390-9792-3D6A98255C05}"/>
    <cellStyle name="Normal 2 2 155" xfId="5775" xr:uid="{F4025276-6279-4EC1-AAF3-E66671EC69E6}"/>
    <cellStyle name="Normal 2 2 156" xfId="5776" xr:uid="{6DC42A2D-F7F1-428E-AADE-F6498DAA3EBC}"/>
    <cellStyle name="Normal 2 2 157" xfId="5777" xr:uid="{8C666D50-FA25-4906-A14E-375769CD6F3C}"/>
    <cellStyle name="Normal 2 2 158" xfId="5778" xr:uid="{ACB7F337-E204-47E7-A6B0-7A2859729902}"/>
    <cellStyle name="Normal 2 2 159" xfId="5779" xr:uid="{D8C48774-EB86-4742-A3CE-214C84FCCE8B}"/>
    <cellStyle name="Normal 2 2 16" xfId="5780" xr:uid="{74BC4DE0-0AE1-462C-9BEE-C4B71D09F4B3}"/>
    <cellStyle name="Normal 2 2 16 2" xfId="5781" xr:uid="{566080ED-EE12-46E4-9957-A7A0A0356067}"/>
    <cellStyle name="Normal 2 2 160" xfId="5782" xr:uid="{8B4AFE03-DCBF-45B3-B3E0-1ED345035CD8}"/>
    <cellStyle name="Normal 2 2 161" xfId="5783" xr:uid="{E1DC0372-E294-4C4C-B8E9-FF7ECC687ECE}"/>
    <cellStyle name="Normal 2 2 161 2" xfId="5784" xr:uid="{0CC5E142-93FC-492F-B1FA-377F85D6198F}"/>
    <cellStyle name="Normal 2 2 161 3" xfId="5785" xr:uid="{8448AB0E-D2BE-4FC6-AC40-A7A1BA6A60C0}"/>
    <cellStyle name="Normal 2 2 161 4" xfId="5786" xr:uid="{FE1C1993-BA3C-43FA-B602-0BAB3A932763}"/>
    <cellStyle name="Normal 2 2 162" xfId="5787" xr:uid="{C68A4820-14BC-49FA-A13F-0D920BA9E095}"/>
    <cellStyle name="Normal 2 2 163" xfId="5788" xr:uid="{D91FB80B-383F-4A88-842A-701942DDC84B}"/>
    <cellStyle name="Normal 2 2 164" xfId="5789" xr:uid="{8784AB7E-A7FD-4F7B-A7BB-AC237220C870}"/>
    <cellStyle name="Normal 2 2 165" xfId="5790" xr:uid="{68DC88E3-3758-4CEB-9D67-8656F592D05F}"/>
    <cellStyle name="Normal 2 2 166" xfId="5791" xr:uid="{FE6FD5B4-F4F1-4EBB-A634-FB46EC932DE1}"/>
    <cellStyle name="Normal 2 2 167" xfId="5792" xr:uid="{49EA675A-1671-4A07-AA70-95BA325B5651}"/>
    <cellStyle name="Normal 2 2 168" xfId="5793" xr:uid="{3604A7E6-6EA0-4BE0-9658-F14BAB0E6FF3}"/>
    <cellStyle name="Normal 2 2 169" xfId="5794" xr:uid="{6FB4FF06-D48B-47E8-AA72-4E3932CA273F}"/>
    <cellStyle name="Normal 2 2 17" xfId="5795" xr:uid="{B6E3D65E-9AE2-44E3-8E22-7943DA2A9B14}"/>
    <cellStyle name="Normal 2 2 17 2" xfId="5796" xr:uid="{6FB10598-201E-439D-9E09-B939A312118A}"/>
    <cellStyle name="Normal 2 2 170" xfId="5797" xr:uid="{7A095D0B-B2C3-4D9B-8E77-5C4DB885D345}"/>
    <cellStyle name="Normal 2 2 171" xfId="5798" xr:uid="{5C02B3AE-9991-40D6-8CB6-12307DE659B3}"/>
    <cellStyle name="Normal 2 2 172" xfId="5799" xr:uid="{79FA959C-519F-4732-8A3D-F8B9D0A4277D}"/>
    <cellStyle name="Normal 2 2 173" xfId="5800" xr:uid="{16EEA620-AB73-468D-8B10-A36B5A815872}"/>
    <cellStyle name="Normal 2 2 174" xfId="5801" xr:uid="{8587E0BE-836B-413D-8DEF-22A7D8F9DF3A}"/>
    <cellStyle name="Normal 2 2 175" xfId="5802" xr:uid="{81A90756-B51F-44B6-9C2C-56BB448547B8}"/>
    <cellStyle name="Normal 2 2 176" xfId="5803" xr:uid="{DCA2480B-0DB0-4813-976F-2452923EE124}"/>
    <cellStyle name="Normal 2 2 177" xfId="5804" xr:uid="{D3C0A13C-0955-4711-9347-5F0F59E44982}"/>
    <cellStyle name="Normal 2 2 178" xfId="5805" xr:uid="{E54C8670-C3BE-4EFC-A702-1EDB5FAD23C4}"/>
    <cellStyle name="Normal 2 2 179" xfId="5806" xr:uid="{2C3BEBDA-4BD6-484A-8565-3A54F06E515C}"/>
    <cellStyle name="Normal 2 2 18" xfId="5807" xr:uid="{F4E29D53-9618-4271-A036-8D2499939FA5}"/>
    <cellStyle name="Normal 2 2 18 2" xfId="5808" xr:uid="{A9289044-4CC0-4818-93D8-B1BDA852C94C}"/>
    <cellStyle name="Normal 2 2 180" xfId="5809" xr:uid="{FCB8D029-8023-4B86-9A77-8C4F9817E731}"/>
    <cellStyle name="Normal 2 2 181" xfId="5810" xr:uid="{F0EDE9C3-9196-4ED9-8E1E-737F3268BFA3}"/>
    <cellStyle name="Normal 2 2 182" xfId="5811" xr:uid="{EEFD95B8-4FFF-4651-8E37-983D48306F51}"/>
    <cellStyle name="Normal 2 2 183" xfId="5812" xr:uid="{47BE6745-BACB-4D16-BD6E-720F1C7F656A}"/>
    <cellStyle name="Normal 2 2 184" xfId="5813" xr:uid="{B2954E74-137C-4CEB-B5C2-03A9D33FDE23}"/>
    <cellStyle name="Normal 2 2 185" xfId="5814" xr:uid="{9D9ED4D7-107A-488C-9BB0-DEB2C08C7593}"/>
    <cellStyle name="Normal 2 2 186" xfId="5815" xr:uid="{B337D4C8-8F4B-460B-B0F1-E811D2504643}"/>
    <cellStyle name="Normal 2 2 187" xfId="5816" xr:uid="{BA131936-83A0-4F30-AD86-20C253DC2685}"/>
    <cellStyle name="Normal 2 2 188" xfId="5817" xr:uid="{62697929-653F-4C7B-8E7E-0A853536398F}"/>
    <cellStyle name="Normal 2 2 189" xfId="5818" xr:uid="{C1F7B00D-53DF-4745-83CD-6C5FAFCB865A}"/>
    <cellStyle name="Normal 2 2 19" xfId="5819" xr:uid="{876987A7-D87B-4769-8416-5E966826C56F}"/>
    <cellStyle name="Normal 2 2 19 2" xfId="5820" xr:uid="{1D5AFA10-5C7F-48AB-A79B-4CB31E3C20C0}"/>
    <cellStyle name="Normal 2 2 190" xfId="5821" xr:uid="{C18105C0-523B-4BD8-BB69-25C4001E4B41}"/>
    <cellStyle name="Normal 2 2 191" xfId="5822" xr:uid="{EBB59555-4A6E-4FAF-B530-3F5E79A77BF1}"/>
    <cellStyle name="Normal 2 2 192" xfId="5823" xr:uid="{A1D0640C-0473-4394-906F-936A04342F5F}"/>
    <cellStyle name="Normal 2 2 193" xfId="5824" xr:uid="{BBC2A8F9-9EF5-4284-8119-AEFB993FEBC7}"/>
    <cellStyle name="Normal 2 2 194" xfId="5825" xr:uid="{8C253119-6982-4519-B0D8-546E7507ED25}"/>
    <cellStyle name="Normal 2 2 195" xfId="5826" xr:uid="{A19F6F0E-C235-4F98-BB2D-0BBD15565580}"/>
    <cellStyle name="Normal 2 2 196" xfId="5827" xr:uid="{F63E18CB-715F-4BBE-A5DD-C34FA1D040BA}"/>
    <cellStyle name="Normal 2 2 197" xfId="5828" xr:uid="{CEA88F1F-A92B-4718-ADFF-25656E2ACDE0}"/>
    <cellStyle name="Normal 2 2 198" xfId="5829" xr:uid="{6FD8D205-756C-41C2-A3D1-9F2EA87223D8}"/>
    <cellStyle name="Normal 2 2 199" xfId="5830" xr:uid="{D16A77DE-BAD5-4508-BA81-2B548AC1B964}"/>
    <cellStyle name="Normal 2 2 2" xfId="164" xr:uid="{ACA4633C-4D52-4500-A3C2-597A5F4138EC}"/>
    <cellStyle name="Normal 2 2 2 10" xfId="5832" xr:uid="{387729EE-C431-4914-BBF7-F7DB373992D0}"/>
    <cellStyle name="Normal 2 2 2 10 2" xfId="5833" xr:uid="{6F8F4679-6A3E-475E-822D-50C70112970C}"/>
    <cellStyle name="Normal 2 2 2 100" xfId="5834" xr:uid="{BE7B5940-C3B9-460B-95F6-37AFAFB24A83}"/>
    <cellStyle name="Normal 2 2 2 101" xfId="5835" xr:uid="{1A5403C4-60EC-47E2-A03F-28E41D71936D}"/>
    <cellStyle name="Normal 2 2 2 102" xfId="5836" xr:uid="{B1258C16-8CAE-4B1A-BDAD-349F7876C6C5}"/>
    <cellStyle name="Normal 2 2 2 103" xfId="5837" xr:uid="{05F8F105-33A6-4B93-8785-06137D875A84}"/>
    <cellStyle name="Normal 2 2 2 104" xfId="5838" xr:uid="{FBB671B0-B415-4927-B626-2A5061929721}"/>
    <cellStyle name="Normal 2 2 2 105" xfId="5839" xr:uid="{43B5891E-A668-4D74-A6C0-252F50FB1818}"/>
    <cellStyle name="Normal 2 2 2 106" xfId="5840" xr:uid="{E91CE70F-9ED1-446F-B6D1-CBE20565AEFE}"/>
    <cellStyle name="Normal 2 2 2 107" xfId="5841" xr:uid="{E2611C7F-6263-4EA8-A4B6-D4056F5B5F1B}"/>
    <cellStyle name="Normal 2 2 2 108" xfId="5842" xr:uid="{06D455C0-E96B-48C5-B77F-08D17D00A8CD}"/>
    <cellStyle name="Normal 2 2 2 109" xfId="5843" xr:uid="{AC7D6DC0-A58D-4840-A35D-2A04F9C7D8A7}"/>
    <cellStyle name="Normal 2 2 2 11" xfId="5844" xr:uid="{64B39B18-263C-4E21-B2AB-E831F5ADE7FC}"/>
    <cellStyle name="Normal 2 2 2 11 2" xfId="5845" xr:uid="{3BF36090-AAF2-4F8A-B730-75090D28D7C6}"/>
    <cellStyle name="Normal 2 2 2 110" xfId="5846" xr:uid="{E6C10724-FF55-4CA3-A43F-5C9BB15D2F9F}"/>
    <cellStyle name="Normal 2 2 2 111" xfId="5847" xr:uid="{A5FE3CC3-7896-4F4F-98F7-72F49A35E2D2}"/>
    <cellStyle name="Normal 2 2 2 112" xfId="5848" xr:uid="{8005F783-56FF-4B73-943F-150C757B188F}"/>
    <cellStyle name="Normal 2 2 2 113" xfId="5849" xr:uid="{AC2A8309-ADE7-4EF7-99DC-DA28027E4EB8}"/>
    <cellStyle name="Normal 2 2 2 114" xfId="5850" xr:uid="{C40CF01D-2136-4632-96C4-DEDAD075EDB9}"/>
    <cellStyle name="Normal 2 2 2 115" xfId="5851" xr:uid="{47B7B7BE-CBF3-4DC3-9F60-510C9EACC30B}"/>
    <cellStyle name="Normal 2 2 2 116" xfId="5852" xr:uid="{3B432548-9A25-4148-9FE1-3D65512046C2}"/>
    <cellStyle name="Normal 2 2 2 117" xfId="5853" xr:uid="{AFBC652D-EFC3-44A2-8297-00E617FAC9D6}"/>
    <cellStyle name="Normal 2 2 2 118" xfId="5854" xr:uid="{F8DA2596-466F-4416-AB3E-212A8717B101}"/>
    <cellStyle name="Normal 2 2 2 119" xfId="5855" xr:uid="{7F0D0E72-311E-47E3-8597-9406399506C5}"/>
    <cellStyle name="Normal 2 2 2 119 2" xfId="5856" xr:uid="{7F175BBD-7818-4352-874A-51CE94963C33}"/>
    <cellStyle name="Normal 2 2 2 119 3" xfId="5857" xr:uid="{17AB7605-1EE4-4D3D-AF51-43DE8DDD2F50}"/>
    <cellStyle name="Normal 2 2 2 119 4" xfId="5858" xr:uid="{DAABD14A-77C5-4181-9F6F-DA204026EF0D}"/>
    <cellStyle name="Normal 2 2 2 12" xfId="5859" xr:uid="{E826C9E9-A283-4F6E-BE00-854763D4BAA5}"/>
    <cellStyle name="Normal 2 2 2 12 10" xfId="5860" xr:uid="{B49C5189-7BB2-4463-9384-472E6FE03EDD}"/>
    <cellStyle name="Normal 2 2 2 12 2" xfId="5861" xr:uid="{DA1BBB2E-3EDE-4A25-9E62-5B709B47B644}"/>
    <cellStyle name="Normal 2 2 2 12 2 2" xfId="5862" xr:uid="{0D2F2CAF-0882-4AA6-9DEB-ECBB433B0397}"/>
    <cellStyle name="Normal 2 2 2 12 2 3" xfId="5863" xr:uid="{40FC9D85-63FD-4237-A5D6-C8207A7AA032}"/>
    <cellStyle name="Normal 2 2 2 12 2 4" xfId="5864" xr:uid="{A90B6BB5-9E9F-4B84-BF42-AFB6F14FF308}"/>
    <cellStyle name="Normal 2 2 2 12 2 5" xfId="5865" xr:uid="{6EE3184E-05D2-4217-A0E5-A6D084B8853E}"/>
    <cellStyle name="Normal 2 2 2 12 2 6" xfId="5866" xr:uid="{5B432346-6AD4-4FCE-A582-8311ED1C4591}"/>
    <cellStyle name="Normal 2 2 2 12 2 7" xfId="5867" xr:uid="{B308CD9D-6B41-41C4-A9A4-555A80658A62}"/>
    <cellStyle name="Normal 2 2 2 12 2 8" xfId="5868" xr:uid="{FFA3347F-38D0-475A-BCB4-51334C76A101}"/>
    <cellStyle name="Normal 2 2 2 12 2 9" xfId="5869" xr:uid="{48FDB1FC-A3D3-4498-91C6-5BA06A2FE100}"/>
    <cellStyle name="Normal 2 2 2 12 3" xfId="5870" xr:uid="{385829C4-03FA-4BC9-972F-7FAA54B0E0AA}"/>
    <cellStyle name="Normal 2 2 2 12 4" xfId="5871" xr:uid="{ECCC7CC4-5C92-401C-8299-093C92274EFF}"/>
    <cellStyle name="Normal 2 2 2 12 5" xfId="5872" xr:uid="{BA00198B-4D5D-4003-9874-B36AA79E449B}"/>
    <cellStyle name="Normal 2 2 2 12 6" xfId="5873" xr:uid="{45427778-0264-4476-9C45-29B6CDA5680F}"/>
    <cellStyle name="Normal 2 2 2 12 7" xfId="5874" xr:uid="{03EAB179-D01D-4312-970A-62C548838EEF}"/>
    <cellStyle name="Normal 2 2 2 12 8" xfId="5875" xr:uid="{75183865-E7D5-48FA-B7F8-712F044A27E3}"/>
    <cellStyle name="Normal 2 2 2 12 9" xfId="5876" xr:uid="{7941A44E-E7AE-4453-885E-703F98DA4FD4}"/>
    <cellStyle name="Normal 2 2 2 120" xfId="5877" xr:uid="{0CF60699-27C1-4A94-A470-BA59185DE913}"/>
    <cellStyle name="Normal 2 2 2 121" xfId="5878" xr:uid="{E2B9E110-E3F1-49EE-B601-B1E09BF7A63C}"/>
    <cellStyle name="Normal 2 2 2 122" xfId="5879" xr:uid="{81B04D1E-496E-4A27-9E26-44340878C602}"/>
    <cellStyle name="Normal 2 2 2 123" xfId="5831" xr:uid="{EBBE443F-1E83-4C64-A32B-C682FC09BA06}"/>
    <cellStyle name="Normal 2 2 2 13" xfId="5880" xr:uid="{472FA2D8-CB22-4437-848B-DBD7C603B540}"/>
    <cellStyle name="Normal 2 2 2 13 2" xfId="5881" xr:uid="{5E3E206E-EBF2-4634-A480-B76EE17197DA}"/>
    <cellStyle name="Normal 2 2 2 14" xfId="5882" xr:uid="{E8F40E24-6F9B-4796-AE2F-EB23BE3E4193}"/>
    <cellStyle name="Normal 2 2 2 14 2" xfId="5883" xr:uid="{6A479406-5DB3-4C38-ABE3-61A762D94D2A}"/>
    <cellStyle name="Normal 2 2 2 15" xfId="5884" xr:uid="{CB7AE6AB-FE61-42E8-A301-D89FAD449F4C}"/>
    <cellStyle name="Normal 2 2 2 15 2" xfId="5885" xr:uid="{7BD0772F-F369-42C4-A83E-B8E73196D952}"/>
    <cellStyle name="Normal 2 2 2 16" xfId="5886" xr:uid="{89C53501-C217-433D-9937-72E3EA7198A6}"/>
    <cellStyle name="Normal 2 2 2 16 2" xfId="5887" xr:uid="{1CA0D5CE-720C-44C9-8026-9D4AFA0D2E74}"/>
    <cellStyle name="Normal 2 2 2 17" xfId="5888" xr:uid="{9C54DECE-4364-46AA-9676-38BC3B4A720A}"/>
    <cellStyle name="Normal 2 2 2 17 2" xfId="5889" xr:uid="{4CBB2793-4956-4CE9-A2C7-BB94B062EA8D}"/>
    <cellStyle name="Normal 2 2 2 18" xfId="5890" xr:uid="{CC261297-78E0-46C3-A7EA-C65E2233157A}"/>
    <cellStyle name="Normal 2 2 2 18 2" xfId="5891" xr:uid="{C6CD738B-E5A1-4DBC-BE2A-F75E8142C52E}"/>
    <cellStyle name="Normal 2 2 2 19" xfId="5892" xr:uid="{EF7F7ACB-6C96-404A-84B7-36683ACDB7E9}"/>
    <cellStyle name="Normal 2 2 2 19 2" xfId="5893" xr:uid="{432DDBA5-1050-404C-B208-CAD6E3D76B6E}"/>
    <cellStyle name="Normal 2 2 2 2" xfId="5894" xr:uid="{F8E84FBB-466B-4DC7-BEFA-5B9F84F8A3DB}"/>
    <cellStyle name="Normal 2 2 2 2 10" xfId="5895" xr:uid="{CC3FF326-E9DF-4638-947F-1A755A3636CE}"/>
    <cellStyle name="Normal 2 2 2 2 10 2" xfId="5896" xr:uid="{6D7C91FD-8E51-41DA-9FFF-EA7F0C1B2C19}"/>
    <cellStyle name="Normal 2 2 2 2 100" xfId="5897" xr:uid="{AB2DBEBA-129E-4C1D-941E-2818E7B3BF9D}"/>
    <cellStyle name="Normal 2 2 2 2 101" xfId="5898" xr:uid="{4E5D319A-7FED-4F6C-BC99-49ED1E47E0B5}"/>
    <cellStyle name="Normal 2 2 2 2 102" xfId="5899" xr:uid="{B18CBFA8-DA24-443D-87C0-9988EA135A83}"/>
    <cellStyle name="Normal 2 2 2 2 103" xfId="5900" xr:uid="{48C1B039-0F15-4AA0-8414-9C9376585462}"/>
    <cellStyle name="Normal 2 2 2 2 104" xfId="5901" xr:uid="{1A949E86-24CE-4589-92CC-A32A3B8C27C6}"/>
    <cellStyle name="Normal 2 2 2 2 105" xfId="5902" xr:uid="{DE5E1AC7-B501-41BF-B0BB-90B786EF5153}"/>
    <cellStyle name="Normal 2 2 2 2 106" xfId="5903" xr:uid="{D2C8697C-31BC-4A78-A2CC-4D3A7A630458}"/>
    <cellStyle name="Normal 2 2 2 2 107" xfId="5904" xr:uid="{4C6A9793-B95C-4905-AB61-7E4223CB02E7}"/>
    <cellStyle name="Normal 2 2 2 2 108" xfId="5905" xr:uid="{5A1DC527-E90A-454C-9209-BC09573D37AF}"/>
    <cellStyle name="Normal 2 2 2 2 109" xfId="5906" xr:uid="{BD1CDE1C-827E-465B-A1A6-DAA172F0B3AF}"/>
    <cellStyle name="Normal 2 2 2 2 11" xfId="5907" xr:uid="{DF8189D4-16B8-4BA8-85A6-E5B4625A745F}"/>
    <cellStyle name="Normal 2 2 2 2 11 2" xfId="5908" xr:uid="{C87B2288-3B61-45D4-BA2D-BE69B6912BBA}"/>
    <cellStyle name="Normal 2 2 2 2 110" xfId="5909" xr:uid="{43BE3450-FDE6-41AC-A076-A5AFCF358217}"/>
    <cellStyle name="Normal 2 2 2 2 111" xfId="5910" xr:uid="{6D85E3C6-EB91-4F2F-A06E-C0C319E0198F}"/>
    <cellStyle name="Normal 2 2 2 2 112" xfId="5911" xr:uid="{CFC67474-57FE-4781-858C-B91C61DD0F53}"/>
    <cellStyle name="Normal 2 2 2 2 113" xfId="5912" xr:uid="{24D3A352-DC0D-4FE5-B846-B423E85CB62C}"/>
    <cellStyle name="Normal 2 2 2 2 114" xfId="5913" xr:uid="{4D594037-3662-4584-8E22-9DF28DDE028C}"/>
    <cellStyle name="Normal 2 2 2 2 115" xfId="5914" xr:uid="{071B2D7A-A21F-45AC-810C-E32FBC0B173C}"/>
    <cellStyle name="Normal 2 2 2 2 116" xfId="5915" xr:uid="{B4B29FA3-EF7B-4789-A319-A5CE54DA6F16}"/>
    <cellStyle name="Normal 2 2 2 2 117" xfId="5916" xr:uid="{513CF5AB-EE02-4000-B7B2-5642CC0F2187}"/>
    <cellStyle name="Normal 2 2 2 2 118" xfId="5917" xr:uid="{70F3BC02-42EF-4016-9229-7BFB33857B1A}"/>
    <cellStyle name="Normal 2 2 2 2 119" xfId="5918" xr:uid="{28F2741A-6305-4943-90D0-977C827CADCD}"/>
    <cellStyle name="Normal 2 2 2 2 119 2" xfId="5919" xr:uid="{4F44FD07-C071-49D7-ACB4-08954BD66AD9}"/>
    <cellStyle name="Normal 2 2 2 2 119 3" xfId="5920" xr:uid="{44327E65-AA4B-45F0-B0E6-6B93F1F3B774}"/>
    <cellStyle name="Normal 2 2 2 2 119 4" xfId="5921" xr:uid="{2D95B84C-59E2-49CE-9D51-2F066F6BD313}"/>
    <cellStyle name="Normal 2 2 2 2 12" xfId="5922" xr:uid="{ECC62EAB-85F3-4AF3-96FC-0DB2D0273105}"/>
    <cellStyle name="Normal 2 2 2 2 12 10" xfId="5923" xr:uid="{8FA9FA92-3D2A-4D1C-9D06-A524A488CA29}"/>
    <cellStyle name="Normal 2 2 2 2 12 2" xfId="5924" xr:uid="{4593D58B-D40C-45BD-ADAD-D7DBD2ACBBB1}"/>
    <cellStyle name="Normal 2 2 2 2 12 2 2" xfId="5925" xr:uid="{5EB8C3F8-7580-453A-82E7-A4A4D0F13ABE}"/>
    <cellStyle name="Normal 2 2 2 2 12 2 3" xfId="5926" xr:uid="{25CD6893-91BC-4230-B77B-C79D5993B4BB}"/>
    <cellStyle name="Normal 2 2 2 2 12 2 4" xfId="5927" xr:uid="{A63E5C57-576A-45A2-8A4D-BF5E80611CF9}"/>
    <cellStyle name="Normal 2 2 2 2 12 2 5" xfId="5928" xr:uid="{69FD1AD4-675A-4532-A911-E8202E0BBC5C}"/>
    <cellStyle name="Normal 2 2 2 2 12 2 6" xfId="5929" xr:uid="{FF8807C9-4BFC-40AC-9A94-D44032B71A6B}"/>
    <cellStyle name="Normal 2 2 2 2 12 2 7" xfId="5930" xr:uid="{2F92D9B8-1F8B-48E1-9267-055BF5989D54}"/>
    <cellStyle name="Normal 2 2 2 2 12 2 8" xfId="5931" xr:uid="{4669CBAA-A66F-4F57-9DB7-6F92214782D5}"/>
    <cellStyle name="Normal 2 2 2 2 12 2 9" xfId="5932" xr:uid="{7364DA2F-807E-46F3-8095-D2E7EA306E76}"/>
    <cellStyle name="Normal 2 2 2 2 12 3" xfId="5933" xr:uid="{8A602CFE-21E6-4FDD-AC22-D77A4EEB966E}"/>
    <cellStyle name="Normal 2 2 2 2 12 4" xfId="5934" xr:uid="{183D5FEE-CF1B-46FF-A69C-048B1B7518FD}"/>
    <cellStyle name="Normal 2 2 2 2 12 5" xfId="5935" xr:uid="{4E0F9328-D6A5-42C0-BD0E-DE9B396A6F67}"/>
    <cellStyle name="Normal 2 2 2 2 12 6" xfId="5936" xr:uid="{C8048240-2E93-41E1-B2DF-73408A723717}"/>
    <cellStyle name="Normal 2 2 2 2 12 7" xfId="5937" xr:uid="{09AC084E-06F2-4474-AAA9-40630EAAA3AF}"/>
    <cellStyle name="Normal 2 2 2 2 12 8" xfId="5938" xr:uid="{B15FF067-A458-47D3-8F6A-A2F64F1E7ED5}"/>
    <cellStyle name="Normal 2 2 2 2 12 9" xfId="5939" xr:uid="{F4EC7144-B009-4791-87CE-CA91A8F567B9}"/>
    <cellStyle name="Normal 2 2 2 2 120" xfId="5940" xr:uid="{D686BD0B-5C22-4462-BC80-7FD4DE7051F3}"/>
    <cellStyle name="Normal 2 2 2 2 121" xfId="5941" xr:uid="{5390F4BC-0D72-4BF1-A405-AD4506032415}"/>
    <cellStyle name="Normal 2 2 2 2 122" xfId="5942" xr:uid="{AE2A2832-BDAA-43FD-B0B5-B369F99A48B0}"/>
    <cellStyle name="Normal 2 2 2 2 13" xfId="5943" xr:uid="{86A3B105-8E6D-4D37-8819-79ECE51FC42F}"/>
    <cellStyle name="Normal 2 2 2 2 13 2" xfId="5944" xr:uid="{1C8D1941-08D5-4C96-8B18-992007828F97}"/>
    <cellStyle name="Normal 2 2 2 2 14" xfId="5945" xr:uid="{5E57D07B-24F0-42CC-88CF-27B48E45620A}"/>
    <cellStyle name="Normal 2 2 2 2 14 2" xfId="5946" xr:uid="{01D4B8C8-5A11-433D-9A41-FD57A1BAE5F3}"/>
    <cellStyle name="Normal 2 2 2 2 15" xfId="5947" xr:uid="{B2DB781F-9FAF-4E05-9429-62EBF6F9454C}"/>
    <cellStyle name="Normal 2 2 2 2 15 2" xfId="5948" xr:uid="{3F375318-75B1-48B2-9EB2-A34453FD8849}"/>
    <cellStyle name="Normal 2 2 2 2 16" xfId="5949" xr:uid="{1FA9E0B7-71EE-4CD9-A4D7-22974F879154}"/>
    <cellStyle name="Normal 2 2 2 2 16 2" xfId="5950" xr:uid="{E2918B91-F938-42E7-807F-38F7636D8596}"/>
    <cellStyle name="Normal 2 2 2 2 17" xfId="5951" xr:uid="{9005D467-7550-4F2A-BB4A-E437246DDEF2}"/>
    <cellStyle name="Normal 2 2 2 2 17 2" xfId="5952" xr:uid="{D9227FAD-1C24-4E41-977C-9AD27839B4CD}"/>
    <cellStyle name="Normal 2 2 2 2 18" xfId="5953" xr:uid="{1B631601-314B-4FF6-A375-A12900E0F8A1}"/>
    <cellStyle name="Normal 2 2 2 2 18 2" xfId="5954" xr:uid="{56DE445C-FBF0-4EFB-8A0A-2931C4F61C66}"/>
    <cellStyle name="Normal 2 2 2 2 19" xfId="5955" xr:uid="{1587D78F-1A53-4DEC-9FA6-18C9F7532DAD}"/>
    <cellStyle name="Normal 2 2 2 2 19 2" xfId="5956" xr:uid="{C88CDAC7-F5D4-4E98-8AB2-8FCA6EF05E6A}"/>
    <cellStyle name="Normal 2 2 2 2 2" xfId="5957" xr:uid="{48FC982D-ABE6-4CEA-92CE-E74D00410397}"/>
    <cellStyle name="Normal 2 2 2 2 2 10" xfId="5958" xr:uid="{DA891721-1196-49D0-B52C-6FE628F5282F}"/>
    <cellStyle name="Normal 2 2 2 2 2 100" xfId="5959" xr:uid="{2C6D6CB7-E125-4500-8B09-AD076EBFA584}"/>
    <cellStyle name="Normal 2 2 2 2 2 101" xfId="5960" xr:uid="{F18E1E24-5E7B-4B80-BCD2-CDE9464F9CA2}"/>
    <cellStyle name="Normal 2 2 2 2 2 102" xfId="5961" xr:uid="{A74823A2-A383-42E2-BB28-1342713E2A02}"/>
    <cellStyle name="Normal 2 2 2 2 2 103" xfId="5962" xr:uid="{7987405C-09AC-4C5B-A424-BE51D3A1F526}"/>
    <cellStyle name="Normal 2 2 2 2 2 104" xfId="5963" xr:uid="{39E96D08-30E6-44D5-8ECA-BA3E4FFAE525}"/>
    <cellStyle name="Normal 2 2 2 2 2 105" xfId="5964" xr:uid="{5D55ABF3-0266-4491-9525-A16A33DE5472}"/>
    <cellStyle name="Normal 2 2 2 2 2 106" xfId="5965" xr:uid="{58069427-F9EF-4F67-A258-815D2E61E3BF}"/>
    <cellStyle name="Normal 2 2 2 2 2 107" xfId="5966" xr:uid="{23CCCBFB-8BFB-4C37-9030-E5CD9733F7CC}"/>
    <cellStyle name="Normal 2 2 2 2 2 108" xfId="5967" xr:uid="{B3BBEA34-D80D-4E90-B295-383965281AD6}"/>
    <cellStyle name="Normal 2 2 2 2 2 109" xfId="5968" xr:uid="{1168057C-292C-42C7-A9A6-6902038DBB85}"/>
    <cellStyle name="Normal 2 2 2 2 2 109 2" xfId="5969" xr:uid="{58CDBAA3-1F30-4081-8D10-F7137C187B6B}"/>
    <cellStyle name="Normal 2 2 2 2 2 109 3" xfId="5970" xr:uid="{2D0EFD98-E9AD-46A1-BC51-896E53C79D4E}"/>
    <cellStyle name="Normal 2 2 2 2 2 109 4" xfId="5971" xr:uid="{D2A33EFA-BE10-4654-8F75-723D605AFEF9}"/>
    <cellStyle name="Normal 2 2 2 2 2 11" xfId="5972" xr:uid="{6CA07F9D-AF6C-49DB-A4F2-C18B679936A2}"/>
    <cellStyle name="Normal 2 2 2 2 2 110" xfId="5973" xr:uid="{555EF608-427B-4106-B378-EC389966F42F}"/>
    <cellStyle name="Normal 2 2 2 2 2 111" xfId="5974" xr:uid="{E1946573-8F64-4B1F-8CFD-27C89D1BA9BD}"/>
    <cellStyle name="Normal 2 2 2 2 2 112" xfId="5975" xr:uid="{130D886A-09D3-4FBF-8473-7A0747B37A1D}"/>
    <cellStyle name="Normal 2 2 2 2 2 12" xfId="5976" xr:uid="{BADF36C4-9809-4B26-ADD5-BBA00F08C89F}"/>
    <cellStyle name="Normal 2 2 2 2 2 13" xfId="5977" xr:uid="{62E49E92-05BE-4246-95B6-92802C39E0A5}"/>
    <cellStyle name="Normal 2 2 2 2 2 14" xfId="5978" xr:uid="{07F88466-BA3E-4400-8A9C-EF4CE36DFBA6}"/>
    <cellStyle name="Normal 2 2 2 2 2 15" xfId="5979" xr:uid="{256130D9-61D2-44FA-88B4-CF7CDDDE36D6}"/>
    <cellStyle name="Normal 2 2 2 2 2 16" xfId="5980" xr:uid="{53FA2E96-88FF-4330-A4DA-81F18EABD6D6}"/>
    <cellStyle name="Normal 2 2 2 2 2 17" xfId="5981" xr:uid="{1C3B347C-6A1C-4B3D-8118-3556FB81EE3C}"/>
    <cellStyle name="Normal 2 2 2 2 2 18" xfId="5982" xr:uid="{CBCF1105-6FE6-4AF6-BAA6-AE0A6AF1E7E7}"/>
    <cellStyle name="Normal 2 2 2 2 2 18 2" xfId="5983" xr:uid="{5B5109A7-7685-488D-81B4-B786E363709D}"/>
    <cellStyle name="Normal 2 2 2 2 2 18 2 2" xfId="5984" xr:uid="{06090030-C3D9-4912-B7A5-5C5AAE8E1067}"/>
    <cellStyle name="Normal 2 2 2 2 2 18 2 2 2" xfId="5985" xr:uid="{23F6DF35-F0EC-4D46-A516-6D4CFF06E25A}"/>
    <cellStyle name="Normal 2 2 2 2 2 18 3" xfId="5986" xr:uid="{5FB6099D-00F6-47DD-B24A-C798F7B8F7BF}"/>
    <cellStyle name="Normal 2 2 2 2 2 18 4" xfId="5987" xr:uid="{7297F2B7-C1D4-4F33-B964-34B64F27C5FA}"/>
    <cellStyle name="Normal 2 2 2 2 2 18 5" xfId="5988" xr:uid="{750B7AB1-B60F-4D1B-8669-69707FC81527}"/>
    <cellStyle name="Normal 2 2 2 2 2 18 6" xfId="5989" xr:uid="{1DCB6395-2736-4386-92B3-3B193C06D006}"/>
    <cellStyle name="Normal 2 2 2 2 2 19" xfId="5990" xr:uid="{6FA70CDE-C3A2-40EF-AB92-B385184CD74D}"/>
    <cellStyle name="Normal 2 2 2 2 2 19 2" xfId="5991" xr:uid="{94F82E50-AF5F-4439-A43E-BA934AA8ABB9}"/>
    <cellStyle name="Normal 2 2 2 2 2 19 2 2" xfId="5992" xr:uid="{F56B5423-E560-44C5-B220-63A28BEC1B1A}"/>
    <cellStyle name="Normal 2 2 2 2 2 2" xfId="5993" xr:uid="{655A1207-9184-47EF-9596-C39EA0558433}"/>
    <cellStyle name="Normal 2 2 2 2 2 2 10" xfId="5994" xr:uid="{73042583-B1C0-4025-9417-21EFF87D4233}"/>
    <cellStyle name="Normal 2 2 2 2 2 2 100" xfId="5995" xr:uid="{4DF52F9B-BA55-4E56-8B7B-ADB52132E4AD}"/>
    <cellStyle name="Normal 2 2 2 2 2 2 101" xfId="5996" xr:uid="{FD22A45C-DC38-44F0-9FAE-D497159D4331}"/>
    <cellStyle name="Normal 2 2 2 2 2 2 102" xfId="5997" xr:uid="{A7032757-0822-48D0-82BF-A2787DB37324}"/>
    <cellStyle name="Normal 2 2 2 2 2 2 103" xfId="5998" xr:uid="{C309AAFD-DE55-4AF9-BD31-A002D8FBA6E9}"/>
    <cellStyle name="Normal 2 2 2 2 2 2 104" xfId="5999" xr:uid="{24B1FA4F-71E6-487E-AD3B-3A22608D2E4F}"/>
    <cellStyle name="Normal 2 2 2 2 2 2 105" xfId="6000" xr:uid="{60128B6F-DA03-4EA2-B547-FFE06EED0A8C}"/>
    <cellStyle name="Normal 2 2 2 2 2 2 106" xfId="6001" xr:uid="{5EBB8269-13CB-4257-B413-0CE111642376}"/>
    <cellStyle name="Normal 2 2 2 2 2 2 107" xfId="6002" xr:uid="{80FC278D-668A-46EA-B533-6C54FEF08EA8}"/>
    <cellStyle name="Normal 2 2 2 2 2 2 108" xfId="6003" xr:uid="{532F6953-B4EA-422C-BA94-2CE339484510}"/>
    <cellStyle name="Normal 2 2 2 2 2 2 109" xfId="6004" xr:uid="{844A6D27-C871-427C-AE52-5E72F86AAFA1}"/>
    <cellStyle name="Normal 2 2 2 2 2 2 109 2" xfId="6005" xr:uid="{8A50F842-7908-4A03-BBC5-A79284BC4A29}"/>
    <cellStyle name="Normal 2 2 2 2 2 2 109 3" xfId="6006" xr:uid="{C0296222-0E8C-4E5E-8560-23FD336019E9}"/>
    <cellStyle name="Normal 2 2 2 2 2 2 109 4" xfId="6007" xr:uid="{6FF55A95-5F99-41A8-A635-2D768242B7B7}"/>
    <cellStyle name="Normal 2 2 2 2 2 2 11" xfId="6008" xr:uid="{4482A29F-DDD5-4BF5-9D66-3617058B852E}"/>
    <cellStyle name="Normal 2 2 2 2 2 2 110" xfId="6009" xr:uid="{3F6A8890-787E-469C-9BB4-D088CF975797}"/>
    <cellStyle name="Normal 2 2 2 2 2 2 111" xfId="6010" xr:uid="{C1B3359A-6AA2-43D1-ACBF-99D2BCE69AF7}"/>
    <cellStyle name="Normal 2 2 2 2 2 2 112" xfId="6011" xr:uid="{85EE358E-CCBE-428B-B4B5-CCA29F36A0F5}"/>
    <cellStyle name="Normal 2 2 2 2 2 2 12" xfId="6012" xr:uid="{E240C9B2-4786-428D-A3A8-A349C8E1972B}"/>
    <cellStyle name="Normal 2 2 2 2 2 2 13" xfId="6013" xr:uid="{35E1397E-E446-46B2-B983-8BC375BF055F}"/>
    <cellStyle name="Normal 2 2 2 2 2 2 14" xfId="6014" xr:uid="{5C88E912-7EB6-4528-9832-8C6D114ADC72}"/>
    <cellStyle name="Normal 2 2 2 2 2 2 15" xfId="6015" xr:uid="{5E6E3BEC-D31B-4A1D-9D7C-EB39E6602078}"/>
    <cellStyle name="Normal 2 2 2 2 2 2 16" xfId="6016" xr:uid="{8D6A04CD-FF90-44D7-8CF1-9DB6C50FEA12}"/>
    <cellStyle name="Normal 2 2 2 2 2 2 17" xfId="6017" xr:uid="{84DB19E5-CE73-44C4-856A-D3D08400618D}"/>
    <cellStyle name="Normal 2 2 2 2 2 2 18" xfId="6018" xr:uid="{44BE4B52-C461-40BD-9E93-C1E631D7A5BD}"/>
    <cellStyle name="Normal 2 2 2 2 2 2 18 2" xfId="6019" xr:uid="{6CCCC774-46B2-41D3-8D57-502290C7EEB0}"/>
    <cellStyle name="Normal 2 2 2 2 2 2 18 2 2" xfId="6020" xr:uid="{11049C62-FE58-47CE-8939-CC12F7EEDA9C}"/>
    <cellStyle name="Normal 2 2 2 2 2 2 18 2 2 2" xfId="6021" xr:uid="{B4F33C5D-A717-4CA9-B7C3-DA2DDF0F2845}"/>
    <cellStyle name="Normal 2 2 2 2 2 2 18 3" xfId="6022" xr:uid="{9100E015-36CF-44B9-BD6D-8717CDE82303}"/>
    <cellStyle name="Normal 2 2 2 2 2 2 18 4" xfId="6023" xr:uid="{2F4D5C39-6B21-4873-BB87-A7199D79117C}"/>
    <cellStyle name="Normal 2 2 2 2 2 2 18 5" xfId="6024" xr:uid="{614F792E-D869-4414-9A78-87A44F5C9EEC}"/>
    <cellStyle name="Normal 2 2 2 2 2 2 18 6" xfId="6025" xr:uid="{E8E913E8-3309-4439-B299-3AB97F963B0C}"/>
    <cellStyle name="Normal 2 2 2 2 2 2 19" xfId="6026" xr:uid="{616A284F-96B6-4F6D-B616-73187CB81DC2}"/>
    <cellStyle name="Normal 2 2 2 2 2 2 19 2" xfId="6027" xr:uid="{5E27506E-F95D-4D9C-AA6F-5BA3C2AE8400}"/>
    <cellStyle name="Normal 2 2 2 2 2 2 19 2 2" xfId="6028" xr:uid="{CFC21DD5-429F-4860-8039-01466C2641FF}"/>
    <cellStyle name="Normal 2 2 2 2 2 2 2" xfId="6029" xr:uid="{3D892781-22CD-492B-A849-50272B370276}"/>
    <cellStyle name="Normal 2 2 2 2 2 2 2 10" xfId="6030" xr:uid="{7AA8B560-5A57-43EE-A654-25AC083F6678}"/>
    <cellStyle name="Normal 2 2 2 2 2 2 2 10 2" xfId="6031" xr:uid="{1533509D-A4B5-4238-AE59-CD31BE8CDC3C}"/>
    <cellStyle name="Normal 2 2 2 2 2 2 2 10 2 2" xfId="6032" xr:uid="{ECC403EE-8AC5-4DCD-BC5C-755FE2030109}"/>
    <cellStyle name="Normal 2 2 2 2 2 2 2 10 2 2 2" xfId="6033" xr:uid="{583538C8-FF08-4296-94B2-F4E3E696928D}"/>
    <cellStyle name="Normal 2 2 2 2 2 2 2 10 3" xfId="6034" xr:uid="{1D15CFF0-9F32-4F32-B4B4-E49AC9710B57}"/>
    <cellStyle name="Normal 2 2 2 2 2 2 2 10 4" xfId="6035" xr:uid="{1B2EC172-C835-4283-87CF-54A3C04A3B73}"/>
    <cellStyle name="Normal 2 2 2 2 2 2 2 10 5" xfId="6036" xr:uid="{467FE1FC-C33B-46EB-8D87-95E0B04FEBF3}"/>
    <cellStyle name="Normal 2 2 2 2 2 2 2 10 6" xfId="6037" xr:uid="{1033FA38-EC60-4478-9985-6A6A91A8FEFF}"/>
    <cellStyle name="Normal 2 2 2 2 2 2 2 100" xfId="6038" xr:uid="{44F3E020-FF24-48FC-AC1A-0E8751548651}"/>
    <cellStyle name="Normal 2 2 2 2 2 2 2 101" xfId="6039" xr:uid="{4212FD22-C905-491E-A9F8-E06E61C59205}"/>
    <cellStyle name="Normal 2 2 2 2 2 2 2 101 2" xfId="6040" xr:uid="{1EA6B4FC-493A-4E67-9155-FE3A872A1584}"/>
    <cellStyle name="Normal 2 2 2 2 2 2 2 101 3" xfId="6041" xr:uid="{49CBE414-EEE4-444A-8F67-A0906437EF5A}"/>
    <cellStyle name="Normal 2 2 2 2 2 2 2 101 4" xfId="6042" xr:uid="{5BFBE33C-7536-4651-B76D-8F7E4F4CA55E}"/>
    <cellStyle name="Normal 2 2 2 2 2 2 2 102" xfId="6043" xr:uid="{F2AA2F73-1AEE-4B6C-ADD8-AEA303A14B03}"/>
    <cellStyle name="Normal 2 2 2 2 2 2 2 103" xfId="6044" xr:uid="{A5D3860C-6930-4076-90CE-09C218F6A875}"/>
    <cellStyle name="Normal 2 2 2 2 2 2 2 104" xfId="6045" xr:uid="{8FA91616-3360-460B-9CEA-83F9D0734366}"/>
    <cellStyle name="Normal 2 2 2 2 2 2 2 11" xfId="6046" xr:uid="{55471ADF-0A6F-4274-A0BB-1CF445CBA141}"/>
    <cellStyle name="Normal 2 2 2 2 2 2 2 11 2" xfId="6047" xr:uid="{6991D67F-F03A-4BF4-B5AA-5C1F41024EB4}"/>
    <cellStyle name="Normal 2 2 2 2 2 2 2 11 2 2" xfId="6048" xr:uid="{0AC7E360-281F-4D13-9553-2CE02DB85FA5}"/>
    <cellStyle name="Normal 2 2 2 2 2 2 2 12" xfId="6049" xr:uid="{F4AC7E95-8189-4EC8-976D-69C349750969}"/>
    <cellStyle name="Normal 2 2 2 2 2 2 2 13" xfId="6050" xr:uid="{CCAD5047-259F-43DE-BA02-55E948188F4D}"/>
    <cellStyle name="Normal 2 2 2 2 2 2 2 14" xfId="6051" xr:uid="{BA6CFA10-C0BF-42BC-86F1-015D7F99E9A5}"/>
    <cellStyle name="Normal 2 2 2 2 2 2 2 15" xfId="6052" xr:uid="{D5D493D9-3C5C-488D-9ABE-626FBB64F045}"/>
    <cellStyle name="Normal 2 2 2 2 2 2 2 16" xfId="6053" xr:uid="{7A1C8064-2773-42E4-8DD1-43E00E5AB975}"/>
    <cellStyle name="Normal 2 2 2 2 2 2 2 17" xfId="6054" xr:uid="{38AB0F11-F210-4FCF-990B-E9A568CFF28C}"/>
    <cellStyle name="Normal 2 2 2 2 2 2 2 18" xfId="6055" xr:uid="{D0BB8D2B-766C-4A55-B785-E3645DA8F0F0}"/>
    <cellStyle name="Normal 2 2 2 2 2 2 2 19" xfId="6056" xr:uid="{4EF1E91F-0A5D-445E-8608-86C0F5D2FD86}"/>
    <cellStyle name="Normal 2 2 2 2 2 2 2 2" xfId="6057" xr:uid="{F439A0D3-1143-4608-8CAD-DB918F9C57DA}"/>
    <cellStyle name="Normal 2 2 2 2 2 2 2 2 10" xfId="6058" xr:uid="{F276C7C4-AC9D-453E-BDFF-D663A5B8E2B3}"/>
    <cellStyle name="Normal 2 2 2 2 2 2 2 2 10 2" xfId="6059" xr:uid="{03D97DFF-B9E1-48B2-846D-62F6CAB81487}"/>
    <cellStyle name="Normal 2 2 2 2 2 2 2 2 10 2 2" xfId="6060" xr:uid="{C85AACB0-EC8F-4C98-9869-70CE72762315}"/>
    <cellStyle name="Normal 2 2 2 2 2 2 2 2 10 2 2 2" xfId="6061" xr:uid="{0513FB7C-1FE0-442D-B80D-DC65AC80E31D}"/>
    <cellStyle name="Normal 2 2 2 2 2 2 2 2 10 3" xfId="6062" xr:uid="{D6A577A7-D6CB-4999-A4CF-8702EAFCB2ED}"/>
    <cellStyle name="Normal 2 2 2 2 2 2 2 2 10 4" xfId="6063" xr:uid="{CE72A396-43B4-49E7-A098-7E24B04D63F7}"/>
    <cellStyle name="Normal 2 2 2 2 2 2 2 2 10 5" xfId="6064" xr:uid="{2E9B312C-94CE-4DE2-BD0A-DE329ABD3FA6}"/>
    <cellStyle name="Normal 2 2 2 2 2 2 2 2 10 6" xfId="6065" xr:uid="{639490F9-5420-4F31-BC30-09A1F25A8C6D}"/>
    <cellStyle name="Normal 2 2 2 2 2 2 2 2 100" xfId="6066" xr:uid="{CD3CD0D5-FC5C-48CE-A542-0FB946E0E9E6}"/>
    <cellStyle name="Normal 2 2 2 2 2 2 2 2 101" xfId="6067" xr:uid="{9C2EB731-2262-4262-979C-5CA58BD9DF7D}"/>
    <cellStyle name="Normal 2 2 2 2 2 2 2 2 101 2" xfId="6068" xr:uid="{E3F20906-8098-419B-A501-8A27DA63BFB9}"/>
    <cellStyle name="Normal 2 2 2 2 2 2 2 2 101 3" xfId="6069" xr:uid="{BE648DB5-0596-45CC-9098-163BD4833923}"/>
    <cellStyle name="Normal 2 2 2 2 2 2 2 2 101 4" xfId="6070" xr:uid="{C2033D6B-7322-4AE6-96B1-110695A14499}"/>
    <cellStyle name="Normal 2 2 2 2 2 2 2 2 102" xfId="6071" xr:uid="{CB059B62-09B1-45D6-BA9A-5FE44D7F1737}"/>
    <cellStyle name="Normal 2 2 2 2 2 2 2 2 103" xfId="6072" xr:uid="{205EE18C-563D-4F02-B1B1-88BCC01253C7}"/>
    <cellStyle name="Normal 2 2 2 2 2 2 2 2 104" xfId="6073" xr:uid="{84F7083E-3254-4B31-A74A-6090EB2D6133}"/>
    <cellStyle name="Normal 2 2 2 2 2 2 2 2 11" xfId="6074" xr:uid="{6FF88E49-AAD4-4150-B0F1-CECD6A350D29}"/>
    <cellStyle name="Normal 2 2 2 2 2 2 2 2 11 2" xfId="6075" xr:uid="{9CCCA5DB-A2E2-4BC9-A350-7FB4357559D8}"/>
    <cellStyle name="Normal 2 2 2 2 2 2 2 2 11 2 2" xfId="6076" xr:uid="{BC66E68B-5188-4A7F-9C33-3D5D61EE348F}"/>
    <cellStyle name="Normal 2 2 2 2 2 2 2 2 12" xfId="6077" xr:uid="{813172E4-CCD0-488E-A47D-A204C63067F0}"/>
    <cellStyle name="Normal 2 2 2 2 2 2 2 2 13" xfId="6078" xr:uid="{04C6A3EC-F1E0-4E9C-A677-2BEF1173E40A}"/>
    <cellStyle name="Normal 2 2 2 2 2 2 2 2 14" xfId="6079" xr:uid="{D019B19D-EDE1-48B5-A4E0-4BCA40192BCD}"/>
    <cellStyle name="Normal 2 2 2 2 2 2 2 2 15" xfId="6080" xr:uid="{35A57383-D9BE-4DB6-967E-7317019D29C1}"/>
    <cellStyle name="Normal 2 2 2 2 2 2 2 2 16" xfId="6081" xr:uid="{6A8DD125-46A3-4559-A923-17F2A17FF549}"/>
    <cellStyle name="Normal 2 2 2 2 2 2 2 2 17" xfId="6082" xr:uid="{BC2FBBBC-E625-4410-B500-232B91D1F841}"/>
    <cellStyle name="Normal 2 2 2 2 2 2 2 2 18" xfId="6083" xr:uid="{661DF15D-0E7B-4E39-8A60-800F55787E93}"/>
    <cellStyle name="Normal 2 2 2 2 2 2 2 2 19" xfId="6084" xr:uid="{79C9B115-E2D1-4CDD-9CFC-A484D40DF098}"/>
    <cellStyle name="Normal 2 2 2 2 2 2 2 2 2" xfId="6085" xr:uid="{3CF815E2-9329-473D-9A87-300F8D99C56D}"/>
    <cellStyle name="Normal 2 2 2 2 2 2 2 2 2 10" xfId="6086" xr:uid="{8EA75BF5-624A-4C3E-BFEE-F61386CA5652}"/>
    <cellStyle name="Normal 2 2 2 2 2 2 2 2 2 11" xfId="6087" xr:uid="{42BEE189-3DA7-4DE9-A28A-AF145195F80F}"/>
    <cellStyle name="Normal 2 2 2 2 2 2 2 2 2 12" xfId="6088" xr:uid="{150F0730-DE8C-420F-BFC4-B1B18D2CFC08}"/>
    <cellStyle name="Normal 2 2 2 2 2 2 2 2 2 13" xfId="6089" xr:uid="{3FFF0CDA-1A42-4F1A-8EE4-32C41EE9F838}"/>
    <cellStyle name="Normal 2 2 2 2 2 2 2 2 2 13 10" xfId="6090" xr:uid="{1974CF1E-E9B0-4A09-8D6C-29CCE3C531DC}"/>
    <cellStyle name="Normal 2 2 2 2 2 2 2 2 2 13 11" xfId="6091" xr:uid="{C04FD3DD-EEC7-4719-BB4E-77AFFEE44C37}"/>
    <cellStyle name="Normal 2 2 2 2 2 2 2 2 2 13 11 10" xfId="6092" xr:uid="{A1B46713-3DAF-4776-9EDC-4FA9FB758FE9}"/>
    <cellStyle name="Normal 2 2 2 2 2 2 2 2 2 13 11 11" xfId="6093" xr:uid="{6F2CC79E-BD05-4B50-87A2-6BA84A723C7C}"/>
    <cellStyle name="Normal 2 2 2 2 2 2 2 2 2 13 11 11 2" xfId="6094" xr:uid="{E6B78B2D-0255-4094-B03A-8AE529C3A69C}"/>
    <cellStyle name="Normal 2 2 2 2 2 2 2 2 2 13 11 11 3" xfId="6095" xr:uid="{1C647EF5-4E68-46E5-8345-BC8A744A1936}"/>
    <cellStyle name="Normal 2 2 2 2 2 2 2 2 2 13 11 11 4" xfId="6096" xr:uid="{663806A7-CD95-4663-989F-288F7B21AE47}"/>
    <cellStyle name="Normal 2 2 2 2 2 2 2 2 2 13 11 12" xfId="6097" xr:uid="{AD71ADCB-6B1F-46FF-941A-8CD962230422}"/>
    <cellStyle name="Normal 2 2 2 2 2 2 2 2 2 13 11 13" xfId="6098" xr:uid="{25B4423C-FAC6-4AA6-94EA-2DDBE3F268CD}"/>
    <cellStyle name="Normal 2 2 2 2 2 2 2 2 2 13 11 14" xfId="6099" xr:uid="{F7D19088-F673-47DA-86FC-DB422C9CDF25}"/>
    <cellStyle name="Normal 2 2 2 2 2 2 2 2 2 13 11 2" xfId="6100" xr:uid="{56EEBB33-A5E5-4104-87E3-CF2103BAF6E8}"/>
    <cellStyle name="Normal 2 2 2 2 2 2 2 2 2 13 11 2 10" xfId="6101" xr:uid="{4B587F31-A88E-4EE7-A32E-6AE2AADD1B1B}"/>
    <cellStyle name="Normal 2 2 2 2 2 2 2 2 2 13 11 2 11" xfId="6102" xr:uid="{C26D3396-337E-4E51-9900-A50047ABA14A}"/>
    <cellStyle name="Normal 2 2 2 2 2 2 2 2 2 13 11 2 2" xfId="6103" xr:uid="{50BFCF94-02BD-464D-B914-0EAF597EA663}"/>
    <cellStyle name="Normal 2 2 2 2 2 2 2 2 2 13 11 2 2 10" xfId="6104" xr:uid="{BFDA9D3E-EB30-41B1-95CA-536DABCB35D1}"/>
    <cellStyle name="Normal 2 2 2 2 2 2 2 2 2 13 11 2 2 11" xfId="6105" xr:uid="{69B245F6-7A75-4A4E-BEBB-015C4AEAD423}"/>
    <cellStyle name="Normal 2 2 2 2 2 2 2 2 2 13 11 2 2 2" xfId="6106" xr:uid="{3EE73AC8-DFE1-47D2-85AA-427F7EB135F2}"/>
    <cellStyle name="Normal 2 2 2 2 2 2 2 2 2 13 11 2 2 2 2" xfId="6107" xr:uid="{69CFA961-EFA4-4A68-94A7-53C2C39CD256}"/>
    <cellStyle name="Normal 2 2 2 2 2 2 2 2 2 13 11 2 2 2 2 2" xfId="6108" xr:uid="{A17FC3E1-B96F-4912-B6C0-07D95C645E2A}"/>
    <cellStyle name="Normal 2 2 2 2 2 2 2 2 2 13 11 2 2 2 2 3" xfId="6109" xr:uid="{86C5F710-C5F1-48CC-B274-F1DE78775397}"/>
    <cellStyle name="Normal 2 2 2 2 2 2 2 2 2 13 11 2 2 2 2 4" xfId="6110" xr:uid="{C6B518DC-9ED1-4C3C-8C17-A5B4187BD2B7}"/>
    <cellStyle name="Normal 2 2 2 2 2 2 2 2 2 13 11 2 2 2 3" xfId="6111" xr:uid="{A6DEFBEB-90CA-4EF3-9D9B-3C96B5A48478}"/>
    <cellStyle name="Normal 2 2 2 2 2 2 2 2 2 13 11 2 2 2 4" xfId="6112" xr:uid="{0598AA5B-33C0-4DBB-8E79-B8C3C3AD199B}"/>
    <cellStyle name="Normal 2 2 2 2 2 2 2 2 2 13 11 2 2 2 5" xfId="6113" xr:uid="{4B0A8692-748F-4C3F-9547-4802DEB2D01E}"/>
    <cellStyle name="Normal 2 2 2 2 2 2 2 2 2 13 11 2 2 2 6" xfId="6114" xr:uid="{C338F0EA-F6AF-48BE-B0DA-86B80D98D148}"/>
    <cellStyle name="Normal 2 2 2 2 2 2 2 2 2 13 11 2 2 3" xfId="6115" xr:uid="{BC8ED464-AB6D-4B48-B05E-23C78E89172E}"/>
    <cellStyle name="Normal 2 2 2 2 2 2 2 2 2 13 11 2 2 4" xfId="6116" xr:uid="{7D01BD01-A663-4859-95C5-7346309C122E}"/>
    <cellStyle name="Normal 2 2 2 2 2 2 2 2 2 13 11 2 2 5" xfId="6117" xr:uid="{8FA9164A-E5F5-43DE-8D4C-7E044CF15AA8}"/>
    <cellStyle name="Normal 2 2 2 2 2 2 2 2 2 13 11 2 2 6" xfId="6118" xr:uid="{BA5FFEFC-B556-421F-8CE6-253F230C205C}"/>
    <cellStyle name="Normal 2 2 2 2 2 2 2 2 2 13 11 2 2 7" xfId="6119" xr:uid="{673559D2-39B6-4821-9381-67A8D20E9BF8}"/>
    <cellStyle name="Normal 2 2 2 2 2 2 2 2 2 13 11 2 2 8" xfId="6120" xr:uid="{CF97F815-E4AF-466B-9A5E-0D4639BECC0F}"/>
    <cellStyle name="Normal 2 2 2 2 2 2 2 2 2 13 11 2 2 8 2" xfId="6121" xr:uid="{10B693B6-C171-4D68-A7FB-648DAB9F85D2}"/>
    <cellStyle name="Normal 2 2 2 2 2 2 2 2 2 13 11 2 2 8 3" xfId="6122" xr:uid="{6DEDB6D4-7B35-45C7-A4F9-85922A40D4E0}"/>
    <cellStyle name="Normal 2 2 2 2 2 2 2 2 2 13 11 2 2 8 4" xfId="6123" xr:uid="{64DCB8E9-ABF3-4145-A9BB-E05CDF5DE0B7}"/>
    <cellStyle name="Normal 2 2 2 2 2 2 2 2 2 13 11 2 2 9" xfId="6124" xr:uid="{408B9D76-D087-46A5-8EF1-56B7B6570AC6}"/>
    <cellStyle name="Normal 2 2 2 2 2 2 2 2 2 13 11 2 3" xfId="6125" xr:uid="{A33C6509-BF53-4598-B273-F0799B0BE474}"/>
    <cellStyle name="Normal 2 2 2 2 2 2 2 2 2 13 11 2 3 2" xfId="6126" xr:uid="{2C561B0F-1BA1-4DC3-8114-1BE7C0C79336}"/>
    <cellStyle name="Normal 2 2 2 2 2 2 2 2 2 13 11 2 3 2 2" xfId="6127" xr:uid="{7E8A3ED5-C790-41D5-A3A6-288E8E9514A5}"/>
    <cellStyle name="Normal 2 2 2 2 2 2 2 2 2 13 11 2 3 2 3" xfId="6128" xr:uid="{07F16C7A-3715-4764-AD33-403D4EB0A3DE}"/>
    <cellStyle name="Normal 2 2 2 2 2 2 2 2 2 13 11 2 3 2 4" xfId="6129" xr:uid="{B1D4493F-121B-4D89-B7C0-37C6F7804E15}"/>
    <cellStyle name="Normal 2 2 2 2 2 2 2 2 2 13 11 2 3 3" xfId="6130" xr:uid="{D00885EE-E746-41ED-9C85-8667B324482D}"/>
    <cellStyle name="Normal 2 2 2 2 2 2 2 2 2 13 11 2 3 4" xfId="6131" xr:uid="{3A53AB80-716F-47AC-BF7D-A9681AFB3E39}"/>
    <cellStyle name="Normal 2 2 2 2 2 2 2 2 2 13 11 2 3 5" xfId="6132" xr:uid="{149E9015-A7C7-4A62-BB42-1E3E2353A2D7}"/>
    <cellStyle name="Normal 2 2 2 2 2 2 2 2 2 13 11 2 3 6" xfId="6133" xr:uid="{103ED3F9-9E18-4AE4-8589-A3D3875F8BB3}"/>
    <cellStyle name="Normal 2 2 2 2 2 2 2 2 2 13 11 2 4" xfId="6134" xr:uid="{5D2915DD-3527-4A7E-8F9B-C1073629C991}"/>
    <cellStyle name="Normal 2 2 2 2 2 2 2 2 2 13 11 2 5" xfId="6135" xr:uid="{C794A323-C1E8-424C-AA86-7C9EEAB42AC9}"/>
    <cellStyle name="Normal 2 2 2 2 2 2 2 2 2 13 11 2 6" xfId="6136" xr:uid="{3632D97C-2534-4FBC-A44D-C075A923936A}"/>
    <cellStyle name="Normal 2 2 2 2 2 2 2 2 2 13 11 2 7" xfId="6137" xr:uid="{D61FA78A-402E-4C70-8DE5-29E168E1FF4D}"/>
    <cellStyle name="Normal 2 2 2 2 2 2 2 2 2 13 11 2 8" xfId="6138" xr:uid="{B089D600-0D14-4D7A-8347-9AD2C6E7C591}"/>
    <cellStyle name="Normal 2 2 2 2 2 2 2 2 2 13 11 2 8 2" xfId="6139" xr:uid="{5158397A-5F20-4907-8D38-59F08B2E5E27}"/>
    <cellStyle name="Normal 2 2 2 2 2 2 2 2 2 13 11 2 8 3" xfId="6140" xr:uid="{B67DF4F1-4426-477B-AD8D-D49E39F03B84}"/>
    <cellStyle name="Normal 2 2 2 2 2 2 2 2 2 13 11 2 8 4" xfId="6141" xr:uid="{AA20B03A-D11D-484E-BD46-E0AFCA6F52C0}"/>
    <cellStyle name="Normal 2 2 2 2 2 2 2 2 2 13 11 2 9" xfId="6142" xr:uid="{62C9C4DE-A326-4E25-9E0D-7E4945791EEF}"/>
    <cellStyle name="Normal 2 2 2 2 2 2 2 2 2 13 11 3" xfId="6143" xr:uid="{D7403FD9-0503-457E-A46E-1918D7F0DEDD}"/>
    <cellStyle name="Normal 2 2 2 2 2 2 2 2 2 13 11 4" xfId="6144" xr:uid="{D39C73B0-4D1C-48CB-82D5-7042C5EEE4F0}"/>
    <cellStyle name="Normal 2 2 2 2 2 2 2 2 2 13 11 5" xfId="6145" xr:uid="{EFE956E7-BC86-4ABC-A490-1FDD5C3F1AC8}"/>
    <cellStyle name="Normal 2 2 2 2 2 2 2 2 2 13 11 5 2" xfId="6146" xr:uid="{81CF48AB-B7B8-4B92-8D58-B83B97A4A960}"/>
    <cellStyle name="Normal 2 2 2 2 2 2 2 2 2 13 11 5 2 2" xfId="6147" xr:uid="{35176294-DE6D-47F5-BD24-7145DE3FD5F2}"/>
    <cellStyle name="Normal 2 2 2 2 2 2 2 2 2 13 11 5 2 3" xfId="6148" xr:uid="{3AA4D6E1-BA98-4E71-85BD-4466B21FDF0B}"/>
    <cellStyle name="Normal 2 2 2 2 2 2 2 2 2 13 11 5 2 4" xfId="6149" xr:uid="{F2158B7B-498F-40E0-8871-84307A1F1B48}"/>
    <cellStyle name="Normal 2 2 2 2 2 2 2 2 2 13 11 5 3" xfId="6150" xr:uid="{CFDE507C-1C02-4DD8-8034-0EE939C530E2}"/>
    <cellStyle name="Normal 2 2 2 2 2 2 2 2 2 13 11 5 4" xfId="6151" xr:uid="{873985A9-EE28-4318-B374-E97819839587}"/>
    <cellStyle name="Normal 2 2 2 2 2 2 2 2 2 13 11 5 5" xfId="6152" xr:uid="{8CCE0CB9-A030-4A55-AC0A-3E9FC3049F98}"/>
    <cellStyle name="Normal 2 2 2 2 2 2 2 2 2 13 11 5 6" xfId="6153" xr:uid="{07070F99-AA90-4C71-B13A-D0A2310CC474}"/>
    <cellStyle name="Normal 2 2 2 2 2 2 2 2 2 13 11 6" xfId="6154" xr:uid="{5E974D7B-1FA3-46DE-A830-426E64DA087A}"/>
    <cellStyle name="Normal 2 2 2 2 2 2 2 2 2 13 11 7" xfId="6155" xr:uid="{4E6B53C2-45D9-41D9-9F3A-7FEAF1C6E738}"/>
    <cellStyle name="Normal 2 2 2 2 2 2 2 2 2 13 11 8" xfId="6156" xr:uid="{0C99BD2B-40F4-47B0-BB41-789923A9F874}"/>
    <cellStyle name="Normal 2 2 2 2 2 2 2 2 2 13 11 9" xfId="6157" xr:uid="{4292D0E3-DE2B-45CA-B620-755931DCDB03}"/>
    <cellStyle name="Normal 2 2 2 2 2 2 2 2 2 13 12" xfId="6158" xr:uid="{8ACD5C0A-0A58-4643-96A2-9E5468B02DC2}"/>
    <cellStyle name="Normal 2 2 2 2 2 2 2 2 2 13 13" xfId="6159" xr:uid="{9FE11E4F-3E1D-4710-87EB-60AC9279F543}"/>
    <cellStyle name="Normal 2 2 2 2 2 2 2 2 2 13 13 10" xfId="6160" xr:uid="{A3219516-5453-4E9B-8417-CB92D98A0145}"/>
    <cellStyle name="Normal 2 2 2 2 2 2 2 2 2 13 13 11" xfId="6161" xr:uid="{4060567A-652E-4E6D-A09E-82B12BD5767E}"/>
    <cellStyle name="Normal 2 2 2 2 2 2 2 2 2 13 13 2" xfId="6162" xr:uid="{839C051D-B8AA-44DE-9B83-29E5CC71962F}"/>
    <cellStyle name="Normal 2 2 2 2 2 2 2 2 2 13 13 2 10" xfId="6163" xr:uid="{B79D274E-8888-4261-B973-456E7706381D}"/>
    <cellStyle name="Normal 2 2 2 2 2 2 2 2 2 13 13 2 11" xfId="6164" xr:uid="{AB32D26E-C65D-4D74-ABC6-4FCAAF804310}"/>
    <cellStyle name="Normal 2 2 2 2 2 2 2 2 2 13 13 2 2" xfId="6165" xr:uid="{0EEED0FA-63F3-447B-A83C-AA6244537637}"/>
    <cellStyle name="Normal 2 2 2 2 2 2 2 2 2 13 13 2 2 2" xfId="6166" xr:uid="{D7BD2BA3-FB11-43E7-9CA3-B99CEDB61E8C}"/>
    <cellStyle name="Normal 2 2 2 2 2 2 2 2 2 13 13 2 2 2 2" xfId="6167" xr:uid="{5E6BD4ED-8A1D-484E-A286-178F6D862F32}"/>
    <cellStyle name="Normal 2 2 2 2 2 2 2 2 2 13 13 2 2 2 3" xfId="6168" xr:uid="{C04DD58F-81C6-4CED-9D00-1E3BB49DB7A1}"/>
    <cellStyle name="Normal 2 2 2 2 2 2 2 2 2 13 13 2 2 2 4" xfId="6169" xr:uid="{E07F83D6-ED9E-44B1-8E79-4F0D3285180D}"/>
    <cellStyle name="Normal 2 2 2 2 2 2 2 2 2 13 13 2 2 3" xfId="6170" xr:uid="{8BE3CAF0-AF7E-4BC7-B1D6-534FC8F66DCD}"/>
    <cellStyle name="Normal 2 2 2 2 2 2 2 2 2 13 13 2 2 4" xfId="6171" xr:uid="{38EC0AA7-37A8-460E-983C-E79EF986809B}"/>
    <cellStyle name="Normal 2 2 2 2 2 2 2 2 2 13 13 2 2 5" xfId="6172" xr:uid="{F0C20F44-BBC3-489E-B80B-E2ABD29F02F1}"/>
    <cellStyle name="Normal 2 2 2 2 2 2 2 2 2 13 13 2 2 6" xfId="6173" xr:uid="{EBB2E7F7-25D6-4E57-90AF-D9C9D53596C3}"/>
    <cellStyle name="Normal 2 2 2 2 2 2 2 2 2 13 13 2 3" xfId="6174" xr:uid="{0EE537C6-0277-475D-929B-B864F8EC6CC7}"/>
    <cellStyle name="Normal 2 2 2 2 2 2 2 2 2 13 13 2 4" xfId="6175" xr:uid="{37819606-21FB-4E60-A0B8-DD82E7AAB5A2}"/>
    <cellStyle name="Normal 2 2 2 2 2 2 2 2 2 13 13 2 5" xfId="6176" xr:uid="{0A92DF74-14FF-4AA2-9112-B63F846C8EE9}"/>
    <cellStyle name="Normal 2 2 2 2 2 2 2 2 2 13 13 2 6" xfId="6177" xr:uid="{7DCE8F29-BAB8-48CC-AA6F-57F80E696463}"/>
    <cellStyle name="Normal 2 2 2 2 2 2 2 2 2 13 13 2 7" xfId="6178" xr:uid="{23AFFD6B-71FB-459F-BC7E-BCF1FE5EFA80}"/>
    <cellStyle name="Normal 2 2 2 2 2 2 2 2 2 13 13 2 8" xfId="6179" xr:uid="{4881336C-2E42-4F33-A3A4-69A0E6B5DBFB}"/>
    <cellStyle name="Normal 2 2 2 2 2 2 2 2 2 13 13 2 8 2" xfId="6180" xr:uid="{498088E6-78A9-4FBC-B56F-F3CDD8E6C82B}"/>
    <cellStyle name="Normal 2 2 2 2 2 2 2 2 2 13 13 2 8 3" xfId="6181" xr:uid="{A4DC7456-FA34-49CD-9180-C791D97C319E}"/>
    <cellStyle name="Normal 2 2 2 2 2 2 2 2 2 13 13 2 8 4" xfId="6182" xr:uid="{E7B9438C-5CF4-4998-99DD-E91DD34C45BC}"/>
    <cellStyle name="Normal 2 2 2 2 2 2 2 2 2 13 13 2 9" xfId="6183" xr:uid="{58657913-718B-4B07-B68B-40CE66B395C3}"/>
    <cellStyle name="Normal 2 2 2 2 2 2 2 2 2 13 13 3" xfId="6184" xr:uid="{70B2A845-D251-4DC4-B929-E95EC9F34BF7}"/>
    <cellStyle name="Normal 2 2 2 2 2 2 2 2 2 13 13 3 2" xfId="6185" xr:uid="{7F26458C-F774-456C-920B-2FD44E83B61A}"/>
    <cellStyle name="Normal 2 2 2 2 2 2 2 2 2 13 13 3 2 2" xfId="6186" xr:uid="{E9AF1BDE-9C35-498B-A0D2-0814542076B4}"/>
    <cellStyle name="Normal 2 2 2 2 2 2 2 2 2 13 13 3 2 3" xfId="6187" xr:uid="{59D76376-C5AA-4198-BBFA-AB317EEA02E7}"/>
    <cellStyle name="Normal 2 2 2 2 2 2 2 2 2 13 13 3 2 4" xfId="6188" xr:uid="{C015927E-B252-4913-BFE0-C5A46CFFA200}"/>
    <cellStyle name="Normal 2 2 2 2 2 2 2 2 2 13 13 3 3" xfId="6189" xr:uid="{EF268D16-86F3-4771-A85D-EC324097C386}"/>
    <cellStyle name="Normal 2 2 2 2 2 2 2 2 2 13 13 3 4" xfId="6190" xr:uid="{BA2C1034-F5B0-40A9-AFA6-B6F2678DEC0C}"/>
    <cellStyle name="Normal 2 2 2 2 2 2 2 2 2 13 13 3 5" xfId="6191" xr:uid="{9F8D651F-24F0-408C-A187-AF29CCE05506}"/>
    <cellStyle name="Normal 2 2 2 2 2 2 2 2 2 13 13 3 6" xfId="6192" xr:uid="{430023BB-739C-420D-89A5-485F1B6CB008}"/>
    <cellStyle name="Normal 2 2 2 2 2 2 2 2 2 13 13 4" xfId="6193" xr:uid="{A0344209-73CA-49BD-85C2-FEE88A7135C2}"/>
    <cellStyle name="Normal 2 2 2 2 2 2 2 2 2 13 13 5" xfId="6194" xr:uid="{0474C6AA-9261-42ED-860B-FC099DD1AAED}"/>
    <cellStyle name="Normal 2 2 2 2 2 2 2 2 2 13 13 6" xfId="6195" xr:uid="{8E5DB0D3-2490-43A5-A2AB-5EB723401A14}"/>
    <cellStyle name="Normal 2 2 2 2 2 2 2 2 2 13 13 7" xfId="6196" xr:uid="{A5695E82-F3A1-40C9-A15B-0EB7CB02B2CA}"/>
    <cellStyle name="Normal 2 2 2 2 2 2 2 2 2 13 13 8" xfId="6197" xr:uid="{78B092BF-3BC6-430F-B9C5-464D9D33A3A6}"/>
    <cellStyle name="Normal 2 2 2 2 2 2 2 2 2 13 13 8 2" xfId="6198" xr:uid="{B2D9A351-8982-4F12-BA30-F22AD640F567}"/>
    <cellStyle name="Normal 2 2 2 2 2 2 2 2 2 13 13 8 3" xfId="6199" xr:uid="{A890A230-43F9-450A-996A-C46EC1AB92CA}"/>
    <cellStyle name="Normal 2 2 2 2 2 2 2 2 2 13 13 8 4" xfId="6200" xr:uid="{E3865714-766A-46A6-8005-B12BABD87417}"/>
    <cellStyle name="Normal 2 2 2 2 2 2 2 2 2 13 13 9" xfId="6201" xr:uid="{3C64E192-912B-4B34-84BF-7C7BD8F81C86}"/>
    <cellStyle name="Normal 2 2 2 2 2 2 2 2 2 13 14" xfId="6202" xr:uid="{308392BD-097A-44FE-B9EB-7E45C1F43624}"/>
    <cellStyle name="Normal 2 2 2 2 2 2 2 2 2 13 15" xfId="6203" xr:uid="{16AD23F5-3424-4208-8A37-F27F5922876A}"/>
    <cellStyle name="Normal 2 2 2 2 2 2 2 2 2 13 15 2" xfId="6204" xr:uid="{4258E783-3551-4A85-B122-FD103317F611}"/>
    <cellStyle name="Normal 2 2 2 2 2 2 2 2 2 13 15 2 2" xfId="6205" xr:uid="{CB7BF358-A07E-4A5C-9B2B-EB9C72AF5896}"/>
    <cellStyle name="Normal 2 2 2 2 2 2 2 2 2 13 15 2 3" xfId="6206" xr:uid="{D5ADD749-75CA-4652-B40C-4256CF039412}"/>
    <cellStyle name="Normal 2 2 2 2 2 2 2 2 2 13 15 2 4" xfId="6207" xr:uid="{208DE90C-7322-488C-9924-B6081B0D6735}"/>
    <cellStyle name="Normal 2 2 2 2 2 2 2 2 2 13 15 3" xfId="6208" xr:uid="{C6B76D36-B475-4516-B66E-7E58796E79E0}"/>
    <cellStyle name="Normal 2 2 2 2 2 2 2 2 2 13 15 4" xfId="6209" xr:uid="{14025A03-AE99-4C0B-BB6D-E8ED3ABEF9B3}"/>
    <cellStyle name="Normal 2 2 2 2 2 2 2 2 2 13 15 5" xfId="6210" xr:uid="{C1E2396F-2F22-4C76-8F7C-0BFADF37BCA9}"/>
    <cellStyle name="Normal 2 2 2 2 2 2 2 2 2 13 15 6" xfId="6211" xr:uid="{6EC9DA44-B2BF-47EF-9BF8-EC3C2319F82B}"/>
    <cellStyle name="Normal 2 2 2 2 2 2 2 2 2 13 16" xfId="6212" xr:uid="{0204227C-4112-4091-A112-E042EB8F6AFB}"/>
    <cellStyle name="Normal 2 2 2 2 2 2 2 2 2 13 17" xfId="6213" xr:uid="{10260D6A-A3C5-454B-9720-6350A1AD4725}"/>
    <cellStyle name="Normal 2 2 2 2 2 2 2 2 2 13 18" xfId="6214" xr:uid="{2EF515F0-EE0B-48B4-9136-9F56329BF3F9}"/>
    <cellStyle name="Normal 2 2 2 2 2 2 2 2 2 13 19" xfId="6215" xr:uid="{6C7F6ADA-F4A2-430A-93F3-291CCBFAB640}"/>
    <cellStyle name="Normal 2 2 2 2 2 2 2 2 2 13 2" xfId="6216" xr:uid="{D69769E5-8229-4A84-879A-E78CDD6E6DEB}"/>
    <cellStyle name="Normal 2 2 2 2 2 2 2 2 2 13 2 10" xfId="6217" xr:uid="{D7D96D56-25B6-462C-ACB0-ABFE243C882D}"/>
    <cellStyle name="Normal 2 2 2 2 2 2 2 2 2 13 2 11" xfId="6218" xr:uid="{8CFE1806-FACA-4825-85EC-9A9ED9069767}"/>
    <cellStyle name="Normal 2 2 2 2 2 2 2 2 2 13 2 12" xfId="6219" xr:uid="{A4F5D7DC-960D-491E-86B8-09C9A921F2CB}"/>
    <cellStyle name="Normal 2 2 2 2 2 2 2 2 2 13 2 13" xfId="6220" xr:uid="{3764BCEA-910F-44ED-B196-F8FE0CA6E84C}"/>
    <cellStyle name="Normal 2 2 2 2 2 2 2 2 2 13 2 13 2" xfId="6221" xr:uid="{989450DC-312E-4824-8901-EEE53986818A}"/>
    <cellStyle name="Normal 2 2 2 2 2 2 2 2 2 13 2 13 3" xfId="6222" xr:uid="{9CAC0D3D-CE3A-47A4-BE2C-368093983AAD}"/>
    <cellStyle name="Normal 2 2 2 2 2 2 2 2 2 13 2 13 4" xfId="6223" xr:uid="{2A5CCAAD-BA12-47FD-ABCF-6D8F1C4D9F48}"/>
    <cellStyle name="Normal 2 2 2 2 2 2 2 2 2 13 2 14" xfId="6224" xr:uid="{EC63A5FF-D27B-4789-9B5C-D42198FAB484}"/>
    <cellStyle name="Normal 2 2 2 2 2 2 2 2 2 13 2 15" xfId="6225" xr:uid="{DB74ADE7-12A1-4D9B-B9F5-70F9B564163A}"/>
    <cellStyle name="Normal 2 2 2 2 2 2 2 2 2 13 2 16" xfId="6226" xr:uid="{DB3F5F31-817F-4B13-9CE1-3327C683A808}"/>
    <cellStyle name="Normal 2 2 2 2 2 2 2 2 2 13 2 2" xfId="6227" xr:uid="{C1213E51-B9E5-4CAA-A51D-67733AC21A8F}"/>
    <cellStyle name="Normal 2 2 2 2 2 2 2 2 2 13 2 2 10" xfId="6228" xr:uid="{9072E546-7380-4231-B362-4A3CDFF0849F}"/>
    <cellStyle name="Normal 2 2 2 2 2 2 2 2 2 13 2 2 11" xfId="6229" xr:uid="{58F9AB64-7803-4169-9001-4C099AAE1462}"/>
    <cellStyle name="Normal 2 2 2 2 2 2 2 2 2 13 2 2 11 2" xfId="6230" xr:uid="{134DD555-1676-49C7-991B-4A444B999138}"/>
    <cellStyle name="Normal 2 2 2 2 2 2 2 2 2 13 2 2 11 3" xfId="6231" xr:uid="{B032A370-C83C-4929-81F8-86180319E265}"/>
    <cellStyle name="Normal 2 2 2 2 2 2 2 2 2 13 2 2 11 4" xfId="6232" xr:uid="{5031D662-641A-400C-9472-A70877C8D64B}"/>
    <cellStyle name="Normal 2 2 2 2 2 2 2 2 2 13 2 2 12" xfId="6233" xr:uid="{EF7066B6-27E2-4E08-AD0A-D2FF2F079261}"/>
    <cellStyle name="Normal 2 2 2 2 2 2 2 2 2 13 2 2 13" xfId="6234" xr:uid="{66340A3C-0F74-458B-9590-5946341C6140}"/>
    <cellStyle name="Normal 2 2 2 2 2 2 2 2 2 13 2 2 14" xfId="6235" xr:uid="{A1198C7A-A542-4798-B365-012BA754609F}"/>
    <cellStyle name="Normal 2 2 2 2 2 2 2 2 2 13 2 2 2" xfId="6236" xr:uid="{DA400579-14F9-4ADD-B436-C4E1F97350BA}"/>
    <cellStyle name="Normal 2 2 2 2 2 2 2 2 2 13 2 2 2 10" xfId="6237" xr:uid="{EDBA9154-8AA2-4290-AAE3-E834C193F788}"/>
    <cellStyle name="Normal 2 2 2 2 2 2 2 2 2 13 2 2 2 11" xfId="6238" xr:uid="{622312AB-E4C4-4281-AB79-8182B21A48B9}"/>
    <cellStyle name="Normal 2 2 2 2 2 2 2 2 2 13 2 2 2 2" xfId="6239" xr:uid="{17C6268A-0D94-4EF4-96E1-35AEC72972BA}"/>
    <cellStyle name="Normal 2 2 2 2 2 2 2 2 2 13 2 2 2 2 10" xfId="6240" xr:uid="{B1A441A7-C825-48BF-BAE6-00074068BDAE}"/>
    <cellStyle name="Normal 2 2 2 2 2 2 2 2 2 13 2 2 2 2 11" xfId="6241" xr:uid="{81361035-9AF6-401D-977A-D27BF3B7682D}"/>
    <cellStyle name="Normal 2 2 2 2 2 2 2 2 2 13 2 2 2 2 2" xfId="6242" xr:uid="{B32AC5BF-F762-47A0-BAE6-AB0932382F92}"/>
    <cellStyle name="Normal 2 2 2 2 2 2 2 2 2 13 2 2 2 2 2 2" xfId="6243" xr:uid="{8ED20E65-0296-4929-BEFC-093612AC9498}"/>
    <cellStyle name="Normal 2 2 2 2 2 2 2 2 2 13 2 2 2 2 2 2 2" xfId="6244" xr:uid="{D30E0793-3650-4820-A25E-D45C3DC48E64}"/>
    <cellStyle name="Normal 2 2 2 2 2 2 2 2 2 13 2 2 2 2 2 2 3" xfId="6245" xr:uid="{83CE4170-C3C0-4A51-B80B-9009F8EEDF4A}"/>
    <cellStyle name="Normal 2 2 2 2 2 2 2 2 2 13 2 2 2 2 2 2 4" xfId="6246" xr:uid="{33BDBABE-D552-46A2-BB29-C866B59957B8}"/>
    <cellStyle name="Normal 2 2 2 2 2 2 2 2 2 13 2 2 2 2 2 3" xfId="6247" xr:uid="{F51291FF-2D66-4A77-A181-EAA2071DFF7A}"/>
    <cellStyle name="Normal 2 2 2 2 2 2 2 2 2 13 2 2 2 2 2 4" xfId="6248" xr:uid="{7318FC08-DA9E-4D7F-BFF6-431ED0FF9385}"/>
    <cellStyle name="Normal 2 2 2 2 2 2 2 2 2 13 2 2 2 2 2 5" xfId="6249" xr:uid="{5409879F-CE34-4AC7-B754-DD6E17E27468}"/>
    <cellStyle name="Normal 2 2 2 2 2 2 2 2 2 13 2 2 2 2 2 6" xfId="6250" xr:uid="{D66AFFF2-2390-49B5-B13B-B812B91BDD6F}"/>
    <cellStyle name="Normal 2 2 2 2 2 2 2 2 2 13 2 2 2 2 3" xfId="6251" xr:uid="{FA05B008-D789-4AAC-8938-D716928E1337}"/>
    <cellStyle name="Normal 2 2 2 2 2 2 2 2 2 13 2 2 2 2 4" xfId="6252" xr:uid="{B7776FB8-DCA7-4618-A8FB-A98B5D171D99}"/>
    <cellStyle name="Normal 2 2 2 2 2 2 2 2 2 13 2 2 2 2 5" xfId="6253" xr:uid="{C1F839B5-6841-4015-8D6C-DF1145CF30AB}"/>
    <cellStyle name="Normal 2 2 2 2 2 2 2 2 2 13 2 2 2 2 6" xfId="6254" xr:uid="{712B12A4-2441-4748-8EC9-A927BA99AA97}"/>
    <cellStyle name="Normal 2 2 2 2 2 2 2 2 2 13 2 2 2 2 7" xfId="6255" xr:uid="{17629571-2DE0-48D5-B71B-87D89F9E1432}"/>
    <cellStyle name="Normal 2 2 2 2 2 2 2 2 2 13 2 2 2 2 8" xfId="6256" xr:uid="{94691452-7179-4423-84DA-2E017CA0B4E9}"/>
    <cellStyle name="Normal 2 2 2 2 2 2 2 2 2 13 2 2 2 2 8 2" xfId="6257" xr:uid="{880DCE53-5172-407B-8A6B-0ADA33A9018C}"/>
    <cellStyle name="Normal 2 2 2 2 2 2 2 2 2 13 2 2 2 2 8 3" xfId="6258" xr:uid="{1FD39B09-B7AF-40B0-A6D5-315D648BF291}"/>
    <cellStyle name="Normal 2 2 2 2 2 2 2 2 2 13 2 2 2 2 8 4" xfId="6259" xr:uid="{E3CE07AF-C493-4DF4-B524-88055480C734}"/>
    <cellStyle name="Normal 2 2 2 2 2 2 2 2 2 13 2 2 2 2 9" xfId="6260" xr:uid="{98CC23E1-A3C9-4913-A7B7-D435B29DE693}"/>
    <cellStyle name="Normal 2 2 2 2 2 2 2 2 2 13 2 2 2 3" xfId="6261" xr:uid="{3318F9C8-F376-4999-879E-768EEBB58818}"/>
    <cellStyle name="Normal 2 2 2 2 2 2 2 2 2 13 2 2 2 3 2" xfId="6262" xr:uid="{F85CD71B-A00C-4A50-A28F-E47AD296C9EF}"/>
    <cellStyle name="Normal 2 2 2 2 2 2 2 2 2 13 2 2 2 3 2 2" xfId="6263" xr:uid="{C9C49819-1052-40CD-811F-052F7CBD3FB5}"/>
    <cellStyle name="Normal 2 2 2 2 2 2 2 2 2 13 2 2 2 3 2 3" xfId="6264" xr:uid="{6C58866B-5216-44F3-8511-8ACDD64F98A4}"/>
    <cellStyle name="Normal 2 2 2 2 2 2 2 2 2 13 2 2 2 3 2 4" xfId="6265" xr:uid="{34224A9B-FB28-42EC-B1F6-0588A2184C4D}"/>
    <cellStyle name="Normal 2 2 2 2 2 2 2 2 2 13 2 2 2 3 3" xfId="6266" xr:uid="{E83B6AD6-FA4C-42DF-A8DC-9A6BDE662C80}"/>
    <cellStyle name="Normal 2 2 2 2 2 2 2 2 2 13 2 2 2 3 4" xfId="6267" xr:uid="{48C651FC-A450-40F1-B79D-44E21850FFA9}"/>
    <cellStyle name="Normal 2 2 2 2 2 2 2 2 2 13 2 2 2 3 5" xfId="6268" xr:uid="{C0EB4AC5-0953-4A62-9E71-E4789FFD0F7F}"/>
    <cellStyle name="Normal 2 2 2 2 2 2 2 2 2 13 2 2 2 3 6" xfId="6269" xr:uid="{43E01BDA-496C-4A27-9DB5-E7BAB5F29647}"/>
    <cellStyle name="Normal 2 2 2 2 2 2 2 2 2 13 2 2 2 4" xfId="6270" xr:uid="{DE016D06-524A-4764-BB6D-B8FF1E90224B}"/>
    <cellStyle name="Normal 2 2 2 2 2 2 2 2 2 13 2 2 2 5" xfId="6271" xr:uid="{E67EA79B-CC09-468A-98EA-7A7DDDC86ED3}"/>
    <cellStyle name="Normal 2 2 2 2 2 2 2 2 2 13 2 2 2 6" xfId="6272" xr:uid="{D73DC5C0-3E5E-4134-9A6D-FA521687485C}"/>
    <cellStyle name="Normal 2 2 2 2 2 2 2 2 2 13 2 2 2 7" xfId="6273" xr:uid="{3830C4CE-85DB-4DF6-AF3F-8F3ABEC39D4C}"/>
    <cellStyle name="Normal 2 2 2 2 2 2 2 2 2 13 2 2 2 8" xfId="6274" xr:uid="{DDFCC79C-204C-4715-9FEF-FEA6D943CAED}"/>
    <cellStyle name="Normal 2 2 2 2 2 2 2 2 2 13 2 2 2 8 2" xfId="6275" xr:uid="{5C1D14F1-94E8-4B1C-82E2-F75C2A734CD1}"/>
    <cellStyle name="Normal 2 2 2 2 2 2 2 2 2 13 2 2 2 8 3" xfId="6276" xr:uid="{F9676682-C4E2-47DD-9699-3141C112575C}"/>
    <cellStyle name="Normal 2 2 2 2 2 2 2 2 2 13 2 2 2 8 4" xfId="6277" xr:uid="{3CB8B17F-315C-494D-9238-C5A3ADC5AEAF}"/>
    <cellStyle name="Normal 2 2 2 2 2 2 2 2 2 13 2 2 2 9" xfId="6278" xr:uid="{ED3B2385-80F1-4BCF-9A79-2B75AE3CD171}"/>
    <cellStyle name="Normal 2 2 2 2 2 2 2 2 2 13 2 2 3" xfId="6279" xr:uid="{DC8F1892-DAB3-494B-8C34-36B6FFDF52AA}"/>
    <cellStyle name="Normal 2 2 2 2 2 2 2 2 2 13 2 2 4" xfId="6280" xr:uid="{FFA1786F-3560-4BDB-8F52-8F435AFC6F7E}"/>
    <cellStyle name="Normal 2 2 2 2 2 2 2 2 2 13 2 2 5" xfId="6281" xr:uid="{B1CB5067-DCD2-4130-820E-CBF21DE5CB37}"/>
    <cellStyle name="Normal 2 2 2 2 2 2 2 2 2 13 2 2 5 2" xfId="6282" xr:uid="{D0090022-F246-4511-BEC8-81C43E972384}"/>
    <cellStyle name="Normal 2 2 2 2 2 2 2 2 2 13 2 2 5 2 2" xfId="6283" xr:uid="{82F5D02E-C452-4E2C-9151-2A61882E16C1}"/>
    <cellStyle name="Normal 2 2 2 2 2 2 2 2 2 13 2 2 5 2 3" xfId="6284" xr:uid="{9B8B8299-DC08-49C5-BA98-DB21C45C0990}"/>
    <cellStyle name="Normal 2 2 2 2 2 2 2 2 2 13 2 2 5 2 4" xfId="6285" xr:uid="{1C635287-E4AB-42EC-9304-BD6676C87A53}"/>
    <cellStyle name="Normal 2 2 2 2 2 2 2 2 2 13 2 2 5 3" xfId="6286" xr:uid="{912CA70E-D3C0-4F42-9199-CE91845A6401}"/>
    <cellStyle name="Normal 2 2 2 2 2 2 2 2 2 13 2 2 5 4" xfId="6287" xr:uid="{CF556F36-80FE-4B4B-A838-545ED64D9BD0}"/>
    <cellStyle name="Normal 2 2 2 2 2 2 2 2 2 13 2 2 5 5" xfId="6288" xr:uid="{5A4BE72B-1056-4AF9-9988-485A449DCDDB}"/>
    <cellStyle name="Normal 2 2 2 2 2 2 2 2 2 13 2 2 5 6" xfId="6289" xr:uid="{9DBFCF03-C15D-4AEC-8682-F1DA06C13DF7}"/>
    <cellStyle name="Normal 2 2 2 2 2 2 2 2 2 13 2 2 6" xfId="6290" xr:uid="{6621AA47-141E-4B5D-B570-BBBF35577685}"/>
    <cellStyle name="Normal 2 2 2 2 2 2 2 2 2 13 2 2 7" xfId="6291" xr:uid="{D2AE988A-1131-469B-8C11-F0D0FAF8FCB9}"/>
    <cellStyle name="Normal 2 2 2 2 2 2 2 2 2 13 2 2 8" xfId="6292" xr:uid="{6B5D3F5B-A6DE-4C1E-99CD-58934636F80B}"/>
    <cellStyle name="Normal 2 2 2 2 2 2 2 2 2 13 2 2 9" xfId="6293" xr:uid="{FDDBAD9D-68D6-4413-8485-55036DE4CC3A}"/>
    <cellStyle name="Normal 2 2 2 2 2 2 2 2 2 13 2 3" xfId="6294" xr:uid="{8B784572-F1D3-46E2-A758-692E3B1D2AD9}"/>
    <cellStyle name="Normal 2 2 2 2 2 2 2 2 2 13 2 4" xfId="6295" xr:uid="{BF219AE5-0590-4D8F-91B1-3B79D63E8558}"/>
    <cellStyle name="Normal 2 2 2 2 2 2 2 2 2 13 2 5" xfId="6296" xr:uid="{9B1B4F19-7B47-4AA4-902D-19FADB5D178B}"/>
    <cellStyle name="Normal 2 2 2 2 2 2 2 2 2 13 2 5 10" xfId="6297" xr:uid="{AE1BEC93-13C4-45E6-B41A-69D31E40D8C3}"/>
    <cellStyle name="Normal 2 2 2 2 2 2 2 2 2 13 2 5 11" xfId="6298" xr:uid="{3C80FDFC-383B-42A0-80AA-C7BFB270CD1B}"/>
    <cellStyle name="Normal 2 2 2 2 2 2 2 2 2 13 2 5 2" xfId="6299" xr:uid="{1E00F5C2-14EF-462F-A16E-010870768383}"/>
    <cellStyle name="Normal 2 2 2 2 2 2 2 2 2 13 2 5 2 10" xfId="6300" xr:uid="{82E60197-DEAA-4B58-B813-82F7CB6AF713}"/>
    <cellStyle name="Normal 2 2 2 2 2 2 2 2 2 13 2 5 2 11" xfId="6301" xr:uid="{1C8B0308-0B81-4FAE-B5D1-939DAE6A6291}"/>
    <cellStyle name="Normal 2 2 2 2 2 2 2 2 2 13 2 5 2 2" xfId="6302" xr:uid="{42417E80-A6A9-4738-A9D0-DBD381EC9244}"/>
    <cellStyle name="Normal 2 2 2 2 2 2 2 2 2 13 2 5 2 2 2" xfId="6303" xr:uid="{109F44EE-B128-4908-8BF3-F4CEC13B99F1}"/>
    <cellStyle name="Normal 2 2 2 2 2 2 2 2 2 13 2 5 2 2 2 2" xfId="6304" xr:uid="{5E58F276-8DA0-4E3E-99CF-9E6BE5BCF5E0}"/>
    <cellStyle name="Normal 2 2 2 2 2 2 2 2 2 13 2 5 2 2 2 3" xfId="6305" xr:uid="{ABAD4BCA-838D-41B8-9E6B-53F9B0CAC0C2}"/>
    <cellStyle name="Normal 2 2 2 2 2 2 2 2 2 13 2 5 2 2 2 4" xfId="6306" xr:uid="{AF071F42-8D65-4D72-A677-CEC2A611CD17}"/>
    <cellStyle name="Normal 2 2 2 2 2 2 2 2 2 13 2 5 2 2 3" xfId="6307" xr:uid="{6A5F470A-A3FC-4229-B0E9-CE255AB78315}"/>
    <cellStyle name="Normal 2 2 2 2 2 2 2 2 2 13 2 5 2 2 4" xfId="6308" xr:uid="{901457EA-4AD4-446E-AEFB-09C4C7E0DB87}"/>
    <cellStyle name="Normal 2 2 2 2 2 2 2 2 2 13 2 5 2 2 5" xfId="6309" xr:uid="{DE6D4C58-7C8C-4FE6-8D6E-5D3798FA6A26}"/>
    <cellStyle name="Normal 2 2 2 2 2 2 2 2 2 13 2 5 2 2 6" xfId="6310" xr:uid="{D127339F-B515-4150-BC00-6478B46666E7}"/>
    <cellStyle name="Normal 2 2 2 2 2 2 2 2 2 13 2 5 2 3" xfId="6311" xr:uid="{B733ABA0-AF33-48DB-A0EB-EA70388C7AAA}"/>
    <cellStyle name="Normal 2 2 2 2 2 2 2 2 2 13 2 5 2 4" xfId="6312" xr:uid="{FE62A624-F08A-455E-A682-E9401F126F04}"/>
    <cellStyle name="Normal 2 2 2 2 2 2 2 2 2 13 2 5 2 5" xfId="6313" xr:uid="{273ADDF9-7F5A-492F-829E-6C2CA9C7227F}"/>
    <cellStyle name="Normal 2 2 2 2 2 2 2 2 2 13 2 5 2 6" xfId="6314" xr:uid="{B197C688-DB36-4BE3-B6CC-31D19676BA0F}"/>
    <cellStyle name="Normal 2 2 2 2 2 2 2 2 2 13 2 5 2 7" xfId="6315" xr:uid="{7B22E6E9-51F3-4413-9FF2-8B16F7DC750D}"/>
    <cellStyle name="Normal 2 2 2 2 2 2 2 2 2 13 2 5 2 8" xfId="6316" xr:uid="{2FDD04AF-CB69-4399-9FB8-729C1B773EDC}"/>
    <cellStyle name="Normal 2 2 2 2 2 2 2 2 2 13 2 5 2 8 2" xfId="6317" xr:uid="{2ED8E32F-1C74-4045-B9FD-EF4103CAECD3}"/>
    <cellStyle name="Normal 2 2 2 2 2 2 2 2 2 13 2 5 2 8 3" xfId="6318" xr:uid="{ED2E655B-F179-426B-843E-DCEC6CBC5039}"/>
    <cellStyle name="Normal 2 2 2 2 2 2 2 2 2 13 2 5 2 8 4" xfId="6319" xr:uid="{9421FB8A-BA33-43D1-AFD2-DF3AECB957E8}"/>
    <cellStyle name="Normal 2 2 2 2 2 2 2 2 2 13 2 5 2 9" xfId="6320" xr:uid="{F4C18152-BDCE-4552-8159-BAF601ADA72D}"/>
    <cellStyle name="Normal 2 2 2 2 2 2 2 2 2 13 2 5 3" xfId="6321" xr:uid="{F5F5DBF2-0CB5-4E1D-9DA6-2E9626EF405F}"/>
    <cellStyle name="Normal 2 2 2 2 2 2 2 2 2 13 2 5 3 2" xfId="6322" xr:uid="{DFC0F770-C034-4568-9CEB-ABDA2CD01135}"/>
    <cellStyle name="Normal 2 2 2 2 2 2 2 2 2 13 2 5 3 2 2" xfId="6323" xr:uid="{C3FF0B97-6326-4CCC-9E84-061F7E404152}"/>
    <cellStyle name="Normal 2 2 2 2 2 2 2 2 2 13 2 5 3 2 3" xfId="6324" xr:uid="{6B3F43E1-AC09-471A-A093-7B59424E102A}"/>
    <cellStyle name="Normal 2 2 2 2 2 2 2 2 2 13 2 5 3 2 4" xfId="6325" xr:uid="{209B715E-54E6-43F1-8B5A-0A8A9E461D11}"/>
    <cellStyle name="Normal 2 2 2 2 2 2 2 2 2 13 2 5 3 3" xfId="6326" xr:uid="{92A7EE7F-480F-4C66-AC07-2AEF750B4BC0}"/>
    <cellStyle name="Normal 2 2 2 2 2 2 2 2 2 13 2 5 3 4" xfId="6327" xr:uid="{09BADE75-D6E3-4D11-A2FA-F9A1AEDD9B76}"/>
    <cellStyle name="Normal 2 2 2 2 2 2 2 2 2 13 2 5 3 5" xfId="6328" xr:uid="{1572EE8E-46F4-4F5B-B946-2C1B5D679D61}"/>
    <cellStyle name="Normal 2 2 2 2 2 2 2 2 2 13 2 5 3 6" xfId="6329" xr:uid="{58140306-9ADC-4157-B059-0E79E6B70FD5}"/>
    <cellStyle name="Normal 2 2 2 2 2 2 2 2 2 13 2 5 4" xfId="6330" xr:uid="{2F965183-92F0-49C8-9B84-B1BD972586D4}"/>
    <cellStyle name="Normal 2 2 2 2 2 2 2 2 2 13 2 5 5" xfId="6331" xr:uid="{D98CBE9E-7E44-47D2-ABC5-19788CC46D4D}"/>
    <cellStyle name="Normal 2 2 2 2 2 2 2 2 2 13 2 5 6" xfId="6332" xr:uid="{EC6C0709-2718-4409-AE99-796897DDFBEF}"/>
    <cellStyle name="Normal 2 2 2 2 2 2 2 2 2 13 2 5 7" xfId="6333" xr:uid="{46C365B3-0FB5-45CF-8FCB-D1B735246F76}"/>
    <cellStyle name="Normal 2 2 2 2 2 2 2 2 2 13 2 5 8" xfId="6334" xr:uid="{D0FE9B12-BFB2-4DC9-9B5D-2B3AFA59ACE2}"/>
    <cellStyle name="Normal 2 2 2 2 2 2 2 2 2 13 2 5 8 2" xfId="6335" xr:uid="{0F9A8881-B4DD-4065-9A7E-C20E207C3F1B}"/>
    <cellStyle name="Normal 2 2 2 2 2 2 2 2 2 13 2 5 8 3" xfId="6336" xr:uid="{658DE468-3E83-431E-93E9-418CC8EC4DDA}"/>
    <cellStyle name="Normal 2 2 2 2 2 2 2 2 2 13 2 5 8 4" xfId="6337" xr:uid="{BD8F502C-C48B-4D28-A472-578791B37328}"/>
    <cellStyle name="Normal 2 2 2 2 2 2 2 2 2 13 2 5 9" xfId="6338" xr:uid="{D4D073B1-F6D5-43F5-8B57-2DE987A39B40}"/>
    <cellStyle name="Normal 2 2 2 2 2 2 2 2 2 13 2 6" xfId="6339" xr:uid="{44DBECBC-B186-4701-8158-B0A717DF8F01}"/>
    <cellStyle name="Normal 2 2 2 2 2 2 2 2 2 13 2 7" xfId="6340" xr:uid="{F55AFF59-A642-4A15-8D12-BF094FDFD415}"/>
    <cellStyle name="Normal 2 2 2 2 2 2 2 2 2 13 2 7 2" xfId="6341" xr:uid="{DD39AFDC-3266-47C6-9C40-5E62825D1E44}"/>
    <cellStyle name="Normal 2 2 2 2 2 2 2 2 2 13 2 7 2 2" xfId="6342" xr:uid="{86B83C63-ADB5-4E5E-AAA7-2D2E6CCF031F}"/>
    <cellStyle name="Normal 2 2 2 2 2 2 2 2 2 13 2 7 2 3" xfId="6343" xr:uid="{FEF4E2E9-DBEF-48CA-96F1-B945ED33408F}"/>
    <cellStyle name="Normal 2 2 2 2 2 2 2 2 2 13 2 7 2 4" xfId="6344" xr:uid="{EEA712E1-AE4E-4E2E-8265-DA2ABF9B9795}"/>
    <cellStyle name="Normal 2 2 2 2 2 2 2 2 2 13 2 7 3" xfId="6345" xr:uid="{A0FA1D2D-B07C-418B-8D80-4935E4183ECA}"/>
    <cellStyle name="Normal 2 2 2 2 2 2 2 2 2 13 2 7 4" xfId="6346" xr:uid="{EFA3F377-F81A-4E79-9148-25DD2396A79E}"/>
    <cellStyle name="Normal 2 2 2 2 2 2 2 2 2 13 2 7 5" xfId="6347" xr:uid="{CFF54CCF-097A-4AB8-9AF8-FE3700A93515}"/>
    <cellStyle name="Normal 2 2 2 2 2 2 2 2 2 13 2 7 6" xfId="6348" xr:uid="{8828BDBE-FEE6-4DCB-90D9-9BC126B1326C}"/>
    <cellStyle name="Normal 2 2 2 2 2 2 2 2 2 13 2 8" xfId="6349" xr:uid="{F7DB0B02-17C0-4CCA-83DF-ED358CFD3A83}"/>
    <cellStyle name="Normal 2 2 2 2 2 2 2 2 2 13 2 9" xfId="6350" xr:uid="{97414E94-2BD5-4F61-9893-A2CE9B3BC57F}"/>
    <cellStyle name="Normal 2 2 2 2 2 2 2 2 2 13 20" xfId="6351" xr:uid="{040E2AE5-06EA-4106-8586-C7DB34AE70C6}"/>
    <cellStyle name="Normal 2 2 2 2 2 2 2 2 2 13 21" xfId="6352" xr:uid="{08FA60C0-DB0C-4950-A9DA-6DB7998B00AD}"/>
    <cellStyle name="Normal 2 2 2 2 2 2 2 2 2 13 21 2" xfId="6353" xr:uid="{A8FE1DEA-28F3-4DAE-B65D-3DF4EBB11C72}"/>
    <cellStyle name="Normal 2 2 2 2 2 2 2 2 2 13 21 3" xfId="6354" xr:uid="{AD77B1CD-5880-4FD1-9E88-1D7C2AE0E754}"/>
    <cellStyle name="Normal 2 2 2 2 2 2 2 2 2 13 21 4" xfId="6355" xr:uid="{5C6C0EDD-A327-4162-9D7D-172B82043395}"/>
    <cellStyle name="Normal 2 2 2 2 2 2 2 2 2 13 22" xfId="6356" xr:uid="{FE98110F-D82A-4E15-A69A-7EA4C93876D2}"/>
    <cellStyle name="Normal 2 2 2 2 2 2 2 2 2 13 23" xfId="6357" xr:uid="{0F4DDB18-1E9F-4956-A31D-056BD179388E}"/>
    <cellStyle name="Normal 2 2 2 2 2 2 2 2 2 13 24" xfId="6358" xr:uid="{5AB9DF53-30D8-4C73-9D10-864BE7B9EDB0}"/>
    <cellStyle name="Normal 2 2 2 2 2 2 2 2 2 13 3" xfId="6359" xr:uid="{8655A849-2806-4FC0-A69A-DA7CB852BF59}"/>
    <cellStyle name="Normal 2 2 2 2 2 2 2 2 2 13 4" xfId="6360" xr:uid="{B5583070-F5E2-496E-96BB-DA7B695026A2}"/>
    <cellStyle name="Normal 2 2 2 2 2 2 2 2 2 13 5" xfId="6361" xr:uid="{62C8403A-43FA-424C-97BA-92567409F3C0}"/>
    <cellStyle name="Normal 2 2 2 2 2 2 2 2 2 13 6" xfId="6362" xr:uid="{37372D1B-71DD-4F47-AC5E-54535539DC2C}"/>
    <cellStyle name="Normal 2 2 2 2 2 2 2 2 2 13 7" xfId="6363" xr:uid="{156B8DF0-C156-479A-96FE-E16BF00F647E}"/>
    <cellStyle name="Normal 2 2 2 2 2 2 2 2 2 13 8" xfId="6364" xr:uid="{4B73D627-5A05-4C27-8339-9E851FFB0522}"/>
    <cellStyle name="Normal 2 2 2 2 2 2 2 2 2 13 9" xfId="6365" xr:uid="{55EB910B-7567-4490-B20B-BF4379CF1A7C}"/>
    <cellStyle name="Normal 2 2 2 2 2 2 2 2 2 14" xfId="6366" xr:uid="{CE1297E5-C6DE-44AB-A7CA-973D4DAD8A41}"/>
    <cellStyle name="Normal 2 2 2 2 2 2 2 2 2 14 10" xfId="6367" xr:uid="{7C509751-A4CA-4CA8-B02E-4DAA6ECD2F8A}"/>
    <cellStyle name="Normal 2 2 2 2 2 2 2 2 2 14 11" xfId="6368" xr:uid="{AA6E6A8B-019F-4EFC-B5CD-80096DC426B0}"/>
    <cellStyle name="Normal 2 2 2 2 2 2 2 2 2 14 12" xfId="6369" xr:uid="{E65584AA-CCA5-4F7F-9C88-138B4C1AFC6A}"/>
    <cellStyle name="Normal 2 2 2 2 2 2 2 2 2 14 13" xfId="6370" xr:uid="{E80FBB02-F627-418C-A5CE-FA6E3122A20D}"/>
    <cellStyle name="Normal 2 2 2 2 2 2 2 2 2 14 13 2" xfId="6371" xr:uid="{67E0194C-4E27-4D5E-80F2-7D0E54F2B1F5}"/>
    <cellStyle name="Normal 2 2 2 2 2 2 2 2 2 14 13 3" xfId="6372" xr:uid="{5ECFE482-E557-491D-B401-0B2AB953A6F1}"/>
    <cellStyle name="Normal 2 2 2 2 2 2 2 2 2 14 13 4" xfId="6373" xr:uid="{38D89F94-AD6D-4BC0-A5B8-020FC2E4D3C8}"/>
    <cellStyle name="Normal 2 2 2 2 2 2 2 2 2 14 14" xfId="6374" xr:uid="{EFEBAEB2-3EE1-4862-9C72-AB2E66A68801}"/>
    <cellStyle name="Normal 2 2 2 2 2 2 2 2 2 14 15" xfId="6375" xr:uid="{09058473-0551-460F-BBA2-CCD35EC16C72}"/>
    <cellStyle name="Normal 2 2 2 2 2 2 2 2 2 14 16" xfId="6376" xr:uid="{E1A57464-9FC6-4827-90B6-1AED1C9B7CE6}"/>
    <cellStyle name="Normal 2 2 2 2 2 2 2 2 2 14 2" xfId="6377" xr:uid="{42E72E98-53C3-458F-9BA1-4D1172B67400}"/>
    <cellStyle name="Normal 2 2 2 2 2 2 2 2 2 14 2 10" xfId="6378" xr:uid="{228244FE-346F-41DC-A470-D9BF9D8C5709}"/>
    <cellStyle name="Normal 2 2 2 2 2 2 2 2 2 14 2 11" xfId="6379" xr:uid="{96DF335D-4B9D-434D-9DC1-2513D0875991}"/>
    <cellStyle name="Normal 2 2 2 2 2 2 2 2 2 14 2 11 2" xfId="6380" xr:uid="{B5531406-BBE9-4D51-A944-A094B150DFE5}"/>
    <cellStyle name="Normal 2 2 2 2 2 2 2 2 2 14 2 11 3" xfId="6381" xr:uid="{99327242-0324-4024-8F61-9A03AC21CF97}"/>
    <cellStyle name="Normal 2 2 2 2 2 2 2 2 2 14 2 11 4" xfId="6382" xr:uid="{B5DB63D3-2F91-4A4F-BDB0-D047C9D548CB}"/>
    <cellStyle name="Normal 2 2 2 2 2 2 2 2 2 14 2 12" xfId="6383" xr:uid="{F593EDED-A141-4725-BB6E-E4D4CC6A9350}"/>
    <cellStyle name="Normal 2 2 2 2 2 2 2 2 2 14 2 13" xfId="6384" xr:uid="{A58B95C8-6B20-4867-BF0A-B022B101829B}"/>
    <cellStyle name="Normal 2 2 2 2 2 2 2 2 2 14 2 14" xfId="6385" xr:uid="{92EE9C1B-B495-48BB-B224-114F704C2489}"/>
    <cellStyle name="Normal 2 2 2 2 2 2 2 2 2 14 2 2" xfId="6386" xr:uid="{C79D8760-FF3F-48BD-B1A3-77F91D564295}"/>
    <cellStyle name="Normal 2 2 2 2 2 2 2 2 2 14 2 2 10" xfId="6387" xr:uid="{346364AF-7CE2-4199-8FE9-E65EE111AF93}"/>
    <cellStyle name="Normal 2 2 2 2 2 2 2 2 2 14 2 2 11" xfId="6388" xr:uid="{C596E1F0-3573-4F00-8FD0-F6BF10158591}"/>
    <cellStyle name="Normal 2 2 2 2 2 2 2 2 2 14 2 2 2" xfId="6389" xr:uid="{55588664-A623-4C20-AD07-4B5AF7A0DC09}"/>
    <cellStyle name="Normal 2 2 2 2 2 2 2 2 2 14 2 2 2 10" xfId="6390" xr:uid="{C0236373-4D7B-4891-86F2-4DCCABF08E87}"/>
    <cellStyle name="Normal 2 2 2 2 2 2 2 2 2 14 2 2 2 11" xfId="6391" xr:uid="{304DA6B3-2178-4CCF-8E32-7FAD70D2813B}"/>
    <cellStyle name="Normal 2 2 2 2 2 2 2 2 2 14 2 2 2 2" xfId="6392" xr:uid="{9A9C9132-2B8E-43F2-B8E4-C96F5342C231}"/>
    <cellStyle name="Normal 2 2 2 2 2 2 2 2 2 14 2 2 2 2 2" xfId="6393" xr:uid="{9EF0A27F-D317-48ED-9BC4-2692B3922BFA}"/>
    <cellStyle name="Normal 2 2 2 2 2 2 2 2 2 14 2 2 2 2 2 2" xfId="6394" xr:uid="{7BA0F3EE-0B3D-4C04-979D-624CD04B0D5B}"/>
    <cellStyle name="Normal 2 2 2 2 2 2 2 2 2 14 2 2 2 2 2 3" xfId="6395" xr:uid="{5E8F71DE-0DB4-4745-84CC-09B8972A59BF}"/>
    <cellStyle name="Normal 2 2 2 2 2 2 2 2 2 14 2 2 2 2 2 4" xfId="6396" xr:uid="{1FA11BDC-C936-400B-AE0F-85C3EED1DA6C}"/>
    <cellStyle name="Normal 2 2 2 2 2 2 2 2 2 14 2 2 2 2 3" xfId="6397" xr:uid="{BC1EC3E0-FECC-41C4-935A-9F310FB64B0E}"/>
    <cellStyle name="Normal 2 2 2 2 2 2 2 2 2 14 2 2 2 2 4" xfId="6398" xr:uid="{80778820-62AF-41CF-84A8-2B6D7DD776AE}"/>
    <cellStyle name="Normal 2 2 2 2 2 2 2 2 2 14 2 2 2 2 5" xfId="6399" xr:uid="{CA03169B-E8D6-40D0-86F2-FA7A7A376EF6}"/>
    <cellStyle name="Normal 2 2 2 2 2 2 2 2 2 14 2 2 2 2 6" xfId="6400" xr:uid="{B7ED74CF-51CB-48D0-BE47-89E909FAD410}"/>
    <cellStyle name="Normal 2 2 2 2 2 2 2 2 2 14 2 2 2 3" xfId="6401" xr:uid="{4D90B4CA-714D-4E5C-8D80-97BA8FB647B4}"/>
    <cellStyle name="Normal 2 2 2 2 2 2 2 2 2 14 2 2 2 4" xfId="6402" xr:uid="{42F8DC70-413D-4070-8C3F-022A16DC86B3}"/>
    <cellStyle name="Normal 2 2 2 2 2 2 2 2 2 14 2 2 2 5" xfId="6403" xr:uid="{0D0A5CD8-22A5-494F-87C2-D2222BF54E1D}"/>
    <cellStyle name="Normal 2 2 2 2 2 2 2 2 2 14 2 2 2 6" xfId="6404" xr:uid="{D4FCCE95-7BEA-44B0-8BC3-8E9FADEFAF09}"/>
    <cellStyle name="Normal 2 2 2 2 2 2 2 2 2 14 2 2 2 7" xfId="6405" xr:uid="{A10459BC-9FEB-4DE6-A2BE-C9891C9EC964}"/>
    <cellStyle name="Normal 2 2 2 2 2 2 2 2 2 14 2 2 2 8" xfId="6406" xr:uid="{2959A2F8-070A-4432-B2DF-5A5567101A1D}"/>
    <cellStyle name="Normal 2 2 2 2 2 2 2 2 2 14 2 2 2 8 2" xfId="6407" xr:uid="{2D78C03D-E0C8-473C-B241-79F9440716D3}"/>
    <cellStyle name="Normal 2 2 2 2 2 2 2 2 2 14 2 2 2 8 3" xfId="6408" xr:uid="{4126D91C-7E4D-41B2-931D-61C85515177C}"/>
    <cellStyle name="Normal 2 2 2 2 2 2 2 2 2 14 2 2 2 8 4" xfId="6409" xr:uid="{94D6CFD1-1422-4D3D-B959-731CDF3E55AD}"/>
    <cellStyle name="Normal 2 2 2 2 2 2 2 2 2 14 2 2 2 9" xfId="6410" xr:uid="{F0D2CE9F-65E2-4F36-84B1-D483D31873F0}"/>
    <cellStyle name="Normal 2 2 2 2 2 2 2 2 2 14 2 2 3" xfId="6411" xr:uid="{B9ACE75B-310D-4F6A-A69A-5C0E3C63051F}"/>
    <cellStyle name="Normal 2 2 2 2 2 2 2 2 2 14 2 2 3 2" xfId="6412" xr:uid="{855E8D28-7897-44F4-8FF8-A7E309F37E32}"/>
    <cellStyle name="Normal 2 2 2 2 2 2 2 2 2 14 2 2 3 2 2" xfId="6413" xr:uid="{8AC6ECAC-7856-4370-968A-43717272EEA2}"/>
    <cellStyle name="Normal 2 2 2 2 2 2 2 2 2 14 2 2 3 2 3" xfId="6414" xr:uid="{ACCAED2A-F613-4D96-B4EC-622978365F71}"/>
    <cellStyle name="Normal 2 2 2 2 2 2 2 2 2 14 2 2 3 2 4" xfId="6415" xr:uid="{C27E285C-F0F3-4D36-8255-FAB51675C178}"/>
    <cellStyle name="Normal 2 2 2 2 2 2 2 2 2 14 2 2 3 3" xfId="6416" xr:uid="{6E55293B-ACC7-47DA-9287-3642AD0B6A67}"/>
    <cellStyle name="Normal 2 2 2 2 2 2 2 2 2 14 2 2 3 4" xfId="6417" xr:uid="{EB332880-FE88-4519-B23D-8F2755F3D02A}"/>
    <cellStyle name="Normal 2 2 2 2 2 2 2 2 2 14 2 2 3 5" xfId="6418" xr:uid="{2430AF99-E8C2-4001-9E27-498EE7084B29}"/>
    <cellStyle name="Normal 2 2 2 2 2 2 2 2 2 14 2 2 3 6" xfId="6419" xr:uid="{91D549AE-E89A-468F-B136-F71B068AF738}"/>
    <cellStyle name="Normal 2 2 2 2 2 2 2 2 2 14 2 2 4" xfId="6420" xr:uid="{1565468B-026D-45B1-AF97-283F1A8BA0C6}"/>
    <cellStyle name="Normal 2 2 2 2 2 2 2 2 2 14 2 2 5" xfId="6421" xr:uid="{EBD2404D-95D4-43B0-B2B5-A159B9138827}"/>
    <cellStyle name="Normal 2 2 2 2 2 2 2 2 2 14 2 2 6" xfId="6422" xr:uid="{FB2FFA01-D7D0-4BF1-8E95-C148141FC1D4}"/>
    <cellStyle name="Normal 2 2 2 2 2 2 2 2 2 14 2 2 7" xfId="6423" xr:uid="{292A2806-B4C5-4559-B7EA-DDFA527BE90C}"/>
    <cellStyle name="Normal 2 2 2 2 2 2 2 2 2 14 2 2 8" xfId="6424" xr:uid="{1C395E76-3FF1-438A-A36F-2A1C425A7FD0}"/>
    <cellStyle name="Normal 2 2 2 2 2 2 2 2 2 14 2 2 8 2" xfId="6425" xr:uid="{D501B2CC-6C13-4BCF-9497-2C24C9D6C3CE}"/>
    <cellStyle name="Normal 2 2 2 2 2 2 2 2 2 14 2 2 8 3" xfId="6426" xr:uid="{71D2D084-E762-4CAC-A656-F27777280E03}"/>
    <cellStyle name="Normal 2 2 2 2 2 2 2 2 2 14 2 2 8 4" xfId="6427" xr:uid="{69F8AE0E-B718-4EE9-B09F-6BDD65726494}"/>
    <cellStyle name="Normal 2 2 2 2 2 2 2 2 2 14 2 2 9" xfId="6428" xr:uid="{BA868D5A-9241-46F1-A3E9-6E77702F9CE9}"/>
    <cellStyle name="Normal 2 2 2 2 2 2 2 2 2 14 2 3" xfId="6429" xr:uid="{4A6D8991-AC5F-481E-8037-23A995039D43}"/>
    <cellStyle name="Normal 2 2 2 2 2 2 2 2 2 14 2 4" xfId="6430" xr:uid="{D304851C-8E5D-4886-84E8-9C440D33D19E}"/>
    <cellStyle name="Normal 2 2 2 2 2 2 2 2 2 14 2 5" xfId="6431" xr:uid="{20E3528C-5DBE-4106-84DA-71DD9FA03751}"/>
    <cellStyle name="Normal 2 2 2 2 2 2 2 2 2 14 2 5 2" xfId="6432" xr:uid="{8F1ACDE6-0DE8-400C-9513-365D27C37D46}"/>
    <cellStyle name="Normal 2 2 2 2 2 2 2 2 2 14 2 5 2 2" xfId="6433" xr:uid="{B660D59E-9429-4F51-B3BE-21DCDB26FC88}"/>
    <cellStyle name="Normal 2 2 2 2 2 2 2 2 2 14 2 5 2 3" xfId="6434" xr:uid="{A20D196D-3773-4A75-8031-4ADEEFD39EB9}"/>
    <cellStyle name="Normal 2 2 2 2 2 2 2 2 2 14 2 5 2 4" xfId="6435" xr:uid="{748FFC49-A069-466B-813A-BC9CAE24D7F7}"/>
    <cellStyle name="Normal 2 2 2 2 2 2 2 2 2 14 2 5 3" xfId="6436" xr:uid="{56E289B8-747C-408D-9414-CA5C5FD0E32B}"/>
    <cellStyle name="Normal 2 2 2 2 2 2 2 2 2 14 2 5 4" xfId="6437" xr:uid="{920FA4B0-F7A9-45DA-9918-4A3338A6C534}"/>
    <cellStyle name="Normal 2 2 2 2 2 2 2 2 2 14 2 5 5" xfId="6438" xr:uid="{97E3285F-F111-4476-B2EE-FD9CBF4ADF47}"/>
    <cellStyle name="Normal 2 2 2 2 2 2 2 2 2 14 2 5 6" xfId="6439" xr:uid="{74C02695-87AB-4FAB-AD21-A21B123E2451}"/>
    <cellStyle name="Normal 2 2 2 2 2 2 2 2 2 14 2 6" xfId="6440" xr:uid="{86038440-110D-4131-A739-675B446CFC23}"/>
    <cellStyle name="Normal 2 2 2 2 2 2 2 2 2 14 2 7" xfId="6441" xr:uid="{FD9EB88C-FDD4-4213-ABEC-A917CD715EC4}"/>
    <cellStyle name="Normal 2 2 2 2 2 2 2 2 2 14 2 8" xfId="6442" xr:uid="{0D7376A2-BF78-4654-973C-FF15EAC1BFB2}"/>
    <cellStyle name="Normal 2 2 2 2 2 2 2 2 2 14 2 9" xfId="6443" xr:uid="{A477ABD9-2638-49F4-A169-3CB33619A28C}"/>
    <cellStyle name="Normal 2 2 2 2 2 2 2 2 2 14 3" xfId="6444" xr:uid="{400FD0EB-9333-4C24-A916-403689CF6105}"/>
    <cellStyle name="Normal 2 2 2 2 2 2 2 2 2 14 4" xfId="6445" xr:uid="{599E098E-6B76-4464-ADA6-210C24374A33}"/>
    <cellStyle name="Normal 2 2 2 2 2 2 2 2 2 14 5" xfId="6446" xr:uid="{3DA7A225-76FC-4CFB-87F5-88F159A904F1}"/>
    <cellStyle name="Normal 2 2 2 2 2 2 2 2 2 14 5 10" xfId="6447" xr:uid="{92764F10-C3D4-4B57-A077-3C425A0503F0}"/>
    <cellStyle name="Normal 2 2 2 2 2 2 2 2 2 14 5 11" xfId="6448" xr:uid="{C877D204-747C-4BB2-9AB8-920B707BFCA6}"/>
    <cellStyle name="Normal 2 2 2 2 2 2 2 2 2 14 5 2" xfId="6449" xr:uid="{3632BD0F-263A-4AD0-A354-A8EF3D37366E}"/>
    <cellStyle name="Normal 2 2 2 2 2 2 2 2 2 14 5 2 10" xfId="6450" xr:uid="{89CC295E-9A54-44AC-A357-4B3BECC6D930}"/>
    <cellStyle name="Normal 2 2 2 2 2 2 2 2 2 14 5 2 11" xfId="6451" xr:uid="{8E3D21B3-E0D3-4CB1-9518-6C56200CBBE8}"/>
    <cellStyle name="Normal 2 2 2 2 2 2 2 2 2 14 5 2 2" xfId="6452" xr:uid="{DBF4F4B5-AB94-43B4-8E7F-B5A8F9AE357D}"/>
    <cellStyle name="Normal 2 2 2 2 2 2 2 2 2 14 5 2 2 2" xfId="6453" xr:uid="{C9470AA0-FE29-4215-AA6D-75438C47599C}"/>
    <cellStyle name="Normal 2 2 2 2 2 2 2 2 2 14 5 2 2 2 2" xfId="6454" xr:uid="{B06AA1BA-0C40-4BB1-80F9-9F548DC13DA8}"/>
    <cellStyle name="Normal 2 2 2 2 2 2 2 2 2 14 5 2 2 2 3" xfId="6455" xr:uid="{9232BB2E-C016-46F7-80B2-24D181DE6D1B}"/>
    <cellStyle name="Normal 2 2 2 2 2 2 2 2 2 14 5 2 2 2 4" xfId="6456" xr:uid="{44D51BB3-991F-44CC-B693-1766667679D7}"/>
    <cellStyle name="Normal 2 2 2 2 2 2 2 2 2 14 5 2 2 3" xfId="6457" xr:uid="{5495ED4E-5857-4C61-8349-8056A312EC0D}"/>
    <cellStyle name="Normal 2 2 2 2 2 2 2 2 2 14 5 2 2 4" xfId="6458" xr:uid="{7EEF1734-580F-48C0-B605-B730815F7240}"/>
    <cellStyle name="Normal 2 2 2 2 2 2 2 2 2 14 5 2 2 5" xfId="6459" xr:uid="{42DD36C4-9085-4684-8819-EAD211FCBC4C}"/>
    <cellStyle name="Normal 2 2 2 2 2 2 2 2 2 14 5 2 2 6" xfId="6460" xr:uid="{2E1C799E-8DEF-4F45-ADF8-ADE342F8E87F}"/>
    <cellStyle name="Normal 2 2 2 2 2 2 2 2 2 14 5 2 3" xfId="6461" xr:uid="{C5FE550F-3A01-44B0-8C74-F61C66FDFD42}"/>
    <cellStyle name="Normal 2 2 2 2 2 2 2 2 2 14 5 2 4" xfId="6462" xr:uid="{E0F2499B-951A-432C-9E1D-1F2C8EC8DB4F}"/>
    <cellStyle name="Normal 2 2 2 2 2 2 2 2 2 14 5 2 5" xfId="6463" xr:uid="{0E658B3F-CFB9-438A-A21F-02FAB18D89DC}"/>
    <cellStyle name="Normal 2 2 2 2 2 2 2 2 2 14 5 2 6" xfId="6464" xr:uid="{9DB0DFAC-969D-4E84-B9E0-8019BD5B2426}"/>
    <cellStyle name="Normal 2 2 2 2 2 2 2 2 2 14 5 2 7" xfId="6465" xr:uid="{05E2CB25-3DE1-4D78-AC16-3D5718E881D3}"/>
    <cellStyle name="Normal 2 2 2 2 2 2 2 2 2 14 5 2 8" xfId="6466" xr:uid="{03410692-0900-475C-B0B7-4D820620EA0E}"/>
    <cellStyle name="Normal 2 2 2 2 2 2 2 2 2 14 5 2 8 2" xfId="6467" xr:uid="{4F1EE740-6658-4C91-AB29-11659BB54699}"/>
    <cellStyle name="Normal 2 2 2 2 2 2 2 2 2 14 5 2 8 3" xfId="6468" xr:uid="{2E1D603F-1CA1-488D-9358-5665AACA25A3}"/>
    <cellStyle name="Normal 2 2 2 2 2 2 2 2 2 14 5 2 8 4" xfId="6469" xr:uid="{0BB582A0-C048-4511-B28D-1D3179628117}"/>
    <cellStyle name="Normal 2 2 2 2 2 2 2 2 2 14 5 2 9" xfId="6470" xr:uid="{6E3107F5-3CED-46C9-97E6-3F4CF7F0BDFE}"/>
    <cellStyle name="Normal 2 2 2 2 2 2 2 2 2 14 5 3" xfId="6471" xr:uid="{F0A25878-5B89-4F2F-B1CD-2BA3F8CBB5D3}"/>
    <cellStyle name="Normal 2 2 2 2 2 2 2 2 2 14 5 3 2" xfId="6472" xr:uid="{4F4CE204-EBBC-4A2B-8EFB-7A00FCCE3B27}"/>
    <cellStyle name="Normal 2 2 2 2 2 2 2 2 2 14 5 3 2 2" xfId="6473" xr:uid="{83DA7160-895B-47BC-BF85-83714B2A30D0}"/>
    <cellStyle name="Normal 2 2 2 2 2 2 2 2 2 14 5 3 2 3" xfId="6474" xr:uid="{4BDCE5A0-E7FD-46B8-B97C-24194AB65847}"/>
    <cellStyle name="Normal 2 2 2 2 2 2 2 2 2 14 5 3 2 4" xfId="6475" xr:uid="{A54581B0-AEBA-4215-9F9D-33FB621E9A4D}"/>
    <cellStyle name="Normal 2 2 2 2 2 2 2 2 2 14 5 3 3" xfId="6476" xr:uid="{CA29557C-D3C1-4C86-9DE4-85F2721ED326}"/>
    <cellStyle name="Normal 2 2 2 2 2 2 2 2 2 14 5 3 4" xfId="6477" xr:uid="{F14E757C-2E9F-47B5-8167-535E5B437414}"/>
    <cellStyle name="Normal 2 2 2 2 2 2 2 2 2 14 5 3 5" xfId="6478" xr:uid="{06EBAED3-8A19-446F-9369-F480FF6177A1}"/>
    <cellStyle name="Normal 2 2 2 2 2 2 2 2 2 14 5 3 6" xfId="6479" xr:uid="{3C365F8B-F6EE-402F-899F-4DBA218D6290}"/>
    <cellStyle name="Normal 2 2 2 2 2 2 2 2 2 14 5 4" xfId="6480" xr:uid="{9E462229-6BDA-42D0-9569-68FC06CC24EE}"/>
    <cellStyle name="Normal 2 2 2 2 2 2 2 2 2 14 5 5" xfId="6481" xr:uid="{0F563C2B-5D54-4E8C-9057-4434BCB20951}"/>
    <cellStyle name="Normal 2 2 2 2 2 2 2 2 2 14 5 6" xfId="6482" xr:uid="{B7B21B4E-AC1C-4FAC-9049-A9622CACF2EA}"/>
    <cellStyle name="Normal 2 2 2 2 2 2 2 2 2 14 5 7" xfId="6483" xr:uid="{E4E9D16D-9171-4EEB-B765-F1A98838DEA0}"/>
    <cellStyle name="Normal 2 2 2 2 2 2 2 2 2 14 5 8" xfId="6484" xr:uid="{CB3D014A-96CD-459A-A680-54B70A0CBA16}"/>
    <cellStyle name="Normal 2 2 2 2 2 2 2 2 2 14 5 8 2" xfId="6485" xr:uid="{B2A7C7FC-0122-4C32-9F3A-D66A5D7C0EA5}"/>
    <cellStyle name="Normal 2 2 2 2 2 2 2 2 2 14 5 8 3" xfId="6486" xr:uid="{FFC34F37-66E7-420A-A457-645C802A7C3C}"/>
    <cellStyle name="Normal 2 2 2 2 2 2 2 2 2 14 5 8 4" xfId="6487" xr:uid="{D526B1DE-9D7D-47F0-B756-40528375B090}"/>
    <cellStyle name="Normal 2 2 2 2 2 2 2 2 2 14 5 9" xfId="6488" xr:uid="{80FA789C-0EF0-46DD-A692-72EA5D237595}"/>
    <cellStyle name="Normal 2 2 2 2 2 2 2 2 2 14 6" xfId="6489" xr:uid="{625CA2FD-F273-48DC-A92E-22C23495F6E7}"/>
    <cellStyle name="Normal 2 2 2 2 2 2 2 2 2 14 7" xfId="6490" xr:uid="{126F6509-9F93-4A4F-85CD-5DC74F1894EB}"/>
    <cellStyle name="Normal 2 2 2 2 2 2 2 2 2 14 7 2" xfId="6491" xr:uid="{609838C3-16A7-42C5-86BA-61BF12A4BC28}"/>
    <cellStyle name="Normal 2 2 2 2 2 2 2 2 2 14 7 2 2" xfId="6492" xr:uid="{77720994-C185-400A-9247-DD48E17629EB}"/>
    <cellStyle name="Normal 2 2 2 2 2 2 2 2 2 14 7 2 3" xfId="6493" xr:uid="{8CBC12B9-16FE-4E0F-8F2D-68A07D1771A6}"/>
    <cellStyle name="Normal 2 2 2 2 2 2 2 2 2 14 7 2 4" xfId="6494" xr:uid="{0146CFC8-2AC7-4377-B004-82C455982EC8}"/>
    <cellStyle name="Normal 2 2 2 2 2 2 2 2 2 14 7 3" xfId="6495" xr:uid="{45FE0302-7283-43AD-8E16-ADBD75E62239}"/>
    <cellStyle name="Normal 2 2 2 2 2 2 2 2 2 14 7 4" xfId="6496" xr:uid="{97249EB7-8D1C-4E26-B6B8-3D4B754744F6}"/>
    <cellStyle name="Normal 2 2 2 2 2 2 2 2 2 14 7 5" xfId="6497" xr:uid="{10C8C1A3-13A7-49BD-B8FA-2A79383D6CC9}"/>
    <cellStyle name="Normal 2 2 2 2 2 2 2 2 2 14 7 6" xfId="6498" xr:uid="{1713B151-ABB8-4FCB-A314-238A8D971DF7}"/>
    <cellStyle name="Normal 2 2 2 2 2 2 2 2 2 14 8" xfId="6499" xr:uid="{69010E9D-171A-4F77-B411-4888AC17A31C}"/>
    <cellStyle name="Normal 2 2 2 2 2 2 2 2 2 14 9" xfId="6500" xr:uid="{6517FF13-14C3-4830-8A98-C255160A71B4}"/>
    <cellStyle name="Normal 2 2 2 2 2 2 2 2 2 15" xfId="6501" xr:uid="{0AC84E72-95CF-4966-865E-FD8DCEA45F09}"/>
    <cellStyle name="Normal 2 2 2 2 2 2 2 2 2 16" xfId="6502" xr:uid="{8987BA20-65BC-4C87-9C65-EDBA5D57860B}"/>
    <cellStyle name="Normal 2 2 2 2 2 2 2 2 2 17" xfId="6503" xr:uid="{D1FA9CCA-18E2-4932-8369-7EBFEEACD112}"/>
    <cellStyle name="Normal 2 2 2 2 2 2 2 2 2 18" xfId="6504" xr:uid="{DCE2E6A2-B53C-4344-9574-E5F309F47A6A}"/>
    <cellStyle name="Normal 2 2 2 2 2 2 2 2 2 19" xfId="6505" xr:uid="{481A368A-95D9-445D-9B41-E1EDDAA46731}"/>
    <cellStyle name="Normal 2 2 2 2 2 2 2 2 2 2" xfId="6506" xr:uid="{80E46AAB-63EA-4558-9E79-8F623120FECA}"/>
    <cellStyle name="Normal 2 2 2 2 2 2 2 2 2 2 10" xfId="6507" xr:uid="{857107EB-6F7D-493C-B8C5-DF951F58D12C}"/>
    <cellStyle name="Normal 2 2 2 2 2 2 2 2 2 2 11" xfId="6508" xr:uid="{9912736F-AB8A-4CC1-A21E-75B2478CCCB1}"/>
    <cellStyle name="Normal 2 2 2 2 2 2 2 2 2 2 12" xfId="6509" xr:uid="{25FEC192-AF58-48D2-AA9D-BBA187FDA272}"/>
    <cellStyle name="Normal 2 2 2 2 2 2 2 2 2 2 12 10" xfId="6510" xr:uid="{AAC5EC40-7B59-4942-B006-675B0D36CA1E}"/>
    <cellStyle name="Normal 2 2 2 2 2 2 2 2 2 2 12 11" xfId="6511" xr:uid="{66F6A16F-BF0C-45A9-8935-67D692B72CE2}"/>
    <cellStyle name="Normal 2 2 2 2 2 2 2 2 2 2 12 11 10" xfId="6512" xr:uid="{853012F9-2DA9-4F4F-BF14-0D6EF0CE4671}"/>
    <cellStyle name="Normal 2 2 2 2 2 2 2 2 2 2 12 11 11" xfId="6513" xr:uid="{255225D9-6D26-44E5-BFAF-4949EFBD7D62}"/>
    <cellStyle name="Normal 2 2 2 2 2 2 2 2 2 2 12 11 11 2" xfId="6514" xr:uid="{891DCF8E-D12A-4FE7-BAC5-50E27324471B}"/>
    <cellStyle name="Normal 2 2 2 2 2 2 2 2 2 2 12 11 11 3" xfId="6515" xr:uid="{4DD3749F-D16E-41F9-A0C0-0B80416C40D2}"/>
    <cellStyle name="Normal 2 2 2 2 2 2 2 2 2 2 12 11 11 4" xfId="6516" xr:uid="{2F4AB1ED-1B08-4D4F-B8B6-81F48130F609}"/>
    <cellStyle name="Normal 2 2 2 2 2 2 2 2 2 2 12 11 12" xfId="6517" xr:uid="{75FB8863-54E7-48E2-BBD1-0BA707631481}"/>
    <cellStyle name="Normal 2 2 2 2 2 2 2 2 2 2 12 11 13" xfId="6518" xr:uid="{15E823C4-B3CA-4175-AF4A-19113CFF65B8}"/>
    <cellStyle name="Normal 2 2 2 2 2 2 2 2 2 2 12 11 14" xfId="6519" xr:uid="{FA8DCAFB-2604-42E3-B43D-249D66126652}"/>
    <cellStyle name="Normal 2 2 2 2 2 2 2 2 2 2 12 11 2" xfId="6520" xr:uid="{315500A9-360B-4DCF-87EE-DA510CE95A2E}"/>
    <cellStyle name="Normal 2 2 2 2 2 2 2 2 2 2 12 11 2 10" xfId="6521" xr:uid="{2AA78E9E-42DD-48EA-B49F-7699540E9079}"/>
    <cellStyle name="Normal 2 2 2 2 2 2 2 2 2 2 12 11 2 11" xfId="6522" xr:uid="{82C0F680-099D-4532-B18C-F48EB0687551}"/>
    <cellStyle name="Normal 2 2 2 2 2 2 2 2 2 2 12 11 2 2" xfId="6523" xr:uid="{846F8FD7-370C-4662-8469-8EF9222738C2}"/>
    <cellStyle name="Normal 2 2 2 2 2 2 2 2 2 2 12 11 2 2 10" xfId="6524" xr:uid="{5645385D-5E72-45EE-9AE6-60DE922980FB}"/>
    <cellStyle name="Normal 2 2 2 2 2 2 2 2 2 2 12 11 2 2 11" xfId="6525" xr:uid="{F87B2715-2715-45C2-9EEE-4D4AAE5FC3A2}"/>
    <cellStyle name="Normal 2 2 2 2 2 2 2 2 2 2 12 11 2 2 2" xfId="6526" xr:uid="{57CBC2A7-508E-4509-A1EB-4944ABFB4D14}"/>
    <cellStyle name="Normal 2 2 2 2 2 2 2 2 2 2 12 11 2 2 2 2" xfId="6527" xr:uid="{F351A2C1-5775-4E39-B659-355A1C79FA81}"/>
    <cellStyle name="Normal 2 2 2 2 2 2 2 2 2 2 12 11 2 2 2 2 2" xfId="6528" xr:uid="{57C89D1F-2ABB-470F-9D0E-5FC28674C259}"/>
    <cellStyle name="Normal 2 2 2 2 2 2 2 2 2 2 12 11 2 2 2 2 3" xfId="6529" xr:uid="{41E12436-D66C-4706-BF3A-7604708C495C}"/>
    <cellStyle name="Normal 2 2 2 2 2 2 2 2 2 2 12 11 2 2 2 2 4" xfId="6530" xr:uid="{1B6F2C37-FF86-499B-8C26-067DA6C1AD9D}"/>
    <cellStyle name="Normal 2 2 2 2 2 2 2 2 2 2 12 11 2 2 2 3" xfId="6531" xr:uid="{F22BEDBE-7C12-44AC-BBEF-24F3609ABE32}"/>
    <cellStyle name="Normal 2 2 2 2 2 2 2 2 2 2 12 11 2 2 2 4" xfId="6532" xr:uid="{EBD46130-D07A-4883-A72A-9DCE90905613}"/>
    <cellStyle name="Normal 2 2 2 2 2 2 2 2 2 2 12 11 2 2 2 5" xfId="6533" xr:uid="{7028CA8A-8072-4235-AD03-1838D5698FE9}"/>
    <cellStyle name="Normal 2 2 2 2 2 2 2 2 2 2 12 11 2 2 2 6" xfId="6534" xr:uid="{ECF5974F-BF1C-46ED-ADAB-7E87817F3D83}"/>
    <cellStyle name="Normal 2 2 2 2 2 2 2 2 2 2 12 11 2 2 3" xfId="6535" xr:uid="{46E2047F-1E3E-4FD2-B64C-74FA1CC6C9A0}"/>
    <cellStyle name="Normal 2 2 2 2 2 2 2 2 2 2 12 11 2 2 4" xfId="6536" xr:uid="{A4EBE0EF-B4F0-43F7-9B8A-BC52D4E49C9A}"/>
    <cellStyle name="Normal 2 2 2 2 2 2 2 2 2 2 12 11 2 2 5" xfId="6537" xr:uid="{9B625065-6A24-49DD-AE49-DB91B326E43C}"/>
    <cellStyle name="Normal 2 2 2 2 2 2 2 2 2 2 12 11 2 2 6" xfId="6538" xr:uid="{867DE759-BC7F-410C-810A-9B409A18B596}"/>
    <cellStyle name="Normal 2 2 2 2 2 2 2 2 2 2 12 11 2 2 7" xfId="6539" xr:uid="{3CD6CE2E-1E6D-4FB1-8F19-13E732B6D658}"/>
    <cellStyle name="Normal 2 2 2 2 2 2 2 2 2 2 12 11 2 2 8" xfId="6540" xr:uid="{2C8F6134-1185-4CBE-B8A1-04A22A746BE8}"/>
    <cellStyle name="Normal 2 2 2 2 2 2 2 2 2 2 12 11 2 2 8 2" xfId="6541" xr:uid="{0A86C09F-C690-49BD-913D-B5B1411FB79C}"/>
    <cellStyle name="Normal 2 2 2 2 2 2 2 2 2 2 12 11 2 2 8 3" xfId="6542" xr:uid="{9150BD47-51F5-4629-B3BE-1805814F9DA2}"/>
    <cellStyle name="Normal 2 2 2 2 2 2 2 2 2 2 12 11 2 2 8 4" xfId="6543" xr:uid="{9A61D4EE-E083-4AC5-AAA0-9156E0C9B36F}"/>
    <cellStyle name="Normal 2 2 2 2 2 2 2 2 2 2 12 11 2 2 9" xfId="6544" xr:uid="{BD0824E5-CD3B-45E8-9F8B-AFD1924C3DB2}"/>
    <cellStyle name="Normal 2 2 2 2 2 2 2 2 2 2 12 11 2 3" xfId="6545" xr:uid="{B4F9CD6E-66C4-426A-AA37-D871754F20DE}"/>
    <cellStyle name="Normal 2 2 2 2 2 2 2 2 2 2 12 11 2 3 2" xfId="6546" xr:uid="{A2ABD182-3640-42B0-90DE-5BAD31E53E6A}"/>
    <cellStyle name="Normal 2 2 2 2 2 2 2 2 2 2 12 11 2 3 2 2" xfId="6547" xr:uid="{BD32BA6F-EA22-4C46-8579-1BA58616A5A9}"/>
    <cellStyle name="Normal 2 2 2 2 2 2 2 2 2 2 12 11 2 3 2 3" xfId="6548" xr:uid="{41E2FF61-E8A0-4B2F-83E3-99EA1358C780}"/>
    <cellStyle name="Normal 2 2 2 2 2 2 2 2 2 2 12 11 2 3 2 4" xfId="6549" xr:uid="{61BA91A4-FDD7-40D5-BAFC-B1901D157D25}"/>
    <cellStyle name="Normal 2 2 2 2 2 2 2 2 2 2 12 11 2 3 3" xfId="6550" xr:uid="{413FD49E-22B4-45C3-A4E3-D98A49D8B0AF}"/>
    <cellStyle name="Normal 2 2 2 2 2 2 2 2 2 2 12 11 2 3 4" xfId="6551" xr:uid="{BAC00CAE-E3D0-42EA-9F37-63A6F611E94B}"/>
    <cellStyle name="Normal 2 2 2 2 2 2 2 2 2 2 12 11 2 3 5" xfId="6552" xr:uid="{EEAE8EB4-D176-46D0-95F9-52FD41FF8F62}"/>
    <cellStyle name="Normal 2 2 2 2 2 2 2 2 2 2 12 11 2 3 6" xfId="6553" xr:uid="{E31D9DB7-5D23-416C-A4D4-C9E2607ECDAE}"/>
    <cellStyle name="Normal 2 2 2 2 2 2 2 2 2 2 12 11 2 4" xfId="6554" xr:uid="{90CAADEC-46DC-4FFC-93F2-D30961A7CCC5}"/>
    <cellStyle name="Normal 2 2 2 2 2 2 2 2 2 2 12 11 2 5" xfId="6555" xr:uid="{22A4B03D-60F2-4E9E-AAF3-8EB508735309}"/>
    <cellStyle name="Normal 2 2 2 2 2 2 2 2 2 2 12 11 2 6" xfId="6556" xr:uid="{EDE7173A-C64A-4130-BF17-DA2586FEA2AD}"/>
    <cellStyle name="Normal 2 2 2 2 2 2 2 2 2 2 12 11 2 7" xfId="6557" xr:uid="{75C2A885-2044-446B-AB69-03C778214049}"/>
    <cellStyle name="Normal 2 2 2 2 2 2 2 2 2 2 12 11 2 8" xfId="6558" xr:uid="{AB8FF7D7-7C0D-454E-B543-1FEFD3B159E2}"/>
    <cellStyle name="Normal 2 2 2 2 2 2 2 2 2 2 12 11 2 8 2" xfId="6559" xr:uid="{98AE6289-2AB3-4395-A29B-414EC2CCE2FB}"/>
    <cellStyle name="Normal 2 2 2 2 2 2 2 2 2 2 12 11 2 8 3" xfId="6560" xr:uid="{53F3C031-1669-4C03-B128-412E1BE14D9E}"/>
    <cellStyle name="Normal 2 2 2 2 2 2 2 2 2 2 12 11 2 8 4" xfId="6561" xr:uid="{5D558F97-2DAC-4C50-A340-88B0CBAADE74}"/>
    <cellStyle name="Normal 2 2 2 2 2 2 2 2 2 2 12 11 2 9" xfId="6562" xr:uid="{A0EBCC72-5E34-4D17-BCA5-CA495B9CA8B2}"/>
    <cellStyle name="Normal 2 2 2 2 2 2 2 2 2 2 12 11 3" xfId="6563" xr:uid="{B0E8A791-5E96-44E3-80B2-2F6274E07350}"/>
    <cellStyle name="Normal 2 2 2 2 2 2 2 2 2 2 12 11 4" xfId="6564" xr:uid="{C42F87B2-2252-41C6-99EC-7E2F75FB9E96}"/>
    <cellStyle name="Normal 2 2 2 2 2 2 2 2 2 2 12 11 5" xfId="6565" xr:uid="{348CA0F2-A2B8-481B-9F52-FDBBE942C7CB}"/>
    <cellStyle name="Normal 2 2 2 2 2 2 2 2 2 2 12 11 5 2" xfId="6566" xr:uid="{DCFAC3BF-E0A6-4D34-9A7A-30C1DA7DF3E5}"/>
    <cellStyle name="Normal 2 2 2 2 2 2 2 2 2 2 12 11 5 2 2" xfId="6567" xr:uid="{B80EFA6A-CA1A-48D9-8A55-79E15348E02A}"/>
    <cellStyle name="Normal 2 2 2 2 2 2 2 2 2 2 12 11 5 2 3" xfId="6568" xr:uid="{5030F590-DD57-4D87-9BA6-9F5A0424A332}"/>
    <cellStyle name="Normal 2 2 2 2 2 2 2 2 2 2 12 11 5 2 4" xfId="6569" xr:uid="{B3FC5862-4A0F-44CE-920D-71A6AC8C2A1F}"/>
    <cellStyle name="Normal 2 2 2 2 2 2 2 2 2 2 12 11 5 3" xfId="6570" xr:uid="{79CEB866-45B0-4935-937F-A826F5D7CB44}"/>
    <cellStyle name="Normal 2 2 2 2 2 2 2 2 2 2 12 11 5 4" xfId="6571" xr:uid="{E5CAA7BE-DC5E-44D3-B55D-910496B595FF}"/>
    <cellStyle name="Normal 2 2 2 2 2 2 2 2 2 2 12 11 5 5" xfId="6572" xr:uid="{4B060226-8E55-4DAF-9EB3-A47438FDCA13}"/>
    <cellStyle name="Normal 2 2 2 2 2 2 2 2 2 2 12 11 5 6" xfId="6573" xr:uid="{F05C0BDF-8199-4A26-A2C3-0197F15C561A}"/>
    <cellStyle name="Normal 2 2 2 2 2 2 2 2 2 2 12 11 6" xfId="6574" xr:uid="{9D531754-A87E-40B8-8867-2FE499DB25C0}"/>
    <cellStyle name="Normal 2 2 2 2 2 2 2 2 2 2 12 11 7" xfId="6575" xr:uid="{B841EB58-40F1-4C10-9004-D6860A96693C}"/>
    <cellStyle name="Normal 2 2 2 2 2 2 2 2 2 2 12 11 8" xfId="6576" xr:uid="{34A5F2C5-F766-45F4-A65F-764C1BC538B8}"/>
    <cellStyle name="Normal 2 2 2 2 2 2 2 2 2 2 12 11 9" xfId="6577" xr:uid="{DBF615D4-EF1C-4DE2-91BC-C9D454929AD7}"/>
    <cellStyle name="Normal 2 2 2 2 2 2 2 2 2 2 12 12" xfId="6578" xr:uid="{C2D648F4-8388-4572-B199-1B178F6E8B06}"/>
    <cellStyle name="Normal 2 2 2 2 2 2 2 2 2 2 12 13" xfId="6579" xr:uid="{854CF996-D0AE-4558-8162-7EBA531D3E9D}"/>
    <cellStyle name="Normal 2 2 2 2 2 2 2 2 2 2 12 13 10" xfId="6580" xr:uid="{CDCF1A58-7CF6-4C65-A07E-5FA43BD3E72F}"/>
    <cellStyle name="Normal 2 2 2 2 2 2 2 2 2 2 12 13 11" xfId="6581" xr:uid="{4CBE03EF-D32E-426F-B41A-FE1B1267EED1}"/>
    <cellStyle name="Normal 2 2 2 2 2 2 2 2 2 2 12 13 2" xfId="6582" xr:uid="{3C2A5CA5-A01B-4CDB-9C78-33731A62F3DF}"/>
    <cellStyle name="Normal 2 2 2 2 2 2 2 2 2 2 12 13 2 10" xfId="6583" xr:uid="{D4C35689-2621-499A-8A41-7AB308745596}"/>
    <cellStyle name="Normal 2 2 2 2 2 2 2 2 2 2 12 13 2 11" xfId="6584" xr:uid="{DD04E422-3039-427A-860E-6DB3F42D6A41}"/>
    <cellStyle name="Normal 2 2 2 2 2 2 2 2 2 2 12 13 2 2" xfId="6585" xr:uid="{BC939DD7-52D0-4D31-B270-2842A0D9B091}"/>
    <cellStyle name="Normal 2 2 2 2 2 2 2 2 2 2 12 13 2 2 2" xfId="6586" xr:uid="{0C8D64C6-481E-4E58-BEFE-475EECE03722}"/>
    <cellStyle name="Normal 2 2 2 2 2 2 2 2 2 2 12 13 2 2 2 2" xfId="6587" xr:uid="{303B593B-97D4-4A8D-BE14-5D7B94171F67}"/>
    <cellStyle name="Normal 2 2 2 2 2 2 2 2 2 2 12 13 2 2 2 3" xfId="6588" xr:uid="{1F505FB5-0EDE-4E0B-A688-3F430E365D52}"/>
    <cellStyle name="Normal 2 2 2 2 2 2 2 2 2 2 12 13 2 2 2 4" xfId="6589" xr:uid="{321AA76B-15FB-4838-971C-C1C3811B7903}"/>
    <cellStyle name="Normal 2 2 2 2 2 2 2 2 2 2 12 13 2 2 3" xfId="6590" xr:uid="{324707CA-C0FF-4A9F-9CF1-28F3E8DB0FF8}"/>
    <cellStyle name="Normal 2 2 2 2 2 2 2 2 2 2 12 13 2 2 4" xfId="6591" xr:uid="{121BB5AC-DD2A-484E-B92B-64F5E856790D}"/>
    <cellStyle name="Normal 2 2 2 2 2 2 2 2 2 2 12 13 2 2 5" xfId="6592" xr:uid="{AB007CED-AAF9-4C44-8FF8-9B73553F8DD4}"/>
    <cellStyle name="Normal 2 2 2 2 2 2 2 2 2 2 12 13 2 2 6" xfId="6593" xr:uid="{41F2C40C-F926-4E4C-89BA-8DB186AE945F}"/>
    <cellStyle name="Normal 2 2 2 2 2 2 2 2 2 2 12 13 2 3" xfId="6594" xr:uid="{4D7171A9-8A77-4D2A-ABB8-0A596E107CB2}"/>
    <cellStyle name="Normal 2 2 2 2 2 2 2 2 2 2 12 13 2 4" xfId="6595" xr:uid="{FA72CEEF-3A40-49BB-92A1-21D967FD4F3C}"/>
    <cellStyle name="Normal 2 2 2 2 2 2 2 2 2 2 12 13 2 5" xfId="6596" xr:uid="{98F15E3B-AC25-4A18-BD26-BAFBDE0A0AE9}"/>
    <cellStyle name="Normal 2 2 2 2 2 2 2 2 2 2 12 13 2 6" xfId="6597" xr:uid="{8885C4AE-3F9C-4C73-939F-360AE1E057B9}"/>
    <cellStyle name="Normal 2 2 2 2 2 2 2 2 2 2 12 13 2 7" xfId="6598" xr:uid="{4470F3C5-8033-494C-8749-7A0CF5EC1072}"/>
    <cellStyle name="Normal 2 2 2 2 2 2 2 2 2 2 12 13 2 8" xfId="6599" xr:uid="{AA520E33-FC58-4335-B104-79E1309EE60B}"/>
    <cellStyle name="Normal 2 2 2 2 2 2 2 2 2 2 12 13 2 8 2" xfId="6600" xr:uid="{DAA26EDD-B6CB-42AF-8649-5F085FFEC761}"/>
    <cellStyle name="Normal 2 2 2 2 2 2 2 2 2 2 12 13 2 8 3" xfId="6601" xr:uid="{D41C0F11-35AE-4467-B585-31A81EF261F0}"/>
    <cellStyle name="Normal 2 2 2 2 2 2 2 2 2 2 12 13 2 8 4" xfId="6602" xr:uid="{B59B0F8D-44AB-4C2B-A1D1-7EDF4569D614}"/>
    <cellStyle name="Normal 2 2 2 2 2 2 2 2 2 2 12 13 2 9" xfId="6603" xr:uid="{591E4F82-E887-457B-9A02-45FDD5BD5C24}"/>
    <cellStyle name="Normal 2 2 2 2 2 2 2 2 2 2 12 13 3" xfId="6604" xr:uid="{12265EC8-8148-45DA-823E-36EDEEADBB0B}"/>
    <cellStyle name="Normal 2 2 2 2 2 2 2 2 2 2 12 13 3 2" xfId="6605" xr:uid="{1EF5B0FF-9A0F-40C5-9E8E-87E6385EE5DA}"/>
    <cellStyle name="Normal 2 2 2 2 2 2 2 2 2 2 12 13 3 2 2" xfId="6606" xr:uid="{28B42CE8-CB5B-4A06-A11C-1DDDCC587759}"/>
    <cellStyle name="Normal 2 2 2 2 2 2 2 2 2 2 12 13 3 2 3" xfId="6607" xr:uid="{BC7F3565-5906-494A-97C6-3C9149446917}"/>
    <cellStyle name="Normal 2 2 2 2 2 2 2 2 2 2 12 13 3 2 4" xfId="6608" xr:uid="{A7F33F8F-F9F0-43D1-AA2A-7FA47BA67776}"/>
    <cellStyle name="Normal 2 2 2 2 2 2 2 2 2 2 12 13 3 3" xfId="6609" xr:uid="{1929E00D-A8D1-4D5E-A99A-814FC7583018}"/>
    <cellStyle name="Normal 2 2 2 2 2 2 2 2 2 2 12 13 3 4" xfId="6610" xr:uid="{3B0CC712-6BC9-4594-ABE5-515120A977CB}"/>
    <cellStyle name="Normal 2 2 2 2 2 2 2 2 2 2 12 13 3 5" xfId="6611" xr:uid="{C1FA1041-260E-4649-8ADD-4D46762E4F4F}"/>
    <cellStyle name="Normal 2 2 2 2 2 2 2 2 2 2 12 13 3 6" xfId="6612" xr:uid="{BDA91163-58B2-499A-8B6F-1887CF310A8C}"/>
    <cellStyle name="Normal 2 2 2 2 2 2 2 2 2 2 12 13 4" xfId="6613" xr:uid="{8DEBA873-3536-4E03-B583-342F3803E58E}"/>
    <cellStyle name="Normal 2 2 2 2 2 2 2 2 2 2 12 13 5" xfId="6614" xr:uid="{B82F370B-4298-4E2E-A79D-80C75EBCE143}"/>
    <cellStyle name="Normal 2 2 2 2 2 2 2 2 2 2 12 13 6" xfId="6615" xr:uid="{140CE67C-D24C-42AE-ABBD-C7D4B77B27FA}"/>
    <cellStyle name="Normal 2 2 2 2 2 2 2 2 2 2 12 13 7" xfId="6616" xr:uid="{9043DAFB-1FAA-4C87-9074-FE0BE6BCAD19}"/>
    <cellStyle name="Normal 2 2 2 2 2 2 2 2 2 2 12 13 8" xfId="6617" xr:uid="{B37EE0A1-369E-4DD9-93FB-66B282547BF1}"/>
    <cellStyle name="Normal 2 2 2 2 2 2 2 2 2 2 12 13 8 2" xfId="6618" xr:uid="{5B479549-2E69-4974-94FC-9501E1F71EB8}"/>
    <cellStyle name="Normal 2 2 2 2 2 2 2 2 2 2 12 13 8 3" xfId="6619" xr:uid="{7BD051F5-7FDB-43C4-B12E-2887B3B66934}"/>
    <cellStyle name="Normal 2 2 2 2 2 2 2 2 2 2 12 13 8 4" xfId="6620" xr:uid="{CFA7F1B7-9BB3-40BD-853C-253A4C5F926B}"/>
    <cellStyle name="Normal 2 2 2 2 2 2 2 2 2 2 12 13 9" xfId="6621" xr:uid="{D263D973-C9A7-47D3-940A-68942336A4AD}"/>
    <cellStyle name="Normal 2 2 2 2 2 2 2 2 2 2 12 14" xfId="6622" xr:uid="{ABB24F51-9B56-4F7C-BD90-4C89FA770FD1}"/>
    <cellStyle name="Normal 2 2 2 2 2 2 2 2 2 2 12 15" xfId="6623" xr:uid="{D49B6642-D698-49EB-ADA8-96AF1401977D}"/>
    <cellStyle name="Normal 2 2 2 2 2 2 2 2 2 2 12 15 2" xfId="6624" xr:uid="{5C2B4DA9-A9DC-4AC8-93B2-6B05031F90BE}"/>
    <cellStyle name="Normal 2 2 2 2 2 2 2 2 2 2 12 15 2 2" xfId="6625" xr:uid="{AEA7B34F-0A04-4C34-B6D7-24D2FC676378}"/>
    <cellStyle name="Normal 2 2 2 2 2 2 2 2 2 2 12 15 2 3" xfId="6626" xr:uid="{620A3B29-281B-448C-99B8-B8B50A561693}"/>
    <cellStyle name="Normal 2 2 2 2 2 2 2 2 2 2 12 15 2 4" xfId="6627" xr:uid="{657A67D3-9951-4478-BEBF-ECC195416A29}"/>
    <cellStyle name="Normal 2 2 2 2 2 2 2 2 2 2 12 15 3" xfId="6628" xr:uid="{BD936AB1-CBBB-443E-ACB5-54D8D413703B}"/>
    <cellStyle name="Normal 2 2 2 2 2 2 2 2 2 2 12 15 4" xfId="6629" xr:uid="{7A508111-93FC-4D27-812A-FB787BC5AFD1}"/>
    <cellStyle name="Normal 2 2 2 2 2 2 2 2 2 2 12 15 5" xfId="6630" xr:uid="{422CE713-0A66-4B07-8835-C9D45C73BE4C}"/>
    <cellStyle name="Normal 2 2 2 2 2 2 2 2 2 2 12 15 6" xfId="6631" xr:uid="{0FC450B8-80F1-4C8D-806D-FB84E5E01D58}"/>
    <cellStyle name="Normal 2 2 2 2 2 2 2 2 2 2 12 16" xfId="6632" xr:uid="{4BAA09F3-1D2F-4CB6-96AC-E95D0E8F3FD6}"/>
    <cellStyle name="Normal 2 2 2 2 2 2 2 2 2 2 12 17" xfId="6633" xr:uid="{26E6D2E3-9419-496D-A816-1F42FFD7960F}"/>
    <cellStyle name="Normal 2 2 2 2 2 2 2 2 2 2 12 18" xfId="6634" xr:uid="{6F269A2C-CF44-4EEF-9B7B-A1DC1F6C5ED1}"/>
    <cellStyle name="Normal 2 2 2 2 2 2 2 2 2 2 12 19" xfId="6635" xr:uid="{0A3909AD-BAE3-428D-BEBE-565CACF94ADA}"/>
    <cellStyle name="Normal 2 2 2 2 2 2 2 2 2 2 12 2" xfId="6636" xr:uid="{AE95CB25-B1B8-4F90-B96D-B9529BE15F08}"/>
    <cellStyle name="Normal 2 2 2 2 2 2 2 2 2 2 12 2 10" xfId="6637" xr:uid="{F00B4DB9-4245-4117-B22B-2957EB38F174}"/>
    <cellStyle name="Normal 2 2 2 2 2 2 2 2 2 2 12 2 11" xfId="6638" xr:uid="{E371EC80-5A0D-49DB-93B3-B3FEE555E6B9}"/>
    <cellStyle name="Normal 2 2 2 2 2 2 2 2 2 2 12 2 12" xfId="6639" xr:uid="{568F8FDA-91D1-4D3F-8924-23C14A324E61}"/>
    <cellStyle name="Normal 2 2 2 2 2 2 2 2 2 2 12 2 13" xfId="6640" xr:uid="{33BD0337-FEB6-4BE9-9086-671196419C63}"/>
    <cellStyle name="Normal 2 2 2 2 2 2 2 2 2 2 12 2 13 2" xfId="6641" xr:uid="{5CCBC141-2CBC-42A2-A6B3-A6B246732D8C}"/>
    <cellStyle name="Normal 2 2 2 2 2 2 2 2 2 2 12 2 13 3" xfId="6642" xr:uid="{02FC7C48-040B-4876-B20F-0D7B1F39FCAB}"/>
    <cellStyle name="Normal 2 2 2 2 2 2 2 2 2 2 12 2 13 4" xfId="6643" xr:uid="{610EF583-A2D5-4D88-BB6E-1077892EFA08}"/>
    <cellStyle name="Normal 2 2 2 2 2 2 2 2 2 2 12 2 14" xfId="6644" xr:uid="{69CE836D-B58D-4952-8CA8-614745DA5696}"/>
    <cellStyle name="Normal 2 2 2 2 2 2 2 2 2 2 12 2 15" xfId="6645" xr:uid="{7344B699-7A5A-4DBA-8187-FAA3BD11B6F1}"/>
    <cellStyle name="Normal 2 2 2 2 2 2 2 2 2 2 12 2 16" xfId="6646" xr:uid="{B56E49F3-67A5-43F7-A293-2161CE9C5A21}"/>
    <cellStyle name="Normal 2 2 2 2 2 2 2 2 2 2 12 2 2" xfId="6647" xr:uid="{19FF1311-4362-4913-B866-BA410C2C4FAE}"/>
    <cellStyle name="Normal 2 2 2 2 2 2 2 2 2 2 12 2 2 10" xfId="6648" xr:uid="{C2850506-9573-4E48-8D44-4183E6057FAA}"/>
    <cellStyle name="Normal 2 2 2 2 2 2 2 2 2 2 12 2 2 11" xfId="6649" xr:uid="{9815ADC0-39AB-46F8-AF4C-60E9EBC4E430}"/>
    <cellStyle name="Normal 2 2 2 2 2 2 2 2 2 2 12 2 2 11 2" xfId="6650" xr:uid="{DA12FB07-F5E0-420D-8973-94D9945858B5}"/>
    <cellStyle name="Normal 2 2 2 2 2 2 2 2 2 2 12 2 2 11 3" xfId="6651" xr:uid="{DB0ECC4E-8520-4271-95ED-860EC7AEA6D6}"/>
    <cellStyle name="Normal 2 2 2 2 2 2 2 2 2 2 12 2 2 11 4" xfId="6652" xr:uid="{81175F7C-A5A2-4739-B0DD-A7EA75B74652}"/>
    <cellStyle name="Normal 2 2 2 2 2 2 2 2 2 2 12 2 2 12" xfId="6653" xr:uid="{A4D94EB5-F8F7-47DE-8C84-FF621E821BEC}"/>
    <cellStyle name="Normal 2 2 2 2 2 2 2 2 2 2 12 2 2 13" xfId="6654" xr:uid="{7777AD1D-9F2C-416B-B3F9-82D15C44CA9C}"/>
    <cellStyle name="Normal 2 2 2 2 2 2 2 2 2 2 12 2 2 14" xfId="6655" xr:uid="{ACB64778-886F-4717-A0F2-13C5B18C4B0E}"/>
    <cellStyle name="Normal 2 2 2 2 2 2 2 2 2 2 12 2 2 2" xfId="6656" xr:uid="{4E172065-A509-47B6-9430-D6893DB24BB7}"/>
    <cellStyle name="Normal 2 2 2 2 2 2 2 2 2 2 12 2 2 2 10" xfId="6657" xr:uid="{02091F36-09B5-4E69-9A16-4EC2F3763D53}"/>
    <cellStyle name="Normal 2 2 2 2 2 2 2 2 2 2 12 2 2 2 11" xfId="6658" xr:uid="{ED10D352-07A4-4444-AC43-552988A1DCE9}"/>
    <cellStyle name="Normal 2 2 2 2 2 2 2 2 2 2 12 2 2 2 2" xfId="6659" xr:uid="{C4788A36-6811-4608-8F3D-1DEB0438DF34}"/>
    <cellStyle name="Normal 2 2 2 2 2 2 2 2 2 2 12 2 2 2 2 10" xfId="6660" xr:uid="{18F694BC-6E6D-47FE-9EED-9FEF4393429E}"/>
    <cellStyle name="Normal 2 2 2 2 2 2 2 2 2 2 12 2 2 2 2 11" xfId="6661" xr:uid="{3A0AF8D3-6CEE-481F-B14C-31F7246612C8}"/>
    <cellStyle name="Normal 2 2 2 2 2 2 2 2 2 2 12 2 2 2 2 2" xfId="6662" xr:uid="{174091ED-0FAE-446F-A46A-0D77397B0FF6}"/>
    <cellStyle name="Normal 2 2 2 2 2 2 2 2 2 2 12 2 2 2 2 2 2" xfId="6663" xr:uid="{1C6255E7-61FD-45CE-9CE8-A125F6133060}"/>
    <cellStyle name="Normal 2 2 2 2 2 2 2 2 2 2 12 2 2 2 2 2 2 2" xfId="6664" xr:uid="{C6950397-F374-4641-8C79-578D688DF03F}"/>
    <cellStyle name="Normal 2 2 2 2 2 2 2 2 2 2 12 2 2 2 2 2 2 3" xfId="6665" xr:uid="{23BC6EDF-EDC2-4DE5-B988-A39C83D5B68F}"/>
    <cellStyle name="Normal 2 2 2 2 2 2 2 2 2 2 12 2 2 2 2 2 2 4" xfId="6666" xr:uid="{CF3B8C5E-B0F6-4354-8272-0F23F2F9FEB9}"/>
    <cellStyle name="Normal 2 2 2 2 2 2 2 2 2 2 12 2 2 2 2 2 3" xfId="6667" xr:uid="{B00C64BD-E501-4CC1-BB1C-1A87BE9E6CA5}"/>
    <cellStyle name="Normal 2 2 2 2 2 2 2 2 2 2 12 2 2 2 2 2 4" xfId="6668" xr:uid="{7DB915F0-1985-4FBA-A01C-B0459F0407BF}"/>
    <cellStyle name="Normal 2 2 2 2 2 2 2 2 2 2 12 2 2 2 2 2 5" xfId="6669" xr:uid="{F1BB391F-B915-4596-932C-BA171A532A08}"/>
    <cellStyle name="Normal 2 2 2 2 2 2 2 2 2 2 12 2 2 2 2 2 6" xfId="6670" xr:uid="{95FA75B6-D6FB-497D-801B-C667A123E564}"/>
    <cellStyle name="Normal 2 2 2 2 2 2 2 2 2 2 12 2 2 2 2 3" xfId="6671" xr:uid="{A2E3C5AA-1CDD-4098-9A2D-B97848863A9D}"/>
    <cellStyle name="Normal 2 2 2 2 2 2 2 2 2 2 12 2 2 2 2 4" xfId="6672" xr:uid="{34E0D3E9-6D6C-496F-8A96-402742221285}"/>
    <cellStyle name="Normal 2 2 2 2 2 2 2 2 2 2 12 2 2 2 2 5" xfId="6673" xr:uid="{C16DDB2B-015E-4B69-9B64-8E771BE69AC5}"/>
    <cellStyle name="Normal 2 2 2 2 2 2 2 2 2 2 12 2 2 2 2 6" xfId="6674" xr:uid="{6CA42375-AFC7-459F-8960-A09FD03D2F84}"/>
    <cellStyle name="Normal 2 2 2 2 2 2 2 2 2 2 12 2 2 2 2 7" xfId="6675" xr:uid="{163F2575-5F3C-421E-98F5-99CF4402A3AF}"/>
    <cellStyle name="Normal 2 2 2 2 2 2 2 2 2 2 12 2 2 2 2 8" xfId="6676" xr:uid="{DFF940B5-677C-40A2-93B5-5297E6914D5D}"/>
    <cellStyle name="Normal 2 2 2 2 2 2 2 2 2 2 12 2 2 2 2 8 2" xfId="6677" xr:uid="{1C85B61A-40AE-4BFA-B461-6211D5EA9C24}"/>
    <cellStyle name="Normal 2 2 2 2 2 2 2 2 2 2 12 2 2 2 2 8 3" xfId="6678" xr:uid="{BB8AFBFC-01E3-49BD-ADB0-C1B224886D46}"/>
    <cellStyle name="Normal 2 2 2 2 2 2 2 2 2 2 12 2 2 2 2 8 4" xfId="6679" xr:uid="{371499F8-11AC-4B3F-8F61-F09F3099E7F5}"/>
    <cellStyle name="Normal 2 2 2 2 2 2 2 2 2 2 12 2 2 2 2 9" xfId="6680" xr:uid="{E0CA988A-882E-400F-8DF9-AF1195257C6F}"/>
    <cellStyle name="Normal 2 2 2 2 2 2 2 2 2 2 12 2 2 2 3" xfId="6681" xr:uid="{541F2D6A-8133-46A7-9FD6-F33690824813}"/>
    <cellStyle name="Normal 2 2 2 2 2 2 2 2 2 2 12 2 2 2 3 2" xfId="6682" xr:uid="{1E26E907-E89C-435F-A3EE-E6DD3AF38C60}"/>
    <cellStyle name="Normal 2 2 2 2 2 2 2 2 2 2 12 2 2 2 3 2 2" xfId="6683" xr:uid="{ED3F3E2C-3C04-42DB-B3B2-D8787F4BEFFB}"/>
    <cellStyle name="Normal 2 2 2 2 2 2 2 2 2 2 12 2 2 2 3 2 3" xfId="6684" xr:uid="{2990E0E5-71D5-4C98-A7D1-C4944595B0B5}"/>
    <cellStyle name="Normal 2 2 2 2 2 2 2 2 2 2 12 2 2 2 3 2 4" xfId="6685" xr:uid="{839FC079-A83B-4CEB-8CFA-0E19D5FE4BFE}"/>
    <cellStyle name="Normal 2 2 2 2 2 2 2 2 2 2 12 2 2 2 3 3" xfId="6686" xr:uid="{26250DDE-C99A-4D23-8214-8C268C815BF3}"/>
    <cellStyle name="Normal 2 2 2 2 2 2 2 2 2 2 12 2 2 2 3 4" xfId="6687" xr:uid="{A8D282A8-D4AE-41F5-917E-097FC3924CB3}"/>
    <cellStyle name="Normal 2 2 2 2 2 2 2 2 2 2 12 2 2 2 3 5" xfId="6688" xr:uid="{E17B180C-0284-4B0B-8B83-188295C0480B}"/>
    <cellStyle name="Normal 2 2 2 2 2 2 2 2 2 2 12 2 2 2 3 6" xfId="6689" xr:uid="{03B68AD7-CFF9-4DDF-9156-ACAAA75C31CF}"/>
    <cellStyle name="Normal 2 2 2 2 2 2 2 2 2 2 12 2 2 2 4" xfId="6690" xr:uid="{4701496C-0D65-424A-A370-9F8AA99A5938}"/>
    <cellStyle name="Normal 2 2 2 2 2 2 2 2 2 2 12 2 2 2 5" xfId="6691" xr:uid="{8575EDE9-C843-49B2-BA39-15114FFF5673}"/>
    <cellStyle name="Normal 2 2 2 2 2 2 2 2 2 2 12 2 2 2 6" xfId="6692" xr:uid="{B859A99A-036B-45DC-8506-9497DF6F3E73}"/>
    <cellStyle name="Normal 2 2 2 2 2 2 2 2 2 2 12 2 2 2 7" xfId="6693" xr:uid="{263C6069-3030-4D6E-85B7-45E3D3B15436}"/>
    <cellStyle name="Normal 2 2 2 2 2 2 2 2 2 2 12 2 2 2 8" xfId="6694" xr:uid="{3FC2C8BA-BC63-45A0-AB75-002802F658C6}"/>
    <cellStyle name="Normal 2 2 2 2 2 2 2 2 2 2 12 2 2 2 8 2" xfId="6695" xr:uid="{9685D55B-54A3-468B-83E3-1D33A3CA4357}"/>
    <cellStyle name="Normal 2 2 2 2 2 2 2 2 2 2 12 2 2 2 8 3" xfId="6696" xr:uid="{6C2BD30D-26CC-4520-ABC1-35F782E41E3D}"/>
    <cellStyle name="Normal 2 2 2 2 2 2 2 2 2 2 12 2 2 2 8 4" xfId="6697" xr:uid="{88640C3E-5CBA-4DC2-90BE-DF8FD0500ACE}"/>
    <cellStyle name="Normal 2 2 2 2 2 2 2 2 2 2 12 2 2 2 9" xfId="6698" xr:uid="{3027A05F-71A9-4598-B1B6-91535374245E}"/>
    <cellStyle name="Normal 2 2 2 2 2 2 2 2 2 2 12 2 2 3" xfId="6699" xr:uid="{353F128C-A648-4690-A100-68833445A69F}"/>
    <cellStyle name="Normal 2 2 2 2 2 2 2 2 2 2 12 2 2 4" xfId="6700" xr:uid="{A3B061E4-08C4-436F-BB3E-83E5470AEA4B}"/>
    <cellStyle name="Normal 2 2 2 2 2 2 2 2 2 2 12 2 2 5" xfId="6701" xr:uid="{DFB6313D-853D-40E9-8869-8022852B0405}"/>
    <cellStyle name="Normal 2 2 2 2 2 2 2 2 2 2 12 2 2 5 2" xfId="6702" xr:uid="{F754B0B5-FDE4-4196-95ED-0A28B6671A2C}"/>
    <cellStyle name="Normal 2 2 2 2 2 2 2 2 2 2 12 2 2 5 2 2" xfId="6703" xr:uid="{31BCFD40-ECF8-4AE3-8224-166DFA6E3C9B}"/>
    <cellStyle name="Normal 2 2 2 2 2 2 2 2 2 2 12 2 2 5 2 3" xfId="6704" xr:uid="{3B40457A-AE50-4FE0-A1CC-49453CE2B1FD}"/>
    <cellStyle name="Normal 2 2 2 2 2 2 2 2 2 2 12 2 2 5 2 4" xfId="6705" xr:uid="{943706EA-8C50-49A9-BD90-0DFC6648EC53}"/>
    <cellStyle name="Normal 2 2 2 2 2 2 2 2 2 2 12 2 2 5 3" xfId="6706" xr:uid="{827492B0-2AF9-4794-8FE4-AF4E0C30C395}"/>
    <cellStyle name="Normal 2 2 2 2 2 2 2 2 2 2 12 2 2 5 4" xfId="6707" xr:uid="{27C81AE7-67FC-4C8D-B62A-30A5F50035FC}"/>
    <cellStyle name="Normal 2 2 2 2 2 2 2 2 2 2 12 2 2 5 5" xfId="6708" xr:uid="{7BC9738D-C1FE-4471-A6D7-A278B4928088}"/>
    <cellStyle name="Normal 2 2 2 2 2 2 2 2 2 2 12 2 2 5 6" xfId="6709" xr:uid="{15DD65BD-DBA4-40D6-8442-F5557BDA76AE}"/>
    <cellStyle name="Normal 2 2 2 2 2 2 2 2 2 2 12 2 2 6" xfId="6710" xr:uid="{6C180BBD-ED55-4D9E-BCDB-E9456D3AEA81}"/>
    <cellStyle name="Normal 2 2 2 2 2 2 2 2 2 2 12 2 2 7" xfId="6711" xr:uid="{94E05F16-0A76-42B0-ACC3-3FDA20F7CCE6}"/>
    <cellStyle name="Normal 2 2 2 2 2 2 2 2 2 2 12 2 2 8" xfId="6712" xr:uid="{7ACEB068-F7AC-4D6A-BEE6-2D2B3AC1246D}"/>
    <cellStyle name="Normal 2 2 2 2 2 2 2 2 2 2 12 2 2 9" xfId="6713" xr:uid="{E44F5611-D77D-459D-9CF8-62BF3F2BA9C7}"/>
    <cellStyle name="Normal 2 2 2 2 2 2 2 2 2 2 12 2 3" xfId="6714" xr:uid="{550C3698-87CC-45BC-871C-491A755E679C}"/>
    <cellStyle name="Normal 2 2 2 2 2 2 2 2 2 2 12 2 4" xfId="6715" xr:uid="{67C56E4C-F229-4041-95E0-0C9E834F32D8}"/>
    <cellStyle name="Normal 2 2 2 2 2 2 2 2 2 2 12 2 5" xfId="6716" xr:uid="{945EAEB4-9849-4AC8-81BA-FD0DE41D338F}"/>
    <cellStyle name="Normal 2 2 2 2 2 2 2 2 2 2 12 2 5 10" xfId="6717" xr:uid="{59A945D4-81BC-48CA-B317-D04150C873E7}"/>
    <cellStyle name="Normal 2 2 2 2 2 2 2 2 2 2 12 2 5 11" xfId="6718" xr:uid="{78AB64AE-70E0-4675-AD8F-D7423D05596E}"/>
    <cellStyle name="Normal 2 2 2 2 2 2 2 2 2 2 12 2 5 2" xfId="6719" xr:uid="{CC09604D-ECD4-4873-B7BA-F0EE33689DBB}"/>
    <cellStyle name="Normal 2 2 2 2 2 2 2 2 2 2 12 2 5 2 10" xfId="6720" xr:uid="{0ABF2108-3D23-437D-82DC-F23657E0DBBC}"/>
    <cellStyle name="Normal 2 2 2 2 2 2 2 2 2 2 12 2 5 2 11" xfId="6721" xr:uid="{E47B8900-6D7A-45FB-9DC5-016AFB14EECF}"/>
    <cellStyle name="Normal 2 2 2 2 2 2 2 2 2 2 12 2 5 2 2" xfId="6722" xr:uid="{82F12EDF-A41F-472B-BB35-E08055F66A24}"/>
    <cellStyle name="Normal 2 2 2 2 2 2 2 2 2 2 12 2 5 2 2 2" xfId="6723" xr:uid="{F9F24258-071A-4B60-BC01-F0DE05111E89}"/>
    <cellStyle name="Normal 2 2 2 2 2 2 2 2 2 2 12 2 5 2 2 2 2" xfId="6724" xr:uid="{936826A7-CAD3-4ED1-998B-59EE1CF4AA73}"/>
    <cellStyle name="Normal 2 2 2 2 2 2 2 2 2 2 12 2 5 2 2 2 3" xfId="6725" xr:uid="{9D438F9A-CE27-49DB-9A4E-233A919372CA}"/>
    <cellStyle name="Normal 2 2 2 2 2 2 2 2 2 2 12 2 5 2 2 2 4" xfId="6726" xr:uid="{43B36CF7-4275-4E1D-A40B-E0323753E4EB}"/>
    <cellStyle name="Normal 2 2 2 2 2 2 2 2 2 2 12 2 5 2 2 3" xfId="6727" xr:uid="{197C5943-B96D-4ABA-94A8-8C17EC8CAA6B}"/>
    <cellStyle name="Normal 2 2 2 2 2 2 2 2 2 2 12 2 5 2 2 4" xfId="6728" xr:uid="{15E5F462-99DB-4460-B41D-0B2157975D06}"/>
    <cellStyle name="Normal 2 2 2 2 2 2 2 2 2 2 12 2 5 2 2 5" xfId="6729" xr:uid="{3DC316FD-CF2B-49FA-B483-60320637BB3A}"/>
    <cellStyle name="Normal 2 2 2 2 2 2 2 2 2 2 12 2 5 2 2 6" xfId="6730" xr:uid="{EB3A6795-9004-4080-A3F6-DE43695015CB}"/>
    <cellStyle name="Normal 2 2 2 2 2 2 2 2 2 2 12 2 5 2 3" xfId="6731" xr:uid="{184D4EFA-A85D-4741-A477-A775E363BE3E}"/>
    <cellStyle name="Normal 2 2 2 2 2 2 2 2 2 2 12 2 5 2 4" xfId="6732" xr:uid="{9740A8B5-B64C-4D3E-B21D-0ACCDCD9C775}"/>
    <cellStyle name="Normal 2 2 2 2 2 2 2 2 2 2 12 2 5 2 5" xfId="6733" xr:uid="{A445F5E8-6670-46D0-BDE5-FB4345F7AA14}"/>
    <cellStyle name="Normal 2 2 2 2 2 2 2 2 2 2 12 2 5 2 6" xfId="6734" xr:uid="{4E1D546D-EA8D-454C-970C-78AFE8006B49}"/>
    <cellStyle name="Normal 2 2 2 2 2 2 2 2 2 2 12 2 5 2 7" xfId="6735" xr:uid="{6B9CFF96-6D23-4EC7-90A4-43CA9FF1FF96}"/>
    <cellStyle name="Normal 2 2 2 2 2 2 2 2 2 2 12 2 5 2 8" xfId="6736" xr:uid="{FD8F5D2D-6FA2-4A86-ACF2-A91EC54D916C}"/>
    <cellStyle name="Normal 2 2 2 2 2 2 2 2 2 2 12 2 5 2 8 2" xfId="6737" xr:uid="{D07F1459-48B7-462D-BDD5-7950A9BC67D1}"/>
    <cellStyle name="Normal 2 2 2 2 2 2 2 2 2 2 12 2 5 2 8 3" xfId="6738" xr:uid="{3A61FD6E-0958-4478-A300-DD2494AEB21A}"/>
    <cellStyle name="Normal 2 2 2 2 2 2 2 2 2 2 12 2 5 2 8 4" xfId="6739" xr:uid="{912CA75F-9212-4113-A8B8-023DEA1DA019}"/>
    <cellStyle name="Normal 2 2 2 2 2 2 2 2 2 2 12 2 5 2 9" xfId="6740" xr:uid="{CA827C42-F468-47E3-A55A-84EA2C001C25}"/>
    <cellStyle name="Normal 2 2 2 2 2 2 2 2 2 2 12 2 5 3" xfId="6741" xr:uid="{23744AF8-8D7C-44CE-9D92-933E29AD3777}"/>
    <cellStyle name="Normal 2 2 2 2 2 2 2 2 2 2 12 2 5 3 2" xfId="6742" xr:uid="{B7D52F38-D778-4D9D-913C-DCB9181BE7B9}"/>
    <cellStyle name="Normal 2 2 2 2 2 2 2 2 2 2 12 2 5 3 2 2" xfId="6743" xr:uid="{EF2CC02F-5865-4627-A876-C1AADC550E25}"/>
    <cellStyle name="Normal 2 2 2 2 2 2 2 2 2 2 12 2 5 3 2 3" xfId="6744" xr:uid="{C87EC89B-FC92-4552-936B-56D236FBE3E3}"/>
    <cellStyle name="Normal 2 2 2 2 2 2 2 2 2 2 12 2 5 3 2 4" xfId="6745" xr:uid="{6C035F8A-CE59-4C12-AB6E-923D48F41A93}"/>
    <cellStyle name="Normal 2 2 2 2 2 2 2 2 2 2 12 2 5 3 3" xfId="6746" xr:uid="{B4328329-7260-477C-854D-3F0AC69AD229}"/>
    <cellStyle name="Normal 2 2 2 2 2 2 2 2 2 2 12 2 5 3 4" xfId="6747" xr:uid="{B5759A4F-047A-40FD-9833-D64AA9740F82}"/>
    <cellStyle name="Normal 2 2 2 2 2 2 2 2 2 2 12 2 5 3 5" xfId="6748" xr:uid="{CD671338-689E-493E-B445-0826F0A5ED4B}"/>
    <cellStyle name="Normal 2 2 2 2 2 2 2 2 2 2 12 2 5 3 6" xfId="6749" xr:uid="{A276D7C2-AF09-4415-9692-2AAD716E36AA}"/>
    <cellStyle name="Normal 2 2 2 2 2 2 2 2 2 2 12 2 5 4" xfId="6750" xr:uid="{9692C55B-63C6-4CBF-ACB5-E6F2521A8219}"/>
    <cellStyle name="Normal 2 2 2 2 2 2 2 2 2 2 12 2 5 5" xfId="6751" xr:uid="{28CE5F79-F21E-4A6D-95C0-4E94EE17EC7F}"/>
    <cellStyle name="Normal 2 2 2 2 2 2 2 2 2 2 12 2 5 6" xfId="6752" xr:uid="{F8D80667-C1BA-4CA5-B858-178D0A66CA7D}"/>
    <cellStyle name="Normal 2 2 2 2 2 2 2 2 2 2 12 2 5 7" xfId="6753" xr:uid="{B14D9D88-E174-4EA4-AC16-4B673892DA1E}"/>
    <cellStyle name="Normal 2 2 2 2 2 2 2 2 2 2 12 2 5 8" xfId="6754" xr:uid="{F321B3F7-7494-4763-BADD-537516F3B671}"/>
    <cellStyle name="Normal 2 2 2 2 2 2 2 2 2 2 12 2 5 8 2" xfId="6755" xr:uid="{9F8DF25F-2FBC-42E9-9760-354EDF7FB280}"/>
    <cellStyle name="Normal 2 2 2 2 2 2 2 2 2 2 12 2 5 8 3" xfId="6756" xr:uid="{D6352561-B4D2-4950-A80F-D82C1261451B}"/>
    <cellStyle name="Normal 2 2 2 2 2 2 2 2 2 2 12 2 5 8 4" xfId="6757" xr:uid="{FCF573CC-A464-46AF-83D7-DFC805146F11}"/>
    <cellStyle name="Normal 2 2 2 2 2 2 2 2 2 2 12 2 5 9" xfId="6758" xr:uid="{5874B01B-E269-400C-9164-FF5912A7A74E}"/>
    <cellStyle name="Normal 2 2 2 2 2 2 2 2 2 2 12 2 6" xfId="6759" xr:uid="{EA20755F-750B-458B-8557-1277E0823AB9}"/>
    <cellStyle name="Normal 2 2 2 2 2 2 2 2 2 2 12 2 7" xfId="6760" xr:uid="{188E0C21-D39C-4929-9889-48E7D78E7C36}"/>
    <cellStyle name="Normal 2 2 2 2 2 2 2 2 2 2 12 2 7 2" xfId="6761" xr:uid="{63D83E8D-F663-42B9-B756-F9B15AB208B6}"/>
    <cellStyle name="Normal 2 2 2 2 2 2 2 2 2 2 12 2 7 2 2" xfId="6762" xr:uid="{37B15513-A4C9-4C29-9DB9-B34634E7E173}"/>
    <cellStyle name="Normal 2 2 2 2 2 2 2 2 2 2 12 2 7 2 3" xfId="6763" xr:uid="{54A7D81F-259C-490E-A97B-5EE51A25C3A3}"/>
    <cellStyle name="Normal 2 2 2 2 2 2 2 2 2 2 12 2 7 2 4" xfId="6764" xr:uid="{30619304-DDF1-4DC6-8488-74D53A79A628}"/>
    <cellStyle name="Normal 2 2 2 2 2 2 2 2 2 2 12 2 7 3" xfId="6765" xr:uid="{D4C20F2E-8332-4631-AA86-AC944C56CD1C}"/>
    <cellStyle name="Normal 2 2 2 2 2 2 2 2 2 2 12 2 7 4" xfId="6766" xr:uid="{948CB327-9AEB-4D12-8A31-95F5D9C0EB4C}"/>
    <cellStyle name="Normal 2 2 2 2 2 2 2 2 2 2 12 2 7 5" xfId="6767" xr:uid="{9A685129-E82E-498F-AEE3-DC35F25D9534}"/>
    <cellStyle name="Normal 2 2 2 2 2 2 2 2 2 2 12 2 7 6" xfId="6768" xr:uid="{7ADA7199-8DD5-411D-8A10-B906AAA48066}"/>
    <cellStyle name="Normal 2 2 2 2 2 2 2 2 2 2 12 2 8" xfId="6769" xr:uid="{E4642FF8-444A-4C9A-9D9D-4F5F3E1968C7}"/>
    <cellStyle name="Normal 2 2 2 2 2 2 2 2 2 2 12 2 9" xfId="6770" xr:uid="{65B82D3B-C7E0-4895-915A-B679883AD9E8}"/>
    <cellStyle name="Normal 2 2 2 2 2 2 2 2 2 2 12 20" xfId="6771" xr:uid="{30F93102-BEB0-4B67-85F7-75615E338835}"/>
    <cellStyle name="Normal 2 2 2 2 2 2 2 2 2 2 12 21" xfId="6772" xr:uid="{9959E1F4-D92B-4B6E-A6B9-C2A34861AC8A}"/>
    <cellStyle name="Normal 2 2 2 2 2 2 2 2 2 2 12 21 2" xfId="6773" xr:uid="{B144C55D-6B8C-4B6B-B006-17A8E733504B}"/>
    <cellStyle name="Normal 2 2 2 2 2 2 2 2 2 2 12 21 3" xfId="6774" xr:uid="{C451CF5F-DA6D-47AD-9342-6996590B5BD7}"/>
    <cellStyle name="Normal 2 2 2 2 2 2 2 2 2 2 12 21 4" xfId="6775" xr:uid="{E8156C2B-30A9-49CF-AAB5-20D0B5E8BCE5}"/>
    <cellStyle name="Normal 2 2 2 2 2 2 2 2 2 2 12 22" xfId="6776" xr:uid="{D6A202C9-B90B-41A5-BE58-562F1AA8FAB7}"/>
    <cellStyle name="Normal 2 2 2 2 2 2 2 2 2 2 12 23" xfId="6777" xr:uid="{22619F40-095D-44E6-914D-5ABEB56BE31E}"/>
    <cellStyle name="Normal 2 2 2 2 2 2 2 2 2 2 12 24" xfId="6778" xr:uid="{9C32FDFA-00A0-4AE1-B5F6-8804E30985FF}"/>
    <cellStyle name="Normal 2 2 2 2 2 2 2 2 2 2 12 3" xfId="6779" xr:uid="{429E5175-A1A4-435D-926C-17BB2FD326B8}"/>
    <cellStyle name="Normal 2 2 2 2 2 2 2 2 2 2 12 4" xfId="6780" xr:uid="{84703FED-CAF2-4817-8201-F0A68680F18A}"/>
    <cellStyle name="Normal 2 2 2 2 2 2 2 2 2 2 12 5" xfId="6781" xr:uid="{C06A8054-CE91-4189-83A4-D179F64B3279}"/>
    <cellStyle name="Normal 2 2 2 2 2 2 2 2 2 2 12 6" xfId="6782" xr:uid="{068248FB-F120-48FB-9172-8F295D6EEE34}"/>
    <cellStyle name="Normal 2 2 2 2 2 2 2 2 2 2 12 7" xfId="6783" xr:uid="{B972161F-6B3C-48F0-8311-23B17C5DB966}"/>
    <cellStyle name="Normal 2 2 2 2 2 2 2 2 2 2 12 8" xfId="6784" xr:uid="{4FA439AE-AC5C-4842-9E66-35D376BB1690}"/>
    <cellStyle name="Normal 2 2 2 2 2 2 2 2 2 2 12 9" xfId="6785" xr:uid="{DC751BD2-A7F4-4E12-A636-78AF6E9591D9}"/>
    <cellStyle name="Normal 2 2 2 2 2 2 2 2 2 2 13" xfId="6786" xr:uid="{F350FA8F-7AD0-4B2F-BAA4-8172AE7DB7D3}"/>
    <cellStyle name="Normal 2 2 2 2 2 2 2 2 2 2 13 10" xfId="6787" xr:uid="{73EE2DC6-823F-44A5-A556-4E02632CAA30}"/>
    <cellStyle name="Normal 2 2 2 2 2 2 2 2 2 2 13 11" xfId="6788" xr:uid="{6ADC90F7-D4E7-42E8-B2A1-0B2B06FEF26B}"/>
    <cellStyle name="Normal 2 2 2 2 2 2 2 2 2 2 13 12" xfId="6789" xr:uid="{D4A7B0B6-B667-405E-957F-E8DAE95FC594}"/>
    <cellStyle name="Normal 2 2 2 2 2 2 2 2 2 2 13 13" xfId="6790" xr:uid="{D1A7FDAF-0937-4418-991F-1C504F725ED1}"/>
    <cellStyle name="Normal 2 2 2 2 2 2 2 2 2 2 13 13 2" xfId="6791" xr:uid="{5E264C8F-F270-451B-9091-D026D5F233A4}"/>
    <cellStyle name="Normal 2 2 2 2 2 2 2 2 2 2 13 13 3" xfId="6792" xr:uid="{52E0FAAB-C750-478D-8640-BDAA6FDC71EE}"/>
    <cellStyle name="Normal 2 2 2 2 2 2 2 2 2 2 13 13 4" xfId="6793" xr:uid="{96419F39-A898-4352-85AF-91C8957D8EC4}"/>
    <cellStyle name="Normal 2 2 2 2 2 2 2 2 2 2 13 14" xfId="6794" xr:uid="{93986CF8-28F5-494A-8A9D-C7DAB6798B47}"/>
    <cellStyle name="Normal 2 2 2 2 2 2 2 2 2 2 13 15" xfId="6795" xr:uid="{1543E54C-65A1-4EEE-8313-A38250C48C80}"/>
    <cellStyle name="Normal 2 2 2 2 2 2 2 2 2 2 13 16" xfId="6796" xr:uid="{A3D1394A-7E4D-4953-8F3C-C13B386717F2}"/>
    <cellStyle name="Normal 2 2 2 2 2 2 2 2 2 2 13 2" xfId="6797" xr:uid="{5B4F26C8-AE35-4D11-82C1-399945518BEC}"/>
    <cellStyle name="Normal 2 2 2 2 2 2 2 2 2 2 13 2 10" xfId="6798" xr:uid="{1E5718FC-558A-4914-B886-238619619D31}"/>
    <cellStyle name="Normal 2 2 2 2 2 2 2 2 2 2 13 2 11" xfId="6799" xr:uid="{E4F76134-3217-4ABE-873F-94E6AAC05966}"/>
    <cellStyle name="Normal 2 2 2 2 2 2 2 2 2 2 13 2 11 2" xfId="6800" xr:uid="{BD03783C-D7ED-483B-82DD-4846CC30CFC7}"/>
    <cellStyle name="Normal 2 2 2 2 2 2 2 2 2 2 13 2 11 3" xfId="6801" xr:uid="{B4D3165F-F3AA-4CB5-9CDB-8776FB67BAFE}"/>
    <cellStyle name="Normal 2 2 2 2 2 2 2 2 2 2 13 2 11 4" xfId="6802" xr:uid="{8ABB4BEA-7C85-4199-A47C-350A5643CF08}"/>
    <cellStyle name="Normal 2 2 2 2 2 2 2 2 2 2 13 2 12" xfId="6803" xr:uid="{09A0538D-5364-4EAC-8A65-C3568D1959E2}"/>
    <cellStyle name="Normal 2 2 2 2 2 2 2 2 2 2 13 2 13" xfId="6804" xr:uid="{A4963F73-7FF6-4BCE-B3D4-504FDD8E0E95}"/>
    <cellStyle name="Normal 2 2 2 2 2 2 2 2 2 2 13 2 14" xfId="6805" xr:uid="{21097168-0B1E-424B-B9DE-21AF7F80F5BD}"/>
    <cellStyle name="Normal 2 2 2 2 2 2 2 2 2 2 13 2 2" xfId="6806" xr:uid="{03D1AD07-2ACC-4CA9-8911-FDAD4CC92BC4}"/>
    <cellStyle name="Normal 2 2 2 2 2 2 2 2 2 2 13 2 2 10" xfId="6807" xr:uid="{9587B72F-BEC6-494C-8A85-E2B66690B8CD}"/>
    <cellStyle name="Normal 2 2 2 2 2 2 2 2 2 2 13 2 2 11" xfId="6808" xr:uid="{D7B9F8C8-F59E-4FB4-9CCC-B145AA0F4A90}"/>
    <cellStyle name="Normal 2 2 2 2 2 2 2 2 2 2 13 2 2 2" xfId="6809" xr:uid="{6678BF1C-D6A4-4940-B898-119B2418BA1D}"/>
    <cellStyle name="Normal 2 2 2 2 2 2 2 2 2 2 13 2 2 2 10" xfId="6810" xr:uid="{3A797A41-0B82-4EB5-83D1-B324FCB1FCB1}"/>
    <cellStyle name="Normal 2 2 2 2 2 2 2 2 2 2 13 2 2 2 11" xfId="6811" xr:uid="{6AD9C84A-1087-4658-A06A-819BF8F504C7}"/>
    <cellStyle name="Normal 2 2 2 2 2 2 2 2 2 2 13 2 2 2 2" xfId="6812" xr:uid="{A5F48A07-4D3E-4C37-8682-86324D66BDE1}"/>
    <cellStyle name="Normal 2 2 2 2 2 2 2 2 2 2 13 2 2 2 2 2" xfId="6813" xr:uid="{35CA99F6-2834-4573-BE97-BD8E188F6E44}"/>
    <cellStyle name="Normal 2 2 2 2 2 2 2 2 2 2 13 2 2 2 2 2 2" xfId="6814" xr:uid="{01A9051C-64E5-4DBC-BC3D-13BB7FE533B1}"/>
    <cellStyle name="Normal 2 2 2 2 2 2 2 2 2 2 13 2 2 2 2 2 3" xfId="6815" xr:uid="{EE0B9A1C-59F4-4ED7-ADAF-FBD012868FBE}"/>
    <cellStyle name="Normal 2 2 2 2 2 2 2 2 2 2 13 2 2 2 2 2 4" xfId="6816" xr:uid="{FE33A50F-B71D-4385-A9C9-99FB19F7FABC}"/>
    <cellStyle name="Normal 2 2 2 2 2 2 2 2 2 2 13 2 2 2 2 3" xfId="6817" xr:uid="{A91E4999-579C-411A-8C48-BADC19EF36E3}"/>
    <cellStyle name="Normal 2 2 2 2 2 2 2 2 2 2 13 2 2 2 2 4" xfId="6818" xr:uid="{390CE35D-E030-4881-820B-E55B063C1E2B}"/>
    <cellStyle name="Normal 2 2 2 2 2 2 2 2 2 2 13 2 2 2 2 5" xfId="6819" xr:uid="{D81B438F-5A6F-46A1-806C-F1B8A4104D04}"/>
    <cellStyle name="Normal 2 2 2 2 2 2 2 2 2 2 13 2 2 2 2 6" xfId="6820" xr:uid="{13248338-C86D-4088-82BF-A81D4C390D30}"/>
    <cellStyle name="Normal 2 2 2 2 2 2 2 2 2 2 13 2 2 2 3" xfId="6821" xr:uid="{2E2778EA-9AE8-461B-BBF6-9F8B620A4D6A}"/>
    <cellStyle name="Normal 2 2 2 2 2 2 2 2 2 2 13 2 2 2 4" xfId="6822" xr:uid="{E2CB9082-F97F-4D22-A8E1-493A07898065}"/>
    <cellStyle name="Normal 2 2 2 2 2 2 2 2 2 2 13 2 2 2 5" xfId="6823" xr:uid="{4CA2CA53-F022-4EE0-B29C-BF950DF0D6A5}"/>
    <cellStyle name="Normal 2 2 2 2 2 2 2 2 2 2 13 2 2 2 6" xfId="6824" xr:uid="{DD101607-6003-4B90-B5FE-B63BC8463284}"/>
    <cellStyle name="Normal 2 2 2 2 2 2 2 2 2 2 13 2 2 2 7" xfId="6825" xr:uid="{4EA703D3-AFF4-454D-B877-B9ED203E8CB9}"/>
    <cellStyle name="Normal 2 2 2 2 2 2 2 2 2 2 13 2 2 2 8" xfId="6826" xr:uid="{24CD498D-2811-4069-9BD0-B753C5E11AEF}"/>
    <cellStyle name="Normal 2 2 2 2 2 2 2 2 2 2 13 2 2 2 8 2" xfId="6827" xr:uid="{97A69413-D039-4D99-A74D-DBFE8EDFC2D3}"/>
    <cellStyle name="Normal 2 2 2 2 2 2 2 2 2 2 13 2 2 2 8 3" xfId="6828" xr:uid="{023F24B4-C1D7-41FC-ADB9-53217EA73F24}"/>
    <cellStyle name="Normal 2 2 2 2 2 2 2 2 2 2 13 2 2 2 8 4" xfId="6829" xr:uid="{4C4C5185-B53C-4A37-851C-8BC31DDD725D}"/>
    <cellStyle name="Normal 2 2 2 2 2 2 2 2 2 2 13 2 2 2 9" xfId="6830" xr:uid="{3EF206BF-61E5-49D9-B745-D20572F83436}"/>
    <cellStyle name="Normal 2 2 2 2 2 2 2 2 2 2 13 2 2 3" xfId="6831" xr:uid="{65D353A3-DA51-45B6-93A4-90459756FF1C}"/>
    <cellStyle name="Normal 2 2 2 2 2 2 2 2 2 2 13 2 2 3 2" xfId="6832" xr:uid="{6194EE64-A657-4D29-BEB0-D491F0EB0221}"/>
    <cellStyle name="Normal 2 2 2 2 2 2 2 2 2 2 13 2 2 3 2 2" xfId="6833" xr:uid="{AED72045-CFEA-443B-9647-A49D43E091DF}"/>
    <cellStyle name="Normal 2 2 2 2 2 2 2 2 2 2 13 2 2 3 2 3" xfId="6834" xr:uid="{38AE36ED-6BFB-45EB-A67E-8C8216209CD6}"/>
    <cellStyle name="Normal 2 2 2 2 2 2 2 2 2 2 13 2 2 3 2 4" xfId="6835" xr:uid="{12573DD8-A927-44CA-9509-95A147D69E00}"/>
    <cellStyle name="Normal 2 2 2 2 2 2 2 2 2 2 13 2 2 3 3" xfId="6836" xr:uid="{7293A335-34B9-4A85-9DCE-5B955F350AE4}"/>
    <cellStyle name="Normal 2 2 2 2 2 2 2 2 2 2 13 2 2 3 4" xfId="6837" xr:uid="{8EB469C0-D1B2-4FBB-97E7-631AC48AF974}"/>
    <cellStyle name="Normal 2 2 2 2 2 2 2 2 2 2 13 2 2 3 5" xfId="6838" xr:uid="{A2306367-565E-4260-B1E7-A3ADEE5E2E09}"/>
    <cellStyle name="Normal 2 2 2 2 2 2 2 2 2 2 13 2 2 3 6" xfId="6839" xr:uid="{9805C412-CC7B-47DF-AE27-2BD3C05A3741}"/>
    <cellStyle name="Normal 2 2 2 2 2 2 2 2 2 2 13 2 2 4" xfId="6840" xr:uid="{DC14E127-E440-4933-9301-4A2FCAAFF89C}"/>
    <cellStyle name="Normal 2 2 2 2 2 2 2 2 2 2 13 2 2 5" xfId="6841" xr:uid="{4C056EA2-0F46-4FAE-A714-779A23C67D3A}"/>
    <cellStyle name="Normal 2 2 2 2 2 2 2 2 2 2 13 2 2 6" xfId="6842" xr:uid="{CEFB5E93-1527-4C21-B5B0-61D2B173EF24}"/>
    <cellStyle name="Normal 2 2 2 2 2 2 2 2 2 2 13 2 2 7" xfId="6843" xr:uid="{6F94436F-37D7-49EC-8374-EBFA6D103365}"/>
    <cellStyle name="Normal 2 2 2 2 2 2 2 2 2 2 13 2 2 8" xfId="6844" xr:uid="{BF8731D4-58DE-4E30-A832-22FAF66B792C}"/>
    <cellStyle name="Normal 2 2 2 2 2 2 2 2 2 2 13 2 2 8 2" xfId="6845" xr:uid="{D1554448-2144-4972-BC0C-D7499179C58F}"/>
    <cellStyle name="Normal 2 2 2 2 2 2 2 2 2 2 13 2 2 8 3" xfId="6846" xr:uid="{437A00B2-63FE-437E-81FB-745A6BB036A9}"/>
    <cellStyle name="Normal 2 2 2 2 2 2 2 2 2 2 13 2 2 8 4" xfId="6847" xr:uid="{9564D33D-C5FB-4874-92A2-819AAF0125CB}"/>
    <cellStyle name="Normal 2 2 2 2 2 2 2 2 2 2 13 2 2 9" xfId="6848" xr:uid="{45158084-681E-4D1F-8CAB-18E394BE27D2}"/>
    <cellStyle name="Normal 2 2 2 2 2 2 2 2 2 2 13 2 3" xfId="6849" xr:uid="{CE6F8652-9B7B-43ED-8603-47EAB5F90120}"/>
    <cellStyle name="Normal 2 2 2 2 2 2 2 2 2 2 13 2 4" xfId="6850" xr:uid="{E03CD367-50A3-4995-9E06-D59793C95AA1}"/>
    <cellStyle name="Normal 2 2 2 2 2 2 2 2 2 2 13 2 5" xfId="6851" xr:uid="{07CDDFEB-049B-46EE-B79F-F15A3E9F3116}"/>
    <cellStyle name="Normal 2 2 2 2 2 2 2 2 2 2 13 2 5 2" xfId="6852" xr:uid="{0397589E-5F70-4B08-B000-833683F9725F}"/>
    <cellStyle name="Normal 2 2 2 2 2 2 2 2 2 2 13 2 5 2 2" xfId="6853" xr:uid="{17E07CAC-7294-4734-BF9C-4A23D3BB39EC}"/>
    <cellStyle name="Normal 2 2 2 2 2 2 2 2 2 2 13 2 5 2 3" xfId="6854" xr:uid="{0E372688-3980-4F80-AF38-C6E86D9437F7}"/>
    <cellStyle name="Normal 2 2 2 2 2 2 2 2 2 2 13 2 5 2 4" xfId="6855" xr:uid="{4367CDB6-B20C-4826-B4CB-D9DBFE6E1BD0}"/>
    <cellStyle name="Normal 2 2 2 2 2 2 2 2 2 2 13 2 5 3" xfId="6856" xr:uid="{CE2E8B3A-7237-44C7-BFF3-4A976EABE1CB}"/>
    <cellStyle name="Normal 2 2 2 2 2 2 2 2 2 2 13 2 5 4" xfId="6857" xr:uid="{E3059E27-EB4C-4143-8911-522FED4CAF38}"/>
    <cellStyle name="Normal 2 2 2 2 2 2 2 2 2 2 13 2 5 5" xfId="6858" xr:uid="{689F7037-9606-4BEB-B989-9EAEA4B1DEBA}"/>
    <cellStyle name="Normal 2 2 2 2 2 2 2 2 2 2 13 2 5 6" xfId="6859" xr:uid="{A2C066B6-6A9F-4DCE-84C7-6A01E3FE7D6A}"/>
    <cellStyle name="Normal 2 2 2 2 2 2 2 2 2 2 13 2 6" xfId="6860" xr:uid="{6A05295D-8B3F-48E8-8BC5-97BB7FCF2603}"/>
    <cellStyle name="Normal 2 2 2 2 2 2 2 2 2 2 13 2 7" xfId="6861" xr:uid="{57956B06-01FC-4EA9-B5C5-26FAB308181F}"/>
    <cellStyle name="Normal 2 2 2 2 2 2 2 2 2 2 13 2 8" xfId="6862" xr:uid="{2ED9BCFA-D76B-4CC0-B51C-124AE5BDBCBA}"/>
    <cellStyle name="Normal 2 2 2 2 2 2 2 2 2 2 13 2 9" xfId="6863" xr:uid="{6002DFE7-7155-4E17-B341-CD75861FDF46}"/>
    <cellStyle name="Normal 2 2 2 2 2 2 2 2 2 2 13 3" xfId="6864" xr:uid="{EB97058A-19FD-43A9-8419-65A1515BD600}"/>
    <cellStyle name="Normal 2 2 2 2 2 2 2 2 2 2 13 4" xfId="6865" xr:uid="{3A3EA010-2A31-44DE-A74F-C930CD8CE141}"/>
    <cellStyle name="Normal 2 2 2 2 2 2 2 2 2 2 13 5" xfId="6866" xr:uid="{39E95020-7769-4B55-B686-C58195157D64}"/>
    <cellStyle name="Normal 2 2 2 2 2 2 2 2 2 2 13 5 10" xfId="6867" xr:uid="{029E6D5A-835B-4C1F-B6FB-61539C8F9683}"/>
    <cellStyle name="Normal 2 2 2 2 2 2 2 2 2 2 13 5 11" xfId="6868" xr:uid="{BB1546D8-D1B9-4856-83CB-83E170E02CFB}"/>
    <cellStyle name="Normal 2 2 2 2 2 2 2 2 2 2 13 5 2" xfId="6869" xr:uid="{801AF7A4-498B-4356-B3F3-453F3D50540F}"/>
    <cellStyle name="Normal 2 2 2 2 2 2 2 2 2 2 13 5 2 10" xfId="6870" xr:uid="{11F26C8A-4F9C-4E1B-B19C-DA18FA7442E5}"/>
    <cellStyle name="Normal 2 2 2 2 2 2 2 2 2 2 13 5 2 11" xfId="6871" xr:uid="{45C1C156-4044-4FA5-BB66-7E52BC5204BA}"/>
    <cellStyle name="Normal 2 2 2 2 2 2 2 2 2 2 13 5 2 2" xfId="6872" xr:uid="{11B9262C-573F-472E-B932-3D7E529B2D0D}"/>
    <cellStyle name="Normal 2 2 2 2 2 2 2 2 2 2 13 5 2 2 2" xfId="6873" xr:uid="{FA158E22-6C20-4402-A6B5-32A973FA0764}"/>
    <cellStyle name="Normal 2 2 2 2 2 2 2 2 2 2 13 5 2 2 2 2" xfId="6874" xr:uid="{35899A54-E250-49CF-92E3-4EFB5B5C0511}"/>
    <cellStyle name="Normal 2 2 2 2 2 2 2 2 2 2 13 5 2 2 2 3" xfId="6875" xr:uid="{11CDA1C4-EFD9-460E-AF03-3C6415B94CBE}"/>
    <cellStyle name="Normal 2 2 2 2 2 2 2 2 2 2 13 5 2 2 2 4" xfId="6876" xr:uid="{48F70F8B-FCAD-4FD2-9532-3442E935EC84}"/>
    <cellStyle name="Normal 2 2 2 2 2 2 2 2 2 2 13 5 2 2 3" xfId="6877" xr:uid="{EF02E259-2C52-46A9-AF20-7BA2AF75ED36}"/>
    <cellStyle name="Normal 2 2 2 2 2 2 2 2 2 2 13 5 2 2 4" xfId="6878" xr:uid="{403EA012-9B80-4DF1-9A48-2FBC3EFC46B5}"/>
    <cellStyle name="Normal 2 2 2 2 2 2 2 2 2 2 13 5 2 2 5" xfId="6879" xr:uid="{ECF9D6F9-41A8-47CF-9113-4A66192C9BC5}"/>
    <cellStyle name="Normal 2 2 2 2 2 2 2 2 2 2 13 5 2 2 6" xfId="6880" xr:uid="{E7D25EF2-AC3B-4D7D-A491-E156AC214064}"/>
    <cellStyle name="Normal 2 2 2 2 2 2 2 2 2 2 13 5 2 3" xfId="6881" xr:uid="{159379AB-BAE6-4F44-B142-7D35B9462D84}"/>
    <cellStyle name="Normal 2 2 2 2 2 2 2 2 2 2 13 5 2 4" xfId="6882" xr:uid="{CFE336BD-AA93-4CF3-A2A4-57ED448EEBBB}"/>
    <cellStyle name="Normal 2 2 2 2 2 2 2 2 2 2 13 5 2 5" xfId="6883" xr:uid="{7CCC6EFB-0351-412B-91FA-874DA053654C}"/>
    <cellStyle name="Normal 2 2 2 2 2 2 2 2 2 2 13 5 2 6" xfId="6884" xr:uid="{D265BE29-75FA-41F3-9A25-EE4952F9066B}"/>
    <cellStyle name="Normal 2 2 2 2 2 2 2 2 2 2 13 5 2 7" xfId="6885" xr:uid="{23141436-78F6-4151-B2EA-0FE7320D2A2D}"/>
    <cellStyle name="Normal 2 2 2 2 2 2 2 2 2 2 13 5 2 8" xfId="6886" xr:uid="{895AE4B1-6DE0-4574-A270-DE49B8ED159D}"/>
    <cellStyle name="Normal 2 2 2 2 2 2 2 2 2 2 13 5 2 8 2" xfId="6887" xr:uid="{9E923432-B4CE-4567-BF16-341826578F0B}"/>
    <cellStyle name="Normal 2 2 2 2 2 2 2 2 2 2 13 5 2 8 3" xfId="6888" xr:uid="{60D4B88F-7085-4FBE-84C1-F4A53112BD9F}"/>
    <cellStyle name="Normal 2 2 2 2 2 2 2 2 2 2 13 5 2 8 4" xfId="6889" xr:uid="{1C8C2E61-F34A-4A06-BE09-C8FE128A058F}"/>
    <cellStyle name="Normal 2 2 2 2 2 2 2 2 2 2 13 5 2 9" xfId="6890" xr:uid="{CA4E63F0-C925-4B99-8986-A916E6B2C2DD}"/>
    <cellStyle name="Normal 2 2 2 2 2 2 2 2 2 2 13 5 3" xfId="6891" xr:uid="{FC488945-964F-4878-AF27-D04BE074D236}"/>
    <cellStyle name="Normal 2 2 2 2 2 2 2 2 2 2 13 5 3 2" xfId="6892" xr:uid="{BE0C4064-3291-4345-B973-977412B673B8}"/>
    <cellStyle name="Normal 2 2 2 2 2 2 2 2 2 2 13 5 3 2 2" xfId="6893" xr:uid="{CD3C233C-BA70-4BDC-B985-D43B8D2CA473}"/>
    <cellStyle name="Normal 2 2 2 2 2 2 2 2 2 2 13 5 3 2 3" xfId="6894" xr:uid="{B7721CD3-A5CF-4643-B8C7-7E3F04DC884F}"/>
    <cellStyle name="Normal 2 2 2 2 2 2 2 2 2 2 13 5 3 2 4" xfId="6895" xr:uid="{5702498E-3F41-40A0-A72D-86C2F2DB640E}"/>
    <cellStyle name="Normal 2 2 2 2 2 2 2 2 2 2 13 5 3 3" xfId="6896" xr:uid="{75781EBE-F753-4B2A-8E1C-83B3EEA066A7}"/>
    <cellStyle name="Normal 2 2 2 2 2 2 2 2 2 2 13 5 3 4" xfId="6897" xr:uid="{DC1370E1-99BC-4018-A698-68D9459252F6}"/>
    <cellStyle name="Normal 2 2 2 2 2 2 2 2 2 2 13 5 3 5" xfId="6898" xr:uid="{DB784DC2-7605-4609-BBC3-A3CB534121E8}"/>
    <cellStyle name="Normal 2 2 2 2 2 2 2 2 2 2 13 5 3 6" xfId="6899" xr:uid="{0D43BF58-CF6A-46D4-AE89-3CAD1D5FD44B}"/>
    <cellStyle name="Normal 2 2 2 2 2 2 2 2 2 2 13 5 4" xfId="6900" xr:uid="{F1BF56A0-A2E2-49E4-8EFB-F2F69D087493}"/>
    <cellStyle name="Normal 2 2 2 2 2 2 2 2 2 2 13 5 5" xfId="6901" xr:uid="{8A8BEDC1-73D6-42D6-95CE-9EA3E45119CA}"/>
    <cellStyle name="Normal 2 2 2 2 2 2 2 2 2 2 13 5 6" xfId="6902" xr:uid="{4632E0A3-EB15-4A77-9CB7-36E02EC14434}"/>
    <cellStyle name="Normal 2 2 2 2 2 2 2 2 2 2 13 5 7" xfId="6903" xr:uid="{27C5FD99-5ED3-4442-B8E3-8BC3F9C934A5}"/>
    <cellStyle name="Normal 2 2 2 2 2 2 2 2 2 2 13 5 8" xfId="6904" xr:uid="{530DA5B0-21F5-42DE-B57C-56AD48C31EDD}"/>
    <cellStyle name="Normal 2 2 2 2 2 2 2 2 2 2 13 5 8 2" xfId="6905" xr:uid="{A346D5ED-72A6-4FA7-8409-32204A75046A}"/>
    <cellStyle name="Normal 2 2 2 2 2 2 2 2 2 2 13 5 8 3" xfId="6906" xr:uid="{F52CBC3B-9F86-4898-A594-A7ACC3805997}"/>
    <cellStyle name="Normal 2 2 2 2 2 2 2 2 2 2 13 5 8 4" xfId="6907" xr:uid="{3BC6CD07-1822-4DB2-B6F5-E68362188745}"/>
    <cellStyle name="Normal 2 2 2 2 2 2 2 2 2 2 13 5 9" xfId="6908" xr:uid="{A8F7BA93-1F2E-40E7-8D02-DC6DCD83994A}"/>
    <cellStyle name="Normal 2 2 2 2 2 2 2 2 2 2 13 6" xfId="6909" xr:uid="{FACD4057-35F2-469F-85A7-F68B4A5E3742}"/>
    <cellStyle name="Normal 2 2 2 2 2 2 2 2 2 2 13 7" xfId="6910" xr:uid="{DBB87BC4-D8C6-4315-ADF0-D26EC05ADD65}"/>
    <cellStyle name="Normal 2 2 2 2 2 2 2 2 2 2 13 7 2" xfId="6911" xr:uid="{9F8B2C7B-7424-4830-A831-DC41E3789F46}"/>
    <cellStyle name="Normal 2 2 2 2 2 2 2 2 2 2 13 7 2 2" xfId="6912" xr:uid="{95A4F44E-58CF-4E96-B24C-EF53505619ED}"/>
    <cellStyle name="Normal 2 2 2 2 2 2 2 2 2 2 13 7 2 3" xfId="6913" xr:uid="{1ADF1212-B225-44C2-AE47-95C708214DED}"/>
    <cellStyle name="Normal 2 2 2 2 2 2 2 2 2 2 13 7 2 4" xfId="6914" xr:uid="{A2208C14-54B5-479A-AE19-EBD2F60A33B1}"/>
    <cellStyle name="Normal 2 2 2 2 2 2 2 2 2 2 13 7 3" xfId="6915" xr:uid="{6359E96D-D5F9-46AF-A669-224F49A6BAC4}"/>
    <cellStyle name="Normal 2 2 2 2 2 2 2 2 2 2 13 7 4" xfId="6916" xr:uid="{639B3168-73F3-4A41-81C5-9DF154E56337}"/>
    <cellStyle name="Normal 2 2 2 2 2 2 2 2 2 2 13 7 5" xfId="6917" xr:uid="{95F8C0BE-5693-4B40-AACF-D6AE01617496}"/>
    <cellStyle name="Normal 2 2 2 2 2 2 2 2 2 2 13 7 6" xfId="6918" xr:uid="{3B63EE6C-1F4B-4EBF-957B-93F330041053}"/>
    <cellStyle name="Normal 2 2 2 2 2 2 2 2 2 2 13 8" xfId="6919" xr:uid="{84CE94EA-347D-482F-9D19-CFABB2A26D02}"/>
    <cellStyle name="Normal 2 2 2 2 2 2 2 2 2 2 13 9" xfId="6920" xr:uid="{145EB5A8-FFFE-41F1-B856-F683C1F7CFD6}"/>
    <cellStyle name="Normal 2 2 2 2 2 2 2 2 2 2 14" xfId="6921" xr:uid="{15B96F89-DED4-406F-BDE5-91B723AF8874}"/>
    <cellStyle name="Normal 2 2 2 2 2 2 2 2 2 2 15" xfId="6922" xr:uid="{1EFAE679-846B-45BD-B573-CA0717688A58}"/>
    <cellStyle name="Normal 2 2 2 2 2 2 2 2 2 2 16" xfId="6923" xr:uid="{DAD32092-0A43-41DE-A6BD-125E9F258247}"/>
    <cellStyle name="Normal 2 2 2 2 2 2 2 2 2 2 17" xfId="6924" xr:uid="{101859E8-650F-4D6D-8AB9-3244B7F234B6}"/>
    <cellStyle name="Normal 2 2 2 2 2 2 2 2 2 2 18" xfId="6925" xr:uid="{CFD89BC1-4BD1-41F1-9D3B-5F0D370C0959}"/>
    <cellStyle name="Normal 2 2 2 2 2 2 2 2 2 2 19" xfId="6926" xr:uid="{D3FC3E97-C218-4FCA-B0CB-E77EAE835225}"/>
    <cellStyle name="Normal 2 2 2 2 2 2 2 2 2 2 2" xfId="6927" xr:uid="{F501B4F8-DEEB-4AC4-8F53-C6D64D1A264C}"/>
    <cellStyle name="Normal 2 2 2 2 2 2 2 2 2 2 2 10" xfId="6928" xr:uid="{AA36652F-6810-481C-A45D-CF1909E652C8}"/>
    <cellStyle name="Normal 2 2 2 2 2 2 2 2 2 2 2 11" xfId="6929" xr:uid="{0E12CEF8-C658-490B-87F6-5DE454714D32}"/>
    <cellStyle name="Normal 2 2 2 2 2 2 2 2 2 2 2 12" xfId="6930" xr:uid="{25BE5434-F5A0-4C58-8EEB-0771DE4F76A3}"/>
    <cellStyle name="Normal 2 2 2 2 2 2 2 2 2 2 2 13" xfId="6931" xr:uid="{C53D0939-C084-417D-82B7-F5CF774F4A9B}"/>
    <cellStyle name="Normal 2 2 2 2 2 2 2 2 2 2 2 14" xfId="6932" xr:uid="{4085C56D-1E96-478A-8E3E-7EF2DDF8C5F9}"/>
    <cellStyle name="Normal 2 2 2 2 2 2 2 2 2 2 2 15" xfId="6933" xr:uid="{F02ED0D6-F578-42AD-9BB0-9B45763F0629}"/>
    <cellStyle name="Normal 2 2 2 2 2 2 2 2 2 2 2 16" xfId="6934" xr:uid="{7796AEA6-039C-4A9C-991A-FD1B07B70E92}"/>
    <cellStyle name="Normal 2 2 2 2 2 2 2 2 2 2 2 17" xfId="6935" xr:uid="{D921B1DC-3765-4FB4-A2F1-C367CD8F0795}"/>
    <cellStyle name="Normal 2 2 2 2 2 2 2 2 2 2 2 17 10" xfId="6936" xr:uid="{F3A9AD69-6CEF-4128-97D4-325A8F658974}"/>
    <cellStyle name="Normal 2 2 2 2 2 2 2 2 2 2 2 17 11" xfId="6937" xr:uid="{A5039106-4EC7-4743-B6FE-B33E18F5E368}"/>
    <cellStyle name="Normal 2 2 2 2 2 2 2 2 2 2 2 17 11 2" xfId="6938" xr:uid="{1606E366-C604-45CF-9685-BA0A958BAB01}"/>
    <cellStyle name="Normal 2 2 2 2 2 2 2 2 2 2 2 17 11 3" xfId="6939" xr:uid="{7D2460F0-3A63-42B5-A55E-CE282438DEFF}"/>
    <cellStyle name="Normal 2 2 2 2 2 2 2 2 2 2 2 17 11 4" xfId="6940" xr:uid="{7F708834-EED7-414A-BD2E-7E784756B6F2}"/>
    <cellStyle name="Normal 2 2 2 2 2 2 2 2 2 2 2 17 12" xfId="6941" xr:uid="{FFEC06C5-0C2C-417A-B5CB-210AA6713CC7}"/>
    <cellStyle name="Normal 2 2 2 2 2 2 2 2 2 2 2 17 13" xfId="6942" xr:uid="{75D96050-90D9-43BC-AA48-4748126EA2B4}"/>
    <cellStyle name="Normal 2 2 2 2 2 2 2 2 2 2 2 17 14" xfId="6943" xr:uid="{AF9E487B-41BB-47A6-8368-9E5642EBCC18}"/>
    <cellStyle name="Normal 2 2 2 2 2 2 2 2 2 2 2 17 2" xfId="6944" xr:uid="{285F1134-7F84-44FE-9A36-CA6EA34A7743}"/>
    <cellStyle name="Normal 2 2 2 2 2 2 2 2 2 2 2 17 2 10" xfId="6945" xr:uid="{E4F996F2-98AC-444C-88D8-339520C3F1A4}"/>
    <cellStyle name="Normal 2 2 2 2 2 2 2 2 2 2 2 17 2 11" xfId="6946" xr:uid="{A932F94C-5B7E-44FD-9A1F-6CECBDA2CCB0}"/>
    <cellStyle name="Normal 2 2 2 2 2 2 2 2 2 2 2 17 2 2" xfId="6947" xr:uid="{C25B5F17-46B3-40BA-A0F9-AEC428AE516A}"/>
    <cellStyle name="Normal 2 2 2 2 2 2 2 2 2 2 2 17 2 2 10" xfId="6948" xr:uid="{5D371854-3869-4BD5-9E03-44A4CB753E40}"/>
    <cellStyle name="Normal 2 2 2 2 2 2 2 2 2 2 2 17 2 2 11" xfId="6949" xr:uid="{8C4D201F-E222-45D2-943F-6007F95E3540}"/>
    <cellStyle name="Normal 2 2 2 2 2 2 2 2 2 2 2 17 2 2 2" xfId="6950" xr:uid="{70CB6E4D-7904-4AE6-B8CA-95DABC2D5100}"/>
    <cellStyle name="Normal 2 2 2 2 2 2 2 2 2 2 2 17 2 2 2 2" xfId="6951" xr:uid="{1FCBB8F8-B2B9-4E79-97DA-A4A0CBD720F0}"/>
    <cellStyle name="Normal 2 2 2 2 2 2 2 2 2 2 2 17 2 2 2 2 2" xfId="6952" xr:uid="{20AE2776-B19F-49F4-A693-D1EB50F1275C}"/>
    <cellStyle name="Normal 2 2 2 2 2 2 2 2 2 2 2 17 2 2 2 2 3" xfId="6953" xr:uid="{DB218105-A8B5-4653-9293-430E485B56E8}"/>
    <cellStyle name="Normal 2 2 2 2 2 2 2 2 2 2 2 17 2 2 2 2 4" xfId="6954" xr:uid="{881402A8-DEDA-458D-B41D-DD9A613B03DD}"/>
    <cellStyle name="Normal 2 2 2 2 2 2 2 2 2 2 2 17 2 2 2 3" xfId="6955" xr:uid="{B816B09E-F9F0-45ED-A8B7-5EC6067C9E19}"/>
    <cellStyle name="Normal 2 2 2 2 2 2 2 2 2 2 2 17 2 2 2 4" xfId="6956" xr:uid="{E3ADA56E-7D88-43CC-92B0-84BDA6A1C479}"/>
    <cellStyle name="Normal 2 2 2 2 2 2 2 2 2 2 2 17 2 2 2 5" xfId="6957" xr:uid="{AEFBD7E4-F7C7-4519-B426-A2C9CC25059F}"/>
    <cellStyle name="Normal 2 2 2 2 2 2 2 2 2 2 2 17 2 2 2 6" xfId="6958" xr:uid="{425D4813-6B0F-499A-933B-AEB4D5112753}"/>
    <cellStyle name="Normal 2 2 2 2 2 2 2 2 2 2 2 17 2 2 3" xfId="6959" xr:uid="{FB538A8B-1ABB-421D-8C7F-477D35912F9A}"/>
    <cellStyle name="Normal 2 2 2 2 2 2 2 2 2 2 2 17 2 2 4" xfId="6960" xr:uid="{6F20282B-F3EB-4D0A-B60B-B46784C47267}"/>
    <cellStyle name="Normal 2 2 2 2 2 2 2 2 2 2 2 17 2 2 5" xfId="6961" xr:uid="{B67444D9-CB4E-4B44-879D-9CDD82B66BDA}"/>
    <cellStyle name="Normal 2 2 2 2 2 2 2 2 2 2 2 17 2 2 6" xfId="6962" xr:uid="{23FC5261-9216-4A20-8A33-685F7A4F5C71}"/>
    <cellStyle name="Normal 2 2 2 2 2 2 2 2 2 2 2 17 2 2 7" xfId="6963" xr:uid="{B8BD78F1-45A2-48D9-B43E-7A62900B9B5F}"/>
    <cellStyle name="Normal 2 2 2 2 2 2 2 2 2 2 2 17 2 2 8" xfId="6964" xr:uid="{97031628-F678-402F-AE3A-EDDB7142ACBD}"/>
    <cellStyle name="Normal 2 2 2 2 2 2 2 2 2 2 2 17 2 2 8 2" xfId="6965" xr:uid="{26E3EFB1-82E2-4424-BEEC-4252BE48012D}"/>
    <cellStyle name="Normal 2 2 2 2 2 2 2 2 2 2 2 17 2 2 8 3" xfId="6966" xr:uid="{89666C3A-BEC3-4695-B1C9-775E1C8991EB}"/>
    <cellStyle name="Normal 2 2 2 2 2 2 2 2 2 2 2 17 2 2 8 4" xfId="6967" xr:uid="{C469739E-C2EE-435E-9A0E-79991771D961}"/>
    <cellStyle name="Normal 2 2 2 2 2 2 2 2 2 2 2 17 2 2 9" xfId="6968" xr:uid="{335320C9-CB1F-41B3-B2C8-97828E64873A}"/>
    <cellStyle name="Normal 2 2 2 2 2 2 2 2 2 2 2 17 2 3" xfId="6969" xr:uid="{5BF3E8BB-8FC1-44E5-9A6D-505725D56ADA}"/>
    <cellStyle name="Normal 2 2 2 2 2 2 2 2 2 2 2 17 2 3 2" xfId="6970" xr:uid="{EF5746F8-FA60-422A-A80F-7B5ADDC57F6F}"/>
    <cellStyle name="Normal 2 2 2 2 2 2 2 2 2 2 2 17 2 3 2 2" xfId="6971" xr:uid="{DC5968FA-609B-4CFE-826C-9886D527D125}"/>
    <cellStyle name="Normal 2 2 2 2 2 2 2 2 2 2 2 17 2 3 2 3" xfId="6972" xr:uid="{639CEA5B-D5BE-4F77-9ED7-1D9CEDE4D391}"/>
    <cellStyle name="Normal 2 2 2 2 2 2 2 2 2 2 2 17 2 3 2 4" xfId="6973" xr:uid="{05B156A4-7584-4F13-BA24-1F8364C8FCC2}"/>
    <cellStyle name="Normal 2 2 2 2 2 2 2 2 2 2 2 17 2 3 3" xfId="6974" xr:uid="{7CEF237C-E995-4F54-849F-6536760D3894}"/>
    <cellStyle name="Normal 2 2 2 2 2 2 2 2 2 2 2 17 2 3 4" xfId="6975" xr:uid="{038C1977-342F-457C-8613-492AF8C4BB1F}"/>
    <cellStyle name="Normal 2 2 2 2 2 2 2 2 2 2 2 17 2 3 5" xfId="6976" xr:uid="{8F3050EE-3B52-4DE6-943D-69466CDC78F3}"/>
    <cellStyle name="Normal 2 2 2 2 2 2 2 2 2 2 2 17 2 3 6" xfId="6977" xr:uid="{28C34184-A605-441D-B2C5-6D21B8C74AA8}"/>
    <cellStyle name="Normal 2 2 2 2 2 2 2 2 2 2 2 17 2 4" xfId="6978" xr:uid="{61C134B4-F2EF-4D45-BAA3-0EBBB4A4D821}"/>
    <cellStyle name="Normal 2 2 2 2 2 2 2 2 2 2 2 17 2 5" xfId="6979" xr:uid="{217A2354-4B68-488F-8440-BF4E4F29ABA9}"/>
    <cellStyle name="Normal 2 2 2 2 2 2 2 2 2 2 2 17 2 6" xfId="6980" xr:uid="{F254C078-EC0A-4C3A-95AD-26076839F8DE}"/>
    <cellStyle name="Normal 2 2 2 2 2 2 2 2 2 2 2 17 2 7" xfId="6981" xr:uid="{BF22FA69-1AEB-433E-9B3B-498D3E9CA357}"/>
    <cellStyle name="Normal 2 2 2 2 2 2 2 2 2 2 2 17 2 8" xfId="6982" xr:uid="{3CCDC982-0613-44D6-87D7-1BBC9A5D2BD7}"/>
    <cellStyle name="Normal 2 2 2 2 2 2 2 2 2 2 2 17 2 8 2" xfId="6983" xr:uid="{D38B3BF0-2A27-45F3-BC64-2EFBFE0F28E0}"/>
    <cellStyle name="Normal 2 2 2 2 2 2 2 2 2 2 2 17 2 8 3" xfId="6984" xr:uid="{89AF19D8-3DC0-4326-97C3-221452A4D202}"/>
    <cellStyle name="Normal 2 2 2 2 2 2 2 2 2 2 2 17 2 8 4" xfId="6985" xr:uid="{EAFECADC-0BFC-4BC3-B29B-0DD9D8659E29}"/>
    <cellStyle name="Normal 2 2 2 2 2 2 2 2 2 2 2 17 2 9" xfId="6986" xr:uid="{67CB0620-8848-4AAC-A7DD-5D15DEA1B191}"/>
    <cellStyle name="Normal 2 2 2 2 2 2 2 2 2 2 2 17 3" xfId="6987" xr:uid="{DBCFE8D8-67FA-4BB5-ABE6-D5D9E96A2046}"/>
    <cellStyle name="Normal 2 2 2 2 2 2 2 2 2 2 2 17 4" xfId="6988" xr:uid="{229F6BD9-5C2C-4F31-8882-8602322346D0}"/>
    <cellStyle name="Normal 2 2 2 2 2 2 2 2 2 2 2 17 5" xfId="6989" xr:uid="{32633BCE-D268-4504-8F1C-9750D51065ED}"/>
    <cellStyle name="Normal 2 2 2 2 2 2 2 2 2 2 2 17 5 2" xfId="6990" xr:uid="{229C1DEF-621C-4C91-B4D3-EEF56DC610D3}"/>
    <cellStyle name="Normal 2 2 2 2 2 2 2 2 2 2 2 17 5 2 2" xfId="6991" xr:uid="{D3FD949C-857C-42C1-B71E-76B477F7F029}"/>
    <cellStyle name="Normal 2 2 2 2 2 2 2 2 2 2 2 17 5 2 3" xfId="6992" xr:uid="{CDE9E856-0DB2-49B5-8525-204CBFC05A2E}"/>
    <cellStyle name="Normal 2 2 2 2 2 2 2 2 2 2 2 17 5 2 4" xfId="6993" xr:uid="{D2C63987-0369-47D0-AD28-F554B27B08A0}"/>
    <cellStyle name="Normal 2 2 2 2 2 2 2 2 2 2 2 17 5 3" xfId="6994" xr:uid="{D433BA53-17FF-4904-9CEF-99CFC529D185}"/>
    <cellStyle name="Normal 2 2 2 2 2 2 2 2 2 2 2 17 5 4" xfId="6995" xr:uid="{A2F719FC-1E56-4119-B704-54DA2B941B14}"/>
    <cellStyle name="Normal 2 2 2 2 2 2 2 2 2 2 2 17 5 5" xfId="6996" xr:uid="{224BA53F-8361-4ED7-980F-518EA3ED790E}"/>
    <cellStyle name="Normal 2 2 2 2 2 2 2 2 2 2 2 17 5 6" xfId="6997" xr:uid="{773BA0F2-7220-4BEC-983D-11E2041C8CCD}"/>
    <cellStyle name="Normal 2 2 2 2 2 2 2 2 2 2 2 17 6" xfId="6998" xr:uid="{C5207523-A7DA-4F11-AA86-EDBE0DB12B0D}"/>
    <cellStyle name="Normal 2 2 2 2 2 2 2 2 2 2 2 17 7" xfId="6999" xr:uid="{73CEC20B-88DC-4FF9-9CC9-354547072375}"/>
    <cellStyle name="Normal 2 2 2 2 2 2 2 2 2 2 2 17 8" xfId="7000" xr:uid="{802CB906-24FA-4898-9558-C691B588AE8F}"/>
    <cellStyle name="Normal 2 2 2 2 2 2 2 2 2 2 2 17 9" xfId="7001" xr:uid="{B6AF64CB-6EBE-460D-BC16-689709743E92}"/>
    <cellStyle name="Normal 2 2 2 2 2 2 2 2 2 2 2 18" xfId="7002" xr:uid="{6E7D2726-4ED2-4F3E-9E72-5DBA1027EFF5}"/>
    <cellStyle name="Normal 2 2 2 2 2 2 2 2 2 2 2 19" xfId="7003" xr:uid="{6FE5C9DF-E47B-415E-8062-39D749E77A21}"/>
    <cellStyle name="Normal 2 2 2 2 2 2 2 2 2 2 2 19 10" xfId="7004" xr:uid="{69028526-1CB4-4BB5-8D32-20FD30C79F95}"/>
    <cellStyle name="Normal 2 2 2 2 2 2 2 2 2 2 2 19 11" xfId="7005" xr:uid="{9365CAA2-1C13-4F16-9CB5-E1B0D1ADBCCA}"/>
    <cellStyle name="Normal 2 2 2 2 2 2 2 2 2 2 2 19 2" xfId="7006" xr:uid="{5AE41353-DCD5-4661-AE7B-F4B56179884B}"/>
    <cellStyle name="Normal 2 2 2 2 2 2 2 2 2 2 2 19 2 10" xfId="7007" xr:uid="{BFF3E84B-26AC-4AAE-8B14-7E2017D7C6DE}"/>
    <cellStyle name="Normal 2 2 2 2 2 2 2 2 2 2 2 19 2 11" xfId="7008" xr:uid="{1D8B656E-6A0C-4F4C-9E9C-A068BF439E63}"/>
    <cellStyle name="Normal 2 2 2 2 2 2 2 2 2 2 2 19 2 2" xfId="7009" xr:uid="{CCF53FCC-CAFE-45DC-B615-CB67DC588E5B}"/>
    <cellStyle name="Normal 2 2 2 2 2 2 2 2 2 2 2 19 2 2 2" xfId="7010" xr:uid="{0762DFDA-0E89-47D2-9D8A-B7E3D4F53333}"/>
    <cellStyle name="Normal 2 2 2 2 2 2 2 2 2 2 2 19 2 2 2 2" xfId="7011" xr:uid="{59EDE6B8-8D25-4A75-99FF-5ECFB32CFBA4}"/>
    <cellStyle name="Normal 2 2 2 2 2 2 2 2 2 2 2 19 2 2 2 3" xfId="7012" xr:uid="{9DC71559-90D9-4BDF-BB0A-3C526274102D}"/>
    <cellStyle name="Normal 2 2 2 2 2 2 2 2 2 2 2 19 2 2 2 4" xfId="7013" xr:uid="{1FA7EE10-C97F-4C92-B862-E4A1AF26258D}"/>
    <cellStyle name="Normal 2 2 2 2 2 2 2 2 2 2 2 19 2 2 3" xfId="7014" xr:uid="{F59F7689-9F54-4BC6-84DE-71194AD5F410}"/>
    <cellStyle name="Normal 2 2 2 2 2 2 2 2 2 2 2 19 2 2 4" xfId="7015" xr:uid="{1F899504-CA3C-4773-8820-E39BBCAE00B0}"/>
    <cellStyle name="Normal 2 2 2 2 2 2 2 2 2 2 2 19 2 2 5" xfId="7016" xr:uid="{14308712-F896-4E84-A525-08D10CE7C161}"/>
    <cellStyle name="Normal 2 2 2 2 2 2 2 2 2 2 2 19 2 2 6" xfId="7017" xr:uid="{EC1CD2AC-F2E5-4F5D-AD76-B5E9409EE243}"/>
    <cellStyle name="Normal 2 2 2 2 2 2 2 2 2 2 2 19 2 3" xfId="7018" xr:uid="{8340A706-0301-4374-A0C7-39E35B77EF84}"/>
    <cellStyle name="Normal 2 2 2 2 2 2 2 2 2 2 2 19 2 4" xfId="7019" xr:uid="{7EA5DBB2-B078-457B-8373-F1E276A0A832}"/>
    <cellStyle name="Normal 2 2 2 2 2 2 2 2 2 2 2 19 2 5" xfId="7020" xr:uid="{64ECC127-5535-46AB-BBB5-1732C85D86C7}"/>
    <cellStyle name="Normal 2 2 2 2 2 2 2 2 2 2 2 19 2 6" xfId="7021" xr:uid="{08CFC224-B161-4453-BDAA-987390949EA0}"/>
    <cellStyle name="Normal 2 2 2 2 2 2 2 2 2 2 2 19 2 7" xfId="7022" xr:uid="{21011D8B-3C52-41AA-BBAA-7377A56E736A}"/>
    <cellStyle name="Normal 2 2 2 2 2 2 2 2 2 2 2 19 2 8" xfId="7023" xr:uid="{F254C60D-A769-4418-8F3C-A1577DEA5D4C}"/>
    <cellStyle name="Normal 2 2 2 2 2 2 2 2 2 2 2 19 2 8 2" xfId="7024" xr:uid="{EE8E574A-2421-4238-ACAA-D85D3288A857}"/>
    <cellStyle name="Normal 2 2 2 2 2 2 2 2 2 2 2 19 2 8 3" xfId="7025" xr:uid="{A6626C73-7786-44FB-88FF-AA6522BF17E2}"/>
    <cellStyle name="Normal 2 2 2 2 2 2 2 2 2 2 2 19 2 8 4" xfId="7026" xr:uid="{6F9E213B-B593-4589-BF70-8B2244067599}"/>
    <cellStyle name="Normal 2 2 2 2 2 2 2 2 2 2 2 19 2 9" xfId="7027" xr:uid="{8FA24B17-EFBA-4707-9970-3EE81411E20B}"/>
    <cellStyle name="Normal 2 2 2 2 2 2 2 2 2 2 2 19 3" xfId="7028" xr:uid="{61DFC7EF-0C14-4690-BE20-5407993EA16C}"/>
    <cellStyle name="Normal 2 2 2 2 2 2 2 2 2 2 2 19 3 2" xfId="7029" xr:uid="{EB051DAF-9115-4BF8-938C-ECC715A4B61B}"/>
    <cellStyle name="Normal 2 2 2 2 2 2 2 2 2 2 2 19 3 2 2" xfId="7030" xr:uid="{6F3CAFE7-D5D8-48BD-AD4B-5A051C8B2611}"/>
    <cellStyle name="Normal 2 2 2 2 2 2 2 2 2 2 2 19 3 2 3" xfId="7031" xr:uid="{8F5CF18E-7A5E-4B11-99C5-5CA105A8EDA9}"/>
    <cellStyle name="Normal 2 2 2 2 2 2 2 2 2 2 2 19 3 2 4" xfId="7032" xr:uid="{F063CFAF-6782-45B5-9ABE-A982757C5740}"/>
    <cellStyle name="Normal 2 2 2 2 2 2 2 2 2 2 2 19 3 3" xfId="7033" xr:uid="{E9CBCCB3-07A8-4074-A4BB-08AF19D76AE6}"/>
    <cellStyle name="Normal 2 2 2 2 2 2 2 2 2 2 2 19 3 4" xfId="7034" xr:uid="{8875C70D-E309-47D7-AE1A-68EB9463C5DA}"/>
    <cellStyle name="Normal 2 2 2 2 2 2 2 2 2 2 2 19 3 5" xfId="7035" xr:uid="{7D170A91-3F32-4782-A739-24B1D06A3636}"/>
    <cellStyle name="Normal 2 2 2 2 2 2 2 2 2 2 2 19 3 6" xfId="7036" xr:uid="{F1BB8355-31C3-4ADE-9A87-F3C63159B17E}"/>
    <cellStyle name="Normal 2 2 2 2 2 2 2 2 2 2 2 19 4" xfId="7037" xr:uid="{743122FC-E1C1-4D85-83EE-6804E0C4B79C}"/>
    <cellStyle name="Normal 2 2 2 2 2 2 2 2 2 2 2 19 5" xfId="7038" xr:uid="{D3020026-D594-434A-963F-CF05BDEC147D}"/>
    <cellStyle name="Normal 2 2 2 2 2 2 2 2 2 2 2 19 6" xfId="7039" xr:uid="{20C85470-AB6B-48D8-86C1-ABDB622928E5}"/>
    <cellStyle name="Normal 2 2 2 2 2 2 2 2 2 2 2 19 7" xfId="7040" xr:uid="{0FE32FF5-4A5D-4B8E-8322-020B8554E0C0}"/>
    <cellStyle name="Normal 2 2 2 2 2 2 2 2 2 2 2 19 8" xfId="7041" xr:uid="{506D2588-220F-4389-874D-80F52730709D}"/>
    <cellStyle name="Normal 2 2 2 2 2 2 2 2 2 2 2 19 8 2" xfId="7042" xr:uid="{39F91B18-D036-4AE5-B954-27C54B71195A}"/>
    <cellStyle name="Normal 2 2 2 2 2 2 2 2 2 2 2 19 8 3" xfId="7043" xr:uid="{7670B058-2A39-40AE-AD90-AB709A05FC05}"/>
    <cellStyle name="Normal 2 2 2 2 2 2 2 2 2 2 2 19 8 4" xfId="7044" xr:uid="{0604667F-1083-4840-B2BC-D77082975E34}"/>
    <cellStyle name="Normal 2 2 2 2 2 2 2 2 2 2 2 19 9" xfId="7045" xr:uid="{0EE004ED-5FD0-40D5-9D5D-61C7741D8C77}"/>
    <cellStyle name="Normal 2 2 2 2 2 2 2 2 2 2 2 2" xfId="7046" xr:uid="{9DD1161A-746A-4092-8A25-4F01C14BBB61}"/>
    <cellStyle name="Normal 2 2 2 2 2 2 2 2 2 2 2 2 10" xfId="7047" xr:uid="{DE9EBD7F-4818-4C30-B86B-52BCE105CD11}"/>
    <cellStyle name="Normal 2 2 2 2 2 2 2 2 2 2 2 2 11" xfId="7048" xr:uid="{33D5B456-2DB3-43B8-9527-307550FE101F}"/>
    <cellStyle name="Normal 2 2 2 2 2 2 2 2 2 2 2 2 12" xfId="7049" xr:uid="{617F88F9-533E-4054-81D9-F761BADDE416}"/>
    <cellStyle name="Normal 2 2 2 2 2 2 2 2 2 2 2 2 13" xfId="7050" xr:uid="{10E1C6FF-AC9C-483E-BD59-D89C486CA2D4}"/>
    <cellStyle name="Normal 2 2 2 2 2 2 2 2 2 2 2 2 14" xfId="7051" xr:uid="{F92E0AD6-DBDF-4BEA-99F2-A504D630A925}"/>
    <cellStyle name="Normal 2 2 2 2 2 2 2 2 2 2 2 2 15" xfId="7052" xr:uid="{E82D85B5-1634-4F27-8AAF-2B6AD31BECA4}"/>
    <cellStyle name="Normal 2 2 2 2 2 2 2 2 2 2 2 2 16" xfId="7053" xr:uid="{B0663CBA-8793-48DA-88C5-F0CCA5B0D5F3}"/>
    <cellStyle name="Normal 2 2 2 2 2 2 2 2 2 2 2 2 17" xfId="7054" xr:uid="{509E79F0-9D7F-4924-BC07-6856386148A6}"/>
    <cellStyle name="Normal 2 2 2 2 2 2 2 2 2 2 2 2 17 10" xfId="7055" xr:uid="{CF5DDCD8-6DD6-455E-BE74-5C1A3211CF9D}"/>
    <cellStyle name="Normal 2 2 2 2 2 2 2 2 2 2 2 2 17 11" xfId="7056" xr:uid="{E121F1F8-4981-4084-B27D-0E3AB085F281}"/>
    <cellStyle name="Normal 2 2 2 2 2 2 2 2 2 2 2 2 17 11 2" xfId="7057" xr:uid="{CC04EE24-D0A7-4F40-9BD4-58544784D5BB}"/>
    <cellStyle name="Normal 2 2 2 2 2 2 2 2 2 2 2 2 17 11 3" xfId="7058" xr:uid="{DDCE506C-1ADD-41D8-89F1-03D56823F365}"/>
    <cellStyle name="Normal 2 2 2 2 2 2 2 2 2 2 2 2 17 11 4" xfId="7059" xr:uid="{69A5388F-1EED-4562-A51A-E9C909D67EAC}"/>
    <cellStyle name="Normal 2 2 2 2 2 2 2 2 2 2 2 2 17 12" xfId="7060" xr:uid="{74181830-5275-4DE4-8C88-6C88083CD08F}"/>
    <cellStyle name="Normal 2 2 2 2 2 2 2 2 2 2 2 2 17 13" xfId="7061" xr:uid="{5B26D7CC-C886-4261-8B24-A83C2CF44E2B}"/>
    <cellStyle name="Normal 2 2 2 2 2 2 2 2 2 2 2 2 17 14" xfId="7062" xr:uid="{B83B015C-A0C2-47D5-ACB1-B7CCC3E30F1F}"/>
    <cellStyle name="Normal 2 2 2 2 2 2 2 2 2 2 2 2 17 2" xfId="7063" xr:uid="{77CDF65A-FC8F-4111-AA5E-B130EBB489E8}"/>
    <cellStyle name="Normal 2 2 2 2 2 2 2 2 2 2 2 2 17 2 10" xfId="7064" xr:uid="{2E7D2BE8-FBD6-4575-8715-C0575DCF5B6C}"/>
    <cellStyle name="Normal 2 2 2 2 2 2 2 2 2 2 2 2 17 2 11" xfId="7065" xr:uid="{A1D65E2B-5025-4AB9-8B87-0F62960E1652}"/>
    <cellStyle name="Normal 2 2 2 2 2 2 2 2 2 2 2 2 17 2 2" xfId="7066" xr:uid="{C6A1306E-49E2-420A-8677-92124A3EBF73}"/>
    <cellStyle name="Normal 2 2 2 2 2 2 2 2 2 2 2 2 17 2 2 10" xfId="7067" xr:uid="{1129EC97-B8A2-499E-BF08-FA6045A14B81}"/>
    <cellStyle name="Normal 2 2 2 2 2 2 2 2 2 2 2 2 17 2 2 11" xfId="7068" xr:uid="{DC944FCE-BC6A-43C6-855A-22C3CCBCE987}"/>
    <cellStyle name="Normal 2 2 2 2 2 2 2 2 2 2 2 2 17 2 2 2" xfId="7069" xr:uid="{5633D514-701A-4798-82C0-B9558BD64AC6}"/>
    <cellStyle name="Normal 2 2 2 2 2 2 2 2 2 2 2 2 17 2 2 2 2" xfId="7070" xr:uid="{7E48EE81-C3DC-4A08-9F5C-8DB7A62C1EF5}"/>
    <cellStyle name="Normal 2 2 2 2 2 2 2 2 2 2 2 2 17 2 2 2 2 2" xfId="7071" xr:uid="{1010FAB7-7832-4E81-ADAF-22BB82462971}"/>
    <cellStyle name="Normal 2 2 2 2 2 2 2 2 2 2 2 2 17 2 2 2 2 3" xfId="7072" xr:uid="{D4B57EC1-EFFC-4D0D-8643-123639B112F1}"/>
    <cellStyle name="Normal 2 2 2 2 2 2 2 2 2 2 2 2 17 2 2 2 2 4" xfId="7073" xr:uid="{4F2D1590-8DB0-453B-9DC4-C9CDC88DC03A}"/>
    <cellStyle name="Normal 2 2 2 2 2 2 2 2 2 2 2 2 17 2 2 2 3" xfId="7074" xr:uid="{26178B83-44F1-440A-9AC4-C0A156D8C3CB}"/>
    <cellStyle name="Normal 2 2 2 2 2 2 2 2 2 2 2 2 17 2 2 2 4" xfId="7075" xr:uid="{5CEC8193-26A5-40ED-9E05-1C85E84AD4CC}"/>
    <cellStyle name="Normal 2 2 2 2 2 2 2 2 2 2 2 2 17 2 2 2 5" xfId="7076" xr:uid="{740B32D3-DD08-4BDF-8734-61C5E7EC7494}"/>
    <cellStyle name="Normal 2 2 2 2 2 2 2 2 2 2 2 2 17 2 2 2 6" xfId="7077" xr:uid="{0747AE43-0496-4055-8C20-3664BB571BDF}"/>
    <cellStyle name="Normal 2 2 2 2 2 2 2 2 2 2 2 2 17 2 2 3" xfId="7078" xr:uid="{D9EAF6F2-9126-4478-A06E-0C516165B6E5}"/>
    <cellStyle name="Normal 2 2 2 2 2 2 2 2 2 2 2 2 17 2 2 4" xfId="7079" xr:uid="{EE77C6DB-E3A4-4EB6-9701-0838C3B09C2C}"/>
    <cellStyle name="Normal 2 2 2 2 2 2 2 2 2 2 2 2 17 2 2 5" xfId="7080" xr:uid="{B138E6AF-B7FB-44FE-A79A-0F3DEB070A05}"/>
    <cellStyle name="Normal 2 2 2 2 2 2 2 2 2 2 2 2 17 2 2 6" xfId="7081" xr:uid="{02823476-5A98-4ED2-977A-D0B7943EFB5D}"/>
    <cellStyle name="Normal 2 2 2 2 2 2 2 2 2 2 2 2 17 2 2 7" xfId="7082" xr:uid="{965F86B5-E31E-4A37-B686-802C0D048F48}"/>
    <cellStyle name="Normal 2 2 2 2 2 2 2 2 2 2 2 2 17 2 2 8" xfId="7083" xr:uid="{38B1B245-ED3C-4ECA-8E67-CFD6879C5797}"/>
    <cellStyle name="Normal 2 2 2 2 2 2 2 2 2 2 2 2 17 2 2 8 2" xfId="7084" xr:uid="{54472F79-CE39-467D-ACE9-55A493DE43A6}"/>
    <cellStyle name="Normal 2 2 2 2 2 2 2 2 2 2 2 2 17 2 2 8 3" xfId="7085" xr:uid="{88927266-B652-491C-8A64-B93AED7C4D8C}"/>
    <cellStyle name="Normal 2 2 2 2 2 2 2 2 2 2 2 2 17 2 2 8 4" xfId="7086" xr:uid="{2F9F2EB6-D655-4386-996B-68C4B0064209}"/>
    <cellStyle name="Normal 2 2 2 2 2 2 2 2 2 2 2 2 17 2 2 9" xfId="7087" xr:uid="{2C87CBAE-A1DB-4DB6-9D31-163BB3B5955E}"/>
    <cellStyle name="Normal 2 2 2 2 2 2 2 2 2 2 2 2 17 2 3" xfId="7088" xr:uid="{49253070-19AC-4669-9E2B-0159EC35FDC2}"/>
    <cellStyle name="Normal 2 2 2 2 2 2 2 2 2 2 2 2 17 2 3 2" xfId="7089" xr:uid="{E64C9073-AA1F-41D9-A47C-ED0DDA892E6C}"/>
    <cellStyle name="Normal 2 2 2 2 2 2 2 2 2 2 2 2 17 2 3 2 2" xfId="7090" xr:uid="{150222F7-6B22-45B8-9DE2-3C33093BCA88}"/>
    <cellStyle name="Normal 2 2 2 2 2 2 2 2 2 2 2 2 17 2 3 2 3" xfId="7091" xr:uid="{4DE7FC39-14B4-4B8C-B96D-1575964D1B57}"/>
    <cellStyle name="Normal 2 2 2 2 2 2 2 2 2 2 2 2 17 2 3 2 4" xfId="7092" xr:uid="{077D79D9-C7C8-456F-B336-D76C6340A096}"/>
    <cellStyle name="Normal 2 2 2 2 2 2 2 2 2 2 2 2 17 2 3 3" xfId="7093" xr:uid="{2F646586-F079-4D8A-B305-1691876899E0}"/>
    <cellStyle name="Normal 2 2 2 2 2 2 2 2 2 2 2 2 17 2 3 4" xfId="7094" xr:uid="{2BB3411C-6BA2-42C5-A490-9FC8F4D44482}"/>
    <cellStyle name="Normal 2 2 2 2 2 2 2 2 2 2 2 2 17 2 3 5" xfId="7095" xr:uid="{55113917-7730-40E0-942C-24739B3F7A51}"/>
    <cellStyle name="Normal 2 2 2 2 2 2 2 2 2 2 2 2 17 2 3 6" xfId="7096" xr:uid="{081B9A94-C39F-435B-8991-E7DB8DED73C7}"/>
    <cellStyle name="Normal 2 2 2 2 2 2 2 2 2 2 2 2 17 2 4" xfId="7097" xr:uid="{F2ADA77A-50B8-4D9C-B7B5-C744D93365E1}"/>
    <cellStyle name="Normal 2 2 2 2 2 2 2 2 2 2 2 2 17 2 5" xfId="7098" xr:uid="{B986BDE9-0C10-43CD-A8B8-70359337F37B}"/>
    <cellStyle name="Normal 2 2 2 2 2 2 2 2 2 2 2 2 17 2 6" xfId="7099" xr:uid="{24B8D3C9-C411-42A3-BC2D-D5FF95C50751}"/>
    <cellStyle name="Normal 2 2 2 2 2 2 2 2 2 2 2 2 17 2 7" xfId="7100" xr:uid="{CFE78558-6797-47DD-B1A9-81C497BDD68B}"/>
    <cellStyle name="Normal 2 2 2 2 2 2 2 2 2 2 2 2 17 2 8" xfId="7101" xr:uid="{4B620EB5-7AB3-44EE-A1FB-D191D5B3199A}"/>
    <cellStyle name="Normal 2 2 2 2 2 2 2 2 2 2 2 2 17 2 8 2" xfId="7102" xr:uid="{C77FECD5-807D-4F9A-8BEE-EAC450D68102}"/>
    <cellStyle name="Normal 2 2 2 2 2 2 2 2 2 2 2 2 17 2 8 3" xfId="7103" xr:uid="{F0B9201C-9195-407A-8AA6-F02195465BEC}"/>
    <cellStyle name="Normal 2 2 2 2 2 2 2 2 2 2 2 2 17 2 8 4" xfId="7104" xr:uid="{9DFACD56-AFB7-4945-B87A-1EFD360EFC6E}"/>
    <cellStyle name="Normal 2 2 2 2 2 2 2 2 2 2 2 2 17 2 9" xfId="7105" xr:uid="{2351D251-1A81-4FFA-9782-A439773C3675}"/>
    <cellStyle name="Normal 2 2 2 2 2 2 2 2 2 2 2 2 17 3" xfId="7106" xr:uid="{945C6DEB-B58F-4632-91BB-EC0C9EDD2B0D}"/>
    <cellStyle name="Normal 2 2 2 2 2 2 2 2 2 2 2 2 17 4" xfId="7107" xr:uid="{9A230440-92C1-4AC9-AB16-022E72B14D18}"/>
    <cellStyle name="Normal 2 2 2 2 2 2 2 2 2 2 2 2 17 5" xfId="7108" xr:uid="{03EA6378-5C84-4FFC-9429-5E831E91221F}"/>
    <cellStyle name="Normal 2 2 2 2 2 2 2 2 2 2 2 2 17 5 2" xfId="7109" xr:uid="{056CC84A-A94A-42DE-A191-B3B239ABB81B}"/>
    <cellStyle name="Normal 2 2 2 2 2 2 2 2 2 2 2 2 17 5 2 2" xfId="7110" xr:uid="{B2691958-E6A3-434E-B95F-DB5C375BF512}"/>
    <cellStyle name="Normal 2 2 2 2 2 2 2 2 2 2 2 2 17 5 2 3" xfId="7111" xr:uid="{CC27BB16-07A4-4616-B10D-02D04A28AE80}"/>
    <cellStyle name="Normal 2 2 2 2 2 2 2 2 2 2 2 2 17 5 2 4" xfId="7112" xr:uid="{1EAFDBE5-0443-4FCE-9D33-8E58DDC43A28}"/>
    <cellStyle name="Normal 2 2 2 2 2 2 2 2 2 2 2 2 17 5 3" xfId="7113" xr:uid="{7A2106B8-B827-4637-B7F9-AE341DADEA36}"/>
    <cellStyle name="Normal 2 2 2 2 2 2 2 2 2 2 2 2 17 5 4" xfId="7114" xr:uid="{7D70AD71-E936-4B93-997F-5795C34F0335}"/>
    <cellStyle name="Normal 2 2 2 2 2 2 2 2 2 2 2 2 17 5 5" xfId="7115" xr:uid="{079CD3A0-1113-4633-B75C-C9397065CCC9}"/>
    <cellStyle name="Normal 2 2 2 2 2 2 2 2 2 2 2 2 17 5 6" xfId="7116" xr:uid="{22AAAEF5-6632-4E74-ABA3-9EBF5595356A}"/>
    <cellStyle name="Normal 2 2 2 2 2 2 2 2 2 2 2 2 17 6" xfId="7117" xr:uid="{2A89F1A6-DE72-4615-A69A-873F488E715A}"/>
    <cellStyle name="Normal 2 2 2 2 2 2 2 2 2 2 2 2 17 7" xfId="7118" xr:uid="{550710FF-735D-4351-914B-4CD9B2088324}"/>
    <cellStyle name="Normal 2 2 2 2 2 2 2 2 2 2 2 2 17 8" xfId="7119" xr:uid="{843B33EA-84B9-4194-844C-E6C9DA2D0C51}"/>
    <cellStyle name="Normal 2 2 2 2 2 2 2 2 2 2 2 2 17 9" xfId="7120" xr:uid="{63447C6B-8DE1-463D-AF05-7D7493CB8453}"/>
    <cellStyle name="Normal 2 2 2 2 2 2 2 2 2 2 2 2 18" xfId="7121" xr:uid="{AF8530DB-8D25-4B9D-9263-F020F97BD9EC}"/>
    <cellStyle name="Normal 2 2 2 2 2 2 2 2 2 2 2 2 19" xfId="7122" xr:uid="{92CABC15-3D03-40E7-A857-644CEAD45A2E}"/>
    <cellStyle name="Normal 2 2 2 2 2 2 2 2 2 2 2 2 19 10" xfId="7123" xr:uid="{531ADF4A-3617-486F-88E6-777BADB245C5}"/>
    <cellStyle name="Normal 2 2 2 2 2 2 2 2 2 2 2 2 19 11" xfId="7124" xr:uid="{46B73746-7DA8-42A6-B551-4AA35023681E}"/>
    <cellStyle name="Normal 2 2 2 2 2 2 2 2 2 2 2 2 19 2" xfId="7125" xr:uid="{4AE9BB47-AF52-4DFB-9F56-9179218C0EE5}"/>
    <cellStyle name="Normal 2 2 2 2 2 2 2 2 2 2 2 2 19 2 10" xfId="7126" xr:uid="{5D97170A-DDCB-4E79-8ACD-781DE690091A}"/>
    <cellStyle name="Normal 2 2 2 2 2 2 2 2 2 2 2 2 19 2 11" xfId="7127" xr:uid="{E8EEA8D3-9CFE-4856-9D8E-E7315731EF59}"/>
    <cellStyle name="Normal 2 2 2 2 2 2 2 2 2 2 2 2 19 2 2" xfId="7128" xr:uid="{BA716FEE-5EE3-436E-8033-F1FDF3026EDD}"/>
    <cellStyle name="Normal 2 2 2 2 2 2 2 2 2 2 2 2 19 2 2 2" xfId="7129" xr:uid="{79F85674-6459-4DB3-B9B8-AAEC3BBD1401}"/>
    <cellStyle name="Normal 2 2 2 2 2 2 2 2 2 2 2 2 19 2 2 2 2" xfId="7130" xr:uid="{D7F58AA9-7E2B-4BE6-B57B-1D5C3BDB8AF2}"/>
    <cellStyle name="Normal 2 2 2 2 2 2 2 2 2 2 2 2 19 2 2 2 3" xfId="7131" xr:uid="{227954F6-3E8C-4213-B29C-7CD45E470A00}"/>
    <cellStyle name="Normal 2 2 2 2 2 2 2 2 2 2 2 2 19 2 2 2 4" xfId="7132" xr:uid="{8FAC3B55-9093-4180-952E-0DC294D30934}"/>
    <cellStyle name="Normal 2 2 2 2 2 2 2 2 2 2 2 2 19 2 2 3" xfId="7133" xr:uid="{8F7F91A8-64E3-4817-A531-C1153E941B80}"/>
    <cellStyle name="Normal 2 2 2 2 2 2 2 2 2 2 2 2 19 2 2 4" xfId="7134" xr:uid="{237ACE58-3C06-434D-86A4-ECE4869A255F}"/>
    <cellStyle name="Normal 2 2 2 2 2 2 2 2 2 2 2 2 19 2 2 5" xfId="7135" xr:uid="{D1C9B35D-99D6-47AE-9A05-FF8500B95BC5}"/>
    <cellStyle name="Normal 2 2 2 2 2 2 2 2 2 2 2 2 19 2 2 6" xfId="7136" xr:uid="{6C5669D4-1C94-421D-B957-12EC2C0D6140}"/>
    <cellStyle name="Normal 2 2 2 2 2 2 2 2 2 2 2 2 19 2 3" xfId="7137" xr:uid="{E4E89F22-C1C1-43DD-981A-397D880EC68C}"/>
    <cellStyle name="Normal 2 2 2 2 2 2 2 2 2 2 2 2 19 2 4" xfId="7138" xr:uid="{1D5C8BCD-8870-4B4B-B43C-723414B5D263}"/>
    <cellStyle name="Normal 2 2 2 2 2 2 2 2 2 2 2 2 19 2 5" xfId="7139" xr:uid="{F3D1FFEA-BD1F-4B18-941D-51B887ABB4AD}"/>
    <cellStyle name="Normal 2 2 2 2 2 2 2 2 2 2 2 2 19 2 6" xfId="7140" xr:uid="{24ADD956-6153-4625-ABCD-CAE986F59AD7}"/>
    <cellStyle name="Normal 2 2 2 2 2 2 2 2 2 2 2 2 19 2 7" xfId="7141" xr:uid="{9DF71CEA-5D3D-4F8E-A052-6B0BF9F46658}"/>
    <cellStyle name="Normal 2 2 2 2 2 2 2 2 2 2 2 2 19 2 8" xfId="7142" xr:uid="{2161DA60-7549-4080-AA5A-7DB95514E290}"/>
    <cellStyle name="Normal 2 2 2 2 2 2 2 2 2 2 2 2 19 2 8 2" xfId="7143" xr:uid="{271D3FC8-E9EA-42DC-BBE0-D25B923F3A30}"/>
    <cellStyle name="Normal 2 2 2 2 2 2 2 2 2 2 2 2 19 2 8 3" xfId="7144" xr:uid="{F794722D-0F99-4D87-8A23-565577E7A4CB}"/>
    <cellStyle name="Normal 2 2 2 2 2 2 2 2 2 2 2 2 19 2 8 4" xfId="7145" xr:uid="{EBF97E66-20D2-4668-9EE9-12E9CA0E6F70}"/>
    <cellStyle name="Normal 2 2 2 2 2 2 2 2 2 2 2 2 19 2 9" xfId="7146" xr:uid="{EC9AFF8A-5614-4EF1-AF04-F27C5809DD0D}"/>
    <cellStyle name="Normal 2 2 2 2 2 2 2 2 2 2 2 2 19 3" xfId="7147" xr:uid="{D068FB7F-D3ED-4142-B5A4-55BA9EAF15EC}"/>
    <cellStyle name="Normal 2 2 2 2 2 2 2 2 2 2 2 2 19 3 2" xfId="7148" xr:uid="{336B138D-9BB5-4829-A070-9F9DFE41E386}"/>
    <cellStyle name="Normal 2 2 2 2 2 2 2 2 2 2 2 2 19 3 2 2" xfId="7149" xr:uid="{BF338698-834F-4641-A92A-9BEE523BFF8A}"/>
    <cellStyle name="Normal 2 2 2 2 2 2 2 2 2 2 2 2 19 3 2 3" xfId="7150" xr:uid="{D83C4BEA-C511-4DD2-B68A-0554991CD133}"/>
    <cellStyle name="Normal 2 2 2 2 2 2 2 2 2 2 2 2 19 3 2 4" xfId="7151" xr:uid="{74D1329C-F4F3-4DF0-BD12-90A1299B6E6B}"/>
    <cellStyle name="Normal 2 2 2 2 2 2 2 2 2 2 2 2 19 3 3" xfId="7152" xr:uid="{9424F32E-FDCD-49F0-AD11-400238B452D9}"/>
    <cellStyle name="Normal 2 2 2 2 2 2 2 2 2 2 2 2 19 3 4" xfId="7153" xr:uid="{79E1686C-A3B2-4838-9AC1-D441682418EE}"/>
    <cellStyle name="Normal 2 2 2 2 2 2 2 2 2 2 2 2 19 3 5" xfId="7154" xr:uid="{28883385-6300-4BF5-9D2D-E08613118656}"/>
    <cellStyle name="Normal 2 2 2 2 2 2 2 2 2 2 2 2 19 3 6" xfId="7155" xr:uid="{85FFE1A1-AF57-4657-9629-CC9D9C23659A}"/>
    <cellStyle name="Normal 2 2 2 2 2 2 2 2 2 2 2 2 19 4" xfId="7156" xr:uid="{DAFFF1E4-ED1C-4AAB-B23F-90C980775E5A}"/>
    <cellStyle name="Normal 2 2 2 2 2 2 2 2 2 2 2 2 19 5" xfId="7157" xr:uid="{687A42FC-77A7-4362-920E-EE7AC0D9802F}"/>
    <cellStyle name="Normal 2 2 2 2 2 2 2 2 2 2 2 2 19 6" xfId="7158" xr:uid="{8ECC2257-398C-412D-BD14-D97C89519AA9}"/>
    <cellStyle name="Normal 2 2 2 2 2 2 2 2 2 2 2 2 19 7" xfId="7159" xr:uid="{65C34FFD-7F16-4DB0-80E5-0FA7B74ED8F6}"/>
    <cellStyle name="Normal 2 2 2 2 2 2 2 2 2 2 2 2 19 8" xfId="7160" xr:uid="{DDE380A2-CA2D-4A6D-9F5C-BDCB4C8A05A4}"/>
    <cellStyle name="Normal 2 2 2 2 2 2 2 2 2 2 2 2 19 8 2" xfId="7161" xr:uid="{9275E528-5719-4B0B-8DC8-BA4A86F84DC1}"/>
    <cellStyle name="Normal 2 2 2 2 2 2 2 2 2 2 2 2 19 8 3" xfId="7162" xr:uid="{2BABB6A3-D9B9-49C9-BBCB-F028E4BFC140}"/>
    <cellStyle name="Normal 2 2 2 2 2 2 2 2 2 2 2 2 19 8 4" xfId="7163" xr:uid="{B1668E7B-8D56-41FE-A855-131EC95E57EE}"/>
    <cellStyle name="Normal 2 2 2 2 2 2 2 2 2 2 2 2 19 9" xfId="7164" xr:uid="{EF6B9EFF-402E-4818-B7D9-B6DA14608D1D}"/>
    <cellStyle name="Normal 2 2 2 2 2 2 2 2 2 2 2 2 2" xfId="7165" xr:uid="{1EB64C5C-52D0-401B-9CB8-A02C4A9A80E4}"/>
    <cellStyle name="Normal 2 2 2 2 2 2 2 2 2 2 2 2 2 10" xfId="7166" xr:uid="{29C2AC25-3FD9-4710-A06E-E093242085F2}"/>
    <cellStyle name="Normal 2 2 2 2 2 2 2 2 2 2 2 2 2 11" xfId="7167" xr:uid="{32621B48-A602-4659-961A-DAA824878D3D}"/>
    <cellStyle name="Normal 2 2 2 2 2 2 2 2 2 2 2 2 2 12" xfId="7168" xr:uid="{DB0EADB2-0B32-4BD0-8454-916823D8773B}"/>
    <cellStyle name="Normal 2 2 2 2 2 2 2 2 2 2 2 2 2 13" xfId="7169" xr:uid="{5D437D33-45F3-4EB3-8C1D-198F13ADDACB}"/>
    <cellStyle name="Normal 2 2 2 2 2 2 2 2 2 2 2 2 2 14" xfId="7170" xr:uid="{D53917A0-08A7-4EF6-94E4-0FB9B06F6CD8}"/>
    <cellStyle name="Normal 2 2 2 2 2 2 2 2 2 2 2 2 2 15" xfId="7171" xr:uid="{025F8640-46A3-4498-A047-2449FE1EC90B}"/>
    <cellStyle name="Normal 2 2 2 2 2 2 2 2 2 2 2 2 2 16" xfId="7172" xr:uid="{45675F72-B747-4C74-BAD2-F88336FE7DD1}"/>
    <cellStyle name="Normal 2 2 2 2 2 2 2 2 2 2 2 2 2 16 10" xfId="7173" xr:uid="{EBA47AEF-96C4-40AF-B3FA-3C9877D23769}"/>
    <cellStyle name="Normal 2 2 2 2 2 2 2 2 2 2 2 2 2 16 11" xfId="7174" xr:uid="{9E109F9A-7657-482B-A7C1-8028EC316CDA}"/>
    <cellStyle name="Normal 2 2 2 2 2 2 2 2 2 2 2 2 2 16 11 2" xfId="7175" xr:uid="{C31EC869-1EBA-45FE-BC56-BC2535A23431}"/>
    <cellStyle name="Normal 2 2 2 2 2 2 2 2 2 2 2 2 2 16 11 3" xfId="7176" xr:uid="{07A211F0-00D1-4A28-92CD-2FFA6825B161}"/>
    <cellStyle name="Normal 2 2 2 2 2 2 2 2 2 2 2 2 2 16 11 4" xfId="7177" xr:uid="{1F351282-B876-4A53-B5C7-66F870658939}"/>
    <cellStyle name="Normal 2 2 2 2 2 2 2 2 2 2 2 2 2 16 12" xfId="7178" xr:uid="{84138CE8-EC8F-4AAD-8A6C-E91E1EA0AA20}"/>
    <cellStyle name="Normal 2 2 2 2 2 2 2 2 2 2 2 2 2 16 13" xfId="7179" xr:uid="{BB539B59-AEED-47BD-B51C-5E32919CEBA1}"/>
    <cellStyle name="Normal 2 2 2 2 2 2 2 2 2 2 2 2 2 16 14" xfId="7180" xr:uid="{CED7D30C-E4C1-4ECF-A28B-C0F3D06787E9}"/>
    <cellStyle name="Normal 2 2 2 2 2 2 2 2 2 2 2 2 2 16 2" xfId="7181" xr:uid="{A69ECD4A-5ACA-4388-96D4-2FADFBC14A2D}"/>
    <cellStyle name="Normal 2 2 2 2 2 2 2 2 2 2 2 2 2 16 2 10" xfId="7182" xr:uid="{34A6FFD6-659A-4E57-975E-164E0B1FE637}"/>
    <cellStyle name="Normal 2 2 2 2 2 2 2 2 2 2 2 2 2 16 2 11" xfId="7183" xr:uid="{F900094E-74DD-4C94-A303-27F6A4F0F143}"/>
    <cellStyle name="Normal 2 2 2 2 2 2 2 2 2 2 2 2 2 16 2 2" xfId="7184" xr:uid="{64290108-5FF0-44AA-9D79-A589CAC47870}"/>
    <cellStyle name="Normal 2 2 2 2 2 2 2 2 2 2 2 2 2 16 2 2 10" xfId="7185" xr:uid="{0C51E34F-F45B-4317-AC8A-099088D9C80F}"/>
    <cellStyle name="Normal 2 2 2 2 2 2 2 2 2 2 2 2 2 16 2 2 11" xfId="7186" xr:uid="{3F7EA322-85DE-4EDB-9A4A-76A608BBF9EB}"/>
    <cellStyle name="Normal 2 2 2 2 2 2 2 2 2 2 2 2 2 16 2 2 2" xfId="7187" xr:uid="{4297D110-38FA-448C-BF6B-F54734233C66}"/>
    <cellStyle name="Normal 2 2 2 2 2 2 2 2 2 2 2 2 2 16 2 2 2 2" xfId="7188" xr:uid="{115479B9-A02B-4A8E-99D3-020E9A73F45F}"/>
    <cellStyle name="Normal 2 2 2 2 2 2 2 2 2 2 2 2 2 16 2 2 2 2 2" xfId="7189" xr:uid="{1280695F-619F-4B65-B1F9-7BBAD11FB2B6}"/>
    <cellStyle name="Normal 2 2 2 2 2 2 2 2 2 2 2 2 2 16 2 2 2 2 3" xfId="7190" xr:uid="{F77B7BF2-E812-4114-A76A-C4FB0EB28F33}"/>
    <cellStyle name="Normal 2 2 2 2 2 2 2 2 2 2 2 2 2 16 2 2 2 2 4" xfId="7191" xr:uid="{13E49673-6D03-475C-BFFB-084AB1FAA87C}"/>
    <cellStyle name="Normal 2 2 2 2 2 2 2 2 2 2 2 2 2 16 2 2 2 3" xfId="7192" xr:uid="{A3B01A8D-17DB-423D-9A19-A788AC372610}"/>
    <cellStyle name="Normal 2 2 2 2 2 2 2 2 2 2 2 2 2 16 2 2 2 4" xfId="7193" xr:uid="{03C47DA0-9058-40E4-BC12-0FEFA485CF16}"/>
    <cellStyle name="Normal 2 2 2 2 2 2 2 2 2 2 2 2 2 16 2 2 2 5" xfId="7194" xr:uid="{18873A71-4CA7-4745-8259-463DFE405025}"/>
    <cellStyle name="Normal 2 2 2 2 2 2 2 2 2 2 2 2 2 16 2 2 2 6" xfId="7195" xr:uid="{0D74297A-5FF8-494D-B801-FF6EFDC67243}"/>
    <cellStyle name="Normal 2 2 2 2 2 2 2 2 2 2 2 2 2 16 2 2 3" xfId="7196" xr:uid="{BBEFA217-7A07-489B-B562-D6554F75F13B}"/>
    <cellStyle name="Normal 2 2 2 2 2 2 2 2 2 2 2 2 2 16 2 2 4" xfId="7197" xr:uid="{C80BEC78-1453-4387-85ED-10B8B91A824D}"/>
    <cellStyle name="Normal 2 2 2 2 2 2 2 2 2 2 2 2 2 16 2 2 5" xfId="7198" xr:uid="{E02D6AFC-A9FC-4DE0-811D-11980D771171}"/>
    <cellStyle name="Normal 2 2 2 2 2 2 2 2 2 2 2 2 2 16 2 2 6" xfId="7199" xr:uid="{4E594E22-7A77-49B6-A4A9-CA437A839C8B}"/>
    <cellStyle name="Normal 2 2 2 2 2 2 2 2 2 2 2 2 2 16 2 2 7" xfId="7200" xr:uid="{9A1AAA90-07B8-49EB-B25D-CF0F3CC1052F}"/>
    <cellStyle name="Normal 2 2 2 2 2 2 2 2 2 2 2 2 2 16 2 2 8" xfId="7201" xr:uid="{5E7928E4-3245-4836-916E-5F87501B62DB}"/>
    <cellStyle name="Normal 2 2 2 2 2 2 2 2 2 2 2 2 2 16 2 2 8 2" xfId="7202" xr:uid="{C21C2FF7-4232-4F23-ADDE-37E7AEF78CD9}"/>
    <cellStyle name="Normal 2 2 2 2 2 2 2 2 2 2 2 2 2 16 2 2 8 3" xfId="7203" xr:uid="{9889128C-35F8-4E1B-B179-E53576195DF1}"/>
    <cellStyle name="Normal 2 2 2 2 2 2 2 2 2 2 2 2 2 16 2 2 8 4" xfId="7204" xr:uid="{12943911-EFCF-4F16-B5D5-447A82CA225D}"/>
    <cellStyle name="Normal 2 2 2 2 2 2 2 2 2 2 2 2 2 16 2 2 9" xfId="7205" xr:uid="{B6E84C5E-BCCE-4BE7-8C07-C10FF048753D}"/>
    <cellStyle name="Normal 2 2 2 2 2 2 2 2 2 2 2 2 2 16 2 3" xfId="7206" xr:uid="{9C6F8532-1642-4156-88F1-AB403AF2B886}"/>
    <cellStyle name="Normal 2 2 2 2 2 2 2 2 2 2 2 2 2 16 2 3 2" xfId="7207" xr:uid="{A168B1F0-FCBD-44CD-88BC-F96467600AB2}"/>
    <cellStyle name="Normal 2 2 2 2 2 2 2 2 2 2 2 2 2 16 2 3 2 2" xfId="7208" xr:uid="{709334F7-EB4A-41C7-9A8F-2E104FC82D45}"/>
    <cellStyle name="Normal 2 2 2 2 2 2 2 2 2 2 2 2 2 16 2 3 2 3" xfId="7209" xr:uid="{33EC9418-99FA-4920-A821-5061080FF5E2}"/>
    <cellStyle name="Normal 2 2 2 2 2 2 2 2 2 2 2 2 2 16 2 3 2 4" xfId="7210" xr:uid="{3642584D-C1F9-4B0E-B090-A0D680E0E7DF}"/>
    <cellStyle name="Normal 2 2 2 2 2 2 2 2 2 2 2 2 2 16 2 3 3" xfId="7211" xr:uid="{593F6BAB-6037-47E7-86C0-212E6B1543DD}"/>
    <cellStyle name="Normal 2 2 2 2 2 2 2 2 2 2 2 2 2 16 2 3 4" xfId="7212" xr:uid="{42F7C45E-FEC5-488C-9382-384D8DADE666}"/>
    <cellStyle name="Normal 2 2 2 2 2 2 2 2 2 2 2 2 2 16 2 3 5" xfId="7213" xr:uid="{255576D2-46AF-449E-9FF9-5716F20DB03E}"/>
    <cellStyle name="Normal 2 2 2 2 2 2 2 2 2 2 2 2 2 16 2 3 6" xfId="7214" xr:uid="{BD4E8844-5CF9-498C-A48E-6AD2A5CE1542}"/>
    <cellStyle name="Normal 2 2 2 2 2 2 2 2 2 2 2 2 2 16 2 4" xfId="7215" xr:uid="{AF458CB8-5499-4572-AEDD-797526EE69C4}"/>
    <cellStyle name="Normal 2 2 2 2 2 2 2 2 2 2 2 2 2 16 2 5" xfId="7216" xr:uid="{313BC4A9-5C3E-44B5-A6BF-64A17B3B6732}"/>
    <cellStyle name="Normal 2 2 2 2 2 2 2 2 2 2 2 2 2 16 2 6" xfId="7217" xr:uid="{FB1B6E06-3884-4E0C-A707-36BE2583AFCD}"/>
    <cellStyle name="Normal 2 2 2 2 2 2 2 2 2 2 2 2 2 16 2 7" xfId="7218" xr:uid="{62EAF213-720D-49AF-9D8B-81DDE6D9FEB3}"/>
    <cellStyle name="Normal 2 2 2 2 2 2 2 2 2 2 2 2 2 16 2 8" xfId="7219" xr:uid="{54740534-526D-45C1-848C-11A4150213AD}"/>
    <cellStyle name="Normal 2 2 2 2 2 2 2 2 2 2 2 2 2 16 2 8 2" xfId="7220" xr:uid="{B940BB2E-D555-40BA-92AE-2E9DCF866429}"/>
    <cellStyle name="Normal 2 2 2 2 2 2 2 2 2 2 2 2 2 16 2 8 3" xfId="7221" xr:uid="{DF56F7A6-C92C-4C15-983B-ADE74C240F1F}"/>
    <cellStyle name="Normal 2 2 2 2 2 2 2 2 2 2 2 2 2 16 2 8 4" xfId="7222" xr:uid="{369A18DB-86B8-481B-938B-32F35CFBF04C}"/>
    <cellStyle name="Normal 2 2 2 2 2 2 2 2 2 2 2 2 2 16 2 9" xfId="7223" xr:uid="{DD4491D0-F69D-40C8-AD36-1B2F99379C3F}"/>
    <cellStyle name="Normal 2 2 2 2 2 2 2 2 2 2 2 2 2 16 3" xfId="7224" xr:uid="{3C32561A-9277-4F1D-B96C-643597EE5CCA}"/>
    <cellStyle name="Normal 2 2 2 2 2 2 2 2 2 2 2 2 2 16 4" xfId="7225" xr:uid="{DA5F4E74-2271-4235-B5C8-EDE50F4E8225}"/>
    <cellStyle name="Normal 2 2 2 2 2 2 2 2 2 2 2 2 2 16 5" xfId="7226" xr:uid="{087C2A28-02F6-434F-A053-696932CA47C1}"/>
    <cellStyle name="Normal 2 2 2 2 2 2 2 2 2 2 2 2 2 16 5 2" xfId="7227" xr:uid="{6D02EE2A-0404-4ABF-90CC-A74B64970ABC}"/>
    <cellStyle name="Normal 2 2 2 2 2 2 2 2 2 2 2 2 2 16 5 2 2" xfId="7228" xr:uid="{90A9C92D-2D98-42AD-AF4A-FD735C634695}"/>
    <cellStyle name="Normal 2 2 2 2 2 2 2 2 2 2 2 2 2 16 5 2 3" xfId="7229" xr:uid="{9FD01892-DAF2-4071-A441-935F3DB1AD28}"/>
    <cellStyle name="Normal 2 2 2 2 2 2 2 2 2 2 2 2 2 16 5 2 4" xfId="7230" xr:uid="{2D9B12B2-A6CF-44DB-81C8-D669D79C74AC}"/>
    <cellStyle name="Normal 2 2 2 2 2 2 2 2 2 2 2 2 2 16 5 3" xfId="7231" xr:uid="{0C9CD1CE-2D2F-4ACB-9343-7622AAF52359}"/>
    <cellStyle name="Normal 2 2 2 2 2 2 2 2 2 2 2 2 2 16 5 4" xfId="7232" xr:uid="{775C7D65-EC85-4CDF-80EF-D8C5B0C3BA9F}"/>
    <cellStyle name="Normal 2 2 2 2 2 2 2 2 2 2 2 2 2 16 5 5" xfId="7233" xr:uid="{AB164F4A-693D-4891-990A-E9CC4993997E}"/>
    <cellStyle name="Normal 2 2 2 2 2 2 2 2 2 2 2 2 2 16 5 6" xfId="7234" xr:uid="{F17F7B12-48B2-47A4-8F79-B8B0B6719D24}"/>
    <cellStyle name="Normal 2 2 2 2 2 2 2 2 2 2 2 2 2 16 6" xfId="7235" xr:uid="{5DBC8C47-94A5-4777-9E80-C1D89EE605B9}"/>
    <cellStyle name="Normal 2 2 2 2 2 2 2 2 2 2 2 2 2 16 7" xfId="7236" xr:uid="{01C6B99B-F4FC-46CB-B9D7-BF5B7019E7E6}"/>
    <cellStyle name="Normal 2 2 2 2 2 2 2 2 2 2 2 2 2 16 8" xfId="7237" xr:uid="{CD8C9943-FB52-43BB-93EC-46ED7D02ACA4}"/>
    <cellStyle name="Normal 2 2 2 2 2 2 2 2 2 2 2 2 2 16 9" xfId="7238" xr:uid="{D07EFCC3-593F-4A49-B039-8792BEE015CE}"/>
    <cellStyle name="Normal 2 2 2 2 2 2 2 2 2 2 2 2 2 17" xfId="7239" xr:uid="{AB5366CB-9407-4CAE-B2B3-FBC86DAB75DF}"/>
    <cellStyle name="Normal 2 2 2 2 2 2 2 2 2 2 2 2 2 18" xfId="7240" xr:uid="{4997A14E-8D08-4A31-89EC-2F160E11777D}"/>
    <cellStyle name="Normal 2 2 2 2 2 2 2 2 2 2 2 2 2 18 10" xfId="7241" xr:uid="{1882D25F-94A4-4A80-AF41-3C23BDC0048C}"/>
    <cellStyle name="Normal 2 2 2 2 2 2 2 2 2 2 2 2 2 18 11" xfId="7242" xr:uid="{C77F5A19-BD07-45B5-84A0-BC69F72E806C}"/>
    <cellStyle name="Normal 2 2 2 2 2 2 2 2 2 2 2 2 2 18 2" xfId="7243" xr:uid="{4A5459EB-06DD-40D1-A9D1-5F48E0CBA1FD}"/>
    <cellStyle name="Normal 2 2 2 2 2 2 2 2 2 2 2 2 2 18 2 10" xfId="7244" xr:uid="{116CA616-6DF4-45EF-B734-AA7FBA75D35A}"/>
    <cellStyle name="Normal 2 2 2 2 2 2 2 2 2 2 2 2 2 18 2 11" xfId="7245" xr:uid="{F21DA171-732A-4BFE-93E4-5E726C69C3CB}"/>
    <cellStyle name="Normal 2 2 2 2 2 2 2 2 2 2 2 2 2 18 2 2" xfId="7246" xr:uid="{696D9EB7-339B-4377-95B2-7CA83D74B12F}"/>
    <cellStyle name="Normal 2 2 2 2 2 2 2 2 2 2 2 2 2 18 2 2 2" xfId="7247" xr:uid="{A699915F-1592-4F84-9206-AD15EBDFB9CA}"/>
    <cellStyle name="Normal 2 2 2 2 2 2 2 2 2 2 2 2 2 18 2 2 2 2" xfId="7248" xr:uid="{5FE1144B-386C-4D7D-A370-7A591DA484DB}"/>
    <cellStyle name="Normal 2 2 2 2 2 2 2 2 2 2 2 2 2 18 2 2 2 3" xfId="7249" xr:uid="{4AB830BF-5FAE-47AB-B2F3-939EA7D94065}"/>
    <cellStyle name="Normal 2 2 2 2 2 2 2 2 2 2 2 2 2 18 2 2 2 4" xfId="7250" xr:uid="{C517F7CA-2260-4A4F-B278-96C14231D93E}"/>
    <cellStyle name="Normal 2 2 2 2 2 2 2 2 2 2 2 2 2 18 2 2 3" xfId="7251" xr:uid="{9A0EFD69-8BE0-43FF-8003-B819295BE8B9}"/>
    <cellStyle name="Normal 2 2 2 2 2 2 2 2 2 2 2 2 2 18 2 2 4" xfId="7252" xr:uid="{7908BAB1-E761-4C0C-93A3-6EBA33E5227D}"/>
    <cellStyle name="Normal 2 2 2 2 2 2 2 2 2 2 2 2 2 18 2 2 5" xfId="7253" xr:uid="{8CCE4C0F-EA31-4B95-B670-77D58A152B7E}"/>
    <cellStyle name="Normal 2 2 2 2 2 2 2 2 2 2 2 2 2 18 2 2 6" xfId="7254" xr:uid="{B505DCAF-F5A9-4909-BF19-AAADD4477BD1}"/>
    <cellStyle name="Normal 2 2 2 2 2 2 2 2 2 2 2 2 2 18 2 3" xfId="7255" xr:uid="{13E1668C-43D5-4A1E-9163-7C62D9D2744F}"/>
    <cellStyle name="Normal 2 2 2 2 2 2 2 2 2 2 2 2 2 18 2 4" xfId="7256" xr:uid="{8602009A-4FF4-453B-9954-A96CA0A07BC5}"/>
    <cellStyle name="Normal 2 2 2 2 2 2 2 2 2 2 2 2 2 18 2 5" xfId="7257" xr:uid="{FD247929-02E8-4C19-A464-A71D4FC23642}"/>
    <cellStyle name="Normal 2 2 2 2 2 2 2 2 2 2 2 2 2 18 2 6" xfId="7258" xr:uid="{593F7FB9-B34D-417B-A869-B3CCC28212A9}"/>
    <cellStyle name="Normal 2 2 2 2 2 2 2 2 2 2 2 2 2 18 2 7" xfId="7259" xr:uid="{1B817C5A-64AE-4CDE-9877-7D8034788FE1}"/>
    <cellStyle name="Normal 2 2 2 2 2 2 2 2 2 2 2 2 2 18 2 8" xfId="7260" xr:uid="{EC7E0AD8-4129-4E09-AEAF-937B6FC1A0BF}"/>
    <cellStyle name="Normal 2 2 2 2 2 2 2 2 2 2 2 2 2 18 2 8 2" xfId="7261" xr:uid="{D3087D23-32FC-4291-8EEC-0FAE580E27D3}"/>
    <cellStyle name="Normal 2 2 2 2 2 2 2 2 2 2 2 2 2 18 2 8 3" xfId="7262" xr:uid="{F2CCC383-164C-48F3-810A-C0162AFA807C}"/>
    <cellStyle name="Normal 2 2 2 2 2 2 2 2 2 2 2 2 2 18 2 8 4" xfId="7263" xr:uid="{BC14CEF8-6AD0-45A4-A01F-669071F4AFCC}"/>
    <cellStyle name="Normal 2 2 2 2 2 2 2 2 2 2 2 2 2 18 2 9" xfId="7264" xr:uid="{3C1DD8B4-3882-4F92-9385-709912AAAAEA}"/>
    <cellStyle name="Normal 2 2 2 2 2 2 2 2 2 2 2 2 2 18 3" xfId="7265" xr:uid="{71B0E050-BFE2-4451-A09B-2C55D56B3C81}"/>
    <cellStyle name="Normal 2 2 2 2 2 2 2 2 2 2 2 2 2 18 3 2" xfId="7266" xr:uid="{911488D0-3570-4B25-A17F-569F8ABD1037}"/>
    <cellStyle name="Normal 2 2 2 2 2 2 2 2 2 2 2 2 2 18 3 2 2" xfId="7267" xr:uid="{EB035020-F12D-4CE0-B0D4-C20361D29EC9}"/>
    <cellStyle name="Normal 2 2 2 2 2 2 2 2 2 2 2 2 2 18 3 2 3" xfId="7268" xr:uid="{6F50F813-A61B-44E6-91F5-41C981EF03B3}"/>
    <cellStyle name="Normal 2 2 2 2 2 2 2 2 2 2 2 2 2 18 3 2 4" xfId="7269" xr:uid="{6DB9C678-5EA6-463C-A174-9ABC0D9239B7}"/>
    <cellStyle name="Normal 2 2 2 2 2 2 2 2 2 2 2 2 2 18 3 3" xfId="7270" xr:uid="{F58B89EF-5C60-4B94-9484-4ECDF5CA32C7}"/>
    <cellStyle name="Normal 2 2 2 2 2 2 2 2 2 2 2 2 2 18 3 4" xfId="7271" xr:uid="{4F64A395-AABF-4C35-8389-06616657BEAF}"/>
    <cellStyle name="Normal 2 2 2 2 2 2 2 2 2 2 2 2 2 18 3 5" xfId="7272" xr:uid="{FE61CD54-00A2-4E42-8FF1-9AEA370E4EF7}"/>
    <cellStyle name="Normal 2 2 2 2 2 2 2 2 2 2 2 2 2 18 3 6" xfId="7273" xr:uid="{BB9D2A4A-244D-4C86-9D73-3DC339BC1184}"/>
    <cellStyle name="Normal 2 2 2 2 2 2 2 2 2 2 2 2 2 18 4" xfId="7274" xr:uid="{4BB2DF6E-2109-4565-9EBE-F1655AF6EED6}"/>
    <cellStyle name="Normal 2 2 2 2 2 2 2 2 2 2 2 2 2 18 5" xfId="7275" xr:uid="{A446B450-7092-44A7-90CB-AE540B69DF2D}"/>
    <cellStyle name="Normal 2 2 2 2 2 2 2 2 2 2 2 2 2 18 6" xfId="7276" xr:uid="{871B5BDB-760B-4120-81B6-393540F6741D}"/>
    <cellStyle name="Normal 2 2 2 2 2 2 2 2 2 2 2 2 2 18 7" xfId="7277" xr:uid="{4D44FD39-08CD-47D7-AEAC-50727BB7C660}"/>
    <cellStyle name="Normal 2 2 2 2 2 2 2 2 2 2 2 2 2 18 8" xfId="7278" xr:uid="{C983878E-EF6F-4BCE-8DEF-B0B53462AECD}"/>
    <cellStyle name="Normal 2 2 2 2 2 2 2 2 2 2 2 2 2 18 8 2" xfId="7279" xr:uid="{848DAB14-42C3-4B43-8C48-21405002C5DD}"/>
    <cellStyle name="Normal 2 2 2 2 2 2 2 2 2 2 2 2 2 18 8 3" xfId="7280" xr:uid="{224CA0E0-779F-4B3F-9236-4E119C676729}"/>
    <cellStyle name="Normal 2 2 2 2 2 2 2 2 2 2 2 2 2 18 8 4" xfId="7281" xr:uid="{ABA64767-638E-4BCD-A14B-7D9D16FAA9FB}"/>
    <cellStyle name="Normal 2 2 2 2 2 2 2 2 2 2 2 2 2 18 9" xfId="7282" xr:uid="{E2AD0735-64B3-4F08-8078-6ACAD5E7A091}"/>
    <cellStyle name="Normal 2 2 2 2 2 2 2 2 2 2 2 2 2 19" xfId="7283" xr:uid="{E0976AEC-B7F1-4E93-9F49-871F63F1006D}"/>
    <cellStyle name="Normal 2 2 2 2 2 2 2 2 2 2 2 2 2 2" xfId="7284" xr:uid="{D4F94E12-908E-40C7-AB80-91BA760AA0ED}"/>
    <cellStyle name="Normal 2 2 2 2 2 2 2 2 2 2 2 2 2 2 10" xfId="7285" xr:uid="{471EDBAB-E1FB-48BA-88BA-219609EBB503}"/>
    <cellStyle name="Normal 2 2 2 2 2 2 2 2 2 2 2 2 2 2 11" xfId="7286" xr:uid="{AC05BCA6-E2CF-46B3-B375-CD02DC5655D4}"/>
    <cellStyle name="Normal 2 2 2 2 2 2 2 2 2 2 2 2 2 2 12" xfId="7287" xr:uid="{63E2182A-ACBA-4A20-9750-E33A2E61244B}"/>
    <cellStyle name="Normal 2 2 2 2 2 2 2 2 2 2 2 2 2 2 13" xfId="7288" xr:uid="{5B2CAECD-BAF5-4F3E-9C00-A4EF73EAF38A}"/>
    <cellStyle name="Normal 2 2 2 2 2 2 2 2 2 2 2 2 2 2 14" xfId="7289" xr:uid="{080A9591-2A55-4272-9B9E-5A31B8DADD4C}"/>
    <cellStyle name="Normal 2 2 2 2 2 2 2 2 2 2 2 2 2 2 15" xfId="7290" xr:uid="{202B090C-9DAA-421E-933B-799443D55CA6}"/>
    <cellStyle name="Normal 2 2 2 2 2 2 2 2 2 2 2 2 2 2 16" xfId="7291" xr:uid="{3F7EE8E8-0F42-4F68-938F-AA3A2F71BE4D}"/>
    <cellStyle name="Normal 2 2 2 2 2 2 2 2 2 2 2 2 2 2 16 10" xfId="7292" xr:uid="{452A2A83-8388-4CD8-AE1E-556F831341EE}"/>
    <cellStyle name="Normal 2 2 2 2 2 2 2 2 2 2 2 2 2 2 16 11" xfId="7293" xr:uid="{FE169FA4-AEE7-4EAE-9B25-3338CD177819}"/>
    <cellStyle name="Normal 2 2 2 2 2 2 2 2 2 2 2 2 2 2 16 11 2" xfId="7294" xr:uid="{6D93E3A1-A545-46EB-B000-5D70B3E48D4B}"/>
    <cellStyle name="Normal 2 2 2 2 2 2 2 2 2 2 2 2 2 2 16 11 3" xfId="7295" xr:uid="{F06B9C33-F069-4B1C-809C-29E06E50A475}"/>
    <cellStyle name="Normal 2 2 2 2 2 2 2 2 2 2 2 2 2 2 16 11 4" xfId="7296" xr:uid="{8497ADCA-F88A-4F77-B863-B5D29F36C79E}"/>
    <cellStyle name="Normal 2 2 2 2 2 2 2 2 2 2 2 2 2 2 16 12" xfId="7297" xr:uid="{01623D46-15A4-4F3D-A03E-1E278A011094}"/>
    <cellStyle name="Normal 2 2 2 2 2 2 2 2 2 2 2 2 2 2 16 13" xfId="7298" xr:uid="{7C4C64A7-C6F8-46E1-94C2-3BCB57F1DC8B}"/>
    <cellStyle name="Normal 2 2 2 2 2 2 2 2 2 2 2 2 2 2 16 14" xfId="7299" xr:uid="{74EAB6D5-7138-4DE6-8C5E-7FB017D564CC}"/>
    <cellStyle name="Normal 2 2 2 2 2 2 2 2 2 2 2 2 2 2 16 2" xfId="7300" xr:uid="{686450B5-3D50-4806-9568-0F1690540197}"/>
    <cellStyle name="Normal 2 2 2 2 2 2 2 2 2 2 2 2 2 2 16 2 10" xfId="7301" xr:uid="{0586354C-AE61-4A25-B2E1-4949CACAC433}"/>
    <cellStyle name="Normal 2 2 2 2 2 2 2 2 2 2 2 2 2 2 16 2 11" xfId="7302" xr:uid="{ED44B6EA-6DEF-41C7-9FFF-273234D446FB}"/>
    <cellStyle name="Normal 2 2 2 2 2 2 2 2 2 2 2 2 2 2 16 2 2" xfId="7303" xr:uid="{1677D0D7-3739-4329-841C-0025711B7EB4}"/>
    <cellStyle name="Normal 2 2 2 2 2 2 2 2 2 2 2 2 2 2 16 2 2 10" xfId="7304" xr:uid="{883AB317-C2FC-4244-9283-C5BE739152B7}"/>
    <cellStyle name="Normal 2 2 2 2 2 2 2 2 2 2 2 2 2 2 16 2 2 11" xfId="7305" xr:uid="{79DBED0F-3789-4C13-903E-9208342CF5FF}"/>
    <cellStyle name="Normal 2 2 2 2 2 2 2 2 2 2 2 2 2 2 16 2 2 2" xfId="7306" xr:uid="{66F4987E-491D-466D-804C-41D7352E6A29}"/>
    <cellStyle name="Normal 2 2 2 2 2 2 2 2 2 2 2 2 2 2 16 2 2 2 2" xfId="7307" xr:uid="{98F89A1C-89A9-40CA-837F-2AF6A27BDF88}"/>
    <cellStyle name="Normal 2 2 2 2 2 2 2 2 2 2 2 2 2 2 16 2 2 2 2 2" xfId="7308" xr:uid="{A47F44F3-3C17-4731-8A7B-24A6ECC7E3A1}"/>
    <cellStyle name="Normal 2 2 2 2 2 2 2 2 2 2 2 2 2 2 16 2 2 2 2 3" xfId="7309" xr:uid="{627D2D40-3F30-4141-B35C-8C79CB89679A}"/>
    <cellStyle name="Normal 2 2 2 2 2 2 2 2 2 2 2 2 2 2 16 2 2 2 2 4" xfId="7310" xr:uid="{D3EF8EEA-81F6-4324-A9A9-B5DE7C8147E2}"/>
    <cellStyle name="Normal 2 2 2 2 2 2 2 2 2 2 2 2 2 2 16 2 2 2 3" xfId="7311" xr:uid="{3E1E6650-D585-4E25-9A85-B31F2FBEFCF8}"/>
    <cellStyle name="Normal 2 2 2 2 2 2 2 2 2 2 2 2 2 2 16 2 2 2 4" xfId="7312" xr:uid="{7EA7AD91-612B-433D-A5D0-B04A4EEA0423}"/>
    <cellStyle name="Normal 2 2 2 2 2 2 2 2 2 2 2 2 2 2 16 2 2 2 5" xfId="7313" xr:uid="{715622B1-F9E1-422F-BE10-C8342BBED4E0}"/>
    <cellStyle name="Normal 2 2 2 2 2 2 2 2 2 2 2 2 2 2 16 2 2 2 6" xfId="7314" xr:uid="{0C9730AA-3FDE-4CE4-B1FF-AD186CF4A75C}"/>
    <cellStyle name="Normal 2 2 2 2 2 2 2 2 2 2 2 2 2 2 16 2 2 3" xfId="7315" xr:uid="{F8C26754-DE4F-491F-B55E-F73766EA13DD}"/>
    <cellStyle name="Normal 2 2 2 2 2 2 2 2 2 2 2 2 2 2 16 2 2 4" xfId="7316" xr:uid="{73C90633-CF94-4EEF-BB25-436A8387F6C2}"/>
    <cellStyle name="Normal 2 2 2 2 2 2 2 2 2 2 2 2 2 2 16 2 2 5" xfId="7317" xr:uid="{A6878E7A-0151-41B6-BA12-86320C498948}"/>
    <cellStyle name="Normal 2 2 2 2 2 2 2 2 2 2 2 2 2 2 16 2 2 6" xfId="7318" xr:uid="{E127247E-13CB-4EA9-91C8-4302D436BD25}"/>
    <cellStyle name="Normal 2 2 2 2 2 2 2 2 2 2 2 2 2 2 16 2 2 7" xfId="7319" xr:uid="{7E604680-5D78-4500-9F48-908AB837DF78}"/>
    <cellStyle name="Normal 2 2 2 2 2 2 2 2 2 2 2 2 2 2 16 2 2 8" xfId="7320" xr:uid="{D72CC366-B6DF-4ECD-A490-F7FC45BC9A41}"/>
    <cellStyle name="Normal 2 2 2 2 2 2 2 2 2 2 2 2 2 2 16 2 2 8 2" xfId="7321" xr:uid="{8094B227-A295-4A95-8803-BAAFEEF9A2E6}"/>
    <cellStyle name="Normal 2 2 2 2 2 2 2 2 2 2 2 2 2 2 16 2 2 8 3" xfId="7322" xr:uid="{3140F76A-F8C8-4A43-B859-7E49E8B09375}"/>
    <cellStyle name="Normal 2 2 2 2 2 2 2 2 2 2 2 2 2 2 16 2 2 8 4" xfId="7323" xr:uid="{989F1C74-F3AA-42D4-AF16-ACEC3EEAD87F}"/>
    <cellStyle name="Normal 2 2 2 2 2 2 2 2 2 2 2 2 2 2 16 2 2 9" xfId="7324" xr:uid="{1B4CE16B-A50C-47B9-A00C-DDBD5AE3CF48}"/>
    <cellStyle name="Normal 2 2 2 2 2 2 2 2 2 2 2 2 2 2 16 2 3" xfId="7325" xr:uid="{EE7B2684-A8E5-44AB-9CD3-E967BBDC4E0D}"/>
    <cellStyle name="Normal 2 2 2 2 2 2 2 2 2 2 2 2 2 2 16 2 3 2" xfId="7326" xr:uid="{6E93B28A-38F9-4409-BF57-41F30782557F}"/>
    <cellStyle name="Normal 2 2 2 2 2 2 2 2 2 2 2 2 2 2 16 2 3 2 2" xfId="7327" xr:uid="{244D6826-794C-4870-9F51-30E9D4802289}"/>
    <cellStyle name="Normal 2 2 2 2 2 2 2 2 2 2 2 2 2 2 16 2 3 2 3" xfId="7328" xr:uid="{DB7BCA09-9170-471B-939D-28458D25206F}"/>
    <cellStyle name="Normal 2 2 2 2 2 2 2 2 2 2 2 2 2 2 16 2 3 2 4" xfId="7329" xr:uid="{E80CDB4A-7C34-4478-AEA5-074BDB656400}"/>
    <cellStyle name="Normal 2 2 2 2 2 2 2 2 2 2 2 2 2 2 16 2 3 3" xfId="7330" xr:uid="{0FE69267-0EF9-4E0B-893B-D2B54B6E5841}"/>
    <cellStyle name="Normal 2 2 2 2 2 2 2 2 2 2 2 2 2 2 16 2 3 4" xfId="7331" xr:uid="{462AE5C4-7CDF-4D4A-9FE7-E6E52A6CCA66}"/>
    <cellStyle name="Normal 2 2 2 2 2 2 2 2 2 2 2 2 2 2 16 2 3 5" xfId="7332" xr:uid="{5FF996C2-4669-4D53-ADD9-8BA00319736E}"/>
    <cellStyle name="Normal 2 2 2 2 2 2 2 2 2 2 2 2 2 2 16 2 3 6" xfId="7333" xr:uid="{79E89EB3-B015-44B3-B994-395324FFBBC1}"/>
    <cellStyle name="Normal 2 2 2 2 2 2 2 2 2 2 2 2 2 2 16 2 4" xfId="7334" xr:uid="{62FB4EA5-2060-48A6-BFD4-09A58F97284F}"/>
    <cellStyle name="Normal 2 2 2 2 2 2 2 2 2 2 2 2 2 2 16 2 5" xfId="7335" xr:uid="{2F3B184A-093D-4BA8-8C3F-DE18058DE448}"/>
    <cellStyle name="Normal 2 2 2 2 2 2 2 2 2 2 2 2 2 2 16 2 6" xfId="7336" xr:uid="{2987CD0F-EE31-4698-9CD4-3C7385BAFACA}"/>
    <cellStyle name="Normal 2 2 2 2 2 2 2 2 2 2 2 2 2 2 16 2 7" xfId="7337" xr:uid="{3997FE08-CE46-4D43-B12E-E55E4E88E276}"/>
    <cellStyle name="Normal 2 2 2 2 2 2 2 2 2 2 2 2 2 2 16 2 8" xfId="7338" xr:uid="{1991D69E-D1AD-4138-AFA1-C5C301C7CCC9}"/>
    <cellStyle name="Normal 2 2 2 2 2 2 2 2 2 2 2 2 2 2 16 2 8 2" xfId="7339" xr:uid="{8B1D63EA-07DD-461A-928D-F3D062BA546C}"/>
    <cellStyle name="Normal 2 2 2 2 2 2 2 2 2 2 2 2 2 2 16 2 8 3" xfId="7340" xr:uid="{45C03147-1934-4F96-85CC-5B02B8536680}"/>
    <cellStyle name="Normal 2 2 2 2 2 2 2 2 2 2 2 2 2 2 16 2 8 4" xfId="7341" xr:uid="{9EE3BF77-6553-4C22-943C-C4E3654D1DB2}"/>
    <cellStyle name="Normal 2 2 2 2 2 2 2 2 2 2 2 2 2 2 16 2 9" xfId="7342" xr:uid="{BE4DDF45-5C6F-4AF7-865A-E930431C4954}"/>
    <cellStyle name="Normal 2 2 2 2 2 2 2 2 2 2 2 2 2 2 16 3" xfId="7343" xr:uid="{942B608F-197B-4BF8-A4D1-E7AA0495ED98}"/>
    <cellStyle name="Normal 2 2 2 2 2 2 2 2 2 2 2 2 2 2 16 4" xfId="7344" xr:uid="{5AE3D501-64C8-4FEE-9872-9EAAF04F2EA1}"/>
    <cellStyle name="Normal 2 2 2 2 2 2 2 2 2 2 2 2 2 2 16 5" xfId="7345" xr:uid="{11F730DB-135E-4009-AAEC-D4EBF895D4A5}"/>
    <cellStyle name="Normal 2 2 2 2 2 2 2 2 2 2 2 2 2 2 16 5 2" xfId="7346" xr:uid="{2E76DFF0-4FDD-4ACE-A59C-8D90FB9C861B}"/>
    <cellStyle name="Normal 2 2 2 2 2 2 2 2 2 2 2 2 2 2 16 5 2 2" xfId="7347" xr:uid="{0A4668F4-AFA9-44D2-A161-B4D95CCE650B}"/>
    <cellStyle name="Normal 2 2 2 2 2 2 2 2 2 2 2 2 2 2 16 5 2 3" xfId="7348" xr:uid="{998EAB1F-C377-4C29-8086-612834B5F2D1}"/>
    <cellStyle name="Normal 2 2 2 2 2 2 2 2 2 2 2 2 2 2 16 5 2 4" xfId="7349" xr:uid="{8AA80E27-F9AE-4E2B-A23A-BF452EBA78A3}"/>
    <cellStyle name="Normal 2 2 2 2 2 2 2 2 2 2 2 2 2 2 16 5 3" xfId="7350" xr:uid="{BF377DCE-948E-4A83-B609-3D828F558399}"/>
    <cellStyle name="Normal 2 2 2 2 2 2 2 2 2 2 2 2 2 2 16 5 4" xfId="7351" xr:uid="{2BF74A67-808E-4F0E-9DC6-8BF6C0F26C2A}"/>
    <cellStyle name="Normal 2 2 2 2 2 2 2 2 2 2 2 2 2 2 16 5 5" xfId="7352" xr:uid="{E7AF81C4-2E04-4960-BFEE-0611DBAEAB2C}"/>
    <cellStyle name="Normal 2 2 2 2 2 2 2 2 2 2 2 2 2 2 16 5 6" xfId="7353" xr:uid="{5ED40234-8BB7-47C8-82D3-E39EE71FAC15}"/>
    <cellStyle name="Normal 2 2 2 2 2 2 2 2 2 2 2 2 2 2 16 6" xfId="7354" xr:uid="{A3A23052-7654-4842-9372-15FB486EF4C4}"/>
    <cellStyle name="Normal 2 2 2 2 2 2 2 2 2 2 2 2 2 2 16 7" xfId="7355" xr:uid="{061FB114-9E0A-4DB6-893F-B47D2E53F7EB}"/>
    <cellStyle name="Normal 2 2 2 2 2 2 2 2 2 2 2 2 2 2 16 8" xfId="7356" xr:uid="{9BC57F4B-A07F-45BE-9ACE-1B9CA9F1C649}"/>
    <cellStyle name="Normal 2 2 2 2 2 2 2 2 2 2 2 2 2 2 16 9" xfId="7357" xr:uid="{674A849D-B573-4FD6-B45F-AB018E795A55}"/>
    <cellStyle name="Normal 2 2 2 2 2 2 2 2 2 2 2 2 2 2 17" xfId="7358" xr:uid="{088B74A4-2E37-47CD-A406-F795E248AE48}"/>
    <cellStyle name="Normal 2 2 2 2 2 2 2 2 2 2 2 2 2 2 18" xfId="7359" xr:uid="{C3081257-89EB-4394-A6B3-5E750FC83A7B}"/>
    <cellStyle name="Normal 2 2 2 2 2 2 2 2 2 2 2 2 2 2 18 10" xfId="7360" xr:uid="{C81A9424-0D39-4BB5-886C-CA31EA37C896}"/>
    <cellStyle name="Normal 2 2 2 2 2 2 2 2 2 2 2 2 2 2 18 11" xfId="7361" xr:uid="{6F118626-8ED9-41E9-AE55-58DCE2DA0749}"/>
    <cellStyle name="Normal 2 2 2 2 2 2 2 2 2 2 2 2 2 2 18 2" xfId="7362" xr:uid="{3E42F7C8-8AC2-4760-8164-F49EAF904FBD}"/>
    <cellStyle name="Normal 2 2 2 2 2 2 2 2 2 2 2 2 2 2 18 2 10" xfId="7363" xr:uid="{0BB68531-8E57-4C5F-9705-629CB025824B}"/>
    <cellStyle name="Normal 2 2 2 2 2 2 2 2 2 2 2 2 2 2 18 2 11" xfId="7364" xr:uid="{621333FC-7491-4D1D-A970-CD8EC0BC14C4}"/>
    <cellStyle name="Normal 2 2 2 2 2 2 2 2 2 2 2 2 2 2 18 2 2" xfId="7365" xr:uid="{A3FB0F7E-3B39-4C50-B9AF-63342C3E7705}"/>
    <cellStyle name="Normal 2 2 2 2 2 2 2 2 2 2 2 2 2 2 18 2 2 2" xfId="7366" xr:uid="{22653359-C23A-4199-882A-10445D8B6BE0}"/>
    <cellStyle name="Normal 2 2 2 2 2 2 2 2 2 2 2 2 2 2 18 2 2 2 2" xfId="7367" xr:uid="{49773F51-9C20-4ABA-8390-F4D7B7415052}"/>
    <cellStyle name="Normal 2 2 2 2 2 2 2 2 2 2 2 2 2 2 18 2 2 2 3" xfId="7368" xr:uid="{47933F38-21B9-4F2B-99B6-0EF9CCF5129C}"/>
    <cellStyle name="Normal 2 2 2 2 2 2 2 2 2 2 2 2 2 2 18 2 2 2 4" xfId="7369" xr:uid="{F9AF8F52-94AC-4054-953F-2BB60E150548}"/>
    <cellStyle name="Normal 2 2 2 2 2 2 2 2 2 2 2 2 2 2 18 2 2 3" xfId="7370" xr:uid="{D0330823-AFDA-48A1-AF4A-448ED00EA453}"/>
    <cellStyle name="Normal 2 2 2 2 2 2 2 2 2 2 2 2 2 2 18 2 2 4" xfId="7371" xr:uid="{036932F9-BA72-449D-BCA4-1E4DF9DEFD9F}"/>
    <cellStyle name="Normal 2 2 2 2 2 2 2 2 2 2 2 2 2 2 18 2 2 5" xfId="7372" xr:uid="{EA2C9505-CA9C-41B3-94EB-16C91E1A7651}"/>
    <cellStyle name="Normal 2 2 2 2 2 2 2 2 2 2 2 2 2 2 18 2 2 6" xfId="7373" xr:uid="{85EDC300-BE32-43BD-A3AB-7087E185C3B1}"/>
    <cellStyle name="Normal 2 2 2 2 2 2 2 2 2 2 2 2 2 2 18 2 3" xfId="7374" xr:uid="{A97E5300-D45A-4055-BB39-065D18B330FD}"/>
    <cellStyle name="Normal 2 2 2 2 2 2 2 2 2 2 2 2 2 2 18 2 4" xfId="7375" xr:uid="{8C966C5F-9693-40F0-B5D9-8F37C2EDAC7E}"/>
    <cellStyle name="Normal 2 2 2 2 2 2 2 2 2 2 2 2 2 2 18 2 5" xfId="7376" xr:uid="{D0C1D2BE-F157-46C8-8475-FAB43269622A}"/>
    <cellStyle name="Normal 2 2 2 2 2 2 2 2 2 2 2 2 2 2 18 2 6" xfId="7377" xr:uid="{DC5A3235-4BA7-4604-97FA-C1D5051D1290}"/>
    <cellStyle name="Normal 2 2 2 2 2 2 2 2 2 2 2 2 2 2 18 2 7" xfId="7378" xr:uid="{14DCA42E-C5D0-4C64-A642-9429E5CBA2F2}"/>
    <cellStyle name="Normal 2 2 2 2 2 2 2 2 2 2 2 2 2 2 18 2 8" xfId="7379" xr:uid="{30D7E2BC-8CC8-4414-A13F-63B47B5C2F57}"/>
    <cellStyle name="Normal 2 2 2 2 2 2 2 2 2 2 2 2 2 2 18 2 8 2" xfId="7380" xr:uid="{628AC41A-C9ED-4F22-9CEC-5A063864B563}"/>
    <cellStyle name="Normal 2 2 2 2 2 2 2 2 2 2 2 2 2 2 18 2 8 3" xfId="7381" xr:uid="{AEBD9DA8-2301-496C-BA6F-AE0FAB8BF77A}"/>
    <cellStyle name="Normal 2 2 2 2 2 2 2 2 2 2 2 2 2 2 18 2 8 4" xfId="7382" xr:uid="{91C8FD56-A3CF-4A0A-8AEE-EE97502972A4}"/>
    <cellStyle name="Normal 2 2 2 2 2 2 2 2 2 2 2 2 2 2 18 2 9" xfId="7383" xr:uid="{12596AD1-B1B1-4E5C-889E-0080B63B3E36}"/>
    <cellStyle name="Normal 2 2 2 2 2 2 2 2 2 2 2 2 2 2 18 3" xfId="7384" xr:uid="{D77853D4-8285-4FFD-913F-4D9D680E2686}"/>
    <cellStyle name="Normal 2 2 2 2 2 2 2 2 2 2 2 2 2 2 18 3 2" xfId="7385" xr:uid="{B7F668D6-027C-4F25-A2AD-A05F75E330A3}"/>
    <cellStyle name="Normal 2 2 2 2 2 2 2 2 2 2 2 2 2 2 18 3 2 2" xfId="7386" xr:uid="{142FF6C8-458A-4720-90DB-5F1A0BC4657F}"/>
    <cellStyle name="Normal 2 2 2 2 2 2 2 2 2 2 2 2 2 2 18 3 2 3" xfId="7387" xr:uid="{CC011B7D-AFC1-4C30-B11A-2938A6197D4F}"/>
    <cellStyle name="Normal 2 2 2 2 2 2 2 2 2 2 2 2 2 2 18 3 2 4" xfId="7388" xr:uid="{EE70E635-BE8A-42D5-9C1E-09A82E1B00A6}"/>
    <cellStyle name="Normal 2 2 2 2 2 2 2 2 2 2 2 2 2 2 18 3 3" xfId="7389" xr:uid="{A35F53C8-6288-4450-9636-724F255B2FA2}"/>
    <cellStyle name="Normal 2 2 2 2 2 2 2 2 2 2 2 2 2 2 18 3 4" xfId="7390" xr:uid="{7C37540C-7F5B-4E45-9C4F-9268D5A15A65}"/>
    <cellStyle name="Normal 2 2 2 2 2 2 2 2 2 2 2 2 2 2 18 3 5" xfId="7391" xr:uid="{2C1C84F4-6EF6-4EC9-A136-F5B06271D274}"/>
    <cellStyle name="Normal 2 2 2 2 2 2 2 2 2 2 2 2 2 2 18 3 6" xfId="7392" xr:uid="{92459CA6-38F5-4589-B087-B33C46C97A9B}"/>
    <cellStyle name="Normal 2 2 2 2 2 2 2 2 2 2 2 2 2 2 18 4" xfId="7393" xr:uid="{EB741E67-4E5A-4085-8BB1-5184FD92B69B}"/>
    <cellStyle name="Normal 2 2 2 2 2 2 2 2 2 2 2 2 2 2 18 5" xfId="7394" xr:uid="{428546C4-710C-4DD8-85A9-EFA9D8AFBFA8}"/>
    <cellStyle name="Normal 2 2 2 2 2 2 2 2 2 2 2 2 2 2 18 6" xfId="7395" xr:uid="{7C3212BC-1D5D-4918-BC3D-FEBE6BEB433A}"/>
    <cellStyle name="Normal 2 2 2 2 2 2 2 2 2 2 2 2 2 2 18 7" xfId="7396" xr:uid="{F484B574-364E-43A8-9F96-33FA79D6839A}"/>
    <cellStyle name="Normal 2 2 2 2 2 2 2 2 2 2 2 2 2 2 18 8" xfId="7397" xr:uid="{9D9E0F8A-F5DE-4DDA-ABFE-A314AA9AA3A6}"/>
    <cellStyle name="Normal 2 2 2 2 2 2 2 2 2 2 2 2 2 2 18 8 2" xfId="7398" xr:uid="{656BCBA5-83EB-4656-A7F5-8D83E832C20E}"/>
    <cellStyle name="Normal 2 2 2 2 2 2 2 2 2 2 2 2 2 2 18 8 3" xfId="7399" xr:uid="{7821E92E-B9CB-4E87-A9CE-8B94D53F0F51}"/>
    <cellStyle name="Normal 2 2 2 2 2 2 2 2 2 2 2 2 2 2 18 8 4" xfId="7400" xr:uid="{B471B656-C3EE-4B67-ADE8-2725699EED40}"/>
    <cellStyle name="Normal 2 2 2 2 2 2 2 2 2 2 2 2 2 2 18 9" xfId="7401" xr:uid="{83554EF0-5C04-4A78-8A7E-B3CA7F0365B9}"/>
    <cellStyle name="Normal 2 2 2 2 2 2 2 2 2 2 2 2 2 2 19" xfId="7402" xr:uid="{5263CB95-FBB7-4DAC-90DC-A63023CEC930}"/>
    <cellStyle name="Normal 2 2 2 2 2 2 2 2 2 2 2 2 2 2 2" xfId="7403" xr:uid="{20DFED48-6074-4EC0-9E7D-DD98284593F2}"/>
    <cellStyle name="Normal 2 2 2 2 2 2 2 2 2 2 2 2 2 2 2 10" xfId="7404" xr:uid="{8BBFFBE8-5EA2-4ABB-9C61-BD4C84705F71}"/>
    <cellStyle name="Normal 2 2 2 2 2 2 2 2 2 2 2 2 2 2 2 11" xfId="7405" xr:uid="{39977A55-885D-4CAD-BDBD-896B188971C0}"/>
    <cellStyle name="Normal 2 2 2 2 2 2 2 2 2 2 2 2 2 2 2 12" xfId="7406" xr:uid="{2F9614A7-8F96-436E-B627-C34FD7D39F39}"/>
    <cellStyle name="Normal 2 2 2 2 2 2 2 2 2 2 2 2 2 2 2 12 10" xfId="7407" xr:uid="{F3DAFEC7-E06A-4CDE-A655-5E57C307F955}"/>
    <cellStyle name="Normal 2 2 2 2 2 2 2 2 2 2 2 2 2 2 2 12 11" xfId="7408" xr:uid="{0AC687C4-034C-4000-AA88-A12BCF4DD796}"/>
    <cellStyle name="Normal 2 2 2 2 2 2 2 2 2 2 2 2 2 2 2 12 11 2" xfId="7409" xr:uid="{70EFAF7D-6E3B-48F8-9A63-59B554562340}"/>
    <cellStyle name="Normal 2 2 2 2 2 2 2 2 2 2 2 2 2 2 2 12 11 3" xfId="7410" xr:uid="{E96493EE-293D-46CB-8195-20CB98415587}"/>
    <cellStyle name="Normal 2 2 2 2 2 2 2 2 2 2 2 2 2 2 2 12 11 4" xfId="7411" xr:uid="{9E34D74C-DF97-480D-8A77-602C401EE357}"/>
    <cellStyle name="Normal 2 2 2 2 2 2 2 2 2 2 2 2 2 2 2 12 12" xfId="7412" xr:uid="{422B1CA5-E215-4DB2-8375-56B5AC9BE3C8}"/>
    <cellStyle name="Normal 2 2 2 2 2 2 2 2 2 2 2 2 2 2 2 12 13" xfId="7413" xr:uid="{81F7DCA6-AEC9-41BB-A58C-3EDA9348FBEF}"/>
    <cellStyle name="Normal 2 2 2 2 2 2 2 2 2 2 2 2 2 2 2 12 14" xfId="7414" xr:uid="{FFB20DA8-038E-4396-9D65-9F88F993747C}"/>
    <cellStyle name="Normal 2 2 2 2 2 2 2 2 2 2 2 2 2 2 2 12 2" xfId="7415" xr:uid="{C5BAB087-D4E9-4F66-B8CE-405E34028B0F}"/>
    <cellStyle name="Normal 2 2 2 2 2 2 2 2 2 2 2 2 2 2 2 12 2 10" xfId="7416" xr:uid="{94DA64B4-7F16-4E8D-B243-C7382484562E}"/>
    <cellStyle name="Normal 2 2 2 2 2 2 2 2 2 2 2 2 2 2 2 12 2 11" xfId="7417" xr:uid="{85BC117D-2120-4C15-B863-6E1B852064B9}"/>
    <cellStyle name="Normal 2 2 2 2 2 2 2 2 2 2 2 2 2 2 2 12 2 2" xfId="7418" xr:uid="{C87BC7D5-DBF4-4AEC-8825-BB8882EB4708}"/>
    <cellStyle name="Normal 2 2 2 2 2 2 2 2 2 2 2 2 2 2 2 12 2 2 10" xfId="7419" xr:uid="{2927C151-5C52-410E-8AF8-3D5AE1799229}"/>
    <cellStyle name="Normal 2 2 2 2 2 2 2 2 2 2 2 2 2 2 2 12 2 2 11" xfId="7420" xr:uid="{DC342ED2-20EE-406B-B61A-F6372B48A896}"/>
    <cellStyle name="Normal 2 2 2 2 2 2 2 2 2 2 2 2 2 2 2 12 2 2 2" xfId="7421" xr:uid="{3D5EF517-F2BE-45E1-9531-935E3768D7F7}"/>
    <cellStyle name="Normal 2 2 2 2 2 2 2 2 2 2 2 2 2 2 2 12 2 2 2 2" xfId="7422" xr:uid="{EEA1415E-984B-4514-B564-DE53E9779709}"/>
    <cellStyle name="Normal 2 2 2 2 2 2 2 2 2 2 2 2 2 2 2 12 2 2 2 2 2" xfId="7423" xr:uid="{9F5E7ECC-1796-4910-971C-17E35B8F4E42}"/>
    <cellStyle name="Normal 2 2 2 2 2 2 2 2 2 2 2 2 2 2 2 12 2 2 2 2 3" xfId="7424" xr:uid="{FCB6FC08-951B-46FC-BDB3-2A32DC727EF9}"/>
    <cellStyle name="Normal 2 2 2 2 2 2 2 2 2 2 2 2 2 2 2 12 2 2 2 2 4" xfId="7425" xr:uid="{55F3B197-70BC-4EAC-9E9E-66E3046DFAF0}"/>
    <cellStyle name="Normal 2 2 2 2 2 2 2 2 2 2 2 2 2 2 2 12 2 2 2 3" xfId="7426" xr:uid="{C15BEB1F-558E-4312-869B-396533747A17}"/>
    <cellStyle name="Normal 2 2 2 2 2 2 2 2 2 2 2 2 2 2 2 12 2 2 2 4" xfId="7427" xr:uid="{58E96E39-EFE6-4D07-BE4C-926E23523BBD}"/>
    <cellStyle name="Normal 2 2 2 2 2 2 2 2 2 2 2 2 2 2 2 12 2 2 2 5" xfId="7428" xr:uid="{E07E010F-A958-48D8-BE5C-2C200C57E227}"/>
    <cellStyle name="Normal 2 2 2 2 2 2 2 2 2 2 2 2 2 2 2 12 2 2 2 6" xfId="7429" xr:uid="{87DDD418-C7FD-4DB0-8C8C-BF072DA27A6D}"/>
    <cellStyle name="Normal 2 2 2 2 2 2 2 2 2 2 2 2 2 2 2 12 2 2 3" xfId="7430" xr:uid="{F9DF2447-8127-4400-9D72-42FBF8DEDC4F}"/>
    <cellStyle name="Normal 2 2 2 2 2 2 2 2 2 2 2 2 2 2 2 12 2 2 4" xfId="7431" xr:uid="{866ACEAA-3D04-4F78-BD15-FA3670480C86}"/>
    <cellStyle name="Normal 2 2 2 2 2 2 2 2 2 2 2 2 2 2 2 12 2 2 5" xfId="7432" xr:uid="{EFAD8F3F-9653-446A-8BE6-0B709DE8A331}"/>
    <cellStyle name="Normal 2 2 2 2 2 2 2 2 2 2 2 2 2 2 2 12 2 2 6" xfId="7433" xr:uid="{CE1B5428-474A-49E5-BF05-7C1860A032EB}"/>
    <cellStyle name="Normal 2 2 2 2 2 2 2 2 2 2 2 2 2 2 2 12 2 2 7" xfId="7434" xr:uid="{C2C1CC7D-216C-45D1-BA6C-8098DBB06F9E}"/>
    <cellStyle name="Normal 2 2 2 2 2 2 2 2 2 2 2 2 2 2 2 12 2 2 8" xfId="7435" xr:uid="{43420E61-7D3B-4097-B85C-BCA98D609A05}"/>
    <cellStyle name="Normal 2 2 2 2 2 2 2 2 2 2 2 2 2 2 2 12 2 2 8 2" xfId="7436" xr:uid="{AEC6737A-F98A-44EC-8E9B-498EE54618EF}"/>
    <cellStyle name="Normal 2 2 2 2 2 2 2 2 2 2 2 2 2 2 2 12 2 2 8 3" xfId="7437" xr:uid="{85FBC4DF-EB46-4A2E-8406-427C3F31F136}"/>
    <cellStyle name="Normal 2 2 2 2 2 2 2 2 2 2 2 2 2 2 2 12 2 2 8 4" xfId="7438" xr:uid="{2026B952-A5B1-4C04-BDA6-DC57C1E85BBC}"/>
    <cellStyle name="Normal 2 2 2 2 2 2 2 2 2 2 2 2 2 2 2 12 2 2 9" xfId="7439" xr:uid="{C5D3E112-F6C3-4FBB-B709-D79168238481}"/>
    <cellStyle name="Normal 2 2 2 2 2 2 2 2 2 2 2 2 2 2 2 12 2 3" xfId="7440" xr:uid="{31797CA5-3E67-4AE9-BE9C-10460A0B6663}"/>
    <cellStyle name="Normal 2 2 2 2 2 2 2 2 2 2 2 2 2 2 2 12 2 3 2" xfId="7441" xr:uid="{98339991-C15F-4642-BBE8-BA18D4F51BA8}"/>
    <cellStyle name="Normal 2 2 2 2 2 2 2 2 2 2 2 2 2 2 2 12 2 3 2 2" xfId="7442" xr:uid="{CF1636D7-CFEF-4AD4-BEA3-B6B9B72E46E7}"/>
    <cellStyle name="Normal 2 2 2 2 2 2 2 2 2 2 2 2 2 2 2 12 2 3 2 3" xfId="7443" xr:uid="{3F1EF93F-4B95-42A9-9E37-78DEFA41D222}"/>
    <cellStyle name="Normal 2 2 2 2 2 2 2 2 2 2 2 2 2 2 2 12 2 3 2 4" xfId="7444" xr:uid="{A148FF44-62C1-41B7-9CFC-CE59BCBE085A}"/>
    <cellStyle name="Normal 2 2 2 2 2 2 2 2 2 2 2 2 2 2 2 12 2 3 3" xfId="7445" xr:uid="{54072AD0-9533-4CA5-9969-EC4E836006A4}"/>
    <cellStyle name="Normal 2 2 2 2 2 2 2 2 2 2 2 2 2 2 2 12 2 3 4" xfId="7446" xr:uid="{F87318AF-78BF-447E-85CF-B042F720C7FB}"/>
    <cellStyle name="Normal 2 2 2 2 2 2 2 2 2 2 2 2 2 2 2 12 2 3 5" xfId="7447" xr:uid="{2DE0E7F3-8AD6-405A-8F09-C8E679932008}"/>
    <cellStyle name="Normal 2 2 2 2 2 2 2 2 2 2 2 2 2 2 2 12 2 3 6" xfId="7448" xr:uid="{4A3CC1DC-40D3-4D49-9542-ADA06C53143A}"/>
    <cellStyle name="Normal 2 2 2 2 2 2 2 2 2 2 2 2 2 2 2 12 2 4" xfId="7449" xr:uid="{1B16125A-7AF8-4E98-A4B6-71DD3C299F05}"/>
    <cellStyle name="Normal 2 2 2 2 2 2 2 2 2 2 2 2 2 2 2 12 2 5" xfId="7450" xr:uid="{DF7E088E-CC8C-4CDC-92DD-A583BEDDDAC6}"/>
    <cellStyle name="Normal 2 2 2 2 2 2 2 2 2 2 2 2 2 2 2 12 2 6" xfId="7451" xr:uid="{FD89B8AB-84D5-4489-AD8B-B637F373A3A7}"/>
    <cellStyle name="Normal 2 2 2 2 2 2 2 2 2 2 2 2 2 2 2 12 2 7" xfId="7452" xr:uid="{10A3E014-53B8-4B9C-8126-853D939310FC}"/>
    <cellStyle name="Normal 2 2 2 2 2 2 2 2 2 2 2 2 2 2 2 12 2 8" xfId="7453" xr:uid="{A2552654-7BF7-4DC8-8244-86FD844AACAD}"/>
    <cellStyle name="Normal 2 2 2 2 2 2 2 2 2 2 2 2 2 2 2 12 2 8 2" xfId="7454" xr:uid="{BD519208-FFA6-4535-A78D-0B7316131579}"/>
    <cellStyle name="Normal 2 2 2 2 2 2 2 2 2 2 2 2 2 2 2 12 2 8 3" xfId="7455" xr:uid="{E5DE12D6-A26B-48B9-9FC9-B5A8D203BEFB}"/>
    <cellStyle name="Normal 2 2 2 2 2 2 2 2 2 2 2 2 2 2 2 12 2 8 4" xfId="7456" xr:uid="{86C2C1BC-ED6A-4C67-9DE7-949B5DC28012}"/>
    <cellStyle name="Normal 2 2 2 2 2 2 2 2 2 2 2 2 2 2 2 12 2 9" xfId="7457" xr:uid="{3278A716-07F5-43A8-A735-323AE07855B7}"/>
    <cellStyle name="Normal 2 2 2 2 2 2 2 2 2 2 2 2 2 2 2 12 3" xfId="7458" xr:uid="{F6072B5A-B331-4600-953C-742264EC50C9}"/>
    <cellStyle name="Normal 2 2 2 2 2 2 2 2 2 2 2 2 2 2 2 12 4" xfId="7459" xr:uid="{13957CAF-95D8-4A19-8863-03308F32A4CC}"/>
    <cellStyle name="Normal 2 2 2 2 2 2 2 2 2 2 2 2 2 2 2 12 5" xfId="7460" xr:uid="{EDD6CD34-F08D-4851-879A-70BF0258B134}"/>
    <cellStyle name="Normal 2 2 2 2 2 2 2 2 2 2 2 2 2 2 2 12 5 2" xfId="7461" xr:uid="{5E0E254B-BCE4-476E-AA3E-783E00C7DD52}"/>
    <cellStyle name="Normal 2 2 2 2 2 2 2 2 2 2 2 2 2 2 2 12 5 2 2" xfId="7462" xr:uid="{82905C5C-8193-43A2-B410-9FCACC2C1DA7}"/>
    <cellStyle name="Normal 2 2 2 2 2 2 2 2 2 2 2 2 2 2 2 12 5 2 3" xfId="7463" xr:uid="{BFDECD5D-47AB-4E8C-A778-3F95C8BA3783}"/>
    <cellStyle name="Normal 2 2 2 2 2 2 2 2 2 2 2 2 2 2 2 12 5 2 4" xfId="7464" xr:uid="{AD2BB748-C739-41F3-BA22-B2C1E980C37A}"/>
    <cellStyle name="Normal 2 2 2 2 2 2 2 2 2 2 2 2 2 2 2 12 5 3" xfId="7465" xr:uid="{66C554F5-6C43-4102-9263-7683C2A10F50}"/>
    <cellStyle name="Normal 2 2 2 2 2 2 2 2 2 2 2 2 2 2 2 12 5 4" xfId="7466" xr:uid="{48C8CDFE-4D34-429F-9237-3957F6F02BDF}"/>
    <cellStyle name="Normal 2 2 2 2 2 2 2 2 2 2 2 2 2 2 2 12 5 5" xfId="7467" xr:uid="{E6A66C7A-7028-4226-9221-765ED4DA1C20}"/>
    <cellStyle name="Normal 2 2 2 2 2 2 2 2 2 2 2 2 2 2 2 12 5 6" xfId="7468" xr:uid="{43F8FA8D-A5A8-4AF5-A1AB-647788743FB7}"/>
    <cellStyle name="Normal 2 2 2 2 2 2 2 2 2 2 2 2 2 2 2 12 6" xfId="7469" xr:uid="{CFACFACA-35AE-47EA-85BD-FCFB4CC97C44}"/>
    <cellStyle name="Normal 2 2 2 2 2 2 2 2 2 2 2 2 2 2 2 12 7" xfId="7470" xr:uid="{D2832E1D-9D48-430B-B42D-419F1066C4A5}"/>
    <cellStyle name="Normal 2 2 2 2 2 2 2 2 2 2 2 2 2 2 2 12 8" xfId="7471" xr:uid="{E4159263-CE8A-49E9-BE7D-91EE1CC1B762}"/>
    <cellStyle name="Normal 2 2 2 2 2 2 2 2 2 2 2 2 2 2 2 12 9" xfId="7472" xr:uid="{2739F4E6-1803-4555-8457-ECB90DBDF22F}"/>
    <cellStyle name="Normal 2 2 2 2 2 2 2 2 2 2 2 2 2 2 2 13" xfId="7473" xr:uid="{FE736FC7-A948-43CE-8B56-D20AA676711E}"/>
    <cellStyle name="Normal 2 2 2 2 2 2 2 2 2 2 2 2 2 2 2 14" xfId="7474" xr:uid="{AC475166-294F-45EE-9AE7-1B69BC133D99}"/>
    <cellStyle name="Normal 2 2 2 2 2 2 2 2 2 2 2 2 2 2 2 14 10" xfId="7475" xr:uid="{751053B1-6995-4CD8-81A1-FFF07F599384}"/>
    <cellStyle name="Normal 2 2 2 2 2 2 2 2 2 2 2 2 2 2 2 14 11" xfId="7476" xr:uid="{69FD8D2C-24E2-44AF-9CEF-6E5A3593F593}"/>
    <cellStyle name="Normal 2 2 2 2 2 2 2 2 2 2 2 2 2 2 2 14 2" xfId="7477" xr:uid="{1F142A4C-9312-4C39-8722-DD5C62FBF8C5}"/>
    <cellStyle name="Normal 2 2 2 2 2 2 2 2 2 2 2 2 2 2 2 14 2 10" xfId="7478" xr:uid="{5F140D7C-F20E-49CF-AF76-9EA8D4250A4C}"/>
    <cellStyle name="Normal 2 2 2 2 2 2 2 2 2 2 2 2 2 2 2 14 2 11" xfId="7479" xr:uid="{9F2BBF0F-1F8E-44C2-8228-EA12EED1526A}"/>
    <cellStyle name="Normal 2 2 2 2 2 2 2 2 2 2 2 2 2 2 2 14 2 2" xfId="7480" xr:uid="{4801830D-9E13-4D43-94A5-038617242666}"/>
    <cellStyle name="Normal 2 2 2 2 2 2 2 2 2 2 2 2 2 2 2 14 2 2 2" xfId="7481" xr:uid="{493C7DCC-06F2-42A0-A7D0-C7E1437C4791}"/>
    <cellStyle name="Normal 2 2 2 2 2 2 2 2 2 2 2 2 2 2 2 14 2 2 2 2" xfId="7482" xr:uid="{4F4E50A3-6776-4021-85B0-99A42883ADCB}"/>
    <cellStyle name="Normal 2 2 2 2 2 2 2 2 2 2 2 2 2 2 2 14 2 2 2 3" xfId="7483" xr:uid="{FB129045-4A1E-454F-AB30-07FDDEF72F5A}"/>
    <cellStyle name="Normal 2 2 2 2 2 2 2 2 2 2 2 2 2 2 2 14 2 2 2 4" xfId="7484" xr:uid="{46788937-DFB7-400A-8EEC-1D3F6FFAAC98}"/>
    <cellStyle name="Normal 2 2 2 2 2 2 2 2 2 2 2 2 2 2 2 14 2 2 3" xfId="7485" xr:uid="{DFF8708B-4C3F-4E6A-933D-7764FD534AC9}"/>
    <cellStyle name="Normal 2 2 2 2 2 2 2 2 2 2 2 2 2 2 2 14 2 2 4" xfId="7486" xr:uid="{DCF179FA-4E02-413F-8671-BC956E079CEA}"/>
    <cellStyle name="Normal 2 2 2 2 2 2 2 2 2 2 2 2 2 2 2 14 2 2 5" xfId="7487" xr:uid="{34245860-B497-46D4-8449-DF33176C2995}"/>
    <cellStyle name="Normal 2 2 2 2 2 2 2 2 2 2 2 2 2 2 2 14 2 2 6" xfId="7488" xr:uid="{BEA5808F-4803-4FA1-8907-77EF65B9B216}"/>
    <cellStyle name="Normal 2 2 2 2 2 2 2 2 2 2 2 2 2 2 2 14 2 3" xfId="7489" xr:uid="{1F48295C-CE6D-465C-9192-9A05504C70ED}"/>
    <cellStyle name="Normal 2 2 2 2 2 2 2 2 2 2 2 2 2 2 2 14 2 4" xfId="7490" xr:uid="{FF5C7FA5-6AF0-4A57-9933-0476C4986830}"/>
    <cellStyle name="Normal 2 2 2 2 2 2 2 2 2 2 2 2 2 2 2 14 2 5" xfId="7491" xr:uid="{4BAD6035-15BF-493F-92C6-28BDB5693967}"/>
    <cellStyle name="Normal 2 2 2 2 2 2 2 2 2 2 2 2 2 2 2 14 2 6" xfId="7492" xr:uid="{DF3A7F65-4B6B-45BB-A010-2F4048C2A01B}"/>
    <cellStyle name="Normal 2 2 2 2 2 2 2 2 2 2 2 2 2 2 2 14 2 7" xfId="7493" xr:uid="{6F1985EF-10FA-4D8B-9605-22682280DD29}"/>
    <cellStyle name="Normal 2 2 2 2 2 2 2 2 2 2 2 2 2 2 2 14 2 8" xfId="7494" xr:uid="{35AC14B5-5C78-482F-AFCC-18EAA6C709D1}"/>
    <cellStyle name="Normal 2 2 2 2 2 2 2 2 2 2 2 2 2 2 2 14 2 8 2" xfId="7495" xr:uid="{2A196449-8B97-4302-A231-6AC523553549}"/>
    <cellStyle name="Normal 2 2 2 2 2 2 2 2 2 2 2 2 2 2 2 14 2 8 3" xfId="7496" xr:uid="{14778B24-7B31-45AF-8E4F-ED1957A493F9}"/>
    <cellStyle name="Normal 2 2 2 2 2 2 2 2 2 2 2 2 2 2 2 14 2 8 4" xfId="7497" xr:uid="{8DEADFE5-BED1-4D10-AEC6-F5BC786BB426}"/>
    <cellStyle name="Normal 2 2 2 2 2 2 2 2 2 2 2 2 2 2 2 14 2 9" xfId="7498" xr:uid="{792855D0-5519-4B9F-AD2F-D14706DD1625}"/>
    <cellStyle name="Normal 2 2 2 2 2 2 2 2 2 2 2 2 2 2 2 14 3" xfId="7499" xr:uid="{12269C6B-3172-4DE0-B9CF-86A749A7F1A2}"/>
    <cellStyle name="Normal 2 2 2 2 2 2 2 2 2 2 2 2 2 2 2 14 3 2" xfId="7500" xr:uid="{B135F587-C50D-4926-BB0E-84A3BEDC6F6B}"/>
    <cellStyle name="Normal 2 2 2 2 2 2 2 2 2 2 2 2 2 2 2 14 3 2 2" xfId="7501" xr:uid="{94F6257C-4036-45EB-A1D4-7EC5A5C2385D}"/>
    <cellStyle name="Normal 2 2 2 2 2 2 2 2 2 2 2 2 2 2 2 14 3 2 3" xfId="7502" xr:uid="{A95B3EF1-CDFB-4CDD-BB30-A4E65EA4CAC7}"/>
    <cellStyle name="Normal 2 2 2 2 2 2 2 2 2 2 2 2 2 2 2 14 3 2 4" xfId="7503" xr:uid="{ED8910C1-5946-467B-8D8F-EB9193454A78}"/>
    <cellStyle name="Normal 2 2 2 2 2 2 2 2 2 2 2 2 2 2 2 14 3 3" xfId="7504" xr:uid="{22AB8AB4-BF23-4C84-84CE-835150D5A29A}"/>
    <cellStyle name="Normal 2 2 2 2 2 2 2 2 2 2 2 2 2 2 2 14 3 4" xfId="7505" xr:uid="{AC3240BB-8670-4D0B-AE46-D3B4EC3D5FEE}"/>
    <cellStyle name="Normal 2 2 2 2 2 2 2 2 2 2 2 2 2 2 2 14 3 5" xfId="7506" xr:uid="{97225C8C-114E-47C6-BFB9-A5DB6872C629}"/>
    <cellStyle name="Normal 2 2 2 2 2 2 2 2 2 2 2 2 2 2 2 14 3 6" xfId="7507" xr:uid="{774E5F23-5FEE-4CCF-8644-7F3733A0F0C6}"/>
    <cellStyle name="Normal 2 2 2 2 2 2 2 2 2 2 2 2 2 2 2 14 4" xfId="7508" xr:uid="{AFF08E6A-A856-40A8-A4BD-A9D0E8B35BFA}"/>
    <cellStyle name="Normal 2 2 2 2 2 2 2 2 2 2 2 2 2 2 2 14 5" xfId="7509" xr:uid="{3D1E5427-47E2-4425-88E5-D9571ECC79D6}"/>
    <cellStyle name="Normal 2 2 2 2 2 2 2 2 2 2 2 2 2 2 2 14 6" xfId="7510" xr:uid="{986BAACC-84A7-4869-87C4-A12A3F5D7FA7}"/>
    <cellStyle name="Normal 2 2 2 2 2 2 2 2 2 2 2 2 2 2 2 14 7" xfId="7511" xr:uid="{CB7A09E5-3CB6-451A-8F85-A733258EE711}"/>
    <cellStyle name="Normal 2 2 2 2 2 2 2 2 2 2 2 2 2 2 2 14 8" xfId="7512" xr:uid="{E6CE72D5-8145-4ADD-967F-6B70604C269E}"/>
    <cellStyle name="Normal 2 2 2 2 2 2 2 2 2 2 2 2 2 2 2 14 8 2" xfId="7513" xr:uid="{BB924AF9-9863-46C0-8A7C-1DD4E4DFD386}"/>
    <cellStyle name="Normal 2 2 2 2 2 2 2 2 2 2 2 2 2 2 2 14 8 3" xfId="7514" xr:uid="{AA10FF0F-0798-488B-88B1-89CA53178933}"/>
    <cellStyle name="Normal 2 2 2 2 2 2 2 2 2 2 2 2 2 2 2 14 8 4" xfId="7515" xr:uid="{AE04B008-DBB5-48B6-9D57-43E1FEE59181}"/>
    <cellStyle name="Normal 2 2 2 2 2 2 2 2 2 2 2 2 2 2 2 14 9" xfId="7516" xr:uid="{14E1D948-EE33-43B5-A6D3-62162D2088B6}"/>
    <cellStyle name="Normal 2 2 2 2 2 2 2 2 2 2 2 2 2 2 2 15" xfId="7517" xr:uid="{A610223A-AD9E-49F0-BF17-3ED2823F02C0}"/>
    <cellStyle name="Normal 2 2 2 2 2 2 2 2 2 2 2 2 2 2 2 16" xfId="7518" xr:uid="{7B8C9D86-4149-4DAB-9DCB-F1C5A327ACBB}"/>
    <cellStyle name="Normal 2 2 2 2 2 2 2 2 2 2 2 2 2 2 2 16 2" xfId="7519" xr:uid="{DA5109FA-A246-4644-926A-2C23ED9AC603}"/>
    <cellStyle name="Normal 2 2 2 2 2 2 2 2 2 2 2 2 2 2 2 16 2 2" xfId="7520" xr:uid="{A045EA0C-4630-4EEC-882E-FFB95042E947}"/>
    <cellStyle name="Normal 2 2 2 2 2 2 2 2 2 2 2 2 2 2 2 16 2 3" xfId="7521" xr:uid="{742CB06F-B28E-46AA-A0C4-C110581A69AF}"/>
    <cellStyle name="Normal 2 2 2 2 2 2 2 2 2 2 2 2 2 2 2 16 2 4" xfId="7522" xr:uid="{165117D0-8196-424F-AEF5-9F3F51F2CD60}"/>
    <cellStyle name="Normal 2 2 2 2 2 2 2 2 2 2 2 2 2 2 2 16 3" xfId="7523" xr:uid="{36B82B58-DBA6-426F-B647-FAD5D138D14C}"/>
    <cellStyle name="Normal 2 2 2 2 2 2 2 2 2 2 2 2 2 2 2 16 4" xfId="7524" xr:uid="{9C88208E-4E00-47C6-BB7F-3551D924170E}"/>
    <cellStyle name="Normal 2 2 2 2 2 2 2 2 2 2 2 2 2 2 2 16 5" xfId="7525" xr:uid="{A5E216BD-8B25-41BB-8543-F2B6FFB23709}"/>
    <cellStyle name="Normal 2 2 2 2 2 2 2 2 2 2 2 2 2 2 2 16 6" xfId="7526" xr:uid="{AC03E290-980D-4222-878B-08BD3EED7DDD}"/>
    <cellStyle name="Normal 2 2 2 2 2 2 2 2 2 2 2 2 2 2 2 17" xfId="7527" xr:uid="{8C2B8C96-9ECD-4DB8-8899-550D1DC5999D}"/>
    <cellStyle name="Normal 2 2 2 2 2 2 2 2 2 2 2 2 2 2 2 18" xfId="7528" xr:uid="{9B409A6F-C34A-46A8-A79F-C289F660D3E9}"/>
    <cellStyle name="Normal 2 2 2 2 2 2 2 2 2 2 2 2 2 2 2 19" xfId="7529" xr:uid="{5DF6DBBD-62E9-48A3-B2F7-2B645AEF9890}"/>
    <cellStyle name="Normal 2 2 2 2 2 2 2 2 2 2 2 2 2 2 2 2" xfId="7530" xr:uid="{C73DF15B-3051-4468-BDB7-8E58788D2D8F}"/>
    <cellStyle name="Normal 2 2 2 2 2 2 2 2 2 2 2 2 2 2 2 2 10" xfId="7531" xr:uid="{310FF1C1-F5B4-453C-B595-25D68F65CB5C}"/>
    <cellStyle name="Normal 2 2 2 2 2 2 2 2 2 2 2 2 2 2 2 2 11" xfId="7532" xr:uid="{DA6C7CE0-2068-4B24-AEC9-76EF9D1BC8C4}"/>
    <cellStyle name="Normal 2 2 2 2 2 2 2 2 2 2 2 2 2 2 2 2 11 10" xfId="7533" xr:uid="{683622F0-B6AE-44D0-AEB3-5B2A27397BF4}"/>
    <cellStyle name="Normal 2 2 2 2 2 2 2 2 2 2 2 2 2 2 2 2 11 11" xfId="7534" xr:uid="{FC4225C3-FE7B-4265-BF0F-847F52D9F159}"/>
    <cellStyle name="Normal 2 2 2 2 2 2 2 2 2 2 2 2 2 2 2 2 11 11 2" xfId="7535" xr:uid="{09E41129-CEBF-4D10-BA89-DE6BA8116592}"/>
    <cellStyle name="Normal 2 2 2 2 2 2 2 2 2 2 2 2 2 2 2 2 11 11 3" xfId="7536" xr:uid="{C26E7A6E-1BEB-4D83-A1FD-12ED0D5D4FBE}"/>
    <cellStyle name="Normal 2 2 2 2 2 2 2 2 2 2 2 2 2 2 2 2 11 11 4" xfId="7537" xr:uid="{C6DE2E7E-AABE-4794-8C56-7A2F01FBC532}"/>
    <cellStyle name="Normal 2 2 2 2 2 2 2 2 2 2 2 2 2 2 2 2 11 12" xfId="7538" xr:uid="{D11026D0-ACC0-4A0C-8F5B-58FDF81F6397}"/>
    <cellStyle name="Normal 2 2 2 2 2 2 2 2 2 2 2 2 2 2 2 2 11 13" xfId="7539" xr:uid="{650D6A35-07E3-4453-BAA5-F6698D61C9FF}"/>
    <cellStyle name="Normal 2 2 2 2 2 2 2 2 2 2 2 2 2 2 2 2 11 14" xfId="7540" xr:uid="{1DF34B5A-DF21-42D9-823B-524880E50B89}"/>
    <cellStyle name="Normal 2 2 2 2 2 2 2 2 2 2 2 2 2 2 2 2 11 2" xfId="7541" xr:uid="{BEC9FB82-3DEC-4A88-A946-D38489B4977F}"/>
    <cellStyle name="Normal 2 2 2 2 2 2 2 2 2 2 2 2 2 2 2 2 11 2 10" xfId="7542" xr:uid="{8EC4175D-E6D2-4364-9D2C-5C6DBBE94FFA}"/>
    <cellStyle name="Normal 2 2 2 2 2 2 2 2 2 2 2 2 2 2 2 2 11 2 11" xfId="7543" xr:uid="{FE81BE45-10DD-4115-A506-56C5AAEEFA63}"/>
    <cellStyle name="Normal 2 2 2 2 2 2 2 2 2 2 2 2 2 2 2 2 11 2 2" xfId="7544" xr:uid="{A1070DEF-D40B-40B9-983E-1CBF06EDA0BB}"/>
    <cellStyle name="Normal 2 2 2 2 2 2 2 2 2 2 2 2 2 2 2 2 11 2 2 10" xfId="7545" xr:uid="{BB34234A-2240-4E79-9889-E9E15308A43C}"/>
    <cellStyle name="Normal 2 2 2 2 2 2 2 2 2 2 2 2 2 2 2 2 11 2 2 11" xfId="7546" xr:uid="{6C798287-203E-4CDA-B37D-90C347E1171C}"/>
    <cellStyle name="Normal 2 2 2 2 2 2 2 2 2 2 2 2 2 2 2 2 11 2 2 2" xfId="7547" xr:uid="{BC6374AA-BEC3-401D-B128-36BD5DCF5C46}"/>
    <cellStyle name="Normal 2 2 2 2 2 2 2 2 2 2 2 2 2 2 2 2 11 2 2 2 2" xfId="7548" xr:uid="{A2276447-A9FB-453C-A1FC-C492915F9E41}"/>
    <cellStyle name="Normal 2 2 2 2 2 2 2 2 2 2 2 2 2 2 2 2 11 2 2 2 2 2" xfId="7549" xr:uid="{0012F58A-D341-456B-BB3A-AFB97E0CAAF0}"/>
    <cellStyle name="Normal 2 2 2 2 2 2 2 2 2 2 2 2 2 2 2 2 11 2 2 2 2 3" xfId="7550" xr:uid="{0D48C135-A030-4DE0-B7AE-FFF14BE7CA03}"/>
    <cellStyle name="Normal 2 2 2 2 2 2 2 2 2 2 2 2 2 2 2 2 11 2 2 2 2 4" xfId="7551" xr:uid="{1592DCE2-C786-4CFF-8C34-8B5CDA1EA04A}"/>
    <cellStyle name="Normal 2 2 2 2 2 2 2 2 2 2 2 2 2 2 2 2 11 2 2 2 3" xfId="7552" xr:uid="{D9D3012A-F50F-4542-826A-928BD8EBF570}"/>
    <cellStyle name="Normal 2 2 2 2 2 2 2 2 2 2 2 2 2 2 2 2 11 2 2 2 4" xfId="7553" xr:uid="{94F04EBF-7CD5-4618-B9D2-5D4746ABE7B7}"/>
    <cellStyle name="Normal 2 2 2 2 2 2 2 2 2 2 2 2 2 2 2 2 11 2 2 2 5" xfId="7554" xr:uid="{03A2D669-1EFE-4003-A361-85481FD17E25}"/>
    <cellStyle name="Normal 2 2 2 2 2 2 2 2 2 2 2 2 2 2 2 2 11 2 2 2 6" xfId="7555" xr:uid="{8DE804B4-832D-472A-B87C-D2CCB8FE3CE6}"/>
    <cellStyle name="Normal 2 2 2 2 2 2 2 2 2 2 2 2 2 2 2 2 11 2 2 3" xfId="7556" xr:uid="{662D0AA0-40D0-44D9-9D81-2F79BAA56F78}"/>
    <cellStyle name="Normal 2 2 2 2 2 2 2 2 2 2 2 2 2 2 2 2 11 2 2 4" xfId="7557" xr:uid="{C296D0B3-8610-43D4-8E28-2CF2012A48F6}"/>
    <cellStyle name="Normal 2 2 2 2 2 2 2 2 2 2 2 2 2 2 2 2 11 2 2 5" xfId="7558" xr:uid="{F8830EB2-020B-4B91-BF2B-B223930E3C41}"/>
    <cellStyle name="Normal 2 2 2 2 2 2 2 2 2 2 2 2 2 2 2 2 11 2 2 6" xfId="7559" xr:uid="{E219586A-C1FF-4516-A6BF-35AD3B223AAB}"/>
    <cellStyle name="Normal 2 2 2 2 2 2 2 2 2 2 2 2 2 2 2 2 11 2 2 7" xfId="7560" xr:uid="{F8EA2078-240E-4949-8FE9-C1126E00775D}"/>
    <cellStyle name="Normal 2 2 2 2 2 2 2 2 2 2 2 2 2 2 2 2 11 2 2 8" xfId="7561" xr:uid="{4DC67DF1-4E54-43C6-AB2B-04533483CD8F}"/>
    <cellStyle name="Normal 2 2 2 2 2 2 2 2 2 2 2 2 2 2 2 2 11 2 2 8 2" xfId="7562" xr:uid="{7ABB0C48-5975-44E1-9613-E7ADDB04A7DA}"/>
    <cellStyle name="Normal 2 2 2 2 2 2 2 2 2 2 2 2 2 2 2 2 11 2 2 8 3" xfId="7563" xr:uid="{52D963FF-7880-429F-86E7-F315145E980D}"/>
    <cellStyle name="Normal 2 2 2 2 2 2 2 2 2 2 2 2 2 2 2 2 11 2 2 8 4" xfId="7564" xr:uid="{2772984E-8B9A-46B8-8615-2A987FF25D0C}"/>
    <cellStyle name="Normal 2 2 2 2 2 2 2 2 2 2 2 2 2 2 2 2 11 2 2 9" xfId="7565" xr:uid="{178356EF-FC08-4447-AE41-7357729643CD}"/>
    <cellStyle name="Normal 2 2 2 2 2 2 2 2 2 2 2 2 2 2 2 2 11 2 3" xfId="7566" xr:uid="{4A222F2D-F995-491F-AD96-5E12A9666D39}"/>
    <cellStyle name="Normal 2 2 2 2 2 2 2 2 2 2 2 2 2 2 2 2 11 2 3 2" xfId="7567" xr:uid="{ECFF56D5-060C-44AC-9FE7-FEC216620EAC}"/>
    <cellStyle name="Normal 2 2 2 2 2 2 2 2 2 2 2 2 2 2 2 2 11 2 3 2 2" xfId="7568" xr:uid="{295443C4-6B55-4B6C-B6FA-AE11D46F1C88}"/>
    <cellStyle name="Normal 2 2 2 2 2 2 2 2 2 2 2 2 2 2 2 2 11 2 3 2 3" xfId="7569" xr:uid="{C249D6FA-A48A-4568-8CB2-49218425915F}"/>
    <cellStyle name="Normal 2 2 2 2 2 2 2 2 2 2 2 2 2 2 2 2 11 2 3 2 4" xfId="7570" xr:uid="{F206B83C-68CB-4660-9AE8-8B574A35E253}"/>
    <cellStyle name="Normal 2 2 2 2 2 2 2 2 2 2 2 2 2 2 2 2 11 2 3 3" xfId="7571" xr:uid="{15FDB9F1-083D-490C-9C82-F8BCB91A1CE9}"/>
    <cellStyle name="Normal 2 2 2 2 2 2 2 2 2 2 2 2 2 2 2 2 11 2 3 4" xfId="7572" xr:uid="{CF3DE1FD-DD3E-4E57-B371-A2975F28C2A2}"/>
    <cellStyle name="Normal 2 2 2 2 2 2 2 2 2 2 2 2 2 2 2 2 11 2 3 5" xfId="7573" xr:uid="{1BBB6C32-6183-4536-9AD6-50CCBFDCB2AF}"/>
    <cellStyle name="Normal 2 2 2 2 2 2 2 2 2 2 2 2 2 2 2 2 11 2 3 6" xfId="7574" xr:uid="{B309518A-9941-4A64-8CA6-6A4A4CFD915B}"/>
    <cellStyle name="Normal 2 2 2 2 2 2 2 2 2 2 2 2 2 2 2 2 11 2 4" xfId="7575" xr:uid="{1CF8573E-0298-484E-B4A0-A84A5706D9D0}"/>
    <cellStyle name="Normal 2 2 2 2 2 2 2 2 2 2 2 2 2 2 2 2 11 2 5" xfId="7576" xr:uid="{692D3638-4A72-4101-AA9F-159652873206}"/>
    <cellStyle name="Normal 2 2 2 2 2 2 2 2 2 2 2 2 2 2 2 2 11 2 6" xfId="7577" xr:uid="{430C0751-E57C-4928-A5E1-C7EFD0C897D1}"/>
    <cellStyle name="Normal 2 2 2 2 2 2 2 2 2 2 2 2 2 2 2 2 11 2 7" xfId="7578" xr:uid="{2B6E030B-A8FC-4014-A962-C33A10110DA7}"/>
    <cellStyle name="Normal 2 2 2 2 2 2 2 2 2 2 2 2 2 2 2 2 11 2 8" xfId="7579" xr:uid="{79519AF0-C4C1-4715-8255-0C0BB38D2F65}"/>
    <cellStyle name="Normal 2 2 2 2 2 2 2 2 2 2 2 2 2 2 2 2 11 2 8 2" xfId="7580" xr:uid="{B6677FDD-87F5-4973-A71C-EA426E124965}"/>
    <cellStyle name="Normal 2 2 2 2 2 2 2 2 2 2 2 2 2 2 2 2 11 2 8 3" xfId="7581" xr:uid="{BBA0B232-4F73-4741-AA65-C2F7394AA768}"/>
    <cellStyle name="Normal 2 2 2 2 2 2 2 2 2 2 2 2 2 2 2 2 11 2 8 4" xfId="7582" xr:uid="{EB3855B7-0515-41CD-9A4F-A265EBBAAC06}"/>
    <cellStyle name="Normal 2 2 2 2 2 2 2 2 2 2 2 2 2 2 2 2 11 2 9" xfId="7583" xr:uid="{AFA507C9-C18F-4EA9-A665-DB5B5415BD28}"/>
    <cellStyle name="Normal 2 2 2 2 2 2 2 2 2 2 2 2 2 2 2 2 11 3" xfId="7584" xr:uid="{02429CC2-C1EB-433B-907F-60629FD728CF}"/>
    <cellStyle name="Normal 2 2 2 2 2 2 2 2 2 2 2 2 2 2 2 2 11 4" xfId="7585" xr:uid="{B1DEF6D0-6191-465C-9FB0-36984C216902}"/>
    <cellStyle name="Normal 2 2 2 2 2 2 2 2 2 2 2 2 2 2 2 2 11 5" xfId="7586" xr:uid="{19D1F3DF-D8A4-4219-A15A-AAFB69565BEB}"/>
    <cellStyle name="Normal 2 2 2 2 2 2 2 2 2 2 2 2 2 2 2 2 11 5 2" xfId="7587" xr:uid="{616D31DD-4E84-4C9D-86B6-CA0CF36A67D8}"/>
    <cellStyle name="Normal 2 2 2 2 2 2 2 2 2 2 2 2 2 2 2 2 11 5 2 2" xfId="7588" xr:uid="{8B3EECB8-67BD-4DAA-9BA2-427E18EFD3A1}"/>
    <cellStyle name="Normal 2 2 2 2 2 2 2 2 2 2 2 2 2 2 2 2 11 5 2 3" xfId="7589" xr:uid="{B59557CC-39A0-4EBB-9D95-E8E79915D196}"/>
    <cellStyle name="Normal 2 2 2 2 2 2 2 2 2 2 2 2 2 2 2 2 11 5 2 4" xfId="7590" xr:uid="{7D0D118B-F89F-437D-B404-1F2F8ECE1E79}"/>
    <cellStyle name="Normal 2 2 2 2 2 2 2 2 2 2 2 2 2 2 2 2 11 5 3" xfId="7591" xr:uid="{CB3B5E59-2D7D-4282-90FC-86A0167C51C1}"/>
    <cellStyle name="Normal 2 2 2 2 2 2 2 2 2 2 2 2 2 2 2 2 11 5 4" xfId="7592" xr:uid="{8FC18EE9-81E7-4510-9975-152A925BC1B4}"/>
    <cellStyle name="Normal 2 2 2 2 2 2 2 2 2 2 2 2 2 2 2 2 11 5 5" xfId="7593" xr:uid="{BCBEAF4E-D2AD-4F11-ACD7-271EA7744249}"/>
    <cellStyle name="Normal 2 2 2 2 2 2 2 2 2 2 2 2 2 2 2 2 11 5 6" xfId="7594" xr:uid="{9179C436-238A-4013-804B-2DB91598C42B}"/>
    <cellStyle name="Normal 2 2 2 2 2 2 2 2 2 2 2 2 2 2 2 2 11 6" xfId="7595" xr:uid="{78F14797-FB28-47A7-A285-07736FE77F47}"/>
    <cellStyle name="Normal 2 2 2 2 2 2 2 2 2 2 2 2 2 2 2 2 11 7" xfId="7596" xr:uid="{57C1727B-A67A-4B7B-B047-28DD0F101405}"/>
    <cellStyle name="Normal 2 2 2 2 2 2 2 2 2 2 2 2 2 2 2 2 11 8" xfId="7597" xr:uid="{FD43CE46-6644-4E50-8C05-73FAD2E354E5}"/>
    <cellStyle name="Normal 2 2 2 2 2 2 2 2 2 2 2 2 2 2 2 2 11 9" xfId="7598" xr:uid="{3D1B2B0F-D446-47FB-9BC5-214848655CC1}"/>
    <cellStyle name="Normal 2 2 2 2 2 2 2 2 2 2 2 2 2 2 2 2 12" xfId="7599" xr:uid="{BB746ABE-B495-4B83-BECB-2E495DA089B3}"/>
    <cellStyle name="Normal 2 2 2 2 2 2 2 2 2 2 2 2 2 2 2 2 13" xfId="7600" xr:uid="{1BA4B39B-F29F-44C2-BD38-63C13B84ABDE}"/>
    <cellStyle name="Normal 2 2 2 2 2 2 2 2 2 2 2 2 2 2 2 2 13 10" xfId="7601" xr:uid="{03DE4043-341E-4C75-BA54-C13DF0D72186}"/>
    <cellStyle name="Normal 2 2 2 2 2 2 2 2 2 2 2 2 2 2 2 2 13 11" xfId="7602" xr:uid="{6A032BF3-3DFC-4314-9958-CF1F6AB3A298}"/>
    <cellStyle name="Normal 2 2 2 2 2 2 2 2 2 2 2 2 2 2 2 2 13 2" xfId="7603" xr:uid="{D753BF8C-0C14-4711-B24C-C1F6FCB6A08F}"/>
    <cellStyle name="Normal 2 2 2 2 2 2 2 2 2 2 2 2 2 2 2 2 13 2 10" xfId="7604" xr:uid="{CF3FF50E-7D33-49DD-BA57-993DD3D2973B}"/>
    <cellStyle name="Normal 2 2 2 2 2 2 2 2 2 2 2 2 2 2 2 2 13 2 11" xfId="7605" xr:uid="{3952DF71-18A6-4CB1-A173-774E05FB6CEC}"/>
    <cellStyle name="Normal 2 2 2 2 2 2 2 2 2 2 2 2 2 2 2 2 13 2 2" xfId="7606" xr:uid="{C02A858D-800D-488C-B0F7-65B29429B171}"/>
    <cellStyle name="Normal 2 2 2 2 2 2 2 2 2 2 2 2 2 2 2 2 13 2 2 2" xfId="7607" xr:uid="{E4C8F887-329E-4442-857F-C5C618505C52}"/>
    <cellStyle name="Normal 2 2 2 2 2 2 2 2 2 2 2 2 2 2 2 2 13 2 2 2 2" xfId="7608" xr:uid="{46629985-11D4-4877-9F79-96CF8B3227B8}"/>
    <cellStyle name="Normal 2 2 2 2 2 2 2 2 2 2 2 2 2 2 2 2 13 2 2 2 3" xfId="7609" xr:uid="{9A5780CC-BDAB-40F1-9F15-A54D12860758}"/>
    <cellStyle name="Normal 2 2 2 2 2 2 2 2 2 2 2 2 2 2 2 2 13 2 2 2 4" xfId="7610" xr:uid="{4E6A50F1-D85E-4842-81E1-F0EEBED4BC19}"/>
    <cellStyle name="Normal 2 2 2 2 2 2 2 2 2 2 2 2 2 2 2 2 13 2 2 3" xfId="7611" xr:uid="{D3B49292-E01D-4193-B52C-E7353C7ABC17}"/>
    <cellStyle name="Normal 2 2 2 2 2 2 2 2 2 2 2 2 2 2 2 2 13 2 2 4" xfId="7612" xr:uid="{C993E017-448C-4865-AC1F-120F2B8E1031}"/>
    <cellStyle name="Normal 2 2 2 2 2 2 2 2 2 2 2 2 2 2 2 2 13 2 2 5" xfId="7613" xr:uid="{9E17F73C-00AA-409F-9142-A1DF3920F1A1}"/>
    <cellStyle name="Normal 2 2 2 2 2 2 2 2 2 2 2 2 2 2 2 2 13 2 2 6" xfId="7614" xr:uid="{1F4DC9C8-A001-4D0F-AF7D-A0FF9B8E0DAD}"/>
    <cellStyle name="Normal 2 2 2 2 2 2 2 2 2 2 2 2 2 2 2 2 13 2 3" xfId="7615" xr:uid="{68B75509-5C3E-47B6-A7DF-458065F39159}"/>
    <cellStyle name="Normal 2 2 2 2 2 2 2 2 2 2 2 2 2 2 2 2 13 2 4" xfId="7616" xr:uid="{D8E1B976-EBF5-4444-A2C7-C5A42D590C90}"/>
    <cellStyle name="Normal 2 2 2 2 2 2 2 2 2 2 2 2 2 2 2 2 13 2 5" xfId="7617" xr:uid="{A2CC60B9-6837-4B90-94CD-1BC1C986EB7E}"/>
    <cellStyle name="Normal 2 2 2 2 2 2 2 2 2 2 2 2 2 2 2 2 13 2 6" xfId="7618" xr:uid="{DD5B77A7-9050-4E18-91F4-05DBDCB065D4}"/>
    <cellStyle name="Normal 2 2 2 2 2 2 2 2 2 2 2 2 2 2 2 2 13 2 7" xfId="7619" xr:uid="{6A21CFFE-9BF1-48AC-959C-5889452DA18A}"/>
    <cellStyle name="Normal 2 2 2 2 2 2 2 2 2 2 2 2 2 2 2 2 13 2 8" xfId="7620" xr:uid="{F52F58B9-B178-4C39-B7B1-25A916EF793A}"/>
    <cellStyle name="Normal 2 2 2 2 2 2 2 2 2 2 2 2 2 2 2 2 13 2 8 2" xfId="7621" xr:uid="{90A125CA-B9C4-4225-9E08-D0B7D82D60BB}"/>
    <cellStyle name="Normal 2 2 2 2 2 2 2 2 2 2 2 2 2 2 2 2 13 2 8 3" xfId="7622" xr:uid="{AAB92C32-7638-46D2-B091-B635DAA1A16F}"/>
    <cellStyle name="Normal 2 2 2 2 2 2 2 2 2 2 2 2 2 2 2 2 13 2 8 4" xfId="7623" xr:uid="{AC335C01-1893-4FCE-994E-17B21DE62025}"/>
    <cellStyle name="Normal 2 2 2 2 2 2 2 2 2 2 2 2 2 2 2 2 13 2 9" xfId="7624" xr:uid="{B8799ECA-3D45-46E0-8718-E4DCCBE29BDB}"/>
    <cellStyle name="Normal 2 2 2 2 2 2 2 2 2 2 2 2 2 2 2 2 13 3" xfId="7625" xr:uid="{2DF0B9E4-1A04-4062-9F52-B6C53B13611B}"/>
    <cellStyle name="Normal 2 2 2 2 2 2 2 2 2 2 2 2 2 2 2 2 13 3 2" xfId="7626" xr:uid="{C32D2713-5DA3-4425-95A5-0160C73963A4}"/>
    <cellStyle name="Normal 2 2 2 2 2 2 2 2 2 2 2 2 2 2 2 2 13 3 2 2" xfId="7627" xr:uid="{B1E49D9B-A13A-43DD-B608-FFF9D7E95E7B}"/>
    <cellStyle name="Normal 2 2 2 2 2 2 2 2 2 2 2 2 2 2 2 2 13 3 2 3" xfId="7628" xr:uid="{CB679881-BBDF-4026-B9CD-76D3BD954A1E}"/>
    <cellStyle name="Normal 2 2 2 2 2 2 2 2 2 2 2 2 2 2 2 2 13 3 2 4" xfId="7629" xr:uid="{CC9C58AD-CB1F-4CEC-839A-D94141131870}"/>
    <cellStyle name="Normal 2 2 2 2 2 2 2 2 2 2 2 2 2 2 2 2 13 3 3" xfId="7630" xr:uid="{240E778D-AACD-4B41-82B8-3D5A903160AC}"/>
    <cellStyle name="Normal 2 2 2 2 2 2 2 2 2 2 2 2 2 2 2 2 13 3 4" xfId="7631" xr:uid="{C3D1078D-E477-4E68-8A7B-D2DC9560311D}"/>
    <cellStyle name="Normal 2 2 2 2 2 2 2 2 2 2 2 2 2 2 2 2 13 3 5" xfId="7632" xr:uid="{FB36CE40-3248-4E0B-81F5-2473054C2BDD}"/>
    <cellStyle name="Normal 2 2 2 2 2 2 2 2 2 2 2 2 2 2 2 2 13 3 6" xfId="7633" xr:uid="{E8E0A111-83DE-4521-B0DD-592EA928D576}"/>
    <cellStyle name="Normal 2 2 2 2 2 2 2 2 2 2 2 2 2 2 2 2 13 4" xfId="7634" xr:uid="{33F72673-F27A-4426-98CB-C1AA947FD4D0}"/>
    <cellStyle name="Normal 2 2 2 2 2 2 2 2 2 2 2 2 2 2 2 2 13 5" xfId="7635" xr:uid="{FAE0FDE0-E828-4405-8289-C402C85F5A42}"/>
    <cellStyle name="Normal 2 2 2 2 2 2 2 2 2 2 2 2 2 2 2 2 13 6" xfId="7636" xr:uid="{BCE99E11-878D-4FB2-BDFB-388D18EFC947}"/>
    <cellStyle name="Normal 2 2 2 2 2 2 2 2 2 2 2 2 2 2 2 2 13 7" xfId="7637" xr:uid="{2431EB42-7946-49F5-81D1-96C18DB872BD}"/>
    <cellStyle name="Normal 2 2 2 2 2 2 2 2 2 2 2 2 2 2 2 2 13 8" xfId="7638" xr:uid="{DB9098FA-4E42-4D85-8AB8-0C8C6AD16BDD}"/>
    <cellStyle name="Normal 2 2 2 2 2 2 2 2 2 2 2 2 2 2 2 2 13 8 2" xfId="7639" xr:uid="{BA265A82-4D56-4A49-B8D9-81052181C9F8}"/>
    <cellStyle name="Normal 2 2 2 2 2 2 2 2 2 2 2 2 2 2 2 2 13 8 3" xfId="7640" xr:uid="{AA863FCC-80FF-445E-A625-57B306770C23}"/>
    <cellStyle name="Normal 2 2 2 2 2 2 2 2 2 2 2 2 2 2 2 2 13 8 4" xfId="7641" xr:uid="{233EB78A-1C33-4D53-92D9-BA6B982C0BF9}"/>
    <cellStyle name="Normal 2 2 2 2 2 2 2 2 2 2 2 2 2 2 2 2 13 9" xfId="7642" xr:uid="{EE8D2309-8E5A-4B1C-9893-F1191E047CCD}"/>
    <cellStyle name="Normal 2 2 2 2 2 2 2 2 2 2 2 2 2 2 2 2 14" xfId="7643" xr:uid="{20FF7353-0702-44DB-A9C7-EF1E4395C08D}"/>
    <cellStyle name="Normal 2 2 2 2 2 2 2 2 2 2 2 2 2 2 2 2 15" xfId="7644" xr:uid="{5A491F72-6E0F-49F1-B29F-D16215C5DBF5}"/>
    <cellStyle name="Normal 2 2 2 2 2 2 2 2 2 2 2 2 2 2 2 2 15 2" xfId="7645" xr:uid="{630DA8BD-C431-4BD9-81AC-A7FD22460A38}"/>
    <cellStyle name="Normal 2 2 2 2 2 2 2 2 2 2 2 2 2 2 2 2 15 2 2" xfId="7646" xr:uid="{8C6A50E3-4DD7-4AA3-871E-4EE3F64E69FE}"/>
    <cellStyle name="Normal 2 2 2 2 2 2 2 2 2 2 2 2 2 2 2 2 15 2 3" xfId="7647" xr:uid="{F6E3A94A-726A-4F21-AB36-A8956FB33B0A}"/>
    <cellStyle name="Normal 2 2 2 2 2 2 2 2 2 2 2 2 2 2 2 2 15 2 4" xfId="7648" xr:uid="{D24BC678-8652-44F5-8A2B-3434B96B1BB8}"/>
    <cellStyle name="Normal 2 2 2 2 2 2 2 2 2 2 2 2 2 2 2 2 15 3" xfId="7649" xr:uid="{AFD445BE-283E-403D-B0F9-5021BA683EF1}"/>
    <cellStyle name="Normal 2 2 2 2 2 2 2 2 2 2 2 2 2 2 2 2 15 4" xfId="7650" xr:uid="{150C238D-B0ED-4B79-BD94-3BF6C45828B2}"/>
    <cellStyle name="Normal 2 2 2 2 2 2 2 2 2 2 2 2 2 2 2 2 15 5" xfId="7651" xr:uid="{0C983210-78A5-45CC-91A6-09762DAF1E7A}"/>
    <cellStyle name="Normal 2 2 2 2 2 2 2 2 2 2 2 2 2 2 2 2 15 6" xfId="7652" xr:uid="{80701651-4513-4932-932A-529468930477}"/>
    <cellStyle name="Normal 2 2 2 2 2 2 2 2 2 2 2 2 2 2 2 2 16" xfId="7653" xr:uid="{124687ED-F16D-457F-888E-68CBCC3186FE}"/>
    <cellStyle name="Normal 2 2 2 2 2 2 2 2 2 2 2 2 2 2 2 2 17" xfId="7654" xr:uid="{6A9D7C67-3AB7-4956-AA57-8460FF5CFD13}"/>
    <cellStyle name="Normal 2 2 2 2 2 2 2 2 2 2 2 2 2 2 2 2 18" xfId="7655" xr:uid="{3780A082-F720-4AD9-9295-F6AF56144532}"/>
    <cellStyle name="Normal 2 2 2 2 2 2 2 2 2 2 2 2 2 2 2 2 19" xfId="7656" xr:uid="{D52E5BE1-851E-4580-8978-56ADED998A66}"/>
    <cellStyle name="Normal 2 2 2 2 2 2 2 2 2 2 2 2 2 2 2 2 2" xfId="7657" xr:uid="{1EDC6557-D513-4BF5-A851-3D8995D864F1}"/>
    <cellStyle name="Normal 2 2 2 2 2 2 2 2 2 2 2 2 2 2 2 2 2 10" xfId="7658" xr:uid="{822DC278-ABE4-44D2-9712-203DA8B72218}"/>
    <cellStyle name="Normal 2 2 2 2 2 2 2 2 2 2 2 2 2 2 2 2 2 11" xfId="7659" xr:uid="{1C96C92A-8652-4A1B-A04B-D2D44276239C}"/>
    <cellStyle name="Normal 2 2 2 2 2 2 2 2 2 2 2 2 2 2 2 2 2 12" xfId="7660" xr:uid="{988C3901-EA0B-4C96-8109-1538FFEE2F93}"/>
    <cellStyle name="Normal 2 2 2 2 2 2 2 2 2 2 2 2 2 2 2 2 2 13" xfId="7661" xr:uid="{5E9302C2-E3A0-4520-AA3E-D8E16691C8A2}"/>
    <cellStyle name="Normal 2 2 2 2 2 2 2 2 2 2 2 2 2 2 2 2 2 13 2" xfId="7662" xr:uid="{D249013A-CEA3-4802-8B4C-A96B990A3FD4}"/>
    <cellStyle name="Normal 2 2 2 2 2 2 2 2 2 2 2 2 2 2 2 2 2 13 3" xfId="7663" xr:uid="{58C495CA-97B8-49B9-85AC-9F83A1B8E9C9}"/>
    <cellStyle name="Normal 2 2 2 2 2 2 2 2 2 2 2 2 2 2 2 2 2 13 4" xfId="7664" xr:uid="{A9AC5445-E3F1-4B27-8578-6A67D4C53E28}"/>
    <cellStyle name="Normal 2 2 2 2 2 2 2 2 2 2 2 2 2 2 2 2 2 14" xfId="7665" xr:uid="{E2C92CEC-E444-41F3-9B2F-166742C860C2}"/>
    <cellStyle name="Normal 2 2 2 2 2 2 2 2 2 2 2 2 2 2 2 2 2 15" xfId="7666" xr:uid="{B8F1982F-039E-4ECE-82B4-E0110443601F}"/>
    <cellStyle name="Normal 2 2 2 2 2 2 2 2 2 2 2 2 2 2 2 2 2 16" xfId="7667" xr:uid="{3DD576D2-59E9-46AC-9D91-29C5FBB5B7D0}"/>
    <cellStyle name="Normal 2 2 2 2 2 2 2 2 2 2 2 2 2 2 2 2 2 17" xfId="7668" xr:uid="{96B56C18-413B-4E99-B0F2-4BA78403ED87}"/>
    <cellStyle name="Normal 2 2 2 2 2 2 2 2 2 2 2 2 2 2 2 2 2 18" xfId="7669" xr:uid="{83655A42-B2DA-43D0-9DC4-12F4FE8BED6B}"/>
    <cellStyle name="Normal 2 2 2 2 2 2 2 2 2 2 2 2 2 2 2 2 2 19" xfId="7670" xr:uid="{1133A10C-D241-48B2-9061-A236C457DCF0}"/>
    <cellStyle name="Normal 2 2 2 2 2 2 2 2 2 2 2 2 2 2 2 2 2 2" xfId="7671" xr:uid="{2900105D-4DB0-405A-AD81-1BB2F3F5DB36}"/>
    <cellStyle name="Normal 2 2 2 2 2 2 2 2 2 2 2 2 2 2 2 2 2 2 10" xfId="7672" xr:uid="{198625A9-E64E-42E5-8622-9ECD4AB0179A}"/>
    <cellStyle name="Normal 2 2 2 2 2 2 2 2 2 2 2 2 2 2 2 2 2 2 11" xfId="7673" xr:uid="{78DDF59D-3DDC-466E-94DC-93FB113D9212}"/>
    <cellStyle name="Normal 2 2 2 2 2 2 2 2 2 2 2 2 2 2 2 2 2 2 11 2" xfId="7674" xr:uid="{31488510-2618-43B5-AFE3-805DB1F0783D}"/>
    <cellStyle name="Normal 2 2 2 2 2 2 2 2 2 2 2 2 2 2 2 2 2 2 11 3" xfId="7675" xr:uid="{C772A566-E963-40CD-92D2-4438001E8C2F}"/>
    <cellStyle name="Normal 2 2 2 2 2 2 2 2 2 2 2 2 2 2 2 2 2 2 11 4" xfId="7676" xr:uid="{28650B53-B984-4EAC-AA25-66D5F403F324}"/>
    <cellStyle name="Normal 2 2 2 2 2 2 2 2 2 2 2 2 2 2 2 2 2 2 12" xfId="7677" xr:uid="{0B0B615A-B720-47CA-8B30-6D26E75FFEA1}"/>
    <cellStyle name="Normal 2 2 2 2 2 2 2 2 2 2 2 2 2 2 2 2 2 2 13" xfId="7678" xr:uid="{6127C063-F184-4397-B895-DEEC297470E1}"/>
    <cellStyle name="Normal 2 2 2 2 2 2 2 2 2 2 2 2 2 2 2 2 2 2 14" xfId="7679" xr:uid="{7C22B78E-BDBA-44FD-9F66-DDBFDCA913E8}"/>
    <cellStyle name="Normal 2 2 2 2 2 2 2 2 2 2 2 2 2 2 2 2 2 2 15" xfId="7680" xr:uid="{58298D2F-C2C5-485A-AE81-0BE968115DF3}"/>
    <cellStyle name="Normal 2 2 2 2 2 2 2 2 2 2 2 2 2 2 2 2 2 2 16" xfId="7681" xr:uid="{2C87C5D1-12D0-47EF-A17A-D719534CA0DB}"/>
    <cellStyle name="Normal 2 2 2 2 2 2 2 2 2 2 2 2 2 2 2 2 2 2 17" xfId="7682" xr:uid="{4CD6D390-ABF8-418B-8512-1458E1609AEF}"/>
    <cellStyle name="Normal 2 2 2 2 2 2 2 2 2 2 2 2 2 2 2 2 2 2 18" xfId="7683" xr:uid="{F7783A3B-9632-486A-B575-B6B36F48C715}"/>
    <cellStyle name="Normal 2 2 2 2 2 2 2 2 2 2 2 2 2 2 2 2 2 2 19" xfId="7684" xr:uid="{C749F425-8C1F-4C8D-AE5C-3DA9E33FC4A3}"/>
    <cellStyle name="Normal 2 2 2 2 2 2 2 2 2 2 2 2 2 2 2 2 2 2 2" xfId="7685" xr:uid="{1B8A57D7-1C0C-4F96-814F-06C9C3C30B0F}"/>
    <cellStyle name="Normal 2 2 2 2 2 2 2 2 2 2 2 2 2 2 2 2 2 2 2 10" xfId="7686" xr:uid="{EE019F10-19AE-4F83-A3CA-5639B7170860}"/>
    <cellStyle name="Normal 2 2 2 2 2 2 2 2 2 2 2 2 2 2 2 2 2 2 2 11" xfId="7687" xr:uid="{6682216B-7E83-4F75-BC76-856E3AF758BC}"/>
    <cellStyle name="Normal 2 2 2 2 2 2 2 2 2 2 2 2 2 2 2 2 2 2 2 12" xfId="7688" xr:uid="{325BCBE3-ED26-4736-9D67-B05B73C6B5E6}"/>
    <cellStyle name="Normal 2 2 2 2 2 2 2 2 2 2 2 2 2 2 2 2 2 2 2 13" xfId="7689" xr:uid="{63686581-AF70-4DE2-B0DE-67763E30BC39}"/>
    <cellStyle name="Normal 2 2 2 2 2 2 2 2 2 2 2 2 2 2 2 2 2 2 2 14" xfId="7690" xr:uid="{9A6F0A65-260E-409D-9F39-73E32E44ACA2}"/>
    <cellStyle name="Normal 2 2 2 2 2 2 2 2 2 2 2 2 2 2 2 2 2 2 2 15" xfId="7691" xr:uid="{8C03166B-A910-41E9-A824-BFF58C2EDDEF}"/>
    <cellStyle name="Normal 2 2 2 2 2 2 2 2 2 2 2 2 2 2 2 2 2 2 2 16" xfId="7692" xr:uid="{91B22197-D49F-4193-9E68-9E077F41291F}"/>
    <cellStyle name="Normal 2 2 2 2 2 2 2 2 2 2 2 2 2 2 2 2 2 2 2 17" xfId="7693" xr:uid="{65C21591-6D48-46B4-8870-42EAD054153E}"/>
    <cellStyle name="Normal 2 2 2 2 2 2 2 2 2 2 2 2 2 2 2 2 2 2 2 18" xfId="7694" xr:uid="{5A4A21A3-6808-4EC9-8BCC-7B37E070234A}"/>
    <cellStyle name="Normal 2 2 2 2 2 2 2 2 2 2 2 2 2 2 2 2 2 2 2 19" xfId="7695" xr:uid="{CCA7C329-AA19-42E0-A582-326942BAEAA5}"/>
    <cellStyle name="Normal 2 2 2 2 2 2 2 2 2 2 2 2 2 2 2 2 2 2 2 2" xfId="7696" xr:uid="{4B5BC221-07B4-41AE-B2C8-032BEC4D20D1}"/>
    <cellStyle name="Normal 2 2 2 2 2 2 2 2 2 2 2 2 2 2 2 2 2 2 2 2 10" xfId="7697" xr:uid="{089F6BFA-D417-4433-A679-F60A27B11651}"/>
    <cellStyle name="Normal 2 2 2 2 2 2 2 2 2 2 2 2 2 2 2 2 2 2 2 2 11" xfId="7698" xr:uid="{79FBF5D5-4E60-4B5D-A580-CECAAB31E0EC}"/>
    <cellStyle name="Normal 2 2 2 2 2 2 2 2 2 2 2 2 2 2 2 2 2 2 2 2 12" xfId="7699" xr:uid="{4C8E72E2-193E-4D9E-A35E-5A3A94B4C407}"/>
    <cellStyle name="Normal 2 2 2 2 2 2 2 2 2 2 2 2 2 2 2 2 2 2 2 2 13" xfId="7700" xr:uid="{1C7E1380-A30F-489E-B15A-157D82E14D0D}"/>
    <cellStyle name="Normal 2 2 2 2 2 2 2 2 2 2 2 2 2 2 2 2 2 2 2 2 14" xfId="7701" xr:uid="{47BEF43B-D465-4DA4-899D-8712C466336F}"/>
    <cellStyle name="Normal 2 2 2 2 2 2 2 2 2 2 2 2 2 2 2 2 2 2 2 2 15" xfId="7702" xr:uid="{9B1F01E0-90D1-485E-80E1-EF6AFC30E1E4}"/>
    <cellStyle name="Normal 2 2 2 2 2 2 2 2 2 2 2 2 2 2 2 2 2 2 2 2 16" xfId="7703" xr:uid="{A5479343-99AA-4616-A2C0-D3C6859AFE4F}"/>
    <cellStyle name="Normal 2 2 2 2 2 2 2 2 2 2 2 2 2 2 2 2 2 2 2 2 17" xfId="7704" xr:uid="{F9BADF93-2034-4D4C-A018-2D7576808E8B}"/>
    <cellStyle name="Normal 2 2 2 2 2 2 2 2 2 2 2 2 2 2 2 2 2 2 2 2 18" xfId="7705" xr:uid="{A2470291-CDB1-4327-BAE6-F8100006E350}"/>
    <cellStyle name="Normal 2 2 2 2 2 2 2 2 2 2 2 2 2 2 2 2 2 2 2 2 19" xfId="7706" xr:uid="{21C7721C-6970-4DC7-95B0-A72920B59A41}"/>
    <cellStyle name="Normal 2 2 2 2 2 2 2 2 2 2 2 2 2 2 2 2 2 2 2 2 2" xfId="7707" xr:uid="{96BFBB98-08E1-49CA-9523-0F8CEA57DFA5}"/>
    <cellStyle name="Normal 2 2 2 2 2 2 2 2 2 2 2 2 2 2 2 2 2 2 2 2 2 10" xfId="7708" xr:uid="{85341B39-5F7E-42EE-AB04-73653AC7F51D}"/>
    <cellStyle name="Normal 2 2 2 2 2 2 2 2 2 2 2 2 2 2 2 2 2 2 2 2 2 11" xfId="7709" xr:uid="{A350DDFD-0B30-4CD0-BC32-ECD10022811F}"/>
    <cellStyle name="Normal 2 2 2 2 2 2 2 2 2 2 2 2 2 2 2 2 2 2 2 2 2 12" xfId="7710" xr:uid="{17977D54-3BC2-4A37-ADF7-AC4D9F5750FE}"/>
    <cellStyle name="Normal 2 2 2 2 2 2 2 2 2 2 2 2 2 2 2 2 2 2 2 2 2 13" xfId="7711" xr:uid="{6A902E09-987C-41D0-9BEC-CE2AA36B3B12}"/>
    <cellStyle name="Normal 2 2 2 2 2 2 2 2 2 2 2 2 2 2 2 2 2 2 2 2 2 14" xfId="7712" xr:uid="{A2E1EA9B-F10A-45AE-BB14-1CFDECBDA4BC}"/>
    <cellStyle name="Normal 2 2 2 2 2 2 2 2 2 2 2 2 2 2 2 2 2 2 2 2 2 15" xfId="7713" xr:uid="{193D43D4-6A29-4CA1-9D98-AEBB08EAF598}"/>
    <cellStyle name="Normal 2 2 2 2 2 2 2 2 2 2 2 2 2 2 2 2 2 2 2 2 2 16" xfId="7714" xr:uid="{7057DD34-FF2C-4C60-9F42-763E2A82EA58}"/>
    <cellStyle name="Normal 2 2 2 2 2 2 2 2 2 2 2 2 2 2 2 2 2 2 2 2 2 17" xfId="7715" xr:uid="{F6C5AC04-623A-40E2-A2DC-FEB702248FE5}"/>
    <cellStyle name="Normal 2 2 2 2 2 2 2 2 2 2 2 2 2 2 2 2 2 2 2 2 2 18" xfId="7716" xr:uid="{6B194DDF-F0A9-4F44-8FEB-D89C8BD7F4FA}"/>
    <cellStyle name="Normal 2 2 2 2 2 2 2 2 2 2 2 2 2 2 2 2 2 2 2 2 2 18 2" xfId="7717" xr:uid="{5D5880F3-2D79-4CAF-8110-706CDEA01D6F}"/>
    <cellStyle name="Normal 2 2 2 2 2 2 2 2 2 2 2 2 2 2 2 2 2 2 2 2 2 18 3" xfId="7718" xr:uid="{02A48444-2A7D-44AF-A1A3-8A13E3E9D6EF}"/>
    <cellStyle name="Normal 2 2 2 2 2 2 2 2 2 2 2 2 2 2 2 2 2 2 2 2 2 18 4" xfId="7719" xr:uid="{1F9F8E42-829F-45E0-B102-91247A6A3F77}"/>
    <cellStyle name="Normal 2 2 2 2 2 2 2 2 2 2 2 2 2 2 2 2 2 2 2 2 2 18 5" xfId="7720" xr:uid="{1FDA3B9D-01A2-4CBE-9B86-8F7A2F821BBD}"/>
    <cellStyle name="Normal 2 2 2 2 2 2 2 2 2 2 2 2 2 2 2 2 2 2 2 2 2 18 6" xfId="7721" xr:uid="{83DB5A4F-27BE-4E18-8A9A-5D1C2C7839DB}"/>
    <cellStyle name="Normal 2 2 2 2 2 2 2 2 2 2 2 2 2 2 2 2 2 2 2 2 2 18 7" xfId="7722" xr:uid="{BDCF32FF-2995-43DE-AFB7-5FCECD170A7D}"/>
    <cellStyle name="Normal 2 2 2 2 2 2 2 2 2 2 2 2 2 2 2 2 2 2 2 2 2 19" xfId="7723" xr:uid="{6CAA9A41-D6A8-4E55-A4E1-CE40DEA19053}"/>
    <cellStyle name="Normal 2 2 2 2 2 2 2 2 2 2 2 2 2 2 2 2 2 2 2 2 2 2" xfId="7724" xr:uid="{1D264691-A1F3-4E97-B690-4EC2247D618E}"/>
    <cellStyle name="Normal 2 2 2 2 2 2 2 2 2 2 2 2 2 2 2 2 2 2 2 2 2 2 10" xfId="7725" xr:uid="{86F14E5C-86A8-4E6A-9567-76BEF62BC565}"/>
    <cellStyle name="Normal 2 2 2 2 2 2 2 2 2 2 2 2 2 2 2 2 2 2 2 2 2 2 11" xfId="7726" xr:uid="{7953465B-5327-401A-BB9A-1ADBB5A8752E}"/>
    <cellStyle name="Normal 2 2 2 2 2 2 2 2 2 2 2 2 2 2 2 2 2 2 2 2 2 2 12" xfId="7727" xr:uid="{9671A4F1-91BE-4A72-840E-E3F3B6DD348D}"/>
    <cellStyle name="Normal 2 2 2 2 2 2 2 2 2 2 2 2 2 2 2 2 2 2 2 2 2 2 13" xfId="7728" xr:uid="{E87EFE20-6D85-4984-88BF-2C6048D31B53}"/>
    <cellStyle name="Normal 2 2 2 2 2 2 2 2 2 2 2 2 2 2 2 2 2 2 2 2 2 2 14" xfId="7729" xr:uid="{E203E8FE-2BE6-4D6F-8A89-0277E510F976}"/>
    <cellStyle name="Normal 2 2 2 2 2 2 2 2 2 2 2 2 2 2 2 2 2 2 2 2 2 2 15" xfId="7730" xr:uid="{4F1EC0A7-57E5-41E6-AE7D-4F2B45D71F26}"/>
    <cellStyle name="Normal 2 2 2 2 2 2 2 2 2 2 2 2 2 2 2 2 2 2 2 2 2 2 16" xfId="7731" xr:uid="{98276D55-A863-4A2E-8A29-6ECDD0FABD33}"/>
    <cellStyle name="Normal 2 2 2 2 2 2 2 2 2 2 2 2 2 2 2 2 2 2 2 2 2 2 16 2" xfId="7732" xr:uid="{85CABD48-5BE8-4098-BAAC-AC892801D16E}"/>
    <cellStyle name="Normal 2 2 2 2 2 2 2 2 2 2 2 2 2 2 2 2 2 2 2 2 2 2 16 3" xfId="7733" xr:uid="{B274207F-2832-4433-A24B-976FD59D6D54}"/>
    <cellStyle name="Normal 2 2 2 2 2 2 2 2 2 2 2 2 2 2 2 2 2 2 2 2 2 2 16 4" xfId="7734" xr:uid="{FD590065-5B88-461B-8746-7F4BFB6ADE54}"/>
    <cellStyle name="Normal 2 2 2 2 2 2 2 2 2 2 2 2 2 2 2 2 2 2 2 2 2 2 16 5" xfId="7735" xr:uid="{3F55DD6E-25B6-4941-B0AF-386FC9120FD5}"/>
    <cellStyle name="Normal 2 2 2 2 2 2 2 2 2 2 2 2 2 2 2 2 2 2 2 2 2 2 16 6" xfId="7736" xr:uid="{E4C24DAD-FA06-4FB9-B921-DD27356CE814}"/>
    <cellStyle name="Normal 2 2 2 2 2 2 2 2 2 2 2 2 2 2 2 2 2 2 2 2 2 2 16 7" xfId="7737" xr:uid="{4E1F9C21-F897-43AE-89DF-1EC0BA30F746}"/>
    <cellStyle name="Normal 2 2 2 2 2 2 2 2 2 2 2 2 2 2 2 2 2 2 2 2 2 2 17" xfId="7738" xr:uid="{EAD8CE30-218A-4CCC-8593-5C9C2472061D}"/>
    <cellStyle name="Normal 2 2 2 2 2 2 2 2 2 2 2 2 2 2 2 2 2 2 2 2 2 2 18" xfId="7739" xr:uid="{8625F827-CD0B-4E7E-811F-50AAB6EEB494}"/>
    <cellStyle name="Normal 2 2 2 2 2 2 2 2 2 2 2 2 2 2 2 2 2 2 2 2 2 2 19" xfId="7740" xr:uid="{7A5371B2-87FD-40C6-8134-1D1524548027}"/>
    <cellStyle name="Normal 2 2 2 2 2 2 2 2 2 2 2 2 2 2 2 2 2 2 2 2 2 2 2" xfId="7741" xr:uid="{F040F14E-12ED-419A-978D-2A5814ACF242}"/>
    <cellStyle name="Normal 2 2 2 2 2 2 2 2 2 2 2 2 2 2 2 2 2 2 2 2 2 2 2 10" xfId="7742" xr:uid="{E0CB8281-18A7-4007-B8B7-5BF9F0BFC364}"/>
    <cellStyle name="Normal 2 2 2 2 2 2 2 2 2 2 2 2 2 2 2 2 2 2 2 2 2 2 2 11" xfId="7743" xr:uid="{8F37DE4F-530A-45AD-88AF-72EA74766AFF}"/>
    <cellStyle name="Normal 2 2 2 2 2 2 2 2 2 2 2 2 2 2 2 2 2 2 2 2 2 2 2 12" xfId="7744" xr:uid="{BD1D08B5-0270-435C-B2FB-92499A84DBE0}"/>
    <cellStyle name="Normal 2 2 2 2 2 2 2 2 2 2 2 2 2 2 2 2 2 2 2 2 2 2 2 13" xfId="7745" xr:uid="{136283BE-A25B-4B2D-8A64-FEFD777F49ED}"/>
    <cellStyle name="Normal 2 2 2 2 2 2 2 2 2 2 2 2 2 2 2 2 2 2 2 2 2 2 2 13 2" xfId="7746" xr:uid="{D094F0E7-3EE6-42FF-BF33-65B5955CEEE3}"/>
    <cellStyle name="Normal 2 2 2 2 2 2 2 2 2 2 2 2 2 2 2 2 2 2 2 2 2 2 2 13 3" xfId="7747" xr:uid="{CCAC3E1E-D4A4-4674-A9C9-BC5FE3DE2049}"/>
    <cellStyle name="Normal 2 2 2 2 2 2 2 2 2 2 2 2 2 2 2 2 2 2 2 2 2 2 2 13 4" xfId="7748" xr:uid="{64DA21DC-5AD7-43ED-8380-D063B7317194}"/>
    <cellStyle name="Normal 2 2 2 2 2 2 2 2 2 2 2 2 2 2 2 2 2 2 2 2 2 2 2 13 5" xfId="7749" xr:uid="{55304E1B-5088-4897-916E-C916D0A8490A}"/>
    <cellStyle name="Normal 2 2 2 2 2 2 2 2 2 2 2 2 2 2 2 2 2 2 2 2 2 2 2 13 6" xfId="7750" xr:uid="{857BE266-260C-4366-AF0B-3BB5654DEC5F}"/>
    <cellStyle name="Normal 2 2 2 2 2 2 2 2 2 2 2 2 2 2 2 2 2 2 2 2 2 2 2 13 7" xfId="7751" xr:uid="{C48D513E-4576-4051-9831-EBBFE3AE2412}"/>
    <cellStyle name="Normal 2 2 2 2 2 2 2 2 2 2 2 2 2 2 2 2 2 2 2 2 2 2 2 14" xfId="7752" xr:uid="{A66ACC8C-77C5-4CB0-8B07-D794850B5B36}"/>
    <cellStyle name="Normal 2 2 2 2 2 2 2 2 2 2 2 2 2 2 2 2 2 2 2 2 2 2 2 15" xfId="7753" xr:uid="{A0E8EF8B-2B71-4109-A8E8-FE63B879998A}"/>
    <cellStyle name="Normal 2 2 2 2 2 2 2 2 2 2 2 2 2 2 2 2 2 2 2 2 2 2 2 16" xfId="7754" xr:uid="{8A770577-EEFE-4C97-B9F4-6798591701D1}"/>
    <cellStyle name="Normal 2 2 2 2 2 2 2 2 2 2 2 2 2 2 2 2 2 2 2 2 2 2 2 17" xfId="7755" xr:uid="{C407B17F-9D2A-4F92-BAD7-3EEDCF4E467E}"/>
    <cellStyle name="Normal 2 2 2 2 2 2 2 2 2 2 2 2 2 2 2 2 2 2 2 2 2 2 2 18" xfId="7756" xr:uid="{F58E77CB-9A32-4AB1-8FFE-AF33B233870A}"/>
    <cellStyle name="Normal 2 2 2 2 2 2 2 2 2 2 2 2 2 2 2 2 2 2 2 2 2 2 2 19" xfId="7757" xr:uid="{6B81091B-61C4-4386-849D-5CBE307B73F6}"/>
    <cellStyle name="Normal 2 2 2 2 2 2 2 2 2 2 2 2 2 2 2 2 2 2 2 2 2 2 2 2" xfId="7758" xr:uid="{08DB706C-3C3F-42CC-8BEC-7F7ED3B4601C}"/>
    <cellStyle name="Normal 2 2 2 2 2 2 2 2 2 2 2 2 2 2 2 2 2 2 2 2 2 2 2 2 10" xfId="7759" xr:uid="{C361CE86-E2F7-4B4C-88CE-674558128863}"/>
    <cellStyle name="Normal 2 2 2 2 2 2 2 2 2 2 2 2 2 2 2 2 2 2 2 2 2 2 2 2 11" xfId="7760" xr:uid="{B15CB79F-7023-4F5F-B096-AE7A20690139}"/>
    <cellStyle name="Normal 2 2 2 2 2 2 2 2 2 2 2 2 2 2 2 2 2 2 2 2 2 2 2 2 12" xfId="7761" xr:uid="{50FE6614-2DAC-4E3E-A74C-6BA9ADFC2EE0}"/>
    <cellStyle name="Normal 2 2 2 2 2 2 2 2 2 2 2 2 2 2 2 2 2 2 2 2 2 2 2 2 13" xfId="7762" xr:uid="{4B5A0472-9359-4FCA-BD65-A440D744A69F}"/>
    <cellStyle name="Normal 2 2 2 2 2 2 2 2 2 2 2 2 2 2 2 2 2 2 2 2 2 2 2 2 13 2" xfId="7763" xr:uid="{FD9ECB68-5AA1-4F48-A284-54E3B669D81B}"/>
    <cellStyle name="Normal 2 2 2 2 2 2 2 2 2 2 2 2 2 2 2 2 2 2 2 2 2 2 2 2 13 3" xfId="7764" xr:uid="{B2E73C81-DD14-4870-AF1F-01A8A6A18E39}"/>
    <cellStyle name="Normal 2 2 2 2 2 2 2 2 2 2 2 2 2 2 2 2 2 2 2 2 2 2 2 2 13 4" xfId="7765" xr:uid="{5C5C9046-0488-4590-BCFF-86EC9B8D0BFF}"/>
    <cellStyle name="Normal 2 2 2 2 2 2 2 2 2 2 2 2 2 2 2 2 2 2 2 2 2 2 2 2 13 5" xfId="7766" xr:uid="{FDA482D2-58F0-48D9-B73A-BE6F8EB8AF25}"/>
    <cellStyle name="Normal 2 2 2 2 2 2 2 2 2 2 2 2 2 2 2 2 2 2 2 2 2 2 2 2 13 6" xfId="7767" xr:uid="{91319028-E596-4312-841B-B9D8EC7259C2}"/>
    <cellStyle name="Normal 2 2 2 2 2 2 2 2 2 2 2 2 2 2 2 2 2 2 2 2 2 2 2 2 13 7" xfId="7768" xr:uid="{4CC5123A-6C0B-4DB0-8B99-8C83CC9D2100}"/>
    <cellStyle name="Normal 2 2 2 2 2 2 2 2 2 2 2 2 2 2 2 2 2 2 2 2 2 2 2 2 14" xfId="7769" xr:uid="{7CFC5C84-0816-4931-A03D-10A3EFFDF517}"/>
    <cellStyle name="Normal 2 2 2 2 2 2 2 2 2 2 2 2 2 2 2 2 2 2 2 2 2 2 2 2 15" xfId="7770" xr:uid="{6184A50D-D67A-4E27-B855-95A6C6B6D231}"/>
    <cellStyle name="Normal 2 2 2 2 2 2 2 2 2 2 2 2 2 2 2 2 2 2 2 2 2 2 2 2 16" xfId="7771" xr:uid="{D90CD5BE-AF6E-40F3-8C74-722E3CB8A0B3}"/>
    <cellStyle name="Normal 2 2 2 2 2 2 2 2 2 2 2 2 2 2 2 2 2 2 2 2 2 2 2 2 17" xfId="7772" xr:uid="{1597457B-E282-4C1A-A392-CAD3D723220D}"/>
    <cellStyle name="Normal 2 2 2 2 2 2 2 2 2 2 2 2 2 2 2 2 2 2 2 2 2 2 2 2 18" xfId="7773" xr:uid="{8D61B325-B4E2-4487-B946-94620B254593}"/>
    <cellStyle name="Normal 2 2 2 2 2 2 2 2 2 2 2 2 2 2 2 2 2 2 2 2 2 2 2 2 19" xfId="7774" xr:uid="{9EBABEE8-5481-4E08-9458-764280DBF108}"/>
    <cellStyle name="Normal 2 2 2 2 2 2 2 2 2 2 2 2 2 2 2 2 2 2 2 2 2 2 2 2 2" xfId="7775" xr:uid="{6C954123-921D-439E-85E5-9C041D357BA6}"/>
    <cellStyle name="Normal 2 2 2 2 2 2 2 2 2 2 2 2 2 2 2 2 2 2 2 2 2 2 2 2 2 10" xfId="7776" xr:uid="{2DFB4534-9CD5-48DE-A03B-0DA12E47D2BD}"/>
    <cellStyle name="Normal 2 2 2 2 2 2 2 2 2 2 2 2 2 2 2 2 2 2 2 2 2 2 2 2 2 11" xfId="7777" xr:uid="{AD00E3D0-3CDE-494A-849E-E99A0007926E}"/>
    <cellStyle name="Normal 2 2 2 2 2 2 2 2 2 2 2 2 2 2 2 2 2 2 2 2 2 2 2 2 2 12" xfId="7778" xr:uid="{506EDE21-87F7-47DA-B240-4D7F55238200}"/>
    <cellStyle name="Normal 2 2 2 2 2 2 2 2 2 2 2 2 2 2 2 2 2 2 2 2 2 2 2 2 2 13" xfId="7779" xr:uid="{667961EE-F0B3-47FA-8C16-9B62A5AD862C}"/>
    <cellStyle name="Normal 2 2 2 2 2 2 2 2 2 2 2 2 2 2 2 2 2 2 2 2 2 2 2 2 2 14" xfId="7780" xr:uid="{48AC7055-9DD7-4D47-82A9-D28E8203684B}"/>
    <cellStyle name="Normal 2 2 2 2 2 2 2 2 2 2 2 2 2 2 2 2 2 2 2 2 2 2 2 2 2 15" xfId="7781" xr:uid="{4828FFD9-D9C4-4D66-BC16-B94FFFCD3DD3}"/>
    <cellStyle name="Normal 2 2 2 2 2 2 2 2 2 2 2 2 2 2 2 2 2 2 2 2 2 2 2 2 2 16" xfId="7782" xr:uid="{B0420BAB-39BB-40E4-ADB5-BF24C805E2F0}"/>
    <cellStyle name="Normal 2 2 2 2 2 2 2 2 2 2 2 2 2 2 2 2 2 2 2 2 2 2 2 2 2 17" xfId="7783" xr:uid="{60F08B8F-0CC6-458D-8FF6-7B0E5031901B}"/>
    <cellStyle name="Normal 2 2 2 2 2 2 2 2 2 2 2 2 2 2 2 2 2 2 2 2 2 2 2 2 2 18" xfId="7784" xr:uid="{BF66B15F-56A1-4A5D-9322-5C0A0553BC93}"/>
    <cellStyle name="Normal 2 2 2 2 2 2 2 2 2 2 2 2 2 2 2 2 2 2 2 2 2 2 2 2 2 19" xfId="7785" xr:uid="{F763F3D2-8D08-45AD-A2FA-F742CDE69F17}"/>
    <cellStyle name="Normal 2 2 2 2 2 2 2 2 2 2 2 2 2 2 2 2 2 2 2 2 2 2 2 2 2 2" xfId="7786" xr:uid="{18F9D489-E7A6-4810-9BEA-9F3D6C6AC617}"/>
    <cellStyle name="Normal 2 2 2 2 2 2 2 2 2 2 2 2 2 2 2 2 2 2 2 2 2 2 2 2 2 2 10" xfId="7787" xr:uid="{4F8C1104-D1EA-46F8-A451-605E0F41A293}"/>
    <cellStyle name="Normal 2 2 2 2 2 2 2 2 2 2 2 2 2 2 2 2 2 2 2 2 2 2 2 2 2 2 11" xfId="7788" xr:uid="{3E7501B7-1C18-4FE2-87C5-D663EDA10A31}"/>
    <cellStyle name="Normal 2 2 2 2 2 2 2 2 2 2 2 2 2 2 2 2 2 2 2 2 2 2 2 2 2 2 12" xfId="7789" xr:uid="{560EA35E-06ED-4C17-ADF9-27569DEFEBDF}"/>
    <cellStyle name="Normal 2 2 2 2 2 2 2 2 2 2 2 2 2 2 2 2 2 2 2 2 2 2 2 2 2 2 13" xfId="7790" xr:uid="{50E64708-F068-4670-BDEA-09837E55F1B3}"/>
    <cellStyle name="Normal 2 2 2 2 2 2 2 2 2 2 2 2 2 2 2 2 2 2 2 2 2 2 2 2 2 2 14" xfId="7791" xr:uid="{C18FE49A-B09A-4966-B80C-D6E0CFC044A0}"/>
    <cellStyle name="Normal 2 2 2 2 2 2 2 2 2 2 2 2 2 2 2 2 2 2 2 2 2 2 2 2 2 2 15" xfId="7792" xr:uid="{43C2E1A2-B357-46A3-A3E4-06416BB4504B}"/>
    <cellStyle name="Normal 2 2 2 2 2 2 2 2 2 2 2 2 2 2 2 2 2 2 2 2 2 2 2 2 2 2 16" xfId="7793" xr:uid="{5EE8761E-4906-4B4C-A28A-3CF2382E0E3E}"/>
    <cellStyle name="Normal 2 2 2 2 2 2 2 2 2 2 2 2 2 2 2 2 2 2 2 2 2 2 2 2 2 2 17" xfId="7794" xr:uid="{B388856E-6D73-4ADF-A508-1B5393C71EA0}"/>
    <cellStyle name="Normal 2 2 2 2 2 2 2 2 2 2 2 2 2 2 2 2 2 2 2 2 2 2 2 2 2 2 18" xfId="7795" xr:uid="{CDBCAC89-04A5-4D71-A69D-8B57CF66BCCF}"/>
    <cellStyle name="Normal 2 2 2 2 2 2 2 2 2 2 2 2 2 2 2 2 2 2 2 2 2 2 2 2 2 2 19" xfId="7796" xr:uid="{D1FB91F1-FC19-4141-B3B7-620F73F182F2}"/>
    <cellStyle name="Normal 2 2 2 2 2 2 2 2 2 2 2 2 2 2 2 2 2 2 2 2 2 2 2 2 2 2 2" xfId="7797" xr:uid="{4D304A1D-7FC9-4B25-A69A-6F02EEFE2879}"/>
    <cellStyle name="Normal 2 2 2 2 2 2 2 2 2 2 2 2 2 2 2 2 2 2 2 2 2 2 2 2 2 2 2 10" xfId="7798" xr:uid="{4F48F1DD-D4A7-4AC7-92EB-C5E19872C916}"/>
    <cellStyle name="Normal 2 2 2 2 2 2 2 2 2 2 2 2 2 2 2 2 2 2 2 2 2 2 2 2 2 2 2 11" xfId="7799" xr:uid="{F1947A56-BE18-4067-8007-5B6FE71A1306}"/>
    <cellStyle name="Normal 2 2 2 2 2 2 2 2 2 2 2 2 2 2 2 2 2 2 2 2 2 2 2 2 2 2 2 12" xfId="7800" xr:uid="{5AC67AFB-E009-40F6-9215-D15F8E5651D8}"/>
    <cellStyle name="Normal 2 2 2 2 2 2 2 2 2 2 2 2 2 2 2 2 2 2 2 2 2 2 2 2 2 2 2 13" xfId="7801" xr:uid="{E872A0AE-0A9D-42AB-A500-D88DD9129088}"/>
    <cellStyle name="Normal 2 2 2 2 2 2 2 2 2 2 2 2 2 2 2 2 2 2 2 2 2 2 2 2 2 2 2 14" xfId="7802" xr:uid="{697ADE1D-A9FD-41E7-BF57-66AEE6F84357}"/>
    <cellStyle name="Normal 2 2 2 2 2 2 2 2 2 2 2 2 2 2 2 2 2 2 2 2 2 2 2 2 2 2 2 15" xfId="7803" xr:uid="{1C725EF5-ADA6-4A83-8950-AC6CAA75B0CB}"/>
    <cellStyle name="Normal 2 2 2 2 2 2 2 2 2 2 2 2 2 2 2 2 2 2 2 2 2 2 2 2 2 2 2 16" xfId="7804" xr:uid="{9B60386D-D303-44CF-9F32-2DE15C3940AD}"/>
    <cellStyle name="Normal 2 2 2 2 2 2 2 2 2 2 2 2 2 2 2 2 2 2 2 2 2 2 2 2 2 2 2 17" xfId="7805" xr:uid="{604A047B-8D7F-483F-B39C-7068BF4E377D}"/>
    <cellStyle name="Normal 2 2 2 2 2 2 2 2 2 2 2 2 2 2 2 2 2 2 2 2 2 2 2 2 2 2 2 18" xfId="7806" xr:uid="{61EC10E2-8FD2-4194-994C-C3318B19C120}"/>
    <cellStyle name="Normal 2 2 2 2 2 2 2 2 2 2 2 2 2 2 2 2 2 2 2 2 2 2 2 2 2 2 2 19" xfId="7807" xr:uid="{F8C7ACD5-FDAD-4787-BD51-7219B102A88C}"/>
    <cellStyle name="Normal 2 2 2 2 2 2 2 2 2 2 2 2 2 2 2 2 2 2 2 2 2 2 2 2 2 2 2 2" xfId="7808" xr:uid="{11A66146-513C-40BB-A55B-2675305534BC}"/>
    <cellStyle name="Normal 2 2 2 2 2 2 2 2 2 2 2 2 2 2 2 2 2 2 2 2 2 2 2 2 2 2 2 2 10" xfId="7809" xr:uid="{22EE087B-171C-4CED-81A6-3B0F1F8F5D73}"/>
    <cellStyle name="Normal 2 2 2 2 2 2 2 2 2 2 2 2 2 2 2 2 2 2 2 2 2 2 2 2 2 2 2 2 11" xfId="7810" xr:uid="{42A077AE-59C7-4515-8E3B-AC7B98445A83}"/>
    <cellStyle name="Normal 2 2 2 2 2 2 2 2 2 2 2 2 2 2 2 2 2 2 2 2 2 2 2 2 2 2 2 2 12" xfId="7811" xr:uid="{A394E585-310E-40FF-A76E-A271F66B6B00}"/>
    <cellStyle name="Normal 2 2 2 2 2 2 2 2 2 2 2 2 2 2 2 2 2 2 2 2 2 2 2 2 2 2 2 2 13" xfId="7812" xr:uid="{AC0F6164-CEF8-406C-ABD5-BA7D49AFA797}"/>
    <cellStyle name="Normal 2 2 2 2 2 2 2 2 2 2 2 2 2 2 2 2 2 2 2 2 2 2 2 2 2 2 2 2 14" xfId="7813" xr:uid="{887C16D5-6848-4359-8B7F-EDAC73DB7706}"/>
    <cellStyle name="Normal 2 2 2 2 2 2 2 2 2 2 2 2 2 2 2 2 2 2 2 2 2 2 2 2 2 2 2 2 15" xfId="7814" xr:uid="{108A140B-F83F-4E9D-911A-B41CE0CBA363}"/>
    <cellStyle name="Normal 2 2 2 2 2 2 2 2 2 2 2 2 2 2 2 2 2 2 2 2 2 2 2 2 2 2 2 2 16" xfId="7815" xr:uid="{5CF1F251-8657-4304-89A3-3F1B6042DA59}"/>
    <cellStyle name="Normal 2 2 2 2 2 2 2 2 2 2 2 2 2 2 2 2 2 2 2 2 2 2 2 2 2 2 2 2 17" xfId="7816" xr:uid="{4004C4C8-E6E5-4209-B43B-A3C8D2721DFD}"/>
    <cellStyle name="Normal 2 2 2 2 2 2 2 2 2 2 2 2 2 2 2 2 2 2 2 2 2 2 2 2 2 2 2 2 18" xfId="7817" xr:uid="{9DDEB467-B1A0-4194-B21A-5A41E24EF64A}"/>
    <cellStyle name="Normal 2 2 2 2 2 2 2 2 2 2 2 2 2 2 2 2 2 2 2 2 2 2 2 2 2 2 2 2 19" xfId="7818" xr:uid="{705D2E9F-819D-4BA5-9816-E625B4FF9ABB}"/>
    <cellStyle name="Normal 2 2 2 2 2 2 2 2 2 2 2 2 2 2 2 2 2 2 2 2 2 2 2 2 2 2 2 2 2" xfId="7819" xr:uid="{E69DB3D0-FF2B-4267-83FD-5AB11AE74EE4}"/>
    <cellStyle name="Normal 2 2 2 2 2 2 2 2 2 2 2 2 2 2 2 2 2 2 2 2 2 2 2 2 2 2 2 2 2 10" xfId="7820" xr:uid="{E0743930-20A1-4BA1-A3FD-FACE53952BB3}"/>
    <cellStyle name="Normal 2 2 2 2 2 2 2 2 2 2 2 2 2 2 2 2 2 2 2 2 2 2 2 2 2 2 2 2 2 11" xfId="7821" xr:uid="{3BF6FE80-A4F1-466D-90B1-51E0EE0BF0B1}"/>
    <cellStyle name="Normal 2 2 2 2 2 2 2 2 2 2 2 2 2 2 2 2 2 2 2 2 2 2 2 2 2 2 2 2 2 12" xfId="7822" xr:uid="{9745CB63-C009-4FC1-8AB0-E9754C248D68}"/>
    <cellStyle name="Normal 2 2 2 2 2 2 2 2 2 2 2 2 2 2 2 2 2 2 2 2 2 2 2 2 2 2 2 2 2 13" xfId="7823" xr:uid="{AECB3CA0-B21D-4AB4-B51D-FED2678CC38B}"/>
    <cellStyle name="Normal 2 2 2 2 2 2 2 2 2 2 2 2 2 2 2 2 2 2 2 2 2 2 2 2 2 2 2 2 2 14" xfId="7824" xr:uid="{59FF6226-3B57-443B-AD9B-A86AB3CA8A1F}"/>
    <cellStyle name="Normal 2 2 2 2 2 2 2 2 2 2 2 2 2 2 2 2 2 2 2 2 2 2 2 2 2 2 2 2 2 15" xfId="7825" xr:uid="{62697134-DDEC-4D29-AA64-93E84A512DB5}"/>
    <cellStyle name="Normal 2 2 2 2 2 2 2 2 2 2 2 2 2 2 2 2 2 2 2 2 2 2 2 2 2 2 2 2 2 16" xfId="7826" xr:uid="{FE162E93-E4AA-4591-B2D0-685CB6F12283}"/>
    <cellStyle name="Normal 2 2 2 2 2 2 2 2 2 2 2 2 2 2 2 2 2 2 2 2 2 2 2 2 2 2 2 2 2 17" xfId="7827" xr:uid="{BEA14E56-F561-4DBC-B840-2A62241C31B5}"/>
    <cellStyle name="Normal 2 2 2 2 2 2 2 2 2 2 2 2 2 2 2 2 2 2 2 2 2 2 2 2 2 2 2 2 2 18" xfId="7828" xr:uid="{9307EA3B-A664-4E18-B429-F5EE13B62BCE}"/>
    <cellStyle name="Normal 2 2 2 2 2 2 2 2 2 2 2 2 2 2 2 2 2 2 2 2 2 2 2 2 2 2 2 2 2 19" xfId="7829" xr:uid="{4DA0963B-8118-4BAD-BC50-E14275503405}"/>
    <cellStyle name="Normal 2 2 2 2 2 2 2 2 2 2 2 2 2 2 2 2 2 2 2 2 2 2 2 2 2 2 2 2 2 2" xfId="7830" xr:uid="{0643BE9A-BC20-49CD-8605-21ABEBECF329}"/>
    <cellStyle name="Normal 2 2 2 2 2 2 2 2 2 2 2 2 2 2 2 2 2 2 2 2 2 2 2 2 2 2 2 2 2 2 10" xfId="7831" xr:uid="{6E747C8F-61B0-4DFA-8F84-5ABC131B7F8B}"/>
    <cellStyle name="Normal 2 2 2 2 2 2 2 2 2 2 2 2 2 2 2 2 2 2 2 2 2 2 2 2 2 2 2 2 2 2 11" xfId="7832" xr:uid="{D1D7E6A6-05F3-41D5-AFFF-6FFB9004284C}"/>
    <cellStyle name="Normal 2 2 2 2 2 2 2 2 2 2 2 2 2 2 2 2 2 2 2 2 2 2 2 2 2 2 2 2 2 2 12" xfId="7833" xr:uid="{A5B6F5D2-1787-4260-8E71-FDA98A1A827D}"/>
    <cellStyle name="Normal 2 2 2 2 2 2 2 2 2 2 2 2 2 2 2 2 2 2 2 2 2 2 2 2 2 2 2 2 2 2 13" xfId="7834" xr:uid="{B828EA6F-2C2D-4193-82A1-674D78A1226C}"/>
    <cellStyle name="Normal 2 2 2 2 2 2 2 2 2 2 2 2 2 2 2 2 2 2 2 2 2 2 2 2 2 2 2 2 2 2 14" xfId="7835" xr:uid="{1283DC8F-CE11-4151-B184-74579FE18D6C}"/>
    <cellStyle name="Normal 2 2 2 2 2 2 2 2 2 2 2 2 2 2 2 2 2 2 2 2 2 2 2 2 2 2 2 2 2 2 15" xfId="7836" xr:uid="{00B4D0F2-582D-4952-890B-9B895E8C6460}"/>
    <cellStyle name="Normal 2 2 2 2 2 2 2 2 2 2 2 2 2 2 2 2 2 2 2 2 2 2 2 2 2 2 2 2 2 2 16" xfId="7837" xr:uid="{F3BDECC5-AD53-402E-8830-94B7B8D2823A}"/>
    <cellStyle name="Normal 2 2 2 2 2 2 2 2 2 2 2 2 2 2 2 2 2 2 2 2 2 2 2 2 2 2 2 2 2 2 17" xfId="7838" xr:uid="{8641D297-3E59-4396-BEE0-956CD5B9A289}"/>
    <cellStyle name="Normal 2 2 2 2 2 2 2 2 2 2 2 2 2 2 2 2 2 2 2 2 2 2 2 2 2 2 2 2 2 2 18" xfId="7839" xr:uid="{8BC8DC80-79BD-45DC-8CC2-2108E990D78B}"/>
    <cellStyle name="Normal 2 2 2 2 2 2 2 2 2 2 2 2 2 2 2 2 2 2 2 2 2 2 2 2 2 2 2 2 2 2 19" xfId="7840" xr:uid="{AC34F7DD-80EB-4A07-8C8D-3152E30CC4B7}"/>
    <cellStyle name="Normal 2 2 2 2 2 2 2 2 2 2 2 2 2 2 2 2 2 2 2 2 2 2 2 2 2 2 2 2 2 2 2" xfId="7841" xr:uid="{2C94078D-D725-4DB1-9617-F40545984A1C}"/>
    <cellStyle name="Normal 2 2 2 2 2 2 2 2 2 2 2 2 2 2 2 2 2 2 2 2 2 2 2 2 2 2 2 2 2 2 2 10" xfId="7842" xr:uid="{121A5D9E-2F02-4BD7-885F-10BD73A24CF2}"/>
    <cellStyle name="Normal 2 2 2 2 2 2 2 2 2 2 2 2 2 2 2 2 2 2 2 2 2 2 2 2 2 2 2 2 2 2 2 11" xfId="7843" xr:uid="{13E3CEC6-B21E-4C0B-9F7C-28D7B1EA0512}"/>
    <cellStyle name="Normal 2 2 2 2 2 2 2 2 2 2 2 2 2 2 2 2 2 2 2 2 2 2 2 2 2 2 2 2 2 2 2 12" xfId="7844" xr:uid="{D71B7E40-15EE-488B-9BED-92C0AAAB7B18}"/>
    <cellStyle name="Normal 2 2 2 2 2 2 2 2 2 2 2 2 2 2 2 2 2 2 2 2 2 2 2 2 2 2 2 2 2 2 2 13" xfId="7845" xr:uid="{F1A2FFE0-E95B-48FC-B86F-C53AF2E5359A}"/>
    <cellStyle name="Normal 2 2 2 2 2 2 2 2 2 2 2 2 2 2 2 2 2 2 2 2 2 2 2 2 2 2 2 2 2 2 2 14" xfId="7846" xr:uid="{B0AFF4AF-493B-4279-AA73-7DCFD8D823F8}"/>
    <cellStyle name="Normal 2 2 2 2 2 2 2 2 2 2 2 2 2 2 2 2 2 2 2 2 2 2 2 2 2 2 2 2 2 2 2 15" xfId="7847" xr:uid="{77441827-9F7A-4A61-9780-007F2C8E7472}"/>
    <cellStyle name="Normal 2 2 2 2 2 2 2 2 2 2 2 2 2 2 2 2 2 2 2 2 2 2 2 2 2 2 2 2 2 2 2 16" xfId="7848" xr:uid="{326A9B35-6B76-4CBE-A1C7-D9D8A0A13F70}"/>
    <cellStyle name="Normal 2 2 2 2 2 2 2 2 2 2 2 2 2 2 2 2 2 2 2 2 2 2 2 2 2 2 2 2 2 2 2 17" xfId="7849" xr:uid="{8CE06403-78C3-4317-AB9D-B652E2516685}"/>
    <cellStyle name="Normal 2 2 2 2 2 2 2 2 2 2 2 2 2 2 2 2 2 2 2 2 2 2 2 2 2 2 2 2 2 2 2 18" xfId="7850" xr:uid="{D7F82286-56EE-4AA9-BF4D-FF21C70210F3}"/>
    <cellStyle name="Normal 2 2 2 2 2 2 2 2 2 2 2 2 2 2 2 2 2 2 2 2 2 2 2 2 2 2 2 2 2 2 2 19" xfId="7851" xr:uid="{3CF56E65-0A84-4553-8635-75400BA3E9CE}"/>
    <cellStyle name="Normal 2 2 2 2 2 2 2 2 2 2 2 2 2 2 2 2 2 2 2 2 2 2 2 2 2 2 2 2 2 2 2 2" xfId="7852" xr:uid="{D177CA6A-5249-496B-9D2B-30CB32203689}"/>
    <cellStyle name="Normal 2 2 2 2 2 2 2 2 2 2 2 2 2 2 2 2 2 2 2 2 2 2 2 2 2 2 2 2 2 2 2 2 10" xfId="7853" xr:uid="{916DE4B4-A2F5-479E-82BD-F8283082CC1E}"/>
    <cellStyle name="Normal 2 2 2 2 2 2 2 2 2 2 2 2 2 2 2 2 2 2 2 2 2 2 2 2 2 2 2 2 2 2 2 2 11" xfId="7854" xr:uid="{45B45DAB-0D7A-49E2-9CE7-B62A063A4C98}"/>
    <cellStyle name="Normal 2 2 2 2 2 2 2 2 2 2 2 2 2 2 2 2 2 2 2 2 2 2 2 2 2 2 2 2 2 2 2 2 12" xfId="7855" xr:uid="{95ED02A2-A44F-4BEC-943C-BF544E0A2B45}"/>
    <cellStyle name="Normal 2 2 2 2 2 2 2 2 2 2 2 2 2 2 2 2 2 2 2 2 2 2 2 2 2 2 2 2 2 2 2 2 13" xfId="7856" xr:uid="{0A33D052-12F8-41D5-BB1A-2236A19AA8BD}"/>
    <cellStyle name="Normal 2 2 2 2 2 2 2 2 2 2 2 2 2 2 2 2 2 2 2 2 2 2 2 2 2 2 2 2 2 2 2 2 14" xfId="7857" xr:uid="{75E86918-D69F-4066-A0FA-A0D6CFD21C9E}"/>
    <cellStyle name="Normal 2 2 2 2 2 2 2 2 2 2 2 2 2 2 2 2 2 2 2 2 2 2 2 2 2 2 2 2 2 2 2 2 15" xfId="7858" xr:uid="{AEEDC514-8519-45BE-A40C-6DE64F976218}"/>
    <cellStyle name="Normal 2 2 2 2 2 2 2 2 2 2 2 2 2 2 2 2 2 2 2 2 2 2 2 2 2 2 2 2 2 2 2 2 16" xfId="7859" xr:uid="{5093680A-F12C-450C-B605-57FCE02814DA}"/>
    <cellStyle name="Normal 2 2 2 2 2 2 2 2 2 2 2 2 2 2 2 2 2 2 2 2 2 2 2 2 2 2 2 2 2 2 2 2 17" xfId="7860" xr:uid="{36207FD2-ED1F-44E9-8D8A-068732F45811}"/>
    <cellStyle name="Normal 2 2 2 2 2 2 2 2 2 2 2 2 2 2 2 2 2 2 2 2 2 2 2 2 2 2 2 2 2 2 2 2 18" xfId="7861" xr:uid="{E79C421E-8324-4EFD-98E9-6D3B9DE9BD4B}"/>
    <cellStyle name="Normal 2 2 2 2 2 2 2 2 2 2 2 2 2 2 2 2 2 2 2 2 2 2 2 2 2 2 2 2 2 2 2 2 19" xfId="7862" xr:uid="{186BF45D-AF14-4238-AFEF-51BAD95BF74B}"/>
    <cellStyle name="Normal 2 2 2 2 2 2 2 2 2 2 2 2 2 2 2 2 2 2 2 2 2 2 2 2 2 2 2 2 2 2 2 2 2" xfId="7863" xr:uid="{C07F6766-C795-4CED-8E50-1AC3C0711B7A}"/>
    <cellStyle name="Normal 2 2 2 2 2 2 2 2 2 2 2 2 2 2 2 2 2 2 2 2 2 2 2 2 2 2 2 2 2 2 2 2 2 2" xfId="7864" xr:uid="{5A9656FC-C078-4E9D-9E13-4A4E43B206BA}"/>
    <cellStyle name="Normal 2 2 2 2 2 2 2 2 2 2 2 2 2 2 2 2 2 2 2 2 2 2 2 2 2 2 2 2 2 2 2 2 2 2 2" xfId="7865" xr:uid="{2E3D0B57-B215-459C-95BF-4CEC71B73A0D}"/>
    <cellStyle name="Normal 2 2 2 2 2 2 2 2 2 2 2 2 2 2 2 2 2 2 2 2 2 2 2 2 2 2 2 2 2 2 2 2 2 2 2 2" xfId="7866" xr:uid="{12B7BA3E-7D67-44AF-B272-291F7B39449D}"/>
    <cellStyle name="Normal 2 2 2 2 2 2 2 2 2 2 2 2 2 2 2 2 2 2 2 2 2 2 2 2 2 2 2 2 2 2 2 2 2 2 2 2 2" xfId="7867" xr:uid="{42C984B4-8F01-4858-81C5-58397F093C50}"/>
    <cellStyle name="Normal 2 2 2 2 2 2 2 2 2 2 2 2 2 2 2 2 2 2 2 2 2 2 2 2 2 2 2 2 2 2 2 2 2 2 2 2 2 2" xfId="7868" xr:uid="{0C8CC4D7-8BFB-491D-AD1D-EC2EBC41FECD}"/>
    <cellStyle name="Normal 2 2 2 2 2 2 2 2 2 2 2 2 2 2 2 2 2 2 2 2 2 2 2 2 2 2 2 2 2 2 2 2 2 2 2 2 2 2 2" xfId="7869" xr:uid="{7412DCA7-A881-4569-B819-9FB53A0887C9}"/>
    <cellStyle name="Normal 2 2 2 2 2 2 2 2 2 2 2 2 2 2 2 2 2 2 2 2 2 2 2 2 2 2 2 2 2 2 2 2 2 2 2 2 3" xfId="7870" xr:uid="{B6298323-FB0B-4869-B454-26AB9BC11408}"/>
    <cellStyle name="Normal 2 2 2 2 2 2 2 2 2 2 2 2 2 2 2 2 2 2 2 2 2 2 2 2 2 2 2 2 2 2 2 2 2 2 2 2 4" xfId="7871" xr:uid="{22315EB1-8BEE-4768-9FB1-618BF91FA6DB}"/>
    <cellStyle name="Normal 2 2 2 2 2 2 2 2 2 2 2 2 2 2 2 2 2 2 2 2 2 2 2 2 2 2 2 2 2 2 2 2 2 2 2 3" xfId="7872" xr:uid="{76D8A443-41E2-4E82-AE10-070D9031E027}"/>
    <cellStyle name="Normal 2 2 2 2 2 2 2 2 2 2 2 2 2 2 2 2 2 2 2 2 2 2 2 2 2 2 2 2 2 2 2 2 2 2 2 4" xfId="7873" xr:uid="{77C18600-C692-4516-A1C0-3236308BB0D8}"/>
    <cellStyle name="Normal 2 2 2 2 2 2 2 2 2 2 2 2 2 2 2 2 2 2 2 2 2 2 2 2 2 2 2 2 2 2 2 2 2 2 2 5" xfId="7874" xr:uid="{CEF33285-69C8-4588-B6BD-93497F6FCA81}"/>
    <cellStyle name="Normal 2 2 2 2 2 2 2 2 2 2 2 2 2 2 2 2 2 2 2 2 2 2 2 2 2 2 2 2 2 2 2 2 2 2 3" xfId="7875" xr:uid="{B44D8956-2E92-49CF-BAC9-C482EA9E1651}"/>
    <cellStyle name="Normal 2 2 2 2 2 2 2 2 2 2 2 2 2 2 2 2 2 2 2 2 2 2 2 2 2 2 2 2 2 2 2 2 2 2 4" xfId="7876" xr:uid="{E9FB9132-07C4-4C7B-A4FE-8D9DAE841DE4}"/>
    <cellStyle name="Normal 2 2 2 2 2 2 2 2 2 2 2 2 2 2 2 2 2 2 2 2 2 2 2 2 2 2 2 2 2 2 2 2 2 2 5" xfId="7877" xr:uid="{E159943D-09A9-46B3-AB7D-227311DD5A59}"/>
    <cellStyle name="Normal 2 2 2 2 2 2 2 2 2 2 2 2 2 2 2 2 2 2 2 2 2 2 2 2 2 2 2 2 2 2 2 2 2 2 6" xfId="7878" xr:uid="{5D193979-9254-4904-8CAF-9B1E1EDB1378}"/>
    <cellStyle name="Normal 2 2 2 2 2 2 2 2 2 2 2 2 2 2 2 2 2 2 2 2 2 2 2 2 2 2 2 2 2 2 2 2 2 2 6 2" xfId="7879" xr:uid="{47A90A4B-BDD9-468E-AFA4-0B32707D0525}"/>
    <cellStyle name="Normal 2 2 2 2 2 2 2 2 2 2 2 2 2 2 2 2 2 2 2 2 2 2 2 2 2 2 2 2 2 2 2 2 2 2 6 3" xfId="7880" xr:uid="{BB5D8D72-7532-4975-9419-0BA026E446D5}"/>
    <cellStyle name="Normal 2 2 2 2 2 2 2 2 2 2 2 2 2 2 2 2 2 2 2 2 2 2 2 2 2 2 2 2 2 2 2 2 2 2 6 4" xfId="7881" xr:uid="{205A0127-320C-4004-8DCD-B34E8FD7C323}"/>
    <cellStyle name="Normal 2 2 2 2 2 2 2 2 2 2 2 2 2 2 2 2 2 2 2 2 2 2 2 2 2 2 2 2 2 2 2 2 2 2 7" xfId="7882" xr:uid="{CF6D7BA6-42CF-49F4-B9A8-1125CF60BCD7}"/>
    <cellStyle name="Normal 2 2 2 2 2 2 2 2 2 2 2 2 2 2 2 2 2 2 2 2 2 2 2 2 2 2 2 2 2 2 2 2 2 2 8" xfId="7883" xr:uid="{1CC5DE3B-62ED-4DD5-83FA-51BA381BD6AC}"/>
    <cellStyle name="Normal 2 2 2 2 2 2 2 2 2 2 2 2 2 2 2 2 2 2 2 2 2 2 2 2 2 2 2 2 2 2 2 2 2 3" xfId="7884" xr:uid="{94FA3980-47A1-4934-B07D-2C8BF1DC662A}"/>
    <cellStyle name="Normal 2 2 2 2 2 2 2 2 2 2 2 2 2 2 2 2 2 2 2 2 2 2 2 2 2 2 2 2 2 2 2 2 2 4" xfId="7885" xr:uid="{880A8F41-3EFE-4D67-BD06-64DEB5C8FFD3}"/>
    <cellStyle name="Normal 2 2 2 2 2 2 2 2 2 2 2 2 2 2 2 2 2 2 2 2 2 2 2 2 2 2 2 2 2 2 2 2 2 5" xfId="7886" xr:uid="{01669AE1-1DF4-44B5-891D-6B7A0F88CBAF}"/>
    <cellStyle name="Normal 2 2 2 2 2 2 2 2 2 2 2 2 2 2 2 2 2 2 2 2 2 2 2 2 2 2 2 2 2 2 2 2 2 6" xfId="7887" xr:uid="{7F9D499E-9326-4309-BB66-8254A8CA0DAB}"/>
    <cellStyle name="Normal 2 2 2 2 2 2 2 2 2 2 2 2 2 2 2 2 2 2 2 2 2 2 2 2 2 2 2 2 2 2 2 2 2 6 2" xfId="7888" xr:uid="{AA10E9F2-7D56-4A77-A58D-A468017F52AE}"/>
    <cellStyle name="Normal 2 2 2 2 2 2 2 2 2 2 2 2 2 2 2 2 2 2 2 2 2 2 2 2 2 2 2 2 2 2 2 2 2 6 3" xfId="7889" xr:uid="{C9281CD1-923F-4AD6-BD09-2D25D8CE7BDD}"/>
    <cellStyle name="Normal 2 2 2 2 2 2 2 2 2 2 2 2 2 2 2 2 2 2 2 2 2 2 2 2 2 2 2 2 2 2 2 2 2 6 4" xfId="7890" xr:uid="{9EF64452-60D1-4609-85D3-E6F5D46C4E70}"/>
    <cellStyle name="Normal 2 2 2 2 2 2 2 2 2 2 2 2 2 2 2 2 2 2 2 2 2 2 2 2 2 2 2 2 2 2 2 2 2 7" xfId="7891" xr:uid="{CA271B14-AAF1-4BC8-8161-391ECEB71399}"/>
    <cellStyle name="Normal 2 2 2 2 2 2 2 2 2 2 2 2 2 2 2 2 2 2 2 2 2 2 2 2 2 2 2 2 2 2 2 2 2 8" xfId="7892" xr:uid="{08629F7B-6582-4589-8349-882B0205BFF9}"/>
    <cellStyle name="Normal 2 2 2 2 2 2 2 2 2 2 2 2 2 2 2 2 2 2 2 2 2 2 2 2 2 2 2 2 2 2 2 2 20" xfId="7893" xr:uid="{A23EC538-2E0A-4FDA-B124-86AA5C1E9716}"/>
    <cellStyle name="Normal 2 2 2 2 2 2 2 2 2 2 2 2 2 2 2 2 2 2 2 2 2 2 2 2 2 2 2 2 2 2 2 2 21" xfId="7894" xr:uid="{2F242B37-DA82-457A-B2E2-AB3F07A6D90E}"/>
    <cellStyle name="Normal 2 2 2 2 2 2 2 2 2 2 2 2 2 2 2 2 2 2 2 2 2 2 2 2 2 2 2 2 2 2 2 2 22" xfId="7895" xr:uid="{B2B11D6E-B599-471D-9A0E-AA60EF75AB8F}"/>
    <cellStyle name="Normal 2 2 2 2 2 2 2 2 2 2 2 2 2 2 2 2 2 2 2 2 2 2 2 2 2 2 2 2 2 2 2 2 23" xfId="7896" xr:uid="{AC5B8D11-EECF-46B0-B59E-A02B01F7D601}"/>
    <cellStyle name="Normal 2 2 2 2 2 2 2 2 2 2 2 2 2 2 2 2 2 2 2 2 2 2 2 2 2 2 2 2 2 2 2 2 24" xfId="7897" xr:uid="{EAF0847C-F6DD-4A07-AA08-C24C9ABC6337}"/>
    <cellStyle name="Normal 2 2 2 2 2 2 2 2 2 2 2 2 2 2 2 2 2 2 2 2 2 2 2 2 2 2 2 2 2 2 2 2 25" xfId="7898" xr:uid="{DFE215DE-2F90-4667-B86C-3E36E0EF4236}"/>
    <cellStyle name="Normal 2 2 2 2 2 2 2 2 2 2 2 2 2 2 2 2 2 2 2 2 2 2 2 2 2 2 2 2 2 2 2 2 25 2" xfId="7899" xr:uid="{4C7D8629-4C36-4DE2-A56A-60DA3C5C0FFF}"/>
    <cellStyle name="Normal 2 2 2 2 2 2 2 2 2 2 2 2 2 2 2 2 2 2 2 2 2 2 2 2 2 2 2 2 2 2 2 2 25 3" xfId="7900" xr:uid="{38C4EE75-121C-43D6-AA42-0CAD56B91DE4}"/>
    <cellStyle name="Normal 2 2 2 2 2 2 2 2 2 2 2 2 2 2 2 2 2 2 2 2 2 2 2 2 2 2 2 2 2 2 2 2 25 4" xfId="7901" xr:uid="{382335DB-D9D3-47FE-AE05-87581BF2C6A4}"/>
    <cellStyle name="Normal 2 2 2 2 2 2 2 2 2 2 2 2 2 2 2 2 2 2 2 2 2 2 2 2 2 2 2 2 2 2 2 2 26" xfId="7902" xr:uid="{88EE41F0-12E3-49A2-9076-165C1900CBB6}"/>
    <cellStyle name="Normal 2 2 2 2 2 2 2 2 2 2 2 2 2 2 2 2 2 2 2 2 2 2 2 2 2 2 2 2 2 2 2 2 27" xfId="7903" xr:uid="{ED78ECD9-C2FD-4FE0-9A41-38667145E0FB}"/>
    <cellStyle name="Normal 2 2 2 2 2 2 2 2 2 2 2 2 2 2 2 2 2 2 2 2 2 2 2 2 2 2 2 2 2 2 2 2 3" xfId="7904" xr:uid="{43AD00E5-DA49-4763-AA23-DC24EB549880}"/>
    <cellStyle name="Normal 2 2 2 2 2 2 2 2 2 2 2 2 2 2 2 2 2 2 2 2 2 2 2 2 2 2 2 2 2 2 2 2 4" xfId="7905" xr:uid="{9AC3A635-3C4A-4083-9D72-73847084EE33}"/>
    <cellStyle name="Normal 2 2 2 2 2 2 2 2 2 2 2 2 2 2 2 2 2 2 2 2 2 2 2 2 2 2 2 2 2 2 2 2 5" xfId="7906" xr:uid="{BFB64805-1F72-4B3A-BEFB-6F2C37F36C3F}"/>
    <cellStyle name="Normal 2 2 2 2 2 2 2 2 2 2 2 2 2 2 2 2 2 2 2 2 2 2 2 2 2 2 2 2 2 2 2 2 6" xfId="7907" xr:uid="{13965094-ED22-4C02-9D20-CA99F95EAC31}"/>
    <cellStyle name="Normal 2 2 2 2 2 2 2 2 2 2 2 2 2 2 2 2 2 2 2 2 2 2 2 2 2 2 2 2 2 2 2 2 7" xfId="7908" xr:uid="{4CE1E491-05B0-4D6F-8B76-C87579755E41}"/>
    <cellStyle name="Normal 2 2 2 2 2 2 2 2 2 2 2 2 2 2 2 2 2 2 2 2 2 2 2 2 2 2 2 2 2 2 2 2 8" xfId="7909" xr:uid="{AAF80F4B-8655-4666-8248-5FEE8C16F4E3}"/>
    <cellStyle name="Normal 2 2 2 2 2 2 2 2 2 2 2 2 2 2 2 2 2 2 2 2 2 2 2 2 2 2 2 2 2 2 2 2 9" xfId="7910" xr:uid="{6EBF2D4A-EFB2-495B-A5E8-1E1C6FA75D12}"/>
    <cellStyle name="Normal 2 2 2 2 2 2 2 2 2 2 2 2 2 2 2 2 2 2 2 2 2 2 2 2 2 2 2 2 2 2 2 20" xfId="7911" xr:uid="{7E491C1D-3D75-4BD0-AF17-662AF735FEA2}"/>
    <cellStyle name="Normal 2 2 2 2 2 2 2 2 2 2 2 2 2 2 2 2 2 2 2 2 2 2 2 2 2 2 2 2 2 2 2 21" xfId="7912" xr:uid="{FB85695F-D6B1-4AB0-BADB-C961DDE92846}"/>
    <cellStyle name="Normal 2 2 2 2 2 2 2 2 2 2 2 2 2 2 2 2 2 2 2 2 2 2 2 2 2 2 2 2 2 2 2 22" xfId="7913" xr:uid="{5F2E2141-7B3F-4EBD-AD7F-4EAAEB1CF9C4}"/>
    <cellStyle name="Normal 2 2 2 2 2 2 2 2 2 2 2 2 2 2 2 2 2 2 2 2 2 2 2 2 2 2 2 2 2 2 2 23" xfId="7914" xr:uid="{58EF3115-6230-4874-A5EA-DF154A3AFE01}"/>
    <cellStyle name="Normal 2 2 2 2 2 2 2 2 2 2 2 2 2 2 2 2 2 2 2 2 2 2 2 2 2 2 2 2 2 2 2 24" xfId="7915" xr:uid="{635F753D-5A38-4899-9A4C-A43E645CB5DD}"/>
    <cellStyle name="Normal 2 2 2 2 2 2 2 2 2 2 2 2 2 2 2 2 2 2 2 2 2 2 2 2 2 2 2 2 2 2 2 25" xfId="7916" xr:uid="{83909216-A266-455B-942F-9A856D4860B9}"/>
    <cellStyle name="Normal 2 2 2 2 2 2 2 2 2 2 2 2 2 2 2 2 2 2 2 2 2 2 2 2 2 2 2 2 2 2 2 25 2" xfId="7917" xr:uid="{3A64D7F9-1E47-49DC-BACE-B7111E8AAE39}"/>
    <cellStyle name="Normal 2 2 2 2 2 2 2 2 2 2 2 2 2 2 2 2 2 2 2 2 2 2 2 2 2 2 2 2 2 2 2 25 3" xfId="7918" xr:uid="{93D2FF17-2517-4FFC-8096-0F7B8EEEFFCB}"/>
    <cellStyle name="Normal 2 2 2 2 2 2 2 2 2 2 2 2 2 2 2 2 2 2 2 2 2 2 2 2 2 2 2 2 2 2 2 25 4" xfId="7919" xr:uid="{E8F2C283-4885-411D-B474-181910E913EE}"/>
    <cellStyle name="Normal 2 2 2 2 2 2 2 2 2 2 2 2 2 2 2 2 2 2 2 2 2 2 2 2 2 2 2 2 2 2 2 26" xfId="7920" xr:uid="{AFBCC4F7-EEB6-4D08-A7DF-B205E4E6038D}"/>
    <cellStyle name="Normal 2 2 2 2 2 2 2 2 2 2 2 2 2 2 2 2 2 2 2 2 2 2 2 2 2 2 2 2 2 2 2 27" xfId="7921" xr:uid="{7A2BCB51-2264-412A-84E7-8D2E6C4A7F94}"/>
    <cellStyle name="Normal 2 2 2 2 2 2 2 2 2 2 2 2 2 2 2 2 2 2 2 2 2 2 2 2 2 2 2 2 2 2 2 3" xfId="7922" xr:uid="{10CEE314-B2AF-4CEC-93F2-79E45F3D9AE7}"/>
    <cellStyle name="Normal 2 2 2 2 2 2 2 2 2 2 2 2 2 2 2 2 2 2 2 2 2 2 2 2 2 2 2 2 2 2 2 4" xfId="7923" xr:uid="{E280C083-7E19-4845-AC21-C7BC21E12615}"/>
    <cellStyle name="Normal 2 2 2 2 2 2 2 2 2 2 2 2 2 2 2 2 2 2 2 2 2 2 2 2 2 2 2 2 2 2 2 5" xfId="7924" xr:uid="{7377DA6A-E926-4DBA-A2B3-BDD392E57D06}"/>
    <cellStyle name="Normal 2 2 2 2 2 2 2 2 2 2 2 2 2 2 2 2 2 2 2 2 2 2 2 2 2 2 2 2 2 2 2 6" xfId="7925" xr:uid="{3E149B0B-BAB2-4F20-8B4C-6FCB1EB6FADD}"/>
    <cellStyle name="Normal 2 2 2 2 2 2 2 2 2 2 2 2 2 2 2 2 2 2 2 2 2 2 2 2 2 2 2 2 2 2 2 7" xfId="7926" xr:uid="{1313D8B2-F25D-4B9A-812A-E9ACA2B303EC}"/>
    <cellStyle name="Normal 2 2 2 2 2 2 2 2 2 2 2 2 2 2 2 2 2 2 2 2 2 2 2 2 2 2 2 2 2 2 2 8" xfId="7927" xr:uid="{2D443E89-6837-48C5-8540-9B11FCDF9BFD}"/>
    <cellStyle name="Normal 2 2 2 2 2 2 2 2 2 2 2 2 2 2 2 2 2 2 2 2 2 2 2 2 2 2 2 2 2 2 2 9" xfId="7928" xr:uid="{F86F45B7-18E2-4832-A28A-371EDAEFB339}"/>
    <cellStyle name="Normal 2 2 2 2 2 2 2 2 2 2 2 2 2 2 2 2 2 2 2 2 2 2 2 2 2 2 2 2 2 2 20" xfId="7929" xr:uid="{3E142971-535E-48F0-BC5E-B632DAB63C86}"/>
    <cellStyle name="Normal 2 2 2 2 2 2 2 2 2 2 2 2 2 2 2 2 2 2 2 2 2 2 2 2 2 2 2 2 2 2 21" xfId="7930" xr:uid="{3D65F467-B2D8-4093-AA29-78195BCE42BD}"/>
    <cellStyle name="Normal 2 2 2 2 2 2 2 2 2 2 2 2 2 2 2 2 2 2 2 2 2 2 2 2 2 2 2 2 2 2 22" xfId="7931" xr:uid="{361C7ACC-DA06-4398-9399-175DBECC2D0D}"/>
    <cellStyle name="Normal 2 2 2 2 2 2 2 2 2 2 2 2 2 2 2 2 2 2 2 2 2 2 2 2 2 2 2 2 2 2 23" xfId="7932" xr:uid="{A80B518B-FE06-4D20-AAA7-32561567B79E}"/>
    <cellStyle name="Normal 2 2 2 2 2 2 2 2 2 2 2 2 2 2 2 2 2 2 2 2 2 2 2 2 2 2 2 2 2 2 24" xfId="7933" xr:uid="{B8A62BF7-A9CC-405D-BC48-CCCCA4ED33D7}"/>
    <cellStyle name="Normal 2 2 2 2 2 2 2 2 2 2 2 2 2 2 2 2 2 2 2 2 2 2 2 2 2 2 2 2 2 2 25" xfId="7934" xr:uid="{7A56FF60-67C0-4C50-8ACE-B2D826F847F0}"/>
    <cellStyle name="Normal 2 2 2 2 2 2 2 2 2 2 2 2 2 2 2 2 2 2 2 2 2 2 2 2 2 2 2 2 2 2 26" xfId="7935" xr:uid="{88AFDD2C-9262-493D-B4A3-F77FA9D49BAD}"/>
    <cellStyle name="Normal 2 2 2 2 2 2 2 2 2 2 2 2 2 2 2 2 2 2 2 2 2 2 2 2 2 2 2 2 2 2 27" xfId="7936" xr:uid="{6EF190D1-7EC6-4B81-8DFC-2DABAC91D96A}"/>
    <cellStyle name="Normal 2 2 2 2 2 2 2 2 2 2 2 2 2 2 2 2 2 2 2 2 2 2 2 2 2 2 2 2 2 2 28" xfId="7937" xr:uid="{83C4C992-B7E2-4B8F-8A8F-14A63AEDCDB9}"/>
    <cellStyle name="Normal 2 2 2 2 2 2 2 2 2 2 2 2 2 2 2 2 2 2 2 2 2 2 2 2 2 2 2 2 2 2 29" xfId="7938" xr:uid="{A56014B5-BB46-4637-BC92-706571C4104D}"/>
    <cellStyle name="Normal 2 2 2 2 2 2 2 2 2 2 2 2 2 2 2 2 2 2 2 2 2 2 2 2 2 2 2 2 2 2 3" xfId="7939" xr:uid="{08E55AD1-C36B-428F-B20B-B2E670C8B795}"/>
    <cellStyle name="Normal 2 2 2 2 2 2 2 2 2 2 2 2 2 2 2 2 2 2 2 2 2 2 2 2 2 2 2 2 2 2 30" xfId="7940" xr:uid="{8F99E20D-734A-488E-B450-3D44DBC1D173}"/>
    <cellStyle name="Normal 2 2 2 2 2 2 2 2 2 2 2 2 2 2 2 2 2 2 2 2 2 2 2 2 2 2 2 2 2 2 31" xfId="7941" xr:uid="{BD673986-791B-469A-942F-9E240A045033}"/>
    <cellStyle name="Normal 2 2 2 2 2 2 2 2 2 2 2 2 2 2 2 2 2 2 2 2 2 2 2 2 2 2 2 2 2 2 32" xfId="7942" xr:uid="{688AF6EE-F755-4BF2-A894-3145EDE12C45}"/>
    <cellStyle name="Normal 2 2 2 2 2 2 2 2 2 2 2 2 2 2 2 2 2 2 2 2 2 2 2 2 2 2 2 2 2 2 33" xfId="7943" xr:uid="{B72F591A-FB40-4515-8A98-6A584EE3A8DC}"/>
    <cellStyle name="Normal 2 2 2 2 2 2 2 2 2 2 2 2 2 2 2 2 2 2 2 2 2 2 2 2 2 2 2 2 2 2 34" xfId="7944" xr:uid="{A6489EF7-83AF-4BDC-933C-74CBFA796D44}"/>
    <cellStyle name="Normal 2 2 2 2 2 2 2 2 2 2 2 2 2 2 2 2 2 2 2 2 2 2 2 2 2 2 2 2 2 2 35" xfId="7945" xr:uid="{6CCD82FA-2B7A-4F6E-8397-F793FAB50703}"/>
    <cellStyle name="Normal 2 2 2 2 2 2 2 2 2 2 2 2 2 2 2 2 2 2 2 2 2 2 2 2 2 2 2 2 2 2 36" xfId="7946" xr:uid="{C2BE2A67-30F4-40DE-B9A1-49C6C3118558}"/>
    <cellStyle name="Normal 2 2 2 2 2 2 2 2 2 2 2 2 2 2 2 2 2 2 2 2 2 2 2 2 2 2 2 2 2 2 37" xfId="7947" xr:uid="{5D9EC522-4EE5-4172-B27F-8B3E1F8E92C7}"/>
    <cellStyle name="Normal 2 2 2 2 2 2 2 2 2 2 2 2 2 2 2 2 2 2 2 2 2 2 2 2 2 2 2 2 2 2 38" xfId="7948" xr:uid="{446CBFB1-AA97-4442-9CAC-A82969E7A017}"/>
    <cellStyle name="Normal 2 2 2 2 2 2 2 2 2 2 2 2 2 2 2 2 2 2 2 2 2 2 2 2 2 2 2 2 2 2 39" xfId="7949" xr:uid="{2BCE9DF4-566B-47EB-9540-C5CD391CB3C5}"/>
    <cellStyle name="Normal 2 2 2 2 2 2 2 2 2 2 2 2 2 2 2 2 2 2 2 2 2 2 2 2 2 2 2 2 2 2 4" xfId="7950" xr:uid="{373442B7-F62E-4584-9AB3-709AD16E7EB9}"/>
    <cellStyle name="Normal 2 2 2 2 2 2 2 2 2 2 2 2 2 2 2 2 2 2 2 2 2 2 2 2 2 2 2 2 2 2 40" xfId="7951" xr:uid="{E26115D3-E80D-4026-BD17-8623F059B650}"/>
    <cellStyle name="Normal 2 2 2 2 2 2 2 2 2 2 2 2 2 2 2 2 2 2 2 2 2 2 2 2 2 2 2 2 2 2 40 2" xfId="7952" xr:uid="{F8FF67EF-7A5A-4AAA-B145-0ECB61F8A37D}"/>
    <cellStyle name="Normal 2 2 2 2 2 2 2 2 2 2 2 2 2 2 2 2 2 2 2 2 2 2 2 2 2 2 2 2 2 2 40 3" xfId="7953" xr:uid="{2396D0D5-9A31-42B3-A352-6CE056E7BE4A}"/>
    <cellStyle name="Normal 2 2 2 2 2 2 2 2 2 2 2 2 2 2 2 2 2 2 2 2 2 2 2 2 2 2 2 2 2 2 40 4" xfId="7954" xr:uid="{2F12E10C-59E4-407A-BCA2-A9F5F2A99B81}"/>
    <cellStyle name="Normal 2 2 2 2 2 2 2 2 2 2 2 2 2 2 2 2 2 2 2 2 2 2 2 2 2 2 2 2 2 2 41" xfId="7955" xr:uid="{20BD9661-EB64-468E-9F91-F27A50A90374}"/>
    <cellStyle name="Normal 2 2 2 2 2 2 2 2 2 2 2 2 2 2 2 2 2 2 2 2 2 2 2 2 2 2 2 2 2 2 42" xfId="7956" xr:uid="{EDCAE181-6D6F-4D87-AFDB-2FF87F6A5E5A}"/>
    <cellStyle name="Normal 2 2 2 2 2 2 2 2 2 2 2 2 2 2 2 2 2 2 2 2 2 2 2 2 2 2 2 2 2 2 5" xfId="7957" xr:uid="{9A81448D-8BC3-48D6-BCE4-28853353746E}"/>
    <cellStyle name="Normal 2 2 2 2 2 2 2 2 2 2 2 2 2 2 2 2 2 2 2 2 2 2 2 2 2 2 2 2 2 2 6" xfId="7958" xr:uid="{D17CA342-3041-4F21-B440-7F11653EF2E1}"/>
    <cellStyle name="Normal 2 2 2 2 2 2 2 2 2 2 2 2 2 2 2 2 2 2 2 2 2 2 2 2 2 2 2 2 2 2 7" xfId="7959" xr:uid="{9C2DD1BE-837A-46DE-8A0A-4045D5168FEE}"/>
    <cellStyle name="Normal 2 2 2 2 2 2 2 2 2 2 2 2 2 2 2 2 2 2 2 2 2 2 2 2 2 2 2 2 2 2 8" xfId="7960" xr:uid="{169DB4A2-0A41-45DB-8555-2183EA91005F}"/>
    <cellStyle name="Normal 2 2 2 2 2 2 2 2 2 2 2 2 2 2 2 2 2 2 2 2 2 2 2 2 2 2 2 2 2 2 9" xfId="7961" xr:uid="{9348577D-603B-49BA-A584-E1C8481D273F}"/>
    <cellStyle name="Normal 2 2 2 2 2 2 2 2 2 2 2 2 2 2 2 2 2 2 2 2 2 2 2 2 2 2 2 2 2 20" xfId="7962" xr:uid="{77FEB347-3EAF-4A69-9120-71363F31811F}"/>
    <cellStyle name="Normal 2 2 2 2 2 2 2 2 2 2 2 2 2 2 2 2 2 2 2 2 2 2 2 2 2 2 2 2 2 21" xfId="7963" xr:uid="{46FA27EF-C0CA-48A0-AE9B-944EFAD07466}"/>
    <cellStyle name="Normal 2 2 2 2 2 2 2 2 2 2 2 2 2 2 2 2 2 2 2 2 2 2 2 2 2 2 2 2 2 22" xfId="7964" xr:uid="{6B6B2F70-B58D-411C-A6C3-3F45C63BB37B}"/>
    <cellStyle name="Normal 2 2 2 2 2 2 2 2 2 2 2 2 2 2 2 2 2 2 2 2 2 2 2 2 2 2 2 2 2 23" xfId="7965" xr:uid="{429EBADF-99C1-4081-88FB-127CC343B346}"/>
    <cellStyle name="Normal 2 2 2 2 2 2 2 2 2 2 2 2 2 2 2 2 2 2 2 2 2 2 2 2 2 2 2 2 2 24" xfId="7966" xr:uid="{40E1A111-580E-4AB3-BE38-A4B8A7F67982}"/>
    <cellStyle name="Normal 2 2 2 2 2 2 2 2 2 2 2 2 2 2 2 2 2 2 2 2 2 2 2 2 2 2 2 2 2 25" xfId="7967" xr:uid="{E3ABCC13-CA04-4CF7-A115-2272B98C32DA}"/>
    <cellStyle name="Normal 2 2 2 2 2 2 2 2 2 2 2 2 2 2 2 2 2 2 2 2 2 2 2 2 2 2 2 2 2 26" xfId="7968" xr:uid="{3CE68835-371E-4C79-9B7B-04F51931D122}"/>
    <cellStyle name="Normal 2 2 2 2 2 2 2 2 2 2 2 2 2 2 2 2 2 2 2 2 2 2 2 2 2 2 2 2 2 27" xfId="7969" xr:uid="{32CC630A-B871-46D4-BCE4-EBB4BE31A3C4}"/>
    <cellStyle name="Normal 2 2 2 2 2 2 2 2 2 2 2 2 2 2 2 2 2 2 2 2 2 2 2 2 2 2 2 2 2 28" xfId="7970" xr:uid="{7CACE86D-B67A-4313-A95F-57D9F4902AC9}"/>
    <cellStyle name="Normal 2 2 2 2 2 2 2 2 2 2 2 2 2 2 2 2 2 2 2 2 2 2 2 2 2 2 2 2 2 29" xfId="7971" xr:uid="{B300DEDB-1472-4AAD-BCFE-C9C7C9977523}"/>
    <cellStyle name="Normal 2 2 2 2 2 2 2 2 2 2 2 2 2 2 2 2 2 2 2 2 2 2 2 2 2 2 2 2 2 3" xfId="7972" xr:uid="{5BC30C6C-B0EE-4364-8C7C-289D38F3E30F}"/>
    <cellStyle name="Normal 2 2 2 2 2 2 2 2 2 2 2 2 2 2 2 2 2 2 2 2 2 2 2 2 2 2 2 2 2 30" xfId="7973" xr:uid="{22CA5EB0-80E1-426E-B0FD-0D5420A7F903}"/>
    <cellStyle name="Normal 2 2 2 2 2 2 2 2 2 2 2 2 2 2 2 2 2 2 2 2 2 2 2 2 2 2 2 2 2 31" xfId="7974" xr:uid="{C02A3329-5BA1-416E-A325-569D4674B9D1}"/>
    <cellStyle name="Normal 2 2 2 2 2 2 2 2 2 2 2 2 2 2 2 2 2 2 2 2 2 2 2 2 2 2 2 2 2 32" xfId="7975" xr:uid="{E2AC9314-967E-4D68-A79E-D42F1650CABB}"/>
    <cellStyle name="Normal 2 2 2 2 2 2 2 2 2 2 2 2 2 2 2 2 2 2 2 2 2 2 2 2 2 2 2 2 2 33" xfId="7976" xr:uid="{78218886-45B9-470A-B5A2-BAC3944DC8F8}"/>
    <cellStyle name="Normal 2 2 2 2 2 2 2 2 2 2 2 2 2 2 2 2 2 2 2 2 2 2 2 2 2 2 2 2 2 34" xfId="7977" xr:uid="{DF6AFD5A-EA0C-4FBF-A592-2911A01577C4}"/>
    <cellStyle name="Normal 2 2 2 2 2 2 2 2 2 2 2 2 2 2 2 2 2 2 2 2 2 2 2 2 2 2 2 2 2 35" xfId="7978" xr:uid="{F2406BDF-4261-4B4C-9870-7771A612C7C0}"/>
    <cellStyle name="Normal 2 2 2 2 2 2 2 2 2 2 2 2 2 2 2 2 2 2 2 2 2 2 2 2 2 2 2 2 2 36" xfId="7979" xr:uid="{1A80E84C-6A9E-404C-B61C-4D259692E177}"/>
    <cellStyle name="Normal 2 2 2 2 2 2 2 2 2 2 2 2 2 2 2 2 2 2 2 2 2 2 2 2 2 2 2 2 2 37" xfId="7980" xr:uid="{22712C4D-85E0-486C-B81B-EB17A09C9B12}"/>
    <cellStyle name="Normal 2 2 2 2 2 2 2 2 2 2 2 2 2 2 2 2 2 2 2 2 2 2 2 2 2 2 2 2 2 38" xfId="7981" xr:uid="{01B8E324-68F9-450B-81B2-430F9BEF0404}"/>
    <cellStyle name="Normal 2 2 2 2 2 2 2 2 2 2 2 2 2 2 2 2 2 2 2 2 2 2 2 2 2 2 2 2 2 39" xfId="7982" xr:uid="{65DE3C7A-524E-48B1-8F1D-08888196F0B4}"/>
    <cellStyle name="Normal 2 2 2 2 2 2 2 2 2 2 2 2 2 2 2 2 2 2 2 2 2 2 2 2 2 2 2 2 2 4" xfId="7983" xr:uid="{32192FA6-D859-4AB5-929C-7C9FAFB1E099}"/>
    <cellStyle name="Normal 2 2 2 2 2 2 2 2 2 2 2 2 2 2 2 2 2 2 2 2 2 2 2 2 2 2 2 2 2 40" xfId="7984" xr:uid="{35D6FA63-EFE8-4F7A-84D2-229A5538FEE1}"/>
    <cellStyle name="Normal 2 2 2 2 2 2 2 2 2 2 2 2 2 2 2 2 2 2 2 2 2 2 2 2 2 2 2 2 2 40 2" xfId="7985" xr:uid="{FA8852B0-FD1E-4438-89AE-87530E02C38B}"/>
    <cellStyle name="Normal 2 2 2 2 2 2 2 2 2 2 2 2 2 2 2 2 2 2 2 2 2 2 2 2 2 2 2 2 2 40 3" xfId="7986" xr:uid="{4DF1FF87-8BCE-435F-8513-9F3AA527F7A8}"/>
    <cellStyle name="Normal 2 2 2 2 2 2 2 2 2 2 2 2 2 2 2 2 2 2 2 2 2 2 2 2 2 2 2 2 2 40 4" xfId="7987" xr:uid="{4AAEE58F-38B8-4069-A793-55FADDB99EAD}"/>
    <cellStyle name="Normal 2 2 2 2 2 2 2 2 2 2 2 2 2 2 2 2 2 2 2 2 2 2 2 2 2 2 2 2 2 41" xfId="7988" xr:uid="{30B30214-4264-42CF-800D-8A092707FA80}"/>
    <cellStyle name="Normal 2 2 2 2 2 2 2 2 2 2 2 2 2 2 2 2 2 2 2 2 2 2 2 2 2 2 2 2 2 42" xfId="7989" xr:uid="{BA6ABB79-2C7C-42C5-89DE-B3A1740C3C25}"/>
    <cellStyle name="Normal 2 2 2 2 2 2 2 2 2 2 2 2 2 2 2 2 2 2 2 2 2 2 2 2 2 2 2 2 2 5" xfId="7990" xr:uid="{55554B69-AB4F-4ED8-8CA2-464C8BEDC755}"/>
    <cellStyle name="Normal 2 2 2 2 2 2 2 2 2 2 2 2 2 2 2 2 2 2 2 2 2 2 2 2 2 2 2 2 2 6" xfId="7991" xr:uid="{97DE7A0D-B919-40B5-B030-6DE1639BC292}"/>
    <cellStyle name="Normal 2 2 2 2 2 2 2 2 2 2 2 2 2 2 2 2 2 2 2 2 2 2 2 2 2 2 2 2 2 7" xfId="7992" xr:uid="{8756227C-CDC7-4106-BC81-595B52C96370}"/>
    <cellStyle name="Normal 2 2 2 2 2 2 2 2 2 2 2 2 2 2 2 2 2 2 2 2 2 2 2 2 2 2 2 2 2 8" xfId="7993" xr:uid="{C04320B3-BE57-41CC-BCA5-C3B0A0BED30E}"/>
    <cellStyle name="Normal 2 2 2 2 2 2 2 2 2 2 2 2 2 2 2 2 2 2 2 2 2 2 2 2 2 2 2 2 2 9" xfId="7994" xr:uid="{18C54897-21BB-4DA9-AB09-D3CE0A2A11C6}"/>
    <cellStyle name="Normal 2 2 2 2 2 2 2 2 2 2 2 2 2 2 2 2 2 2 2 2 2 2 2 2 2 2 2 2 20" xfId="7995" xr:uid="{0F3ABE49-3CE4-4096-9D40-878E8BD4EDE7}"/>
    <cellStyle name="Normal 2 2 2 2 2 2 2 2 2 2 2 2 2 2 2 2 2 2 2 2 2 2 2 2 2 2 2 2 21" xfId="7996" xr:uid="{8287FEE8-192D-49C7-B8C1-9A573F825E1A}"/>
    <cellStyle name="Normal 2 2 2 2 2 2 2 2 2 2 2 2 2 2 2 2 2 2 2 2 2 2 2 2 2 2 2 2 22" xfId="7997" xr:uid="{F9E0E3F1-94CF-4F5C-A0B8-821810B317CF}"/>
    <cellStyle name="Normal 2 2 2 2 2 2 2 2 2 2 2 2 2 2 2 2 2 2 2 2 2 2 2 2 2 2 2 2 23" xfId="7998" xr:uid="{5587C2B7-FB79-4553-9199-6C0137902367}"/>
    <cellStyle name="Normal 2 2 2 2 2 2 2 2 2 2 2 2 2 2 2 2 2 2 2 2 2 2 2 2 2 2 2 2 24" xfId="7999" xr:uid="{409E9E94-AE1F-4883-90D3-018A3E5B3E1A}"/>
    <cellStyle name="Normal 2 2 2 2 2 2 2 2 2 2 2 2 2 2 2 2 2 2 2 2 2 2 2 2 2 2 2 2 25" xfId="8000" xr:uid="{6B7ECDE5-D597-4FD0-B457-F8A4B65FDD9C}"/>
    <cellStyle name="Normal 2 2 2 2 2 2 2 2 2 2 2 2 2 2 2 2 2 2 2 2 2 2 2 2 2 2 2 2 26" xfId="8001" xr:uid="{63DCC90E-A2BE-4682-ABC5-FC74F07C8707}"/>
    <cellStyle name="Normal 2 2 2 2 2 2 2 2 2 2 2 2 2 2 2 2 2 2 2 2 2 2 2 2 2 2 2 2 27" xfId="8002" xr:uid="{E91A5764-F6DD-4727-855C-6EAD99095EBE}"/>
    <cellStyle name="Normal 2 2 2 2 2 2 2 2 2 2 2 2 2 2 2 2 2 2 2 2 2 2 2 2 2 2 2 2 28" xfId="8003" xr:uid="{957198AA-50C6-4C8C-9601-A8F8EB01A8A5}"/>
    <cellStyle name="Normal 2 2 2 2 2 2 2 2 2 2 2 2 2 2 2 2 2 2 2 2 2 2 2 2 2 2 2 2 29" xfId="8004" xr:uid="{67E753EC-828B-4551-85DC-B2DE79D1C051}"/>
    <cellStyle name="Normal 2 2 2 2 2 2 2 2 2 2 2 2 2 2 2 2 2 2 2 2 2 2 2 2 2 2 2 2 3" xfId="8005" xr:uid="{E0BA9142-2D35-45D7-BB76-CE2378BEF8BC}"/>
    <cellStyle name="Normal 2 2 2 2 2 2 2 2 2 2 2 2 2 2 2 2 2 2 2 2 2 2 2 2 2 2 2 2 30" xfId="8006" xr:uid="{94CDEF0A-4D37-43C4-B93E-3B9E13C52733}"/>
    <cellStyle name="Normal 2 2 2 2 2 2 2 2 2 2 2 2 2 2 2 2 2 2 2 2 2 2 2 2 2 2 2 2 31" xfId="8007" xr:uid="{36EB3F8B-CBB2-4109-9C8F-A6C39F41CB2F}"/>
    <cellStyle name="Normal 2 2 2 2 2 2 2 2 2 2 2 2 2 2 2 2 2 2 2 2 2 2 2 2 2 2 2 2 32" xfId="8008" xr:uid="{9C8F574D-458E-45F8-BA0B-7A5116EEC9A6}"/>
    <cellStyle name="Normal 2 2 2 2 2 2 2 2 2 2 2 2 2 2 2 2 2 2 2 2 2 2 2 2 2 2 2 2 33" xfId="8009" xr:uid="{16072E36-F99B-4848-9EBE-460D98EAFC59}"/>
    <cellStyle name="Normal 2 2 2 2 2 2 2 2 2 2 2 2 2 2 2 2 2 2 2 2 2 2 2 2 2 2 2 2 34" xfId="8010" xr:uid="{DF739B1A-DB18-48F6-8BA7-07EBCC7B0584}"/>
    <cellStyle name="Normal 2 2 2 2 2 2 2 2 2 2 2 2 2 2 2 2 2 2 2 2 2 2 2 2 2 2 2 2 35" xfId="8011" xr:uid="{28A0BDCA-ACED-4B9D-A4FB-86E67A818679}"/>
    <cellStyle name="Normal 2 2 2 2 2 2 2 2 2 2 2 2 2 2 2 2 2 2 2 2 2 2 2 2 2 2 2 2 36" xfId="8012" xr:uid="{FA237AC2-C95B-4727-9801-7A094A974F08}"/>
    <cellStyle name="Normal 2 2 2 2 2 2 2 2 2 2 2 2 2 2 2 2 2 2 2 2 2 2 2 2 2 2 2 2 37" xfId="8013" xr:uid="{540E6216-DE0D-45E7-893B-226B69C1BBDD}"/>
    <cellStyle name="Normal 2 2 2 2 2 2 2 2 2 2 2 2 2 2 2 2 2 2 2 2 2 2 2 2 2 2 2 2 38" xfId="8014" xr:uid="{9B54FEFE-58C7-4FCD-9CB2-3CECDA04C6C6}"/>
    <cellStyle name="Normal 2 2 2 2 2 2 2 2 2 2 2 2 2 2 2 2 2 2 2 2 2 2 2 2 2 2 2 2 39" xfId="8015" xr:uid="{1DAA7786-A87E-41DC-B0D9-9CB7F54B62E3}"/>
    <cellStyle name="Normal 2 2 2 2 2 2 2 2 2 2 2 2 2 2 2 2 2 2 2 2 2 2 2 2 2 2 2 2 4" xfId="8016" xr:uid="{F0539055-CAD9-4938-A66F-A9A50CC0867B}"/>
    <cellStyle name="Normal 2 2 2 2 2 2 2 2 2 2 2 2 2 2 2 2 2 2 2 2 2 2 2 2 2 2 2 2 40" xfId="8017" xr:uid="{18CD8618-5657-4886-A458-2D57F1096907}"/>
    <cellStyle name="Normal 2 2 2 2 2 2 2 2 2 2 2 2 2 2 2 2 2 2 2 2 2 2 2 2 2 2 2 2 41" xfId="8018" xr:uid="{7E854EBC-411E-4B5D-8798-87CD40730729}"/>
    <cellStyle name="Normal 2 2 2 2 2 2 2 2 2 2 2 2 2 2 2 2 2 2 2 2 2 2 2 2 2 2 2 2 42" xfId="8019" xr:uid="{9B979369-C56B-4274-9C61-1FD3A3FB7911}"/>
    <cellStyle name="Normal 2 2 2 2 2 2 2 2 2 2 2 2 2 2 2 2 2 2 2 2 2 2 2 2 2 2 2 2 43" xfId="8020" xr:uid="{241A6720-A74F-434B-952F-12DE920E79C2}"/>
    <cellStyle name="Normal 2 2 2 2 2 2 2 2 2 2 2 2 2 2 2 2 2 2 2 2 2 2 2 2 2 2 2 2 43 2" xfId="8021" xr:uid="{6CB65885-C65B-478F-828A-6290D2847A07}"/>
    <cellStyle name="Normal 2 2 2 2 2 2 2 2 2 2 2 2 2 2 2 2 2 2 2 2 2 2 2 2 2 2 2 2 43 3" xfId="8022" xr:uid="{B0D36FBA-373A-4662-9B9B-FD87BD5CCA21}"/>
    <cellStyle name="Normal 2 2 2 2 2 2 2 2 2 2 2 2 2 2 2 2 2 2 2 2 2 2 2 2 2 2 2 2 43 4" xfId="8023" xr:uid="{3A4D43C3-711B-4DFE-9FB6-997F16DA9735}"/>
    <cellStyle name="Normal 2 2 2 2 2 2 2 2 2 2 2 2 2 2 2 2 2 2 2 2 2 2 2 2 2 2 2 2 44" xfId="8024" xr:uid="{055EB8D9-3DDB-43FC-A6F6-260B04061DCF}"/>
    <cellStyle name="Normal 2 2 2 2 2 2 2 2 2 2 2 2 2 2 2 2 2 2 2 2 2 2 2 2 2 2 2 2 45" xfId="8025" xr:uid="{9324A1C3-C361-4D67-BACC-3E2F79B7EEA8}"/>
    <cellStyle name="Normal 2 2 2 2 2 2 2 2 2 2 2 2 2 2 2 2 2 2 2 2 2 2 2 2 2 2 2 2 5" xfId="8026" xr:uid="{BD35267C-8C88-4C67-B387-896015190050}"/>
    <cellStyle name="Normal 2 2 2 2 2 2 2 2 2 2 2 2 2 2 2 2 2 2 2 2 2 2 2 2 2 2 2 2 6" xfId="8027" xr:uid="{1C5C8A80-FF09-4721-AEE3-CE0DD6449E1A}"/>
    <cellStyle name="Normal 2 2 2 2 2 2 2 2 2 2 2 2 2 2 2 2 2 2 2 2 2 2 2 2 2 2 2 2 7" xfId="8028" xr:uid="{A205CB4E-DB7D-4211-81D9-C4B48B050B75}"/>
    <cellStyle name="Normal 2 2 2 2 2 2 2 2 2 2 2 2 2 2 2 2 2 2 2 2 2 2 2 2 2 2 2 2 8" xfId="8029" xr:uid="{2A02420E-3782-4C7C-9DED-5140E9D7EC93}"/>
    <cellStyle name="Normal 2 2 2 2 2 2 2 2 2 2 2 2 2 2 2 2 2 2 2 2 2 2 2 2 2 2 2 2 9" xfId="8030" xr:uid="{AEC7249B-FA26-4C4C-B8E3-251DDD9A76BA}"/>
    <cellStyle name="Normal 2 2 2 2 2 2 2 2 2 2 2 2 2 2 2 2 2 2 2 2 2 2 2 2 2 2 2 20" xfId="8031" xr:uid="{66F52F55-2CE3-42F1-B7BD-57B4187DFFB6}"/>
    <cellStyle name="Normal 2 2 2 2 2 2 2 2 2 2 2 2 2 2 2 2 2 2 2 2 2 2 2 2 2 2 2 21" xfId="8032" xr:uid="{5D831EDE-5734-4D5B-97B4-F7D0AB574C93}"/>
    <cellStyle name="Normal 2 2 2 2 2 2 2 2 2 2 2 2 2 2 2 2 2 2 2 2 2 2 2 2 2 2 2 22" xfId="8033" xr:uid="{418366A9-719D-40DC-9BDF-1387A6B10DB1}"/>
    <cellStyle name="Normal 2 2 2 2 2 2 2 2 2 2 2 2 2 2 2 2 2 2 2 2 2 2 2 2 2 2 2 23" xfId="8034" xr:uid="{5431A3FF-26D3-45F0-8CC1-C5864F7878D0}"/>
    <cellStyle name="Normal 2 2 2 2 2 2 2 2 2 2 2 2 2 2 2 2 2 2 2 2 2 2 2 2 2 2 2 24" xfId="8035" xr:uid="{949F9098-A096-4250-BF82-0155F36C9B1F}"/>
    <cellStyle name="Normal 2 2 2 2 2 2 2 2 2 2 2 2 2 2 2 2 2 2 2 2 2 2 2 2 2 2 2 25" xfId="8036" xr:uid="{C1045AAF-BA5B-4DB6-A3D4-FEE391DCC266}"/>
    <cellStyle name="Normal 2 2 2 2 2 2 2 2 2 2 2 2 2 2 2 2 2 2 2 2 2 2 2 2 2 2 2 26" xfId="8037" xr:uid="{5F8D1DFE-CBBD-4133-AD26-505C74A52F25}"/>
    <cellStyle name="Normal 2 2 2 2 2 2 2 2 2 2 2 2 2 2 2 2 2 2 2 2 2 2 2 2 2 2 2 27" xfId="8038" xr:uid="{A43FD793-4010-4DD8-8CD9-71C7BC5CA212}"/>
    <cellStyle name="Normal 2 2 2 2 2 2 2 2 2 2 2 2 2 2 2 2 2 2 2 2 2 2 2 2 2 2 2 28" xfId="8039" xr:uid="{1F10532B-629A-474F-A962-16F609DD6C0F}"/>
    <cellStyle name="Normal 2 2 2 2 2 2 2 2 2 2 2 2 2 2 2 2 2 2 2 2 2 2 2 2 2 2 2 29" xfId="8040" xr:uid="{FC662186-BB84-4233-AEB2-A7FE6BCAB663}"/>
    <cellStyle name="Normal 2 2 2 2 2 2 2 2 2 2 2 2 2 2 2 2 2 2 2 2 2 2 2 2 2 2 2 3" xfId="8041" xr:uid="{AD16C576-050E-44FA-A44B-FD75D4137694}"/>
    <cellStyle name="Normal 2 2 2 2 2 2 2 2 2 2 2 2 2 2 2 2 2 2 2 2 2 2 2 2 2 2 2 30" xfId="8042" xr:uid="{2D76AB19-FE22-46B5-BC04-7DDBC1240403}"/>
    <cellStyle name="Normal 2 2 2 2 2 2 2 2 2 2 2 2 2 2 2 2 2 2 2 2 2 2 2 2 2 2 2 31" xfId="8043" xr:uid="{6514C9E9-F467-4620-B1EA-75B6F5819887}"/>
    <cellStyle name="Normal 2 2 2 2 2 2 2 2 2 2 2 2 2 2 2 2 2 2 2 2 2 2 2 2 2 2 2 32" xfId="8044" xr:uid="{1070F98D-D46C-42DC-AD9F-1EA0C0872229}"/>
    <cellStyle name="Normal 2 2 2 2 2 2 2 2 2 2 2 2 2 2 2 2 2 2 2 2 2 2 2 2 2 2 2 33" xfId="8045" xr:uid="{801F0960-43BD-42E8-8829-1127A2C14983}"/>
    <cellStyle name="Normal 2 2 2 2 2 2 2 2 2 2 2 2 2 2 2 2 2 2 2 2 2 2 2 2 2 2 2 34" xfId="8046" xr:uid="{92E50EC8-49BD-4C24-9969-6FFC3A25E1D9}"/>
    <cellStyle name="Normal 2 2 2 2 2 2 2 2 2 2 2 2 2 2 2 2 2 2 2 2 2 2 2 2 2 2 2 35" xfId="8047" xr:uid="{6948118B-D357-49B3-850A-304693B0E8A8}"/>
    <cellStyle name="Normal 2 2 2 2 2 2 2 2 2 2 2 2 2 2 2 2 2 2 2 2 2 2 2 2 2 2 2 36" xfId="8048" xr:uid="{245C5594-47A3-43C5-A05A-CC0D604B00C9}"/>
    <cellStyle name="Normal 2 2 2 2 2 2 2 2 2 2 2 2 2 2 2 2 2 2 2 2 2 2 2 2 2 2 2 37" xfId="8049" xr:uid="{B08F2653-7B88-406F-8B2B-C80A4972106D}"/>
    <cellStyle name="Normal 2 2 2 2 2 2 2 2 2 2 2 2 2 2 2 2 2 2 2 2 2 2 2 2 2 2 2 38" xfId="8050" xr:uid="{E9A440B0-759B-49E0-B673-D21AFCAD3177}"/>
    <cellStyle name="Normal 2 2 2 2 2 2 2 2 2 2 2 2 2 2 2 2 2 2 2 2 2 2 2 2 2 2 2 39" xfId="8051" xr:uid="{FDFF7822-6BDB-4A76-8BF0-27256300E8E4}"/>
    <cellStyle name="Normal 2 2 2 2 2 2 2 2 2 2 2 2 2 2 2 2 2 2 2 2 2 2 2 2 2 2 2 4" xfId="8052" xr:uid="{B2BC9570-8EF5-4984-907B-3DB48E6F2034}"/>
    <cellStyle name="Normal 2 2 2 2 2 2 2 2 2 2 2 2 2 2 2 2 2 2 2 2 2 2 2 2 2 2 2 40" xfId="8053" xr:uid="{0344106A-0302-41FF-862D-DD222407675A}"/>
    <cellStyle name="Normal 2 2 2 2 2 2 2 2 2 2 2 2 2 2 2 2 2 2 2 2 2 2 2 2 2 2 2 41" xfId="8054" xr:uid="{2DF8FEDB-8170-4CEB-B0EC-3BB2BB12179A}"/>
    <cellStyle name="Normal 2 2 2 2 2 2 2 2 2 2 2 2 2 2 2 2 2 2 2 2 2 2 2 2 2 2 2 42" xfId="8055" xr:uid="{19474BE5-CDEA-44FC-8A1B-66144AFD6023}"/>
    <cellStyle name="Normal 2 2 2 2 2 2 2 2 2 2 2 2 2 2 2 2 2 2 2 2 2 2 2 2 2 2 2 43" xfId="8056" xr:uid="{68BCCF6C-5C40-49FA-98C2-D1B9AA3CB11C}"/>
    <cellStyle name="Normal 2 2 2 2 2 2 2 2 2 2 2 2 2 2 2 2 2 2 2 2 2 2 2 2 2 2 2 43 2" xfId="8057" xr:uid="{09C7EE28-E540-474C-BAB0-D4878BB3C356}"/>
    <cellStyle name="Normal 2 2 2 2 2 2 2 2 2 2 2 2 2 2 2 2 2 2 2 2 2 2 2 2 2 2 2 43 3" xfId="8058" xr:uid="{7EBA444A-7469-42D6-9830-C7CA08004D4A}"/>
    <cellStyle name="Normal 2 2 2 2 2 2 2 2 2 2 2 2 2 2 2 2 2 2 2 2 2 2 2 2 2 2 2 43 4" xfId="8059" xr:uid="{19BF149A-A9FC-412E-94BD-BE1154AD6DDA}"/>
    <cellStyle name="Normal 2 2 2 2 2 2 2 2 2 2 2 2 2 2 2 2 2 2 2 2 2 2 2 2 2 2 2 44" xfId="8060" xr:uid="{A1FF56B3-AAA6-4020-ABCC-FD7A486778F6}"/>
    <cellStyle name="Normal 2 2 2 2 2 2 2 2 2 2 2 2 2 2 2 2 2 2 2 2 2 2 2 2 2 2 2 45" xfId="8061" xr:uid="{A19ECA49-D7B5-48DC-B522-05A82DEB07AD}"/>
    <cellStyle name="Normal 2 2 2 2 2 2 2 2 2 2 2 2 2 2 2 2 2 2 2 2 2 2 2 2 2 2 2 5" xfId="8062" xr:uid="{52EF1688-2E71-4A65-A8A8-CA4A35FBD88C}"/>
    <cellStyle name="Normal 2 2 2 2 2 2 2 2 2 2 2 2 2 2 2 2 2 2 2 2 2 2 2 2 2 2 2 6" xfId="8063" xr:uid="{505FC33D-C282-4C88-80AA-B31CDAB9B0FA}"/>
    <cellStyle name="Normal 2 2 2 2 2 2 2 2 2 2 2 2 2 2 2 2 2 2 2 2 2 2 2 2 2 2 2 7" xfId="8064" xr:uid="{EC5D89F0-7E9C-48DC-9B12-D2BFA0C91F83}"/>
    <cellStyle name="Normal 2 2 2 2 2 2 2 2 2 2 2 2 2 2 2 2 2 2 2 2 2 2 2 2 2 2 2 8" xfId="8065" xr:uid="{26F9D552-C6B2-403B-A8AF-23D0D7E4B85F}"/>
    <cellStyle name="Normal 2 2 2 2 2 2 2 2 2 2 2 2 2 2 2 2 2 2 2 2 2 2 2 2 2 2 2 9" xfId="8066" xr:uid="{7B469E45-0BB9-4D1B-A99A-0023DEE22507}"/>
    <cellStyle name="Normal 2 2 2 2 2 2 2 2 2 2 2 2 2 2 2 2 2 2 2 2 2 2 2 2 2 2 20" xfId="8067" xr:uid="{7E0E6E9B-6B98-4C7B-ADB0-B5B5B799458E}"/>
    <cellStyle name="Normal 2 2 2 2 2 2 2 2 2 2 2 2 2 2 2 2 2 2 2 2 2 2 2 2 2 2 21" xfId="8068" xr:uid="{3622BB80-B5FC-4D55-9D59-179B762DF5F9}"/>
    <cellStyle name="Normal 2 2 2 2 2 2 2 2 2 2 2 2 2 2 2 2 2 2 2 2 2 2 2 2 2 2 22" xfId="8069" xr:uid="{0C2D9591-1F80-4677-B3EC-5F89EE1590D0}"/>
    <cellStyle name="Normal 2 2 2 2 2 2 2 2 2 2 2 2 2 2 2 2 2 2 2 2 2 2 2 2 2 2 23" xfId="8070" xr:uid="{AAEC1B01-C950-4FFC-8522-6366832131B6}"/>
    <cellStyle name="Normal 2 2 2 2 2 2 2 2 2 2 2 2 2 2 2 2 2 2 2 2 2 2 2 2 2 2 24" xfId="8071" xr:uid="{BA34A2BF-DA37-41B0-B1AC-8500860D506A}"/>
    <cellStyle name="Normal 2 2 2 2 2 2 2 2 2 2 2 2 2 2 2 2 2 2 2 2 2 2 2 2 2 2 25" xfId="8072" xr:uid="{A8A67FC9-DF05-4D02-BF47-CC1E9F1C0E8F}"/>
    <cellStyle name="Normal 2 2 2 2 2 2 2 2 2 2 2 2 2 2 2 2 2 2 2 2 2 2 2 2 2 2 26" xfId="8073" xr:uid="{F0C83AE6-4DEB-48F8-8770-636AA8FD5CDD}"/>
    <cellStyle name="Normal 2 2 2 2 2 2 2 2 2 2 2 2 2 2 2 2 2 2 2 2 2 2 2 2 2 2 27" xfId="8074" xr:uid="{44C704BF-4A12-4E09-9FEE-85570520C41E}"/>
    <cellStyle name="Normal 2 2 2 2 2 2 2 2 2 2 2 2 2 2 2 2 2 2 2 2 2 2 2 2 2 2 28" xfId="8075" xr:uid="{F6895E13-19B0-4590-A5C5-4A84AC276452}"/>
    <cellStyle name="Normal 2 2 2 2 2 2 2 2 2 2 2 2 2 2 2 2 2 2 2 2 2 2 2 2 2 2 29" xfId="8076" xr:uid="{593C8B58-2A8D-4AEA-B9FA-30F4AEAC93AD}"/>
    <cellStyle name="Normal 2 2 2 2 2 2 2 2 2 2 2 2 2 2 2 2 2 2 2 2 2 2 2 2 2 2 3" xfId="8077" xr:uid="{756A18FC-C5F9-4028-AB1B-89F761EA48A3}"/>
    <cellStyle name="Normal 2 2 2 2 2 2 2 2 2 2 2 2 2 2 2 2 2 2 2 2 2 2 2 2 2 2 30" xfId="8078" xr:uid="{54AB9B29-37F7-4B76-8944-7F997F2A4648}"/>
    <cellStyle name="Normal 2 2 2 2 2 2 2 2 2 2 2 2 2 2 2 2 2 2 2 2 2 2 2 2 2 2 31" xfId="8079" xr:uid="{27C98D10-F871-4777-BF9C-0EFCFF794F6D}"/>
    <cellStyle name="Normal 2 2 2 2 2 2 2 2 2 2 2 2 2 2 2 2 2 2 2 2 2 2 2 2 2 2 32" xfId="8080" xr:uid="{4C3CA9C2-47E2-450D-B8C6-0511AA86C958}"/>
    <cellStyle name="Normal 2 2 2 2 2 2 2 2 2 2 2 2 2 2 2 2 2 2 2 2 2 2 2 2 2 2 33" xfId="8081" xr:uid="{9B18E04C-5285-4B92-9380-2ECD600D771F}"/>
    <cellStyle name="Normal 2 2 2 2 2 2 2 2 2 2 2 2 2 2 2 2 2 2 2 2 2 2 2 2 2 2 34" xfId="8082" xr:uid="{0153835B-5707-4CDD-B4B6-C316B5B848CC}"/>
    <cellStyle name="Normal 2 2 2 2 2 2 2 2 2 2 2 2 2 2 2 2 2 2 2 2 2 2 2 2 2 2 35" xfId="8083" xr:uid="{07304CE3-4178-44C9-BFE0-3ECD136BAD30}"/>
    <cellStyle name="Normal 2 2 2 2 2 2 2 2 2 2 2 2 2 2 2 2 2 2 2 2 2 2 2 2 2 2 36" xfId="8084" xr:uid="{069CCEA3-985C-4D1A-A6B6-7A0B84E30A7E}"/>
    <cellStyle name="Normal 2 2 2 2 2 2 2 2 2 2 2 2 2 2 2 2 2 2 2 2 2 2 2 2 2 2 37" xfId="8085" xr:uid="{DA813A75-7793-407F-81C1-482A76172081}"/>
    <cellStyle name="Normal 2 2 2 2 2 2 2 2 2 2 2 2 2 2 2 2 2 2 2 2 2 2 2 2 2 2 38" xfId="8086" xr:uid="{7B352B4D-6CE0-4DE8-A871-FB78E9F21E49}"/>
    <cellStyle name="Normal 2 2 2 2 2 2 2 2 2 2 2 2 2 2 2 2 2 2 2 2 2 2 2 2 2 2 39" xfId="8087" xr:uid="{FF0F24A9-B7A9-4D41-8DF5-C2EB79F9E98A}"/>
    <cellStyle name="Normal 2 2 2 2 2 2 2 2 2 2 2 2 2 2 2 2 2 2 2 2 2 2 2 2 2 2 4" xfId="8088" xr:uid="{3A9ED551-E201-432D-B5AF-5D8B6D4F4F35}"/>
    <cellStyle name="Normal 2 2 2 2 2 2 2 2 2 2 2 2 2 2 2 2 2 2 2 2 2 2 2 2 2 2 40" xfId="8089" xr:uid="{812A74B6-4A33-4763-89AC-2F7FAFB03A2B}"/>
    <cellStyle name="Normal 2 2 2 2 2 2 2 2 2 2 2 2 2 2 2 2 2 2 2 2 2 2 2 2 2 2 41" xfId="8090" xr:uid="{7647A1F3-ECA6-4F49-85B6-80A434E7077A}"/>
    <cellStyle name="Normal 2 2 2 2 2 2 2 2 2 2 2 2 2 2 2 2 2 2 2 2 2 2 2 2 2 2 42" xfId="8091" xr:uid="{7951B2F6-C0D4-4DFF-B514-DDC66B30AE8A}"/>
    <cellStyle name="Normal 2 2 2 2 2 2 2 2 2 2 2 2 2 2 2 2 2 2 2 2 2 2 2 2 2 2 43" xfId="8092" xr:uid="{12C1DECF-A2F8-47A9-96F6-16D8B93507A8}"/>
    <cellStyle name="Normal 2 2 2 2 2 2 2 2 2 2 2 2 2 2 2 2 2 2 2 2 2 2 2 2 2 2 44" xfId="8093" xr:uid="{A504929D-83AB-47FF-A946-B64E122D4261}"/>
    <cellStyle name="Normal 2 2 2 2 2 2 2 2 2 2 2 2 2 2 2 2 2 2 2 2 2 2 2 2 2 2 45" xfId="8094" xr:uid="{B991DF25-E86C-46EA-81E2-9D278BE34D01}"/>
    <cellStyle name="Normal 2 2 2 2 2 2 2 2 2 2 2 2 2 2 2 2 2 2 2 2 2 2 2 2 2 2 46" xfId="8095" xr:uid="{4C6B80C3-7981-44E6-B083-D5208080F295}"/>
    <cellStyle name="Normal 2 2 2 2 2 2 2 2 2 2 2 2 2 2 2 2 2 2 2 2 2 2 2 2 2 2 47" xfId="8096" xr:uid="{D5FF8A66-D398-4225-84E0-7E599590C338}"/>
    <cellStyle name="Normal 2 2 2 2 2 2 2 2 2 2 2 2 2 2 2 2 2 2 2 2 2 2 2 2 2 2 48" xfId="8097" xr:uid="{912F6740-D634-41B9-AC04-CADA5D3BDA9D}"/>
    <cellStyle name="Normal 2 2 2 2 2 2 2 2 2 2 2 2 2 2 2 2 2 2 2 2 2 2 2 2 2 2 49" xfId="8098" xr:uid="{8C142894-BCE2-4224-A857-4790E85F44C4}"/>
    <cellStyle name="Normal 2 2 2 2 2 2 2 2 2 2 2 2 2 2 2 2 2 2 2 2 2 2 2 2 2 2 49 2" xfId="8099" xr:uid="{844E4495-6111-4180-8E28-E8351AA61FCF}"/>
    <cellStyle name="Normal 2 2 2 2 2 2 2 2 2 2 2 2 2 2 2 2 2 2 2 2 2 2 2 2 2 2 49 3" xfId="8100" xr:uid="{16B42AE1-9BD1-42C3-AF21-CB4FA65E31D7}"/>
    <cellStyle name="Normal 2 2 2 2 2 2 2 2 2 2 2 2 2 2 2 2 2 2 2 2 2 2 2 2 2 2 49 4" xfId="8101" xr:uid="{B79775ED-32DF-470A-8D4F-2E4AB78E43FB}"/>
    <cellStyle name="Normal 2 2 2 2 2 2 2 2 2 2 2 2 2 2 2 2 2 2 2 2 2 2 2 2 2 2 5" xfId="8102" xr:uid="{C245250E-BB06-4534-A8C7-C2B5D252812E}"/>
    <cellStyle name="Normal 2 2 2 2 2 2 2 2 2 2 2 2 2 2 2 2 2 2 2 2 2 2 2 2 2 2 50" xfId="8103" xr:uid="{AF521BAA-4BE1-4711-B994-5FBDD06E5FAE}"/>
    <cellStyle name="Normal 2 2 2 2 2 2 2 2 2 2 2 2 2 2 2 2 2 2 2 2 2 2 2 2 2 2 51" xfId="8104" xr:uid="{A6D6B103-DCC0-445D-A429-56DFFF0CE766}"/>
    <cellStyle name="Normal 2 2 2 2 2 2 2 2 2 2 2 2 2 2 2 2 2 2 2 2 2 2 2 2 2 2 6" xfId="8105" xr:uid="{3529C38B-B3F3-426A-9E21-A9CBBDC0BFE7}"/>
    <cellStyle name="Normal 2 2 2 2 2 2 2 2 2 2 2 2 2 2 2 2 2 2 2 2 2 2 2 2 2 2 7" xfId="8106" xr:uid="{46807434-8647-46BC-A091-47EA235F9CAC}"/>
    <cellStyle name="Normal 2 2 2 2 2 2 2 2 2 2 2 2 2 2 2 2 2 2 2 2 2 2 2 2 2 2 8" xfId="8107" xr:uid="{789F758E-E2F4-453C-B1F3-091FC6A722BC}"/>
    <cellStyle name="Normal 2 2 2 2 2 2 2 2 2 2 2 2 2 2 2 2 2 2 2 2 2 2 2 2 2 2 9" xfId="8108" xr:uid="{187F5D61-A1CD-4D51-A686-FC1AC02D7DF2}"/>
    <cellStyle name="Normal 2 2 2 2 2 2 2 2 2 2 2 2 2 2 2 2 2 2 2 2 2 2 2 2 2 20" xfId="8109" xr:uid="{3DEA804C-06C2-47BC-A196-F03B44129B12}"/>
    <cellStyle name="Normal 2 2 2 2 2 2 2 2 2 2 2 2 2 2 2 2 2 2 2 2 2 2 2 2 2 21" xfId="8110" xr:uid="{1742FF64-40F8-4476-8831-00D13408F586}"/>
    <cellStyle name="Normal 2 2 2 2 2 2 2 2 2 2 2 2 2 2 2 2 2 2 2 2 2 2 2 2 2 22" xfId="8111" xr:uid="{1C825FDB-F699-4A11-A3C9-E65E5E010641}"/>
    <cellStyle name="Normal 2 2 2 2 2 2 2 2 2 2 2 2 2 2 2 2 2 2 2 2 2 2 2 2 2 23" xfId="8112" xr:uid="{9ED4EA71-F570-4DAE-81D9-8076E9510658}"/>
    <cellStyle name="Normal 2 2 2 2 2 2 2 2 2 2 2 2 2 2 2 2 2 2 2 2 2 2 2 2 2 24" xfId="8113" xr:uid="{0BEB2D09-848E-4072-A6FF-45FD09B2E528}"/>
    <cellStyle name="Normal 2 2 2 2 2 2 2 2 2 2 2 2 2 2 2 2 2 2 2 2 2 2 2 2 2 25" xfId="8114" xr:uid="{34D38DB1-981A-4174-BAE3-4DD9D8BF5960}"/>
    <cellStyle name="Normal 2 2 2 2 2 2 2 2 2 2 2 2 2 2 2 2 2 2 2 2 2 2 2 2 2 26" xfId="8115" xr:uid="{10D42453-0339-4199-9D59-C44D0E075020}"/>
    <cellStyle name="Normal 2 2 2 2 2 2 2 2 2 2 2 2 2 2 2 2 2 2 2 2 2 2 2 2 2 27" xfId="8116" xr:uid="{8609BDA1-7BB9-4147-BF03-F47A2303DD0D}"/>
    <cellStyle name="Normal 2 2 2 2 2 2 2 2 2 2 2 2 2 2 2 2 2 2 2 2 2 2 2 2 2 28" xfId="8117" xr:uid="{ECBA4881-0B0A-4107-85AC-CA7C7F944894}"/>
    <cellStyle name="Normal 2 2 2 2 2 2 2 2 2 2 2 2 2 2 2 2 2 2 2 2 2 2 2 2 2 29" xfId="8118" xr:uid="{595C0432-41C1-42A2-A345-84EE7B9284DF}"/>
    <cellStyle name="Normal 2 2 2 2 2 2 2 2 2 2 2 2 2 2 2 2 2 2 2 2 2 2 2 2 2 3" xfId="8119" xr:uid="{478ED35D-0912-4C6E-B962-0CD446867619}"/>
    <cellStyle name="Normal 2 2 2 2 2 2 2 2 2 2 2 2 2 2 2 2 2 2 2 2 2 2 2 2 2 30" xfId="8120" xr:uid="{1BB85E95-4B62-4788-82E0-687BD4435F47}"/>
    <cellStyle name="Normal 2 2 2 2 2 2 2 2 2 2 2 2 2 2 2 2 2 2 2 2 2 2 2 2 2 31" xfId="8121" xr:uid="{BAC1E81E-D48B-4DED-AFC6-E8482AABC497}"/>
    <cellStyle name="Normal 2 2 2 2 2 2 2 2 2 2 2 2 2 2 2 2 2 2 2 2 2 2 2 2 2 32" xfId="8122" xr:uid="{3067F018-2045-42AB-8B7D-C28B27B0FE70}"/>
    <cellStyle name="Normal 2 2 2 2 2 2 2 2 2 2 2 2 2 2 2 2 2 2 2 2 2 2 2 2 2 33" xfId="8123" xr:uid="{94B642D1-B446-4787-B912-D423468D0E78}"/>
    <cellStyle name="Normal 2 2 2 2 2 2 2 2 2 2 2 2 2 2 2 2 2 2 2 2 2 2 2 2 2 34" xfId="8124" xr:uid="{7D6EE6F6-3C2B-49AE-B27C-B4E1FB97F181}"/>
    <cellStyle name="Normal 2 2 2 2 2 2 2 2 2 2 2 2 2 2 2 2 2 2 2 2 2 2 2 2 2 35" xfId="8125" xr:uid="{D61F31B4-CC59-48D4-BA05-FF194E4A05EF}"/>
    <cellStyle name="Normal 2 2 2 2 2 2 2 2 2 2 2 2 2 2 2 2 2 2 2 2 2 2 2 2 2 36" xfId="8126" xr:uid="{AE3F30C2-2603-403C-AFDA-B8F07ED35A2F}"/>
    <cellStyle name="Normal 2 2 2 2 2 2 2 2 2 2 2 2 2 2 2 2 2 2 2 2 2 2 2 2 2 37" xfId="8127" xr:uid="{3FE6FB9F-6AB9-4C2F-8947-CFB4CE80FB2E}"/>
    <cellStyle name="Normal 2 2 2 2 2 2 2 2 2 2 2 2 2 2 2 2 2 2 2 2 2 2 2 2 2 38" xfId="8128" xr:uid="{451625AD-7D7E-4FBD-9B5C-311113EDE0E0}"/>
    <cellStyle name="Normal 2 2 2 2 2 2 2 2 2 2 2 2 2 2 2 2 2 2 2 2 2 2 2 2 2 39" xfId="8129" xr:uid="{3CE2A38D-04EB-44A5-8F5B-7CB330B676AE}"/>
    <cellStyle name="Normal 2 2 2 2 2 2 2 2 2 2 2 2 2 2 2 2 2 2 2 2 2 2 2 2 2 4" xfId="8130" xr:uid="{88018F54-2CE2-48D7-8CAD-00EC597D281D}"/>
    <cellStyle name="Normal 2 2 2 2 2 2 2 2 2 2 2 2 2 2 2 2 2 2 2 2 2 2 2 2 2 40" xfId="8131" xr:uid="{32B96262-CC08-43FA-9009-8A90027F6F94}"/>
    <cellStyle name="Normal 2 2 2 2 2 2 2 2 2 2 2 2 2 2 2 2 2 2 2 2 2 2 2 2 2 41" xfId="8132" xr:uid="{B7AF32AE-A60A-4E1A-B93B-BDD74DE0A5C9}"/>
    <cellStyle name="Normal 2 2 2 2 2 2 2 2 2 2 2 2 2 2 2 2 2 2 2 2 2 2 2 2 2 42" xfId="8133" xr:uid="{29B203A0-9C05-4F9F-B7D4-B663E67902BA}"/>
    <cellStyle name="Normal 2 2 2 2 2 2 2 2 2 2 2 2 2 2 2 2 2 2 2 2 2 2 2 2 2 43" xfId="8134" xr:uid="{FB677B45-5749-4839-AB51-FBA284F45FB1}"/>
    <cellStyle name="Normal 2 2 2 2 2 2 2 2 2 2 2 2 2 2 2 2 2 2 2 2 2 2 2 2 2 44" xfId="8135" xr:uid="{E870EBD6-AAAF-4305-B7D8-11B2C1922AD8}"/>
    <cellStyle name="Normal 2 2 2 2 2 2 2 2 2 2 2 2 2 2 2 2 2 2 2 2 2 2 2 2 2 45" xfId="8136" xr:uid="{56B975B1-C5C7-47AE-8AB1-9549AA7AEDD5}"/>
    <cellStyle name="Normal 2 2 2 2 2 2 2 2 2 2 2 2 2 2 2 2 2 2 2 2 2 2 2 2 2 46" xfId="8137" xr:uid="{6A8D0006-D263-4A47-944C-7979358AA0C1}"/>
    <cellStyle name="Normal 2 2 2 2 2 2 2 2 2 2 2 2 2 2 2 2 2 2 2 2 2 2 2 2 2 47" xfId="8138" xr:uid="{F463A597-5F08-47F6-BB27-CF461E5510DD}"/>
    <cellStyle name="Normal 2 2 2 2 2 2 2 2 2 2 2 2 2 2 2 2 2 2 2 2 2 2 2 2 2 48" xfId="8139" xr:uid="{A24BA282-D17C-45BC-9C2E-1E0FAC9DDCBC}"/>
    <cellStyle name="Normal 2 2 2 2 2 2 2 2 2 2 2 2 2 2 2 2 2 2 2 2 2 2 2 2 2 49" xfId="8140" xr:uid="{29C5F153-8DF4-498E-AEF3-35B3741CC24F}"/>
    <cellStyle name="Normal 2 2 2 2 2 2 2 2 2 2 2 2 2 2 2 2 2 2 2 2 2 2 2 2 2 5" xfId="8141" xr:uid="{6434DD5E-DA06-431A-B332-69DE3A346884}"/>
    <cellStyle name="Normal 2 2 2 2 2 2 2 2 2 2 2 2 2 2 2 2 2 2 2 2 2 2 2 2 2 50" xfId="8142" xr:uid="{8D17FCDE-B677-4384-A424-0DB5C95FBF96}"/>
    <cellStyle name="Normal 2 2 2 2 2 2 2 2 2 2 2 2 2 2 2 2 2 2 2 2 2 2 2 2 2 50 2" xfId="8143" xr:uid="{6C0F1D96-E1D5-403F-A85A-4C2837FE24D7}"/>
    <cellStyle name="Normal 2 2 2 2 2 2 2 2 2 2 2 2 2 2 2 2 2 2 2 2 2 2 2 2 2 50 3" xfId="8144" xr:uid="{DE906AFC-660F-49A5-8237-9FEE56F38FE5}"/>
    <cellStyle name="Normal 2 2 2 2 2 2 2 2 2 2 2 2 2 2 2 2 2 2 2 2 2 2 2 2 2 50 4" xfId="8145" xr:uid="{1A980901-C569-4B34-8147-CDC037472D6E}"/>
    <cellStyle name="Normal 2 2 2 2 2 2 2 2 2 2 2 2 2 2 2 2 2 2 2 2 2 2 2 2 2 51" xfId="8146" xr:uid="{748252BB-0C1E-466D-9E7C-232BCEBCADEF}"/>
    <cellStyle name="Normal 2 2 2 2 2 2 2 2 2 2 2 2 2 2 2 2 2 2 2 2 2 2 2 2 2 52" xfId="8147" xr:uid="{883D4C87-6398-496F-81CA-C2E98F531FE9}"/>
    <cellStyle name="Normal 2 2 2 2 2 2 2 2 2 2 2 2 2 2 2 2 2 2 2 2 2 2 2 2 2 6" xfId="8148" xr:uid="{0393F208-7237-487F-8874-77CA2BF96F62}"/>
    <cellStyle name="Normal 2 2 2 2 2 2 2 2 2 2 2 2 2 2 2 2 2 2 2 2 2 2 2 2 2 7" xfId="8149" xr:uid="{26C72DE6-A174-4565-83AD-601E63FD0714}"/>
    <cellStyle name="Normal 2 2 2 2 2 2 2 2 2 2 2 2 2 2 2 2 2 2 2 2 2 2 2 2 2 8" xfId="8150" xr:uid="{E862FC7F-0DE6-423B-81ED-DB3C97EEA47A}"/>
    <cellStyle name="Normal 2 2 2 2 2 2 2 2 2 2 2 2 2 2 2 2 2 2 2 2 2 2 2 2 2 9" xfId="8151" xr:uid="{EA5D5056-7574-46AB-A4E5-F3409333F989}"/>
    <cellStyle name="Normal 2 2 2 2 2 2 2 2 2 2 2 2 2 2 2 2 2 2 2 2 2 2 2 2 20" xfId="8152" xr:uid="{B5BFB096-F3D6-46CD-B5C4-CC0BE4B9568B}"/>
    <cellStyle name="Normal 2 2 2 2 2 2 2 2 2 2 2 2 2 2 2 2 2 2 2 2 2 2 2 2 21" xfId="8153" xr:uid="{E6A7BDF7-7F55-4A77-9C0C-6901F2F10921}"/>
    <cellStyle name="Normal 2 2 2 2 2 2 2 2 2 2 2 2 2 2 2 2 2 2 2 2 2 2 2 2 22" xfId="8154" xr:uid="{25DFB273-1136-4B37-B37D-20E98FBEA4F1}"/>
    <cellStyle name="Normal 2 2 2 2 2 2 2 2 2 2 2 2 2 2 2 2 2 2 2 2 2 2 2 2 23" xfId="8155" xr:uid="{E3C3FE80-B967-4981-8947-FF51DD177FEC}"/>
    <cellStyle name="Normal 2 2 2 2 2 2 2 2 2 2 2 2 2 2 2 2 2 2 2 2 2 2 2 2 24" xfId="8156" xr:uid="{F661E3B6-9006-4A6E-B36C-49E16480D6FB}"/>
    <cellStyle name="Normal 2 2 2 2 2 2 2 2 2 2 2 2 2 2 2 2 2 2 2 2 2 2 2 2 25" xfId="8157" xr:uid="{6BA28595-B080-415D-BE7F-C756632159F6}"/>
    <cellStyle name="Normal 2 2 2 2 2 2 2 2 2 2 2 2 2 2 2 2 2 2 2 2 2 2 2 2 26" xfId="8158" xr:uid="{57DBB6B8-E90E-4DA2-93B8-C6DCF2A338D3}"/>
    <cellStyle name="Normal 2 2 2 2 2 2 2 2 2 2 2 2 2 2 2 2 2 2 2 2 2 2 2 2 27" xfId="8159" xr:uid="{EE0C3F32-B8BC-4F54-836F-49BE499A1222}"/>
    <cellStyle name="Normal 2 2 2 2 2 2 2 2 2 2 2 2 2 2 2 2 2 2 2 2 2 2 2 2 28" xfId="8160" xr:uid="{D08CA099-6B32-4D04-A43C-81948F49E621}"/>
    <cellStyle name="Normal 2 2 2 2 2 2 2 2 2 2 2 2 2 2 2 2 2 2 2 2 2 2 2 2 29" xfId="8161" xr:uid="{3FC1881C-9641-4AB5-A86F-FEEC8A364303}"/>
    <cellStyle name="Normal 2 2 2 2 2 2 2 2 2 2 2 2 2 2 2 2 2 2 2 2 2 2 2 2 3" xfId="8162" xr:uid="{B7EF5FF1-003D-439F-B509-356574F2074F}"/>
    <cellStyle name="Normal 2 2 2 2 2 2 2 2 2 2 2 2 2 2 2 2 2 2 2 2 2 2 2 2 30" xfId="8163" xr:uid="{7C4F1DB8-0885-4453-A9FA-F229D0BE5509}"/>
    <cellStyle name="Normal 2 2 2 2 2 2 2 2 2 2 2 2 2 2 2 2 2 2 2 2 2 2 2 2 31" xfId="8164" xr:uid="{19509F50-71B5-408C-9B07-077A31CB86C9}"/>
    <cellStyle name="Normal 2 2 2 2 2 2 2 2 2 2 2 2 2 2 2 2 2 2 2 2 2 2 2 2 32" xfId="8165" xr:uid="{8EA2F00B-5F5A-40B8-B6CE-9CCFC53B686F}"/>
    <cellStyle name="Normal 2 2 2 2 2 2 2 2 2 2 2 2 2 2 2 2 2 2 2 2 2 2 2 2 33" xfId="8166" xr:uid="{CD1C283A-E39D-4044-A3FF-23DFF5256CD6}"/>
    <cellStyle name="Normal 2 2 2 2 2 2 2 2 2 2 2 2 2 2 2 2 2 2 2 2 2 2 2 2 34" xfId="8167" xr:uid="{ED9B5349-9CA3-4184-9E24-14E69C2805EF}"/>
    <cellStyle name="Normal 2 2 2 2 2 2 2 2 2 2 2 2 2 2 2 2 2 2 2 2 2 2 2 2 35" xfId="8168" xr:uid="{DAF5E71E-515D-4B1F-AD1D-FA6846F05F52}"/>
    <cellStyle name="Normal 2 2 2 2 2 2 2 2 2 2 2 2 2 2 2 2 2 2 2 2 2 2 2 2 36" xfId="8169" xr:uid="{4DB03807-5D28-4ED3-BE27-952AEE203B7C}"/>
    <cellStyle name="Normal 2 2 2 2 2 2 2 2 2 2 2 2 2 2 2 2 2 2 2 2 2 2 2 2 37" xfId="8170" xr:uid="{666BC400-8F0C-48AA-940E-967A3BBBCACF}"/>
    <cellStyle name="Normal 2 2 2 2 2 2 2 2 2 2 2 2 2 2 2 2 2 2 2 2 2 2 2 2 38" xfId="8171" xr:uid="{6C1DC5F3-8AB3-4381-A494-296CA2D0964A}"/>
    <cellStyle name="Normal 2 2 2 2 2 2 2 2 2 2 2 2 2 2 2 2 2 2 2 2 2 2 2 2 39" xfId="8172" xr:uid="{416CE771-A801-4EB4-8447-7F35F520B313}"/>
    <cellStyle name="Normal 2 2 2 2 2 2 2 2 2 2 2 2 2 2 2 2 2 2 2 2 2 2 2 2 4" xfId="8173" xr:uid="{2FAF2A26-E272-48EB-B67A-12573BBE4472}"/>
    <cellStyle name="Normal 2 2 2 2 2 2 2 2 2 2 2 2 2 2 2 2 2 2 2 2 2 2 2 2 40" xfId="8174" xr:uid="{B3F0452D-08BA-4941-BBC1-5C0434CEB93F}"/>
    <cellStyle name="Normal 2 2 2 2 2 2 2 2 2 2 2 2 2 2 2 2 2 2 2 2 2 2 2 2 41" xfId="8175" xr:uid="{BD704172-F788-412E-BF78-9B79B0597E28}"/>
    <cellStyle name="Normal 2 2 2 2 2 2 2 2 2 2 2 2 2 2 2 2 2 2 2 2 2 2 2 2 42" xfId="8176" xr:uid="{1BE6CA11-4343-4A8E-AB2A-ADC90920697D}"/>
    <cellStyle name="Normal 2 2 2 2 2 2 2 2 2 2 2 2 2 2 2 2 2 2 2 2 2 2 2 2 43" xfId="8177" xr:uid="{5459F41A-1875-42E7-AC31-652236F7E3BC}"/>
    <cellStyle name="Normal 2 2 2 2 2 2 2 2 2 2 2 2 2 2 2 2 2 2 2 2 2 2 2 2 44" xfId="8178" xr:uid="{0C310D5B-BEF4-46E2-B1C9-E8C555E7C4B3}"/>
    <cellStyle name="Normal 2 2 2 2 2 2 2 2 2 2 2 2 2 2 2 2 2 2 2 2 2 2 2 2 45" xfId="8179" xr:uid="{B9D40A8B-363E-40CD-8306-FA70731AA020}"/>
    <cellStyle name="Normal 2 2 2 2 2 2 2 2 2 2 2 2 2 2 2 2 2 2 2 2 2 2 2 2 46" xfId="8180" xr:uid="{7D420F88-231F-4753-A410-7009B700ADA9}"/>
    <cellStyle name="Normal 2 2 2 2 2 2 2 2 2 2 2 2 2 2 2 2 2 2 2 2 2 2 2 2 47" xfId="8181" xr:uid="{A443226C-368F-44DE-9BA0-E92ACB8BAA30}"/>
    <cellStyle name="Normal 2 2 2 2 2 2 2 2 2 2 2 2 2 2 2 2 2 2 2 2 2 2 2 2 48" xfId="8182" xr:uid="{98ADBA83-B516-4C95-A5C3-270BBA0C2B2E}"/>
    <cellStyle name="Normal 2 2 2 2 2 2 2 2 2 2 2 2 2 2 2 2 2 2 2 2 2 2 2 2 49" xfId="8183" xr:uid="{4E9CC9CC-3680-4133-8C85-E4A6FA58C95A}"/>
    <cellStyle name="Normal 2 2 2 2 2 2 2 2 2 2 2 2 2 2 2 2 2 2 2 2 2 2 2 2 5" xfId="8184" xr:uid="{4E1D446E-E1F0-473A-9FAC-E13186CFC031}"/>
    <cellStyle name="Normal 2 2 2 2 2 2 2 2 2 2 2 2 2 2 2 2 2 2 2 2 2 2 2 2 50" xfId="8185" xr:uid="{9B5DED8E-4A04-4FF7-BB66-A5E18CE70143}"/>
    <cellStyle name="Normal 2 2 2 2 2 2 2 2 2 2 2 2 2 2 2 2 2 2 2 2 2 2 2 2 51" xfId="8186" xr:uid="{7F63DA1C-22B2-4AB9-BBEF-335C69D96CC8}"/>
    <cellStyle name="Normal 2 2 2 2 2 2 2 2 2 2 2 2 2 2 2 2 2 2 2 2 2 2 2 2 52" xfId="8187" xr:uid="{7C619D0E-FF34-4774-AF65-FF718426C29E}"/>
    <cellStyle name="Normal 2 2 2 2 2 2 2 2 2 2 2 2 2 2 2 2 2 2 2 2 2 2 2 2 53" xfId="8188" xr:uid="{C60A5FC2-3337-43D5-8084-0BB07E88D065}"/>
    <cellStyle name="Normal 2 2 2 2 2 2 2 2 2 2 2 2 2 2 2 2 2 2 2 2 2 2 2 2 54" xfId="8189" xr:uid="{2A9D4E04-F32D-41DA-9BDD-57F3543B42D3}"/>
    <cellStyle name="Normal 2 2 2 2 2 2 2 2 2 2 2 2 2 2 2 2 2 2 2 2 2 2 2 2 55" xfId="8190" xr:uid="{4D650F4F-C460-46F4-9A59-46277EBFA41D}"/>
    <cellStyle name="Normal 2 2 2 2 2 2 2 2 2 2 2 2 2 2 2 2 2 2 2 2 2 2 2 2 56" xfId="8191" xr:uid="{909A6721-45A0-4906-BB08-D439540F42CA}"/>
    <cellStyle name="Normal 2 2 2 2 2 2 2 2 2 2 2 2 2 2 2 2 2 2 2 2 2 2 2 2 57" xfId="8192" xr:uid="{3A5FAD0E-C6DE-4469-B4D1-6958A62404DD}"/>
    <cellStyle name="Normal 2 2 2 2 2 2 2 2 2 2 2 2 2 2 2 2 2 2 2 2 2 2 2 2 58" xfId="8193" xr:uid="{60BD8C27-3276-490E-A052-139213FADCFA}"/>
    <cellStyle name="Normal 2 2 2 2 2 2 2 2 2 2 2 2 2 2 2 2 2 2 2 2 2 2 2 2 59" xfId="8194" xr:uid="{7CAEF5A0-243C-4C31-B3CB-9366F99C2268}"/>
    <cellStyle name="Normal 2 2 2 2 2 2 2 2 2 2 2 2 2 2 2 2 2 2 2 2 2 2 2 2 6" xfId="8195" xr:uid="{79808777-E579-41B5-AA9D-1377F634DC8A}"/>
    <cellStyle name="Normal 2 2 2 2 2 2 2 2 2 2 2 2 2 2 2 2 2 2 2 2 2 2 2 2 60" xfId="8196" xr:uid="{E37AF469-21FC-46CB-AFE9-B6F2D1692E3D}"/>
    <cellStyle name="Normal 2 2 2 2 2 2 2 2 2 2 2 2 2 2 2 2 2 2 2 2 2 2 2 2 60 2" xfId="8197" xr:uid="{B1345966-F056-4985-AE16-4BC2BA6B87F1}"/>
    <cellStyle name="Normal 2 2 2 2 2 2 2 2 2 2 2 2 2 2 2 2 2 2 2 2 2 2 2 2 60 3" xfId="8198" xr:uid="{79256AB2-DEE7-45B1-B5BC-3EDF2AB024FC}"/>
    <cellStyle name="Normal 2 2 2 2 2 2 2 2 2 2 2 2 2 2 2 2 2 2 2 2 2 2 2 2 60 4" xfId="8199" xr:uid="{964148FC-6DA2-4CAF-B204-DDD49D2029E9}"/>
    <cellStyle name="Normal 2 2 2 2 2 2 2 2 2 2 2 2 2 2 2 2 2 2 2 2 2 2 2 2 61" xfId="8200" xr:uid="{149E87C2-72B1-4037-8E48-C628AED1E093}"/>
    <cellStyle name="Normal 2 2 2 2 2 2 2 2 2 2 2 2 2 2 2 2 2 2 2 2 2 2 2 2 62" xfId="8201" xr:uid="{2D071053-B01D-4AC6-A359-B5C2CE188A6B}"/>
    <cellStyle name="Normal 2 2 2 2 2 2 2 2 2 2 2 2 2 2 2 2 2 2 2 2 2 2 2 2 7" xfId="8202" xr:uid="{C43A8E06-E556-4881-A7E8-E617E1D3A693}"/>
    <cellStyle name="Normal 2 2 2 2 2 2 2 2 2 2 2 2 2 2 2 2 2 2 2 2 2 2 2 2 8" xfId="8203" xr:uid="{BE84E56C-9769-4F9D-9E32-FE8FFDC87D49}"/>
    <cellStyle name="Normal 2 2 2 2 2 2 2 2 2 2 2 2 2 2 2 2 2 2 2 2 2 2 2 2 9" xfId="8204" xr:uid="{2BAE466D-7B2D-4E64-9A13-C6727D9ED572}"/>
    <cellStyle name="Normal 2 2 2 2 2 2 2 2 2 2 2 2 2 2 2 2 2 2 2 2 2 2 2 20" xfId="8205" xr:uid="{7E81062D-A54A-4D85-B2A4-E2C72B4C59EA}"/>
    <cellStyle name="Normal 2 2 2 2 2 2 2 2 2 2 2 2 2 2 2 2 2 2 2 2 2 2 2 21" xfId="8206" xr:uid="{68436A49-DFD6-445D-970F-8910BF8D9C28}"/>
    <cellStyle name="Normal 2 2 2 2 2 2 2 2 2 2 2 2 2 2 2 2 2 2 2 2 2 2 2 22" xfId="8207" xr:uid="{57AA4D4A-C861-4E8F-BABE-2D76A6EB15C5}"/>
    <cellStyle name="Normal 2 2 2 2 2 2 2 2 2 2 2 2 2 2 2 2 2 2 2 2 2 2 2 23" xfId="8208" xr:uid="{094FF98D-89E9-4674-A697-8EF393372C04}"/>
    <cellStyle name="Normal 2 2 2 2 2 2 2 2 2 2 2 2 2 2 2 2 2 2 2 2 2 2 2 24" xfId="8209" xr:uid="{AE6F5C07-1089-44A7-B273-7596CC4F005A}"/>
    <cellStyle name="Normal 2 2 2 2 2 2 2 2 2 2 2 2 2 2 2 2 2 2 2 2 2 2 2 25" xfId="8210" xr:uid="{2016B248-1015-4531-A5A3-70E83595408F}"/>
    <cellStyle name="Normal 2 2 2 2 2 2 2 2 2 2 2 2 2 2 2 2 2 2 2 2 2 2 2 26" xfId="8211" xr:uid="{A2C5DEB1-69EB-4FEA-BA12-77E4F1BDB9BD}"/>
    <cellStyle name="Normal 2 2 2 2 2 2 2 2 2 2 2 2 2 2 2 2 2 2 2 2 2 2 2 27" xfId="8212" xr:uid="{BD346888-2D4B-4467-A60B-8AB33DE1D0F2}"/>
    <cellStyle name="Normal 2 2 2 2 2 2 2 2 2 2 2 2 2 2 2 2 2 2 2 2 2 2 2 28" xfId="8213" xr:uid="{258F48F5-66F9-4B12-8C92-33DC2D475B2F}"/>
    <cellStyle name="Normal 2 2 2 2 2 2 2 2 2 2 2 2 2 2 2 2 2 2 2 2 2 2 2 29" xfId="8214" xr:uid="{21591335-9A77-4698-AFB7-361D0EF825D0}"/>
    <cellStyle name="Normal 2 2 2 2 2 2 2 2 2 2 2 2 2 2 2 2 2 2 2 2 2 2 2 3" xfId="8215" xr:uid="{28A85D2B-CE3C-443C-96B6-66C5AE2DF889}"/>
    <cellStyle name="Normal 2 2 2 2 2 2 2 2 2 2 2 2 2 2 2 2 2 2 2 2 2 2 2 30" xfId="8216" xr:uid="{3959A29F-F958-4EA0-A68D-62E154D3FBA7}"/>
    <cellStyle name="Normal 2 2 2 2 2 2 2 2 2 2 2 2 2 2 2 2 2 2 2 2 2 2 2 31" xfId="8217" xr:uid="{2857FFA4-F741-4B34-8C93-375746A5B924}"/>
    <cellStyle name="Normal 2 2 2 2 2 2 2 2 2 2 2 2 2 2 2 2 2 2 2 2 2 2 2 32" xfId="8218" xr:uid="{157BD23C-87A3-4318-8205-6676D601E40D}"/>
    <cellStyle name="Normal 2 2 2 2 2 2 2 2 2 2 2 2 2 2 2 2 2 2 2 2 2 2 2 33" xfId="8219" xr:uid="{ECCFBDCE-786B-4E78-8A8A-52FA414B66D0}"/>
    <cellStyle name="Normal 2 2 2 2 2 2 2 2 2 2 2 2 2 2 2 2 2 2 2 2 2 2 2 34" xfId="8220" xr:uid="{2E7094A1-2FD7-4489-B800-FDC1F1FA6BB8}"/>
    <cellStyle name="Normal 2 2 2 2 2 2 2 2 2 2 2 2 2 2 2 2 2 2 2 2 2 2 2 35" xfId="8221" xr:uid="{2E28B2DB-849B-4706-8C9F-738EA58E313C}"/>
    <cellStyle name="Normal 2 2 2 2 2 2 2 2 2 2 2 2 2 2 2 2 2 2 2 2 2 2 2 36" xfId="8222" xr:uid="{3037DD7A-3893-4334-934F-EE2BB3461840}"/>
    <cellStyle name="Normal 2 2 2 2 2 2 2 2 2 2 2 2 2 2 2 2 2 2 2 2 2 2 2 37" xfId="8223" xr:uid="{2FC4865A-B61A-4784-9086-47AACA1885AD}"/>
    <cellStyle name="Normal 2 2 2 2 2 2 2 2 2 2 2 2 2 2 2 2 2 2 2 2 2 2 2 38" xfId="8224" xr:uid="{DB41D11F-2179-47F1-BB4E-BC52BED475D8}"/>
    <cellStyle name="Normal 2 2 2 2 2 2 2 2 2 2 2 2 2 2 2 2 2 2 2 2 2 2 2 39" xfId="8225" xr:uid="{DFBA60DD-1BA5-41D5-B48D-B1E9464AC625}"/>
    <cellStyle name="Normal 2 2 2 2 2 2 2 2 2 2 2 2 2 2 2 2 2 2 2 2 2 2 2 4" xfId="8226" xr:uid="{1B02C973-F2D5-449E-A6CE-59FCE8B57914}"/>
    <cellStyle name="Normal 2 2 2 2 2 2 2 2 2 2 2 2 2 2 2 2 2 2 2 2 2 2 2 40" xfId="8227" xr:uid="{AB3FA6D3-AFC4-4FAD-8A75-3D33D06C8E6D}"/>
    <cellStyle name="Normal 2 2 2 2 2 2 2 2 2 2 2 2 2 2 2 2 2 2 2 2 2 2 2 41" xfId="8228" xr:uid="{D22FACF6-5FD9-4AC4-A560-5D3B2D53E8F7}"/>
    <cellStyle name="Normal 2 2 2 2 2 2 2 2 2 2 2 2 2 2 2 2 2 2 2 2 2 2 2 42" xfId="8229" xr:uid="{B752012A-1AA8-4031-8F68-EC4AF9E693C7}"/>
    <cellStyle name="Normal 2 2 2 2 2 2 2 2 2 2 2 2 2 2 2 2 2 2 2 2 2 2 2 43" xfId="8230" xr:uid="{7575C574-D525-4755-99BD-DD61C618CA42}"/>
    <cellStyle name="Normal 2 2 2 2 2 2 2 2 2 2 2 2 2 2 2 2 2 2 2 2 2 2 2 44" xfId="8231" xr:uid="{F609934C-ED15-410D-B757-4D9CB3C9F983}"/>
    <cellStyle name="Normal 2 2 2 2 2 2 2 2 2 2 2 2 2 2 2 2 2 2 2 2 2 2 2 45" xfId="8232" xr:uid="{37408D55-2835-46BC-990F-EC41600AC95F}"/>
    <cellStyle name="Normal 2 2 2 2 2 2 2 2 2 2 2 2 2 2 2 2 2 2 2 2 2 2 2 46" xfId="8233" xr:uid="{DC2DA67A-8E4E-4B2F-93D4-FD141BF6AA6E}"/>
    <cellStyle name="Normal 2 2 2 2 2 2 2 2 2 2 2 2 2 2 2 2 2 2 2 2 2 2 2 47" xfId="8234" xr:uid="{A227AD44-1BB3-4312-A177-166B24694984}"/>
    <cellStyle name="Normal 2 2 2 2 2 2 2 2 2 2 2 2 2 2 2 2 2 2 2 2 2 2 2 48" xfId="8235" xr:uid="{8C95966B-942F-42B1-9142-A072F109CABC}"/>
    <cellStyle name="Normal 2 2 2 2 2 2 2 2 2 2 2 2 2 2 2 2 2 2 2 2 2 2 2 49" xfId="8236" xr:uid="{D3EBA8AA-831D-43FC-9FD9-966D9BC51FD5}"/>
    <cellStyle name="Normal 2 2 2 2 2 2 2 2 2 2 2 2 2 2 2 2 2 2 2 2 2 2 2 5" xfId="8237" xr:uid="{28FEB840-F778-4A98-A2D5-4E96D3E5F132}"/>
    <cellStyle name="Normal 2 2 2 2 2 2 2 2 2 2 2 2 2 2 2 2 2 2 2 2 2 2 2 50" xfId="8238" xr:uid="{AF762FDA-859C-448D-920B-70A80F4F19ED}"/>
    <cellStyle name="Normal 2 2 2 2 2 2 2 2 2 2 2 2 2 2 2 2 2 2 2 2 2 2 2 51" xfId="8239" xr:uid="{1D02B292-0011-4DD8-A191-ADE37F7DAE4B}"/>
    <cellStyle name="Normal 2 2 2 2 2 2 2 2 2 2 2 2 2 2 2 2 2 2 2 2 2 2 2 52" xfId="8240" xr:uid="{70659691-92FA-44B4-89B9-1586DD708774}"/>
    <cellStyle name="Normal 2 2 2 2 2 2 2 2 2 2 2 2 2 2 2 2 2 2 2 2 2 2 2 53" xfId="8241" xr:uid="{C90F14F9-1388-4693-8241-627C378D4FB5}"/>
    <cellStyle name="Normal 2 2 2 2 2 2 2 2 2 2 2 2 2 2 2 2 2 2 2 2 2 2 2 54" xfId="8242" xr:uid="{FAC97F13-0022-4086-933C-1EEBE4C12458}"/>
    <cellStyle name="Normal 2 2 2 2 2 2 2 2 2 2 2 2 2 2 2 2 2 2 2 2 2 2 2 55" xfId="8243" xr:uid="{E53AA53B-EEC0-42E4-A017-2144CA6C4862}"/>
    <cellStyle name="Normal 2 2 2 2 2 2 2 2 2 2 2 2 2 2 2 2 2 2 2 2 2 2 2 56" xfId="8244" xr:uid="{A860C7EE-1AFC-444F-8C00-ADA7A2C724F2}"/>
    <cellStyle name="Normal 2 2 2 2 2 2 2 2 2 2 2 2 2 2 2 2 2 2 2 2 2 2 2 57" xfId="8245" xr:uid="{36378190-3143-43D7-B5E1-2834409A672C}"/>
    <cellStyle name="Normal 2 2 2 2 2 2 2 2 2 2 2 2 2 2 2 2 2 2 2 2 2 2 2 58" xfId="8246" xr:uid="{9D024BC0-34E3-42B5-AA9F-128DEBC900F1}"/>
    <cellStyle name="Normal 2 2 2 2 2 2 2 2 2 2 2 2 2 2 2 2 2 2 2 2 2 2 2 59" xfId="8247" xr:uid="{E1641E2A-C4A3-4018-B8B2-74F9290B53E3}"/>
    <cellStyle name="Normal 2 2 2 2 2 2 2 2 2 2 2 2 2 2 2 2 2 2 2 2 2 2 2 6" xfId="8248" xr:uid="{03382B42-A4D3-4269-B9C5-4FDD28291239}"/>
    <cellStyle name="Normal 2 2 2 2 2 2 2 2 2 2 2 2 2 2 2 2 2 2 2 2 2 2 2 60" xfId="8249" xr:uid="{FAD500E8-3A8A-43FA-A5A0-672014F53AAB}"/>
    <cellStyle name="Normal 2 2 2 2 2 2 2 2 2 2 2 2 2 2 2 2 2 2 2 2 2 2 2 60 2" xfId="8250" xr:uid="{425D2D1E-5A07-4E7E-92FE-E186C7655E03}"/>
    <cellStyle name="Normal 2 2 2 2 2 2 2 2 2 2 2 2 2 2 2 2 2 2 2 2 2 2 2 60 3" xfId="8251" xr:uid="{A7762CB1-3457-49F2-BBA2-2EE15084FF50}"/>
    <cellStyle name="Normal 2 2 2 2 2 2 2 2 2 2 2 2 2 2 2 2 2 2 2 2 2 2 2 60 4" xfId="8252" xr:uid="{E53D973F-46CE-4D67-A3F1-50BE83024822}"/>
    <cellStyle name="Normal 2 2 2 2 2 2 2 2 2 2 2 2 2 2 2 2 2 2 2 2 2 2 2 61" xfId="8253" xr:uid="{B5E0277D-85E8-4C41-90E1-CD5E1DEF6565}"/>
    <cellStyle name="Normal 2 2 2 2 2 2 2 2 2 2 2 2 2 2 2 2 2 2 2 2 2 2 2 62" xfId="8254" xr:uid="{31F86ACC-15E9-4201-94AF-92D724EED203}"/>
    <cellStyle name="Normal 2 2 2 2 2 2 2 2 2 2 2 2 2 2 2 2 2 2 2 2 2 2 2 7" xfId="8255" xr:uid="{F0AB8BA7-0081-4F94-B3E6-73283FA255BC}"/>
    <cellStyle name="Normal 2 2 2 2 2 2 2 2 2 2 2 2 2 2 2 2 2 2 2 2 2 2 2 8" xfId="8256" xr:uid="{A3DCF9FF-8137-4A26-A47C-497D5B5F9907}"/>
    <cellStyle name="Normal 2 2 2 2 2 2 2 2 2 2 2 2 2 2 2 2 2 2 2 2 2 2 2 9" xfId="8257" xr:uid="{11A48EC6-0E80-4B05-ACC8-C4AF32E2BC70}"/>
    <cellStyle name="Normal 2 2 2 2 2 2 2 2 2 2 2 2 2 2 2 2 2 2 2 2 2 2 20" xfId="8258" xr:uid="{48B979F2-F089-4413-88A9-684F162F5C0E}"/>
    <cellStyle name="Normal 2 2 2 2 2 2 2 2 2 2 2 2 2 2 2 2 2 2 2 2 2 2 21" xfId="8259" xr:uid="{01414AFC-F0E2-49D9-A0BF-25EA15114817}"/>
    <cellStyle name="Normal 2 2 2 2 2 2 2 2 2 2 2 2 2 2 2 2 2 2 2 2 2 2 22" xfId="8260" xr:uid="{1498722D-62AA-4534-A6A3-89BC2CA8E30F}"/>
    <cellStyle name="Normal 2 2 2 2 2 2 2 2 2 2 2 2 2 2 2 2 2 2 2 2 2 2 23" xfId="8261" xr:uid="{63BDFB7D-AE23-42CA-B7DB-D4364AB03278}"/>
    <cellStyle name="Normal 2 2 2 2 2 2 2 2 2 2 2 2 2 2 2 2 2 2 2 2 2 2 24" xfId="8262" xr:uid="{D207DF3D-683F-49F7-8CC8-6E7520F795AD}"/>
    <cellStyle name="Normal 2 2 2 2 2 2 2 2 2 2 2 2 2 2 2 2 2 2 2 2 2 2 25" xfId="8263" xr:uid="{670675DF-20FC-4312-9DA5-73121E672DB4}"/>
    <cellStyle name="Normal 2 2 2 2 2 2 2 2 2 2 2 2 2 2 2 2 2 2 2 2 2 2 26" xfId="8264" xr:uid="{DB8A563E-F5A2-4E29-B843-4F9DA4D991F0}"/>
    <cellStyle name="Normal 2 2 2 2 2 2 2 2 2 2 2 2 2 2 2 2 2 2 2 2 2 2 27" xfId="8265" xr:uid="{B8F9312B-9EF4-4BD4-BB1C-B10A938772B9}"/>
    <cellStyle name="Normal 2 2 2 2 2 2 2 2 2 2 2 2 2 2 2 2 2 2 2 2 2 2 28" xfId="8266" xr:uid="{883819E6-52F1-4CB7-A914-016055569DEE}"/>
    <cellStyle name="Normal 2 2 2 2 2 2 2 2 2 2 2 2 2 2 2 2 2 2 2 2 2 2 29" xfId="8267" xr:uid="{EB7FA8DC-DDB0-4417-85D9-158083413E9B}"/>
    <cellStyle name="Normal 2 2 2 2 2 2 2 2 2 2 2 2 2 2 2 2 2 2 2 2 2 2 3" xfId="8268" xr:uid="{AA09C9EB-5D78-444B-BF42-BCE83A5AFFC4}"/>
    <cellStyle name="Normal 2 2 2 2 2 2 2 2 2 2 2 2 2 2 2 2 2 2 2 2 2 2 30" xfId="8269" xr:uid="{E78A9BD6-6591-412E-BFE8-779DFE1C4368}"/>
    <cellStyle name="Normal 2 2 2 2 2 2 2 2 2 2 2 2 2 2 2 2 2 2 2 2 2 2 31" xfId="8270" xr:uid="{BC7C7C1B-1344-46C5-AAB1-B26595050985}"/>
    <cellStyle name="Normal 2 2 2 2 2 2 2 2 2 2 2 2 2 2 2 2 2 2 2 2 2 2 32" xfId="8271" xr:uid="{9653B87E-DD6B-49B6-A3F4-1815C6D208AA}"/>
    <cellStyle name="Normal 2 2 2 2 2 2 2 2 2 2 2 2 2 2 2 2 2 2 2 2 2 2 33" xfId="8272" xr:uid="{A6B81427-372A-4A8F-A5A3-5F2F0830CDB4}"/>
    <cellStyle name="Normal 2 2 2 2 2 2 2 2 2 2 2 2 2 2 2 2 2 2 2 2 2 2 34" xfId="8273" xr:uid="{60D14D26-AEE0-415A-98E6-E23107C52467}"/>
    <cellStyle name="Normal 2 2 2 2 2 2 2 2 2 2 2 2 2 2 2 2 2 2 2 2 2 2 35" xfId="8274" xr:uid="{5C7A131A-318E-485A-984D-6BDA3D48FCD5}"/>
    <cellStyle name="Normal 2 2 2 2 2 2 2 2 2 2 2 2 2 2 2 2 2 2 2 2 2 2 36" xfId="8275" xr:uid="{5C0A44DA-CF47-43A5-B1D6-9951D53D8E44}"/>
    <cellStyle name="Normal 2 2 2 2 2 2 2 2 2 2 2 2 2 2 2 2 2 2 2 2 2 2 37" xfId="8276" xr:uid="{EA4829CE-69B8-4F37-B9D9-520E66BCE560}"/>
    <cellStyle name="Normal 2 2 2 2 2 2 2 2 2 2 2 2 2 2 2 2 2 2 2 2 2 2 38" xfId="8277" xr:uid="{74E2E3B6-4F8D-496B-87E7-3CF35FBE2852}"/>
    <cellStyle name="Normal 2 2 2 2 2 2 2 2 2 2 2 2 2 2 2 2 2 2 2 2 2 2 39" xfId="8278" xr:uid="{3223FCDB-5F04-41AD-B39F-AEAC56B3D7B4}"/>
    <cellStyle name="Normal 2 2 2 2 2 2 2 2 2 2 2 2 2 2 2 2 2 2 2 2 2 2 4" xfId="8279" xr:uid="{505166C0-2F77-4BF5-AF3F-389CB6344434}"/>
    <cellStyle name="Normal 2 2 2 2 2 2 2 2 2 2 2 2 2 2 2 2 2 2 2 2 2 2 40" xfId="8280" xr:uid="{4CD7C69E-7AB2-4874-8B6A-441DCA7DA7F6}"/>
    <cellStyle name="Normal 2 2 2 2 2 2 2 2 2 2 2 2 2 2 2 2 2 2 2 2 2 2 41" xfId="8281" xr:uid="{3D752F6D-64EF-462B-9572-E563092B1444}"/>
    <cellStyle name="Normal 2 2 2 2 2 2 2 2 2 2 2 2 2 2 2 2 2 2 2 2 2 2 42" xfId="8282" xr:uid="{F3A38265-1379-4565-92F3-A4E41ED5129A}"/>
    <cellStyle name="Normal 2 2 2 2 2 2 2 2 2 2 2 2 2 2 2 2 2 2 2 2 2 2 43" xfId="8283" xr:uid="{97AF5310-7EA9-4B29-B174-5D378B75ACB4}"/>
    <cellStyle name="Normal 2 2 2 2 2 2 2 2 2 2 2 2 2 2 2 2 2 2 2 2 2 2 44" xfId="8284" xr:uid="{B3579278-42DC-4A5D-80CB-993F0D11068B}"/>
    <cellStyle name="Normal 2 2 2 2 2 2 2 2 2 2 2 2 2 2 2 2 2 2 2 2 2 2 45" xfId="8285" xr:uid="{591D5C7C-1072-4655-AB9A-68F1AE856026}"/>
    <cellStyle name="Normal 2 2 2 2 2 2 2 2 2 2 2 2 2 2 2 2 2 2 2 2 2 2 46" xfId="8286" xr:uid="{688890C4-842E-4C91-8CE6-037D8EBE2986}"/>
    <cellStyle name="Normal 2 2 2 2 2 2 2 2 2 2 2 2 2 2 2 2 2 2 2 2 2 2 47" xfId="8287" xr:uid="{D6CD044A-3138-4008-A724-AEE8B490C7B3}"/>
    <cellStyle name="Normal 2 2 2 2 2 2 2 2 2 2 2 2 2 2 2 2 2 2 2 2 2 2 48" xfId="8288" xr:uid="{4429C4E1-70C4-41A5-93B1-21A30283CF8B}"/>
    <cellStyle name="Normal 2 2 2 2 2 2 2 2 2 2 2 2 2 2 2 2 2 2 2 2 2 2 49" xfId="8289" xr:uid="{1247133F-3771-4E36-82AC-C4153CE5CF17}"/>
    <cellStyle name="Normal 2 2 2 2 2 2 2 2 2 2 2 2 2 2 2 2 2 2 2 2 2 2 5" xfId="8290" xr:uid="{CCC20480-0F21-49AD-BF8C-46595AE41939}"/>
    <cellStyle name="Normal 2 2 2 2 2 2 2 2 2 2 2 2 2 2 2 2 2 2 2 2 2 2 50" xfId="8291" xr:uid="{FB766E93-C834-4BDB-9162-C33226241255}"/>
    <cellStyle name="Normal 2 2 2 2 2 2 2 2 2 2 2 2 2 2 2 2 2 2 2 2 2 2 51" xfId="8292" xr:uid="{B5E170BA-95BD-4952-844A-01057BB956AE}"/>
    <cellStyle name="Normal 2 2 2 2 2 2 2 2 2 2 2 2 2 2 2 2 2 2 2 2 2 2 52" xfId="8293" xr:uid="{EA931A12-3BFD-4D59-B287-3EB512AB7334}"/>
    <cellStyle name="Normal 2 2 2 2 2 2 2 2 2 2 2 2 2 2 2 2 2 2 2 2 2 2 53" xfId="8294" xr:uid="{44F32B6A-DFBD-4DAB-91B5-4C5D84CFD2BC}"/>
    <cellStyle name="Normal 2 2 2 2 2 2 2 2 2 2 2 2 2 2 2 2 2 2 2 2 2 2 54" xfId="8295" xr:uid="{631749E4-9A9E-4FF8-B7D9-ACE1B70F32A8}"/>
    <cellStyle name="Normal 2 2 2 2 2 2 2 2 2 2 2 2 2 2 2 2 2 2 2 2 2 2 55" xfId="8296" xr:uid="{4549BB5C-3DAC-4A5E-96DE-03CBF3F07CE6}"/>
    <cellStyle name="Normal 2 2 2 2 2 2 2 2 2 2 2 2 2 2 2 2 2 2 2 2 2 2 56" xfId="8297" xr:uid="{40B9EC91-4037-49C9-B40B-D93359F9DA0E}"/>
    <cellStyle name="Normal 2 2 2 2 2 2 2 2 2 2 2 2 2 2 2 2 2 2 2 2 2 2 57" xfId="8298" xr:uid="{FE2BA7D9-F1AB-4A08-AE91-0F8DB1B9DABD}"/>
    <cellStyle name="Normal 2 2 2 2 2 2 2 2 2 2 2 2 2 2 2 2 2 2 2 2 2 2 58" xfId="8299" xr:uid="{6767ED1C-A8A1-4F27-AB2B-9F5E2B8FE8F0}"/>
    <cellStyle name="Normal 2 2 2 2 2 2 2 2 2 2 2 2 2 2 2 2 2 2 2 2 2 2 59" xfId="8300" xr:uid="{DEE9646C-F4F5-4F5B-BADB-0717833C383A}"/>
    <cellStyle name="Normal 2 2 2 2 2 2 2 2 2 2 2 2 2 2 2 2 2 2 2 2 2 2 6" xfId="8301" xr:uid="{F99D65F5-86E5-4BB8-A50D-FC7A184866EF}"/>
    <cellStyle name="Normal 2 2 2 2 2 2 2 2 2 2 2 2 2 2 2 2 2 2 2 2 2 2 60" xfId="8302" xr:uid="{22E8FB15-B13A-4F17-A866-D8EAE05EDEB5}"/>
    <cellStyle name="Normal 2 2 2 2 2 2 2 2 2 2 2 2 2 2 2 2 2 2 2 2 2 2 61" xfId="8303" xr:uid="{0DCF25DA-58CF-41CF-8535-788E1E0145FE}"/>
    <cellStyle name="Normal 2 2 2 2 2 2 2 2 2 2 2 2 2 2 2 2 2 2 2 2 2 2 62" xfId="8304" xr:uid="{35FDB82D-28EE-4286-966E-F87392819C92}"/>
    <cellStyle name="Normal 2 2 2 2 2 2 2 2 2 2 2 2 2 2 2 2 2 2 2 2 2 2 63" xfId="8305" xr:uid="{4832EF85-6B45-47D6-A230-31F59BCE927D}"/>
    <cellStyle name="Normal 2 2 2 2 2 2 2 2 2 2 2 2 2 2 2 2 2 2 2 2 2 2 63 2" xfId="8306" xr:uid="{8E1B79E2-3F4B-4130-97A4-8BBAAE5F0B7D}"/>
    <cellStyle name="Normal 2 2 2 2 2 2 2 2 2 2 2 2 2 2 2 2 2 2 2 2 2 2 63 3" xfId="8307" xr:uid="{AF1FB86E-5594-4EF4-B095-699C0EB9526D}"/>
    <cellStyle name="Normal 2 2 2 2 2 2 2 2 2 2 2 2 2 2 2 2 2 2 2 2 2 2 63 4" xfId="8308" xr:uid="{06AC60A5-45B2-4A29-BACA-1ACA9275539F}"/>
    <cellStyle name="Normal 2 2 2 2 2 2 2 2 2 2 2 2 2 2 2 2 2 2 2 2 2 2 64" xfId="8309" xr:uid="{38B840E0-239F-4A48-B0FD-8774E74791D3}"/>
    <cellStyle name="Normal 2 2 2 2 2 2 2 2 2 2 2 2 2 2 2 2 2 2 2 2 2 2 65" xfId="8310" xr:uid="{92C80E4C-B40F-4C66-9ADD-70E62702D3E0}"/>
    <cellStyle name="Normal 2 2 2 2 2 2 2 2 2 2 2 2 2 2 2 2 2 2 2 2 2 2 7" xfId="8311" xr:uid="{DB3F3BCA-3A25-4127-8764-13D5725F866F}"/>
    <cellStyle name="Normal 2 2 2 2 2 2 2 2 2 2 2 2 2 2 2 2 2 2 2 2 2 2 8" xfId="8312" xr:uid="{2DF3B16D-9AC8-4EB4-BE59-18373C8D640D}"/>
    <cellStyle name="Normal 2 2 2 2 2 2 2 2 2 2 2 2 2 2 2 2 2 2 2 2 2 2 9" xfId="8313" xr:uid="{35D602FB-A542-4727-900F-08554885F3C3}"/>
    <cellStyle name="Normal 2 2 2 2 2 2 2 2 2 2 2 2 2 2 2 2 2 2 2 2 2 20" xfId="8314" xr:uid="{F880305E-EA6F-4D4F-886E-C3C25D1845B3}"/>
    <cellStyle name="Normal 2 2 2 2 2 2 2 2 2 2 2 2 2 2 2 2 2 2 2 2 2 21" xfId="8315" xr:uid="{58076DB1-5A1A-4B60-88DA-6C1BD73730A4}"/>
    <cellStyle name="Normal 2 2 2 2 2 2 2 2 2 2 2 2 2 2 2 2 2 2 2 2 2 22" xfId="8316" xr:uid="{F7969EBB-4189-49D6-8B4E-C53EBBD94BED}"/>
    <cellStyle name="Normal 2 2 2 2 2 2 2 2 2 2 2 2 2 2 2 2 2 2 2 2 2 23" xfId="8317" xr:uid="{0DAF13A6-A633-46A7-B749-819142A6B51A}"/>
    <cellStyle name="Normal 2 2 2 2 2 2 2 2 2 2 2 2 2 2 2 2 2 2 2 2 2 24" xfId="8318" xr:uid="{F33FF199-49A4-4207-A4CF-B698CE31F23C}"/>
    <cellStyle name="Normal 2 2 2 2 2 2 2 2 2 2 2 2 2 2 2 2 2 2 2 2 2 25" xfId="8319" xr:uid="{033D40FB-117F-4637-9365-27D6A1CA405F}"/>
    <cellStyle name="Normal 2 2 2 2 2 2 2 2 2 2 2 2 2 2 2 2 2 2 2 2 2 26" xfId="8320" xr:uid="{4C753480-5881-47CF-A43E-6E85C845265C}"/>
    <cellStyle name="Normal 2 2 2 2 2 2 2 2 2 2 2 2 2 2 2 2 2 2 2 2 2 27" xfId="8321" xr:uid="{5F7F3345-C17A-4FBE-9CE3-CA7DABF7119B}"/>
    <cellStyle name="Normal 2 2 2 2 2 2 2 2 2 2 2 2 2 2 2 2 2 2 2 2 2 28" xfId="8322" xr:uid="{91B82E8C-319C-4C7F-822E-5ADA07DC6423}"/>
    <cellStyle name="Normal 2 2 2 2 2 2 2 2 2 2 2 2 2 2 2 2 2 2 2 2 2 29" xfId="8323" xr:uid="{3C562E60-A528-4166-BA39-D7484EFD6346}"/>
    <cellStyle name="Normal 2 2 2 2 2 2 2 2 2 2 2 2 2 2 2 2 2 2 2 2 2 3" xfId="8324" xr:uid="{B36D8874-32CA-4087-8387-74E614D03317}"/>
    <cellStyle name="Normal 2 2 2 2 2 2 2 2 2 2 2 2 2 2 2 2 2 2 2 2 2 30" xfId="8325" xr:uid="{89496A27-FCC6-4224-9568-463D6606B1ED}"/>
    <cellStyle name="Normal 2 2 2 2 2 2 2 2 2 2 2 2 2 2 2 2 2 2 2 2 2 31" xfId="8326" xr:uid="{EDEB48F8-96CE-4AEB-ADE9-9E7BBCDDFEA8}"/>
    <cellStyle name="Normal 2 2 2 2 2 2 2 2 2 2 2 2 2 2 2 2 2 2 2 2 2 32" xfId="8327" xr:uid="{FFA63E39-1C62-4E4D-801D-B7A81500A23D}"/>
    <cellStyle name="Normal 2 2 2 2 2 2 2 2 2 2 2 2 2 2 2 2 2 2 2 2 2 33" xfId="8328" xr:uid="{51A12CCD-F0C2-4CB0-8BB4-154A74E4F333}"/>
    <cellStyle name="Normal 2 2 2 2 2 2 2 2 2 2 2 2 2 2 2 2 2 2 2 2 2 34" xfId="8329" xr:uid="{4CF2B75B-2D5F-44C1-9714-3C634ACE401F}"/>
    <cellStyle name="Normal 2 2 2 2 2 2 2 2 2 2 2 2 2 2 2 2 2 2 2 2 2 35" xfId="8330" xr:uid="{8A3420C8-19C8-4982-9772-50873DA2248D}"/>
    <cellStyle name="Normal 2 2 2 2 2 2 2 2 2 2 2 2 2 2 2 2 2 2 2 2 2 36" xfId="8331" xr:uid="{70848595-EF77-446E-A49C-55B4BB159614}"/>
    <cellStyle name="Normal 2 2 2 2 2 2 2 2 2 2 2 2 2 2 2 2 2 2 2 2 2 37" xfId="8332" xr:uid="{66457A38-4286-4CB5-9B9A-2702DC02B46C}"/>
    <cellStyle name="Normal 2 2 2 2 2 2 2 2 2 2 2 2 2 2 2 2 2 2 2 2 2 38" xfId="8333" xr:uid="{1DC77CDF-9A93-4ECF-B37B-8DDF1EEDD3F7}"/>
    <cellStyle name="Normal 2 2 2 2 2 2 2 2 2 2 2 2 2 2 2 2 2 2 2 2 2 39" xfId="8334" xr:uid="{A7B44C04-A387-4A23-B570-BCF4894A79A0}"/>
    <cellStyle name="Normal 2 2 2 2 2 2 2 2 2 2 2 2 2 2 2 2 2 2 2 2 2 4" xfId="8335" xr:uid="{C4F51635-0409-44F7-B772-23CE6C2A07F1}"/>
    <cellStyle name="Normal 2 2 2 2 2 2 2 2 2 2 2 2 2 2 2 2 2 2 2 2 2 40" xfId="8336" xr:uid="{7E74EA17-BE61-4F95-8389-89082F2FA682}"/>
    <cellStyle name="Normal 2 2 2 2 2 2 2 2 2 2 2 2 2 2 2 2 2 2 2 2 2 41" xfId="8337" xr:uid="{3A5A8E09-1255-4E1D-8A75-BA039C37344A}"/>
    <cellStyle name="Normal 2 2 2 2 2 2 2 2 2 2 2 2 2 2 2 2 2 2 2 2 2 42" xfId="8338" xr:uid="{C4D5CD51-872F-465A-86C7-7BB1AF2524BC}"/>
    <cellStyle name="Normal 2 2 2 2 2 2 2 2 2 2 2 2 2 2 2 2 2 2 2 2 2 43" xfId="8339" xr:uid="{064A4EEF-56DF-4D2F-84DE-38B86022C844}"/>
    <cellStyle name="Normal 2 2 2 2 2 2 2 2 2 2 2 2 2 2 2 2 2 2 2 2 2 44" xfId="8340" xr:uid="{5FC23C27-E95C-4C86-891D-EB549C2BE723}"/>
    <cellStyle name="Normal 2 2 2 2 2 2 2 2 2 2 2 2 2 2 2 2 2 2 2 2 2 45" xfId="8341" xr:uid="{5AD5FCE2-9B39-48BE-B6BF-7554BFD4E40D}"/>
    <cellStyle name="Normal 2 2 2 2 2 2 2 2 2 2 2 2 2 2 2 2 2 2 2 2 2 46" xfId="8342" xr:uid="{AFFCA8CB-B648-43F7-931A-D3176DD352BF}"/>
    <cellStyle name="Normal 2 2 2 2 2 2 2 2 2 2 2 2 2 2 2 2 2 2 2 2 2 47" xfId="8343" xr:uid="{9D2BFAB0-DCEB-4BA3-ACEC-357EB44C96D9}"/>
    <cellStyle name="Normal 2 2 2 2 2 2 2 2 2 2 2 2 2 2 2 2 2 2 2 2 2 48" xfId="8344" xr:uid="{701A11E1-41FB-49C9-9DA3-02EDEF3F3CD4}"/>
    <cellStyle name="Normal 2 2 2 2 2 2 2 2 2 2 2 2 2 2 2 2 2 2 2 2 2 49" xfId="8345" xr:uid="{C4D94128-389E-40D3-B598-76DF2D8E532E}"/>
    <cellStyle name="Normal 2 2 2 2 2 2 2 2 2 2 2 2 2 2 2 2 2 2 2 2 2 5" xfId="8346" xr:uid="{E7733592-2640-4C19-9293-AF31A26EF26E}"/>
    <cellStyle name="Normal 2 2 2 2 2 2 2 2 2 2 2 2 2 2 2 2 2 2 2 2 2 50" xfId="8347" xr:uid="{296A2CD1-531F-485B-8057-B91D9EFB63ED}"/>
    <cellStyle name="Normal 2 2 2 2 2 2 2 2 2 2 2 2 2 2 2 2 2 2 2 2 2 51" xfId="8348" xr:uid="{5FFFD520-92C9-4A51-8F00-2DB08CBC8125}"/>
    <cellStyle name="Normal 2 2 2 2 2 2 2 2 2 2 2 2 2 2 2 2 2 2 2 2 2 52" xfId="8349" xr:uid="{7E553155-7F90-41A3-8415-47C11E49BF11}"/>
    <cellStyle name="Normal 2 2 2 2 2 2 2 2 2 2 2 2 2 2 2 2 2 2 2 2 2 53" xfId="8350" xr:uid="{D7E75719-5AE5-4333-ABB2-42497807A493}"/>
    <cellStyle name="Normal 2 2 2 2 2 2 2 2 2 2 2 2 2 2 2 2 2 2 2 2 2 54" xfId="8351" xr:uid="{89BFA086-2753-424C-BC9D-5D47FDB04531}"/>
    <cellStyle name="Normal 2 2 2 2 2 2 2 2 2 2 2 2 2 2 2 2 2 2 2 2 2 55" xfId="8352" xr:uid="{F2091B92-196F-491B-A0A1-F6FEF27EDD29}"/>
    <cellStyle name="Normal 2 2 2 2 2 2 2 2 2 2 2 2 2 2 2 2 2 2 2 2 2 56" xfId="8353" xr:uid="{3F805821-0C7D-4EEF-8194-7DC0E76F7B64}"/>
    <cellStyle name="Normal 2 2 2 2 2 2 2 2 2 2 2 2 2 2 2 2 2 2 2 2 2 57" xfId="8354" xr:uid="{1FF2EF91-3454-4544-8E82-820A07BD2038}"/>
    <cellStyle name="Normal 2 2 2 2 2 2 2 2 2 2 2 2 2 2 2 2 2 2 2 2 2 58" xfId="8355" xr:uid="{809989C2-8C4C-4376-831F-42E87F2F4E55}"/>
    <cellStyle name="Normal 2 2 2 2 2 2 2 2 2 2 2 2 2 2 2 2 2 2 2 2 2 59" xfId="8356" xr:uid="{C672E165-F298-4F98-945A-7605E4233374}"/>
    <cellStyle name="Normal 2 2 2 2 2 2 2 2 2 2 2 2 2 2 2 2 2 2 2 2 2 6" xfId="8357" xr:uid="{658C4ADE-4DC4-4050-B00D-D42670DBA63F}"/>
    <cellStyle name="Normal 2 2 2 2 2 2 2 2 2 2 2 2 2 2 2 2 2 2 2 2 2 60" xfId="8358" xr:uid="{84EF49D5-91A0-4587-BC4B-DCC508B36B0A}"/>
    <cellStyle name="Normal 2 2 2 2 2 2 2 2 2 2 2 2 2 2 2 2 2 2 2 2 2 61" xfId="8359" xr:uid="{7177A70F-62B2-4379-BF61-024B3170770F}"/>
    <cellStyle name="Normal 2 2 2 2 2 2 2 2 2 2 2 2 2 2 2 2 2 2 2 2 2 62" xfId="8360" xr:uid="{DDC5AA9B-419B-44ED-8FAC-054AD4CC30EB}"/>
    <cellStyle name="Normal 2 2 2 2 2 2 2 2 2 2 2 2 2 2 2 2 2 2 2 2 2 63" xfId="8361" xr:uid="{9BE67163-D67B-43E7-B8ED-85F31642C9AF}"/>
    <cellStyle name="Normal 2 2 2 2 2 2 2 2 2 2 2 2 2 2 2 2 2 2 2 2 2 64" xfId="8362" xr:uid="{107A059F-CE61-44EF-BBA7-D4C847D1046B}"/>
    <cellStyle name="Normal 2 2 2 2 2 2 2 2 2 2 2 2 2 2 2 2 2 2 2 2 2 65" xfId="8363" xr:uid="{15B10AF7-8478-4D0B-9090-EAA00A12BF1F}"/>
    <cellStyle name="Normal 2 2 2 2 2 2 2 2 2 2 2 2 2 2 2 2 2 2 2 2 2 65 2" xfId="8364" xr:uid="{1D5A1C91-E80B-4DF7-93EA-4D96BE572437}"/>
    <cellStyle name="Normal 2 2 2 2 2 2 2 2 2 2 2 2 2 2 2 2 2 2 2 2 2 65 3" xfId="8365" xr:uid="{5F972CAE-C18D-43EC-BA14-3F207B59E9CA}"/>
    <cellStyle name="Normal 2 2 2 2 2 2 2 2 2 2 2 2 2 2 2 2 2 2 2 2 2 65 4" xfId="8366" xr:uid="{DBFA78FE-8F82-4F0C-AC68-22AFE700DD42}"/>
    <cellStyle name="Normal 2 2 2 2 2 2 2 2 2 2 2 2 2 2 2 2 2 2 2 2 2 66" xfId="8367" xr:uid="{1146AAFE-EE87-4A7E-B295-42F35087AC40}"/>
    <cellStyle name="Normal 2 2 2 2 2 2 2 2 2 2 2 2 2 2 2 2 2 2 2 2 2 67" xfId="8368" xr:uid="{66873EB1-2663-4428-AA93-BE9170AEA9C2}"/>
    <cellStyle name="Normal 2 2 2 2 2 2 2 2 2 2 2 2 2 2 2 2 2 2 2 2 2 7" xfId="8369" xr:uid="{A706D135-7440-4348-91F5-4D585E676AA6}"/>
    <cellStyle name="Normal 2 2 2 2 2 2 2 2 2 2 2 2 2 2 2 2 2 2 2 2 2 8" xfId="8370" xr:uid="{869DB061-13A7-449A-9164-73E25F0522D7}"/>
    <cellStyle name="Normal 2 2 2 2 2 2 2 2 2 2 2 2 2 2 2 2 2 2 2 2 2 9" xfId="8371" xr:uid="{9429E00A-FB2E-4C1D-A2AD-35199860A2BF}"/>
    <cellStyle name="Normal 2 2 2 2 2 2 2 2 2 2 2 2 2 2 2 2 2 2 2 2 20" xfId="8372" xr:uid="{68BDF6EC-856D-422C-8323-A1269383060D}"/>
    <cellStyle name="Normal 2 2 2 2 2 2 2 2 2 2 2 2 2 2 2 2 2 2 2 2 21" xfId="8373" xr:uid="{6ECBEE86-509C-409E-96CB-70A5DAF3E6CD}"/>
    <cellStyle name="Normal 2 2 2 2 2 2 2 2 2 2 2 2 2 2 2 2 2 2 2 2 22" xfId="8374" xr:uid="{D780161F-9428-400E-8B84-121F53E08D4E}"/>
    <cellStyle name="Normal 2 2 2 2 2 2 2 2 2 2 2 2 2 2 2 2 2 2 2 2 23" xfId="8375" xr:uid="{06A55492-A78E-475A-87D7-4CB846685BC1}"/>
    <cellStyle name="Normal 2 2 2 2 2 2 2 2 2 2 2 2 2 2 2 2 2 2 2 2 23 2" xfId="8376" xr:uid="{97C85B1D-8815-4129-B6CB-4A8D110B6C4E}"/>
    <cellStyle name="Normal 2 2 2 2 2 2 2 2 2 2 2 2 2 2 2 2 2 2 2 2 23 3" xfId="8377" xr:uid="{EE99F5B1-FED2-4576-9A4C-CA896E7358C2}"/>
    <cellStyle name="Normal 2 2 2 2 2 2 2 2 2 2 2 2 2 2 2 2 2 2 2 2 23 4" xfId="8378" xr:uid="{77C1E2FB-4D4E-4D14-8006-44706A3199A9}"/>
    <cellStyle name="Normal 2 2 2 2 2 2 2 2 2 2 2 2 2 2 2 2 2 2 2 2 23 5" xfId="8379" xr:uid="{942DEFED-78FB-4D59-95DD-8B40D2AE15B1}"/>
    <cellStyle name="Normal 2 2 2 2 2 2 2 2 2 2 2 2 2 2 2 2 2 2 2 2 23 6" xfId="8380" xr:uid="{56C0A08C-AD72-4A99-9341-B1F0B6E9B173}"/>
    <cellStyle name="Normal 2 2 2 2 2 2 2 2 2 2 2 2 2 2 2 2 2 2 2 2 23 7" xfId="8381" xr:uid="{C6F6775A-51D2-4239-9934-B9D93EDA1D36}"/>
    <cellStyle name="Normal 2 2 2 2 2 2 2 2 2 2 2 2 2 2 2 2 2 2 2 2 24" xfId="8382" xr:uid="{24E1B632-B869-4686-A7C2-7E93453D9C6C}"/>
    <cellStyle name="Normal 2 2 2 2 2 2 2 2 2 2 2 2 2 2 2 2 2 2 2 2 25" xfId="8383" xr:uid="{18A19553-992E-4CAA-B621-23176149E928}"/>
    <cellStyle name="Normal 2 2 2 2 2 2 2 2 2 2 2 2 2 2 2 2 2 2 2 2 26" xfId="8384" xr:uid="{2F74654F-A193-4B8A-9310-AF4A4BAA639D}"/>
    <cellStyle name="Normal 2 2 2 2 2 2 2 2 2 2 2 2 2 2 2 2 2 2 2 2 27" xfId="8385" xr:uid="{D47DC394-7209-4425-9571-02490230891E}"/>
    <cellStyle name="Normal 2 2 2 2 2 2 2 2 2 2 2 2 2 2 2 2 2 2 2 2 28" xfId="8386" xr:uid="{FA7396DF-281D-4F84-B605-193F9C530E1F}"/>
    <cellStyle name="Normal 2 2 2 2 2 2 2 2 2 2 2 2 2 2 2 2 2 2 2 2 29" xfId="8387" xr:uid="{EA91096A-42BA-41F1-9241-4B31536966EA}"/>
    <cellStyle name="Normal 2 2 2 2 2 2 2 2 2 2 2 2 2 2 2 2 2 2 2 2 3" xfId="8388" xr:uid="{52FA8134-6357-42F5-9B17-57B39F4DAB84}"/>
    <cellStyle name="Normal 2 2 2 2 2 2 2 2 2 2 2 2 2 2 2 2 2 2 2 2 30" xfId="8389" xr:uid="{3DEDD36B-ECCA-4425-97E7-9F9294E4BEB5}"/>
    <cellStyle name="Normal 2 2 2 2 2 2 2 2 2 2 2 2 2 2 2 2 2 2 2 2 31" xfId="8390" xr:uid="{E4FF04DF-0285-4C05-91B9-CC141480B3F4}"/>
    <cellStyle name="Normal 2 2 2 2 2 2 2 2 2 2 2 2 2 2 2 2 2 2 2 2 32" xfId="8391" xr:uid="{3ACCF9FA-8EB9-4212-B754-61BFB00B9277}"/>
    <cellStyle name="Normal 2 2 2 2 2 2 2 2 2 2 2 2 2 2 2 2 2 2 2 2 33" xfId="8392" xr:uid="{9F185BCE-CE8A-4059-8574-B2291476D056}"/>
    <cellStyle name="Normal 2 2 2 2 2 2 2 2 2 2 2 2 2 2 2 2 2 2 2 2 34" xfId="8393" xr:uid="{8545D7D8-410B-415C-B048-6D1A900E9DF3}"/>
    <cellStyle name="Normal 2 2 2 2 2 2 2 2 2 2 2 2 2 2 2 2 2 2 2 2 35" xfId="8394" xr:uid="{4B8AF745-17B3-4C0D-A3BC-7D35638776A0}"/>
    <cellStyle name="Normal 2 2 2 2 2 2 2 2 2 2 2 2 2 2 2 2 2 2 2 2 36" xfId="8395" xr:uid="{2C2333AE-AB37-4515-A3F9-D330040A1122}"/>
    <cellStyle name="Normal 2 2 2 2 2 2 2 2 2 2 2 2 2 2 2 2 2 2 2 2 37" xfId="8396" xr:uid="{CEDC56A1-F672-4C3A-A30C-876E9A48B020}"/>
    <cellStyle name="Normal 2 2 2 2 2 2 2 2 2 2 2 2 2 2 2 2 2 2 2 2 38" xfId="8397" xr:uid="{78EDCD36-1593-4DC8-B073-A7BDBA870509}"/>
    <cellStyle name="Normal 2 2 2 2 2 2 2 2 2 2 2 2 2 2 2 2 2 2 2 2 39" xfId="8398" xr:uid="{444D3D5D-9016-4FC8-9251-DBEEEC3CF4D4}"/>
    <cellStyle name="Normal 2 2 2 2 2 2 2 2 2 2 2 2 2 2 2 2 2 2 2 2 4" xfId="8399" xr:uid="{23A380DD-3A1F-4D12-8301-9273778286AC}"/>
    <cellStyle name="Normal 2 2 2 2 2 2 2 2 2 2 2 2 2 2 2 2 2 2 2 2 40" xfId="8400" xr:uid="{62CB91E2-F831-49C1-BE51-ADE12F23D144}"/>
    <cellStyle name="Normal 2 2 2 2 2 2 2 2 2 2 2 2 2 2 2 2 2 2 2 2 41" xfId="8401" xr:uid="{E783346E-EF64-40ED-8B7C-6B96325AE84C}"/>
    <cellStyle name="Normal 2 2 2 2 2 2 2 2 2 2 2 2 2 2 2 2 2 2 2 2 42" xfId="8402" xr:uid="{0BA13F71-C078-44F8-B646-7EAAC86EDDE3}"/>
    <cellStyle name="Normal 2 2 2 2 2 2 2 2 2 2 2 2 2 2 2 2 2 2 2 2 43" xfId="8403" xr:uid="{E55C1947-6952-4CAC-AF6F-23270C96C53F}"/>
    <cellStyle name="Normal 2 2 2 2 2 2 2 2 2 2 2 2 2 2 2 2 2 2 2 2 44" xfId="8404" xr:uid="{01E21DB0-0265-4A31-A72B-8FD20D277F83}"/>
    <cellStyle name="Normal 2 2 2 2 2 2 2 2 2 2 2 2 2 2 2 2 2 2 2 2 45" xfId="8405" xr:uid="{314855AA-9C8A-44AF-A5D0-DC8255818C97}"/>
    <cellStyle name="Normal 2 2 2 2 2 2 2 2 2 2 2 2 2 2 2 2 2 2 2 2 46" xfId="8406" xr:uid="{9BAE603A-EAAA-4758-A095-CCDFE6A19D4B}"/>
    <cellStyle name="Normal 2 2 2 2 2 2 2 2 2 2 2 2 2 2 2 2 2 2 2 2 47" xfId="8407" xr:uid="{2451BBAA-825E-4AB7-8505-3D608276608C}"/>
    <cellStyle name="Normal 2 2 2 2 2 2 2 2 2 2 2 2 2 2 2 2 2 2 2 2 48" xfId="8408" xr:uid="{2CAFBAE0-A7D7-493E-B1C0-40340B2CEBBC}"/>
    <cellStyle name="Normal 2 2 2 2 2 2 2 2 2 2 2 2 2 2 2 2 2 2 2 2 49" xfId="8409" xr:uid="{F1F0783A-FA8D-4A4A-90F9-02ADD0BE1FFD}"/>
    <cellStyle name="Normal 2 2 2 2 2 2 2 2 2 2 2 2 2 2 2 2 2 2 2 2 5" xfId="8410" xr:uid="{CD9395D5-8050-4FEF-A76D-47155EB2824A}"/>
    <cellStyle name="Normal 2 2 2 2 2 2 2 2 2 2 2 2 2 2 2 2 2 2 2 2 50" xfId="8411" xr:uid="{C9F01846-CAE8-45D0-85BA-E9FA682369C8}"/>
    <cellStyle name="Normal 2 2 2 2 2 2 2 2 2 2 2 2 2 2 2 2 2 2 2 2 51" xfId="8412" xr:uid="{31804032-D73D-4C42-975F-97EBC4C5F7DB}"/>
    <cellStyle name="Normal 2 2 2 2 2 2 2 2 2 2 2 2 2 2 2 2 2 2 2 2 52" xfId="8413" xr:uid="{11298EAF-23A2-42B9-9E0C-6CAB2E1FDF83}"/>
    <cellStyle name="Normal 2 2 2 2 2 2 2 2 2 2 2 2 2 2 2 2 2 2 2 2 53" xfId="8414" xr:uid="{65689D60-37AA-41B5-A0C9-BF3E53680A14}"/>
    <cellStyle name="Normal 2 2 2 2 2 2 2 2 2 2 2 2 2 2 2 2 2 2 2 2 54" xfId="8415" xr:uid="{59D06373-BD5E-4889-876B-56B37CE1B21E}"/>
    <cellStyle name="Normal 2 2 2 2 2 2 2 2 2 2 2 2 2 2 2 2 2 2 2 2 55" xfId="8416" xr:uid="{3157F787-1C77-421B-8AB4-ECE1D1643259}"/>
    <cellStyle name="Normal 2 2 2 2 2 2 2 2 2 2 2 2 2 2 2 2 2 2 2 2 56" xfId="8417" xr:uid="{C0653639-E064-4391-B8FF-7EAD0F94AFF9}"/>
    <cellStyle name="Normal 2 2 2 2 2 2 2 2 2 2 2 2 2 2 2 2 2 2 2 2 57" xfId="8418" xr:uid="{B3D3186A-3783-4782-98AE-6476C987919E}"/>
    <cellStyle name="Normal 2 2 2 2 2 2 2 2 2 2 2 2 2 2 2 2 2 2 2 2 58" xfId="8419" xr:uid="{C1F4D38E-46D1-4D9C-99A7-B5D4456E368A}"/>
    <cellStyle name="Normal 2 2 2 2 2 2 2 2 2 2 2 2 2 2 2 2 2 2 2 2 59" xfId="8420" xr:uid="{2FA4C701-FABD-43F5-945F-EA896FCA493F}"/>
    <cellStyle name="Normal 2 2 2 2 2 2 2 2 2 2 2 2 2 2 2 2 2 2 2 2 6" xfId="8421" xr:uid="{3E3AFA8E-0887-4F1B-B5B7-5E0E010A767D}"/>
    <cellStyle name="Normal 2 2 2 2 2 2 2 2 2 2 2 2 2 2 2 2 2 2 2 2 60" xfId="8422" xr:uid="{DE8E4119-02E6-4F71-8DD9-776139EA79F2}"/>
    <cellStyle name="Normal 2 2 2 2 2 2 2 2 2 2 2 2 2 2 2 2 2 2 2 2 61" xfId="8423" xr:uid="{A8118797-DC1F-454D-A4BA-66F54A446EDE}"/>
    <cellStyle name="Normal 2 2 2 2 2 2 2 2 2 2 2 2 2 2 2 2 2 2 2 2 62" xfId="8424" xr:uid="{8049E2BC-4E49-4200-AAEE-C18FFC4CA1A7}"/>
    <cellStyle name="Normal 2 2 2 2 2 2 2 2 2 2 2 2 2 2 2 2 2 2 2 2 63" xfId="8425" xr:uid="{088A9AE2-39CF-4713-9332-DC4E9FCD03B9}"/>
    <cellStyle name="Normal 2 2 2 2 2 2 2 2 2 2 2 2 2 2 2 2 2 2 2 2 64" xfId="8426" xr:uid="{CEB2D748-0DC5-4E0E-862F-09AC3AAB70C8}"/>
    <cellStyle name="Normal 2 2 2 2 2 2 2 2 2 2 2 2 2 2 2 2 2 2 2 2 65" xfId="8427" xr:uid="{3269A82D-BF82-4A8A-BA15-6C42A6F7A405}"/>
    <cellStyle name="Normal 2 2 2 2 2 2 2 2 2 2 2 2 2 2 2 2 2 2 2 2 66" xfId="8428" xr:uid="{B852B313-ADE8-4BFD-87B2-CEF54FDEECCE}"/>
    <cellStyle name="Normal 2 2 2 2 2 2 2 2 2 2 2 2 2 2 2 2 2 2 2 2 67" xfId="8429" xr:uid="{2DF59F77-FAA8-4B0C-9CA4-A556AB4E1906}"/>
    <cellStyle name="Normal 2 2 2 2 2 2 2 2 2 2 2 2 2 2 2 2 2 2 2 2 68" xfId="8430" xr:uid="{5DC2E977-A586-4BF5-B701-DD7DFD567920}"/>
    <cellStyle name="Normal 2 2 2 2 2 2 2 2 2 2 2 2 2 2 2 2 2 2 2 2 69" xfId="8431" xr:uid="{9BD9F67D-6398-4138-A023-837E7F74676F}"/>
    <cellStyle name="Normal 2 2 2 2 2 2 2 2 2 2 2 2 2 2 2 2 2 2 2 2 7" xfId="8432" xr:uid="{5C6856E9-68C8-476D-BC71-413F146C43D4}"/>
    <cellStyle name="Normal 2 2 2 2 2 2 2 2 2 2 2 2 2 2 2 2 2 2 2 2 70" xfId="8433" xr:uid="{2BF837DA-C000-4D2E-A307-DB08644AFDA0}"/>
    <cellStyle name="Normal 2 2 2 2 2 2 2 2 2 2 2 2 2 2 2 2 2 2 2 2 70 2" xfId="8434" xr:uid="{5513973D-A17A-46CE-B526-113CC0A33E60}"/>
    <cellStyle name="Normal 2 2 2 2 2 2 2 2 2 2 2 2 2 2 2 2 2 2 2 2 70 3" xfId="8435" xr:uid="{3F59E632-6611-43EC-974D-A6ADF485BA79}"/>
    <cellStyle name="Normal 2 2 2 2 2 2 2 2 2 2 2 2 2 2 2 2 2 2 2 2 70 4" xfId="8436" xr:uid="{E36B8F5A-5076-4995-A1E0-C922815917D9}"/>
    <cellStyle name="Normal 2 2 2 2 2 2 2 2 2 2 2 2 2 2 2 2 2 2 2 2 71" xfId="8437" xr:uid="{49E41D6D-94A8-4EAD-8CF1-DF303D403968}"/>
    <cellStyle name="Normal 2 2 2 2 2 2 2 2 2 2 2 2 2 2 2 2 2 2 2 2 72" xfId="8438" xr:uid="{2B04904B-F51E-41D6-B4A7-CAC49A4EDE19}"/>
    <cellStyle name="Normal 2 2 2 2 2 2 2 2 2 2 2 2 2 2 2 2 2 2 2 2 8" xfId="8439" xr:uid="{88519F0D-1457-4485-A3D5-0309A5A91BAD}"/>
    <cellStyle name="Normal 2 2 2 2 2 2 2 2 2 2 2 2 2 2 2 2 2 2 2 2 8 2" xfId="8440" xr:uid="{340810D8-D76A-4483-B508-41D53B2BB841}"/>
    <cellStyle name="Normal 2 2 2 2 2 2 2 2 2 2 2 2 2 2 2 2 2 2 2 2 8 3" xfId="8441" xr:uid="{DBED13DA-E335-48DA-9C0F-B0F69C5B5B9F}"/>
    <cellStyle name="Normal 2 2 2 2 2 2 2 2 2 2 2 2 2 2 2 2 2 2 2 2 8 4" xfId="8442" xr:uid="{9BFBD671-C73B-4A27-A28A-B6AEAB57D9E4}"/>
    <cellStyle name="Normal 2 2 2 2 2 2 2 2 2 2 2 2 2 2 2 2 2 2 2 2 9" xfId="8443" xr:uid="{34E4F1E2-5966-4257-935C-D53AF082BB28}"/>
    <cellStyle name="Normal 2 2 2 2 2 2 2 2 2 2 2 2 2 2 2 2 2 2 2 20" xfId="8444" xr:uid="{C1001788-D971-4DEB-9904-8943E79F545E}"/>
    <cellStyle name="Normal 2 2 2 2 2 2 2 2 2 2 2 2 2 2 2 2 2 2 2 21" xfId="8445" xr:uid="{03DCA005-6DAC-47C6-AE19-2F54576FB9EE}"/>
    <cellStyle name="Normal 2 2 2 2 2 2 2 2 2 2 2 2 2 2 2 2 2 2 2 22" xfId="8446" xr:uid="{E27C8D1B-0021-4943-8B55-D2168BE454FD}"/>
    <cellStyle name="Normal 2 2 2 2 2 2 2 2 2 2 2 2 2 2 2 2 2 2 2 23" xfId="8447" xr:uid="{501A14EA-D548-472B-8B89-775ABE06683F}"/>
    <cellStyle name="Normal 2 2 2 2 2 2 2 2 2 2 2 2 2 2 2 2 2 2 2 23 2" xfId="8448" xr:uid="{1C12EABE-2D3D-4D5F-B98C-2097127057B0}"/>
    <cellStyle name="Normal 2 2 2 2 2 2 2 2 2 2 2 2 2 2 2 2 2 2 2 23 3" xfId="8449" xr:uid="{3B970B39-340D-4184-A2BF-4327D1F4450C}"/>
    <cellStyle name="Normal 2 2 2 2 2 2 2 2 2 2 2 2 2 2 2 2 2 2 2 23 4" xfId="8450" xr:uid="{CC8612D6-7CBF-437F-81C8-E68942783A93}"/>
    <cellStyle name="Normal 2 2 2 2 2 2 2 2 2 2 2 2 2 2 2 2 2 2 2 23 5" xfId="8451" xr:uid="{69D71B6D-1D2F-4798-A162-22EB28FA80C1}"/>
    <cellStyle name="Normal 2 2 2 2 2 2 2 2 2 2 2 2 2 2 2 2 2 2 2 23 6" xfId="8452" xr:uid="{6FDC4E2A-4D13-4097-83B3-0C178D6737C0}"/>
    <cellStyle name="Normal 2 2 2 2 2 2 2 2 2 2 2 2 2 2 2 2 2 2 2 23 7" xfId="8453" xr:uid="{A595E3DF-6C67-49A0-B2DF-D99A3CC321F0}"/>
    <cellStyle name="Normal 2 2 2 2 2 2 2 2 2 2 2 2 2 2 2 2 2 2 2 24" xfId="8454" xr:uid="{59E776F6-BFE3-4001-BD27-BA7F95D9895B}"/>
    <cellStyle name="Normal 2 2 2 2 2 2 2 2 2 2 2 2 2 2 2 2 2 2 2 25" xfId="8455" xr:uid="{6168F4AE-A934-4163-AB19-F514683CEA4B}"/>
    <cellStyle name="Normal 2 2 2 2 2 2 2 2 2 2 2 2 2 2 2 2 2 2 2 26" xfId="8456" xr:uid="{3EA16E4C-7A39-442C-8994-E5699E6A793A}"/>
    <cellStyle name="Normal 2 2 2 2 2 2 2 2 2 2 2 2 2 2 2 2 2 2 2 27" xfId="8457" xr:uid="{5715DDE6-AFCD-4499-957F-9B57956AC29A}"/>
    <cellStyle name="Normal 2 2 2 2 2 2 2 2 2 2 2 2 2 2 2 2 2 2 2 28" xfId="8458" xr:uid="{08AF13C0-4CCE-48A8-9E5C-FF07F9883C76}"/>
    <cellStyle name="Normal 2 2 2 2 2 2 2 2 2 2 2 2 2 2 2 2 2 2 2 29" xfId="8459" xr:uid="{2138A7B7-5401-435A-BD7A-278E93A6E546}"/>
    <cellStyle name="Normal 2 2 2 2 2 2 2 2 2 2 2 2 2 2 2 2 2 2 2 3" xfId="8460" xr:uid="{692836CE-F76D-4BDC-AC4E-49DB27904015}"/>
    <cellStyle name="Normal 2 2 2 2 2 2 2 2 2 2 2 2 2 2 2 2 2 2 2 3 2" xfId="8461" xr:uid="{24B9B68D-B006-4744-98DF-ADEECB588C4D}"/>
    <cellStyle name="Normal 2 2 2 2 2 2 2 2 2 2 2 2 2 2 2 2 2 2 2 3 2 2" xfId="8462" xr:uid="{1C1340B9-471D-4F8F-85B5-5FACD79FCB08}"/>
    <cellStyle name="Normal 2 2 2 2 2 2 2 2 2 2 2 2 2 2 2 2 2 2 2 3 2 3" xfId="8463" xr:uid="{68F327A4-840E-48C8-A827-8E557F7E6D27}"/>
    <cellStyle name="Normal 2 2 2 2 2 2 2 2 2 2 2 2 2 2 2 2 2 2 2 3 2 4" xfId="8464" xr:uid="{808AE64C-3EBC-4C65-9C07-35F1B1E87CAB}"/>
    <cellStyle name="Normal 2 2 2 2 2 2 2 2 2 2 2 2 2 2 2 2 2 2 2 3 3" xfId="8465" xr:uid="{745BC376-B636-44D1-AF74-8643427152FB}"/>
    <cellStyle name="Normal 2 2 2 2 2 2 2 2 2 2 2 2 2 2 2 2 2 2 2 3 4" xfId="8466" xr:uid="{0759D871-0670-40D4-A983-D9E5A1014C26}"/>
    <cellStyle name="Normal 2 2 2 2 2 2 2 2 2 2 2 2 2 2 2 2 2 2 2 3 5" xfId="8467" xr:uid="{2003CD0F-FF98-40A2-A74E-59CB9B3ED4EE}"/>
    <cellStyle name="Normal 2 2 2 2 2 2 2 2 2 2 2 2 2 2 2 2 2 2 2 3 6" xfId="8468" xr:uid="{A29E3D3D-8E0B-4EEA-8462-D43679FFACCF}"/>
    <cellStyle name="Normal 2 2 2 2 2 2 2 2 2 2 2 2 2 2 2 2 2 2 2 30" xfId="8469" xr:uid="{873B56D0-1FF3-42BD-BE2A-75AD464AF602}"/>
    <cellStyle name="Normal 2 2 2 2 2 2 2 2 2 2 2 2 2 2 2 2 2 2 2 31" xfId="8470" xr:uid="{7EB8AD5F-DA9E-470C-AA60-08C613D2BBEB}"/>
    <cellStyle name="Normal 2 2 2 2 2 2 2 2 2 2 2 2 2 2 2 2 2 2 2 32" xfId="8471" xr:uid="{262CB796-8B3F-4606-A241-D5D3122C681D}"/>
    <cellStyle name="Normal 2 2 2 2 2 2 2 2 2 2 2 2 2 2 2 2 2 2 2 33" xfId="8472" xr:uid="{EF51AFFF-FFA3-437E-857D-D2A512986995}"/>
    <cellStyle name="Normal 2 2 2 2 2 2 2 2 2 2 2 2 2 2 2 2 2 2 2 34" xfId="8473" xr:uid="{68D1BDC0-DA7F-49F4-A13B-28D39513824B}"/>
    <cellStyle name="Normal 2 2 2 2 2 2 2 2 2 2 2 2 2 2 2 2 2 2 2 35" xfId="8474" xr:uid="{1BC40F79-5C85-4BE0-A55B-B6C55CF57696}"/>
    <cellStyle name="Normal 2 2 2 2 2 2 2 2 2 2 2 2 2 2 2 2 2 2 2 36" xfId="8475" xr:uid="{BFCBB57C-F0EF-4463-88A7-9E3568FF371F}"/>
    <cellStyle name="Normal 2 2 2 2 2 2 2 2 2 2 2 2 2 2 2 2 2 2 2 37" xfId="8476" xr:uid="{2377853B-1956-4C95-9512-95255DAAD27F}"/>
    <cellStyle name="Normal 2 2 2 2 2 2 2 2 2 2 2 2 2 2 2 2 2 2 2 38" xfId="8477" xr:uid="{451DD556-076E-41F2-A603-4007313A3FC6}"/>
    <cellStyle name="Normal 2 2 2 2 2 2 2 2 2 2 2 2 2 2 2 2 2 2 2 39" xfId="8478" xr:uid="{3888CC3F-BFE5-436F-84D1-9A517FBB3067}"/>
    <cellStyle name="Normal 2 2 2 2 2 2 2 2 2 2 2 2 2 2 2 2 2 2 2 4" xfId="8479" xr:uid="{799AD417-431F-49BD-BF74-61C14C4016E3}"/>
    <cellStyle name="Normal 2 2 2 2 2 2 2 2 2 2 2 2 2 2 2 2 2 2 2 40" xfId="8480" xr:uid="{82800258-28E5-4DA0-9868-EFCCAE862616}"/>
    <cellStyle name="Normal 2 2 2 2 2 2 2 2 2 2 2 2 2 2 2 2 2 2 2 41" xfId="8481" xr:uid="{B9235FE1-0229-4BB4-9CD8-BE5134C46344}"/>
    <cellStyle name="Normal 2 2 2 2 2 2 2 2 2 2 2 2 2 2 2 2 2 2 2 42" xfId="8482" xr:uid="{FA3CA06E-4187-46F6-91DC-7B1BEFCE3656}"/>
    <cellStyle name="Normal 2 2 2 2 2 2 2 2 2 2 2 2 2 2 2 2 2 2 2 43" xfId="8483" xr:uid="{513A72D8-D916-4CE0-8D11-6EC836C08E42}"/>
    <cellStyle name="Normal 2 2 2 2 2 2 2 2 2 2 2 2 2 2 2 2 2 2 2 44" xfId="8484" xr:uid="{6059D862-28D0-4123-B370-EF9838B1D554}"/>
    <cellStyle name="Normal 2 2 2 2 2 2 2 2 2 2 2 2 2 2 2 2 2 2 2 45" xfId="8485" xr:uid="{480BC008-6A93-447F-9C39-A6519C3FBA3E}"/>
    <cellStyle name="Normal 2 2 2 2 2 2 2 2 2 2 2 2 2 2 2 2 2 2 2 46" xfId="8486" xr:uid="{C9BB0864-6946-4D55-AAC7-1EECF33759EB}"/>
    <cellStyle name="Normal 2 2 2 2 2 2 2 2 2 2 2 2 2 2 2 2 2 2 2 47" xfId="8487" xr:uid="{A0226689-1A48-44C2-92C9-DBB89C7E6D13}"/>
    <cellStyle name="Normal 2 2 2 2 2 2 2 2 2 2 2 2 2 2 2 2 2 2 2 48" xfId="8488" xr:uid="{691EA846-ADDA-4C19-B234-76D936155181}"/>
    <cellStyle name="Normal 2 2 2 2 2 2 2 2 2 2 2 2 2 2 2 2 2 2 2 49" xfId="8489" xr:uid="{033EDFC3-2ABE-400C-A3FF-CED234040640}"/>
    <cellStyle name="Normal 2 2 2 2 2 2 2 2 2 2 2 2 2 2 2 2 2 2 2 5" xfId="8490" xr:uid="{56B71C6D-586B-4825-9018-37B1E337EA96}"/>
    <cellStyle name="Normal 2 2 2 2 2 2 2 2 2 2 2 2 2 2 2 2 2 2 2 50" xfId="8491" xr:uid="{9D12A723-83BE-400B-8926-758E0A3864CC}"/>
    <cellStyle name="Normal 2 2 2 2 2 2 2 2 2 2 2 2 2 2 2 2 2 2 2 51" xfId="8492" xr:uid="{AF5DF1F8-8876-4EBA-AF36-255B5C925612}"/>
    <cellStyle name="Normal 2 2 2 2 2 2 2 2 2 2 2 2 2 2 2 2 2 2 2 52" xfId="8493" xr:uid="{A6B89DC7-FE26-4C7D-87DC-B616B5B6AF76}"/>
    <cellStyle name="Normal 2 2 2 2 2 2 2 2 2 2 2 2 2 2 2 2 2 2 2 53" xfId="8494" xr:uid="{5EDD9E1B-7359-4CA1-BFDD-4ADF7C8A44B5}"/>
    <cellStyle name="Normal 2 2 2 2 2 2 2 2 2 2 2 2 2 2 2 2 2 2 2 54" xfId="8495" xr:uid="{31847D68-6C4D-4EEE-81E0-457EC5BA08E1}"/>
    <cellStyle name="Normal 2 2 2 2 2 2 2 2 2 2 2 2 2 2 2 2 2 2 2 55" xfId="8496" xr:uid="{882E449C-F538-4E8B-858A-3787B45B1032}"/>
    <cellStyle name="Normal 2 2 2 2 2 2 2 2 2 2 2 2 2 2 2 2 2 2 2 56" xfId="8497" xr:uid="{26307934-B156-4039-8450-C30267B21740}"/>
    <cellStyle name="Normal 2 2 2 2 2 2 2 2 2 2 2 2 2 2 2 2 2 2 2 57" xfId="8498" xr:uid="{6BCA2DE1-5B33-4F4A-948F-E9F0060C7E01}"/>
    <cellStyle name="Normal 2 2 2 2 2 2 2 2 2 2 2 2 2 2 2 2 2 2 2 58" xfId="8499" xr:uid="{834B6ABA-9FBF-4C99-A7A8-D8C57F25A12F}"/>
    <cellStyle name="Normal 2 2 2 2 2 2 2 2 2 2 2 2 2 2 2 2 2 2 2 59" xfId="8500" xr:uid="{114E7CC6-E93F-43EC-B52C-6D0B03A4476F}"/>
    <cellStyle name="Normal 2 2 2 2 2 2 2 2 2 2 2 2 2 2 2 2 2 2 2 6" xfId="8501" xr:uid="{C17EF009-BB39-4B76-8628-FAB9BC7CC1C3}"/>
    <cellStyle name="Normal 2 2 2 2 2 2 2 2 2 2 2 2 2 2 2 2 2 2 2 60" xfId="8502" xr:uid="{5C134915-2979-4171-90C3-2F5F73368B94}"/>
    <cellStyle name="Normal 2 2 2 2 2 2 2 2 2 2 2 2 2 2 2 2 2 2 2 61" xfId="8503" xr:uid="{E5B130D0-E3DF-4CE9-8FAC-51E1506F803F}"/>
    <cellStyle name="Normal 2 2 2 2 2 2 2 2 2 2 2 2 2 2 2 2 2 2 2 62" xfId="8504" xr:uid="{EF43536C-37DF-41AD-97CD-EE775D0D3E29}"/>
    <cellStyle name="Normal 2 2 2 2 2 2 2 2 2 2 2 2 2 2 2 2 2 2 2 63" xfId="8505" xr:uid="{CA48FA35-0E42-4368-8A7B-631F30F543F5}"/>
    <cellStyle name="Normal 2 2 2 2 2 2 2 2 2 2 2 2 2 2 2 2 2 2 2 64" xfId="8506" xr:uid="{5FA5C04D-FD9F-4DA6-99DA-8AEF49AA3F5F}"/>
    <cellStyle name="Normal 2 2 2 2 2 2 2 2 2 2 2 2 2 2 2 2 2 2 2 65" xfId="8507" xr:uid="{7F606E9B-D035-4EA3-9968-BAD1FD824DEB}"/>
    <cellStyle name="Normal 2 2 2 2 2 2 2 2 2 2 2 2 2 2 2 2 2 2 2 66" xfId="8508" xr:uid="{A6B96F78-21CB-4B9E-88AF-DB7AEF1C7F2A}"/>
    <cellStyle name="Normal 2 2 2 2 2 2 2 2 2 2 2 2 2 2 2 2 2 2 2 67" xfId="8509" xr:uid="{9038AB6B-4B8A-4C89-A968-9022F7302DA8}"/>
    <cellStyle name="Normal 2 2 2 2 2 2 2 2 2 2 2 2 2 2 2 2 2 2 2 68" xfId="8510" xr:uid="{0047BBDF-8C24-4933-88ED-7BFFE915D35C}"/>
    <cellStyle name="Normal 2 2 2 2 2 2 2 2 2 2 2 2 2 2 2 2 2 2 2 69" xfId="8511" xr:uid="{E11079D6-3D3E-4F26-8094-13DA5DE0223B}"/>
    <cellStyle name="Normal 2 2 2 2 2 2 2 2 2 2 2 2 2 2 2 2 2 2 2 7" xfId="8512" xr:uid="{81CEA273-F58A-412D-8C33-E9CD21F0A3CB}"/>
    <cellStyle name="Normal 2 2 2 2 2 2 2 2 2 2 2 2 2 2 2 2 2 2 2 70" xfId="8513" xr:uid="{33F02C17-D8E8-4349-8908-8F0716E84995}"/>
    <cellStyle name="Normal 2 2 2 2 2 2 2 2 2 2 2 2 2 2 2 2 2 2 2 70 2" xfId="8514" xr:uid="{3A37EF67-91B1-4B27-B4A9-CA63D154083F}"/>
    <cellStyle name="Normal 2 2 2 2 2 2 2 2 2 2 2 2 2 2 2 2 2 2 2 70 3" xfId="8515" xr:uid="{C86A493F-3B62-4477-AE16-44E9757563AA}"/>
    <cellStyle name="Normal 2 2 2 2 2 2 2 2 2 2 2 2 2 2 2 2 2 2 2 70 4" xfId="8516" xr:uid="{C9980B38-451F-4929-AF88-B13483E4DF7F}"/>
    <cellStyle name="Normal 2 2 2 2 2 2 2 2 2 2 2 2 2 2 2 2 2 2 2 71" xfId="8517" xr:uid="{C6C99D0C-A305-4256-90E2-0E1637357B43}"/>
    <cellStyle name="Normal 2 2 2 2 2 2 2 2 2 2 2 2 2 2 2 2 2 2 2 72" xfId="8518" xr:uid="{81D93146-9A12-48E2-AE2B-677412EAFA06}"/>
    <cellStyle name="Normal 2 2 2 2 2 2 2 2 2 2 2 2 2 2 2 2 2 2 2 8" xfId="8519" xr:uid="{CC423EAB-BE8E-49DB-85F9-24DFA8B58F3C}"/>
    <cellStyle name="Normal 2 2 2 2 2 2 2 2 2 2 2 2 2 2 2 2 2 2 2 8 2" xfId="8520" xr:uid="{701BC09E-8460-4C8B-BB02-FABFC8F5BF10}"/>
    <cellStyle name="Normal 2 2 2 2 2 2 2 2 2 2 2 2 2 2 2 2 2 2 2 8 3" xfId="8521" xr:uid="{6C42F6DF-B8FA-4918-B214-AE007F3D590B}"/>
    <cellStyle name="Normal 2 2 2 2 2 2 2 2 2 2 2 2 2 2 2 2 2 2 2 8 4" xfId="8522" xr:uid="{779CA05D-F9D9-4740-9BA1-280BE621EB7C}"/>
    <cellStyle name="Normal 2 2 2 2 2 2 2 2 2 2 2 2 2 2 2 2 2 2 2 9" xfId="8523" xr:uid="{0167384C-446B-4D12-9580-EBD2E7E5BF40}"/>
    <cellStyle name="Normal 2 2 2 2 2 2 2 2 2 2 2 2 2 2 2 2 2 2 20" xfId="8524" xr:uid="{CD3E177A-8AC8-461E-8D11-4DC08F058A1D}"/>
    <cellStyle name="Normal 2 2 2 2 2 2 2 2 2 2 2 2 2 2 2 2 2 2 21" xfId="8525" xr:uid="{49A11099-9132-4221-BC4F-B23EE8CC573C}"/>
    <cellStyle name="Normal 2 2 2 2 2 2 2 2 2 2 2 2 2 2 2 2 2 2 22" xfId="8526" xr:uid="{DE4DC7B9-46FF-42C5-B869-79B87CB7549D}"/>
    <cellStyle name="Normal 2 2 2 2 2 2 2 2 2 2 2 2 2 2 2 2 2 2 23" xfId="8527" xr:uid="{80419D54-B27D-4459-BF99-E030BB5D5534}"/>
    <cellStyle name="Normal 2 2 2 2 2 2 2 2 2 2 2 2 2 2 2 2 2 2 24" xfId="8528" xr:uid="{1DD2345E-3065-44DA-89DB-D068231AD19E}"/>
    <cellStyle name="Normal 2 2 2 2 2 2 2 2 2 2 2 2 2 2 2 2 2 2 25" xfId="8529" xr:uid="{1401B73A-2E27-431C-8A9C-844F6D7D0791}"/>
    <cellStyle name="Normal 2 2 2 2 2 2 2 2 2 2 2 2 2 2 2 2 2 2 26" xfId="8530" xr:uid="{3197E66A-684B-45AD-AA50-6B70B1D2520B}"/>
    <cellStyle name="Normal 2 2 2 2 2 2 2 2 2 2 2 2 2 2 2 2 2 2 26 2" xfId="8531" xr:uid="{1D95FA05-43DC-45B8-96E3-CACDA95B330C}"/>
    <cellStyle name="Normal 2 2 2 2 2 2 2 2 2 2 2 2 2 2 2 2 2 2 26 3" xfId="8532" xr:uid="{F30BF521-EC57-411F-8022-6E6A70B0710C}"/>
    <cellStyle name="Normal 2 2 2 2 2 2 2 2 2 2 2 2 2 2 2 2 2 2 26 4" xfId="8533" xr:uid="{442855AA-3B50-4320-B690-245D036DF38F}"/>
    <cellStyle name="Normal 2 2 2 2 2 2 2 2 2 2 2 2 2 2 2 2 2 2 26 5" xfId="8534" xr:uid="{FE4DD421-A7AE-4700-86CA-4F1B4092A081}"/>
    <cellStyle name="Normal 2 2 2 2 2 2 2 2 2 2 2 2 2 2 2 2 2 2 26 6" xfId="8535" xr:uid="{C4E0F795-3F77-4D31-A9EB-DA1B8E8C67A3}"/>
    <cellStyle name="Normal 2 2 2 2 2 2 2 2 2 2 2 2 2 2 2 2 2 2 26 7" xfId="8536" xr:uid="{A6721FAA-3E7B-46DA-847A-22D76299709B}"/>
    <cellStyle name="Normal 2 2 2 2 2 2 2 2 2 2 2 2 2 2 2 2 2 2 27" xfId="8537" xr:uid="{454B325A-7D53-4521-9593-82E76EF47A93}"/>
    <cellStyle name="Normal 2 2 2 2 2 2 2 2 2 2 2 2 2 2 2 2 2 2 28" xfId="8538" xr:uid="{A6D46277-C463-4797-98E6-A668E1DD8521}"/>
    <cellStyle name="Normal 2 2 2 2 2 2 2 2 2 2 2 2 2 2 2 2 2 2 29" xfId="8539" xr:uid="{92E32D25-7E29-461F-8277-D021E7FEBA87}"/>
    <cellStyle name="Normal 2 2 2 2 2 2 2 2 2 2 2 2 2 2 2 2 2 2 3" xfId="8540" xr:uid="{1BD0FBD0-6A44-4695-B245-BC6B4002FCD1}"/>
    <cellStyle name="Normal 2 2 2 2 2 2 2 2 2 2 2 2 2 2 2 2 2 2 30" xfId="8541" xr:uid="{D5F240B0-7D6C-4301-9C6D-C592F9EE3C3F}"/>
    <cellStyle name="Normal 2 2 2 2 2 2 2 2 2 2 2 2 2 2 2 2 2 2 31" xfId="8542" xr:uid="{457777ED-A1F4-4ECA-9297-59BD1EE9CF3D}"/>
    <cellStyle name="Normal 2 2 2 2 2 2 2 2 2 2 2 2 2 2 2 2 2 2 32" xfId="8543" xr:uid="{E8B5FA7C-7337-4F32-B4F0-763E3AC4CB37}"/>
    <cellStyle name="Normal 2 2 2 2 2 2 2 2 2 2 2 2 2 2 2 2 2 2 33" xfId="8544" xr:uid="{44078712-2067-4488-AA52-1BAC4EC8123A}"/>
    <cellStyle name="Normal 2 2 2 2 2 2 2 2 2 2 2 2 2 2 2 2 2 2 34" xfId="8545" xr:uid="{D21E9C5E-954F-495D-B0B2-00595196A4A8}"/>
    <cellStyle name="Normal 2 2 2 2 2 2 2 2 2 2 2 2 2 2 2 2 2 2 35" xfId="8546" xr:uid="{EFA66DDD-1ED6-4322-926F-75C749C96BBB}"/>
    <cellStyle name="Normal 2 2 2 2 2 2 2 2 2 2 2 2 2 2 2 2 2 2 36" xfId="8547" xr:uid="{0B82D1A4-CD04-44BD-AAF3-04482AF48959}"/>
    <cellStyle name="Normal 2 2 2 2 2 2 2 2 2 2 2 2 2 2 2 2 2 2 37" xfId="8548" xr:uid="{51ECAB01-40B6-43BA-A615-9D8D788AA7FB}"/>
    <cellStyle name="Normal 2 2 2 2 2 2 2 2 2 2 2 2 2 2 2 2 2 2 38" xfId="8549" xr:uid="{EFEC9661-E6AC-4826-81B9-7C31185297BE}"/>
    <cellStyle name="Normal 2 2 2 2 2 2 2 2 2 2 2 2 2 2 2 2 2 2 39" xfId="8550" xr:uid="{612815D1-E628-4C22-9B7E-A1151CD7DA50}"/>
    <cellStyle name="Normal 2 2 2 2 2 2 2 2 2 2 2 2 2 2 2 2 2 2 4" xfId="8551" xr:uid="{B2BA87C5-D3C0-4C8C-B342-B76B71A43B1F}"/>
    <cellStyle name="Normal 2 2 2 2 2 2 2 2 2 2 2 2 2 2 2 2 2 2 40" xfId="8552" xr:uid="{BA394A79-4045-4BFD-BCE5-DE25537ABF2A}"/>
    <cellStyle name="Normal 2 2 2 2 2 2 2 2 2 2 2 2 2 2 2 2 2 2 41" xfId="8553" xr:uid="{AE3772D0-D463-4C24-A160-EB38B49675F9}"/>
    <cellStyle name="Normal 2 2 2 2 2 2 2 2 2 2 2 2 2 2 2 2 2 2 42" xfId="8554" xr:uid="{606F7AEF-B437-40F1-A4FB-C5B117BA46B5}"/>
    <cellStyle name="Normal 2 2 2 2 2 2 2 2 2 2 2 2 2 2 2 2 2 2 43" xfId="8555" xr:uid="{4218E255-02A7-4BAD-B038-75F021A89BB1}"/>
    <cellStyle name="Normal 2 2 2 2 2 2 2 2 2 2 2 2 2 2 2 2 2 2 44" xfId="8556" xr:uid="{333533D9-53DF-4685-8EEC-A5641EC677B8}"/>
    <cellStyle name="Normal 2 2 2 2 2 2 2 2 2 2 2 2 2 2 2 2 2 2 45" xfId="8557" xr:uid="{4B5FEC8C-692C-42B8-A580-261B6E43B034}"/>
    <cellStyle name="Normal 2 2 2 2 2 2 2 2 2 2 2 2 2 2 2 2 2 2 46" xfId="8558" xr:uid="{FED76BDC-A660-49CF-AE4A-D7DCC2BBC7E1}"/>
    <cellStyle name="Normal 2 2 2 2 2 2 2 2 2 2 2 2 2 2 2 2 2 2 47" xfId="8559" xr:uid="{E1F01420-1056-4227-AA51-6621BFA35009}"/>
    <cellStyle name="Normal 2 2 2 2 2 2 2 2 2 2 2 2 2 2 2 2 2 2 48" xfId="8560" xr:uid="{7D70E98C-4374-46C2-BFA3-2441942F992F}"/>
    <cellStyle name="Normal 2 2 2 2 2 2 2 2 2 2 2 2 2 2 2 2 2 2 49" xfId="8561" xr:uid="{36EF44F9-1432-4017-96EA-A0EC85E210B2}"/>
    <cellStyle name="Normal 2 2 2 2 2 2 2 2 2 2 2 2 2 2 2 2 2 2 5" xfId="8562" xr:uid="{9C733323-4FB4-4C5A-A037-0096118E6AF8}"/>
    <cellStyle name="Normal 2 2 2 2 2 2 2 2 2 2 2 2 2 2 2 2 2 2 5 2" xfId="8563" xr:uid="{BB9EB089-D8FB-4A96-B357-A2B61379161B}"/>
    <cellStyle name="Normal 2 2 2 2 2 2 2 2 2 2 2 2 2 2 2 2 2 2 5 2 2" xfId="8564" xr:uid="{E17485A0-96E3-46EE-8872-50A692F13B63}"/>
    <cellStyle name="Normal 2 2 2 2 2 2 2 2 2 2 2 2 2 2 2 2 2 2 5 2 3" xfId="8565" xr:uid="{259CD8F1-3F5D-4627-B5F7-33FE6670DAC7}"/>
    <cellStyle name="Normal 2 2 2 2 2 2 2 2 2 2 2 2 2 2 2 2 2 2 5 2 4" xfId="8566" xr:uid="{B4E1FA88-4E03-4179-AB1F-C51755F8759F}"/>
    <cellStyle name="Normal 2 2 2 2 2 2 2 2 2 2 2 2 2 2 2 2 2 2 5 3" xfId="8567" xr:uid="{7AC305FB-BD37-4AD1-ACFB-D8860ED1EF6C}"/>
    <cellStyle name="Normal 2 2 2 2 2 2 2 2 2 2 2 2 2 2 2 2 2 2 5 4" xfId="8568" xr:uid="{7D84E224-DFC7-4403-AC86-7DC8D3143FC7}"/>
    <cellStyle name="Normal 2 2 2 2 2 2 2 2 2 2 2 2 2 2 2 2 2 2 5 5" xfId="8569" xr:uid="{15CDE253-0131-47CF-B308-CEAA6C41E3A9}"/>
    <cellStyle name="Normal 2 2 2 2 2 2 2 2 2 2 2 2 2 2 2 2 2 2 5 6" xfId="8570" xr:uid="{F070DFB6-D9EA-4943-ABAE-AFC71258642A}"/>
    <cellStyle name="Normal 2 2 2 2 2 2 2 2 2 2 2 2 2 2 2 2 2 2 50" xfId="8571" xr:uid="{BAE70EEA-1525-40B9-86F4-BB6CEF011A3C}"/>
    <cellStyle name="Normal 2 2 2 2 2 2 2 2 2 2 2 2 2 2 2 2 2 2 51" xfId="8572" xr:uid="{7561E49A-51EB-4AFE-B3A1-008B90F2B263}"/>
    <cellStyle name="Normal 2 2 2 2 2 2 2 2 2 2 2 2 2 2 2 2 2 2 52" xfId="8573" xr:uid="{CE228701-9F7F-41D5-B1B6-A9ED1AADA0C8}"/>
    <cellStyle name="Normal 2 2 2 2 2 2 2 2 2 2 2 2 2 2 2 2 2 2 53" xfId="8574" xr:uid="{39AE19F7-CA7A-473C-9A07-B5170378D774}"/>
    <cellStyle name="Normal 2 2 2 2 2 2 2 2 2 2 2 2 2 2 2 2 2 2 54" xfId="8575" xr:uid="{14657679-3366-4FFA-9825-2261F4D2E033}"/>
    <cellStyle name="Normal 2 2 2 2 2 2 2 2 2 2 2 2 2 2 2 2 2 2 55" xfId="8576" xr:uid="{451A8053-2274-427B-A9DA-66C16E750E06}"/>
    <cellStyle name="Normal 2 2 2 2 2 2 2 2 2 2 2 2 2 2 2 2 2 2 56" xfId="8577" xr:uid="{DB0F5089-33F9-4694-B07D-ACC37AD1BAE7}"/>
    <cellStyle name="Normal 2 2 2 2 2 2 2 2 2 2 2 2 2 2 2 2 2 2 57" xfId="8578" xr:uid="{2E65606C-8021-440A-8A53-6CA1B3F69FAB}"/>
    <cellStyle name="Normal 2 2 2 2 2 2 2 2 2 2 2 2 2 2 2 2 2 2 58" xfId="8579" xr:uid="{CCCDDB9C-B790-43F0-85FD-C0C572DCAE1F}"/>
    <cellStyle name="Normal 2 2 2 2 2 2 2 2 2 2 2 2 2 2 2 2 2 2 59" xfId="8580" xr:uid="{5E234EC0-F008-4948-ADDD-44E821C697E9}"/>
    <cellStyle name="Normal 2 2 2 2 2 2 2 2 2 2 2 2 2 2 2 2 2 2 6" xfId="8581" xr:uid="{D3483588-6C44-4047-A2B4-F36A55D8827D}"/>
    <cellStyle name="Normal 2 2 2 2 2 2 2 2 2 2 2 2 2 2 2 2 2 2 60" xfId="8582" xr:uid="{729C893F-5DD4-49ED-A4A6-D52807E46294}"/>
    <cellStyle name="Normal 2 2 2 2 2 2 2 2 2 2 2 2 2 2 2 2 2 2 61" xfId="8583" xr:uid="{FA6B1CE8-51C5-433C-942C-B87D27E76432}"/>
    <cellStyle name="Normal 2 2 2 2 2 2 2 2 2 2 2 2 2 2 2 2 2 2 62" xfId="8584" xr:uid="{98CD9C48-2A6E-4452-A257-D7152F64FA93}"/>
    <cellStyle name="Normal 2 2 2 2 2 2 2 2 2 2 2 2 2 2 2 2 2 2 63" xfId="8585" xr:uid="{92E48CCE-62DD-456F-BE87-00D54093E8A5}"/>
    <cellStyle name="Normal 2 2 2 2 2 2 2 2 2 2 2 2 2 2 2 2 2 2 64" xfId="8586" xr:uid="{6A013EA1-32D7-42CB-A7F1-E47B03972625}"/>
    <cellStyle name="Normal 2 2 2 2 2 2 2 2 2 2 2 2 2 2 2 2 2 2 65" xfId="8587" xr:uid="{6A3AA2E2-425B-42EA-9092-9B7D147EC0E7}"/>
    <cellStyle name="Normal 2 2 2 2 2 2 2 2 2 2 2 2 2 2 2 2 2 2 66" xfId="8588" xr:uid="{412680EB-64D3-4EB1-8E92-88C83CF8435F}"/>
    <cellStyle name="Normal 2 2 2 2 2 2 2 2 2 2 2 2 2 2 2 2 2 2 67" xfId="8589" xr:uid="{5DE4F238-D047-43A5-B1B1-B9BEE7A302B6}"/>
    <cellStyle name="Normal 2 2 2 2 2 2 2 2 2 2 2 2 2 2 2 2 2 2 68" xfId="8590" xr:uid="{F670FE5D-6230-4A91-B088-499A6862C79C}"/>
    <cellStyle name="Normal 2 2 2 2 2 2 2 2 2 2 2 2 2 2 2 2 2 2 69" xfId="8591" xr:uid="{6E209675-A436-4E76-B41B-F5E1FA3751F2}"/>
    <cellStyle name="Normal 2 2 2 2 2 2 2 2 2 2 2 2 2 2 2 2 2 2 7" xfId="8592" xr:uid="{9F5AAA7D-F07B-4924-965F-D33B93FFBC5C}"/>
    <cellStyle name="Normal 2 2 2 2 2 2 2 2 2 2 2 2 2 2 2 2 2 2 70" xfId="8593" xr:uid="{CB9DB31D-8818-4CFC-88FF-B2BFF93A0951}"/>
    <cellStyle name="Normal 2 2 2 2 2 2 2 2 2 2 2 2 2 2 2 2 2 2 71" xfId="8594" xr:uid="{8A552E80-63E1-401B-97CD-CBB17F18CAF6}"/>
    <cellStyle name="Normal 2 2 2 2 2 2 2 2 2 2 2 2 2 2 2 2 2 2 72" xfId="8595" xr:uid="{FCFA26B6-A764-40C9-B6F7-BEB633BDE0FF}"/>
    <cellStyle name="Normal 2 2 2 2 2 2 2 2 2 2 2 2 2 2 2 2 2 2 73" xfId="8596" xr:uid="{50E3986D-FF1C-4289-8AC4-F8A023479C62}"/>
    <cellStyle name="Normal 2 2 2 2 2 2 2 2 2 2 2 2 2 2 2 2 2 2 73 2" xfId="8597" xr:uid="{4427DADA-714B-4F49-A251-3FE33944D67D}"/>
    <cellStyle name="Normal 2 2 2 2 2 2 2 2 2 2 2 2 2 2 2 2 2 2 73 3" xfId="8598" xr:uid="{C66C0C2D-BC20-4CC2-9D2B-76B8B13B59AF}"/>
    <cellStyle name="Normal 2 2 2 2 2 2 2 2 2 2 2 2 2 2 2 2 2 2 73 4" xfId="8599" xr:uid="{9F7F9FDE-E015-41B5-BA1B-9BDD85D82045}"/>
    <cellStyle name="Normal 2 2 2 2 2 2 2 2 2 2 2 2 2 2 2 2 2 2 74" xfId="8600" xr:uid="{7A3A5546-D352-44D1-BD1B-FBD3FA2BAA60}"/>
    <cellStyle name="Normal 2 2 2 2 2 2 2 2 2 2 2 2 2 2 2 2 2 2 75" xfId="8601" xr:uid="{0E6F55F9-54D5-45DD-8C52-7203D3CC08F8}"/>
    <cellStyle name="Normal 2 2 2 2 2 2 2 2 2 2 2 2 2 2 2 2 2 2 8" xfId="8602" xr:uid="{445E7D66-691A-4550-B3ED-224F771B2A4B}"/>
    <cellStyle name="Normal 2 2 2 2 2 2 2 2 2 2 2 2 2 2 2 2 2 2 9" xfId="8603" xr:uid="{DF8325CF-451E-4FCD-BDC6-000DB6B60451}"/>
    <cellStyle name="Normal 2 2 2 2 2 2 2 2 2 2 2 2 2 2 2 2 2 20" xfId="8604" xr:uid="{101670E9-58D7-4AB0-9745-B1F15061BF9E}"/>
    <cellStyle name="Normal 2 2 2 2 2 2 2 2 2 2 2 2 2 2 2 2 2 21" xfId="8605" xr:uid="{B0C57679-AD8C-4025-99CC-DE12C7247FA5}"/>
    <cellStyle name="Normal 2 2 2 2 2 2 2 2 2 2 2 2 2 2 2 2 2 22" xfId="8606" xr:uid="{EB1B413D-B396-4C9C-9EE5-6335640FFF57}"/>
    <cellStyle name="Normal 2 2 2 2 2 2 2 2 2 2 2 2 2 2 2 2 2 23" xfId="8607" xr:uid="{B553EB1C-1DAC-4227-AB6D-A32674A43DC9}"/>
    <cellStyle name="Normal 2 2 2 2 2 2 2 2 2 2 2 2 2 2 2 2 2 24" xfId="8608" xr:uid="{2717CD22-96F7-4291-9131-A3F1F618C544}"/>
    <cellStyle name="Normal 2 2 2 2 2 2 2 2 2 2 2 2 2 2 2 2 2 25" xfId="8609" xr:uid="{C400EF6D-5461-404C-A5B5-973A14A93983}"/>
    <cellStyle name="Normal 2 2 2 2 2 2 2 2 2 2 2 2 2 2 2 2 2 26" xfId="8610" xr:uid="{5404255A-EC75-4CBA-B55F-294363A61279}"/>
    <cellStyle name="Normal 2 2 2 2 2 2 2 2 2 2 2 2 2 2 2 2 2 27" xfId="8611" xr:uid="{67B0BC57-B5CD-4C9C-9EBC-2F18E5F55FE2}"/>
    <cellStyle name="Normal 2 2 2 2 2 2 2 2 2 2 2 2 2 2 2 2 2 28" xfId="8612" xr:uid="{1D23822D-5060-4B15-844B-D5469B4679A0}"/>
    <cellStyle name="Normal 2 2 2 2 2 2 2 2 2 2 2 2 2 2 2 2 2 28 2" xfId="8613" xr:uid="{415FE526-C2F8-456A-8B26-24B4548D0081}"/>
    <cellStyle name="Normal 2 2 2 2 2 2 2 2 2 2 2 2 2 2 2 2 2 28 3" xfId="8614" xr:uid="{908A987C-BC50-4D48-A068-383F7355FBE9}"/>
    <cellStyle name="Normal 2 2 2 2 2 2 2 2 2 2 2 2 2 2 2 2 2 28 4" xfId="8615" xr:uid="{5F24893F-B263-4494-93D7-0B1AA3199BE8}"/>
    <cellStyle name="Normal 2 2 2 2 2 2 2 2 2 2 2 2 2 2 2 2 2 28 5" xfId="8616" xr:uid="{F5603D61-60F8-4033-8646-4866A019C127}"/>
    <cellStyle name="Normal 2 2 2 2 2 2 2 2 2 2 2 2 2 2 2 2 2 28 6" xfId="8617" xr:uid="{85616D11-D62C-46A6-A605-29EC5FA67C20}"/>
    <cellStyle name="Normal 2 2 2 2 2 2 2 2 2 2 2 2 2 2 2 2 2 28 7" xfId="8618" xr:uid="{FEA91FE9-7380-44C1-9A2A-0A5AE5A37B3E}"/>
    <cellStyle name="Normal 2 2 2 2 2 2 2 2 2 2 2 2 2 2 2 2 2 29" xfId="8619" xr:uid="{199DB46A-6B81-4E6A-9CFC-66D56782C599}"/>
    <cellStyle name="Normal 2 2 2 2 2 2 2 2 2 2 2 2 2 2 2 2 2 3" xfId="8620" xr:uid="{F2711905-CDF5-4752-88C2-E139672E284E}"/>
    <cellStyle name="Normal 2 2 2 2 2 2 2 2 2 2 2 2 2 2 2 2 2 30" xfId="8621" xr:uid="{F1E60E6E-C2C2-4B8F-9B13-4C4AD4FF9DDB}"/>
    <cellStyle name="Normal 2 2 2 2 2 2 2 2 2 2 2 2 2 2 2 2 2 31" xfId="8622" xr:uid="{C7A170B3-843C-4962-B94D-55EF0A23F553}"/>
    <cellStyle name="Normal 2 2 2 2 2 2 2 2 2 2 2 2 2 2 2 2 2 32" xfId="8623" xr:uid="{D99AE602-2560-45AA-967A-F1035FB7605F}"/>
    <cellStyle name="Normal 2 2 2 2 2 2 2 2 2 2 2 2 2 2 2 2 2 33" xfId="8624" xr:uid="{F8038F71-9A37-46F6-A180-4DC9802BBDA4}"/>
    <cellStyle name="Normal 2 2 2 2 2 2 2 2 2 2 2 2 2 2 2 2 2 34" xfId="8625" xr:uid="{817006FE-0FE7-43F6-9C83-D4D090AC35CF}"/>
    <cellStyle name="Normal 2 2 2 2 2 2 2 2 2 2 2 2 2 2 2 2 2 35" xfId="8626" xr:uid="{60AFC083-8BE1-420F-BFD5-7376F576F78B}"/>
    <cellStyle name="Normal 2 2 2 2 2 2 2 2 2 2 2 2 2 2 2 2 2 36" xfId="8627" xr:uid="{CA894F53-B400-46CD-A08E-1DFAE24EA0D6}"/>
    <cellStyle name="Normal 2 2 2 2 2 2 2 2 2 2 2 2 2 2 2 2 2 37" xfId="8628" xr:uid="{B54F07B9-F4AE-4C07-8860-1D3377B2C46E}"/>
    <cellStyle name="Normal 2 2 2 2 2 2 2 2 2 2 2 2 2 2 2 2 2 38" xfId="8629" xr:uid="{7E6F09E7-2D6E-4E0D-B259-7B95FBA01944}"/>
    <cellStyle name="Normal 2 2 2 2 2 2 2 2 2 2 2 2 2 2 2 2 2 39" xfId="8630" xr:uid="{E8D3DA76-3887-4AAC-A2B1-DA27F194E760}"/>
    <cellStyle name="Normal 2 2 2 2 2 2 2 2 2 2 2 2 2 2 2 2 2 4" xfId="8631" xr:uid="{FA80D506-F532-452C-9DD7-AAEBCF8E463F}"/>
    <cellStyle name="Normal 2 2 2 2 2 2 2 2 2 2 2 2 2 2 2 2 2 40" xfId="8632" xr:uid="{08188ECC-1EE9-4042-9ABC-B9DC43DB20D0}"/>
    <cellStyle name="Normal 2 2 2 2 2 2 2 2 2 2 2 2 2 2 2 2 2 41" xfId="8633" xr:uid="{6C3C9853-5796-4FD1-878E-2D587E8C4C7E}"/>
    <cellStyle name="Normal 2 2 2 2 2 2 2 2 2 2 2 2 2 2 2 2 2 42" xfId="8634" xr:uid="{3A9721DD-6A15-442F-A2F9-033DA1CBB97D}"/>
    <cellStyle name="Normal 2 2 2 2 2 2 2 2 2 2 2 2 2 2 2 2 2 43" xfId="8635" xr:uid="{E3BA22A0-3B0C-4952-81E5-0E5C971D5C6E}"/>
    <cellStyle name="Normal 2 2 2 2 2 2 2 2 2 2 2 2 2 2 2 2 2 44" xfId="8636" xr:uid="{299E1456-B57F-4C9A-B844-EE506F1C91CE}"/>
    <cellStyle name="Normal 2 2 2 2 2 2 2 2 2 2 2 2 2 2 2 2 2 45" xfId="8637" xr:uid="{81FE4695-18BD-41BE-9C42-A6CC76AEFB95}"/>
    <cellStyle name="Normal 2 2 2 2 2 2 2 2 2 2 2 2 2 2 2 2 2 46" xfId="8638" xr:uid="{F8CAA402-A5DD-4CB3-A09A-E1727BA069ED}"/>
    <cellStyle name="Normal 2 2 2 2 2 2 2 2 2 2 2 2 2 2 2 2 2 47" xfId="8639" xr:uid="{D107F45D-59D0-4CD8-AF12-CEB306D04E99}"/>
    <cellStyle name="Normal 2 2 2 2 2 2 2 2 2 2 2 2 2 2 2 2 2 48" xfId="8640" xr:uid="{03D792E5-BCFE-44D5-81AE-B87E15145C83}"/>
    <cellStyle name="Normal 2 2 2 2 2 2 2 2 2 2 2 2 2 2 2 2 2 49" xfId="8641" xr:uid="{D3E9EE9C-D6B7-4466-9C6F-DC2046D2A9ED}"/>
    <cellStyle name="Normal 2 2 2 2 2 2 2 2 2 2 2 2 2 2 2 2 2 5" xfId="8642" xr:uid="{2F434606-8D85-4041-9B7A-584DF082B86B}"/>
    <cellStyle name="Normal 2 2 2 2 2 2 2 2 2 2 2 2 2 2 2 2 2 5 10" xfId="8643" xr:uid="{06D59E21-9524-4333-9642-C9E618821791}"/>
    <cellStyle name="Normal 2 2 2 2 2 2 2 2 2 2 2 2 2 2 2 2 2 5 11" xfId="8644" xr:uid="{EA4351D6-23B2-4A5C-961D-FCAF3D50DD3E}"/>
    <cellStyle name="Normal 2 2 2 2 2 2 2 2 2 2 2 2 2 2 2 2 2 5 2" xfId="8645" xr:uid="{7000559E-E9C4-4D36-930F-FBBE98AF6309}"/>
    <cellStyle name="Normal 2 2 2 2 2 2 2 2 2 2 2 2 2 2 2 2 2 5 2 10" xfId="8646" xr:uid="{7AB33C89-A0A8-4550-8A45-9EAE4DDCF1C0}"/>
    <cellStyle name="Normal 2 2 2 2 2 2 2 2 2 2 2 2 2 2 2 2 2 5 2 11" xfId="8647" xr:uid="{975769D1-841A-4B70-8298-E3FC52FC357B}"/>
    <cellStyle name="Normal 2 2 2 2 2 2 2 2 2 2 2 2 2 2 2 2 2 5 2 2" xfId="8648" xr:uid="{EEFB7A62-C9E8-40AD-B690-5363306EF7A3}"/>
    <cellStyle name="Normal 2 2 2 2 2 2 2 2 2 2 2 2 2 2 2 2 2 5 2 2 2" xfId="8649" xr:uid="{676582C3-AFD0-4ABD-9848-5A1ADF59583A}"/>
    <cellStyle name="Normal 2 2 2 2 2 2 2 2 2 2 2 2 2 2 2 2 2 5 2 2 2 2" xfId="8650" xr:uid="{5D9D7AD9-440D-4DF7-ACAD-8AF564F6967B}"/>
    <cellStyle name="Normal 2 2 2 2 2 2 2 2 2 2 2 2 2 2 2 2 2 5 2 2 2 3" xfId="8651" xr:uid="{7514C765-0F17-4DA6-8407-03033EEBB52D}"/>
    <cellStyle name="Normal 2 2 2 2 2 2 2 2 2 2 2 2 2 2 2 2 2 5 2 2 2 4" xfId="8652" xr:uid="{3193C499-C928-4138-B198-3A1EAA4699F2}"/>
    <cellStyle name="Normal 2 2 2 2 2 2 2 2 2 2 2 2 2 2 2 2 2 5 2 2 3" xfId="8653" xr:uid="{B7755BCE-8B75-4226-90AC-0F0F9C12C769}"/>
    <cellStyle name="Normal 2 2 2 2 2 2 2 2 2 2 2 2 2 2 2 2 2 5 2 2 4" xfId="8654" xr:uid="{B30E4D98-5E8E-450B-B3FB-A464D34DDD8C}"/>
    <cellStyle name="Normal 2 2 2 2 2 2 2 2 2 2 2 2 2 2 2 2 2 5 2 2 5" xfId="8655" xr:uid="{F839CB89-5995-4A04-A963-127200B0EEB4}"/>
    <cellStyle name="Normal 2 2 2 2 2 2 2 2 2 2 2 2 2 2 2 2 2 5 2 2 6" xfId="8656" xr:uid="{4E9B41FC-61F1-4A38-B4D5-64129CB363EC}"/>
    <cellStyle name="Normal 2 2 2 2 2 2 2 2 2 2 2 2 2 2 2 2 2 5 2 3" xfId="8657" xr:uid="{59DD8D0E-9306-4F32-989C-0FB5D0A1F892}"/>
    <cellStyle name="Normal 2 2 2 2 2 2 2 2 2 2 2 2 2 2 2 2 2 5 2 4" xfId="8658" xr:uid="{E35D06EB-C38B-4B4B-B0DB-ABEAF5AC6B18}"/>
    <cellStyle name="Normal 2 2 2 2 2 2 2 2 2 2 2 2 2 2 2 2 2 5 2 5" xfId="8659" xr:uid="{71370DB0-D6D2-4176-8028-6D78185197FC}"/>
    <cellStyle name="Normal 2 2 2 2 2 2 2 2 2 2 2 2 2 2 2 2 2 5 2 6" xfId="8660" xr:uid="{239CD809-A6CC-432C-91B4-6CEA2EC4C0DB}"/>
    <cellStyle name="Normal 2 2 2 2 2 2 2 2 2 2 2 2 2 2 2 2 2 5 2 7" xfId="8661" xr:uid="{1F868A2B-F749-4AC4-AE95-1C655ADC3920}"/>
    <cellStyle name="Normal 2 2 2 2 2 2 2 2 2 2 2 2 2 2 2 2 2 5 2 8" xfId="8662" xr:uid="{DC338036-AB0B-41C3-8F53-BE730688F631}"/>
    <cellStyle name="Normal 2 2 2 2 2 2 2 2 2 2 2 2 2 2 2 2 2 5 2 8 2" xfId="8663" xr:uid="{63506913-2691-432D-B80A-36451ADAF552}"/>
    <cellStyle name="Normal 2 2 2 2 2 2 2 2 2 2 2 2 2 2 2 2 2 5 2 8 3" xfId="8664" xr:uid="{6A2C7149-5A0C-4538-BFD5-208DCF518433}"/>
    <cellStyle name="Normal 2 2 2 2 2 2 2 2 2 2 2 2 2 2 2 2 2 5 2 8 4" xfId="8665" xr:uid="{CB18D75D-FAEE-4D32-9C88-9ADA915DBE7F}"/>
    <cellStyle name="Normal 2 2 2 2 2 2 2 2 2 2 2 2 2 2 2 2 2 5 2 9" xfId="8666" xr:uid="{0758280D-AD2C-4562-830D-900751A6488F}"/>
    <cellStyle name="Normal 2 2 2 2 2 2 2 2 2 2 2 2 2 2 2 2 2 5 3" xfId="8667" xr:uid="{084715D4-DFF0-498F-9A02-81A4998DF8DD}"/>
    <cellStyle name="Normal 2 2 2 2 2 2 2 2 2 2 2 2 2 2 2 2 2 5 3 2" xfId="8668" xr:uid="{FE44FC2B-AD1C-4496-81AF-E899E5A2203A}"/>
    <cellStyle name="Normal 2 2 2 2 2 2 2 2 2 2 2 2 2 2 2 2 2 5 3 2 2" xfId="8669" xr:uid="{9E28A159-A41D-45CD-828D-8BA87819316D}"/>
    <cellStyle name="Normal 2 2 2 2 2 2 2 2 2 2 2 2 2 2 2 2 2 5 3 2 3" xfId="8670" xr:uid="{76943AB8-2E7C-42B2-8E06-C3DF29B1E388}"/>
    <cellStyle name="Normal 2 2 2 2 2 2 2 2 2 2 2 2 2 2 2 2 2 5 3 2 4" xfId="8671" xr:uid="{D8F58B0C-08CE-4A31-94F9-FB93FCA9D33F}"/>
    <cellStyle name="Normal 2 2 2 2 2 2 2 2 2 2 2 2 2 2 2 2 2 5 3 3" xfId="8672" xr:uid="{EDEE67BB-1FC9-4073-81D7-A7F9E6887564}"/>
    <cellStyle name="Normal 2 2 2 2 2 2 2 2 2 2 2 2 2 2 2 2 2 5 3 4" xfId="8673" xr:uid="{84BEC722-7016-49E2-99CE-0BB110D8E314}"/>
    <cellStyle name="Normal 2 2 2 2 2 2 2 2 2 2 2 2 2 2 2 2 2 5 3 5" xfId="8674" xr:uid="{5B8E89A0-3FF8-4FF9-BCAD-E393E54821CB}"/>
    <cellStyle name="Normal 2 2 2 2 2 2 2 2 2 2 2 2 2 2 2 2 2 5 3 6" xfId="8675" xr:uid="{A36402C4-33ED-4991-A46D-D0DF77E44E3C}"/>
    <cellStyle name="Normal 2 2 2 2 2 2 2 2 2 2 2 2 2 2 2 2 2 5 4" xfId="8676" xr:uid="{49E5CBF3-FF5F-4D66-A2B6-96E282709C5B}"/>
    <cellStyle name="Normal 2 2 2 2 2 2 2 2 2 2 2 2 2 2 2 2 2 5 5" xfId="8677" xr:uid="{E523BE77-B7E7-49B4-9023-D38003BAE6F9}"/>
    <cellStyle name="Normal 2 2 2 2 2 2 2 2 2 2 2 2 2 2 2 2 2 5 6" xfId="8678" xr:uid="{CCAF8869-5147-4672-BEDC-2B975915DF68}"/>
    <cellStyle name="Normal 2 2 2 2 2 2 2 2 2 2 2 2 2 2 2 2 2 5 7" xfId="8679" xr:uid="{9B031FDB-AF68-4745-B5EE-2B0E9715E5E6}"/>
    <cellStyle name="Normal 2 2 2 2 2 2 2 2 2 2 2 2 2 2 2 2 2 5 8" xfId="8680" xr:uid="{68538B4F-44AF-4A32-A0C5-C954509C1A4B}"/>
    <cellStyle name="Normal 2 2 2 2 2 2 2 2 2 2 2 2 2 2 2 2 2 5 8 2" xfId="8681" xr:uid="{93526731-9DDB-42CF-B889-91A9EF313B70}"/>
    <cellStyle name="Normal 2 2 2 2 2 2 2 2 2 2 2 2 2 2 2 2 2 5 8 3" xfId="8682" xr:uid="{C2627810-181C-420E-AF45-FE511D7F3AF6}"/>
    <cellStyle name="Normal 2 2 2 2 2 2 2 2 2 2 2 2 2 2 2 2 2 5 8 4" xfId="8683" xr:uid="{B9D48D3D-F49F-4EA4-ACD7-0DA1B85CD519}"/>
    <cellStyle name="Normal 2 2 2 2 2 2 2 2 2 2 2 2 2 2 2 2 2 5 9" xfId="8684" xr:uid="{38420CE0-28AC-4EFF-BF61-188B6CBE794F}"/>
    <cellStyle name="Normal 2 2 2 2 2 2 2 2 2 2 2 2 2 2 2 2 2 50" xfId="8685" xr:uid="{1169FEA2-427C-4A07-BEB0-1468D91F8E23}"/>
    <cellStyle name="Normal 2 2 2 2 2 2 2 2 2 2 2 2 2 2 2 2 2 51" xfId="8686" xr:uid="{BF098A23-EB61-47CE-A7B5-0AB93F6AF096}"/>
    <cellStyle name="Normal 2 2 2 2 2 2 2 2 2 2 2 2 2 2 2 2 2 52" xfId="8687" xr:uid="{5514808C-B277-4732-B2C3-6DBDA8289FAF}"/>
    <cellStyle name="Normal 2 2 2 2 2 2 2 2 2 2 2 2 2 2 2 2 2 53" xfId="8688" xr:uid="{DBE863A2-59E7-4A16-BB46-9A24B22C28D3}"/>
    <cellStyle name="Normal 2 2 2 2 2 2 2 2 2 2 2 2 2 2 2 2 2 54" xfId="8689" xr:uid="{11918C15-E914-4A53-BA39-CD92B02E670D}"/>
    <cellStyle name="Normal 2 2 2 2 2 2 2 2 2 2 2 2 2 2 2 2 2 55" xfId="8690" xr:uid="{DC8644DE-455E-4A35-B077-759FC27801DE}"/>
    <cellStyle name="Normal 2 2 2 2 2 2 2 2 2 2 2 2 2 2 2 2 2 56" xfId="8691" xr:uid="{25A6F9B7-8E97-477F-A3FA-CC241780C4F5}"/>
    <cellStyle name="Normal 2 2 2 2 2 2 2 2 2 2 2 2 2 2 2 2 2 57" xfId="8692" xr:uid="{FC4F4042-65B0-4FEC-A0E5-587190A68AB6}"/>
    <cellStyle name="Normal 2 2 2 2 2 2 2 2 2 2 2 2 2 2 2 2 2 58" xfId="8693" xr:uid="{B7E97A68-3223-49C3-9342-0DE5201A2C9B}"/>
    <cellStyle name="Normal 2 2 2 2 2 2 2 2 2 2 2 2 2 2 2 2 2 59" xfId="8694" xr:uid="{30D1F281-C994-46A7-BF02-5651FBDFFF04}"/>
    <cellStyle name="Normal 2 2 2 2 2 2 2 2 2 2 2 2 2 2 2 2 2 6" xfId="8695" xr:uid="{5775FEAE-503F-4E00-898D-BC578BEEE4FA}"/>
    <cellStyle name="Normal 2 2 2 2 2 2 2 2 2 2 2 2 2 2 2 2 2 60" xfId="8696" xr:uid="{34DBC2BC-112F-4003-BBDF-D8EC80B4AE0C}"/>
    <cellStyle name="Normal 2 2 2 2 2 2 2 2 2 2 2 2 2 2 2 2 2 61" xfId="8697" xr:uid="{94741086-0CF2-4BE8-A16F-B2B5A06A11FE}"/>
    <cellStyle name="Normal 2 2 2 2 2 2 2 2 2 2 2 2 2 2 2 2 2 62" xfId="8698" xr:uid="{CF9D6E7C-8D51-49B3-8067-0A1CCCE41EEB}"/>
    <cellStyle name="Normal 2 2 2 2 2 2 2 2 2 2 2 2 2 2 2 2 2 63" xfId="8699" xr:uid="{7D5BF226-310A-4748-8528-FDFE45E7FE6C}"/>
    <cellStyle name="Normal 2 2 2 2 2 2 2 2 2 2 2 2 2 2 2 2 2 64" xfId="8700" xr:uid="{C1B66081-98C8-471B-937C-2A3D7657B553}"/>
    <cellStyle name="Normal 2 2 2 2 2 2 2 2 2 2 2 2 2 2 2 2 2 65" xfId="8701" xr:uid="{C859BB36-302D-4586-A727-32027B86D4F9}"/>
    <cellStyle name="Normal 2 2 2 2 2 2 2 2 2 2 2 2 2 2 2 2 2 66" xfId="8702" xr:uid="{0FEB77FD-783A-4968-9C80-6EE2524CE203}"/>
    <cellStyle name="Normal 2 2 2 2 2 2 2 2 2 2 2 2 2 2 2 2 2 67" xfId="8703" xr:uid="{ACBAE872-3303-4D5C-A040-2B5D01243313}"/>
    <cellStyle name="Normal 2 2 2 2 2 2 2 2 2 2 2 2 2 2 2 2 2 68" xfId="8704" xr:uid="{76FA85BA-A130-47ED-A1EA-BF5CFF64651C}"/>
    <cellStyle name="Normal 2 2 2 2 2 2 2 2 2 2 2 2 2 2 2 2 2 69" xfId="8705" xr:uid="{55E97B6F-4B63-442E-99A1-AF66BCFE8012}"/>
    <cellStyle name="Normal 2 2 2 2 2 2 2 2 2 2 2 2 2 2 2 2 2 7" xfId="8706" xr:uid="{807C9FA2-AF14-4F27-BDBB-41A268D888B8}"/>
    <cellStyle name="Normal 2 2 2 2 2 2 2 2 2 2 2 2 2 2 2 2 2 7 2" xfId="8707" xr:uid="{E89EB78F-75A0-4E93-B6F8-1BE8D05FED18}"/>
    <cellStyle name="Normal 2 2 2 2 2 2 2 2 2 2 2 2 2 2 2 2 2 7 2 2" xfId="8708" xr:uid="{C1A1F228-FA33-42AB-9511-187BA3255892}"/>
    <cellStyle name="Normal 2 2 2 2 2 2 2 2 2 2 2 2 2 2 2 2 2 7 2 3" xfId="8709" xr:uid="{FDF3B527-C630-4DF1-80F2-C8D5A4C28DA9}"/>
    <cellStyle name="Normal 2 2 2 2 2 2 2 2 2 2 2 2 2 2 2 2 2 7 2 4" xfId="8710" xr:uid="{4EB48C5C-EE21-4720-A4CE-2266E0A1AAF6}"/>
    <cellStyle name="Normal 2 2 2 2 2 2 2 2 2 2 2 2 2 2 2 2 2 7 3" xfId="8711" xr:uid="{8F2CEE67-A545-468F-946A-DE9F414E4A1E}"/>
    <cellStyle name="Normal 2 2 2 2 2 2 2 2 2 2 2 2 2 2 2 2 2 7 4" xfId="8712" xr:uid="{5DB2C340-ADED-455C-BCAC-F15FCC1C5190}"/>
    <cellStyle name="Normal 2 2 2 2 2 2 2 2 2 2 2 2 2 2 2 2 2 7 5" xfId="8713" xr:uid="{43F122B9-B425-4C12-AEA9-E577F4E052A7}"/>
    <cellStyle name="Normal 2 2 2 2 2 2 2 2 2 2 2 2 2 2 2 2 2 7 6" xfId="8714" xr:uid="{14761911-8BB2-49AC-B5DB-862AE05A2692}"/>
    <cellStyle name="Normal 2 2 2 2 2 2 2 2 2 2 2 2 2 2 2 2 2 70" xfId="8715" xr:uid="{1F6DE48D-F072-450D-8FAC-D96778A40B4C}"/>
    <cellStyle name="Normal 2 2 2 2 2 2 2 2 2 2 2 2 2 2 2 2 2 71" xfId="8716" xr:uid="{9F4E2B78-6747-4416-9476-BB5863E06687}"/>
    <cellStyle name="Normal 2 2 2 2 2 2 2 2 2 2 2 2 2 2 2 2 2 72" xfId="8717" xr:uid="{93D47376-642A-4BDA-ABB6-228E4F4891F8}"/>
    <cellStyle name="Normal 2 2 2 2 2 2 2 2 2 2 2 2 2 2 2 2 2 73" xfId="8718" xr:uid="{F4FD406D-6239-4FF9-9C39-F86BBB7CC680}"/>
    <cellStyle name="Normal 2 2 2 2 2 2 2 2 2 2 2 2 2 2 2 2 2 74" xfId="8719" xr:uid="{F2150AD6-8D7A-4161-90B4-93999F8FF06C}"/>
    <cellStyle name="Normal 2 2 2 2 2 2 2 2 2 2 2 2 2 2 2 2 2 75" xfId="8720" xr:uid="{C3C4A4C5-FFEA-4336-A59C-1520580D3334}"/>
    <cellStyle name="Normal 2 2 2 2 2 2 2 2 2 2 2 2 2 2 2 2 2 75 2" xfId="8721" xr:uid="{143718C1-DED2-4D43-B7BA-A3929DDC1807}"/>
    <cellStyle name="Normal 2 2 2 2 2 2 2 2 2 2 2 2 2 2 2 2 2 75 3" xfId="8722" xr:uid="{EC75C4FC-40F4-4B14-870A-6D6FBA07D76B}"/>
    <cellStyle name="Normal 2 2 2 2 2 2 2 2 2 2 2 2 2 2 2 2 2 75 4" xfId="8723" xr:uid="{84434602-82CE-4497-83E2-7B3F3BAF4120}"/>
    <cellStyle name="Normal 2 2 2 2 2 2 2 2 2 2 2 2 2 2 2 2 2 76" xfId="8724" xr:uid="{6B08662C-08BE-4067-9701-6CB54AF6CF91}"/>
    <cellStyle name="Normal 2 2 2 2 2 2 2 2 2 2 2 2 2 2 2 2 2 77" xfId="8725" xr:uid="{E916541B-6797-4770-BECB-09936B937C0B}"/>
    <cellStyle name="Normal 2 2 2 2 2 2 2 2 2 2 2 2 2 2 2 2 2 8" xfId="8726" xr:uid="{5AAF687E-1F47-4636-81FF-E7283D4E3915}"/>
    <cellStyle name="Normal 2 2 2 2 2 2 2 2 2 2 2 2 2 2 2 2 2 9" xfId="8727" xr:uid="{7837A7D4-9AB4-4988-8C1D-C7B6D77095D3}"/>
    <cellStyle name="Normal 2 2 2 2 2 2 2 2 2 2 2 2 2 2 2 2 20" xfId="8728" xr:uid="{12E19636-4E78-4F55-9E1F-DFBB5C1654F9}"/>
    <cellStyle name="Normal 2 2 2 2 2 2 2 2 2 2 2 2 2 2 2 2 21" xfId="8729" xr:uid="{7300049B-207F-421E-BED4-068D68A96612}"/>
    <cellStyle name="Normal 2 2 2 2 2 2 2 2 2 2 2 2 2 2 2 2 21 2" xfId="8730" xr:uid="{8E4254A9-82A6-41C8-B0E8-A01C9F8C174A}"/>
    <cellStyle name="Normal 2 2 2 2 2 2 2 2 2 2 2 2 2 2 2 2 21 3" xfId="8731" xr:uid="{C5A7D528-52F8-4F38-957E-4F175BFCFE15}"/>
    <cellStyle name="Normal 2 2 2 2 2 2 2 2 2 2 2 2 2 2 2 2 21 4" xfId="8732" xr:uid="{70B4DFBD-B9FD-4BFD-9317-8CF4B63E0473}"/>
    <cellStyle name="Normal 2 2 2 2 2 2 2 2 2 2 2 2 2 2 2 2 22" xfId="8733" xr:uid="{7926802A-74C0-4885-99F5-E805160EC799}"/>
    <cellStyle name="Normal 2 2 2 2 2 2 2 2 2 2 2 2 2 2 2 2 23" xfId="8734" xr:uid="{C85C0FFA-1C46-4DEC-BAFB-93FFA2976D93}"/>
    <cellStyle name="Normal 2 2 2 2 2 2 2 2 2 2 2 2 2 2 2 2 24" xfId="8735" xr:uid="{387F48EF-559C-4B53-96AD-CF0F73DF5AC9}"/>
    <cellStyle name="Normal 2 2 2 2 2 2 2 2 2 2 2 2 2 2 2 2 25" xfId="8736" xr:uid="{18A5D82E-118A-46E8-8BEB-BC257829A1B5}"/>
    <cellStyle name="Normal 2 2 2 2 2 2 2 2 2 2 2 2 2 2 2 2 26" xfId="8737" xr:uid="{51698AE5-099B-49A5-9EA5-60F473C2DD83}"/>
    <cellStyle name="Normal 2 2 2 2 2 2 2 2 2 2 2 2 2 2 2 2 27" xfId="8738" xr:uid="{5765F9AC-7E27-4F8C-B5D9-97802094CA00}"/>
    <cellStyle name="Normal 2 2 2 2 2 2 2 2 2 2 2 2 2 2 2 2 28" xfId="8739" xr:uid="{0B25279F-F196-4F3C-9CA9-907BFDF8423E}"/>
    <cellStyle name="Normal 2 2 2 2 2 2 2 2 2 2 2 2 2 2 2 2 29" xfId="8740" xr:uid="{56E7DDC3-6EF0-46F3-A2EE-E231279E6732}"/>
    <cellStyle name="Normal 2 2 2 2 2 2 2 2 2 2 2 2 2 2 2 2 3" xfId="8741" xr:uid="{42217EE4-A823-45E8-AFB4-5AF9791C6F2C}"/>
    <cellStyle name="Normal 2 2 2 2 2 2 2 2 2 2 2 2 2 2 2 2 30" xfId="8742" xr:uid="{FFD19052-AEB2-44F5-AAC4-45AAFA60BF3C}"/>
    <cellStyle name="Normal 2 2 2 2 2 2 2 2 2 2 2 2 2 2 2 2 31" xfId="8743" xr:uid="{BB483276-A61D-42F2-B537-D7B6D8F1BC6B}"/>
    <cellStyle name="Normal 2 2 2 2 2 2 2 2 2 2 2 2 2 2 2 2 32" xfId="8744" xr:uid="{B909ED7B-8D39-4698-8091-540CB3ECD095}"/>
    <cellStyle name="Normal 2 2 2 2 2 2 2 2 2 2 2 2 2 2 2 2 33" xfId="8745" xr:uid="{044F135C-72E1-4788-9166-913F1E3BFDCD}"/>
    <cellStyle name="Normal 2 2 2 2 2 2 2 2 2 2 2 2 2 2 2 2 34" xfId="8746" xr:uid="{DEFF93F1-26E5-487F-954A-F8B002041FF4}"/>
    <cellStyle name="Normal 2 2 2 2 2 2 2 2 2 2 2 2 2 2 2 2 35" xfId="8747" xr:uid="{93C0D47D-6D3B-40D7-A8EE-3CA7A6E30A04}"/>
    <cellStyle name="Normal 2 2 2 2 2 2 2 2 2 2 2 2 2 2 2 2 36" xfId="8748" xr:uid="{5A234DA0-381D-456F-A581-D5E1214CB2D6}"/>
    <cellStyle name="Normal 2 2 2 2 2 2 2 2 2 2 2 2 2 2 2 2 36 2" xfId="8749" xr:uid="{FE2A38BB-4016-4319-8129-741E05344BF4}"/>
    <cellStyle name="Normal 2 2 2 2 2 2 2 2 2 2 2 2 2 2 2 2 36 3" xfId="8750" xr:uid="{812DE5FE-CE4B-4C35-828D-248311C75AA6}"/>
    <cellStyle name="Normal 2 2 2 2 2 2 2 2 2 2 2 2 2 2 2 2 36 4" xfId="8751" xr:uid="{7B3A2351-42CF-4828-BCD2-B0FE845EFA3D}"/>
    <cellStyle name="Normal 2 2 2 2 2 2 2 2 2 2 2 2 2 2 2 2 36 5" xfId="8752" xr:uid="{5F5D86DE-0D75-42A0-B477-227BBAAF2C4D}"/>
    <cellStyle name="Normal 2 2 2 2 2 2 2 2 2 2 2 2 2 2 2 2 36 6" xfId="8753" xr:uid="{E5AADB26-6CA9-45E4-827B-2F21DCA837AC}"/>
    <cellStyle name="Normal 2 2 2 2 2 2 2 2 2 2 2 2 2 2 2 2 36 7" xfId="8754" xr:uid="{DBB8F9B6-A90B-47B2-A326-C02639E119D0}"/>
    <cellStyle name="Normal 2 2 2 2 2 2 2 2 2 2 2 2 2 2 2 2 37" xfId="8755" xr:uid="{8C631B66-EF36-43A7-A47B-EEF3AC1CC6F2}"/>
    <cellStyle name="Normal 2 2 2 2 2 2 2 2 2 2 2 2 2 2 2 2 38" xfId="8756" xr:uid="{398F9B13-1C89-4C1B-AB2C-B98BF6A72080}"/>
    <cellStyle name="Normal 2 2 2 2 2 2 2 2 2 2 2 2 2 2 2 2 39" xfId="8757" xr:uid="{B1EBBD04-118B-47B1-8387-F0FF95674201}"/>
    <cellStyle name="Normal 2 2 2 2 2 2 2 2 2 2 2 2 2 2 2 2 4" xfId="8758" xr:uid="{97E223E2-F421-4275-A41A-96CFC40C0CAD}"/>
    <cellStyle name="Normal 2 2 2 2 2 2 2 2 2 2 2 2 2 2 2 2 40" xfId="8759" xr:uid="{A7006551-EAA8-48C1-8C0D-D947EADC2A5F}"/>
    <cellStyle name="Normal 2 2 2 2 2 2 2 2 2 2 2 2 2 2 2 2 41" xfId="8760" xr:uid="{188A6816-0108-4368-B3BB-E5BBE97C7B71}"/>
    <cellStyle name="Normal 2 2 2 2 2 2 2 2 2 2 2 2 2 2 2 2 42" xfId="8761" xr:uid="{9303285F-3369-4A57-9F60-60270CFC4B4B}"/>
    <cellStyle name="Normal 2 2 2 2 2 2 2 2 2 2 2 2 2 2 2 2 43" xfId="8762" xr:uid="{0186A3DE-0004-467E-B5C2-6BE7111E7D18}"/>
    <cellStyle name="Normal 2 2 2 2 2 2 2 2 2 2 2 2 2 2 2 2 44" xfId="8763" xr:uid="{4465CDE9-2F85-4536-996E-E048F56B2824}"/>
    <cellStyle name="Normal 2 2 2 2 2 2 2 2 2 2 2 2 2 2 2 2 45" xfId="8764" xr:uid="{BFD3F22F-0FF3-4817-A92B-07B8F339E6A9}"/>
    <cellStyle name="Normal 2 2 2 2 2 2 2 2 2 2 2 2 2 2 2 2 46" xfId="8765" xr:uid="{D554C0C5-4A08-4BA8-9BAA-0B37F646C9A6}"/>
    <cellStyle name="Normal 2 2 2 2 2 2 2 2 2 2 2 2 2 2 2 2 47" xfId="8766" xr:uid="{74B5C214-CE8E-4A0A-B895-ED11C45C68E3}"/>
    <cellStyle name="Normal 2 2 2 2 2 2 2 2 2 2 2 2 2 2 2 2 48" xfId="8767" xr:uid="{AFCD9D7B-C129-4C39-AF5B-39D280B68D87}"/>
    <cellStyle name="Normal 2 2 2 2 2 2 2 2 2 2 2 2 2 2 2 2 49" xfId="8768" xr:uid="{85225A88-F2C9-402B-A798-C040B51CFF56}"/>
    <cellStyle name="Normal 2 2 2 2 2 2 2 2 2 2 2 2 2 2 2 2 5" xfId="8769" xr:uid="{898F5022-BE98-4E98-A088-E7F05E2AF037}"/>
    <cellStyle name="Normal 2 2 2 2 2 2 2 2 2 2 2 2 2 2 2 2 50" xfId="8770" xr:uid="{E0F96374-BA42-4499-8A7B-AC9519E1CB20}"/>
    <cellStyle name="Normal 2 2 2 2 2 2 2 2 2 2 2 2 2 2 2 2 51" xfId="8771" xr:uid="{FB0059A4-6655-4054-A826-AE6C147CC048}"/>
    <cellStyle name="Normal 2 2 2 2 2 2 2 2 2 2 2 2 2 2 2 2 52" xfId="8772" xr:uid="{84C75B91-0A15-4BCC-85C5-6214ED6FA1E3}"/>
    <cellStyle name="Normal 2 2 2 2 2 2 2 2 2 2 2 2 2 2 2 2 53" xfId="8773" xr:uid="{1227379F-6E71-4CF5-8C91-607A42A4FB13}"/>
    <cellStyle name="Normal 2 2 2 2 2 2 2 2 2 2 2 2 2 2 2 2 54" xfId="8774" xr:uid="{B23CFE9C-6978-492F-BA05-E9B8CAE2C183}"/>
    <cellStyle name="Normal 2 2 2 2 2 2 2 2 2 2 2 2 2 2 2 2 55" xfId="8775" xr:uid="{887DAA6B-4403-413D-8587-A2548089CBD1}"/>
    <cellStyle name="Normal 2 2 2 2 2 2 2 2 2 2 2 2 2 2 2 2 56" xfId="8776" xr:uid="{ACCBF0B3-A657-47A9-AADE-B34A630A4E78}"/>
    <cellStyle name="Normal 2 2 2 2 2 2 2 2 2 2 2 2 2 2 2 2 57" xfId="8777" xr:uid="{119D2A85-3C0E-4207-88F0-28EE32C92222}"/>
    <cellStyle name="Normal 2 2 2 2 2 2 2 2 2 2 2 2 2 2 2 2 58" xfId="8778" xr:uid="{E2CF13FB-2F73-4E82-9814-B08AC1179088}"/>
    <cellStyle name="Normal 2 2 2 2 2 2 2 2 2 2 2 2 2 2 2 2 59" xfId="8779" xr:uid="{B000FEC0-C11E-4040-85BA-9EB16D002291}"/>
    <cellStyle name="Normal 2 2 2 2 2 2 2 2 2 2 2 2 2 2 2 2 6" xfId="8780" xr:uid="{CCF6662C-AAE5-4E68-A838-EBBBDF6A3DA1}"/>
    <cellStyle name="Normal 2 2 2 2 2 2 2 2 2 2 2 2 2 2 2 2 60" xfId="8781" xr:uid="{CD39FB0E-61F2-42B4-AB50-F6499DA717C0}"/>
    <cellStyle name="Normal 2 2 2 2 2 2 2 2 2 2 2 2 2 2 2 2 61" xfId="8782" xr:uid="{4DC104CF-37FE-4652-BDA6-38952B989901}"/>
    <cellStyle name="Normal 2 2 2 2 2 2 2 2 2 2 2 2 2 2 2 2 62" xfId="8783" xr:uid="{BA35E151-59D4-4F37-8261-D2D26B1C61B8}"/>
    <cellStyle name="Normal 2 2 2 2 2 2 2 2 2 2 2 2 2 2 2 2 63" xfId="8784" xr:uid="{6FCB85BD-131E-477F-871B-955279A79A4A}"/>
    <cellStyle name="Normal 2 2 2 2 2 2 2 2 2 2 2 2 2 2 2 2 64" xfId="8785" xr:uid="{F69672AE-04D8-4173-9D6E-8B9A7061A69B}"/>
    <cellStyle name="Normal 2 2 2 2 2 2 2 2 2 2 2 2 2 2 2 2 65" xfId="8786" xr:uid="{BE1C4693-1DA7-4B7B-ACD0-4C781BDD7420}"/>
    <cellStyle name="Normal 2 2 2 2 2 2 2 2 2 2 2 2 2 2 2 2 66" xfId="8787" xr:uid="{22CDFDC1-9582-4E15-B379-9B87467AB7EE}"/>
    <cellStyle name="Normal 2 2 2 2 2 2 2 2 2 2 2 2 2 2 2 2 67" xfId="8788" xr:uid="{BF20D371-D487-45AE-B1DC-E5B58F37D6B3}"/>
    <cellStyle name="Normal 2 2 2 2 2 2 2 2 2 2 2 2 2 2 2 2 68" xfId="8789" xr:uid="{0A428330-64FA-4C5C-A576-79EC6F5FC991}"/>
    <cellStyle name="Normal 2 2 2 2 2 2 2 2 2 2 2 2 2 2 2 2 69" xfId="8790" xr:uid="{9A42DEE3-FA68-4754-8DF5-F06D6F9D385A}"/>
    <cellStyle name="Normal 2 2 2 2 2 2 2 2 2 2 2 2 2 2 2 2 7" xfId="8791" xr:uid="{F6CF103B-8524-4479-B752-1154594429FD}"/>
    <cellStyle name="Normal 2 2 2 2 2 2 2 2 2 2 2 2 2 2 2 2 70" xfId="8792" xr:uid="{5B18FC05-2F56-464F-B9C8-849BC331E30E}"/>
    <cellStyle name="Normal 2 2 2 2 2 2 2 2 2 2 2 2 2 2 2 2 71" xfId="8793" xr:uid="{E4DB6692-8B29-4FD7-8C50-DA8C002DA1C8}"/>
    <cellStyle name="Normal 2 2 2 2 2 2 2 2 2 2 2 2 2 2 2 2 72" xfId="8794" xr:uid="{EEDF710D-0452-45A1-97A3-3361621A5735}"/>
    <cellStyle name="Normal 2 2 2 2 2 2 2 2 2 2 2 2 2 2 2 2 73" xfId="8795" xr:uid="{8E218C34-723D-4FB9-9FF7-074EE21D27EA}"/>
    <cellStyle name="Normal 2 2 2 2 2 2 2 2 2 2 2 2 2 2 2 2 74" xfId="8796" xr:uid="{8C797013-DFDA-42F1-8751-F3DB17C0F5A3}"/>
    <cellStyle name="Normal 2 2 2 2 2 2 2 2 2 2 2 2 2 2 2 2 75" xfId="8797" xr:uid="{AC812A9E-7CC1-4C08-8F82-53EC807179A4}"/>
    <cellStyle name="Normal 2 2 2 2 2 2 2 2 2 2 2 2 2 2 2 2 76" xfId="8798" xr:uid="{44153D37-8468-47F9-A947-AE81880781BD}"/>
    <cellStyle name="Normal 2 2 2 2 2 2 2 2 2 2 2 2 2 2 2 2 77" xfId="8799" xr:uid="{053EAB31-D96D-40A4-9EE4-7E7C9E3C83DF}"/>
    <cellStyle name="Normal 2 2 2 2 2 2 2 2 2 2 2 2 2 2 2 2 78" xfId="8800" xr:uid="{EE432911-6174-42CF-B66E-769BF9ECA9AE}"/>
    <cellStyle name="Normal 2 2 2 2 2 2 2 2 2 2 2 2 2 2 2 2 79" xfId="8801" xr:uid="{347EAB91-40A8-4E1F-9B89-0A9723AA157E}"/>
    <cellStyle name="Normal 2 2 2 2 2 2 2 2 2 2 2 2 2 2 2 2 8" xfId="8802" xr:uid="{2229C6AD-7132-45F7-9A05-B9DBC2586F61}"/>
    <cellStyle name="Normal 2 2 2 2 2 2 2 2 2 2 2 2 2 2 2 2 80" xfId="8803" xr:uid="{B085D553-3482-42C1-B2DE-7A74E7A8C5B4}"/>
    <cellStyle name="Normal 2 2 2 2 2 2 2 2 2 2 2 2 2 2 2 2 81" xfId="8804" xr:uid="{ECFFA0E3-7F54-4FD4-81AF-C1AEF3FDE675}"/>
    <cellStyle name="Normal 2 2 2 2 2 2 2 2 2 2 2 2 2 2 2 2 82" xfId="8805" xr:uid="{009ABA5E-A526-4FCA-8643-CA256E459C70}"/>
    <cellStyle name="Normal 2 2 2 2 2 2 2 2 2 2 2 2 2 2 2 2 83" xfId="8806" xr:uid="{55364462-794C-4FD0-B9AB-A30EDCB87C7C}"/>
    <cellStyle name="Normal 2 2 2 2 2 2 2 2 2 2 2 2 2 2 2 2 83 2" xfId="8807" xr:uid="{F04D8662-E51C-4FC8-B285-10C721813559}"/>
    <cellStyle name="Normal 2 2 2 2 2 2 2 2 2 2 2 2 2 2 2 2 83 3" xfId="8808" xr:uid="{43EB5898-87D9-4AF7-8549-B3D9EA1951EB}"/>
    <cellStyle name="Normal 2 2 2 2 2 2 2 2 2 2 2 2 2 2 2 2 83 4" xfId="8809" xr:uid="{3B18218B-5157-48C9-B285-BC4C5C496004}"/>
    <cellStyle name="Normal 2 2 2 2 2 2 2 2 2 2 2 2 2 2 2 2 84" xfId="8810" xr:uid="{22DCAE9D-CC52-4929-989E-06C694500EFD}"/>
    <cellStyle name="Normal 2 2 2 2 2 2 2 2 2 2 2 2 2 2 2 2 85" xfId="8811" xr:uid="{77FEB464-E1B6-4D7A-8E4A-A3223E75CC35}"/>
    <cellStyle name="Normal 2 2 2 2 2 2 2 2 2 2 2 2 2 2 2 2 9" xfId="8812" xr:uid="{76AED96E-C6F6-483A-963D-E66FDF624161}"/>
    <cellStyle name="Normal 2 2 2 2 2 2 2 2 2 2 2 2 2 2 2 20" xfId="8813" xr:uid="{8572854D-32B3-4DC8-8E9C-1EE189A0F4CF}"/>
    <cellStyle name="Normal 2 2 2 2 2 2 2 2 2 2 2 2 2 2 2 21" xfId="8814" xr:uid="{FCCEE069-A84A-4B9F-B07F-D5CE877BF3D7}"/>
    <cellStyle name="Normal 2 2 2 2 2 2 2 2 2 2 2 2 2 2 2 22" xfId="8815" xr:uid="{2343EF1D-AE65-485C-B84F-C2774E75EBDF}"/>
    <cellStyle name="Normal 2 2 2 2 2 2 2 2 2 2 2 2 2 2 2 22 2" xfId="8816" xr:uid="{6D773FBC-940D-4279-B88F-4503B7A7A367}"/>
    <cellStyle name="Normal 2 2 2 2 2 2 2 2 2 2 2 2 2 2 2 22 3" xfId="8817" xr:uid="{33B3F095-B32F-4EED-9448-95B2AC6A31AB}"/>
    <cellStyle name="Normal 2 2 2 2 2 2 2 2 2 2 2 2 2 2 2 22 4" xfId="8818" xr:uid="{5D6B2503-4AE4-4A6D-8133-BFD46D4F7B2D}"/>
    <cellStyle name="Normal 2 2 2 2 2 2 2 2 2 2 2 2 2 2 2 23" xfId="8819" xr:uid="{2C1A2570-2DCA-452D-A156-AB58852AC81C}"/>
    <cellStyle name="Normal 2 2 2 2 2 2 2 2 2 2 2 2 2 2 2 24" xfId="8820" xr:uid="{244B111C-B7D1-4346-83BF-D12B5B128F19}"/>
    <cellStyle name="Normal 2 2 2 2 2 2 2 2 2 2 2 2 2 2 2 25" xfId="8821" xr:uid="{A24A0AFE-961D-4FC3-AE3C-4B8AABB95E99}"/>
    <cellStyle name="Normal 2 2 2 2 2 2 2 2 2 2 2 2 2 2 2 26" xfId="8822" xr:uid="{B47E36B2-E9DC-40A3-BAA2-5BC1547A02A7}"/>
    <cellStyle name="Normal 2 2 2 2 2 2 2 2 2 2 2 2 2 2 2 27" xfId="8823" xr:uid="{E0595F9C-E610-4AC2-9DDF-AE6C3FEF1060}"/>
    <cellStyle name="Normal 2 2 2 2 2 2 2 2 2 2 2 2 2 2 2 28" xfId="8824" xr:uid="{5721B5D3-F540-475A-B3CD-DDAF4BDFC4E0}"/>
    <cellStyle name="Normal 2 2 2 2 2 2 2 2 2 2 2 2 2 2 2 29" xfId="8825" xr:uid="{268935D5-4D8C-4795-AD7D-4BE7332EC011}"/>
    <cellStyle name="Normal 2 2 2 2 2 2 2 2 2 2 2 2 2 2 2 3" xfId="8826" xr:uid="{E4B492F5-91D2-49F4-8CF8-79044B321BD2}"/>
    <cellStyle name="Normal 2 2 2 2 2 2 2 2 2 2 2 2 2 2 2 30" xfId="8827" xr:uid="{C472CF3D-444A-449C-9E5B-BB06679C0CC4}"/>
    <cellStyle name="Normal 2 2 2 2 2 2 2 2 2 2 2 2 2 2 2 31" xfId="8828" xr:uid="{CF864E88-2901-4815-9A90-CF5C31C76994}"/>
    <cellStyle name="Normal 2 2 2 2 2 2 2 2 2 2 2 2 2 2 2 32" xfId="8829" xr:uid="{9C2903BF-96AD-4998-A6BA-4552B8617C50}"/>
    <cellStyle name="Normal 2 2 2 2 2 2 2 2 2 2 2 2 2 2 2 33" xfId="8830" xr:uid="{F75AA626-B85E-4B6B-80A1-8E9C39FB4B29}"/>
    <cellStyle name="Normal 2 2 2 2 2 2 2 2 2 2 2 2 2 2 2 34" xfId="8831" xr:uid="{8FDC4A91-123C-4AFC-BB78-A9E0BD0AAFB1}"/>
    <cellStyle name="Normal 2 2 2 2 2 2 2 2 2 2 2 2 2 2 2 35" xfId="8832" xr:uid="{7A9BB652-7222-48A1-9E57-332CE1A7FC67}"/>
    <cellStyle name="Normal 2 2 2 2 2 2 2 2 2 2 2 2 2 2 2 36" xfId="8833" xr:uid="{6A05912F-A911-457B-9648-A9AEB10B0E1F}"/>
    <cellStyle name="Normal 2 2 2 2 2 2 2 2 2 2 2 2 2 2 2 37" xfId="8834" xr:uid="{2760EF09-ECD0-4E72-8B27-2EA228CC6FD5}"/>
    <cellStyle name="Normal 2 2 2 2 2 2 2 2 2 2 2 2 2 2 2 37 2" xfId="8835" xr:uid="{D3CFA6AB-40FB-4C61-A285-D02BB57025FF}"/>
    <cellStyle name="Normal 2 2 2 2 2 2 2 2 2 2 2 2 2 2 2 37 3" xfId="8836" xr:uid="{89A211CF-AE52-4FC1-B6A5-D9B6F38FE8DE}"/>
    <cellStyle name="Normal 2 2 2 2 2 2 2 2 2 2 2 2 2 2 2 37 4" xfId="8837" xr:uid="{C32EA1AE-FE89-4EAA-95E4-994F2D0BB6EA}"/>
    <cellStyle name="Normal 2 2 2 2 2 2 2 2 2 2 2 2 2 2 2 37 5" xfId="8838" xr:uid="{01F8A60E-D60D-489F-AF6D-400D4DEC2131}"/>
    <cellStyle name="Normal 2 2 2 2 2 2 2 2 2 2 2 2 2 2 2 37 6" xfId="8839" xr:uid="{C3067408-C73E-464E-B9D3-9E41CF64A4F2}"/>
    <cellStyle name="Normal 2 2 2 2 2 2 2 2 2 2 2 2 2 2 2 37 7" xfId="8840" xr:uid="{E11009F4-CE33-4304-82BE-A86864FEFF1C}"/>
    <cellStyle name="Normal 2 2 2 2 2 2 2 2 2 2 2 2 2 2 2 38" xfId="8841" xr:uid="{9E1839DC-562F-44D8-845D-519F51CCACC3}"/>
    <cellStyle name="Normal 2 2 2 2 2 2 2 2 2 2 2 2 2 2 2 39" xfId="8842" xr:uid="{CF220DDD-9170-45F8-8B33-16DA3FB95D19}"/>
    <cellStyle name="Normal 2 2 2 2 2 2 2 2 2 2 2 2 2 2 2 4" xfId="8843" xr:uid="{4F3311AA-0ACB-4523-92EF-037DC966BEDB}"/>
    <cellStyle name="Normal 2 2 2 2 2 2 2 2 2 2 2 2 2 2 2 4 10" xfId="8844" xr:uid="{DF95C13D-932A-4F7D-883C-5E3F9D13FA79}"/>
    <cellStyle name="Normal 2 2 2 2 2 2 2 2 2 2 2 2 2 2 2 4 11" xfId="8845" xr:uid="{536DF3EC-9F82-499C-9149-4A4BB588080C}"/>
    <cellStyle name="Normal 2 2 2 2 2 2 2 2 2 2 2 2 2 2 2 4 12" xfId="8846" xr:uid="{DD72CEC2-08AE-4AF7-9FDB-9449929BACED}"/>
    <cellStyle name="Normal 2 2 2 2 2 2 2 2 2 2 2 2 2 2 2 4 13" xfId="8847" xr:uid="{48B36D7A-E759-4D60-95B6-A64ECCC69823}"/>
    <cellStyle name="Normal 2 2 2 2 2 2 2 2 2 2 2 2 2 2 2 4 13 2" xfId="8848" xr:uid="{2ABAD1F6-4371-4CC5-B484-BFBFFC350C2A}"/>
    <cellStyle name="Normal 2 2 2 2 2 2 2 2 2 2 2 2 2 2 2 4 13 3" xfId="8849" xr:uid="{ADADF69C-A2E3-4C82-AECE-5286736F0133}"/>
    <cellStyle name="Normal 2 2 2 2 2 2 2 2 2 2 2 2 2 2 2 4 13 4" xfId="8850" xr:uid="{847280C4-947A-4082-B24B-D7080F584242}"/>
    <cellStyle name="Normal 2 2 2 2 2 2 2 2 2 2 2 2 2 2 2 4 14" xfId="8851" xr:uid="{4285B67B-B670-4B60-8F02-4E684EF2C584}"/>
    <cellStyle name="Normal 2 2 2 2 2 2 2 2 2 2 2 2 2 2 2 4 15" xfId="8852" xr:uid="{A9489753-3446-4241-8E3D-E743A9F627E4}"/>
    <cellStyle name="Normal 2 2 2 2 2 2 2 2 2 2 2 2 2 2 2 4 16" xfId="8853" xr:uid="{4E1136A5-191B-4B8A-848D-88141420486F}"/>
    <cellStyle name="Normal 2 2 2 2 2 2 2 2 2 2 2 2 2 2 2 4 2" xfId="8854" xr:uid="{261665C6-DDDE-47F7-9BBE-0C9FF3AD0018}"/>
    <cellStyle name="Normal 2 2 2 2 2 2 2 2 2 2 2 2 2 2 2 4 2 10" xfId="8855" xr:uid="{1A66BC35-6474-49AD-9608-93AD9E9BD3A4}"/>
    <cellStyle name="Normal 2 2 2 2 2 2 2 2 2 2 2 2 2 2 2 4 2 11" xfId="8856" xr:uid="{4FAC88CF-2C6B-4ABE-9FBF-5D8684717E0F}"/>
    <cellStyle name="Normal 2 2 2 2 2 2 2 2 2 2 2 2 2 2 2 4 2 11 2" xfId="8857" xr:uid="{4E10E5A7-07E0-4FBE-8936-3AFC9F241EEB}"/>
    <cellStyle name="Normal 2 2 2 2 2 2 2 2 2 2 2 2 2 2 2 4 2 11 3" xfId="8858" xr:uid="{0F4EE13D-1024-4F32-9A72-D780E84E1BA4}"/>
    <cellStyle name="Normal 2 2 2 2 2 2 2 2 2 2 2 2 2 2 2 4 2 11 4" xfId="8859" xr:uid="{C2145A93-2E23-4D35-BA86-340EABA868BC}"/>
    <cellStyle name="Normal 2 2 2 2 2 2 2 2 2 2 2 2 2 2 2 4 2 12" xfId="8860" xr:uid="{B90D671A-82F4-4D1E-9FE3-2E49178C8A5F}"/>
    <cellStyle name="Normal 2 2 2 2 2 2 2 2 2 2 2 2 2 2 2 4 2 13" xfId="8861" xr:uid="{EF6D6A3F-97F5-4D50-81E5-222EB8A16184}"/>
    <cellStyle name="Normal 2 2 2 2 2 2 2 2 2 2 2 2 2 2 2 4 2 14" xfId="8862" xr:uid="{0E665760-106D-42F9-A043-81F8A8D4A2F1}"/>
    <cellStyle name="Normal 2 2 2 2 2 2 2 2 2 2 2 2 2 2 2 4 2 2" xfId="8863" xr:uid="{401A4F43-760B-4E58-8F90-F12DDA45CC4C}"/>
    <cellStyle name="Normal 2 2 2 2 2 2 2 2 2 2 2 2 2 2 2 4 2 2 10" xfId="8864" xr:uid="{098C1FA4-3FA1-4314-BF1B-5161A47C2F03}"/>
    <cellStyle name="Normal 2 2 2 2 2 2 2 2 2 2 2 2 2 2 2 4 2 2 11" xfId="8865" xr:uid="{E8F10CBA-000B-4163-ADF9-AA1DE250CC38}"/>
    <cellStyle name="Normal 2 2 2 2 2 2 2 2 2 2 2 2 2 2 2 4 2 2 2" xfId="8866" xr:uid="{B39DF8A9-A9F8-409C-8722-6787460CAF00}"/>
    <cellStyle name="Normal 2 2 2 2 2 2 2 2 2 2 2 2 2 2 2 4 2 2 2 10" xfId="8867" xr:uid="{2A46AD75-D998-4C02-804F-5DCEBEA7F568}"/>
    <cellStyle name="Normal 2 2 2 2 2 2 2 2 2 2 2 2 2 2 2 4 2 2 2 11" xfId="8868" xr:uid="{33DFF945-ADDE-4BA1-B44A-BEF32E26093F}"/>
    <cellStyle name="Normal 2 2 2 2 2 2 2 2 2 2 2 2 2 2 2 4 2 2 2 2" xfId="8869" xr:uid="{A72DC2A6-31C0-499B-9B51-00BF2F6AEF21}"/>
    <cellStyle name="Normal 2 2 2 2 2 2 2 2 2 2 2 2 2 2 2 4 2 2 2 2 2" xfId="8870" xr:uid="{847DD1BB-38B2-4055-9052-850A1C6C5206}"/>
    <cellStyle name="Normal 2 2 2 2 2 2 2 2 2 2 2 2 2 2 2 4 2 2 2 2 2 2" xfId="8871" xr:uid="{63E765CB-D8C1-4B70-B9AE-47B969D21380}"/>
    <cellStyle name="Normal 2 2 2 2 2 2 2 2 2 2 2 2 2 2 2 4 2 2 2 2 2 3" xfId="8872" xr:uid="{F22BCEC6-B61B-4FB8-92CE-7F53B72AB9E2}"/>
    <cellStyle name="Normal 2 2 2 2 2 2 2 2 2 2 2 2 2 2 2 4 2 2 2 2 2 4" xfId="8873" xr:uid="{A3DA21D3-FC74-4901-A43E-82B62BEA500A}"/>
    <cellStyle name="Normal 2 2 2 2 2 2 2 2 2 2 2 2 2 2 2 4 2 2 2 2 3" xfId="8874" xr:uid="{DFC56B7A-4DC0-4F74-BBBA-CF102B219012}"/>
    <cellStyle name="Normal 2 2 2 2 2 2 2 2 2 2 2 2 2 2 2 4 2 2 2 2 4" xfId="8875" xr:uid="{EEBD95CE-52B7-41D8-8D7B-41C20A2441C2}"/>
    <cellStyle name="Normal 2 2 2 2 2 2 2 2 2 2 2 2 2 2 2 4 2 2 2 2 5" xfId="8876" xr:uid="{D8E59CA5-6264-403B-A95F-A798588E0A1E}"/>
    <cellStyle name="Normal 2 2 2 2 2 2 2 2 2 2 2 2 2 2 2 4 2 2 2 2 6" xfId="8877" xr:uid="{00C71A11-11B3-4B48-B908-1F21E9BD8A9E}"/>
    <cellStyle name="Normal 2 2 2 2 2 2 2 2 2 2 2 2 2 2 2 4 2 2 2 3" xfId="8878" xr:uid="{A67B806B-37D2-4296-8D50-0245E39E74C1}"/>
    <cellStyle name="Normal 2 2 2 2 2 2 2 2 2 2 2 2 2 2 2 4 2 2 2 4" xfId="8879" xr:uid="{2A40F684-2A36-4EE3-AECB-6E4E199C98FC}"/>
    <cellStyle name="Normal 2 2 2 2 2 2 2 2 2 2 2 2 2 2 2 4 2 2 2 5" xfId="8880" xr:uid="{91D66273-CFD9-429A-B978-D0E75BA725A6}"/>
    <cellStyle name="Normal 2 2 2 2 2 2 2 2 2 2 2 2 2 2 2 4 2 2 2 6" xfId="8881" xr:uid="{4AEAE502-175E-4065-BB18-BB42076756B8}"/>
    <cellStyle name="Normal 2 2 2 2 2 2 2 2 2 2 2 2 2 2 2 4 2 2 2 7" xfId="8882" xr:uid="{9A27385E-9F9C-4042-A9DB-D348497DA6C3}"/>
    <cellStyle name="Normal 2 2 2 2 2 2 2 2 2 2 2 2 2 2 2 4 2 2 2 8" xfId="8883" xr:uid="{3AA1CE3D-BAC5-4AFD-A79F-8F0EA0864D31}"/>
    <cellStyle name="Normal 2 2 2 2 2 2 2 2 2 2 2 2 2 2 2 4 2 2 2 8 2" xfId="8884" xr:uid="{6BD6A15E-9758-4175-908F-F6FEE91CCC38}"/>
    <cellStyle name="Normal 2 2 2 2 2 2 2 2 2 2 2 2 2 2 2 4 2 2 2 8 3" xfId="8885" xr:uid="{5B5CD65C-3F8C-4FDA-985C-42416BEBB963}"/>
    <cellStyle name="Normal 2 2 2 2 2 2 2 2 2 2 2 2 2 2 2 4 2 2 2 8 4" xfId="8886" xr:uid="{45261A63-AA06-4B8E-A75E-CC8A2CD6EAEF}"/>
    <cellStyle name="Normal 2 2 2 2 2 2 2 2 2 2 2 2 2 2 2 4 2 2 2 9" xfId="8887" xr:uid="{E4BBEFCA-0077-444E-98C3-7B7B96484608}"/>
    <cellStyle name="Normal 2 2 2 2 2 2 2 2 2 2 2 2 2 2 2 4 2 2 3" xfId="8888" xr:uid="{9132A967-E066-469E-87F7-C156D1E4AC4D}"/>
    <cellStyle name="Normal 2 2 2 2 2 2 2 2 2 2 2 2 2 2 2 4 2 2 3 2" xfId="8889" xr:uid="{0A55A49B-9ABE-42DE-9E1F-59604D5AAE4E}"/>
    <cellStyle name="Normal 2 2 2 2 2 2 2 2 2 2 2 2 2 2 2 4 2 2 3 2 2" xfId="8890" xr:uid="{FFDAE47E-662D-4974-A1D7-858E7D16D268}"/>
    <cellStyle name="Normal 2 2 2 2 2 2 2 2 2 2 2 2 2 2 2 4 2 2 3 2 3" xfId="8891" xr:uid="{B5393F72-296D-4479-B15F-13CBD277CEC1}"/>
    <cellStyle name="Normal 2 2 2 2 2 2 2 2 2 2 2 2 2 2 2 4 2 2 3 2 4" xfId="8892" xr:uid="{19E65BAD-0324-4A99-8C65-91E9A23F82B2}"/>
    <cellStyle name="Normal 2 2 2 2 2 2 2 2 2 2 2 2 2 2 2 4 2 2 3 3" xfId="8893" xr:uid="{BF8B8071-2B3A-4F64-86A5-CA24AEFC69D5}"/>
    <cellStyle name="Normal 2 2 2 2 2 2 2 2 2 2 2 2 2 2 2 4 2 2 3 4" xfId="8894" xr:uid="{BD871E9C-581E-4FEF-9A05-FF3397250D69}"/>
    <cellStyle name="Normal 2 2 2 2 2 2 2 2 2 2 2 2 2 2 2 4 2 2 3 5" xfId="8895" xr:uid="{BFC99E80-4496-45EA-8EF7-7B6D046A6A88}"/>
    <cellStyle name="Normal 2 2 2 2 2 2 2 2 2 2 2 2 2 2 2 4 2 2 3 6" xfId="8896" xr:uid="{D538B006-5087-44AA-9F70-C8EE426D91F2}"/>
    <cellStyle name="Normal 2 2 2 2 2 2 2 2 2 2 2 2 2 2 2 4 2 2 4" xfId="8897" xr:uid="{68F7455F-CF84-498C-BF1F-F5E7BA401056}"/>
    <cellStyle name="Normal 2 2 2 2 2 2 2 2 2 2 2 2 2 2 2 4 2 2 5" xfId="8898" xr:uid="{6DC256D9-22C8-423A-8294-03FB6FB23751}"/>
    <cellStyle name="Normal 2 2 2 2 2 2 2 2 2 2 2 2 2 2 2 4 2 2 6" xfId="8899" xr:uid="{0A0B97FA-5B60-42D1-8414-BE2FEEF2445A}"/>
    <cellStyle name="Normal 2 2 2 2 2 2 2 2 2 2 2 2 2 2 2 4 2 2 7" xfId="8900" xr:uid="{FE7536FF-3A1A-4E49-96EA-C54C9854DDDF}"/>
    <cellStyle name="Normal 2 2 2 2 2 2 2 2 2 2 2 2 2 2 2 4 2 2 8" xfId="8901" xr:uid="{DA2FDB39-D802-4C8F-8D56-CF7091F66F4E}"/>
    <cellStyle name="Normal 2 2 2 2 2 2 2 2 2 2 2 2 2 2 2 4 2 2 8 2" xfId="8902" xr:uid="{A548E381-47AD-49EF-9996-C875593239FD}"/>
    <cellStyle name="Normal 2 2 2 2 2 2 2 2 2 2 2 2 2 2 2 4 2 2 8 3" xfId="8903" xr:uid="{EB1C65BD-59AD-4B6F-94A0-CB829207F71D}"/>
    <cellStyle name="Normal 2 2 2 2 2 2 2 2 2 2 2 2 2 2 2 4 2 2 8 4" xfId="8904" xr:uid="{07A92463-DACE-43D4-8E8A-170DC92CD8E6}"/>
    <cellStyle name="Normal 2 2 2 2 2 2 2 2 2 2 2 2 2 2 2 4 2 2 9" xfId="8905" xr:uid="{7A8AC308-4727-4530-B791-47A2E7C988A5}"/>
    <cellStyle name="Normal 2 2 2 2 2 2 2 2 2 2 2 2 2 2 2 4 2 3" xfId="8906" xr:uid="{664514AE-7C35-443E-B1E8-C524D5A38296}"/>
    <cellStyle name="Normal 2 2 2 2 2 2 2 2 2 2 2 2 2 2 2 4 2 4" xfId="8907" xr:uid="{60044BF5-84AD-4203-827F-05DF15922AC9}"/>
    <cellStyle name="Normal 2 2 2 2 2 2 2 2 2 2 2 2 2 2 2 4 2 5" xfId="8908" xr:uid="{6C009F1E-32F0-470D-AFF9-DA1B014E5317}"/>
    <cellStyle name="Normal 2 2 2 2 2 2 2 2 2 2 2 2 2 2 2 4 2 5 2" xfId="8909" xr:uid="{455E84BD-97BA-46F7-AE2D-E7F21DC266F2}"/>
    <cellStyle name="Normal 2 2 2 2 2 2 2 2 2 2 2 2 2 2 2 4 2 5 2 2" xfId="8910" xr:uid="{D86A65F8-004C-447D-9FCF-9789CB7BFFA9}"/>
    <cellStyle name="Normal 2 2 2 2 2 2 2 2 2 2 2 2 2 2 2 4 2 5 2 3" xfId="8911" xr:uid="{5A8B1935-7D6D-4C1F-A95A-A2D33BB15C40}"/>
    <cellStyle name="Normal 2 2 2 2 2 2 2 2 2 2 2 2 2 2 2 4 2 5 2 4" xfId="8912" xr:uid="{40963DB5-EF39-4ED0-9A0D-0CABA3841039}"/>
    <cellStyle name="Normal 2 2 2 2 2 2 2 2 2 2 2 2 2 2 2 4 2 5 3" xfId="8913" xr:uid="{8130A4F2-C629-4FC4-9C06-0E2A020AEDA2}"/>
    <cellStyle name="Normal 2 2 2 2 2 2 2 2 2 2 2 2 2 2 2 4 2 5 4" xfId="8914" xr:uid="{D4F011AA-2869-4650-A743-B03572FF371F}"/>
    <cellStyle name="Normal 2 2 2 2 2 2 2 2 2 2 2 2 2 2 2 4 2 5 5" xfId="8915" xr:uid="{8A369D7F-F912-436E-92B5-B93D12B3973C}"/>
    <cellStyle name="Normal 2 2 2 2 2 2 2 2 2 2 2 2 2 2 2 4 2 5 6" xfId="8916" xr:uid="{00CE3005-9DDE-4068-B903-CCC3635F6B54}"/>
    <cellStyle name="Normal 2 2 2 2 2 2 2 2 2 2 2 2 2 2 2 4 2 6" xfId="8917" xr:uid="{DFD76E0E-9D29-474C-B0A0-E9955E51B83C}"/>
    <cellStyle name="Normal 2 2 2 2 2 2 2 2 2 2 2 2 2 2 2 4 2 7" xfId="8918" xr:uid="{0FA919A5-564D-4571-B983-DAF9D3262BA2}"/>
    <cellStyle name="Normal 2 2 2 2 2 2 2 2 2 2 2 2 2 2 2 4 2 8" xfId="8919" xr:uid="{184512E0-57C4-4109-9137-232A0B78BC9C}"/>
    <cellStyle name="Normal 2 2 2 2 2 2 2 2 2 2 2 2 2 2 2 4 2 9" xfId="8920" xr:uid="{3A4450CB-A5D5-45E5-A52A-79D796F2A741}"/>
    <cellStyle name="Normal 2 2 2 2 2 2 2 2 2 2 2 2 2 2 2 4 3" xfId="8921" xr:uid="{D4CC3FF5-D7AE-4F20-8697-B2C137F037FC}"/>
    <cellStyle name="Normal 2 2 2 2 2 2 2 2 2 2 2 2 2 2 2 4 4" xfId="8922" xr:uid="{6DC56BFC-69BC-492D-A2D4-1796E1A8795A}"/>
    <cellStyle name="Normal 2 2 2 2 2 2 2 2 2 2 2 2 2 2 2 4 5" xfId="8923" xr:uid="{4EA4FA6A-4A49-4F1A-A878-B131963CCD2C}"/>
    <cellStyle name="Normal 2 2 2 2 2 2 2 2 2 2 2 2 2 2 2 4 5 10" xfId="8924" xr:uid="{F2A82267-E158-4B2F-9DB8-A0B55BC838C3}"/>
    <cellStyle name="Normal 2 2 2 2 2 2 2 2 2 2 2 2 2 2 2 4 5 11" xfId="8925" xr:uid="{9F62FFE0-CF08-4780-AD1A-637F6DD5A6CB}"/>
    <cellStyle name="Normal 2 2 2 2 2 2 2 2 2 2 2 2 2 2 2 4 5 2" xfId="8926" xr:uid="{5DE5DA5B-8DB5-4E97-A932-E0E24CED79F9}"/>
    <cellStyle name="Normal 2 2 2 2 2 2 2 2 2 2 2 2 2 2 2 4 5 2 10" xfId="8927" xr:uid="{C750C19C-6A11-429E-B819-C17141FA8795}"/>
    <cellStyle name="Normal 2 2 2 2 2 2 2 2 2 2 2 2 2 2 2 4 5 2 11" xfId="8928" xr:uid="{42A5C0AC-1BAE-409B-8C3E-EACCAC949BCF}"/>
    <cellStyle name="Normal 2 2 2 2 2 2 2 2 2 2 2 2 2 2 2 4 5 2 2" xfId="8929" xr:uid="{7553A6BE-1FC5-4EE3-B5F2-8664CE656139}"/>
    <cellStyle name="Normal 2 2 2 2 2 2 2 2 2 2 2 2 2 2 2 4 5 2 2 2" xfId="8930" xr:uid="{9A407A22-AB79-449B-8D91-FBD89CEE6EA6}"/>
    <cellStyle name="Normal 2 2 2 2 2 2 2 2 2 2 2 2 2 2 2 4 5 2 2 2 2" xfId="8931" xr:uid="{C7B2D338-B751-4CEC-BF51-9D109A457317}"/>
    <cellStyle name="Normal 2 2 2 2 2 2 2 2 2 2 2 2 2 2 2 4 5 2 2 2 3" xfId="8932" xr:uid="{32F97360-4378-4AB9-88F7-95BBEE809306}"/>
    <cellStyle name="Normal 2 2 2 2 2 2 2 2 2 2 2 2 2 2 2 4 5 2 2 2 4" xfId="8933" xr:uid="{1C05D3F7-D6D5-4561-984E-570062C1AC5A}"/>
    <cellStyle name="Normal 2 2 2 2 2 2 2 2 2 2 2 2 2 2 2 4 5 2 2 3" xfId="8934" xr:uid="{994EFC67-0CC5-4C80-B34A-FF29646C1933}"/>
    <cellStyle name="Normal 2 2 2 2 2 2 2 2 2 2 2 2 2 2 2 4 5 2 2 4" xfId="8935" xr:uid="{9C2B32F4-B59A-4740-95D0-93C5AA1DEC10}"/>
    <cellStyle name="Normal 2 2 2 2 2 2 2 2 2 2 2 2 2 2 2 4 5 2 2 5" xfId="8936" xr:uid="{4509C0E6-0DDD-4938-B3A1-0FC9B119FC7F}"/>
    <cellStyle name="Normal 2 2 2 2 2 2 2 2 2 2 2 2 2 2 2 4 5 2 2 6" xfId="8937" xr:uid="{D28B53B1-4CE7-4AFA-96A4-87CAB50BA35C}"/>
    <cellStyle name="Normal 2 2 2 2 2 2 2 2 2 2 2 2 2 2 2 4 5 2 3" xfId="8938" xr:uid="{67A26631-2438-4644-A8D9-EE382D15D4FB}"/>
    <cellStyle name="Normal 2 2 2 2 2 2 2 2 2 2 2 2 2 2 2 4 5 2 4" xfId="8939" xr:uid="{D293C117-9590-4AE4-912B-93B6BB67F619}"/>
    <cellStyle name="Normal 2 2 2 2 2 2 2 2 2 2 2 2 2 2 2 4 5 2 5" xfId="8940" xr:uid="{D39D0B82-4887-46C2-92C4-D15A606DD447}"/>
    <cellStyle name="Normal 2 2 2 2 2 2 2 2 2 2 2 2 2 2 2 4 5 2 6" xfId="8941" xr:uid="{273AB631-0AB4-492B-80BD-B4449FE8B2C4}"/>
    <cellStyle name="Normal 2 2 2 2 2 2 2 2 2 2 2 2 2 2 2 4 5 2 7" xfId="8942" xr:uid="{5D7FEE2A-8B78-49C4-A5C6-80E20B03BF6F}"/>
    <cellStyle name="Normal 2 2 2 2 2 2 2 2 2 2 2 2 2 2 2 4 5 2 8" xfId="8943" xr:uid="{C4FB023D-BB11-486F-90A8-AAA7E6FCEC4C}"/>
    <cellStyle name="Normal 2 2 2 2 2 2 2 2 2 2 2 2 2 2 2 4 5 2 8 2" xfId="8944" xr:uid="{FBB12881-3B8E-41E8-BFD7-F10742C9CC4A}"/>
    <cellStyle name="Normal 2 2 2 2 2 2 2 2 2 2 2 2 2 2 2 4 5 2 8 3" xfId="8945" xr:uid="{E84C3302-0ADA-44B9-9D8E-D54DC164AD21}"/>
    <cellStyle name="Normal 2 2 2 2 2 2 2 2 2 2 2 2 2 2 2 4 5 2 8 4" xfId="8946" xr:uid="{D2882219-C73B-474E-972D-6FE968025588}"/>
    <cellStyle name="Normal 2 2 2 2 2 2 2 2 2 2 2 2 2 2 2 4 5 2 9" xfId="8947" xr:uid="{F4C69D9C-34A8-4E41-BD6E-6DC55F00826B}"/>
    <cellStyle name="Normal 2 2 2 2 2 2 2 2 2 2 2 2 2 2 2 4 5 3" xfId="8948" xr:uid="{8B9DE26C-663F-44C2-8136-65BDE2D86FF5}"/>
    <cellStyle name="Normal 2 2 2 2 2 2 2 2 2 2 2 2 2 2 2 4 5 3 2" xfId="8949" xr:uid="{3FA00DE2-C19B-4356-AA54-C044C8584DF9}"/>
    <cellStyle name="Normal 2 2 2 2 2 2 2 2 2 2 2 2 2 2 2 4 5 3 2 2" xfId="8950" xr:uid="{86526F31-4B4B-436E-A10F-E8C71945A671}"/>
    <cellStyle name="Normal 2 2 2 2 2 2 2 2 2 2 2 2 2 2 2 4 5 3 2 3" xfId="8951" xr:uid="{8624D032-2D06-4F39-A279-F3A9185F2E01}"/>
    <cellStyle name="Normal 2 2 2 2 2 2 2 2 2 2 2 2 2 2 2 4 5 3 2 4" xfId="8952" xr:uid="{77B9FA5C-24D4-40AF-B2AB-335C85B2F61A}"/>
    <cellStyle name="Normal 2 2 2 2 2 2 2 2 2 2 2 2 2 2 2 4 5 3 3" xfId="8953" xr:uid="{80201272-D2E6-41FE-8A5C-1FDE32282FB7}"/>
    <cellStyle name="Normal 2 2 2 2 2 2 2 2 2 2 2 2 2 2 2 4 5 3 4" xfId="8954" xr:uid="{909A4C9A-BADB-4B24-929E-21578F95F531}"/>
    <cellStyle name="Normal 2 2 2 2 2 2 2 2 2 2 2 2 2 2 2 4 5 3 5" xfId="8955" xr:uid="{0847B6D6-AF61-4FB7-BA0D-BBE1A75FBB78}"/>
    <cellStyle name="Normal 2 2 2 2 2 2 2 2 2 2 2 2 2 2 2 4 5 3 6" xfId="8956" xr:uid="{9E18AD64-4644-4D6D-BF9D-32B62DB18B08}"/>
    <cellStyle name="Normal 2 2 2 2 2 2 2 2 2 2 2 2 2 2 2 4 5 4" xfId="8957" xr:uid="{1E696A17-04A9-45C2-964E-C0F1BEF2EE03}"/>
    <cellStyle name="Normal 2 2 2 2 2 2 2 2 2 2 2 2 2 2 2 4 5 5" xfId="8958" xr:uid="{98570F91-F441-470D-B250-08A9368CBA0F}"/>
    <cellStyle name="Normal 2 2 2 2 2 2 2 2 2 2 2 2 2 2 2 4 5 6" xfId="8959" xr:uid="{E027B8E8-6FBE-4F59-9E87-C641128DD877}"/>
    <cellStyle name="Normal 2 2 2 2 2 2 2 2 2 2 2 2 2 2 2 4 5 7" xfId="8960" xr:uid="{FED35D36-4557-4D7B-9C37-EEA6427EA52E}"/>
    <cellStyle name="Normal 2 2 2 2 2 2 2 2 2 2 2 2 2 2 2 4 5 8" xfId="8961" xr:uid="{28EF99F4-AB5C-40B4-A63E-8BCF21584C50}"/>
    <cellStyle name="Normal 2 2 2 2 2 2 2 2 2 2 2 2 2 2 2 4 5 8 2" xfId="8962" xr:uid="{ED3DB887-D8CD-46AB-B227-53A5CA77B7C7}"/>
    <cellStyle name="Normal 2 2 2 2 2 2 2 2 2 2 2 2 2 2 2 4 5 8 3" xfId="8963" xr:uid="{AA012C63-74BD-4875-8D46-E1E7227811D0}"/>
    <cellStyle name="Normal 2 2 2 2 2 2 2 2 2 2 2 2 2 2 2 4 5 8 4" xfId="8964" xr:uid="{0B4C7469-9BD9-4A28-9FCE-FB64E25CA431}"/>
    <cellStyle name="Normal 2 2 2 2 2 2 2 2 2 2 2 2 2 2 2 4 5 9" xfId="8965" xr:uid="{5C4671E1-D18E-48DA-A46D-3FB4DD7AD4BB}"/>
    <cellStyle name="Normal 2 2 2 2 2 2 2 2 2 2 2 2 2 2 2 4 6" xfId="8966" xr:uid="{CB7B8241-1990-4E38-B388-33753BACE79D}"/>
    <cellStyle name="Normal 2 2 2 2 2 2 2 2 2 2 2 2 2 2 2 4 7" xfId="8967" xr:uid="{C9C32B75-DCA2-417D-A1EC-344E56D21FDF}"/>
    <cellStyle name="Normal 2 2 2 2 2 2 2 2 2 2 2 2 2 2 2 4 7 2" xfId="8968" xr:uid="{6CA3F705-94A8-4660-B9F9-CD3A7E58DC7D}"/>
    <cellStyle name="Normal 2 2 2 2 2 2 2 2 2 2 2 2 2 2 2 4 7 2 2" xfId="8969" xr:uid="{9B2FE8A2-0393-426B-8D62-DBAB62197472}"/>
    <cellStyle name="Normal 2 2 2 2 2 2 2 2 2 2 2 2 2 2 2 4 7 2 3" xfId="8970" xr:uid="{D86990CC-8E35-4BE7-9023-276593573201}"/>
    <cellStyle name="Normal 2 2 2 2 2 2 2 2 2 2 2 2 2 2 2 4 7 2 4" xfId="8971" xr:uid="{271F2A74-7D52-4812-B236-0BA9634373F8}"/>
    <cellStyle name="Normal 2 2 2 2 2 2 2 2 2 2 2 2 2 2 2 4 7 3" xfId="8972" xr:uid="{C33C6A29-7B24-4768-ACB5-8B1D287D660D}"/>
    <cellStyle name="Normal 2 2 2 2 2 2 2 2 2 2 2 2 2 2 2 4 7 4" xfId="8973" xr:uid="{A776609F-CAB7-4BF7-8D32-18FA2C94F6F6}"/>
    <cellStyle name="Normal 2 2 2 2 2 2 2 2 2 2 2 2 2 2 2 4 7 5" xfId="8974" xr:uid="{F7878221-CFA4-449F-9858-0E59977D2E4E}"/>
    <cellStyle name="Normal 2 2 2 2 2 2 2 2 2 2 2 2 2 2 2 4 7 6" xfId="8975" xr:uid="{91E00448-12A8-40A7-856C-43BAA0DDA8FA}"/>
    <cellStyle name="Normal 2 2 2 2 2 2 2 2 2 2 2 2 2 2 2 4 8" xfId="8976" xr:uid="{D015D074-FE70-4A75-9CFB-ED312FE9E3F0}"/>
    <cellStyle name="Normal 2 2 2 2 2 2 2 2 2 2 2 2 2 2 2 4 9" xfId="8977" xr:uid="{E8813611-41FC-474F-A93A-9F99F00285C9}"/>
    <cellStyle name="Normal 2 2 2 2 2 2 2 2 2 2 2 2 2 2 2 40" xfId="8978" xr:uid="{0A4DAD60-C340-4BD0-B63B-9B9157D7CCC3}"/>
    <cellStyle name="Normal 2 2 2 2 2 2 2 2 2 2 2 2 2 2 2 41" xfId="8979" xr:uid="{F8226B57-FC44-487C-AF94-84F2706EF58C}"/>
    <cellStyle name="Normal 2 2 2 2 2 2 2 2 2 2 2 2 2 2 2 42" xfId="8980" xr:uid="{3D0E5ECB-E806-4DE5-AB25-09A3883D894F}"/>
    <cellStyle name="Normal 2 2 2 2 2 2 2 2 2 2 2 2 2 2 2 43" xfId="8981" xr:uid="{80FDB0CC-E907-45B3-A99C-2B7F07046157}"/>
    <cellStyle name="Normal 2 2 2 2 2 2 2 2 2 2 2 2 2 2 2 44" xfId="8982" xr:uid="{B6391884-647B-44C2-ACAE-BE57234FE24C}"/>
    <cellStyle name="Normal 2 2 2 2 2 2 2 2 2 2 2 2 2 2 2 45" xfId="8983" xr:uid="{A871E7D2-9DA7-4716-9536-6BEFE2BBA6B2}"/>
    <cellStyle name="Normal 2 2 2 2 2 2 2 2 2 2 2 2 2 2 2 46" xfId="8984" xr:uid="{FB58711A-87CE-4CE9-AB71-48413E5244D9}"/>
    <cellStyle name="Normal 2 2 2 2 2 2 2 2 2 2 2 2 2 2 2 47" xfId="8985" xr:uid="{208F2307-AF37-4F10-9536-0DECD70D2A00}"/>
    <cellStyle name="Normal 2 2 2 2 2 2 2 2 2 2 2 2 2 2 2 48" xfId="8986" xr:uid="{05B57FC1-DE15-4693-B294-BF2431B3A339}"/>
    <cellStyle name="Normal 2 2 2 2 2 2 2 2 2 2 2 2 2 2 2 49" xfId="8987" xr:uid="{EF9061BE-E4C9-4649-87A2-E06A5D6D826D}"/>
    <cellStyle name="Normal 2 2 2 2 2 2 2 2 2 2 2 2 2 2 2 5" xfId="8988" xr:uid="{DDEC9DA8-8B3B-4454-A2AD-3BB9BF592FFC}"/>
    <cellStyle name="Normal 2 2 2 2 2 2 2 2 2 2 2 2 2 2 2 50" xfId="8989" xr:uid="{B993ACBC-2C04-489D-A712-65E3EA5AD803}"/>
    <cellStyle name="Normal 2 2 2 2 2 2 2 2 2 2 2 2 2 2 2 51" xfId="8990" xr:uid="{AEB5784C-E77D-4DCB-86E3-A9727A59259C}"/>
    <cellStyle name="Normal 2 2 2 2 2 2 2 2 2 2 2 2 2 2 2 52" xfId="8991" xr:uid="{295AD433-C73F-44BD-B4CC-8D85E2EECC80}"/>
    <cellStyle name="Normal 2 2 2 2 2 2 2 2 2 2 2 2 2 2 2 53" xfId="8992" xr:uid="{C23C92E0-2E38-4F22-911D-66E7A960D961}"/>
    <cellStyle name="Normal 2 2 2 2 2 2 2 2 2 2 2 2 2 2 2 54" xfId="8993" xr:uid="{6195405C-CB92-4152-BFBF-DD91A8F41506}"/>
    <cellStyle name="Normal 2 2 2 2 2 2 2 2 2 2 2 2 2 2 2 55" xfId="8994" xr:uid="{E1FA0327-B2C3-4D30-A356-53DCAC7E2EA2}"/>
    <cellStyle name="Normal 2 2 2 2 2 2 2 2 2 2 2 2 2 2 2 56" xfId="8995" xr:uid="{8A3B8FC3-9F14-4565-8940-4C495884150F}"/>
    <cellStyle name="Normal 2 2 2 2 2 2 2 2 2 2 2 2 2 2 2 57" xfId="8996" xr:uid="{9A3AF6BB-DD2A-48B7-9F5B-3B84F9446D0F}"/>
    <cellStyle name="Normal 2 2 2 2 2 2 2 2 2 2 2 2 2 2 2 58" xfId="8997" xr:uid="{897FF424-A278-4E88-8334-BA6DF5EC5694}"/>
    <cellStyle name="Normal 2 2 2 2 2 2 2 2 2 2 2 2 2 2 2 59" xfId="8998" xr:uid="{41136AE6-7904-4B28-9805-3E57E76FD2FF}"/>
    <cellStyle name="Normal 2 2 2 2 2 2 2 2 2 2 2 2 2 2 2 6" xfId="8999" xr:uid="{A03C6C58-F54D-4E11-920D-6291220283C9}"/>
    <cellStyle name="Normal 2 2 2 2 2 2 2 2 2 2 2 2 2 2 2 60" xfId="9000" xr:uid="{A280CF5B-58EE-4AEE-A068-E62945BA5F11}"/>
    <cellStyle name="Normal 2 2 2 2 2 2 2 2 2 2 2 2 2 2 2 61" xfId="9001" xr:uid="{A858D7F9-C9AA-4924-ADE2-9D4105BB43A2}"/>
    <cellStyle name="Normal 2 2 2 2 2 2 2 2 2 2 2 2 2 2 2 62" xfId="9002" xr:uid="{4084DEA7-3422-4C2C-9DE2-45C85FB59B10}"/>
    <cellStyle name="Normal 2 2 2 2 2 2 2 2 2 2 2 2 2 2 2 63" xfId="9003" xr:uid="{862B1AF0-1443-4757-8D83-8ADE0B958C10}"/>
    <cellStyle name="Normal 2 2 2 2 2 2 2 2 2 2 2 2 2 2 2 64" xfId="9004" xr:uid="{6141A603-8355-48DE-97BF-4E604197B3C2}"/>
    <cellStyle name="Normal 2 2 2 2 2 2 2 2 2 2 2 2 2 2 2 65" xfId="9005" xr:uid="{A2714C85-4429-4006-B9EC-B97F4D520D64}"/>
    <cellStyle name="Normal 2 2 2 2 2 2 2 2 2 2 2 2 2 2 2 66" xfId="9006" xr:uid="{6D04D8A0-2F6A-4662-928D-1EF4A65A77A8}"/>
    <cellStyle name="Normal 2 2 2 2 2 2 2 2 2 2 2 2 2 2 2 67" xfId="9007" xr:uid="{1544DB98-22AD-4415-8C0D-63C615215DA0}"/>
    <cellStyle name="Normal 2 2 2 2 2 2 2 2 2 2 2 2 2 2 2 68" xfId="9008" xr:uid="{CC4C4734-6BBE-4083-9A63-72049B717BA7}"/>
    <cellStyle name="Normal 2 2 2 2 2 2 2 2 2 2 2 2 2 2 2 69" xfId="9009" xr:uid="{092FF662-D6DC-40BB-A792-D5C3EDF136FC}"/>
    <cellStyle name="Normal 2 2 2 2 2 2 2 2 2 2 2 2 2 2 2 7" xfId="9010" xr:uid="{C275DC10-B307-4D5E-AEC0-A66DB434A577}"/>
    <cellStyle name="Normal 2 2 2 2 2 2 2 2 2 2 2 2 2 2 2 70" xfId="9011" xr:uid="{37F51793-5E8F-467D-82DE-2A1495C96A86}"/>
    <cellStyle name="Normal 2 2 2 2 2 2 2 2 2 2 2 2 2 2 2 71" xfId="9012" xr:uid="{0C9158E9-6321-4D9D-941A-4BB09CE5679E}"/>
    <cellStyle name="Normal 2 2 2 2 2 2 2 2 2 2 2 2 2 2 2 72" xfId="9013" xr:uid="{F2D8AC6A-2413-46DF-A96B-F6454D5A1715}"/>
    <cellStyle name="Normal 2 2 2 2 2 2 2 2 2 2 2 2 2 2 2 73" xfId="9014" xr:uid="{CC8A92F1-6A22-4A16-AA61-5909F2F0E85C}"/>
    <cellStyle name="Normal 2 2 2 2 2 2 2 2 2 2 2 2 2 2 2 74" xfId="9015" xr:uid="{6AB767E9-B35E-4DD7-B24D-9AEB3FABD00A}"/>
    <cellStyle name="Normal 2 2 2 2 2 2 2 2 2 2 2 2 2 2 2 75" xfId="9016" xr:uid="{38388740-3EF1-43BA-BB71-0CE325360378}"/>
    <cellStyle name="Normal 2 2 2 2 2 2 2 2 2 2 2 2 2 2 2 76" xfId="9017" xr:uid="{D5595918-010E-402B-85D1-883D52A822A7}"/>
    <cellStyle name="Normal 2 2 2 2 2 2 2 2 2 2 2 2 2 2 2 77" xfId="9018" xr:uid="{9AEB4514-C5F2-4D19-AAFB-C730A77C4A59}"/>
    <cellStyle name="Normal 2 2 2 2 2 2 2 2 2 2 2 2 2 2 2 78" xfId="9019" xr:uid="{32CD9D2F-378A-48A0-A553-EC808CCEEDD9}"/>
    <cellStyle name="Normal 2 2 2 2 2 2 2 2 2 2 2 2 2 2 2 79" xfId="9020" xr:uid="{51329548-0535-48DD-AF38-78E39D987834}"/>
    <cellStyle name="Normal 2 2 2 2 2 2 2 2 2 2 2 2 2 2 2 8" xfId="9021" xr:uid="{E522F96E-0191-4662-8209-EEDCDCE2B8AE}"/>
    <cellStyle name="Normal 2 2 2 2 2 2 2 2 2 2 2 2 2 2 2 80" xfId="9022" xr:uid="{F3C81B43-3A05-4A2A-A598-B2D1DE6E7CB9}"/>
    <cellStyle name="Normal 2 2 2 2 2 2 2 2 2 2 2 2 2 2 2 81" xfId="9023" xr:uid="{EBB00CE2-5CD7-42E2-A2C7-184D3D91EBB2}"/>
    <cellStyle name="Normal 2 2 2 2 2 2 2 2 2 2 2 2 2 2 2 82" xfId="9024" xr:uid="{87BEAD21-4B95-47CA-AD7F-5A3C1A4BDAC2}"/>
    <cellStyle name="Normal 2 2 2 2 2 2 2 2 2 2 2 2 2 2 2 83" xfId="9025" xr:uid="{79E3CF94-93A8-4EEC-8CE1-029D6EB4FB3D}"/>
    <cellStyle name="Normal 2 2 2 2 2 2 2 2 2 2 2 2 2 2 2 84" xfId="9026" xr:uid="{DC0FA72B-6D6B-4B80-B9DA-6CED5E3ADE52}"/>
    <cellStyle name="Normal 2 2 2 2 2 2 2 2 2 2 2 2 2 2 2 84 2" xfId="9027" xr:uid="{980D8EEB-B281-499D-96D9-5F27E5D07BF4}"/>
    <cellStyle name="Normal 2 2 2 2 2 2 2 2 2 2 2 2 2 2 2 84 3" xfId="9028" xr:uid="{B6B54781-AD59-443C-8265-157C0C85273E}"/>
    <cellStyle name="Normal 2 2 2 2 2 2 2 2 2 2 2 2 2 2 2 84 4" xfId="9029" xr:uid="{46C365F3-E0E6-42CC-9068-F6688E41E499}"/>
    <cellStyle name="Normal 2 2 2 2 2 2 2 2 2 2 2 2 2 2 2 85" xfId="9030" xr:uid="{4EC02799-F0A1-46AB-B18C-918870A32C4D}"/>
    <cellStyle name="Normal 2 2 2 2 2 2 2 2 2 2 2 2 2 2 2 86" xfId="9031" xr:uid="{06DEA235-B38C-49F1-BD2A-B49ED6721730}"/>
    <cellStyle name="Normal 2 2 2 2 2 2 2 2 2 2 2 2 2 2 2 9" xfId="9032" xr:uid="{58D417CA-7A49-448C-8C72-B79EFC803189}"/>
    <cellStyle name="Normal 2 2 2 2 2 2 2 2 2 2 2 2 2 2 20" xfId="9033" xr:uid="{7F164306-230F-4CDB-B448-33CE64DA7995}"/>
    <cellStyle name="Normal 2 2 2 2 2 2 2 2 2 2 2 2 2 2 20 2" xfId="9034" xr:uid="{40E31BC2-4788-47A6-880E-741149DFB196}"/>
    <cellStyle name="Normal 2 2 2 2 2 2 2 2 2 2 2 2 2 2 20 2 2" xfId="9035" xr:uid="{CE49AF66-BDAE-4458-AB8B-F6DE3963DF28}"/>
    <cellStyle name="Normal 2 2 2 2 2 2 2 2 2 2 2 2 2 2 20 2 3" xfId="9036" xr:uid="{5033A42A-8901-4F33-A243-3DB7A63FD78A}"/>
    <cellStyle name="Normal 2 2 2 2 2 2 2 2 2 2 2 2 2 2 20 2 4" xfId="9037" xr:uid="{B8281A13-1418-449A-90FD-A8F88647F8DA}"/>
    <cellStyle name="Normal 2 2 2 2 2 2 2 2 2 2 2 2 2 2 20 3" xfId="9038" xr:uid="{8DA5525C-8DCC-4E0F-A785-815E521EE885}"/>
    <cellStyle name="Normal 2 2 2 2 2 2 2 2 2 2 2 2 2 2 20 4" xfId="9039" xr:uid="{D1EE35DC-9CEB-4878-AF5A-DAAB501732AE}"/>
    <cellStyle name="Normal 2 2 2 2 2 2 2 2 2 2 2 2 2 2 20 5" xfId="9040" xr:uid="{46763E34-53BB-4672-ACA3-0B36BB6BE830}"/>
    <cellStyle name="Normal 2 2 2 2 2 2 2 2 2 2 2 2 2 2 20 6" xfId="9041" xr:uid="{61A1DBD3-80F0-4CB9-9F4B-1803184DE8BD}"/>
    <cellStyle name="Normal 2 2 2 2 2 2 2 2 2 2 2 2 2 2 21" xfId="9042" xr:uid="{F567C811-A9DE-44E3-936C-846963C23D28}"/>
    <cellStyle name="Normal 2 2 2 2 2 2 2 2 2 2 2 2 2 2 22" xfId="9043" xr:uid="{EE3F7C27-5FD4-468F-8D0D-45B23996CE13}"/>
    <cellStyle name="Normal 2 2 2 2 2 2 2 2 2 2 2 2 2 2 23" xfId="9044" xr:uid="{6EAC8855-0D1A-4A95-86B0-C48CE6B59045}"/>
    <cellStyle name="Normal 2 2 2 2 2 2 2 2 2 2 2 2 2 2 24" xfId="9045" xr:uid="{07ABFF8C-9446-4D1A-9471-A99E4968F68D}"/>
    <cellStyle name="Normal 2 2 2 2 2 2 2 2 2 2 2 2 2 2 25" xfId="9046" xr:uid="{FD560DBC-CD24-441E-8837-7ABBAA4F54FF}"/>
    <cellStyle name="Normal 2 2 2 2 2 2 2 2 2 2 2 2 2 2 26" xfId="9047" xr:uid="{CB00BA23-B9D5-47DC-B504-EBBC4D845D64}"/>
    <cellStyle name="Normal 2 2 2 2 2 2 2 2 2 2 2 2 2 2 26 2" xfId="9048" xr:uid="{D145EFD3-9023-45AD-8C63-9C8960F23611}"/>
    <cellStyle name="Normal 2 2 2 2 2 2 2 2 2 2 2 2 2 2 26 3" xfId="9049" xr:uid="{D06E570F-43D7-480B-AD3F-18A210BCC04C}"/>
    <cellStyle name="Normal 2 2 2 2 2 2 2 2 2 2 2 2 2 2 26 4" xfId="9050" xr:uid="{FF27BDDB-C148-4B44-895C-56B1C723B994}"/>
    <cellStyle name="Normal 2 2 2 2 2 2 2 2 2 2 2 2 2 2 27" xfId="9051" xr:uid="{8947B6CC-585F-43E6-94B7-65E48A78B93A}"/>
    <cellStyle name="Normal 2 2 2 2 2 2 2 2 2 2 2 2 2 2 28" xfId="9052" xr:uid="{7F69BC7B-1200-4AAB-8212-AC9362D2405A}"/>
    <cellStyle name="Normal 2 2 2 2 2 2 2 2 2 2 2 2 2 2 29" xfId="9053" xr:uid="{5A3D5A32-A705-435C-BE82-07D89A138E49}"/>
    <cellStyle name="Normal 2 2 2 2 2 2 2 2 2 2 2 2 2 2 3" xfId="9054" xr:uid="{8FA3584E-8BEC-471C-9DA2-0832EC74A569}"/>
    <cellStyle name="Normal 2 2 2 2 2 2 2 2 2 2 2 2 2 2 30" xfId="9055" xr:uid="{6EA5F2AC-C35F-4D8F-AD29-CDA6156BF418}"/>
    <cellStyle name="Normal 2 2 2 2 2 2 2 2 2 2 2 2 2 2 31" xfId="9056" xr:uid="{8D855C62-531C-4369-B085-F573819EEAC4}"/>
    <cellStyle name="Normal 2 2 2 2 2 2 2 2 2 2 2 2 2 2 32" xfId="9057" xr:uid="{B01CCD0B-3B3D-4DEF-8087-870A0DB2F662}"/>
    <cellStyle name="Normal 2 2 2 2 2 2 2 2 2 2 2 2 2 2 33" xfId="9058" xr:uid="{D8A930A6-5A8A-4548-8154-FD45475DD2DE}"/>
    <cellStyle name="Normal 2 2 2 2 2 2 2 2 2 2 2 2 2 2 34" xfId="9059" xr:uid="{6D87400D-7E0F-425E-83C2-CB8249E4A75F}"/>
    <cellStyle name="Normal 2 2 2 2 2 2 2 2 2 2 2 2 2 2 35" xfId="9060" xr:uid="{403473AA-BD99-444F-80BF-E05E9C43EBF1}"/>
    <cellStyle name="Normal 2 2 2 2 2 2 2 2 2 2 2 2 2 2 36" xfId="9061" xr:uid="{1BCD89F5-EDE4-49D5-BA62-DC2EABF95794}"/>
    <cellStyle name="Normal 2 2 2 2 2 2 2 2 2 2 2 2 2 2 37" xfId="9062" xr:uid="{7F63ECF7-56C7-4E2B-B02E-77EF5224F53A}"/>
    <cellStyle name="Normal 2 2 2 2 2 2 2 2 2 2 2 2 2 2 38" xfId="9063" xr:uid="{A4BD4999-FC8D-48B4-A7A2-A56A540BB309}"/>
    <cellStyle name="Normal 2 2 2 2 2 2 2 2 2 2 2 2 2 2 39" xfId="9064" xr:uid="{05392DA7-AF58-4D5D-B490-D9C9873E7605}"/>
    <cellStyle name="Normal 2 2 2 2 2 2 2 2 2 2 2 2 2 2 4" xfId="9065" xr:uid="{037356D3-4DC6-41A9-9FA7-F56AE2340B32}"/>
    <cellStyle name="Normal 2 2 2 2 2 2 2 2 2 2 2 2 2 2 40" xfId="9066" xr:uid="{F0331436-AC48-4496-8B99-FC0CB815FC24}"/>
    <cellStyle name="Normal 2 2 2 2 2 2 2 2 2 2 2 2 2 2 41" xfId="9067" xr:uid="{7CEE723B-A16B-45A8-9AC7-676935043F0D}"/>
    <cellStyle name="Normal 2 2 2 2 2 2 2 2 2 2 2 2 2 2 41 2" xfId="9068" xr:uid="{0108889A-A4EF-4B83-81BC-3291475BE12F}"/>
    <cellStyle name="Normal 2 2 2 2 2 2 2 2 2 2 2 2 2 2 41 3" xfId="9069" xr:uid="{3438B0E9-F880-4AE7-B792-C9516F40A27F}"/>
    <cellStyle name="Normal 2 2 2 2 2 2 2 2 2 2 2 2 2 2 41 4" xfId="9070" xr:uid="{426F24DC-DF1C-4591-A243-FF4C63B48733}"/>
    <cellStyle name="Normal 2 2 2 2 2 2 2 2 2 2 2 2 2 2 41 5" xfId="9071" xr:uid="{806EDB74-D24C-432A-8DB2-7B9258E2B27C}"/>
    <cellStyle name="Normal 2 2 2 2 2 2 2 2 2 2 2 2 2 2 41 6" xfId="9072" xr:uid="{5529A2BE-4418-4848-9AC2-067126F143B1}"/>
    <cellStyle name="Normal 2 2 2 2 2 2 2 2 2 2 2 2 2 2 41 7" xfId="9073" xr:uid="{4A1EAD78-9E4C-490F-A219-11ED9E1B03B1}"/>
    <cellStyle name="Normal 2 2 2 2 2 2 2 2 2 2 2 2 2 2 42" xfId="9074" xr:uid="{3352D0C4-A338-4717-97C9-6EEF7D47B6F4}"/>
    <cellStyle name="Normal 2 2 2 2 2 2 2 2 2 2 2 2 2 2 43" xfId="9075" xr:uid="{1F9516C1-BF9A-455C-8D71-CF891E698899}"/>
    <cellStyle name="Normal 2 2 2 2 2 2 2 2 2 2 2 2 2 2 44" xfId="9076" xr:uid="{4785D382-03B1-4FB4-9158-060AF57938B2}"/>
    <cellStyle name="Normal 2 2 2 2 2 2 2 2 2 2 2 2 2 2 45" xfId="9077" xr:uid="{D8A4283D-2296-4C54-86B8-60646D7CBBB5}"/>
    <cellStyle name="Normal 2 2 2 2 2 2 2 2 2 2 2 2 2 2 46" xfId="9078" xr:uid="{B8291E0E-E6A0-473C-8BF6-7F07AE53AE3B}"/>
    <cellStyle name="Normal 2 2 2 2 2 2 2 2 2 2 2 2 2 2 47" xfId="9079" xr:uid="{C531E1D4-B869-477F-A854-06EC47F37CEA}"/>
    <cellStyle name="Normal 2 2 2 2 2 2 2 2 2 2 2 2 2 2 48" xfId="9080" xr:uid="{01E11731-5F68-4CFE-BA29-E1AAD123F5E1}"/>
    <cellStyle name="Normal 2 2 2 2 2 2 2 2 2 2 2 2 2 2 49" xfId="9081" xr:uid="{22EA15CD-7E7A-45C4-8ED5-3487523FE2EA}"/>
    <cellStyle name="Normal 2 2 2 2 2 2 2 2 2 2 2 2 2 2 5" xfId="9082" xr:uid="{8A27E0AB-46BA-41F5-856D-FF4DFFA8E6C2}"/>
    <cellStyle name="Normal 2 2 2 2 2 2 2 2 2 2 2 2 2 2 50" xfId="9083" xr:uid="{1F95D495-E023-4E94-B827-8AAE8AF1A6A5}"/>
    <cellStyle name="Normal 2 2 2 2 2 2 2 2 2 2 2 2 2 2 51" xfId="9084" xr:uid="{132D4FF1-55E6-4E05-A0B1-320720E10FE4}"/>
    <cellStyle name="Normal 2 2 2 2 2 2 2 2 2 2 2 2 2 2 52" xfId="9085" xr:uid="{5D5F98D7-570B-4F36-9663-89DB1B28CA70}"/>
    <cellStyle name="Normal 2 2 2 2 2 2 2 2 2 2 2 2 2 2 53" xfId="9086" xr:uid="{BCB3599B-860F-4D3B-9B41-C6843FAE45C0}"/>
    <cellStyle name="Normal 2 2 2 2 2 2 2 2 2 2 2 2 2 2 54" xfId="9087" xr:uid="{EEB4F221-A270-4CED-93CC-F3E2FF85DBD0}"/>
    <cellStyle name="Normal 2 2 2 2 2 2 2 2 2 2 2 2 2 2 55" xfId="9088" xr:uid="{8A361FC6-CCA5-444C-8DBA-32D15B0667E5}"/>
    <cellStyle name="Normal 2 2 2 2 2 2 2 2 2 2 2 2 2 2 56" xfId="9089" xr:uid="{3FC750B8-9C41-47E8-A110-66D29C578AD9}"/>
    <cellStyle name="Normal 2 2 2 2 2 2 2 2 2 2 2 2 2 2 57" xfId="9090" xr:uid="{A635A915-ECE5-48A5-A7D0-9EB09F390C05}"/>
    <cellStyle name="Normal 2 2 2 2 2 2 2 2 2 2 2 2 2 2 58" xfId="9091" xr:uid="{1E22121C-2107-438E-9EBF-07D0C65411FA}"/>
    <cellStyle name="Normal 2 2 2 2 2 2 2 2 2 2 2 2 2 2 59" xfId="9092" xr:uid="{9D0AC0A2-9903-46F2-A944-477AEEE1B208}"/>
    <cellStyle name="Normal 2 2 2 2 2 2 2 2 2 2 2 2 2 2 6" xfId="9093" xr:uid="{885F41E3-DA13-4B5A-ADA4-D145FF30FEC8}"/>
    <cellStyle name="Normal 2 2 2 2 2 2 2 2 2 2 2 2 2 2 60" xfId="9094" xr:uid="{639D96DE-1FC8-4187-8C95-568DCCED0994}"/>
    <cellStyle name="Normal 2 2 2 2 2 2 2 2 2 2 2 2 2 2 61" xfId="9095" xr:uid="{7FCAF65F-D28B-4143-8948-5A224E78D285}"/>
    <cellStyle name="Normal 2 2 2 2 2 2 2 2 2 2 2 2 2 2 62" xfId="9096" xr:uid="{5DABACB3-D3F6-4498-BB21-FAA82C69CA75}"/>
    <cellStyle name="Normal 2 2 2 2 2 2 2 2 2 2 2 2 2 2 63" xfId="9097" xr:uid="{8585DEB1-7A58-4896-9BB0-B0DFB4482DFE}"/>
    <cellStyle name="Normal 2 2 2 2 2 2 2 2 2 2 2 2 2 2 64" xfId="9098" xr:uid="{83E25452-2AA9-4BCB-8AC3-C0C963CDFCA9}"/>
    <cellStyle name="Normal 2 2 2 2 2 2 2 2 2 2 2 2 2 2 65" xfId="9099" xr:uid="{A22D034A-5504-4391-B35F-CA24FB5A4171}"/>
    <cellStyle name="Normal 2 2 2 2 2 2 2 2 2 2 2 2 2 2 66" xfId="9100" xr:uid="{96F3CFDB-DFCD-4D26-BD93-B7E39F0EDD62}"/>
    <cellStyle name="Normal 2 2 2 2 2 2 2 2 2 2 2 2 2 2 67" xfId="9101" xr:uid="{BB4DE632-C1C0-41B0-910E-5F7F7A20F887}"/>
    <cellStyle name="Normal 2 2 2 2 2 2 2 2 2 2 2 2 2 2 68" xfId="9102" xr:uid="{CDD37E7E-F9A4-416F-8DD5-2DCB64437B0F}"/>
    <cellStyle name="Normal 2 2 2 2 2 2 2 2 2 2 2 2 2 2 69" xfId="9103" xr:uid="{3DA36523-9ED2-4359-A183-F6E584C83B12}"/>
    <cellStyle name="Normal 2 2 2 2 2 2 2 2 2 2 2 2 2 2 7" xfId="9104" xr:uid="{A0F11A7E-68C5-4B07-B224-84AF0991B157}"/>
    <cellStyle name="Normal 2 2 2 2 2 2 2 2 2 2 2 2 2 2 7 10" xfId="9105" xr:uid="{B21485C7-9AC0-40C2-A921-E394F39469C9}"/>
    <cellStyle name="Normal 2 2 2 2 2 2 2 2 2 2 2 2 2 2 7 11" xfId="9106" xr:uid="{18003D70-AC6A-44A3-99AD-E2B4175F55A3}"/>
    <cellStyle name="Normal 2 2 2 2 2 2 2 2 2 2 2 2 2 2 7 11 10" xfId="9107" xr:uid="{A00A2A02-5036-4791-8D28-7E6229C42414}"/>
    <cellStyle name="Normal 2 2 2 2 2 2 2 2 2 2 2 2 2 2 7 11 11" xfId="9108" xr:uid="{AB44B84E-B1EE-41E0-870B-3F549310528E}"/>
    <cellStyle name="Normal 2 2 2 2 2 2 2 2 2 2 2 2 2 2 7 11 11 2" xfId="9109" xr:uid="{E79BC95C-7E96-4F65-8498-B881E151F1EE}"/>
    <cellStyle name="Normal 2 2 2 2 2 2 2 2 2 2 2 2 2 2 7 11 11 3" xfId="9110" xr:uid="{CB53A710-EFC0-4CD6-9446-1FA954253992}"/>
    <cellStyle name="Normal 2 2 2 2 2 2 2 2 2 2 2 2 2 2 7 11 11 4" xfId="9111" xr:uid="{44F3D280-153F-4F5D-8E7A-A723EAD8637B}"/>
    <cellStyle name="Normal 2 2 2 2 2 2 2 2 2 2 2 2 2 2 7 11 12" xfId="9112" xr:uid="{1B69DE30-CC82-462D-8C58-F6B8A2C3D396}"/>
    <cellStyle name="Normal 2 2 2 2 2 2 2 2 2 2 2 2 2 2 7 11 13" xfId="9113" xr:uid="{EAF31B80-B0E2-4A2C-B7DB-AAC4920D6189}"/>
    <cellStyle name="Normal 2 2 2 2 2 2 2 2 2 2 2 2 2 2 7 11 14" xfId="9114" xr:uid="{04013A69-9CA5-493A-86AB-B4DED462C3EB}"/>
    <cellStyle name="Normal 2 2 2 2 2 2 2 2 2 2 2 2 2 2 7 11 2" xfId="9115" xr:uid="{56BC6B98-2E16-43AD-86AD-24C9D2BC6E87}"/>
    <cellStyle name="Normal 2 2 2 2 2 2 2 2 2 2 2 2 2 2 7 11 2 10" xfId="9116" xr:uid="{D99D3941-9546-4B19-BF12-D3C0017334FD}"/>
    <cellStyle name="Normal 2 2 2 2 2 2 2 2 2 2 2 2 2 2 7 11 2 11" xfId="9117" xr:uid="{506C661E-F259-4961-A1FB-87A1AD282506}"/>
    <cellStyle name="Normal 2 2 2 2 2 2 2 2 2 2 2 2 2 2 7 11 2 2" xfId="9118" xr:uid="{C5E87C42-BA89-41F1-A7B2-A16D3407A1A0}"/>
    <cellStyle name="Normal 2 2 2 2 2 2 2 2 2 2 2 2 2 2 7 11 2 2 10" xfId="9119" xr:uid="{2CEEDE2A-90B2-43BF-B137-1D3AD197D1EE}"/>
    <cellStyle name="Normal 2 2 2 2 2 2 2 2 2 2 2 2 2 2 7 11 2 2 11" xfId="9120" xr:uid="{0A207766-8535-49F1-B6EE-6F30D1E95AC9}"/>
    <cellStyle name="Normal 2 2 2 2 2 2 2 2 2 2 2 2 2 2 7 11 2 2 2" xfId="9121" xr:uid="{E866AB06-9AC8-4B7E-8AED-23BE728F7B97}"/>
    <cellStyle name="Normal 2 2 2 2 2 2 2 2 2 2 2 2 2 2 7 11 2 2 2 2" xfId="9122" xr:uid="{9837F347-BE22-4C1C-B9EB-6547CFE22F0E}"/>
    <cellStyle name="Normal 2 2 2 2 2 2 2 2 2 2 2 2 2 2 7 11 2 2 2 2 2" xfId="9123" xr:uid="{8E10F31F-9077-4F11-BAC3-64CC0FB10474}"/>
    <cellStyle name="Normal 2 2 2 2 2 2 2 2 2 2 2 2 2 2 7 11 2 2 2 2 3" xfId="9124" xr:uid="{8B0F9BCA-A470-457C-8ECA-249E1C6716FD}"/>
    <cellStyle name="Normal 2 2 2 2 2 2 2 2 2 2 2 2 2 2 7 11 2 2 2 2 4" xfId="9125" xr:uid="{57E68BF1-CB1A-45A5-A81B-53F0319F18E0}"/>
    <cellStyle name="Normal 2 2 2 2 2 2 2 2 2 2 2 2 2 2 7 11 2 2 2 3" xfId="9126" xr:uid="{D9BA05E5-2879-473D-9F1F-6ED5B2674467}"/>
    <cellStyle name="Normal 2 2 2 2 2 2 2 2 2 2 2 2 2 2 7 11 2 2 2 4" xfId="9127" xr:uid="{11210F0C-78CB-4BE3-8D1F-478F07903D9A}"/>
    <cellStyle name="Normal 2 2 2 2 2 2 2 2 2 2 2 2 2 2 7 11 2 2 2 5" xfId="9128" xr:uid="{9C9785A6-EC4A-4CA4-A18E-F9034DD6A594}"/>
    <cellStyle name="Normal 2 2 2 2 2 2 2 2 2 2 2 2 2 2 7 11 2 2 2 6" xfId="9129" xr:uid="{960BB9DE-BD81-42A8-ABB1-D13A7FB1F798}"/>
    <cellStyle name="Normal 2 2 2 2 2 2 2 2 2 2 2 2 2 2 7 11 2 2 3" xfId="9130" xr:uid="{08710238-9348-4006-AC1B-CA78DC20A8B0}"/>
    <cellStyle name="Normal 2 2 2 2 2 2 2 2 2 2 2 2 2 2 7 11 2 2 4" xfId="9131" xr:uid="{45DD1625-B33D-4558-BAC6-C0CAB96D91A1}"/>
    <cellStyle name="Normal 2 2 2 2 2 2 2 2 2 2 2 2 2 2 7 11 2 2 5" xfId="9132" xr:uid="{BC48196D-7A94-485E-B67C-A143FA8B22A9}"/>
    <cellStyle name="Normal 2 2 2 2 2 2 2 2 2 2 2 2 2 2 7 11 2 2 6" xfId="9133" xr:uid="{7517C3B9-3971-4638-AA01-2AC9DB4084C9}"/>
    <cellStyle name="Normal 2 2 2 2 2 2 2 2 2 2 2 2 2 2 7 11 2 2 7" xfId="9134" xr:uid="{29DB76CC-0760-41C2-9C25-43EAB166D429}"/>
    <cellStyle name="Normal 2 2 2 2 2 2 2 2 2 2 2 2 2 2 7 11 2 2 8" xfId="9135" xr:uid="{AE677360-7AB2-4CB8-8803-EC1300B0D5F5}"/>
    <cellStyle name="Normal 2 2 2 2 2 2 2 2 2 2 2 2 2 2 7 11 2 2 8 2" xfId="9136" xr:uid="{53DE8635-C082-4789-B4BE-33492286E1BA}"/>
    <cellStyle name="Normal 2 2 2 2 2 2 2 2 2 2 2 2 2 2 7 11 2 2 8 3" xfId="9137" xr:uid="{A4B7D24E-5A20-432E-A461-96A704E1FD1D}"/>
    <cellStyle name="Normal 2 2 2 2 2 2 2 2 2 2 2 2 2 2 7 11 2 2 8 4" xfId="9138" xr:uid="{7DF27962-DE7D-4562-93B6-BE687AB1A855}"/>
    <cellStyle name="Normal 2 2 2 2 2 2 2 2 2 2 2 2 2 2 7 11 2 2 9" xfId="9139" xr:uid="{09C9D668-7BB3-4680-961E-CD6110F9EC39}"/>
    <cellStyle name="Normal 2 2 2 2 2 2 2 2 2 2 2 2 2 2 7 11 2 3" xfId="9140" xr:uid="{92415B16-E4F5-41B0-82AB-702E584FFDE0}"/>
    <cellStyle name="Normal 2 2 2 2 2 2 2 2 2 2 2 2 2 2 7 11 2 3 2" xfId="9141" xr:uid="{17CD11CC-D1E5-4567-B31B-FDF93E9A93C1}"/>
    <cellStyle name="Normal 2 2 2 2 2 2 2 2 2 2 2 2 2 2 7 11 2 3 2 2" xfId="9142" xr:uid="{F3054FBE-9E4A-4749-A11F-393D28214464}"/>
    <cellStyle name="Normal 2 2 2 2 2 2 2 2 2 2 2 2 2 2 7 11 2 3 2 3" xfId="9143" xr:uid="{9D34BBB7-9531-42AC-8192-487BB2A578DE}"/>
    <cellStyle name="Normal 2 2 2 2 2 2 2 2 2 2 2 2 2 2 7 11 2 3 2 4" xfId="9144" xr:uid="{5F3DD690-AD8E-4F18-BA3B-72C95B539C22}"/>
    <cellStyle name="Normal 2 2 2 2 2 2 2 2 2 2 2 2 2 2 7 11 2 3 3" xfId="9145" xr:uid="{DD455749-D16B-4D61-935F-46FDDCB2CD23}"/>
    <cellStyle name="Normal 2 2 2 2 2 2 2 2 2 2 2 2 2 2 7 11 2 3 4" xfId="9146" xr:uid="{EE54A531-6EFE-4D24-B97E-2B1AA021F853}"/>
    <cellStyle name="Normal 2 2 2 2 2 2 2 2 2 2 2 2 2 2 7 11 2 3 5" xfId="9147" xr:uid="{20D3C005-22CD-4D77-B95A-22821374BA80}"/>
    <cellStyle name="Normal 2 2 2 2 2 2 2 2 2 2 2 2 2 2 7 11 2 3 6" xfId="9148" xr:uid="{67D99F22-A7B7-4255-9B2C-DE8E2472541F}"/>
    <cellStyle name="Normal 2 2 2 2 2 2 2 2 2 2 2 2 2 2 7 11 2 4" xfId="9149" xr:uid="{E2BD7D59-A017-4F36-8E52-8AE232B0FC0F}"/>
    <cellStyle name="Normal 2 2 2 2 2 2 2 2 2 2 2 2 2 2 7 11 2 5" xfId="9150" xr:uid="{228D7E08-60CA-485B-B281-84E58D7B77F7}"/>
    <cellStyle name="Normal 2 2 2 2 2 2 2 2 2 2 2 2 2 2 7 11 2 6" xfId="9151" xr:uid="{4AE35415-6E9B-4988-9885-4F5E8B50391C}"/>
    <cellStyle name="Normal 2 2 2 2 2 2 2 2 2 2 2 2 2 2 7 11 2 7" xfId="9152" xr:uid="{2550664D-CEDD-4992-A24F-A9AA1F8DC05B}"/>
    <cellStyle name="Normal 2 2 2 2 2 2 2 2 2 2 2 2 2 2 7 11 2 8" xfId="9153" xr:uid="{C4B339C3-5092-4928-8B31-2D398AEED99B}"/>
    <cellStyle name="Normal 2 2 2 2 2 2 2 2 2 2 2 2 2 2 7 11 2 8 2" xfId="9154" xr:uid="{324624DD-4353-4BF4-A115-913BDF5F86F6}"/>
    <cellStyle name="Normal 2 2 2 2 2 2 2 2 2 2 2 2 2 2 7 11 2 8 3" xfId="9155" xr:uid="{84D71B10-1D4F-4CFD-8D44-7F9EAA2F88D9}"/>
    <cellStyle name="Normal 2 2 2 2 2 2 2 2 2 2 2 2 2 2 7 11 2 8 4" xfId="9156" xr:uid="{E9635114-A36E-4D76-9583-EE6E160CB84C}"/>
    <cellStyle name="Normal 2 2 2 2 2 2 2 2 2 2 2 2 2 2 7 11 2 9" xfId="9157" xr:uid="{420C2B90-0E00-4708-B2A4-D21F948CBA79}"/>
    <cellStyle name="Normal 2 2 2 2 2 2 2 2 2 2 2 2 2 2 7 11 3" xfId="9158" xr:uid="{8D47CA8D-23C9-4843-99F2-4AB23CDA65BF}"/>
    <cellStyle name="Normal 2 2 2 2 2 2 2 2 2 2 2 2 2 2 7 11 4" xfId="9159" xr:uid="{ED1236B7-950D-4BA8-9CCD-EAE3E68EF2AA}"/>
    <cellStyle name="Normal 2 2 2 2 2 2 2 2 2 2 2 2 2 2 7 11 5" xfId="9160" xr:uid="{64F2D253-FFFC-448D-BFF2-DDBE32A96FCD}"/>
    <cellStyle name="Normal 2 2 2 2 2 2 2 2 2 2 2 2 2 2 7 11 5 2" xfId="9161" xr:uid="{3DA59096-0769-4F07-B94F-127C36802000}"/>
    <cellStyle name="Normal 2 2 2 2 2 2 2 2 2 2 2 2 2 2 7 11 5 2 2" xfId="9162" xr:uid="{552659C7-C602-48A5-9B60-FC2A56DAD797}"/>
    <cellStyle name="Normal 2 2 2 2 2 2 2 2 2 2 2 2 2 2 7 11 5 2 3" xfId="9163" xr:uid="{A0C1ABD7-4829-4CA2-A7D4-98345A3A4C69}"/>
    <cellStyle name="Normal 2 2 2 2 2 2 2 2 2 2 2 2 2 2 7 11 5 2 4" xfId="9164" xr:uid="{5FE53A56-F6C9-4025-9F18-4E2335099D97}"/>
    <cellStyle name="Normal 2 2 2 2 2 2 2 2 2 2 2 2 2 2 7 11 5 3" xfId="9165" xr:uid="{51822A10-6DB6-4965-A4F1-5446727EA447}"/>
    <cellStyle name="Normal 2 2 2 2 2 2 2 2 2 2 2 2 2 2 7 11 5 4" xfId="9166" xr:uid="{0983B4DF-E236-4AE5-A691-6182D25BB018}"/>
    <cellStyle name="Normal 2 2 2 2 2 2 2 2 2 2 2 2 2 2 7 11 5 5" xfId="9167" xr:uid="{1283251A-68C9-4124-B7C3-BAB820B102B7}"/>
    <cellStyle name="Normal 2 2 2 2 2 2 2 2 2 2 2 2 2 2 7 11 5 6" xfId="9168" xr:uid="{E082CAAC-DCBA-4216-B2A6-2EC4C03EF4E4}"/>
    <cellStyle name="Normal 2 2 2 2 2 2 2 2 2 2 2 2 2 2 7 11 6" xfId="9169" xr:uid="{221F80E2-4341-41B2-AD4B-914E4C907CCB}"/>
    <cellStyle name="Normal 2 2 2 2 2 2 2 2 2 2 2 2 2 2 7 11 7" xfId="9170" xr:uid="{9BED19AB-4E07-4649-8217-37796080AFD4}"/>
    <cellStyle name="Normal 2 2 2 2 2 2 2 2 2 2 2 2 2 2 7 11 8" xfId="9171" xr:uid="{135D1C27-69D4-474B-BB63-14CF9FC347A8}"/>
    <cellStyle name="Normal 2 2 2 2 2 2 2 2 2 2 2 2 2 2 7 11 9" xfId="9172" xr:uid="{8ECC5904-2A00-420A-9CB5-4D73507A07AF}"/>
    <cellStyle name="Normal 2 2 2 2 2 2 2 2 2 2 2 2 2 2 7 12" xfId="9173" xr:uid="{DF001AFB-E9F6-4514-8E73-E61AF5EA957C}"/>
    <cellStyle name="Normal 2 2 2 2 2 2 2 2 2 2 2 2 2 2 7 13" xfId="9174" xr:uid="{162FD4A2-08EB-40D9-8753-0DDF50EFC757}"/>
    <cellStyle name="Normal 2 2 2 2 2 2 2 2 2 2 2 2 2 2 7 13 10" xfId="9175" xr:uid="{B8A3466A-0F84-4099-AEE2-9F2CBDF2A8F6}"/>
    <cellStyle name="Normal 2 2 2 2 2 2 2 2 2 2 2 2 2 2 7 13 11" xfId="9176" xr:uid="{828ACE82-AACD-4772-8DA8-932763D63E8A}"/>
    <cellStyle name="Normal 2 2 2 2 2 2 2 2 2 2 2 2 2 2 7 13 2" xfId="9177" xr:uid="{08C3AD93-A48B-4B07-B848-9094BF207BEA}"/>
    <cellStyle name="Normal 2 2 2 2 2 2 2 2 2 2 2 2 2 2 7 13 2 10" xfId="9178" xr:uid="{8C855E0C-1447-4E7A-B03D-5D5F7A2949F8}"/>
    <cellStyle name="Normal 2 2 2 2 2 2 2 2 2 2 2 2 2 2 7 13 2 11" xfId="9179" xr:uid="{59D9FCA4-668B-489C-969D-9FA86E7CF7CC}"/>
    <cellStyle name="Normal 2 2 2 2 2 2 2 2 2 2 2 2 2 2 7 13 2 2" xfId="9180" xr:uid="{63580C71-0F79-4976-A97C-C6174FB305A3}"/>
    <cellStyle name="Normal 2 2 2 2 2 2 2 2 2 2 2 2 2 2 7 13 2 2 2" xfId="9181" xr:uid="{0CD2222B-A650-4420-A1B2-2ADB000C80A5}"/>
    <cellStyle name="Normal 2 2 2 2 2 2 2 2 2 2 2 2 2 2 7 13 2 2 2 2" xfId="9182" xr:uid="{65ADDE96-D4A2-4691-8EB9-33D21CB83E8A}"/>
    <cellStyle name="Normal 2 2 2 2 2 2 2 2 2 2 2 2 2 2 7 13 2 2 2 3" xfId="9183" xr:uid="{53534EA1-BF76-485B-AEBA-EE7B6E8D160D}"/>
    <cellStyle name="Normal 2 2 2 2 2 2 2 2 2 2 2 2 2 2 7 13 2 2 2 4" xfId="9184" xr:uid="{CF07619F-8F96-4E79-AEB3-FB8C77E4DA65}"/>
    <cellStyle name="Normal 2 2 2 2 2 2 2 2 2 2 2 2 2 2 7 13 2 2 3" xfId="9185" xr:uid="{19029EC1-A60F-4D23-98EA-F5FCFCBFE4DF}"/>
    <cellStyle name="Normal 2 2 2 2 2 2 2 2 2 2 2 2 2 2 7 13 2 2 4" xfId="9186" xr:uid="{0141F953-5F3F-4E8E-97AC-6CDE4B35B251}"/>
    <cellStyle name="Normal 2 2 2 2 2 2 2 2 2 2 2 2 2 2 7 13 2 2 5" xfId="9187" xr:uid="{6A4A9126-0F45-4E67-AD2B-13828FE0C99D}"/>
    <cellStyle name="Normal 2 2 2 2 2 2 2 2 2 2 2 2 2 2 7 13 2 2 6" xfId="9188" xr:uid="{AAC8A676-DBA9-4113-8D14-55C590A90FF7}"/>
    <cellStyle name="Normal 2 2 2 2 2 2 2 2 2 2 2 2 2 2 7 13 2 3" xfId="9189" xr:uid="{B07B3065-6040-4EE5-ADD7-1F88E43082FD}"/>
    <cellStyle name="Normal 2 2 2 2 2 2 2 2 2 2 2 2 2 2 7 13 2 4" xfId="9190" xr:uid="{44A585E1-EB38-496F-B42E-401C7ECED990}"/>
    <cellStyle name="Normal 2 2 2 2 2 2 2 2 2 2 2 2 2 2 7 13 2 5" xfId="9191" xr:uid="{1895A757-7D78-46D9-A26E-9241022373B5}"/>
    <cellStyle name="Normal 2 2 2 2 2 2 2 2 2 2 2 2 2 2 7 13 2 6" xfId="9192" xr:uid="{78FDC130-5FFF-4DAE-9F92-445B59C29A0A}"/>
    <cellStyle name="Normal 2 2 2 2 2 2 2 2 2 2 2 2 2 2 7 13 2 7" xfId="9193" xr:uid="{0B944F39-917B-49A4-98DA-946FB74DCF60}"/>
    <cellStyle name="Normal 2 2 2 2 2 2 2 2 2 2 2 2 2 2 7 13 2 8" xfId="9194" xr:uid="{31C39454-D97E-4D01-B27D-1C63B5C39D32}"/>
    <cellStyle name="Normal 2 2 2 2 2 2 2 2 2 2 2 2 2 2 7 13 2 8 2" xfId="9195" xr:uid="{458E341A-D207-4A42-AD52-06A21482336A}"/>
    <cellStyle name="Normal 2 2 2 2 2 2 2 2 2 2 2 2 2 2 7 13 2 8 3" xfId="9196" xr:uid="{88999823-8ACA-41EA-BDC4-76F031ED571C}"/>
    <cellStyle name="Normal 2 2 2 2 2 2 2 2 2 2 2 2 2 2 7 13 2 8 4" xfId="9197" xr:uid="{426602A2-0BAF-4F57-B7BB-05B6E8CA2312}"/>
    <cellStyle name="Normal 2 2 2 2 2 2 2 2 2 2 2 2 2 2 7 13 2 9" xfId="9198" xr:uid="{F550538B-0FD9-458E-B177-327E2CC34AA7}"/>
    <cellStyle name="Normal 2 2 2 2 2 2 2 2 2 2 2 2 2 2 7 13 3" xfId="9199" xr:uid="{9A2B4B42-15AA-4C5D-ADFE-EAB7219AFB53}"/>
    <cellStyle name="Normal 2 2 2 2 2 2 2 2 2 2 2 2 2 2 7 13 3 2" xfId="9200" xr:uid="{99E26C20-02B3-40E7-8747-EBD3D94DF1BE}"/>
    <cellStyle name="Normal 2 2 2 2 2 2 2 2 2 2 2 2 2 2 7 13 3 2 2" xfId="9201" xr:uid="{DB7E47DD-4914-4B40-9CC1-18A6A7A3F893}"/>
    <cellStyle name="Normal 2 2 2 2 2 2 2 2 2 2 2 2 2 2 7 13 3 2 3" xfId="9202" xr:uid="{A83F6816-5403-44AC-A679-68ABC7218283}"/>
    <cellStyle name="Normal 2 2 2 2 2 2 2 2 2 2 2 2 2 2 7 13 3 2 4" xfId="9203" xr:uid="{F69400F1-83A9-4392-88EB-10C2327493F3}"/>
    <cellStyle name="Normal 2 2 2 2 2 2 2 2 2 2 2 2 2 2 7 13 3 3" xfId="9204" xr:uid="{C9AEBFB1-FE63-4794-B8AB-D28F86BFE240}"/>
    <cellStyle name="Normal 2 2 2 2 2 2 2 2 2 2 2 2 2 2 7 13 3 4" xfId="9205" xr:uid="{6BB9BA7C-5A52-4861-A3EE-947C314D5516}"/>
    <cellStyle name="Normal 2 2 2 2 2 2 2 2 2 2 2 2 2 2 7 13 3 5" xfId="9206" xr:uid="{513405B1-7420-43B3-8EFD-B6C7C4996395}"/>
    <cellStyle name="Normal 2 2 2 2 2 2 2 2 2 2 2 2 2 2 7 13 3 6" xfId="9207" xr:uid="{B80AE2F9-0A02-4F06-8AFB-48428F7EBC8D}"/>
    <cellStyle name="Normal 2 2 2 2 2 2 2 2 2 2 2 2 2 2 7 13 4" xfId="9208" xr:uid="{6D62AEF6-47C0-42C6-81F2-A7919FADAE50}"/>
    <cellStyle name="Normal 2 2 2 2 2 2 2 2 2 2 2 2 2 2 7 13 5" xfId="9209" xr:uid="{06011E6D-2480-4148-A829-F3361BA517AB}"/>
    <cellStyle name="Normal 2 2 2 2 2 2 2 2 2 2 2 2 2 2 7 13 6" xfId="9210" xr:uid="{6DFE7144-B0ED-4F32-9B28-9B948B71E1BF}"/>
    <cellStyle name="Normal 2 2 2 2 2 2 2 2 2 2 2 2 2 2 7 13 7" xfId="9211" xr:uid="{23C19182-5099-48BA-9A94-82AE8DF69384}"/>
    <cellStyle name="Normal 2 2 2 2 2 2 2 2 2 2 2 2 2 2 7 13 8" xfId="9212" xr:uid="{00CC2787-5D0E-45BF-9B9C-5592FAF768A5}"/>
    <cellStyle name="Normal 2 2 2 2 2 2 2 2 2 2 2 2 2 2 7 13 8 2" xfId="9213" xr:uid="{A467F01B-4675-46A0-A51B-7C61C7C5CAC2}"/>
    <cellStyle name="Normal 2 2 2 2 2 2 2 2 2 2 2 2 2 2 7 13 8 3" xfId="9214" xr:uid="{4D83FBF2-1F3C-4AF6-839D-FD2B09F5A675}"/>
    <cellStyle name="Normal 2 2 2 2 2 2 2 2 2 2 2 2 2 2 7 13 8 4" xfId="9215" xr:uid="{9407545D-9AE3-4E4F-AA29-8F3F7586CD55}"/>
    <cellStyle name="Normal 2 2 2 2 2 2 2 2 2 2 2 2 2 2 7 13 9" xfId="9216" xr:uid="{AF2D3D01-D5FE-4B83-BF70-EAF379425ADE}"/>
    <cellStyle name="Normal 2 2 2 2 2 2 2 2 2 2 2 2 2 2 7 14" xfId="9217" xr:uid="{7812FA9A-545D-40CA-A9D4-642B00A50742}"/>
    <cellStyle name="Normal 2 2 2 2 2 2 2 2 2 2 2 2 2 2 7 15" xfId="9218" xr:uid="{FE491CCB-2537-4BC8-98C9-C87A83001A7C}"/>
    <cellStyle name="Normal 2 2 2 2 2 2 2 2 2 2 2 2 2 2 7 15 2" xfId="9219" xr:uid="{E69CD1F1-4E34-497E-B2DE-4E9873170B7B}"/>
    <cellStyle name="Normal 2 2 2 2 2 2 2 2 2 2 2 2 2 2 7 15 2 2" xfId="9220" xr:uid="{7E3036B0-59F7-4A69-BFA9-AD7F4F0208A4}"/>
    <cellStyle name="Normal 2 2 2 2 2 2 2 2 2 2 2 2 2 2 7 15 2 3" xfId="9221" xr:uid="{AA550B50-1FE3-4F18-BDC2-52DC7BD28711}"/>
    <cellStyle name="Normal 2 2 2 2 2 2 2 2 2 2 2 2 2 2 7 15 2 4" xfId="9222" xr:uid="{A994E975-F3A4-4EEF-9291-A39595CC825C}"/>
    <cellStyle name="Normal 2 2 2 2 2 2 2 2 2 2 2 2 2 2 7 15 3" xfId="9223" xr:uid="{D4C9DFDC-BA81-436D-A8CC-46E05333F404}"/>
    <cellStyle name="Normal 2 2 2 2 2 2 2 2 2 2 2 2 2 2 7 15 4" xfId="9224" xr:uid="{82198BD7-2419-4388-B7F3-A934BF1239D3}"/>
    <cellStyle name="Normal 2 2 2 2 2 2 2 2 2 2 2 2 2 2 7 15 5" xfId="9225" xr:uid="{BA8804D0-BEF0-4B64-8138-B4CF6C3FD7BE}"/>
    <cellStyle name="Normal 2 2 2 2 2 2 2 2 2 2 2 2 2 2 7 15 6" xfId="9226" xr:uid="{14EE0965-A690-46CF-901A-2D01112E4696}"/>
    <cellStyle name="Normal 2 2 2 2 2 2 2 2 2 2 2 2 2 2 7 16" xfId="9227" xr:uid="{25A09362-8241-417E-8EB2-46093DA060BF}"/>
    <cellStyle name="Normal 2 2 2 2 2 2 2 2 2 2 2 2 2 2 7 17" xfId="9228" xr:uid="{8EAE0325-886F-40C9-9E63-97994DA68A78}"/>
    <cellStyle name="Normal 2 2 2 2 2 2 2 2 2 2 2 2 2 2 7 18" xfId="9229" xr:uid="{F642DAEC-8DE1-4B2B-A442-6B5CE0E4E2AA}"/>
    <cellStyle name="Normal 2 2 2 2 2 2 2 2 2 2 2 2 2 2 7 19" xfId="9230" xr:uid="{6979E91B-F0F7-4A07-8CD8-C478129D7628}"/>
    <cellStyle name="Normal 2 2 2 2 2 2 2 2 2 2 2 2 2 2 7 2" xfId="9231" xr:uid="{67AC9BA3-C5E8-4242-805B-B7237A783E9D}"/>
    <cellStyle name="Normal 2 2 2 2 2 2 2 2 2 2 2 2 2 2 7 2 10" xfId="9232" xr:uid="{2DC937EC-4998-45A7-A43D-60F39BAE3B64}"/>
    <cellStyle name="Normal 2 2 2 2 2 2 2 2 2 2 2 2 2 2 7 2 11" xfId="9233" xr:uid="{C173A182-ED26-4CDF-9C65-40D78305DCBA}"/>
    <cellStyle name="Normal 2 2 2 2 2 2 2 2 2 2 2 2 2 2 7 2 12" xfId="9234" xr:uid="{F15B7BB5-D139-452A-A2D9-B73FCA31307D}"/>
    <cellStyle name="Normal 2 2 2 2 2 2 2 2 2 2 2 2 2 2 7 2 13" xfId="9235" xr:uid="{C8B7BC7A-7D45-48B7-B838-C009D0F47C64}"/>
    <cellStyle name="Normal 2 2 2 2 2 2 2 2 2 2 2 2 2 2 7 2 13 2" xfId="9236" xr:uid="{26236AB5-4CF8-4132-9EE9-06E61511692A}"/>
    <cellStyle name="Normal 2 2 2 2 2 2 2 2 2 2 2 2 2 2 7 2 13 3" xfId="9237" xr:uid="{59FE1F76-756C-41BE-B333-80BA3A608EC4}"/>
    <cellStyle name="Normal 2 2 2 2 2 2 2 2 2 2 2 2 2 2 7 2 13 4" xfId="9238" xr:uid="{40DC65E2-3BF7-4C12-90FE-1135C9AD330A}"/>
    <cellStyle name="Normal 2 2 2 2 2 2 2 2 2 2 2 2 2 2 7 2 14" xfId="9239" xr:uid="{615FCFA8-7F4E-4F39-B8E7-6D3C1B366D93}"/>
    <cellStyle name="Normal 2 2 2 2 2 2 2 2 2 2 2 2 2 2 7 2 15" xfId="9240" xr:uid="{81AD4D06-254A-4955-8A66-D52DCC9B62FD}"/>
    <cellStyle name="Normal 2 2 2 2 2 2 2 2 2 2 2 2 2 2 7 2 16" xfId="9241" xr:uid="{C82F7C5A-D208-423C-A627-255A7175DAC8}"/>
    <cellStyle name="Normal 2 2 2 2 2 2 2 2 2 2 2 2 2 2 7 2 2" xfId="9242" xr:uid="{614798BF-BBB4-4A6E-87C9-522DFD21E826}"/>
    <cellStyle name="Normal 2 2 2 2 2 2 2 2 2 2 2 2 2 2 7 2 2 10" xfId="9243" xr:uid="{545F2658-E5E5-43EF-822F-058A9577B24F}"/>
    <cellStyle name="Normal 2 2 2 2 2 2 2 2 2 2 2 2 2 2 7 2 2 11" xfId="9244" xr:uid="{F075A4D6-0ED9-4A53-80DC-6644264A8B0B}"/>
    <cellStyle name="Normal 2 2 2 2 2 2 2 2 2 2 2 2 2 2 7 2 2 11 2" xfId="9245" xr:uid="{AD5463D6-D163-4FE3-A2CD-B650DC9584F9}"/>
    <cellStyle name="Normal 2 2 2 2 2 2 2 2 2 2 2 2 2 2 7 2 2 11 3" xfId="9246" xr:uid="{98413F64-20CE-46A9-99F7-10166BC2B75D}"/>
    <cellStyle name="Normal 2 2 2 2 2 2 2 2 2 2 2 2 2 2 7 2 2 11 4" xfId="9247" xr:uid="{D013D46C-BACA-420D-A479-AE3C5D10BD2D}"/>
    <cellStyle name="Normal 2 2 2 2 2 2 2 2 2 2 2 2 2 2 7 2 2 12" xfId="9248" xr:uid="{21FD13BD-31B2-4536-B3D2-9FFD2AE499A9}"/>
    <cellStyle name="Normal 2 2 2 2 2 2 2 2 2 2 2 2 2 2 7 2 2 13" xfId="9249" xr:uid="{293E2D73-78E4-46BD-AC6B-BE2205AF8BF2}"/>
    <cellStyle name="Normal 2 2 2 2 2 2 2 2 2 2 2 2 2 2 7 2 2 14" xfId="9250" xr:uid="{B5609D7F-DA60-4686-BCAF-3CCA0DBD058C}"/>
    <cellStyle name="Normal 2 2 2 2 2 2 2 2 2 2 2 2 2 2 7 2 2 2" xfId="9251" xr:uid="{60C0DE9F-5C1C-4AD7-8D1A-6CDA3155068F}"/>
    <cellStyle name="Normal 2 2 2 2 2 2 2 2 2 2 2 2 2 2 7 2 2 2 10" xfId="9252" xr:uid="{6D22967B-0329-4153-BDE3-41A09D1BCA12}"/>
    <cellStyle name="Normal 2 2 2 2 2 2 2 2 2 2 2 2 2 2 7 2 2 2 11" xfId="9253" xr:uid="{30082F00-7213-4A1E-9988-46F9C41B211D}"/>
    <cellStyle name="Normal 2 2 2 2 2 2 2 2 2 2 2 2 2 2 7 2 2 2 2" xfId="9254" xr:uid="{9F037C78-3714-43FB-BDA5-BE7BDF0BE837}"/>
    <cellStyle name="Normal 2 2 2 2 2 2 2 2 2 2 2 2 2 2 7 2 2 2 2 10" xfId="9255" xr:uid="{EF7E1E56-99B3-44A5-9476-2778093A41C3}"/>
    <cellStyle name="Normal 2 2 2 2 2 2 2 2 2 2 2 2 2 2 7 2 2 2 2 11" xfId="9256" xr:uid="{1FE0BB92-0C96-4A3A-9144-B4E4608C64CF}"/>
    <cellStyle name="Normal 2 2 2 2 2 2 2 2 2 2 2 2 2 2 7 2 2 2 2 2" xfId="9257" xr:uid="{F719B1B7-189D-498B-B0F9-255323E4ED51}"/>
    <cellStyle name="Normal 2 2 2 2 2 2 2 2 2 2 2 2 2 2 7 2 2 2 2 2 2" xfId="9258" xr:uid="{E7AA0FF8-66BB-4B1A-B6D8-3F500ED0686A}"/>
    <cellStyle name="Normal 2 2 2 2 2 2 2 2 2 2 2 2 2 2 7 2 2 2 2 2 2 2" xfId="9259" xr:uid="{D3AB657E-0473-487D-8578-847B8D0F4930}"/>
    <cellStyle name="Normal 2 2 2 2 2 2 2 2 2 2 2 2 2 2 7 2 2 2 2 2 2 3" xfId="9260" xr:uid="{30EED7C7-6439-43A5-9ACA-3131A3A031C7}"/>
    <cellStyle name="Normal 2 2 2 2 2 2 2 2 2 2 2 2 2 2 7 2 2 2 2 2 2 4" xfId="9261" xr:uid="{1F681CDA-1B22-4BD9-980B-FCDAA67617F9}"/>
    <cellStyle name="Normal 2 2 2 2 2 2 2 2 2 2 2 2 2 2 7 2 2 2 2 2 3" xfId="9262" xr:uid="{5450D9FF-6AA5-44EF-97C6-E1468303D380}"/>
    <cellStyle name="Normal 2 2 2 2 2 2 2 2 2 2 2 2 2 2 7 2 2 2 2 2 4" xfId="9263" xr:uid="{4534940C-AD43-463E-A4C9-AD78F49ADDA9}"/>
    <cellStyle name="Normal 2 2 2 2 2 2 2 2 2 2 2 2 2 2 7 2 2 2 2 2 5" xfId="9264" xr:uid="{66128A76-81CB-4A99-A41E-3C5DA9B23024}"/>
    <cellStyle name="Normal 2 2 2 2 2 2 2 2 2 2 2 2 2 2 7 2 2 2 2 2 6" xfId="9265" xr:uid="{C5FFE389-875B-4B82-AAE2-951CBC59BD13}"/>
    <cellStyle name="Normal 2 2 2 2 2 2 2 2 2 2 2 2 2 2 7 2 2 2 2 3" xfId="9266" xr:uid="{1913908F-061F-4FBC-BF82-600351D75129}"/>
    <cellStyle name="Normal 2 2 2 2 2 2 2 2 2 2 2 2 2 2 7 2 2 2 2 4" xfId="9267" xr:uid="{FA3B4C1E-097B-4C79-A51E-B9C69F6D3560}"/>
    <cellStyle name="Normal 2 2 2 2 2 2 2 2 2 2 2 2 2 2 7 2 2 2 2 5" xfId="9268" xr:uid="{0B13B536-EE29-47E2-973A-11B52F27B2BD}"/>
    <cellStyle name="Normal 2 2 2 2 2 2 2 2 2 2 2 2 2 2 7 2 2 2 2 6" xfId="9269" xr:uid="{B0B684CA-D880-4C2B-AD8F-B20D2BE3D4B7}"/>
    <cellStyle name="Normal 2 2 2 2 2 2 2 2 2 2 2 2 2 2 7 2 2 2 2 7" xfId="9270" xr:uid="{6D1EE5D2-D494-4121-8ACE-F3A6BE9DA345}"/>
    <cellStyle name="Normal 2 2 2 2 2 2 2 2 2 2 2 2 2 2 7 2 2 2 2 8" xfId="9271" xr:uid="{66926C5D-A7EF-43CC-BA8D-EAB4A5CC9FCB}"/>
    <cellStyle name="Normal 2 2 2 2 2 2 2 2 2 2 2 2 2 2 7 2 2 2 2 8 2" xfId="9272" xr:uid="{4795CC64-1ECA-46CA-8393-B868F1ED5526}"/>
    <cellStyle name="Normal 2 2 2 2 2 2 2 2 2 2 2 2 2 2 7 2 2 2 2 8 3" xfId="9273" xr:uid="{34955483-3280-442D-9AB0-3D458FEF228A}"/>
    <cellStyle name="Normal 2 2 2 2 2 2 2 2 2 2 2 2 2 2 7 2 2 2 2 8 4" xfId="9274" xr:uid="{C075B71E-135A-4D98-A360-634E28D9F966}"/>
    <cellStyle name="Normal 2 2 2 2 2 2 2 2 2 2 2 2 2 2 7 2 2 2 2 9" xfId="9275" xr:uid="{D816DC62-2F93-4244-ADE4-C9E667AE7DC0}"/>
    <cellStyle name="Normal 2 2 2 2 2 2 2 2 2 2 2 2 2 2 7 2 2 2 3" xfId="9276" xr:uid="{A888751A-480A-4C69-90C2-7D180D4E0621}"/>
    <cellStyle name="Normal 2 2 2 2 2 2 2 2 2 2 2 2 2 2 7 2 2 2 3 2" xfId="9277" xr:uid="{71A07C11-9DB3-4686-AC8B-918452644AC7}"/>
    <cellStyle name="Normal 2 2 2 2 2 2 2 2 2 2 2 2 2 2 7 2 2 2 3 2 2" xfId="9278" xr:uid="{73C88CDB-0F3C-43BD-B82C-F68C84F157D3}"/>
    <cellStyle name="Normal 2 2 2 2 2 2 2 2 2 2 2 2 2 2 7 2 2 2 3 2 3" xfId="9279" xr:uid="{B9F1B228-A001-42A7-A3FF-F46B9C9F3CE8}"/>
    <cellStyle name="Normal 2 2 2 2 2 2 2 2 2 2 2 2 2 2 7 2 2 2 3 2 4" xfId="9280" xr:uid="{C58A80CB-86A7-43C0-BD00-AEDEDA18D4F2}"/>
    <cellStyle name="Normal 2 2 2 2 2 2 2 2 2 2 2 2 2 2 7 2 2 2 3 3" xfId="9281" xr:uid="{7B5AF32D-2A2D-45FF-B2E4-C4F64E24833D}"/>
    <cellStyle name="Normal 2 2 2 2 2 2 2 2 2 2 2 2 2 2 7 2 2 2 3 4" xfId="9282" xr:uid="{BAF2B883-C1F7-47FB-861E-7DDBCC2B3CFC}"/>
    <cellStyle name="Normal 2 2 2 2 2 2 2 2 2 2 2 2 2 2 7 2 2 2 3 5" xfId="9283" xr:uid="{0979EBD0-6526-4BB2-9B9D-ED5C879C9537}"/>
    <cellStyle name="Normal 2 2 2 2 2 2 2 2 2 2 2 2 2 2 7 2 2 2 3 6" xfId="9284" xr:uid="{AF7B0061-F180-4298-ACE0-6BAB023756BD}"/>
    <cellStyle name="Normal 2 2 2 2 2 2 2 2 2 2 2 2 2 2 7 2 2 2 4" xfId="9285" xr:uid="{DA17DB97-72CC-4BB5-BE0F-2B3A18D2952F}"/>
    <cellStyle name="Normal 2 2 2 2 2 2 2 2 2 2 2 2 2 2 7 2 2 2 5" xfId="9286" xr:uid="{AFF10C58-FD76-4797-8EE5-DBA9C3F5429B}"/>
    <cellStyle name="Normal 2 2 2 2 2 2 2 2 2 2 2 2 2 2 7 2 2 2 6" xfId="9287" xr:uid="{F5DE8291-32EE-4C1B-8853-77D5C42C6CF4}"/>
    <cellStyle name="Normal 2 2 2 2 2 2 2 2 2 2 2 2 2 2 7 2 2 2 7" xfId="9288" xr:uid="{5A83BFEA-2C84-44E3-A790-D8F08122702B}"/>
    <cellStyle name="Normal 2 2 2 2 2 2 2 2 2 2 2 2 2 2 7 2 2 2 8" xfId="9289" xr:uid="{D0889B68-C672-4A78-B837-A4A15F5B3FE9}"/>
    <cellStyle name="Normal 2 2 2 2 2 2 2 2 2 2 2 2 2 2 7 2 2 2 8 2" xfId="9290" xr:uid="{25470734-A2CC-46E0-BA0F-9FB436E8E1EE}"/>
    <cellStyle name="Normal 2 2 2 2 2 2 2 2 2 2 2 2 2 2 7 2 2 2 8 3" xfId="9291" xr:uid="{4E6BD1D0-74DD-46A0-BB03-256AB5373D93}"/>
    <cellStyle name="Normal 2 2 2 2 2 2 2 2 2 2 2 2 2 2 7 2 2 2 8 4" xfId="9292" xr:uid="{C8C8D471-B7F0-4E71-8D2A-255289620218}"/>
    <cellStyle name="Normal 2 2 2 2 2 2 2 2 2 2 2 2 2 2 7 2 2 2 9" xfId="9293" xr:uid="{4F708C36-C48E-4036-AD21-47FDCAF0726E}"/>
    <cellStyle name="Normal 2 2 2 2 2 2 2 2 2 2 2 2 2 2 7 2 2 3" xfId="9294" xr:uid="{647CD65A-5215-4EE0-8DD5-524B53DC5C77}"/>
    <cellStyle name="Normal 2 2 2 2 2 2 2 2 2 2 2 2 2 2 7 2 2 4" xfId="9295" xr:uid="{884B6B20-FC28-47B8-A0C6-57B70D102EF6}"/>
    <cellStyle name="Normal 2 2 2 2 2 2 2 2 2 2 2 2 2 2 7 2 2 5" xfId="9296" xr:uid="{DEE19D94-9898-4D17-951A-1FB48835CA56}"/>
    <cellStyle name="Normal 2 2 2 2 2 2 2 2 2 2 2 2 2 2 7 2 2 5 2" xfId="9297" xr:uid="{AA33F908-A480-48CA-BE55-6CDF8E07F9BD}"/>
    <cellStyle name="Normal 2 2 2 2 2 2 2 2 2 2 2 2 2 2 7 2 2 5 2 2" xfId="9298" xr:uid="{2FFB23F9-E353-468E-98DC-8EEA941B8BD3}"/>
    <cellStyle name="Normal 2 2 2 2 2 2 2 2 2 2 2 2 2 2 7 2 2 5 2 3" xfId="9299" xr:uid="{970940B3-A59A-4CD1-8AFF-E18B2EE382CE}"/>
    <cellStyle name="Normal 2 2 2 2 2 2 2 2 2 2 2 2 2 2 7 2 2 5 2 4" xfId="9300" xr:uid="{C6ED97F1-DF85-4FB0-98EC-FF4D7A22CD52}"/>
    <cellStyle name="Normal 2 2 2 2 2 2 2 2 2 2 2 2 2 2 7 2 2 5 3" xfId="9301" xr:uid="{3D95DBB9-0F88-4665-BEA9-8E45DFDEBA9E}"/>
    <cellStyle name="Normal 2 2 2 2 2 2 2 2 2 2 2 2 2 2 7 2 2 5 4" xfId="9302" xr:uid="{D83E116D-1D39-4EC2-8BAA-F8D1C20B5138}"/>
    <cellStyle name="Normal 2 2 2 2 2 2 2 2 2 2 2 2 2 2 7 2 2 5 5" xfId="9303" xr:uid="{3DB450DC-50D8-435A-BD93-B0BC9313EDF5}"/>
    <cellStyle name="Normal 2 2 2 2 2 2 2 2 2 2 2 2 2 2 7 2 2 5 6" xfId="9304" xr:uid="{DC90C3ED-9671-4DA5-B84D-DCC182DE9A90}"/>
    <cellStyle name="Normal 2 2 2 2 2 2 2 2 2 2 2 2 2 2 7 2 2 6" xfId="9305" xr:uid="{DD36B7AB-0B96-48A5-A244-59A515871B86}"/>
    <cellStyle name="Normal 2 2 2 2 2 2 2 2 2 2 2 2 2 2 7 2 2 7" xfId="9306" xr:uid="{7D42AB73-DD1C-4360-9A65-A94053206C81}"/>
    <cellStyle name="Normal 2 2 2 2 2 2 2 2 2 2 2 2 2 2 7 2 2 8" xfId="9307" xr:uid="{2DB77C1F-BDEA-4699-AB7C-0D2A693C10E0}"/>
    <cellStyle name="Normal 2 2 2 2 2 2 2 2 2 2 2 2 2 2 7 2 2 9" xfId="9308" xr:uid="{C908F8DF-BBA7-4327-A4F2-EEFAA2F4BB32}"/>
    <cellStyle name="Normal 2 2 2 2 2 2 2 2 2 2 2 2 2 2 7 2 3" xfId="9309" xr:uid="{354AF4FE-85DE-4199-90CD-D04BCAECBE25}"/>
    <cellStyle name="Normal 2 2 2 2 2 2 2 2 2 2 2 2 2 2 7 2 4" xfId="9310" xr:uid="{315147C5-0D48-4F9F-8707-DABBBA0E527D}"/>
    <cellStyle name="Normal 2 2 2 2 2 2 2 2 2 2 2 2 2 2 7 2 5" xfId="9311" xr:uid="{BB779075-D097-476A-8109-A0B08E4EDE02}"/>
    <cellStyle name="Normal 2 2 2 2 2 2 2 2 2 2 2 2 2 2 7 2 5 10" xfId="9312" xr:uid="{F3691362-D8C0-4325-933D-2B9DDA4EF130}"/>
    <cellStyle name="Normal 2 2 2 2 2 2 2 2 2 2 2 2 2 2 7 2 5 11" xfId="9313" xr:uid="{B2F07AA4-6D9A-4CAD-B631-57869F7D1722}"/>
    <cellStyle name="Normal 2 2 2 2 2 2 2 2 2 2 2 2 2 2 7 2 5 2" xfId="9314" xr:uid="{AD917E8E-D366-419A-84EB-C07C299E5301}"/>
    <cellStyle name="Normal 2 2 2 2 2 2 2 2 2 2 2 2 2 2 7 2 5 2 10" xfId="9315" xr:uid="{BE5E02B3-A9F5-4FC2-A054-A9012B83CE1F}"/>
    <cellStyle name="Normal 2 2 2 2 2 2 2 2 2 2 2 2 2 2 7 2 5 2 11" xfId="9316" xr:uid="{B969D601-D196-4ADE-8300-E6982AF456F2}"/>
    <cellStyle name="Normal 2 2 2 2 2 2 2 2 2 2 2 2 2 2 7 2 5 2 2" xfId="9317" xr:uid="{5B18315B-B536-4A0E-8CE1-B0CCF1F6682B}"/>
    <cellStyle name="Normal 2 2 2 2 2 2 2 2 2 2 2 2 2 2 7 2 5 2 2 2" xfId="9318" xr:uid="{7767230A-10E1-4758-A3CB-DD95C79A658E}"/>
    <cellStyle name="Normal 2 2 2 2 2 2 2 2 2 2 2 2 2 2 7 2 5 2 2 2 2" xfId="9319" xr:uid="{4EB454EC-B022-4A7E-9D21-7FFEC8B867CE}"/>
    <cellStyle name="Normal 2 2 2 2 2 2 2 2 2 2 2 2 2 2 7 2 5 2 2 2 3" xfId="9320" xr:uid="{32107485-2369-4222-AABB-D2775D5C355D}"/>
    <cellStyle name="Normal 2 2 2 2 2 2 2 2 2 2 2 2 2 2 7 2 5 2 2 2 4" xfId="9321" xr:uid="{E317D117-BD6E-4ABE-86DF-0504CFBD35A3}"/>
    <cellStyle name="Normal 2 2 2 2 2 2 2 2 2 2 2 2 2 2 7 2 5 2 2 3" xfId="9322" xr:uid="{651AB871-9377-47AB-98F8-D8EBF4F6A0BD}"/>
    <cellStyle name="Normal 2 2 2 2 2 2 2 2 2 2 2 2 2 2 7 2 5 2 2 4" xfId="9323" xr:uid="{5A99BA03-8FF1-4091-8066-CD163055C486}"/>
    <cellStyle name="Normal 2 2 2 2 2 2 2 2 2 2 2 2 2 2 7 2 5 2 2 5" xfId="9324" xr:uid="{085C2AA6-7AAA-4116-AAEF-034763078F23}"/>
    <cellStyle name="Normal 2 2 2 2 2 2 2 2 2 2 2 2 2 2 7 2 5 2 2 6" xfId="9325" xr:uid="{7BE12395-229D-4594-A911-BA34B133B6B1}"/>
    <cellStyle name="Normal 2 2 2 2 2 2 2 2 2 2 2 2 2 2 7 2 5 2 3" xfId="9326" xr:uid="{3BA27BDD-7646-47C1-B3F6-4A4B81CF653D}"/>
    <cellStyle name="Normal 2 2 2 2 2 2 2 2 2 2 2 2 2 2 7 2 5 2 4" xfId="9327" xr:uid="{8330ACEC-07C4-42E4-B966-BD6B671EC1DA}"/>
    <cellStyle name="Normal 2 2 2 2 2 2 2 2 2 2 2 2 2 2 7 2 5 2 5" xfId="9328" xr:uid="{239A71E8-FCC5-455D-B6CB-FCE6AF239DBE}"/>
    <cellStyle name="Normal 2 2 2 2 2 2 2 2 2 2 2 2 2 2 7 2 5 2 6" xfId="9329" xr:uid="{656F1490-356E-48CE-96F1-FC12C8160137}"/>
    <cellStyle name="Normal 2 2 2 2 2 2 2 2 2 2 2 2 2 2 7 2 5 2 7" xfId="9330" xr:uid="{1CF8DECB-3603-47A4-95DE-F0AD897EE5E3}"/>
    <cellStyle name="Normal 2 2 2 2 2 2 2 2 2 2 2 2 2 2 7 2 5 2 8" xfId="9331" xr:uid="{21258519-D385-4406-B309-6E125B493170}"/>
    <cellStyle name="Normal 2 2 2 2 2 2 2 2 2 2 2 2 2 2 7 2 5 2 8 2" xfId="9332" xr:uid="{639FFF51-A26E-4F0D-B233-3E394D8F15A8}"/>
    <cellStyle name="Normal 2 2 2 2 2 2 2 2 2 2 2 2 2 2 7 2 5 2 8 3" xfId="9333" xr:uid="{45E4DF86-7BB8-41A4-967B-A88BD55F8AB0}"/>
    <cellStyle name="Normal 2 2 2 2 2 2 2 2 2 2 2 2 2 2 7 2 5 2 8 4" xfId="9334" xr:uid="{0467BEFE-3E97-4962-85A2-78C592A06EF6}"/>
    <cellStyle name="Normal 2 2 2 2 2 2 2 2 2 2 2 2 2 2 7 2 5 2 9" xfId="9335" xr:uid="{DE1959CF-35F4-491C-AA40-373EBEE70E41}"/>
    <cellStyle name="Normal 2 2 2 2 2 2 2 2 2 2 2 2 2 2 7 2 5 3" xfId="9336" xr:uid="{07346428-E58A-4B4F-B776-272829E727D6}"/>
    <cellStyle name="Normal 2 2 2 2 2 2 2 2 2 2 2 2 2 2 7 2 5 3 2" xfId="9337" xr:uid="{EED631FB-EC66-4719-AA37-38A48B7F5A12}"/>
    <cellStyle name="Normal 2 2 2 2 2 2 2 2 2 2 2 2 2 2 7 2 5 3 2 2" xfId="9338" xr:uid="{1D512F0A-87E9-4F4E-A216-C90748891624}"/>
    <cellStyle name="Normal 2 2 2 2 2 2 2 2 2 2 2 2 2 2 7 2 5 3 2 3" xfId="9339" xr:uid="{1CBFA7E7-FC88-4C32-B0E1-DA2A89A4AD81}"/>
    <cellStyle name="Normal 2 2 2 2 2 2 2 2 2 2 2 2 2 2 7 2 5 3 2 4" xfId="9340" xr:uid="{B1AC8121-A6D3-4B11-9EC7-403B45D73AA6}"/>
    <cellStyle name="Normal 2 2 2 2 2 2 2 2 2 2 2 2 2 2 7 2 5 3 3" xfId="9341" xr:uid="{24B16779-A7A8-4981-BD0A-1C92B063AE7C}"/>
    <cellStyle name="Normal 2 2 2 2 2 2 2 2 2 2 2 2 2 2 7 2 5 3 4" xfId="9342" xr:uid="{FEBE41E0-DD70-4F5C-A06C-323E8EDE2DA2}"/>
    <cellStyle name="Normal 2 2 2 2 2 2 2 2 2 2 2 2 2 2 7 2 5 3 5" xfId="9343" xr:uid="{4B4662A1-B87B-4627-8F18-C085D084BCD5}"/>
    <cellStyle name="Normal 2 2 2 2 2 2 2 2 2 2 2 2 2 2 7 2 5 3 6" xfId="9344" xr:uid="{19DDB852-89CA-4A47-A83A-9C994BA1BF72}"/>
    <cellStyle name="Normal 2 2 2 2 2 2 2 2 2 2 2 2 2 2 7 2 5 4" xfId="9345" xr:uid="{DA32A179-C316-49F8-A3AF-42AA01B3214C}"/>
    <cellStyle name="Normal 2 2 2 2 2 2 2 2 2 2 2 2 2 2 7 2 5 5" xfId="9346" xr:uid="{67F06F5C-7DC8-474D-8E63-57FA9D8B46F1}"/>
    <cellStyle name="Normal 2 2 2 2 2 2 2 2 2 2 2 2 2 2 7 2 5 6" xfId="9347" xr:uid="{534FF76B-5F37-43BD-B14C-76CB7082955A}"/>
    <cellStyle name="Normal 2 2 2 2 2 2 2 2 2 2 2 2 2 2 7 2 5 7" xfId="9348" xr:uid="{C9528082-3817-49F3-BA5F-FEBA6207D1C4}"/>
    <cellStyle name="Normal 2 2 2 2 2 2 2 2 2 2 2 2 2 2 7 2 5 8" xfId="9349" xr:uid="{12A13C05-34F6-4F9E-B45E-DD05FEA6EC95}"/>
    <cellStyle name="Normal 2 2 2 2 2 2 2 2 2 2 2 2 2 2 7 2 5 8 2" xfId="9350" xr:uid="{3FC0C494-21D1-4D7A-BCED-B80FA7C0ECFC}"/>
    <cellStyle name="Normal 2 2 2 2 2 2 2 2 2 2 2 2 2 2 7 2 5 8 3" xfId="9351" xr:uid="{2DD7D187-B623-40BD-966E-7DBEADA8C1BD}"/>
    <cellStyle name="Normal 2 2 2 2 2 2 2 2 2 2 2 2 2 2 7 2 5 8 4" xfId="9352" xr:uid="{E0CA8F9F-A72E-4C19-A1DB-DCEB01DA888E}"/>
    <cellStyle name="Normal 2 2 2 2 2 2 2 2 2 2 2 2 2 2 7 2 5 9" xfId="9353" xr:uid="{142E5A46-FF70-427B-A0BB-F981E746BF09}"/>
    <cellStyle name="Normal 2 2 2 2 2 2 2 2 2 2 2 2 2 2 7 2 6" xfId="9354" xr:uid="{7DD0F8BC-A706-457F-B6F2-C72028E37916}"/>
    <cellStyle name="Normal 2 2 2 2 2 2 2 2 2 2 2 2 2 2 7 2 7" xfId="9355" xr:uid="{B1DE108A-168D-4F56-A070-27D815F46226}"/>
    <cellStyle name="Normal 2 2 2 2 2 2 2 2 2 2 2 2 2 2 7 2 7 2" xfId="9356" xr:uid="{61CA695A-60B6-4D94-9B7D-CED03C3AF02C}"/>
    <cellStyle name="Normal 2 2 2 2 2 2 2 2 2 2 2 2 2 2 7 2 7 2 2" xfId="9357" xr:uid="{34417C58-214E-4DDC-8087-0CAC34133B33}"/>
    <cellStyle name="Normal 2 2 2 2 2 2 2 2 2 2 2 2 2 2 7 2 7 2 3" xfId="9358" xr:uid="{2720D318-4002-4822-93EA-B4CDD724233F}"/>
    <cellStyle name="Normal 2 2 2 2 2 2 2 2 2 2 2 2 2 2 7 2 7 2 4" xfId="9359" xr:uid="{03DE69F8-F061-420F-AFA0-73803C773B11}"/>
    <cellStyle name="Normal 2 2 2 2 2 2 2 2 2 2 2 2 2 2 7 2 7 3" xfId="9360" xr:uid="{711AC29B-A1FE-4ADF-BA4D-04C98CCE817F}"/>
    <cellStyle name="Normal 2 2 2 2 2 2 2 2 2 2 2 2 2 2 7 2 7 4" xfId="9361" xr:uid="{E2C0D06C-13C0-4CC1-A662-466467199296}"/>
    <cellStyle name="Normal 2 2 2 2 2 2 2 2 2 2 2 2 2 2 7 2 7 5" xfId="9362" xr:uid="{6E8C41E9-C1BF-48C2-8D4D-06774649FCEC}"/>
    <cellStyle name="Normal 2 2 2 2 2 2 2 2 2 2 2 2 2 2 7 2 7 6" xfId="9363" xr:uid="{B0BE674B-CF2D-4440-AE93-ECA921045B87}"/>
    <cellStyle name="Normal 2 2 2 2 2 2 2 2 2 2 2 2 2 2 7 2 8" xfId="9364" xr:uid="{9E27AD93-6890-4743-9C8C-EACCABE9C47E}"/>
    <cellStyle name="Normal 2 2 2 2 2 2 2 2 2 2 2 2 2 2 7 2 9" xfId="9365" xr:uid="{EBF2F407-FF38-4814-8BC3-AE90C6B14285}"/>
    <cellStyle name="Normal 2 2 2 2 2 2 2 2 2 2 2 2 2 2 7 20" xfId="9366" xr:uid="{F746BF46-72E8-4F3D-B7A6-A6AB13755015}"/>
    <cellStyle name="Normal 2 2 2 2 2 2 2 2 2 2 2 2 2 2 7 21" xfId="9367" xr:uid="{4156A03E-F9C1-45CD-B69C-6E620E437B58}"/>
    <cellStyle name="Normal 2 2 2 2 2 2 2 2 2 2 2 2 2 2 7 21 2" xfId="9368" xr:uid="{AC17839A-7DA7-4991-B38D-C4B29F74D0E0}"/>
    <cellStyle name="Normal 2 2 2 2 2 2 2 2 2 2 2 2 2 2 7 21 3" xfId="9369" xr:uid="{5DE0B4F4-AE2F-4D54-A55C-4B8AD81D540B}"/>
    <cellStyle name="Normal 2 2 2 2 2 2 2 2 2 2 2 2 2 2 7 21 4" xfId="9370" xr:uid="{D2C37C92-5768-4AA4-9EC6-F39E41755EF5}"/>
    <cellStyle name="Normal 2 2 2 2 2 2 2 2 2 2 2 2 2 2 7 22" xfId="9371" xr:uid="{CC8466B5-A0D3-4F83-9AA5-1A59F939BFBC}"/>
    <cellStyle name="Normal 2 2 2 2 2 2 2 2 2 2 2 2 2 2 7 23" xfId="9372" xr:uid="{C5D7C2C8-19F9-44FC-92DF-CBCEF962ED9A}"/>
    <cellStyle name="Normal 2 2 2 2 2 2 2 2 2 2 2 2 2 2 7 24" xfId="9373" xr:uid="{D05CA29D-2217-4E2C-8CC8-B5D939C61B9D}"/>
    <cellStyle name="Normal 2 2 2 2 2 2 2 2 2 2 2 2 2 2 7 3" xfId="9374" xr:uid="{78AC3F94-67A5-4728-91A0-DB20274ACC0D}"/>
    <cellStyle name="Normal 2 2 2 2 2 2 2 2 2 2 2 2 2 2 7 4" xfId="9375" xr:uid="{218C5E77-65D9-463D-8E75-37D24010CE24}"/>
    <cellStyle name="Normal 2 2 2 2 2 2 2 2 2 2 2 2 2 2 7 5" xfId="9376" xr:uid="{AC8C9832-5722-4912-9503-F51F18D1752F}"/>
    <cellStyle name="Normal 2 2 2 2 2 2 2 2 2 2 2 2 2 2 7 6" xfId="9377" xr:uid="{21781643-B8F3-4516-9BA1-963277307EC2}"/>
    <cellStyle name="Normal 2 2 2 2 2 2 2 2 2 2 2 2 2 2 7 7" xfId="9378" xr:uid="{83DFF81C-7B30-4BB6-AA45-5B6BD1173444}"/>
    <cellStyle name="Normal 2 2 2 2 2 2 2 2 2 2 2 2 2 2 7 8" xfId="9379" xr:uid="{ED19AD1B-87A6-49FF-8DFC-15E096CD51FF}"/>
    <cellStyle name="Normal 2 2 2 2 2 2 2 2 2 2 2 2 2 2 7 9" xfId="9380" xr:uid="{10AFE5E6-0FBC-425A-A874-7BA72B3C1CC6}"/>
    <cellStyle name="Normal 2 2 2 2 2 2 2 2 2 2 2 2 2 2 70" xfId="9381" xr:uid="{DCB5DF7A-B2E1-4F66-88E9-B534DAFCB0B1}"/>
    <cellStyle name="Normal 2 2 2 2 2 2 2 2 2 2 2 2 2 2 71" xfId="9382" xr:uid="{8447977E-B62C-4732-B94A-BAEFB3B3E8C9}"/>
    <cellStyle name="Normal 2 2 2 2 2 2 2 2 2 2 2 2 2 2 72" xfId="9383" xr:uid="{DB21E90B-093D-4EBA-BD8F-7149DF73FCD7}"/>
    <cellStyle name="Normal 2 2 2 2 2 2 2 2 2 2 2 2 2 2 73" xfId="9384" xr:uid="{D97115CE-52F5-4BA1-9498-73CEBE0DCE62}"/>
    <cellStyle name="Normal 2 2 2 2 2 2 2 2 2 2 2 2 2 2 74" xfId="9385" xr:uid="{4BAD9438-96DF-4A88-A044-9246B0B7DE1C}"/>
    <cellStyle name="Normal 2 2 2 2 2 2 2 2 2 2 2 2 2 2 75" xfId="9386" xr:uid="{477176C6-5F1E-4F99-A50D-FD079E3F1614}"/>
    <cellStyle name="Normal 2 2 2 2 2 2 2 2 2 2 2 2 2 2 76" xfId="9387" xr:uid="{E84ACFCA-C459-4EFD-BA8C-95918A75B2A9}"/>
    <cellStyle name="Normal 2 2 2 2 2 2 2 2 2 2 2 2 2 2 77" xfId="9388" xr:uid="{DBF71367-2F3E-4C9D-8C57-2C24BF58A0ED}"/>
    <cellStyle name="Normal 2 2 2 2 2 2 2 2 2 2 2 2 2 2 78" xfId="9389" xr:uid="{6DD42BDC-95E8-4301-B3F1-8D030B887A9D}"/>
    <cellStyle name="Normal 2 2 2 2 2 2 2 2 2 2 2 2 2 2 79" xfId="9390" xr:uid="{2CFE2C15-D812-4E2D-B42F-124CB5530F4D}"/>
    <cellStyle name="Normal 2 2 2 2 2 2 2 2 2 2 2 2 2 2 8" xfId="9391" xr:uid="{43B06CE7-ACA7-4521-872B-4CDD5FBBF36B}"/>
    <cellStyle name="Normal 2 2 2 2 2 2 2 2 2 2 2 2 2 2 8 10" xfId="9392" xr:uid="{7FCB1A7A-B51E-40C8-A57D-64EE06722B15}"/>
    <cellStyle name="Normal 2 2 2 2 2 2 2 2 2 2 2 2 2 2 8 11" xfId="9393" xr:uid="{55EE8A30-BEB4-4F9A-9E8A-28880C95CB66}"/>
    <cellStyle name="Normal 2 2 2 2 2 2 2 2 2 2 2 2 2 2 8 12" xfId="9394" xr:uid="{5F6D34A5-0B8D-4688-BCD9-49DEC95EF3BF}"/>
    <cellStyle name="Normal 2 2 2 2 2 2 2 2 2 2 2 2 2 2 8 13" xfId="9395" xr:uid="{B182B7CC-D290-444B-A0CF-E4E08B3D0D0B}"/>
    <cellStyle name="Normal 2 2 2 2 2 2 2 2 2 2 2 2 2 2 8 13 2" xfId="9396" xr:uid="{BF8B5880-8AC5-415F-9ECF-743676855A26}"/>
    <cellStyle name="Normal 2 2 2 2 2 2 2 2 2 2 2 2 2 2 8 13 3" xfId="9397" xr:uid="{82B4267C-8EB3-41EE-AEAF-CC63D783B894}"/>
    <cellStyle name="Normal 2 2 2 2 2 2 2 2 2 2 2 2 2 2 8 13 4" xfId="9398" xr:uid="{1F63DB7D-42CB-4760-B765-B0384E975053}"/>
    <cellStyle name="Normal 2 2 2 2 2 2 2 2 2 2 2 2 2 2 8 14" xfId="9399" xr:uid="{B4202A0D-E512-47F9-ADED-4523FD21BE97}"/>
    <cellStyle name="Normal 2 2 2 2 2 2 2 2 2 2 2 2 2 2 8 15" xfId="9400" xr:uid="{85D79421-9D4C-4F1D-8BD7-05CF34EB42B3}"/>
    <cellStyle name="Normal 2 2 2 2 2 2 2 2 2 2 2 2 2 2 8 16" xfId="9401" xr:uid="{06ED43E3-6674-4766-A2C0-59A48355A621}"/>
    <cellStyle name="Normal 2 2 2 2 2 2 2 2 2 2 2 2 2 2 8 2" xfId="9402" xr:uid="{90FFB1A9-E3E6-4E2E-BDD7-002FCA52005E}"/>
    <cellStyle name="Normal 2 2 2 2 2 2 2 2 2 2 2 2 2 2 8 2 10" xfId="9403" xr:uid="{7A4ACDD1-2DF1-4190-944F-F6E2B66EB8A4}"/>
    <cellStyle name="Normal 2 2 2 2 2 2 2 2 2 2 2 2 2 2 8 2 11" xfId="9404" xr:uid="{85B6F152-28DD-48E2-83E6-326D22932963}"/>
    <cellStyle name="Normal 2 2 2 2 2 2 2 2 2 2 2 2 2 2 8 2 11 2" xfId="9405" xr:uid="{9C8BFF64-6EB3-44E0-9D41-89D99F866FED}"/>
    <cellStyle name="Normal 2 2 2 2 2 2 2 2 2 2 2 2 2 2 8 2 11 3" xfId="9406" xr:uid="{15E29EED-CBDC-4457-86B3-ACF8678C060B}"/>
    <cellStyle name="Normal 2 2 2 2 2 2 2 2 2 2 2 2 2 2 8 2 11 4" xfId="9407" xr:uid="{80F24CAC-A1A0-4EB5-BC7E-0A4BA69AE2DC}"/>
    <cellStyle name="Normal 2 2 2 2 2 2 2 2 2 2 2 2 2 2 8 2 12" xfId="9408" xr:uid="{7B92C616-9E30-493A-BAC2-36101C79D58F}"/>
    <cellStyle name="Normal 2 2 2 2 2 2 2 2 2 2 2 2 2 2 8 2 13" xfId="9409" xr:uid="{BC93655E-785B-43D4-8938-89635D3972FA}"/>
    <cellStyle name="Normal 2 2 2 2 2 2 2 2 2 2 2 2 2 2 8 2 14" xfId="9410" xr:uid="{F42993D0-BF68-4391-96C4-EB136D83B710}"/>
    <cellStyle name="Normal 2 2 2 2 2 2 2 2 2 2 2 2 2 2 8 2 2" xfId="9411" xr:uid="{A96D881A-9811-4C78-A528-211D7B93822A}"/>
    <cellStyle name="Normal 2 2 2 2 2 2 2 2 2 2 2 2 2 2 8 2 2 10" xfId="9412" xr:uid="{0E15D24A-6D6A-4534-BD78-24B0814AA666}"/>
    <cellStyle name="Normal 2 2 2 2 2 2 2 2 2 2 2 2 2 2 8 2 2 11" xfId="9413" xr:uid="{DBB9386C-2D2C-41BC-A7A2-93227EC92E2E}"/>
    <cellStyle name="Normal 2 2 2 2 2 2 2 2 2 2 2 2 2 2 8 2 2 2" xfId="9414" xr:uid="{4D07E38A-7158-4BC2-8266-3F00FB25134D}"/>
    <cellStyle name="Normal 2 2 2 2 2 2 2 2 2 2 2 2 2 2 8 2 2 2 10" xfId="9415" xr:uid="{AD24866A-67A6-4BD8-8A71-F4CE79CA1E8A}"/>
    <cellStyle name="Normal 2 2 2 2 2 2 2 2 2 2 2 2 2 2 8 2 2 2 11" xfId="9416" xr:uid="{26C9204C-42D5-4716-839A-416791E018C0}"/>
    <cellStyle name="Normal 2 2 2 2 2 2 2 2 2 2 2 2 2 2 8 2 2 2 2" xfId="9417" xr:uid="{429C13BF-F639-4AB4-AE49-421DBB835B8F}"/>
    <cellStyle name="Normal 2 2 2 2 2 2 2 2 2 2 2 2 2 2 8 2 2 2 2 2" xfId="9418" xr:uid="{F637C840-0A67-408B-B62F-CF7830986AAF}"/>
    <cellStyle name="Normal 2 2 2 2 2 2 2 2 2 2 2 2 2 2 8 2 2 2 2 2 2" xfId="9419" xr:uid="{D501B5FF-5AAD-4D73-B49F-2D488D82B6E3}"/>
    <cellStyle name="Normal 2 2 2 2 2 2 2 2 2 2 2 2 2 2 8 2 2 2 2 2 3" xfId="9420" xr:uid="{5283E6A0-A3BD-4AEB-8E5B-68D6B0479DB4}"/>
    <cellStyle name="Normal 2 2 2 2 2 2 2 2 2 2 2 2 2 2 8 2 2 2 2 2 4" xfId="9421" xr:uid="{81220BC0-B59D-4A06-828D-F982296FFD1D}"/>
    <cellStyle name="Normal 2 2 2 2 2 2 2 2 2 2 2 2 2 2 8 2 2 2 2 3" xfId="9422" xr:uid="{A1EF6340-B346-4EA1-ACAE-DC198980E3BB}"/>
    <cellStyle name="Normal 2 2 2 2 2 2 2 2 2 2 2 2 2 2 8 2 2 2 2 4" xfId="9423" xr:uid="{957A9934-3092-4753-BDC2-95D245430426}"/>
    <cellStyle name="Normal 2 2 2 2 2 2 2 2 2 2 2 2 2 2 8 2 2 2 2 5" xfId="9424" xr:uid="{8E12F55E-5299-4528-9B21-0072FAA7B48C}"/>
    <cellStyle name="Normal 2 2 2 2 2 2 2 2 2 2 2 2 2 2 8 2 2 2 2 6" xfId="9425" xr:uid="{3FFAC995-3EC0-4515-95B0-B3E09768A44C}"/>
    <cellStyle name="Normal 2 2 2 2 2 2 2 2 2 2 2 2 2 2 8 2 2 2 3" xfId="9426" xr:uid="{3847CE94-59D1-438D-8FE0-7C08C2B5F378}"/>
    <cellStyle name="Normal 2 2 2 2 2 2 2 2 2 2 2 2 2 2 8 2 2 2 4" xfId="9427" xr:uid="{4920A860-CE51-4455-9720-5E0E6A3EC67A}"/>
    <cellStyle name="Normal 2 2 2 2 2 2 2 2 2 2 2 2 2 2 8 2 2 2 5" xfId="9428" xr:uid="{1FA45C4B-2060-4C8B-88C3-869344B5AFC8}"/>
    <cellStyle name="Normal 2 2 2 2 2 2 2 2 2 2 2 2 2 2 8 2 2 2 6" xfId="9429" xr:uid="{6AFFA4CA-CF42-4F48-BDD4-F15D61E8D09F}"/>
    <cellStyle name="Normal 2 2 2 2 2 2 2 2 2 2 2 2 2 2 8 2 2 2 7" xfId="9430" xr:uid="{EC932183-DCBB-448E-8A7E-7824467FA404}"/>
    <cellStyle name="Normal 2 2 2 2 2 2 2 2 2 2 2 2 2 2 8 2 2 2 8" xfId="9431" xr:uid="{F51085CD-59D6-4F1D-99E6-ED0D9FEAC2C3}"/>
    <cellStyle name="Normal 2 2 2 2 2 2 2 2 2 2 2 2 2 2 8 2 2 2 8 2" xfId="9432" xr:uid="{6FDE0B1F-3838-41DB-B649-667BE76131AF}"/>
    <cellStyle name="Normal 2 2 2 2 2 2 2 2 2 2 2 2 2 2 8 2 2 2 8 3" xfId="9433" xr:uid="{8F2B95A2-82EC-4076-ACF7-1B4120F1D66A}"/>
    <cellStyle name="Normal 2 2 2 2 2 2 2 2 2 2 2 2 2 2 8 2 2 2 8 4" xfId="9434" xr:uid="{ECF120B6-AB7F-4938-82C0-440898A21A48}"/>
    <cellStyle name="Normal 2 2 2 2 2 2 2 2 2 2 2 2 2 2 8 2 2 2 9" xfId="9435" xr:uid="{2F80B263-B3AE-4476-9CA0-8328C4BC516F}"/>
    <cellStyle name="Normal 2 2 2 2 2 2 2 2 2 2 2 2 2 2 8 2 2 3" xfId="9436" xr:uid="{BCA96058-6BD0-4D1F-B0F0-B406CA61B09C}"/>
    <cellStyle name="Normal 2 2 2 2 2 2 2 2 2 2 2 2 2 2 8 2 2 3 2" xfId="9437" xr:uid="{2B3C025F-3956-464E-B51F-83F2A3890B90}"/>
    <cellStyle name="Normal 2 2 2 2 2 2 2 2 2 2 2 2 2 2 8 2 2 3 2 2" xfId="9438" xr:uid="{45DC289E-1086-48F7-9B2D-5D6436A90FA0}"/>
    <cellStyle name="Normal 2 2 2 2 2 2 2 2 2 2 2 2 2 2 8 2 2 3 2 3" xfId="9439" xr:uid="{A2AD872C-DB96-44FD-8AAD-3B5359C1E20A}"/>
    <cellStyle name="Normal 2 2 2 2 2 2 2 2 2 2 2 2 2 2 8 2 2 3 2 4" xfId="9440" xr:uid="{CD7C998B-279A-4BB0-A097-31869BFEBE27}"/>
    <cellStyle name="Normal 2 2 2 2 2 2 2 2 2 2 2 2 2 2 8 2 2 3 3" xfId="9441" xr:uid="{EEC0D905-697C-42FD-A3C2-ACEAAF5FC9EC}"/>
    <cellStyle name="Normal 2 2 2 2 2 2 2 2 2 2 2 2 2 2 8 2 2 3 4" xfId="9442" xr:uid="{AF92C88C-7221-4DFB-BEBB-41D5EB0AD324}"/>
    <cellStyle name="Normal 2 2 2 2 2 2 2 2 2 2 2 2 2 2 8 2 2 3 5" xfId="9443" xr:uid="{E5434A99-EF2B-4696-8997-F141B02270BD}"/>
    <cellStyle name="Normal 2 2 2 2 2 2 2 2 2 2 2 2 2 2 8 2 2 3 6" xfId="9444" xr:uid="{2660FECA-7A0D-43E6-9ADD-1C8103A5AB62}"/>
    <cellStyle name="Normal 2 2 2 2 2 2 2 2 2 2 2 2 2 2 8 2 2 4" xfId="9445" xr:uid="{26CBA5BC-0E3F-479D-89FA-0C12CD750A32}"/>
    <cellStyle name="Normal 2 2 2 2 2 2 2 2 2 2 2 2 2 2 8 2 2 5" xfId="9446" xr:uid="{E72A684F-27D8-4B55-BF7A-448A20EE184C}"/>
    <cellStyle name="Normal 2 2 2 2 2 2 2 2 2 2 2 2 2 2 8 2 2 6" xfId="9447" xr:uid="{ABDFB535-73EC-4293-B610-21E6B73F9671}"/>
    <cellStyle name="Normal 2 2 2 2 2 2 2 2 2 2 2 2 2 2 8 2 2 7" xfId="9448" xr:uid="{2295A08C-A9FF-4370-AA4D-CB02ECAE394B}"/>
    <cellStyle name="Normal 2 2 2 2 2 2 2 2 2 2 2 2 2 2 8 2 2 8" xfId="9449" xr:uid="{96B84D1E-C2FB-4A9E-8365-3555CD3FA1BA}"/>
    <cellStyle name="Normal 2 2 2 2 2 2 2 2 2 2 2 2 2 2 8 2 2 8 2" xfId="9450" xr:uid="{4224EDE6-DF09-4414-892A-C5F6AAD09261}"/>
    <cellStyle name="Normal 2 2 2 2 2 2 2 2 2 2 2 2 2 2 8 2 2 8 3" xfId="9451" xr:uid="{07E563DD-561F-45F4-898A-A6AA9D28E056}"/>
    <cellStyle name="Normal 2 2 2 2 2 2 2 2 2 2 2 2 2 2 8 2 2 8 4" xfId="9452" xr:uid="{8CEA8480-D031-4DBF-83BB-BF6DC17621DE}"/>
    <cellStyle name="Normal 2 2 2 2 2 2 2 2 2 2 2 2 2 2 8 2 2 9" xfId="9453" xr:uid="{E4A1C08F-3B09-4C43-9897-8753A896060A}"/>
    <cellStyle name="Normal 2 2 2 2 2 2 2 2 2 2 2 2 2 2 8 2 3" xfId="9454" xr:uid="{BC797C91-8455-4978-9BDA-F4DA907DA3FD}"/>
    <cellStyle name="Normal 2 2 2 2 2 2 2 2 2 2 2 2 2 2 8 2 4" xfId="9455" xr:uid="{FD949F1C-5849-480F-92AD-D53BB29A8C29}"/>
    <cellStyle name="Normal 2 2 2 2 2 2 2 2 2 2 2 2 2 2 8 2 5" xfId="9456" xr:uid="{E2057A97-8FEE-46D3-89BC-8F139CEE7771}"/>
    <cellStyle name="Normal 2 2 2 2 2 2 2 2 2 2 2 2 2 2 8 2 5 2" xfId="9457" xr:uid="{87BB1C31-D135-4A5D-8195-D878E1233CC6}"/>
    <cellStyle name="Normal 2 2 2 2 2 2 2 2 2 2 2 2 2 2 8 2 5 2 2" xfId="9458" xr:uid="{1D930479-FD0A-4856-B1CF-4CCCFB52787B}"/>
    <cellStyle name="Normal 2 2 2 2 2 2 2 2 2 2 2 2 2 2 8 2 5 2 3" xfId="9459" xr:uid="{A51CA0CC-4FBD-48F2-B7D2-A2FAF7955DB1}"/>
    <cellStyle name="Normal 2 2 2 2 2 2 2 2 2 2 2 2 2 2 8 2 5 2 4" xfId="9460" xr:uid="{2799224A-B153-4479-AD0A-6D23FB36D5B2}"/>
    <cellStyle name="Normal 2 2 2 2 2 2 2 2 2 2 2 2 2 2 8 2 5 3" xfId="9461" xr:uid="{A3E24606-CFA2-4703-865C-2672F7DECF6C}"/>
    <cellStyle name="Normal 2 2 2 2 2 2 2 2 2 2 2 2 2 2 8 2 5 4" xfId="9462" xr:uid="{AA86CD18-118A-44D6-BD84-4EB289770F91}"/>
    <cellStyle name="Normal 2 2 2 2 2 2 2 2 2 2 2 2 2 2 8 2 5 5" xfId="9463" xr:uid="{F477C593-4CB4-4088-BF94-A454B6B9E1E1}"/>
    <cellStyle name="Normal 2 2 2 2 2 2 2 2 2 2 2 2 2 2 8 2 5 6" xfId="9464" xr:uid="{91B03688-1A73-4EF9-95C0-9F57EFFDB3F1}"/>
    <cellStyle name="Normal 2 2 2 2 2 2 2 2 2 2 2 2 2 2 8 2 6" xfId="9465" xr:uid="{616DE1C6-8498-4A27-908E-853BE47AC101}"/>
    <cellStyle name="Normal 2 2 2 2 2 2 2 2 2 2 2 2 2 2 8 2 7" xfId="9466" xr:uid="{AEEEBA05-757A-421D-9B66-D70C9E3A465F}"/>
    <cellStyle name="Normal 2 2 2 2 2 2 2 2 2 2 2 2 2 2 8 2 8" xfId="9467" xr:uid="{B074DC34-7C46-475D-8FD8-D99C8309F1E6}"/>
    <cellStyle name="Normal 2 2 2 2 2 2 2 2 2 2 2 2 2 2 8 2 9" xfId="9468" xr:uid="{7EC7E86D-6F25-40A7-9D40-C818E112C9F6}"/>
    <cellStyle name="Normal 2 2 2 2 2 2 2 2 2 2 2 2 2 2 8 3" xfId="9469" xr:uid="{294CB173-7BD8-44E2-A583-385FD77E1E72}"/>
    <cellStyle name="Normal 2 2 2 2 2 2 2 2 2 2 2 2 2 2 8 4" xfId="9470" xr:uid="{754B72D4-0702-47CB-85A6-587A40893FFE}"/>
    <cellStyle name="Normal 2 2 2 2 2 2 2 2 2 2 2 2 2 2 8 5" xfId="9471" xr:uid="{8E04D793-9631-40DD-93B5-FEE8E55DB7D4}"/>
    <cellStyle name="Normal 2 2 2 2 2 2 2 2 2 2 2 2 2 2 8 5 10" xfId="9472" xr:uid="{55D19064-5E01-4E43-8175-475BFB17DA1A}"/>
    <cellStyle name="Normal 2 2 2 2 2 2 2 2 2 2 2 2 2 2 8 5 11" xfId="9473" xr:uid="{EA272D78-D688-4B4E-8A62-76500D5888AB}"/>
    <cellStyle name="Normal 2 2 2 2 2 2 2 2 2 2 2 2 2 2 8 5 2" xfId="9474" xr:uid="{A753B9FE-8707-41F2-9073-7CFEE1481914}"/>
    <cellStyle name="Normal 2 2 2 2 2 2 2 2 2 2 2 2 2 2 8 5 2 10" xfId="9475" xr:uid="{29EE49F0-B3EA-4657-8EF5-A925E0ABAA89}"/>
    <cellStyle name="Normal 2 2 2 2 2 2 2 2 2 2 2 2 2 2 8 5 2 11" xfId="9476" xr:uid="{4A7FF96A-00C0-4EF4-BD89-05AA94DB5CB0}"/>
    <cellStyle name="Normal 2 2 2 2 2 2 2 2 2 2 2 2 2 2 8 5 2 2" xfId="9477" xr:uid="{A134A516-D579-4F2D-B5B6-96842DAE0C0D}"/>
    <cellStyle name="Normal 2 2 2 2 2 2 2 2 2 2 2 2 2 2 8 5 2 2 2" xfId="9478" xr:uid="{23DFB0C7-D4BA-4880-B84B-1494ADAC034D}"/>
    <cellStyle name="Normal 2 2 2 2 2 2 2 2 2 2 2 2 2 2 8 5 2 2 2 2" xfId="9479" xr:uid="{87F4FBAF-84E8-4688-89F2-ABDDB797540A}"/>
    <cellStyle name="Normal 2 2 2 2 2 2 2 2 2 2 2 2 2 2 8 5 2 2 2 3" xfId="9480" xr:uid="{6B5BC3F7-0250-4BA5-B177-2AFE91DEB6A9}"/>
    <cellStyle name="Normal 2 2 2 2 2 2 2 2 2 2 2 2 2 2 8 5 2 2 2 4" xfId="9481" xr:uid="{AD31C9AE-A9D4-45AB-BE47-8D36F990DE3F}"/>
    <cellStyle name="Normal 2 2 2 2 2 2 2 2 2 2 2 2 2 2 8 5 2 2 3" xfId="9482" xr:uid="{74725687-D96A-418F-BA9F-1494BC4EB4C2}"/>
    <cellStyle name="Normal 2 2 2 2 2 2 2 2 2 2 2 2 2 2 8 5 2 2 4" xfId="9483" xr:uid="{B50256B1-31EE-4701-84EE-1ABCA87CE389}"/>
    <cellStyle name="Normal 2 2 2 2 2 2 2 2 2 2 2 2 2 2 8 5 2 2 5" xfId="9484" xr:uid="{5C9D749D-C93E-4A89-B84E-5C7E1C8DAA6A}"/>
    <cellStyle name="Normal 2 2 2 2 2 2 2 2 2 2 2 2 2 2 8 5 2 2 6" xfId="9485" xr:uid="{882A5C97-7A2F-4C53-97BD-B796D117B5F3}"/>
    <cellStyle name="Normal 2 2 2 2 2 2 2 2 2 2 2 2 2 2 8 5 2 3" xfId="9486" xr:uid="{4D6718F8-577E-4FD9-BBBC-F5262D334A3A}"/>
    <cellStyle name="Normal 2 2 2 2 2 2 2 2 2 2 2 2 2 2 8 5 2 4" xfId="9487" xr:uid="{F03A6BA7-B171-4D53-A035-1A661CA4A314}"/>
    <cellStyle name="Normal 2 2 2 2 2 2 2 2 2 2 2 2 2 2 8 5 2 5" xfId="9488" xr:uid="{EBEE536B-A2CA-4DC3-A78F-539F3822B11C}"/>
    <cellStyle name="Normal 2 2 2 2 2 2 2 2 2 2 2 2 2 2 8 5 2 6" xfId="9489" xr:uid="{BFC430E6-F825-48F7-B0F5-CEC24ED12CF4}"/>
    <cellStyle name="Normal 2 2 2 2 2 2 2 2 2 2 2 2 2 2 8 5 2 7" xfId="9490" xr:uid="{ECAD7AAB-2260-4DD1-A2E0-52106435F332}"/>
    <cellStyle name="Normal 2 2 2 2 2 2 2 2 2 2 2 2 2 2 8 5 2 8" xfId="9491" xr:uid="{DAFDF3B0-C9EB-4B33-9F70-DDF1AB2F248A}"/>
    <cellStyle name="Normal 2 2 2 2 2 2 2 2 2 2 2 2 2 2 8 5 2 8 2" xfId="9492" xr:uid="{953C34FA-98AA-4921-A70F-BB8DBC2EE25E}"/>
    <cellStyle name="Normal 2 2 2 2 2 2 2 2 2 2 2 2 2 2 8 5 2 8 3" xfId="9493" xr:uid="{3F2B0B55-FD43-45A4-BBFA-9A2953BBE6C4}"/>
    <cellStyle name="Normal 2 2 2 2 2 2 2 2 2 2 2 2 2 2 8 5 2 8 4" xfId="9494" xr:uid="{AB996773-DA9F-4534-9623-0518785FFD58}"/>
    <cellStyle name="Normal 2 2 2 2 2 2 2 2 2 2 2 2 2 2 8 5 2 9" xfId="9495" xr:uid="{41F552EE-2410-4EC0-84FB-B53E9DD4386F}"/>
    <cellStyle name="Normal 2 2 2 2 2 2 2 2 2 2 2 2 2 2 8 5 3" xfId="9496" xr:uid="{8AEDECAF-49BA-4157-B7C1-736DDB07E1E6}"/>
    <cellStyle name="Normal 2 2 2 2 2 2 2 2 2 2 2 2 2 2 8 5 3 2" xfId="9497" xr:uid="{FE56EE3A-A2FA-44DA-97B8-67EE5343E307}"/>
    <cellStyle name="Normal 2 2 2 2 2 2 2 2 2 2 2 2 2 2 8 5 3 2 2" xfId="9498" xr:uid="{72DA56FC-9719-49B8-973D-939ADDD49787}"/>
    <cellStyle name="Normal 2 2 2 2 2 2 2 2 2 2 2 2 2 2 8 5 3 2 3" xfId="9499" xr:uid="{F3A3C837-2DC3-49AD-B8B6-6D776F6F4756}"/>
    <cellStyle name="Normal 2 2 2 2 2 2 2 2 2 2 2 2 2 2 8 5 3 2 4" xfId="9500" xr:uid="{935AB227-3433-40EC-BBB0-57C036DAD8B7}"/>
    <cellStyle name="Normal 2 2 2 2 2 2 2 2 2 2 2 2 2 2 8 5 3 3" xfId="9501" xr:uid="{FE6CDA84-23CE-4821-B449-5624040ADD5A}"/>
    <cellStyle name="Normal 2 2 2 2 2 2 2 2 2 2 2 2 2 2 8 5 3 4" xfId="9502" xr:uid="{D0EDF2D4-0934-46FF-8F38-33017E203A84}"/>
    <cellStyle name="Normal 2 2 2 2 2 2 2 2 2 2 2 2 2 2 8 5 3 5" xfId="9503" xr:uid="{E07D15FB-8B43-43F0-A732-00C37204491E}"/>
    <cellStyle name="Normal 2 2 2 2 2 2 2 2 2 2 2 2 2 2 8 5 3 6" xfId="9504" xr:uid="{EF3201EE-94EF-431E-B74F-D383F629FB67}"/>
    <cellStyle name="Normal 2 2 2 2 2 2 2 2 2 2 2 2 2 2 8 5 4" xfId="9505" xr:uid="{088EBE56-73A2-4B75-B245-2E704C2F704A}"/>
    <cellStyle name="Normal 2 2 2 2 2 2 2 2 2 2 2 2 2 2 8 5 5" xfId="9506" xr:uid="{46B9F1BB-003F-4601-AA71-6D169F0174F6}"/>
    <cellStyle name="Normal 2 2 2 2 2 2 2 2 2 2 2 2 2 2 8 5 6" xfId="9507" xr:uid="{1E9DD2F2-CF51-44AC-BE87-2045AADBC7C6}"/>
    <cellStyle name="Normal 2 2 2 2 2 2 2 2 2 2 2 2 2 2 8 5 7" xfId="9508" xr:uid="{AABE4183-EE41-42A1-A0EE-EFD180790CB7}"/>
    <cellStyle name="Normal 2 2 2 2 2 2 2 2 2 2 2 2 2 2 8 5 8" xfId="9509" xr:uid="{32BB7729-98D9-41BA-A816-71C6513FBAF1}"/>
    <cellStyle name="Normal 2 2 2 2 2 2 2 2 2 2 2 2 2 2 8 5 8 2" xfId="9510" xr:uid="{0538A535-CAFB-44FC-95EC-E272F6BA2B58}"/>
    <cellStyle name="Normal 2 2 2 2 2 2 2 2 2 2 2 2 2 2 8 5 8 3" xfId="9511" xr:uid="{66247086-E2A3-40CF-8CD9-89004C613E31}"/>
    <cellStyle name="Normal 2 2 2 2 2 2 2 2 2 2 2 2 2 2 8 5 8 4" xfId="9512" xr:uid="{A862CF37-996A-4AAF-BB28-EF131D8A0A6F}"/>
    <cellStyle name="Normal 2 2 2 2 2 2 2 2 2 2 2 2 2 2 8 5 9" xfId="9513" xr:uid="{38CC684F-7EC4-4393-AE3C-47A7A82B6B8B}"/>
    <cellStyle name="Normal 2 2 2 2 2 2 2 2 2 2 2 2 2 2 8 6" xfId="9514" xr:uid="{6422511A-88D7-4176-860A-D6EE5C7F37F1}"/>
    <cellStyle name="Normal 2 2 2 2 2 2 2 2 2 2 2 2 2 2 8 7" xfId="9515" xr:uid="{9FB69C78-38B7-4A2A-9612-32B035223791}"/>
    <cellStyle name="Normal 2 2 2 2 2 2 2 2 2 2 2 2 2 2 8 7 2" xfId="9516" xr:uid="{61FB1CE0-59B3-48CD-804F-07A4DAE1CB50}"/>
    <cellStyle name="Normal 2 2 2 2 2 2 2 2 2 2 2 2 2 2 8 7 2 2" xfId="9517" xr:uid="{F2338CDF-4A61-4439-B6BD-76697A8187F3}"/>
    <cellStyle name="Normal 2 2 2 2 2 2 2 2 2 2 2 2 2 2 8 7 2 3" xfId="9518" xr:uid="{57EE12D7-AE37-4B05-B7FD-95502695D6BD}"/>
    <cellStyle name="Normal 2 2 2 2 2 2 2 2 2 2 2 2 2 2 8 7 2 4" xfId="9519" xr:uid="{1EB95B99-1BD1-4050-BC78-BE1832802D2A}"/>
    <cellStyle name="Normal 2 2 2 2 2 2 2 2 2 2 2 2 2 2 8 7 3" xfId="9520" xr:uid="{FA1411FF-DEF6-4D93-B1D1-93DC2469A8DB}"/>
    <cellStyle name="Normal 2 2 2 2 2 2 2 2 2 2 2 2 2 2 8 7 4" xfId="9521" xr:uid="{D0F3EC39-1D7C-479C-859D-C39498B4C6FF}"/>
    <cellStyle name="Normal 2 2 2 2 2 2 2 2 2 2 2 2 2 2 8 7 5" xfId="9522" xr:uid="{43BED413-1F25-4115-8492-AF8D9FD3996F}"/>
    <cellStyle name="Normal 2 2 2 2 2 2 2 2 2 2 2 2 2 2 8 7 6" xfId="9523" xr:uid="{3187CEBA-2086-4BA1-AB56-F4D34CE6582A}"/>
    <cellStyle name="Normal 2 2 2 2 2 2 2 2 2 2 2 2 2 2 8 8" xfId="9524" xr:uid="{A6031FB7-6C3B-49F9-A67D-542719C93C45}"/>
    <cellStyle name="Normal 2 2 2 2 2 2 2 2 2 2 2 2 2 2 8 9" xfId="9525" xr:uid="{7A6FE250-3299-48A5-869F-20C560DC649D}"/>
    <cellStyle name="Normal 2 2 2 2 2 2 2 2 2 2 2 2 2 2 80" xfId="9526" xr:uid="{AC943246-04A1-4D47-8A35-D987498CE138}"/>
    <cellStyle name="Normal 2 2 2 2 2 2 2 2 2 2 2 2 2 2 81" xfId="9527" xr:uid="{A2C65503-E292-424F-9DA1-0965402C4EB0}"/>
    <cellStyle name="Normal 2 2 2 2 2 2 2 2 2 2 2 2 2 2 82" xfId="9528" xr:uid="{8EE0F6DE-0227-48AD-9254-592F8F56CA91}"/>
    <cellStyle name="Normal 2 2 2 2 2 2 2 2 2 2 2 2 2 2 83" xfId="9529" xr:uid="{FCF72AEE-8DFC-47BD-8DCE-89F078564CB4}"/>
    <cellStyle name="Normal 2 2 2 2 2 2 2 2 2 2 2 2 2 2 84" xfId="9530" xr:uid="{48451767-4B83-459E-A687-AF286A6CF2DF}"/>
    <cellStyle name="Normal 2 2 2 2 2 2 2 2 2 2 2 2 2 2 85" xfId="9531" xr:uid="{687CE102-3A86-452A-83BA-109D196E10C1}"/>
    <cellStyle name="Normal 2 2 2 2 2 2 2 2 2 2 2 2 2 2 86" xfId="9532" xr:uid="{ABFE5F07-13F3-48D4-B7EA-7B09397E691B}"/>
    <cellStyle name="Normal 2 2 2 2 2 2 2 2 2 2 2 2 2 2 87" xfId="9533" xr:uid="{80C5AC65-0CF6-4BE4-A0ED-924AFE547F78}"/>
    <cellStyle name="Normal 2 2 2 2 2 2 2 2 2 2 2 2 2 2 88" xfId="9534" xr:uid="{F0D676C2-633B-47A7-9B81-138E4E7CB7DE}"/>
    <cellStyle name="Normal 2 2 2 2 2 2 2 2 2 2 2 2 2 2 88 2" xfId="9535" xr:uid="{BC4F3713-DA7C-47CC-A6F9-A83E68799B5A}"/>
    <cellStyle name="Normal 2 2 2 2 2 2 2 2 2 2 2 2 2 2 88 3" xfId="9536" xr:uid="{6CAD4C09-E2D1-4413-86FF-75DDEA317E6D}"/>
    <cellStyle name="Normal 2 2 2 2 2 2 2 2 2 2 2 2 2 2 88 4" xfId="9537" xr:uid="{39949C38-E5D7-4549-AB64-CA605DCC117D}"/>
    <cellStyle name="Normal 2 2 2 2 2 2 2 2 2 2 2 2 2 2 89" xfId="9538" xr:uid="{9B70F02B-37C0-41FC-88FD-397177BDA8B5}"/>
    <cellStyle name="Normal 2 2 2 2 2 2 2 2 2 2 2 2 2 2 9" xfId="9539" xr:uid="{F32D757E-4ACB-48E6-A7A6-4E97E8C0E265}"/>
    <cellStyle name="Normal 2 2 2 2 2 2 2 2 2 2 2 2 2 2 90" xfId="9540" xr:uid="{3D31B0B3-105C-433F-870D-DDB0DA677953}"/>
    <cellStyle name="Normal 2 2 2 2 2 2 2 2 2 2 2 2 2 20" xfId="9541" xr:uid="{1908D43E-9E04-48C1-B423-7E4C8429AFBA}"/>
    <cellStyle name="Normal 2 2 2 2 2 2 2 2 2 2 2 2 2 20 2" xfId="9542" xr:uid="{4AF78A38-6C7C-47B1-BE3C-FA44EBA38351}"/>
    <cellStyle name="Normal 2 2 2 2 2 2 2 2 2 2 2 2 2 20 2 2" xfId="9543" xr:uid="{E4E101D1-0788-4830-83A2-517AF0BAEE56}"/>
    <cellStyle name="Normal 2 2 2 2 2 2 2 2 2 2 2 2 2 20 2 3" xfId="9544" xr:uid="{FE139950-F41E-4F3B-9ACD-D6D5CFB33740}"/>
    <cellStyle name="Normal 2 2 2 2 2 2 2 2 2 2 2 2 2 20 2 4" xfId="9545" xr:uid="{0E2E1473-31F0-488C-9333-618C4D0569E3}"/>
    <cellStyle name="Normal 2 2 2 2 2 2 2 2 2 2 2 2 2 20 3" xfId="9546" xr:uid="{21AB3E4B-3C94-4284-A3AA-744F2CC965AB}"/>
    <cellStyle name="Normal 2 2 2 2 2 2 2 2 2 2 2 2 2 20 4" xfId="9547" xr:uid="{207102A3-F501-46B1-9730-FFB2F4E4D6C8}"/>
    <cellStyle name="Normal 2 2 2 2 2 2 2 2 2 2 2 2 2 20 5" xfId="9548" xr:uid="{ECF4425C-A8B7-450E-A8C0-E81C5761B4CE}"/>
    <cellStyle name="Normal 2 2 2 2 2 2 2 2 2 2 2 2 2 20 6" xfId="9549" xr:uid="{EEB72C1A-BB08-4728-A92F-CDEDD78262A2}"/>
    <cellStyle name="Normal 2 2 2 2 2 2 2 2 2 2 2 2 2 21" xfId="9550" xr:uid="{9F9780A6-0BE2-43FF-ADC0-C9AD6BC00AEA}"/>
    <cellStyle name="Normal 2 2 2 2 2 2 2 2 2 2 2 2 2 22" xfId="9551" xr:uid="{D4D84E79-7AD1-42E9-A297-F187B1CEC6DB}"/>
    <cellStyle name="Normal 2 2 2 2 2 2 2 2 2 2 2 2 2 23" xfId="9552" xr:uid="{7D99F2B6-4876-4FE7-85F7-991491F2B668}"/>
    <cellStyle name="Normal 2 2 2 2 2 2 2 2 2 2 2 2 2 24" xfId="9553" xr:uid="{36602430-EE60-45D1-B6F0-7D65EF916D31}"/>
    <cellStyle name="Normal 2 2 2 2 2 2 2 2 2 2 2 2 2 25" xfId="9554" xr:uid="{A495C4F4-BE0A-44CC-A173-7086A6E2943D}"/>
    <cellStyle name="Normal 2 2 2 2 2 2 2 2 2 2 2 2 2 26" xfId="9555" xr:uid="{3FFB29FB-D31B-49CA-992C-B2E87AAFBFA0}"/>
    <cellStyle name="Normal 2 2 2 2 2 2 2 2 2 2 2 2 2 26 2" xfId="9556" xr:uid="{8D8D2202-75F6-4DB9-8ED0-5DEC694E3B2E}"/>
    <cellStyle name="Normal 2 2 2 2 2 2 2 2 2 2 2 2 2 26 3" xfId="9557" xr:uid="{1A3BAF74-DB7F-4F55-BB05-2D760A29C972}"/>
    <cellStyle name="Normal 2 2 2 2 2 2 2 2 2 2 2 2 2 26 4" xfId="9558" xr:uid="{34979C50-B21F-4B62-9969-F08D5AF56A05}"/>
    <cellStyle name="Normal 2 2 2 2 2 2 2 2 2 2 2 2 2 27" xfId="9559" xr:uid="{0F78B010-0BD6-42B7-9A19-F6AF7C4E85FE}"/>
    <cellStyle name="Normal 2 2 2 2 2 2 2 2 2 2 2 2 2 28" xfId="9560" xr:uid="{BA0799D4-C4A8-471D-9DA4-50021A51FBC7}"/>
    <cellStyle name="Normal 2 2 2 2 2 2 2 2 2 2 2 2 2 29" xfId="9561" xr:uid="{8EB4CE8D-CDB7-401C-8825-3BDA56F5A639}"/>
    <cellStyle name="Normal 2 2 2 2 2 2 2 2 2 2 2 2 2 3" xfId="9562" xr:uid="{DACC1096-582D-4E7C-AEF8-C0ED9877EAEF}"/>
    <cellStyle name="Normal 2 2 2 2 2 2 2 2 2 2 2 2 2 30" xfId="9563" xr:uid="{9AFBD488-82C9-4BA3-9695-D07C131DED06}"/>
    <cellStyle name="Normal 2 2 2 2 2 2 2 2 2 2 2 2 2 31" xfId="9564" xr:uid="{CC0E3721-5CCA-4D5B-B0D6-9610E9215CB2}"/>
    <cellStyle name="Normal 2 2 2 2 2 2 2 2 2 2 2 2 2 32" xfId="9565" xr:uid="{A7D17045-6E4F-461C-962E-691502EBE8E4}"/>
    <cellStyle name="Normal 2 2 2 2 2 2 2 2 2 2 2 2 2 33" xfId="9566" xr:uid="{C5DFBE4C-32C0-43B9-BE13-9F083E470E03}"/>
    <cellStyle name="Normal 2 2 2 2 2 2 2 2 2 2 2 2 2 34" xfId="9567" xr:uid="{62CFA0C9-46A0-4DF1-A66B-5DDC65524108}"/>
    <cellStyle name="Normal 2 2 2 2 2 2 2 2 2 2 2 2 2 35" xfId="9568" xr:uid="{368AC715-8639-40AA-B8DC-312973F27277}"/>
    <cellStyle name="Normal 2 2 2 2 2 2 2 2 2 2 2 2 2 36" xfId="9569" xr:uid="{3ED9CD57-E596-4FB8-ABF4-D1B2014AF0E1}"/>
    <cellStyle name="Normal 2 2 2 2 2 2 2 2 2 2 2 2 2 37" xfId="9570" xr:uid="{00B67BB3-0401-4FCC-BA9D-93ECCDBF8E30}"/>
    <cellStyle name="Normal 2 2 2 2 2 2 2 2 2 2 2 2 2 38" xfId="9571" xr:uid="{C5ACA3F5-1117-40E5-A7BE-4E3BC7AF506F}"/>
    <cellStyle name="Normal 2 2 2 2 2 2 2 2 2 2 2 2 2 39" xfId="9572" xr:uid="{4CC2480C-1C17-4AB0-AAD1-40E867769745}"/>
    <cellStyle name="Normal 2 2 2 2 2 2 2 2 2 2 2 2 2 4" xfId="9573" xr:uid="{822CC7A7-CDD6-433B-9D62-CCF40BB3B4FA}"/>
    <cellStyle name="Normal 2 2 2 2 2 2 2 2 2 2 2 2 2 40" xfId="9574" xr:uid="{01942BBA-A628-45F6-AC5B-E9CF2D8D653A}"/>
    <cellStyle name="Normal 2 2 2 2 2 2 2 2 2 2 2 2 2 41" xfId="9575" xr:uid="{AD3F201A-E3A9-4B13-98B4-0CC0483FCF99}"/>
    <cellStyle name="Normal 2 2 2 2 2 2 2 2 2 2 2 2 2 41 2" xfId="9576" xr:uid="{C46E5555-1989-4337-99BF-1DBCAA6CFE49}"/>
    <cellStyle name="Normal 2 2 2 2 2 2 2 2 2 2 2 2 2 41 3" xfId="9577" xr:uid="{1D21EB13-9D73-4A1D-995E-16C2895DA717}"/>
    <cellStyle name="Normal 2 2 2 2 2 2 2 2 2 2 2 2 2 41 4" xfId="9578" xr:uid="{A212C3E1-DDF0-4EC4-A2E7-F60A54261A7A}"/>
    <cellStyle name="Normal 2 2 2 2 2 2 2 2 2 2 2 2 2 41 5" xfId="9579" xr:uid="{631F2BA2-FC00-4910-8752-875C3E2B52EB}"/>
    <cellStyle name="Normal 2 2 2 2 2 2 2 2 2 2 2 2 2 41 6" xfId="9580" xr:uid="{CE04CBE6-B743-453D-BDAD-51518D5283DD}"/>
    <cellStyle name="Normal 2 2 2 2 2 2 2 2 2 2 2 2 2 41 7" xfId="9581" xr:uid="{B785CE71-FA0C-41B5-895B-86AC17B3C843}"/>
    <cellStyle name="Normal 2 2 2 2 2 2 2 2 2 2 2 2 2 42" xfId="9582" xr:uid="{38E620FA-0235-4490-95C9-19D6833419D1}"/>
    <cellStyle name="Normal 2 2 2 2 2 2 2 2 2 2 2 2 2 43" xfId="9583" xr:uid="{E3882619-402B-48F6-8692-A9C94E13FDDB}"/>
    <cellStyle name="Normal 2 2 2 2 2 2 2 2 2 2 2 2 2 44" xfId="9584" xr:uid="{95ED84B3-38EE-46DD-8969-3B6440F81413}"/>
    <cellStyle name="Normal 2 2 2 2 2 2 2 2 2 2 2 2 2 45" xfId="9585" xr:uid="{D6C584FB-3397-45E1-A2E0-424F3816A573}"/>
    <cellStyle name="Normal 2 2 2 2 2 2 2 2 2 2 2 2 2 46" xfId="9586" xr:uid="{19C5F06C-CA49-4B6C-8BA0-0BCD7CF01B68}"/>
    <cellStyle name="Normal 2 2 2 2 2 2 2 2 2 2 2 2 2 47" xfId="9587" xr:uid="{BD88182D-4F00-487B-B9E6-FB9691494538}"/>
    <cellStyle name="Normal 2 2 2 2 2 2 2 2 2 2 2 2 2 48" xfId="9588" xr:uid="{0C4DE925-5E0A-495D-A55D-47E08A4BCF5A}"/>
    <cellStyle name="Normal 2 2 2 2 2 2 2 2 2 2 2 2 2 49" xfId="9589" xr:uid="{1185ECF3-4103-41AB-8197-F430BA57D304}"/>
    <cellStyle name="Normal 2 2 2 2 2 2 2 2 2 2 2 2 2 5" xfId="9590" xr:uid="{63F8F117-BD05-4536-9B1E-9E5CFC7D4589}"/>
    <cellStyle name="Normal 2 2 2 2 2 2 2 2 2 2 2 2 2 50" xfId="9591" xr:uid="{783D16BD-BECE-4D65-9858-59AE33E9F690}"/>
    <cellStyle name="Normal 2 2 2 2 2 2 2 2 2 2 2 2 2 51" xfId="9592" xr:uid="{0AE068C7-19D0-42D2-AE76-67D784C998F8}"/>
    <cellStyle name="Normal 2 2 2 2 2 2 2 2 2 2 2 2 2 52" xfId="9593" xr:uid="{76486BBA-AC00-4420-B0BF-B2437BE758CA}"/>
    <cellStyle name="Normal 2 2 2 2 2 2 2 2 2 2 2 2 2 53" xfId="9594" xr:uid="{88D255BD-9477-45EC-B6C4-E3274CBB8D7D}"/>
    <cellStyle name="Normal 2 2 2 2 2 2 2 2 2 2 2 2 2 54" xfId="9595" xr:uid="{CF110C70-5E52-436A-AF92-9275BED3EC88}"/>
    <cellStyle name="Normal 2 2 2 2 2 2 2 2 2 2 2 2 2 55" xfId="9596" xr:uid="{08E3A5DC-F785-4BCA-B9D2-171EF7948CDA}"/>
    <cellStyle name="Normal 2 2 2 2 2 2 2 2 2 2 2 2 2 56" xfId="9597" xr:uid="{D8A8CD91-62D4-4BA3-AB8C-5547D1559D5D}"/>
    <cellStyle name="Normal 2 2 2 2 2 2 2 2 2 2 2 2 2 57" xfId="9598" xr:uid="{31E3E0E5-14A0-4FD4-9F54-A09B99F97385}"/>
    <cellStyle name="Normal 2 2 2 2 2 2 2 2 2 2 2 2 2 58" xfId="9599" xr:uid="{6E79F98E-8A58-4ED9-AFBE-E4D0303973BB}"/>
    <cellStyle name="Normal 2 2 2 2 2 2 2 2 2 2 2 2 2 59" xfId="9600" xr:uid="{32934325-ED52-4D4A-943A-AFB65FF32E85}"/>
    <cellStyle name="Normal 2 2 2 2 2 2 2 2 2 2 2 2 2 6" xfId="9601" xr:uid="{77172658-C253-4C0B-BFC3-C212C3907D31}"/>
    <cellStyle name="Normal 2 2 2 2 2 2 2 2 2 2 2 2 2 60" xfId="9602" xr:uid="{FEE58902-BC56-4DC5-B690-B0D47F9CA513}"/>
    <cellStyle name="Normal 2 2 2 2 2 2 2 2 2 2 2 2 2 61" xfId="9603" xr:uid="{924C62ED-82FA-4F80-8232-5225AF45E814}"/>
    <cellStyle name="Normal 2 2 2 2 2 2 2 2 2 2 2 2 2 62" xfId="9604" xr:uid="{9A528D80-A7A8-4CD2-B6D9-ABCEB96FC0C9}"/>
    <cellStyle name="Normal 2 2 2 2 2 2 2 2 2 2 2 2 2 63" xfId="9605" xr:uid="{8CB215B1-2FBC-47B8-89CD-E0E0F8E20C90}"/>
    <cellStyle name="Normal 2 2 2 2 2 2 2 2 2 2 2 2 2 64" xfId="9606" xr:uid="{D68EF2F9-1407-4471-A8AA-B47FC90E913D}"/>
    <cellStyle name="Normal 2 2 2 2 2 2 2 2 2 2 2 2 2 65" xfId="9607" xr:uid="{E25B73E7-E395-45A3-A790-A4E53A5D69FB}"/>
    <cellStyle name="Normal 2 2 2 2 2 2 2 2 2 2 2 2 2 66" xfId="9608" xr:uid="{5BE4E6B3-C27F-48A2-9451-3C96D9A0DC38}"/>
    <cellStyle name="Normal 2 2 2 2 2 2 2 2 2 2 2 2 2 67" xfId="9609" xr:uid="{1F4A4694-BA8F-487F-948D-2C078C91A9B7}"/>
    <cellStyle name="Normal 2 2 2 2 2 2 2 2 2 2 2 2 2 68" xfId="9610" xr:uid="{C9BC8015-E8B5-4B7C-8C3E-44938E918972}"/>
    <cellStyle name="Normal 2 2 2 2 2 2 2 2 2 2 2 2 2 69" xfId="9611" xr:uid="{1AA1367C-C56F-44BA-8CBD-C9660AE1AEBE}"/>
    <cellStyle name="Normal 2 2 2 2 2 2 2 2 2 2 2 2 2 7" xfId="9612" xr:uid="{535539CB-7667-444F-8885-69776B510D1C}"/>
    <cellStyle name="Normal 2 2 2 2 2 2 2 2 2 2 2 2 2 7 10" xfId="9613" xr:uid="{59CD6D27-2FB2-424F-A2F9-758EF656C352}"/>
    <cellStyle name="Normal 2 2 2 2 2 2 2 2 2 2 2 2 2 7 11" xfId="9614" xr:uid="{A5C791EF-2601-4FE6-9DE9-594B891B8376}"/>
    <cellStyle name="Normal 2 2 2 2 2 2 2 2 2 2 2 2 2 7 11 10" xfId="9615" xr:uid="{CD941A64-A54C-4781-9FA3-714AD4E70E98}"/>
    <cellStyle name="Normal 2 2 2 2 2 2 2 2 2 2 2 2 2 7 11 11" xfId="9616" xr:uid="{5656E2D4-79C3-444A-994B-FE92AC83B907}"/>
    <cellStyle name="Normal 2 2 2 2 2 2 2 2 2 2 2 2 2 7 11 11 2" xfId="9617" xr:uid="{4BA6A74C-D01A-4EAC-A513-6BBE43BB059B}"/>
    <cellStyle name="Normal 2 2 2 2 2 2 2 2 2 2 2 2 2 7 11 11 3" xfId="9618" xr:uid="{0EF476AF-B514-4BF3-8056-BE9BD0B1953E}"/>
    <cellStyle name="Normal 2 2 2 2 2 2 2 2 2 2 2 2 2 7 11 11 4" xfId="9619" xr:uid="{C3B2ED64-464B-44DE-A41E-0304A5B302BB}"/>
    <cellStyle name="Normal 2 2 2 2 2 2 2 2 2 2 2 2 2 7 11 12" xfId="9620" xr:uid="{61A54BAA-3B8D-442A-954C-A962469E7216}"/>
    <cellStyle name="Normal 2 2 2 2 2 2 2 2 2 2 2 2 2 7 11 13" xfId="9621" xr:uid="{46ADB0E1-1883-4D56-8A07-EC30FC58280D}"/>
    <cellStyle name="Normal 2 2 2 2 2 2 2 2 2 2 2 2 2 7 11 14" xfId="9622" xr:uid="{3D041E02-00DC-4B88-915A-0650C50F38AF}"/>
    <cellStyle name="Normal 2 2 2 2 2 2 2 2 2 2 2 2 2 7 11 2" xfId="9623" xr:uid="{153A0181-B0F2-4999-9669-6093A0A8F227}"/>
    <cellStyle name="Normal 2 2 2 2 2 2 2 2 2 2 2 2 2 7 11 2 10" xfId="9624" xr:uid="{428038B8-0949-492F-A800-172534CE347B}"/>
    <cellStyle name="Normal 2 2 2 2 2 2 2 2 2 2 2 2 2 7 11 2 11" xfId="9625" xr:uid="{559E4C59-7EB8-49C4-875D-EB061D5EA434}"/>
    <cellStyle name="Normal 2 2 2 2 2 2 2 2 2 2 2 2 2 7 11 2 2" xfId="9626" xr:uid="{41BD4F27-0F6E-4D53-9C9D-7F31A59D0558}"/>
    <cellStyle name="Normal 2 2 2 2 2 2 2 2 2 2 2 2 2 7 11 2 2 10" xfId="9627" xr:uid="{8A9A1DFD-EAB7-4DC8-8EFA-0980E223C31B}"/>
    <cellStyle name="Normal 2 2 2 2 2 2 2 2 2 2 2 2 2 7 11 2 2 11" xfId="9628" xr:uid="{C915AFE0-006F-4FDB-B602-7E81C3EBFCE8}"/>
    <cellStyle name="Normal 2 2 2 2 2 2 2 2 2 2 2 2 2 7 11 2 2 2" xfId="9629" xr:uid="{BC262025-B1C7-47F7-8AA5-0CA6764ADC62}"/>
    <cellStyle name="Normal 2 2 2 2 2 2 2 2 2 2 2 2 2 7 11 2 2 2 2" xfId="9630" xr:uid="{D066DE6F-9054-4484-A478-79AB2E6A54B0}"/>
    <cellStyle name="Normal 2 2 2 2 2 2 2 2 2 2 2 2 2 7 11 2 2 2 2 2" xfId="9631" xr:uid="{5A65161C-F305-4B1D-8118-94B1B1C59E1A}"/>
    <cellStyle name="Normal 2 2 2 2 2 2 2 2 2 2 2 2 2 7 11 2 2 2 2 3" xfId="9632" xr:uid="{1D804153-4EA5-4B6B-95DC-109572238FFD}"/>
    <cellStyle name="Normal 2 2 2 2 2 2 2 2 2 2 2 2 2 7 11 2 2 2 2 4" xfId="9633" xr:uid="{3C10C0CA-1E2B-4AF9-AFFB-73112C333A01}"/>
    <cellStyle name="Normal 2 2 2 2 2 2 2 2 2 2 2 2 2 7 11 2 2 2 3" xfId="9634" xr:uid="{33B6D62C-3F45-4D10-B5B3-D3350A5D42A9}"/>
    <cellStyle name="Normal 2 2 2 2 2 2 2 2 2 2 2 2 2 7 11 2 2 2 4" xfId="9635" xr:uid="{7AE3C0FD-FEE4-46D5-A04D-1CE3057DAB67}"/>
    <cellStyle name="Normal 2 2 2 2 2 2 2 2 2 2 2 2 2 7 11 2 2 2 5" xfId="9636" xr:uid="{42BB7D96-8545-4696-B858-B969ABA2F41E}"/>
    <cellStyle name="Normal 2 2 2 2 2 2 2 2 2 2 2 2 2 7 11 2 2 2 6" xfId="9637" xr:uid="{F92DC0D8-F92B-4996-89D6-BF80F38F8B3E}"/>
    <cellStyle name="Normal 2 2 2 2 2 2 2 2 2 2 2 2 2 7 11 2 2 3" xfId="9638" xr:uid="{D869403F-C28B-4497-B851-7E019CA21237}"/>
    <cellStyle name="Normal 2 2 2 2 2 2 2 2 2 2 2 2 2 7 11 2 2 4" xfId="9639" xr:uid="{02454CFE-6321-43DD-849C-51A491C37714}"/>
    <cellStyle name="Normal 2 2 2 2 2 2 2 2 2 2 2 2 2 7 11 2 2 5" xfId="9640" xr:uid="{EDDA91B3-8E14-431F-810D-832093430BD6}"/>
    <cellStyle name="Normal 2 2 2 2 2 2 2 2 2 2 2 2 2 7 11 2 2 6" xfId="9641" xr:uid="{C0E9635B-31EF-4F36-AA08-98A5B89C08A2}"/>
    <cellStyle name="Normal 2 2 2 2 2 2 2 2 2 2 2 2 2 7 11 2 2 7" xfId="9642" xr:uid="{A37C7A96-B98A-4AEC-99CA-D3858B996F1D}"/>
    <cellStyle name="Normal 2 2 2 2 2 2 2 2 2 2 2 2 2 7 11 2 2 8" xfId="9643" xr:uid="{916734AD-F830-41D5-9D07-6655CEECFE88}"/>
    <cellStyle name="Normal 2 2 2 2 2 2 2 2 2 2 2 2 2 7 11 2 2 8 2" xfId="9644" xr:uid="{DCDB2AF3-C511-4FEF-A536-17314C58D1CB}"/>
    <cellStyle name="Normal 2 2 2 2 2 2 2 2 2 2 2 2 2 7 11 2 2 8 3" xfId="9645" xr:uid="{C12717F5-CB77-45AD-8C19-2CF25F136B56}"/>
    <cellStyle name="Normal 2 2 2 2 2 2 2 2 2 2 2 2 2 7 11 2 2 8 4" xfId="9646" xr:uid="{17B3CF06-68C1-4520-93F9-B391001FC60A}"/>
    <cellStyle name="Normal 2 2 2 2 2 2 2 2 2 2 2 2 2 7 11 2 2 9" xfId="9647" xr:uid="{41993DAC-1AB8-44F5-9896-8EFAA2182E7F}"/>
    <cellStyle name="Normal 2 2 2 2 2 2 2 2 2 2 2 2 2 7 11 2 3" xfId="9648" xr:uid="{7C25BACB-A6C7-49D6-B084-D3ADBF122BEC}"/>
    <cellStyle name="Normal 2 2 2 2 2 2 2 2 2 2 2 2 2 7 11 2 3 2" xfId="9649" xr:uid="{1EC1D8F3-9962-4A55-9DBA-0FD24EA7DB4D}"/>
    <cellStyle name="Normal 2 2 2 2 2 2 2 2 2 2 2 2 2 7 11 2 3 2 2" xfId="9650" xr:uid="{7B46118A-1166-429E-A744-69DA935FFD81}"/>
    <cellStyle name="Normal 2 2 2 2 2 2 2 2 2 2 2 2 2 7 11 2 3 2 3" xfId="9651" xr:uid="{B297F616-92A8-4871-828F-10ECBB9ED526}"/>
    <cellStyle name="Normal 2 2 2 2 2 2 2 2 2 2 2 2 2 7 11 2 3 2 4" xfId="9652" xr:uid="{FA187685-1696-409A-B0F7-C5E846D8E70C}"/>
    <cellStyle name="Normal 2 2 2 2 2 2 2 2 2 2 2 2 2 7 11 2 3 3" xfId="9653" xr:uid="{4E87B53F-3EBE-4FA8-8ACE-2D400735BB6B}"/>
    <cellStyle name="Normal 2 2 2 2 2 2 2 2 2 2 2 2 2 7 11 2 3 4" xfId="9654" xr:uid="{F34CAA24-43A2-4B83-83C8-9C17CC955534}"/>
    <cellStyle name="Normal 2 2 2 2 2 2 2 2 2 2 2 2 2 7 11 2 3 5" xfId="9655" xr:uid="{81056B22-7B31-446E-8C4D-3BCBBA3AD21F}"/>
    <cellStyle name="Normal 2 2 2 2 2 2 2 2 2 2 2 2 2 7 11 2 3 6" xfId="9656" xr:uid="{A61BDFC0-0E5E-4A4E-ABDD-C1069F6E8FDA}"/>
    <cellStyle name="Normal 2 2 2 2 2 2 2 2 2 2 2 2 2 7 11 2 4" xfId="9657" xr:uid="{FFAAB2D5-0DC4-40F3-8287-04ACA1429404}"/>
    <cellStyle name="Normal 2 2 2 2 2 2 2 2 2 2 2 2 2 7 11 2 5" xfId="9658" xr:uid="{5B4E991D-088D-44E9-80C9-1CBB09E4DAF8}"/>
    <cellStyle name="Normal 2 2 2 2 2 2 2 2 2 2 2 2 2 7 11 2 6" xfId="9659" xr:uid="{7A55B76A-7A58-4C72-8DD9-0DD7665C37F4}"/>
    <cellStyle name="Normal 2 2 2 2 2 2 2 2 2 2 2 2 2 7 11 2 7" xfId="9660" xr:uid="{2FDA6FB6-CB2E-4446-9BCD-3D1A1E1A6AE9}"/>
    <cellStyle name="Normal 2 2 2 2 2 2 2 2 2 2 2 2 2 7 11 2 8" xfId="9661" xr:uid="{89923CA9-714B-4A03-BE0D-3B2AACC84E93}"/>
    <cellStyle name="Normal 2 2 2 2 2 2 2 2 2 2 2 2 2 7 11 2 8 2" xfId="9662" xr:uid="{0C1754E2-32CE-4736-93AD-07D59750FB46}"/>
    <cellStyle name="Normal 2 2 2 2 2 2 2 2 2 2 2 2 2 7 11 2 8 3" xfId="9663" xr:uid="{B7DC4F7F-BD14-408F-8CC2-CECA0676C4E7}"/>
    <cellStyle name="Normal 2 2 2 2 2 2 2 2 2 2 2 2 2 7 11 2 8 4" xfId="9664" xr:uid="{B2EB0E43-32CF-4F99-92E2-70C935D0CD9A}"/>
    <cellStyle name="Normal 2 2 2 2 2 2 2 2 2 2 2 2 2 7 11 2 9" xfId="9665" xr:uid="{824B935E-34D9-49A4-AB80-22B3264EF66C}"/>
    <cellStyle name="Normal 2 2 2 2 2 2 2 2 2 2 2 2 2 7 11 3" xfId="9666" xr:uid="{372A369F-DAAD-4985-AAE3-684957518F49}"/>
    <cellStyle name="Normal 2 2 2 2 2 2 2 2 2 2 2 2 2 7 11 4" xfId="9667" xr:uid="{DC31CDD7-D557-48BE-A9AE-E349D384AD22}"/>
    <cellStyle name="Normal 2 2 2 2 2 2 2 2 2 2 2 2 2 7 11 5" xfId="9668" xr:uid="{3E364BAC-2002-4955-9051-E13F92BE36AC}"/>
    <cellStyle name="Normal 2 2 2 2 2 2 2 2 2 2 2 2 2 7 11 5 2" xfId="9669" xr:uid="{77DB288F-672E-4C54-853A-87D9786E9C68}"/>
    <cellStyle name="Normal 2 2 2 2 2 2 2 2 2 2 2 2 2 7 11 5 2 2" xfId="9670" xr:uid="{9943A533-55E7-494A-88E5-1286F9E9C5DB}"/>
    <cellStyle name="Normal 2 2 2 2 2 2 2 2 2 2 2 2 2 7 11 5 2 3" xfId="9671" xr:uid="{3A87ECDB-1433-4FA1-A093-65E5B19739BB}"/>
    <cellStyle name="Normal 2 2 2 2 2 2 2 2 2 2 2 2 2 7 11 5 2 4" xfId="9672" xr:uid="{B35787ED-5800-465F-9EE3-3C6F472C2022}"/>
    <cellStyle name="Normal 2 2 2 2 2 2 2 2 2 2 2 2 2 7 11 5 3" xfId="9673" xr:uid="{6B0FAB58-7CA9-4FAA-AF19-337C4F10DDB6}"/>
    <cellStyle name="Normal 2 2 2 2 2 2 2 2 2 2 2 2 2 7 11 5 4" xfId="9674" xr:uid="{E5A16A6E-9466-43F8-A06F-FDB47AC44CBB}"/>
    <cellStyle name="Normal 2 2 2 2 2 2 2 2 2 2 2 2 2 7 11 5 5" xfId="9675" xr:uid="{9DCA9F7B-C3C2-4827-ADB6-CBB8FFC2E746}"/>
    <cellStyle name="Normal 2 2 2 2 2 2 2 2 2 2 2 2 2 7 11 5 6" xfId="9676" xr:uid="{C4D27E15-3C61-410D-A067-6F520B7D1BE2}"/>
    <cellStyle name="Normal 2 2 2 2 2 2 2 2 2 2 2 2 2 7 11 6" xfId="9677" xr:uid="{44A8ECC1-C43D-4736-82F6-919EC1D1FDF1}"/>
    <cellStyle name="Normal 2 2 2 2 2 2 2 2 2 2 2 2 2 7 11 7" xfId="9678" xr:uid="{BC113087-0B39-4731-9EC8-E06F468A56CA}"/>
    <cellStyle name="Normal 2 2 2 2 2 2 2 2 2 2 2 2 2 7 11 8" xfId="9679" xr:uid="{EA20FF92-DC1C-4AB6-9F93-B7CD3CDFC157}"/>
    <cellStyle name="Normal 2 2 2 2 2 2 2 2 2 2 2 2 2 7 11 9" xfId="9680" xr:uid="{862C16C5-4257-4568-9341-A0ECB319F8A3}"/>
    <cellStyle name="Normal 2 2 2 2 2 2 2 2 2 2 2 2 2 7 12" xfId="9681" xr:uid="{9E1999B9-1A36-4E13-8794-7CD61495EF85}"/>
    <cellStyle name="Normal 2 2 2 2 2 2 2 2 2 2 2 2 2 7 13" xfId="9682" xr:uid="{A170A260-4AE6-4BEF-9447-574197576CA4}"/>
    <cellStyle name="Normal 2 2 2 2 2 2 2 2 2 2 2 2 2 7 13 10" xfId="9683" xr:uid="{FE6EDCE5-AAB9-49EE-B55B-09A1BFA16CD5}"/>
    <cellStyle name="Normal 2 2 2 2 2 2 2 2 2 2 2 2 2 7 13 11" xfId="9684" xr:uid="{BE21364A-BE9E-4C8C-B5AA-922CB561A359}"/>
    <cellStyle name="Normal 2 2 2 2 2 2 2 2 2 2 2 2 2 7 13 2" xfId="9685" xr:uid="{C7FA69B7-3265-47F2-8DC6-63BED943D0E3}"/>
    <cellStyle name="Normal 2 2 2 2 2 2 2 2 2 2 2 2 2 7 13 2 10" xfId="9686" xr:uid="{A5922E97-DE4C-413B-AFD5-DB4C88F7907D}"/>
    <cellStyle name="Normal 2 2 2 2 2 2 2 2 2 2 2 2 2 7 13 2 11" xfId="9687" xr:uid="{0706B8D7-5665-472D-B265-A3F8CBDDBC50}"/>
    <cellStyle name="Normal 2 2 2 2 2 2 2 2 2 2 2 2 2 7 13 2 2" xfId="9688" xr:uid="{AD52149A-5E73-4E0A-887E-F38F41B95694}"/>
    <cellStyle name="Normal 2 2 2 2 2 2 2 2 2 2 2 2 2 7 13 2 2 2" xfId="9689" xr:uid="{50A8E96F-9B50-4CB2-95F8-A856AFE0E896}"/>
    <cellStyle name="Normal 2 2 2 2 2 2 2 2 2 2 2 2 2 7 13 2 2 2 2" xfId="9690" xr:uid="{B764A350-4ACE-47AB-963F-F218A85CD372}"/>
    <cellStyle name="Normal 2 2 2 2 2 2 2 2 2 2 2 2 2 7 13 2 2 2 3" xfId="9691" xr:uid="{60166C0B-9D4E-443E-9A87-2F8A9BEEE040}"/>
    <cellStyle name="Normal 2 2 2 2 2 2 2 2 2 2 2 2 2 7 13 2 2 2 4" xfId="9692" xr:uid="{4D6C5D92-04A1-46C2-8B88-BE9DD9C83659}"/>
    <cellStyle name="Normal 2 2 2 2 2 2 2 2 2 2 2 2 2 7 13 2 2 3" xfId="9693" xr:uid="{4DF3D87C-1E48-45BD-840D-8E80FEF4A2E1}"/>
    <cellStyle name="Normal 2 2 2 2 2 2 2 2 2 2 2 2 2 7 13 2 2 4" xfId="9694" xr:uid="{68B3D3D9-4C42-4EBE-97FA-D87B2ECB451B}"/>
    <cellStyle name="Normal 2 2 2 2 2 2 2 2 2 2 2 2 2 7 13 2 2 5" xfId="9695" xr:uid="{DF9D8DAA-A9F3-4ABE-90FB-D51967ED7953}"/>
    <cellStyle name="Normal 2 2 2 2 2 2 2 2 2 2 2 2 2 7 13 2 2 6" xfId="9696" xr:uid="{71BD91C8-41A5-4D69-A6F1-D98D7CBD2C94}"/>
    <cellStyle name="Normal 2 2 2 2 2 2 2 2 2 2 2 2 2 7 13 2 3" xfId="9697" xr:uid="{D38CF3FD-851A-403E-B0D9-6B60467DABB1}"/>
    <cellStyle name="Normal 2 2 2 2 2 2 2 2 2 2 2 2 2 7 13 2 4" xfId="9698" xr:uid="{42F67C16-2B92-4190-8DE8-2BB152CADEC9}"/>
    <cellStyle name="Normal 2 2 2 2 2 2 2 2 2 2 2 2 2 7 13 2 5" xfId="9699" xr:uid="{03061F49-79B0-4FF1-B1F9-91EE8CA78049}"/>
    <cellStyle name="Normal 2 2 2 2 2 2 2 2 2 2 2 2 2 7 13 2 6" xfId="9700" xr:uid="{E1CFF45E-5E2C-4794-AC8A-28CEC550E5CC}"/>
    <cellStyle name="Normal 2 2 2 2 2 2 2 2 2 2 2 2 2 7 13 2 7" xfId="9701" xr:uid="{BE82E05B-21C6-4D6B-84D7-B12CB0B16547}"/>
    <cellStyle name="Normal 2 2 2 2 2 2 2 2 2 2 2 2 2 7 13 2 8" xfId="9702" xr:uid="{45BADB03-18DE-4921-A0F4-9AA32F34BB13}"/>
    <cellStyle name="Normal 2 2 2 2 2 2 2 2 2 2 2 2 2 7 13 2 8 2" xfId="9703" xr:uid="{913293AD-B9F5-4B18-AE4B-184AAC175BC3}"/>
    <cellStyle name="Normal 2 2 2 2 2 2 2 2 2 2 2 2 2 7 13 2 8 3" xfId="9704" xr:uid="{036F9256-A3F8-403E-9F24-CFCA5BA73304}"/>
    <cellStyle name="Normal 2 2 2 2 2 2 2 2 2 2 2 2 2 7 13 2 8 4" xfId="9705" xr:uid="{2D49A7C2-5F15-4381-945F-E5B9CBCE6993}"/>
    <cellStyle name="Normal 2 2 2 2 2 2 2 2 2 2 2 2 2 7 13 2 9" xfId="9706" xr:uid="{27064C9F-4058-460C-AD4E-EF640AA5FC81}"/>
    <cellStyle name="Normal 2 2 2 2 2 2 2 2 2 2 2 2 2 7 13 3" xfId="9707" xr:uid="{3A0BECCA-504A-48D7-97A7-DB2C846CCD70}"/>
    <cellStyle name="Normal 2 2 2 2 2 2 2 2 2 2 2 2 2 7 13 3 2" xfId="9708" xr:uid="{5016F108-3F5E-405E-B3A2-F35E21A62C41}"/>
    <cellStyle name="Normal 2 2 2 2 2 2 2 2 2 2 2 2 2 7 13 3 2 2" xfId="9709" xr:uid="{29D848BF-7BDB-459A-B5F6-2771B8CEAA8C}"/>
    <cellStyle name="Normal 2 2 2 2 2 2 2 2 2 2 2 2 2 7 13 3 2 3" xfId="9710" xr:uid="{B69AEDEF-723D-41E5-97A0-D38C7BC370E6}"/>
    <cellStyle name="Normal 2 2 2 2 2 2 2 2 2 2 2 2 2 7 13 3 2 4" xfId="9711" xr:uid="{F0A430E3-34B6-44E0-BC75-4DB2DE8AF47C}"/>
    <cellStyle name="Normal 2 2 2 2 2 2 2 2 2 2 2 2 2 7 13 3 3" xfId="9712" xr:uid="{0BD924D9-58BB-4012-9C5C-9D1BAB887306}"/>
    <cellStyle name="Normal 2 2 2 2 2 2 2 2 2 2 2 2 2 7 13 3 4" xfId="9713" xr:uid="{626D5AF9-071C-4C79-BBF0-6B6EDD7FE25C}"/>
    <cellStyle name="Normal 2 2 2 2 2 2 2 2 2 2 2 2 2 7 13 3 5" xfId="9714" xr:uid="{C12D6C1E-1FA3-4D7B-8085-267A90A15883}"/>
    <cellStyle name="Normal 2 2 2 2 2 2 2 2 2 2 2 2 2 7 13 3 6" xfId="9715" xr:uid="{E720B01E-71CD-4BB7-831E-5C508408A8F7}"/>
    <cellStyle name="Normal 2 2 2 2 2 2 2 2 2 2 2 2 2 7 13 4" xfId="9716" xr:uid="{3BE8452C-0BB3-4B88-905A-DA1F9AA80D76}"/>
    <cellStyle name="Normal 2 2 2 2 2 2 2 2 2 2 2 2 2 7 13 5" xfId="9717" xr:uid="{F0F3F02E-4663-4BDB-828C-FABEA114BD2D}"/>
    <cellStyle name="Normal 2 2 2 2 2 2 2 2 2 2 2 2 2 7 13 6" xfId="9718" xr:uid="{81BDC696-F2CF-484A-A75B-CC671B54F1FE}"/>
    <cellStyle name="Normal 2 2 2 2 2 2 2 2 2 2 2 2 2 7 13 7" xfId="9719" xr:uid="{F8146E82-566B-4C0E-9E4A-FA10FBF633E4}"/>
    <cellStyle name="Normal 2 2 2 2 2 2 2 2 2 2 2 2 2 7 13 8" xfId="9720" xr:uid="{B4D68F42-21D2-4077-BEDC-2F65839F2574}"/>
    <cellStyle name="Normal 2 2 2 2 2 2 2 2 2 2 2 2 2 7 13 8 2" xfId="9721" xr:uid="{B4BDD933-F886-484C-B6B5-A5CC057F3794}"/>
    <cellStyle name="Normal 2 2 2 2 2 2 2 2 2 2 2 2 2 7 13 8 3" xfId="9722" xr:uid="{95CB5171-6952-46A1-80CA-E68970D6F778}"/>
    <cellStyle name="Normal 2 2 2 2 2 2 2 2 2 2 2 2 2 7 13 8 4" xfId="9723" xr:uid="{46C9A727-36ED-49AE-8273-86CF45ACBB1F}"/>
    <cellStyle name="Normal 2 2 2 2 2 2 2 2 2 2 2 2 2 7 13 9" xfId="9724" xr:uid="{F7256660-F64F-4F27-8D0E-97CBD54C1D8B}"/>
    <cellStyle name="Normal 2 2 2 2 2 2 2 2 2 2 2 2 2 7 14" xfId="9725" xr:uid="{0BF07577-E8B4-487A-9CAA-96CBA2A0D6FA}"/>
    <cellStyle name="Normal 2 2 2 2 2 2 2 2 2 2 2 2 2 7 15" xfId="9726" xr:uid="{6EE33D0E-2929-402A-ABCA-6CF5D03F5A5D}"/>
    <cellStyle name="Normal 2 2 2 2 2 2 2 2 2 2 2 2 2 7 15 2" xfId="9727" xr:uid="{3BA379B0-FBD9-45E3-BA5F-0F11B1FC75B1}"/>
    <cellStyle name="Normal 2 2 2 2 2 2 2 2 2 2 2 2 2 7 15 2 2" xfId="9728" xr:uid="{997BD47B-4FFF-490C-BD5F-E62F5D437622}"/>
    <cellStyle name="Normal 2 2 2 2 2 2 2 2 2 2 2 2 2 7 15 2 3" xfId="9729" xr:uid="{2B9A07E6-035A-4532-9133-3186DBD80E8F}"/>
    <cellStyle name="Normal 2 2 2 2 2 2 2 2 2 2 2 2 2 7 15 2 4" xfId="9730" xr:uid="{73490608-FB3F-4042-984A-CCA8D83726A0}"/>
    <cellStyle name="Normal 2 2 2 2 2 2 2 2 2 2 2 2 2 7 15 3" xfId="9731" xr:uid="{0EFAF865-C949-4BD6-9D0B-46A05728748D}"/>
    <cellStyle name="Normal 2 2 2 2 2 2 2 2 2 2 2 2 2 7 15 4" xfId="9732" xr:uid="{65F583A6-F733-4515-9116-58F6BA96A28A}"/>
    <cellStyle name="Normal 2 2 2 2 2 2 2 2 2 2 2 2 2 7 15 5" xfId="9733" xr:uid="{27A2F067-FC07-4117-9F4E-2250FB4F9C8E}"/>
    <cellStyle name="Normal 2 2 2 2 2 2 2 2 2 2 2 2 2 7 15 6" xfId="9734" xr:uid="{00ADE15C-9309-4243-BC65-B70A3CB6B3AF}"/>
    <cellStyle name="Normal 2 2 2 2 2 2 2 2 2 2 2 2 2 7 16" xfId="9735" xr:uid="{343B4FF5-0432-4A46-BE6F-4FCBC0B686C0}"/>
    <cellStyle name="Normal 2 2 2 2 2 2 2 2 2 2 2 2 2 7 17" xfId="9736" xr:uid="{03BD0249-D04A-4D6D-88ED-B2B22693DF40}"/>
    <cellStyle name="Normal 2 2 2 2 2 2 2 2 2 2 2 2 2 7 18" xfId="9737" xr:uid="{A62B3E2C-E3C4-4E2B-B08E-AE7D1A9CD1BF}"/>
    <cellStyle name="Normal 2 2 2 2 2 2 2 2 2 2 2 2 2 7 19" xfId="9738" xr:uid="{5CBD8B49-0E0F-4665-87B2-570972D04C83}"/>
    <cellStyle name="Normal 2 2 2 2 2 2 2 2 2 2 2 2 2 7 2" xfId="9739" xr:uid="{CD6E0700-6F89-409B-9A84-9192E56E6790}"/>
    <cellStyle name="Normal 2 2 2 2 2 2 2 2 2 2 2 2 2 7 2 10" xfId="9740" xr:uid="{DAF875AA-E7AC-4778-B8CE-B389F9F32B09}"/>
    <cellStyle name="Normal 2 2 2 2 2 2 2 2 2 2 2 2 2 7 2 11" xfId="9741" xr:uid="{035CB418-7ED5-4C58-B2DB-3831772EFCCA}"/>
    <cellStyle name="Normal 2 2 2 2 2 2 2 2 2 2 2 2 2 7 2 12" xfId="9742" xr:uid="{87C65DFF-E049-4AF1-AD2F-D3928369AE8C}"/>
    <cellStyle name="Normal 2 2 2 2 2 2 2 2 2 2 2 2 2 7 2 13" xfId="9743" xr:uid="{AE2CA0B0-5B53-437E-AE32-C32D2C6AE571}"/>
    <cellStyle name="Normal 2 2 2 2 2 2 2 2 2 2 2 2 2 7 2 13 2" xfId="9744" xr:uid="{DC695B17-71CE-4403-AE07-F74ED36D08CF}"/>
    <cellStyle name="Normal 2 2 2 2 2 2 2 2 2 2 2 2 2 7 2 13 3" xfId="9745" xr:uid="{22E9023B-35E3-408B-AF17-17881FAF3E5E}"/>
    <cellStyle name="Normal 2 2 2 2 2 2 2 2 2 2 2 2 2 7 2 13 4" xfId="9746" xr:uid="{9815304D-62C0-4495-8654-7FA2B9149AA6}"/>
    <cellStyle name="Normal 2 2 2 2 2 2 2 2 2 2 2 2 2 7 2 14" xfId="9747" xr:uid="{27B6A9B4-EFEF-4CA8-9801-5351EB422C59}"/>
    <cellStyle name="Normal 2 2 2 2 2 2 2 2 2 2 2 2 2 7 2 15" xfId="9748" xr:uid="{ADD449A4-8535-4546-9A62-C933E6291EDB}"/>
    <cellStyle name="Normal 2 2 2 2 2 2 2 2 2 2 2 2 2 7 2 16" xfId="9749" xr:uid="{49DD6AD5-71E4-4A12-A212-C4419732EE4D}"/>
    <cellStyle name="Normal 2 2 2 2 2 2 2 2 2 2 2 2 2 7 2 2" xfId="9750" xr:uid="{0E463059-C791-4D93-963B-5C4A85688E92}"/>
    <cellStyle name="Normal 2 2 2 2 2 2 2 2 2 2 2 2 2 7 2 2 10" xfId="9751" xr:uid="{58EC94D0-08D0-4946-B9B3-C0C053D32878}"/>
    <cellStyle name="Normal 2 2 2 2 2 2 2 2 2 2 2 2 2 7 2 2 11" xfId="9752" xr:uid="{8A5FEA60-6662-45CB-AE9A-AEB89E271F45}"/>
    <cellStyle name="Normal 2 2 2 2 2 2 2 2 2 2 2 2 2 7 2 2 11 2" xfId="9753" xr:uid="{167E9571-9C1F-4168-B516-9BDACB94CDD0}"/>
    <cellStyle name="Normal 2 2 2 2 2 2 2 2 2 2 2 2 2 7 2 2 11 3" xfId="9754" xr:uid="{F521E8A8-E5EB-4566-8138-EAF6F6F94784}"/>
    <cellStyle name="Normal 2 2 2 2 2 2 2 2 2 2 2 2 2 7 2 2 11 4" xfId="9755" xr:uid="{C7A1D6C2-96D1-4CC9-B26C-1A88B8FBCD04}"/>
    <cellStyle name="Normal 2 2 2 2 2 2 2 2 2 2 2 2 2 7 2 2 12" xfId="9756" xr:uid="{6C8039AC-4219-4005-A55D-B4A403507D93}"/>
    <cellStyle name="Normal 2 2 2 2 2 2 2 2 2 2 2 2 2 7 2 2 13" xfId="9757" xr:uid="{90D00E6D-E709-40D6-AA80-212EF9BC4F35}"/>
    <cellStyle name="Normal 2 2 2 2 2 2 2 2 2 2 2 2 2 7 2 2 14" xfId="9758" xr:uid="{05A48BCB-F0DE-437D-8C33-2D858AFF9BB2}"/>
    <cellStyle name="Normal 2 2 2 2 2 2 2 2 2 2 2 2 2 7 2 2 2" xfId="9759" xr:uid="{B4B2AF35-E29E-4B0C-90B7-BF9E61A50A84}"/>
    <cellStyle name="Normal 2 2 2 2 2 2 2 2 2 2 2 2 2 7 2 2 2 10" xfId="9760" xr:uid="{58517E2D-CFC4-4E14-8D8B-64EDD11D56D4}"/>
    <cellStyle name="Normal 2 2 2 2 2 2 2 2 2 2 2 2 2 7 2 2 2 11" xfId="9761" xr:uid="{1B7A9C01-2A4B-4E04-9FDC-CA815C03439F}"/>
    <cellStyle name="Normal 2 2 2 2 2 2 2 2 2 2 2 2 2 7 2 2 2 2" xfId="9762" xr:uid="{97B31B15-C444-4FFF-8833-635D4FE3F9A9}"/>
    <cellStyle name="Normal 2 2 2 2 2 2 2 2 2 2 2 2 2 7 2 2 2 2 10" xfId="9763" xr:uid="{9D458B07-E6DD-4141-99B9-237AE7D7E442}"/>
    <cellStyle name="Normal 2 2 2 2 2 2 2 2 2 2 2 2 2 7 2 2 2 2 11" xfId="9764" xr:uid="{7A4BA719-6FA8-4D23-98FC-DD598B0736EC}"/>
    <cellStyle name="Normal 2 2 2 2 2 2 2 2 2 2 2 2 2 7 2 2 2 2 2" xfId="9765" xr:uid="{E5FC35B8-C0F4-4C62-B47B-707CD0047ADC}"/>
    <cellStyle name="Normal 2 2 2 2 2 2 2 2 2 2 2 2 2 7 2 2 2 2 2 2" xfId="9766" xr:uid="{1DAF987C-4251-4CF3-B25C-5EEFE630470B}"/>
    <cellStyle name="Normal 2 2 2 2 2 2 2 2 2 2 2 2 2 7 2 2 2 2 2 2 2" xfId="9767" xr:uid="{4D48C92F-2C1F-471C-99F6-8D2AB3460203}"/>
    <cellStyle name="Normal 2 2 2 2 2 2 2 2 2 2 2 2 2 7 2 2 2 2 2 2 3" xfId="9768" xr:uid="{7C97E862-F2A1-4D08-9767-5E82505AD847}"/>
    <cellStyle name="Normal 2 2 2 2 2 2 2 2 2 2 2 2 2 7 2 2 2 2 2 2 4" xfId="9769" xr:uid="{7812D08C-A327-483A-A081-3B68455913F3}"/>
    <cellStyle name="Normal 2 2 2 2 2 2 2 2 2 2 2 2 2 7 2 2 2 2 2 3" xfId="9770" xr:uid="{D929DED1-6075-4312-AF53-019600CB28F5}"/>
    <cellStyle name="Normal 2 2 2 2 2 2 2 2 2 2 2 2 2 7 2 2 2 2 2 4" xfId="9771" xr:uid="{C62507A1-7B65-4C59-B8EB-F8FC73D3CC51}"/>
    <cellStyle name="Normal 2 2 2 2 2 2 2 2 2 2 2 2 2 7 2 2 2 2 2 5" xfId="9772" xr:uid="{D642792C-C80D-4CB6-A50D-AF26923D9402}"/>
    <cellStyle name="Normal 2 2 2 2 2 2 2 2 2 2 2 2 2 7 2 2 2 2 2 6" xfId="9773" xr:uid="{EF6CE97A-F5BD-4488-B7A8-532B237D87D3}"/>
    <cellStyle name="Normal 2 2 2 2 2 2 2 2 2 2 2 2 2 7 2 2 2 2 3" xfId="9774" xr:uid="{FA4A899D-E8F3-4ABB-B556-65E3FB367A06}"/>
    <cellStyle name="Normal 2 2 2 2 2 2 2 2 2 2 2 2 2 7 2 2 2 2 4" xfId="9775" xr:uid="{D95464A4-E2B6-4884-9B09-B4D785075A68}"/>
    <cellStyle name="Normal 2 2 2 2 2 2 2 2 2 2 2 2 2 7 2 2 2 2 5" xfId="9776" xr:uid="{4C18B4D2-095B-4E91-8241-69FCA73BE7B5}"/>
    <cellStyle name="Normal 2 2 2 2 2 2 2 2 2 2 2 2 2 7 2 2 2 2 6" xfId="9777" xr:uid="{0E2E0C6C-B12B-42E7-A71E-18FFECF92290}"/>
    <cellStyle name="Normal 2 2 2 2 2 2 2 2 2 2 2 2 2 7 2 2 2 2 7" xfId="9778" xr:uid="{421D35D3-8D36-47D6-839C-27B2AED49E7E}"/>
    <cellStyle name="Normal 2 2 2 2 2 2 2 2 2 2 2 2 2 7 2 2 2 2 8" xfId="9779" xr:uid="{57BCCF90-D28B-47D6-9417-A36EDC2CB1FC}"/>
    <cellStyle name="Normal 2 2 2 2 2 2 2 2 2 2 2 2 2 7 2 2 2 2 8 2" xfId="9780" xr:uid="{4DB83B62-1522-4E4A-9D3C-283BAAAD9482}"/>
    <cellStyle name="Normal 2 2 2 2 2 2 2 2 2 2 2 2 2 7 2 2 2 2 8 3" xfId="9781" xr:uid="{32383FF0-7563-4649-87DD-C2301CB07E35}"/>
    <cellStyle name="Normal 2 2 2 2 2 2 2 2 2 2 2 2 2 7 2 2 2 2 8 4" xfId="9782" xr:uid="{4BFC4F25-DD85-4670-B2FE-D75B580601C3}"/>
    <cellStyle name="Normal 2 2 2 2 2 2 2 2 2 2 2 2 2 7 2 2 2 2 9" xfId="9783" xr:uid="{34B76839-13E2-46CE-AF1A-C6B5B1B08534}"/>
    <cellStyle name="Normal 2 2 2 2 2 2 2 2 2 2 2 2 2 7 2 2 2 3" xfId="9784" xr:uid="{D6029EE3-5CAC-4B21-B25E-8B2E098C60E0}"/>
    <cellStyle name="Normal 2 2 2 2 2 2 2 2 2 2 2 2 2 7 2 2 2 3 2" xfId="9785" xr:uid="{91044E74-68DC-4A00-A926-22BD567E38C1}"/>
    <cellStyle name="Normal 2 2 2 2 2 2 2 2 2 2 2 2 2 7 2 2 2 3 2 2" xfId="9786" xr:uid="{038DD99E-6148-4063-801D-2C70BC0605CD}"/>
    <cellStyle name="Normal 2 2 2 2 2 2 2 2 2 2 2 2 2 7 2 2 2 3 2 3" xfId="9787" xr:uid="{F11A37D5-5CDD-4383-9777-A6A9B4AD958E}"/>
    <cellStyle name="Normal 2 2 2 2 2 2 2 2 2 2 2 2 2 7 2 2 2 3 2 4" xfId="9788" xr:uid="{BC3CA127-C11F-4922-83EA-CBF8FC93F840}"/>
    <cellStyle name="Normal 2 2 2 2 2 2 2 2 2 2 2 2 2 7 2 2 2 3 3" xfId="9789" xr:uid="{5FA67E74-C7AF-4ACE-BA48-2BE5D5ADF906}"/>
    <cellStyle name="Normal 2 2 2 2 2 2 2 2 2 2 2 2 2 7 2 2 2 3 4" xfId="9790" xr:uid="{ABEC98C7-1702-4D38-8A12-F80AC0C7C5F4}"/>
    <cellStyle name="Normal 2 2 2 2 2 2 2 2 2 2 2 2 2 7 2 2 2 3 5" xfId="9791" xr:uid="{BD6EF780-62DC-490B-8A75-BBF6F0347C9A}"/>
    <cellStyle name="Normal 2 2 2 2 2 2 2 2 2 2 2 2 2 7 2 2 2 3 6" xfId="9792" xr:uid="{AF7310D2-0475-455A-A343-C5F89FBFD6E0}"/>
    <cellStyle name="Normal 2 2 2 2 2 2 2 2 2 2 2 2 2 7 2 2 2 4" xfId="9793" xr:uid="{565098FC-C87F-4E7D-8362-48068B77D1A7}"/>
    <cellStyle name="Normal 2 2 2 2 2 2 2 2 2 2 2 2 2 7 2 2 2 5" xfId="9794" xr:uid="{F13CE94E-856F-411B-9C7D-0686372BF5BA}"/>
    <cellStyle name="Normal 2 2 2 2 2 2 2 2 2 2 2 2 2 7 2 2 2 6" xfId="9795" xr:uid="{49055BF5-937B-43C7-A722-E088FFE78008}"/>
    <cellStyle name="Normal 2 2 2 2 2 2 2 2 2 2 2 2 2 7 2 2 2 7" xfId="9796" xr:uid="{683765A8-5BAB-4B53-9922-131C8218FD60}"/>
    <cellStyle name="Normal 2 2 2 2 2 2 2 2 2 2 2 2 2 7 2 2 2 8" xfId="9797" xr:uid="{E8768C21-220D-49B0-9690-08750DD7A5EA}"/>
    <cellStyle name="Normal 2 2 2 2 2 2 2 2 2 2 2 2 2 7 2 2 2 8 2" xfId="9798" xr:uid="{46268995-A7C4-43BA-A22B-05256D1B9AFF}"/>
    <cellStyle name="Normal 2 2 2 2 2 2 2 2 2 2 2 2 2 7 2 2 2 8 3" xfId="9799" xr:uid="{352DC336-5794-41CE-B592-F11F9A807526}"/>
    <cellStyle name="Normal 2 2 2 2 2 2 2 2 2 2 2 2 2 7 2 2 2 8 4" xfId="9800" xr:uid="{301F52E5-9094-47B8-AB58-216695405D85}"/>
    <cellStyle name="Normal 2 2 2 2 2 2 2 2 2 2 2 2 2 7 2 2 2 9" xfId="9801" xr:uid="{ED1BB33E-CC49-4C11-8E6D-9C12CD4FE8C6}"/>
    <cellStyle name="Normal 2 2 2 2 2 2 2 2 2 2 2 2 2 7 2 2 3" xfId="9802" xr:uid="{5CFDF0BD-C867-4C14-872A-F409F18DA6FB}"/>
    <cellStyle name="Normal 2 2 2 2 2 2 2 2 2 2 2 2 2 7 2 2 4" xfId="9803" xr:uid="{3D34819D-E32D-4C09-96CE-8D41C89F4B6C}"/>
    <cellStyle name="Normal 2 2 2 2 2 2 2 2 2 2 2 2 2 7 2 2 5" xfId="9804" xr:uid="{B7F78ADA-DFBE-45D8-9E1A-E5F3A287D4CF}"/>
    <cellStyle name="Normal 2 2 2 2 2 2 2 2 2 2 2 2 2 7 2 2 5 2" xfId="9805" xr:uid="{F89DBD59-805C-49F4-86D3-E388CF54E4D9}"/>
    <cellStyle name="Normal 2 2 2 2 2 2 2 2 2 2 2 2 2 7 2 2 5 2 2" xfId="9806" xr:uid="{59AD94D6-5644-4AFE-B2F4-AB5BADB7D3D9}"/>
    <cellStyle name="Normal 2 2 2 2 2 2 2 2 2 2 2 2 2 7 2 2 5 2 3" xfId="9807" xr:uid="{1DC1CF6A-F669-4EC4-A935-4F43ECD960B4}"/>
    <cellStyle name="Normal 2 2 2 2 2 2 2 2 2 2 2 2 2 7 2 2 5 2 4" xfId="9808" xr:uid="{C3677264-D7BD-4449-A350-04393CC625FC}"/>
    <cellStyle name="Normal 2 2 2 2 2 2 2 2 2 2 2 2 2 7 2 2 5 3" xfId="9809" xr:uid="{93180062-BE53-40CA-A645-95CA7948EAED}"/>
    <cellStyle name="Normal 2 2 2 2 2 2 2 2 2 2 2 2 2 7 2 2 5 4" xfId="9810" xr:uid="{5343E16E-927C-408E-9C09-627FC4772315}"/>
    <cellStyle name="Normal 2 2 2 2 2 2 2 2 2 2 2 2 2 7 2 2 5 5" xfId="9811" xr:uid="{35BDA143-98DC-4FAE-9FEA-242FA70A41CA}"/>
    <cellStyle name="Normal 2 2 2 2 2 2 2 2 2 2 2 2 2 7 2 2 5 6" xfId="9812" xr:uid="{CE866F0F-48D7-4A6D-9E45-01359BB5B828}"/>
    <cellStyle name="Normal 2 2 2 2 2 2 2 2 2 2 2 2 2 7 2 2 6" xfId="9813" xr:uid="{6DC62A5F-3402-423A-A2F7-02346195A873}"/>
    <cellStyle name="Normal 2 2 2 2 2 2 2 2 2 2 2 2 2 7 2 2 7" xfId="9814" xr:uid="{EA9B70F8-B217-452F-B1C9-817280AF1B26}"/>
    <cellStyle name="Normal 2 2 2 2 2 2 2 2 2 2 2 2 2 7 2 2 8" xfId="9815" xr:uid="{D2254CC7-04DA-49E1-8E62-AAD6C7C4888E}"/>
    <cellStyle name="Normal 2 2 2 2 2 2 2 2 2 2 2 2 2 7 2 2 9" xfId="9816" xr:uid="{D0B2D93B-CADC-4DB2-AB4B-AE9E70000CE2}"/>
    <cellStyle name="Normal 2 2 2 2 2 2 2 2 2 2 2 2 2 7 2 3" xfId="9817" xr:uid="{9DDF5C41-6749-4CC8-93DE-27C48376979C}"/>
    <cellStyle name="Normal 2 2 2 2 2 2 2 2 2 2 2 2 2 7 2 4" xfId="9818" xr:uid="{416E88CD-2107-4815-B5AE-334D6259DFF1}"/>
    <cellStyle name="Normal 2 2 2 2 2 2 2 2 2 2 2 2 2 7 2 5" xfId="9819" xr:uid="{E57CB6A4-A722-4110-9F02-5118064E3C2A}"/>
    <cellStyle name="Normal 2 2 2 2 2 2 2 2 2 2 2 2 2 7 2 5 10" xfId="9820" xr:uid="{638B21C3-30DA-4D94-9036-CA2022B75BD1}"/>
    <cellStyle name="Normal 2 2 2 2 2 2 2 2 2 2 2 2 2 7 2 5 11" xfId="9821" xr:uid="{3371A351-9F85-49C8-9EF4-8D45620D5F24}"/>
    <cellStyle name="Normal 2 2 2 2 2 2 2 2 2 2 2 2 2 7 2 5 2" xfId="9822" xr:uid="{CEEA6CAA-A3D0-407B-BFD5-E8C1D490D4F9}"/>
    <cellStyle name="Normal 2 2 2 2 2 2 2 2 2 2 2 2 2 7 2 5 2 10" xfId="9823" xr:uid="{DD577906-4861-43CD-9B7A-D80F0996F831}"/>
    <cellStyle name="Normal 2 2 2 2 2 2 2 2 2 2 2 2 2 7 2 5 2 11" xfId="9824" xr:uid="{09D91759-D3F7-46DB-94D0-330417C1836E}"/>
    <cellStyle name="Normal 2 2 2 2 2 2 2 2 2 2 2 2 2 7 2 5 2 2" xfId="9825" xr:uid="{6BEBCB27-B218-4F62-ADDF-EF6C77046190}"/>
    <cellStyle name="Normal 2 2 2 2 2 2 2 2 2 2 2 2 2 7 2 5 2 2 2" xfId="9826" xr:uid="{7E81C4E9-DDF5-452D-89A9-FAC9F0937A70}"/>
    <cellStyle name="Normal 2 2 2 2 2 2 2 2 2 2 2 2 2 7 2 5 2 2 2 2" xfId="9827" xr:uid="{85E3052A-3231-4236-8D15-99BF73D99D74}"/>
    <cellStyle name="Normal 2 2 2 2 2 2 2 2 2 2 2 2 2 7 2 5 2 2 2 3" xfId="9828" xr:uid="{D84835A3-9BBA-4762-95A3-D3E757C2E0E0}"/>
    <cellStyle name="Normal 2 2 2 2 2 2 2 2 2 2 2 2 2 7 2 5 2 2 2 4" xfId="9829" xr:uid="{7DD096E1-58F7-4CD3-855F-2D6278178451}"/>
    <cellStyle name="Normal 2 2 2 2 2 2 2 2 2 2 2 2 2 7 2 5 2 2 3" xfId="9830" xr:uid="{F7C94B0B-7AB0-40D3-9E2D-8C6A542F34D5}"/>
    <cellStyle name="Normal 2 2 2 2 2 2 2 2 2 2 2 2 2 7 2 5 2 2 4" xfId="9831" xr:uid="{9A71DE55-9BE6-43DE-9F12-4EEFF60662B0}"/>
    <cellStyle name="Normal 2 2 2 2 2 2 2 2 2 2 2 2 2 7 2 5 2 2 5" xfId="9832" xr:uid="{09FF2881-7494-4036-9364-72F403846E96}"/>
    <cellStyle name="Normal 2 2 2 2 2 2 2 2 2 2 2 2 2 7 2 5 2 2 6" xfId="9833" xr:uid="{C533F94A-7DA8-44BC-93EF-B91336E9AC13}"/>
    <cellStyle name="Normal 2 2 2 2 2 2 2 2 2 2 2 2 2 7 2 5 2 3" xfId="9834" xr:uid="{71464108-F5E5-4E0A-9EAA-BC398A9FEFDD}"/>
    <cellStyle name="Normal 2 2 2 2 2 2 2 2 2 2 2 2 2 7 2 5 2 4" xfId="9835" xr:uid="{9A73B492-4E59-46A0-8A86-2E4D8BCE077D}"/>
    <cellStyle name="Normal 2 2 2 2 2 2 2 2 2 2 2 2 2 7 2 5 2 5" xfId="9836" xr:uid="{447068FF-0DC7-4F73-B6F2-4873265BDE84}"/>
    <cellStyle name="Normal 2 2 2 2 2 2 2 2 2 2 2 2 2 7 2 5 2 6" xfId="9837" xr:uid="{D7DBF129-255F-4252-8484-54693A5F651C}"/>
    <cellStyle name="Normal 2 2 2 2 2 2 2 2 2 2 2 2 2 7 2 5 2 7" xfId="9838" xr:uid="{F401E149-91F9-48F4-A340-A94F0E57C2C0}"/>
    <cellStyle name="Normal 2 2 2 2 2 2 2 2 2 2 2 2 2 7 2 5 2 8" xfId="9839" xr:uid="{89CB0493-39C6-4C6E-887B-FACA0909F1BA}"/>
    <cellStyle name="Normal 2 2 2 2 2 2 2 2 2 2 2 2 2 7 2 5 2 8 2" xfId="9840" xr:uid="{31A63702-31A7-490A-A508-2BF5853FC5CC}"/>
    <cellStyle name="Normal 2 2 2 2 2 2 2 2 2 2 2 2 2 7 2 5 2 8 3" xfId="9841" xr:uid="{FA0CD1CA-7A1B-4CA4-85CB-A96AA65F7CE3}"/>
    <cellStyle name="Normal 2 2 2 2 2 2 2 2 2 2 2 2 2 7 2 5 2 8 4" xfId="9842" xr:uid="{0299FDEC-FBC5-44AF-B1E4-14FE68602BAE}"/>
    <cellStyle name="Normal 2 2 2 2 2 2 2 2 2 2 2 2 2 7 2 5 2 9" xfId="9843" xr:uid="{C9AF30A4-0453-447B-AE00-D248900C2F26}"/>
    <cellStyle name="Normal 2 2 2 2 2 2 2 2 2 2 2 2 2 7 2 5 3" xfId="9844" xr:uid="{65BAC141-FF89-42B3-8B85-99964176E17D}"/>
    <cellStyle name="Normal 2 2 2 2 2 2 2 2 2 2 2 2 2 7 2 5 3 2" xfId="9845" xr:uid="{BF483B70-D82E-4376-A233-7D41C58F2786}"/>
    <cellStyle name="Normal 2 2 2 2 2 2 2 2 2 2 2 2 2 7 2 5 3 2 2" xfId="9846" xr:uid="{C5D50BE1-84B3-4136-BFE6-7B34A3E79FBB}"/>
    <cellStyle name="Normal 2 2 2 2 2 2 2 2 2 2 2 2 2 7 2 5 3 2 3" xfId="9847" xr:uid="{C20B073C-0DCC-47EC-B0C5-33919711B093}"/>
    <cellStyle name="Normal 2 2 2 2 2 2 2 2 2 2 2 2 2 7 2 5 3 2 4" xfId="9848" xr:uid="{B6E6FADE-BAE9-4E12-B238-C03903FDFB06}"/>
    <cellStyle name="Normal 2 2 2 2 2 2 2 2 2 2 2 2 2 7 2 5 3 3" xfId="9849" xr:uid="{6F1009C5-E19A-4FFB-9703-7FCA9361D8E4}"/>
    <cellStyle name="Normal 2 2 2 2 2 2 2 2 2 2 2 2 2 7 2 5 3 4" xfId="9850" xr:uid="{4B91C5C6-2AC0-45D5-8E1C-58F6AF9ABFB2}"/>
    <cellStyle name="Normal 2 2 2 2 2 2 2 2 2 2 2 2 2 7 2 5 3 5" xfId="9851" xr:uid="{2F2A566D-37C9-4188-9CA3-6FF8923846A7}"/>
    <cellStyle name="Normal 2 2 2 2 2 2 2 2 2 2 2 2 2 7 2 5 3 6" xfId="9852" xr:uid="{518B3CE2-BC56-4A69-8BEB-9917556BF774}"/>
    <cellStyle name="Normal 2 2 2 2 2 2 2 2 2 2 2 2 2 7 2 5 4" xfId="9853" xr:uid="{316BC310-9332-443A-82CA-6DA6C200105D}"/>
    <cellStyle name="Normal 2 2 2 2 2 2 2 2 2 2 2 2 2 7 2 5 5" xfId="9854" xr:uid="{1EFA7EDE-C2E8-4C6D-BC66-3A2C8BC4671B}"/>
    <cellStyle name="Normal 2 2 2 2 2 2 2 2 2 2 2 2 2 7 2 5 6" xfId="9855" xr:uid="{8E1F5E2E-A6A6-4BE6-A72D-9928A1FB4C22}"/>
    <cellStyle name="Normal 2 2 2 2 2 2 2 2 2 2 2 2 2 7 2 5 7" xfId="9856" xr:uid="{BE3F2023-34A1-4924-A384-F952A2024752}"/>
    <cellStyle name="Normal 2 2 2 2 2 2 2 2 2 2 2 2 2 7 2 5 8" xfId="9857" xr:uid="{E2DDA2DC-3D99-446C-A840-808641D61E81}"/>
    <cellStyle name="Normal 2 2 2 2 2 2 2 2 2 2 2 2 2 7 2 5 8 2" xfId="9858" xr:uid="{C4FC74CE-BE47-4BF7-8B30-5F77A022849D}"/>
    <cellStyle name="Normal 2 2 2 2 2 2 2 2 2 2 2 2 2 7 2 5 8 3" xfId="9859" xr:uid="{793AFB94-FFCD-48E2-8645-DE2795272BB9}"/>
    <cellStyle name="Normal 2 2 2 2 2 2 2 2 2 2 2 2 2 7 2 5 8 4" xfId="9860" xr:uid="{42CB03CD-58BB-4B22-9CD0-76D9914E8D4F}"/>
    <cellStyle name="Normal 2 2 2 2 2 2 2 2 2 2 2 2 2 7 2 5 9" xfId="9861" xr:uid="{68164397-7D69-49F5-8826-B96ED5FD8EEA}"/>
    <cellStyle name="Normal 2 2 2 2 2 2 2 2 2 2 2 2 2 7 2 6" xfId="9862" xr:uid="{6A8DAA48-E51C-499B-BD0B-E8D16590A80E}"/>
    <cellStyle name="Normal 2 2 2 2 2 2 2 2 2 2 2 2 2 7 2 7" xfId="9863" xr:uid="{225F2EB6-1454-4CF4-8CF4-1681ED11043B}"/>
    <cellStyle name="Normal 2 2 2 2 2 2 2 2 2 2 2 2 2 7 2 7 2" xfId="9864" xr:uid="{3B935D28-43B5-4453-8DA3-7A90F142689C}"/>
    <cellStyle name="Normal 2 2 2 2 2 2 2 2 2 2 2 2 2 7 2 7 2 2" xfId="9865" xr:uid="{9762A25F-4764-4C58-AC94-8FDC77E9E0BE}"/>
    <cellStyle name="Normal 2 2 2 2 2 2 2 2 2 2 2 2 2 7 2 7 2 3" xfId="9866" xr:uid="{A5852BD2-CD3A-4921-8F6E-8DEA05D488FF}"/>
    <cellStyle name="Normal 2 2 2 2 2 2 2 2 2 2 2 2 2 7 2 7 2 4" xfId="9867" xr:uid="{0D948238-B068-4037-B1D9-063DEE2FEFAA}"/>
    <cellStyle name="Normal 2 2 2 2 2 2 2 2 2 2 2 2 2 7 2 7 3" xfId="9868" xr:uid="{E39712F9-3E94-4311-B0ED-19390A1B93BF}"/>
    <cellStyle name="Normal 2 2 2 2 2 2 2 2 2 2 2 2 2 7 2 7 4" xfId="9869" xr:uid="{7FF119FA-C9C8-4417-9030-49FDE7346209}"/>
    <cellStyle name="Normal 2 2 2 2 2 2 2 2 2 2 2 2 2 7 2 7 5" xfId="9870" xr:uid="{8D05CA4E-0264-42FF-A6AD-AD8A4B1CF812}"/>
    <cellStyle name="Normal 2 2 2 2 2 2 2 2 2 2 2 2 2 7 2 7 6" xfId="9871" xr:uid="{25EE5656-D444-42BE-B016-A99CBD020139}"/>
    <cellStyle name="Normal 2 2 2 2 2 2 2 2 2 2 2 2 2 7 2 8" xfId="9872" xr:uid="{0BEFACF5-9002-4969-B746-D46AA52DCA6A}"/>
    <cellStyle name="Normal 2 2 2 2 2 2 2 2 2 2 2 2 2 7 2 9" xfId="9873" xr:uid="{564AAE8D-0B28-415C-B76C-8F1DFE577E9A}"/>
    <cellStyle name="Normal 2 2 2 2 2 2 2 2 2 2 2 2 2 7 20" xfId="9874" xr:uid="{E15294EF-7574-4400-9DDD-CC36484A919F}"/>
    <cellStyle name="Normal 2 2 2 2 2 2 2 2 2 2 2 2 2 7 21" xfId="9875" xr:uid="{3F794C92-F4C3-42DE-94E9-5C6F2FD9E2C1}"/>
    <cellStyle name="Normal 2 2 2 2 2 2 2 2 2 2 2 2 2 7 21 2" xfId="9876" xr:uid="{4E714D01-1253-47EB-A64F-A699CFACD3D5}"/>
    <cellStyle name="Normal 2 2 2 2 2 2 2 2 2 2 2 2 2 7 21 3" xfId="9877" xr:uid="{20C1C49B-842A-4928-AFCA-6324AD334391}"/>
    <cellStyle name="Normal 2 2 2 2 2 2 2 2 2 2 2 2 2 7 21 4" xfId="9878" xr:uid="{8FA1E310-3200-44BC-9A4C-5B1DB061E269}"/>
    <cellStyle name="Normal 2 2 2 2 2 2 2 2 2 2 2 2 2 7 22" xfId="9879" xr:uid="{B68E4791-FF1B-4815-B780-F8061D0B69C7}"/>
    <cellStyle name="Normal 2 2 2 2 2 2 2 2 2 2 2 2 2 7 23" xfId="9880" xr:uid="{5E875FC5-877D-4427-8C5F-52BD727DC172}"/>
    <cellStyle name="Normal 2 2 2 2 2 2 2 2 2 2 2 2 2 7 24" xfId="9881" xr:uid="{361F87DF-EA42-42F8-B113-B59FAE5D02D3}"/>
    <cellStyle name="Normal 2 2 2 2 2 2 2 2 2 2 2 2 2 7 3" xfId="9882" xr:uid="{7966EC23-0314-478C-9D87-3A0D9EC68C15}"/>
    <cellStyle name="Normal 2 2 2 2 2 2 2 2 2 2 2 2 2 7 4" xfId="9883" xr:uid="{CE7520BE-ADE2-4563-8D4E-76785B6F8BDD}"/>
    <cellStyle name="Normal 2 2 2 2 2 2 2 2 2 2 2 2 2 7 5" xfId="9884" xr:uid="{FDF711E1-3116-4375-B4CC-8F3A5D1025E9}"/>
    <cellStyle name="Normal 2 2 2 2 2 2 2 2 2 2 2 2 2 7 6" xfId="9885" xr:uid="{3A8CF33B-293B-40F0-A430-D989A20B9960}"/>
    <cellStyle name="Normal 2 2 2 2 2 2 2 2 2 2 2 2 2 7 7" xfId="9886" xr:uid="{14B865FD-2FBF-4B76-A09C-3973B11DACD0}"/>
    <cellStyle name="Normal 2 2 2 2 2 2 2 2 2 2 2 2 2 7 8" xfId="9887" xr:uid="{46BF150B-2280-446C-8434-B3801B5335ED}"/>
    <cellStyle name="Normal 2 2 2 2 2 2 2 2 2 2 2 2 2 7 9" xfId="9888" xr:uid="{35A6284E-BC6A-45A3-A312-9B4C404EA1DF}"/>
    <cellStyle name="Normal 2 2 2 2 2 2 2 2 2 2 2 2 2 70" xfId="9889" xr:uid="{38386F40-EB21-40AE-9C08-71C7B05CF812}"/>
    <cellStyle name="Normal 2 2 2 2 2 2 2 2 2 2 2 2 2 71" xfId="9890" xr:uid="{8E7FF887-2422-4409-A8DD-A03DC2EB23E1}"/>
    <cellStyle name="Normal 2 2 2 2 2 2 2 2 2 2 2 2 2 72" xfId="9891" xr:uid="{389EFF16-3C99-4EE3-A166-02E0FC746F5F}"/>
    <cellStyle name="Normal 2 2 2 2 2 2 2 2 2 2 2 2 2 73" xfId="9892" xr:uid="{9D7252CE-B380-40CF-ACCD-422F31D3BC8A}"/>
    <cellStyle name="Normal 2 2 2 2 2 2 2 2 2 2 2 2 2 74" xfId="9893" xr:uid="{C3281394-1E65-4306-BF59-3271F12D96F4}"/>
    <cellStyle name="Normal 2 2 2 2 2 2 2 2 2 2 2 2 2 75" xfId="9894" xr:uid="{E2591B21-244D-48B2-806B-0EBB9820B592}"/>
    <cellStyle name="Normal 2 2 2 2 2 2 2 2 2 2 2 2 2 76" xfId="9895" xr:uid="{14E8494F-D7F6-4FD9-A4EE-5119C143367B}"/>
    <cellStyle name="Normal 2 2 2 2 2 2 2 2 2 2 2 2 2 77" xfId="9896" xr:uid="{96EAFF22-A27B-476E-9AED-EE179CDEC35A}"/>
    <cellStyle name="Normal 2 2 2 2 2 2 2 2 2 2 2 2 2 78" xfId="9897" xr:uid="{4B7B0871-CE5F-4697-A965-0FB1BE2CC1E3}"/>
    <cellStyle name="Normal 2 2 2 2 2 2 2 2 2 2 2 2 2 79" xfId="9898" xr:uid="{DFBBE4B3-BF04-42AD-8523-5240B848C5E1}"/>
    <cellStyle name="Normal 2 2 2 2 2 2 2 2 2 2 2 2 2 8" xfId="9899" xr:uid="{2B147FC9-C333-4E3E-A594-CDC2E2BB0C7B}"/>
    <cellStyle name="Normal 2 2 2 2 2 2 2 2 2 2 2 2 2 8 10" xfId="9900" xr:uid="{EBDA26A5-5F36-4D3B-85CE-5EC7EE669AA9}"/>
    <cellStyle name="Normal 2 2 2 2 2 2 2 2 2 2 2 2 2 8 11" xfId="9901" xr:uid="{DF5FDD77-7F55-4C77-8CBA-6D8010A436E7}"/>
    <cellStyle name="Normal 2 2 2 2 2 2 2 2 2 2 2 2 2 8 12" xfId="9902" xr:uid="{230D40C9-55D9-4766-994B-AEA0D90DA9C8}"/>
    <cellStyle name="Normal 2 2 2 2 2 2 2 2 2 2 2 2 2 8 13" xfId="9903" xr:uid="{D1AE6D6F-EFFB-4918-B95B-EB5BD82A66F1}"/>
    <cellStyle name="Normal 2 2 2 2 2 2 2 2 2 2 2 2 2 8 13 2" xfId="9904" xr:uid="{E86C515C-E2C9-45EF-BA06-4F1FE0D13624}"/>
    <cellStyle name="Normal 2 2 2 2 2 2 2 2 2 2 2 2 2 8 13 3" xfId="9905" xr:uid="{FDDC5AA2-B9B3-4CD8-A829-75A0F0653154}"/>
    <cellStyle name="Normal 2 2 2 2 2 2 2 2 2 2 2 2 2 8 13 4" xfId="9906" xr:uid="{1FF79B2A-4168-4CBC-A33A-38E0C67D7965}"/>
    <cellStyle name="Normal 2 2 2 2 2 2 2 2 2 2 2 2 2 8 14" xfId="9907" xr:uid="{6286E00E-51C7-4785-809A-1F318CFA413C}"/>
    <cellStyle name="Normal 2 2 2 2 2 2 2 2 2 2 2 2 2 8 15" xfId="9908" xr:uid="{E00BC7B9-7865-41B0-AFF3-AE302B56D4B1}"/>
    <cellStyle name="Normal 2 2 2 2 2 2 2 2 2 2 2 2 2 8 16" xfId="9909" xr:uid="{260AD1A4-9E43-47A4-A29B-707E11CC2955}"/>
    <cellStyle name="Normal 2 2 2 2 2 2 2 2 2 2 2 2 2 8 2" xfId="9910" xr:uid="{6D5C560D-4959-48DE-B346-C52A07F2A7BB}"/>
    <cellStyle name="Normal 2 2 2 2 2 2 2 2 2 2 2 2 2 8 2 10" xfId="9911" xr:uid="{4F528D36-E1CD-4036-AFEE-9FC5E4279984}"/>
    <cellStyle name="Normal 2 2 2 2 2 2 2 2 2 2 2 2 2 8 2 11" xfId="9912" xr:uid="{E8668F2B-AA78-49C1-B9F5-86A1EB42672E}"/>
    <cellStyle name="Normal 2 2 2 2 2 2 2 2 2 2 2 2 2 8 2 11 2" xfId="9913" xr:uid="{D7984B52-06C9-4D7A-8F35-E33F374C199F}"/>
    <cellStyle name="Normal 2 2 2 2 2 2 2 2 2 2 2 2 2 8 2 11 3" xfId="9914" xr:uid="{32292313-4DFC-41AB-BB3B-457E66D61212}"/>
    <cellStyle name="Normal 2 2 2 2 2 2 2 2 2 2 2 2 2 8 2 11 4" xfId="9915" xr:uid="{5F90F1AD-4228-4A67-81FB-4292D84E56C5}"/>
    <cellStyle name="Normal 2 2 2 2 2 2 2 2 2 2 2 2 2 8 2 12" xfId="9916" xr:uid="{35B9D116-0DEF-49D2-9AFB-430CB1B83007}"/>
    <cellStyle name="Normal 2 2 2 2 2 2 2 2 2 2 2 2 2 8 2 13" xfId="9917" xr:uid="{D0B1F574-7937-4CED-93BD-64CEF465C65B}"/>
    <cellStyle name="Normal 2 2 2 2 2 2 2 2 2 2 2 2 2 8 2 14" xfId="9918" xr:uid="{D3E266DB-D6AF-4D68-BC9F-D95168B0BB03}"/>
    <cellStyle name="Normal 2 2 2 2 2 2 2 2 2 2 2 2 2 8 2 2" xfId="9919" xr:uid="{AAE023CA-F42D-4FE6-A472-415FDC3C26AE}"/>
    <cellStyle name="Normal 2 2 2 2 2 2 2 2 2 2 2 2 2 8 2 2 10" xfId="9920" xr:uid="{D09AE738-C7C7-4993-9A8B-B188E1E4AFF1}"/>
    <cellStyle name="Normal 2 2 2 2 2 2 2 2 2 2 2 2 2 8 2 2 11" xfId="9921" xr:uid="{814E1EAD-103A-42EC-A8CE-6348096CDC52}"/>
    <cellStyle name="Normal 2 2 2 2 2 2 2 2 2 2 2 2 2 8 2 2 2" xfId="9922" xr:uid="{D903816B-0A07-4E61-B4EC-099098E9B9A2}"/>
    <cellStyle name="Normal 2 2 2 2 2 2 2 2 2 2 2 2 2 8 2 2 2 10" xfId="9923" xr:uid="{4012518F-1877-45BC-B956-0DDA59464217}"/>
    <cellStyle name="Normal 2 2 2 2 2 2 2 2 2 2 2 2 2 8 2 2 2 11" xfId="9924" xr:uid="{50FACFCF-F65D-419E-AA1B-6199E9701FA4}"/>
    <cellStyle name="Normal 2 2 2 2 2 2 2 2 2 2 2 2 2 8 2 2 2 2" xfId="9925" xr:uid="{2CF336A7-3F54-4E47-A0E0-4A3C9B1F6A03}"/>
    <cellStyle name="Normal 2 2 2 2 2 2 2 2 2 2 2 2 2 8 2 2 2 2 2" xfId="9926" xr:uid="{D899D179-2318-4BAA-A503-0BEE25E14586}"/>
    <cellStyle name="Normal 2 2 2 2 2 2 2 2 2 2 2 2 2 8 2 2 2 2 2 2" xfId="9927" xr:uid="{E3B84F9D-419F-4A92-ADE2-80C730831603}"/>
    <cellStyle name="Normal 2 2 2 2 2 2 2 2 2 2 2 2 2 8 2 2 2 2 2 3" xfId="9928" xr:uid="{6A4CB08D-8702-4885-A5D4-F955EEBC3C71}"/>
    <cellStyle name="Normal 2 2 2 2 2 2 2 2 2 2 2 2 2 8 2 2 2 2 2 4" xfId="9929" xr:uid="{E06A0783-516E-454B-85F4-777E189DD9B0}"/>
    <cellStyle name="Normal 2 2 2 2 2 2 2 2 2 2 2 2 2 8 2 2 2 2 3" xfId="9930" xr:uid="{BA558891-02BA-4D37-B5BF-C42F548C98FC}"/>
    <cellStyle name="Normal 2 2 2 2 2 2 2 2 2 2 2 2 2 8 2 2 2 2 4" xfId="9931" xr:uid="{89A25C91-654A-4804-9EAF-3E5D27A0E791}"/>
    <cellStyle name="Normal 2 2 2 2 2 2 2 2 2 2 2 2 2 8 2 2 2 2 5" xfId="9932" xr:uid="{577CAA64-0BA4-4EBB-8A23-8AC26073598A}"/>
    <cellStyle name="Normal 2 2 2 2 2 2 2 2 2 2 2 2 2 8 2 2 2 2 6" xfId="9933" xr:uid="{3BF125C1-7762-446F-8485-8DA0FE2C71AD}"/>
    <cellStyle name="Normal 2 2 2 2 2 2 2 2 2 2 2 2 2 8 2 2 2 3" xfId="9934" xr:uid="{0BE0FB7D-6A6D-494E-AF89-1A5B11DC92DC}"/>
    <cellStyle name="Normal 2 2 2 2 2 2 2 2 2 2 2 2 2 8 2 2 2 4" xfId="9935" xr:uid="{6D6B0A7F-1660-4325-BCE7-9D6915BB290C}"/>
    <cellStyle name="Normal 2 2 2 2 2 2 2 2 2 2 2 2 2 8 2 2 2 5" xfId="9936" xr:uid="{66E0906D-5585-4AC5-9319-2F35A74069A2}"/>
    <cellStyle name="Normal 2 2 2 2 2 2 2 2 2 2 2 2 2 8 2 2 2 6" xfId="9937" xr:uid="{211072D4-D8A3-4D70-9F2C-A6393C63D33F}"/>
    <cellStyle name="Normal 2 2 2 2 2 2 2 2 2 2 2 2 2 8 2 2 2 7" xfId="9938" xr:uid="{3398CA1D-D000-46DE-8A89-027782674E05}"/>
    <cellStyle name="Normal 2 2 2 2 2 2 2 2 2 2 2 2 2 8 2 2 2 8" xfId="9939" xr:uid="{34860EF3-F7D6-4FAC-A14D-563D3740151F}"/>
    <cellStyle name="Normal 2 2 2 2 2 2 2 2 2 2 2 2 2 8 2 2 2 8 2" xfId="9940" xr:uid="{9BB82AFB-8389-408E-94FA-20A98C7B6068}"/>
    <cellStyle name="Normal 2 2 2 2 2 2 2 2 2 2 2 2 2 8 2 2 2 8 3" xfId="9941" xr:uid="{6AE13EBB-935F-4F39-9D03-5383BB0C5B58}"/>
    <cellStyle name="Normal 2 2 2 2 2 2 2 2 2 2 2 2 2 8 2 2 2 8 4" xfId="9942" xr:uid="{590BB0B6-1DF3-4CA5-80E7-3B2424E21C4D}"/>
    <cellStyle name="Normal 2 2 2 2 2 2 2 2 2 2 2 2 2 8 2 2 2 9" xfId="9943" xr:uid="{EAD3183A-731D-4669-BAA4-F20AAD95D4BD}"/>
    <cellStyle name="Normal 2 2 2 2 2 2 2 2 2 2 2 2 2 8 2 2 3" xfId="9944" xr:uid="{B55152E1-1B84-48C8-9366-212AC1381BC2}"/>
    <cellStyle name="Normal 2 2 2 2 2 2 2 2 2 2 2 2 2 8 2 2 3 2" xfId="9945" xr:uid="{F31D0635-8914-4DFF-AC9C-15288DD10B38}"/>
    <cellStyle name="Normal 2 2 2 2 2 2 2 2 2 2 2 2 2 8 2 2 3 2 2" xfId="9946" xr:uid="{911EE685-4C0F-4C27-BB2E-579367D6247F}"/>
    <cellStyle name="Normal 2 2 2 2 2 2 2 2 2 2 2 2 2 8 2 2 3 2 3" xfId="9947" xr:uid="{F85946B5-0F94-4A8D-BAE2-C6DEC6976D66}"/>
    <cellStyle name="Normal 2 2 2 2 2 2 2 2 2 2 2 2 2 8 2 2 3 2 4" xfId="9948" xr:uid="{4D9DA58E-7BB0-4ECC-BAF8-8857742D3BE0}"/>
    <cellStyle name="Normal 2 2 2 2 2 2 2 2 2 2 2 2 2 8 2 2 3 3" xfId="9949" xr:uid="{648C9112-946C-483F-BC9D-B00278F16167}"/>
    <cellStyle name="Normal 2 2 2 2 2 2 2 2 2 2 2 2 2 8 2 2 3 4" xfId="9950" xr:uid="{99D9E7F7-B9D9-4C9A-9D8E-0F865D053828}"/>
    <cellStyle name="Normal 2 2 2 2 2 2 2 2 2 2 2 2 2 8 2 2 3 5" xfId="9951" xr:uid="{9529627D-4885-4EF9-8D19-B52FDDE47EB2}"/>
    <cellStyle name="Normal 2 2 2 2 2 2 2 2 2 2 2 2 2 8 2 2 3 6" xfId="9952" xr:uid="{250F66B9-79E5-4A5A-B6F2-CEA6B546CDE2}"/>
    <cellStyle name="Normal 2 2 2 2 2 2 2 2 2 2 2 2 2 8 2 2 4" xfId="9953" xr:uid="{B23067F1-6E18-4478-8C04-772B5082AE41}"/>
    <cellStyle name="Normal 2 2 2 2 2 2 2 2 2 2 2 2 2 8 2 2 5" xfId="9954" xr:uid="{44C859EC-544D-487D-97A2-D216076807CB}"/>
    <cellStyle name="Normal 2 2 2 2 2 2 2 2 2 2 2 2 2 8 2 2 6" xfId="9955" xr:uid="{06FF4ABB-DF87-4A48-976A-278223CE04A9}"/>
    <cellStyle name="Normal 2 2 2 2 2 2 2 2 2 2 2 2 2 8 2 2 7" xfId="9956" xr:uid="{4F834C3E-C451-429A-A0A1-15D271264FF1}"/>
    <cellStyle name="Normal 2 2 2 2 2 2 2 2 2 2 2 2 2 8 2 2 8" xfId="9957" xr:uid="{961E1DA8-1D8C-43EA-A7FF-5D95CC0888C5}"/>
    <cellStyle name="Normal 2 2 2 2 2 2 2 2 2 2 2 2 2 8 2 2 8 2" xfId="9958" xr:uid="{97D3E5E4-2128-47A7-B4A1-2D0D89BBD2A3}"/>
    <cellStyle name="Normal 2 2 2 2 2 2 2 2 2 2 2 2 2 8 2 2 8 3" xfId="9959" xr:uid="{0C416408-730D-4F9D-9FC5-E4B0E9C40E5D}"/>
    <cellStyle name="Normal 2 2 2 2 2 2 2 2 2 2 2 2 2 8 2 2 8 4" xfId="9960" xr:uid="{300B4EBD-5A22-49C5-913A-9F9E9B886A6A}"/>
    <cellStyle name="Normal 2 2 2 2 2 2 2 2 2 2 2 2 2 8 2 2 9" xfId="9961" xr:uid="{B2B3396E-AD91-463F-ACB1-BB6700473A45}"/>
    <cellStyle name="Normal 2 2 2 2 2 2 2 2 2 2 2 2 2 8 2 3" xfId="9962" xr:uid="{693BC4C0-AA8A-495F-A8F2-4F2512C88955}"/>
    <cellStyle name="Normal 2 2 2 2 2 2 2 2 2 2 2 2 2 8 2 4" xfId="9963" xr:uid="{F47D33B1-9BBF-4FEA-9784-001D80245E00}"/>
    <cellStyle name="Normal 2 2 2 2 2 2 2 2 2 2 2 2 2 8 2 5" xfId="9964" xr:uid="{2B46A59D-2CFA-44DD-8941-16F875EFDB85}"/>
    <cellStyle name="Normal 2 2 2 2 2 2 2 2 2 2 2 2 2 8 2 5 2" xfId="9965" xr:uid="{DE5371A4-A95F-4757-A5B0-B65AD4D56FF0}"/>
    <cellStyle name="Normal 2 2 2 2 2 2 2 2 2 2 2 2 2 8 2 5 2 2" xfId="9966" xr:uid="{2BBC3661-116B-420A-91F4-4E440ED65A0C}"/>
    <cellStyle name="Normal 2 2 2 2 2 2 2 2 2 2 2 2 2 8 2 5 2 3" xfId="9967" xr:uid="{D6C32D14-6548-42FD-8C49-4A9CEADDE3F9}"/>
    <cellStyle name="Normal 2 2 2 2 2 2 2 2 2 2 2 2 2 8 2 5 2 4" xfId="9968" xr:uid="{4DB40B39-A3CF-4D41-903D-BF58E1B7AA86}"/>
    <cellStyle name="Normal 2 2 2 2 2 2 2 2 2 2 2 2 2 8 2 5 3" xfId="9969" xr:uid="{B9645A85-6EF3-474F-9B7C-E0C07DE7549F}"/>
    <cellStyle name="Normal 2 2 2 2 2 2 2 2 2 2 2 2 2 8 2 5 4" xfId="9970" xr:uid="{4B475D6F-A5F3-4826-97AC-7BD45B948E84}"/>
    <cellStyle name="Normal 2 2 2 2 2 2 2 2 2 2 2 2 2 8 2 5 5" xfId="9971" xr:uid="{9AC74688-3189-4D58-B533-6994759B5F5E}"/>
    <cellStyle name="Normal 2 2 2 2 2 2 2 2 2 2 2 2 2 8 2 5 6" xfId="9972" xr:uid="{8D6D7CC7-12EE-43E1-9E1A-0DB32F048DF2}"/>
    <cellStyle name="Normal 2 2 2 2 2 2 2 2 2 2 2 2 2 8 2 6" xfId="9973" xr:uid="{EFA64862-3A85-43EB-B46E-722CD4FC099F}"/>
    <cellStyle name="Normal 2 2 2 2 2 2 2 2 2 2 2 2 2 8 2 7" xfId="9974" xr:uid="{90E7BDA6-55E4-45A0-A9C0-A9D610EE5592}"/>
    <cellStyle name="Normal 2 2 2 2 2 2 2 2 2 2 2 2 2 8 2 8" xfId="9975" xr:uid="{DA98BE84-D56C-4F65-9202-AF398E262831}"/>
    <cellStyle name="Normal 2 2 2 2 2 2 2 2 2 2 2 2 2 8 2 9" xfId="9976" xr:uid="{9EF40319-37BD-4AB1-A554-46047249D1A5}"/>
    <cellStyle name="Normal 2 2 2 2 2 2 2 2 2 2 2 2 2 8 3" xfId="9977" xr:uid="{D762075D-0265-46EE-AB28-8A8E09730D92}"/>
    <cellStyle name="Normal 2 2 2 2 2 2 2 2 2 2 2 2 2 8 4" xfId="9978" xr:uid="{D8AC9B54-F116-4A48-B9E4-3BDB6BDC7441}"/>
    <cellStyle name="Normal 2 2 2 2 2 2 2 2 2 2 2 2 2 8 5" xfId="9979" xr:uid="{122D9B12-3252-4D78-864E-42626B75A5BF}"/>
    <cellStyle name="Normal 2 2 2 2 2 2 2 2 2 2 2 2 2 8 5 10" xfId="9980" xr:uid="{54D2CCF4-3213-41FE-8D1C-3C6AD351EA2F}"/>
    <cellStyle name="Normal 2 2 2 2 2 2 2 2 2 2 2 2 2 8 5 11" xfId="9981" xr:uid="{7160E916-84DE-4CD7-B5DD-870E6C2993CE}"/>
    <cellStyle name="Normal 2 2 2 2 2 2 2 2 2 2 2 2 2 8 5 2" xfId="9982" xr:uid="{20FEF799-B031-4818-AE70-2AA4005C9339}"/>
    <cellStyle name="Normal 2 2 2 2 2 2 2 2 2 2 2 2 2 8 5 2 10" xfId="9983" xr:uid="{3B1D5C60-1EFA-4B61-B29B-D9B112EA3F0F}"/>
    <cellStyle name="Normal 2 2 2 2 2 2 2 2 2 2 2 2 2 8 5 2 11" xfId="9984" xr:uid="{261C231F-838D-4DC0-9992-08EA960C297C}"/>
    <cellStyle name="Normal 2 2 2 2 2 2 2 2 2 2 2 2 2 8 5 2 2" xfId="9985" xr:uid="{58C597AB-D205-420C-AB62-90DA9648D9EA}"/>
    <cellStyle name="Normal 2 2 2 2 2 2 2 2 2 2 2 2 2 8 5 2 2 2" xfId="9986" xr:uid="{0C1834F7-0C2D-4374-81A3-5F4C06EA47E8}"/>
    <cellStyle name="Normal 2 2 2 2 2 2 2 2 2 2 2 2 2 8 5 2 2 2 2" xfId="9987" xr:uid="{79807B41-A913-49F6-967C-E3CABFF2EF90}"/>
    <cellStyle name="Normal 2 2 2 2 2 2 2 2 2 2 2 2 2 8 5 2 2 2 3" xfId="9988" xr:uid="{BAC3C1F6-8EB7-4398-96F6-56C0FD6A4020}"/>
    <cellStyle name="Normal 2 2 2 2 2 2 2 2 2 2 2 2 2 8 5 2 2 2 4" xfId="9989" xr:uid="{87223CAA-E280-47BF-A510-3E8C9E609A05}"/>
    <cellStyle name="Normal 2 2 2 2 2 2 2 2 2 2 2 2 2 8 5 2 2 3" xfId="9990" xr:uid="{EF57EF69-FDF8-46C7-BFEC-4BF380E09BEB}"/>
    <cellStyle name="Normal 2 2 2 2 2 2 2 2 2 2 2 2 2 8 5 2 2 4" xfId="9991" xr:uid="{9F13C3C5-FD32-417B-A503-5CD70715B1FC}"/>
    <cellStyle name="Normal 2 2 2 2 2 2 2 2 2 2 2 2 2 8 5 2 2 5" xfId="9992" xr:uid="{65E039AC-0256-4046-A71B-38BDB6A8BCD0}"/>
    <cellStyle name="Normal 2 2 2 2 2 2 2 2 2 2 2 2 2 8 5 2 2 6" xfId="9993" xr:uid="{6239B798-0CF7-4494-8FB0-CFFCE9DA6A9E}"/>
    <cellStyle name="Normal 2 2 2 2 2 2 2 2 2 2 2 2 2 8 5 2 3" xfId="9994" xr:uid="{A73273A0-7536-429E-AD07-43D8D25E2D46}"/>
    <cellStyle name="Normal 2 2 2 2 2 2 2 2 2 2 2 2 2 8 5 2 4" xfId="9995" xr:uid="{2F0E69BE-38E9-4026-A4D4-053D2BFE71E3}"/>
    <cellStyle name="Normal 2 2 2 2 2 2 2 2 2 2 2 2 2 8 5 2 5" xfId="9996" xr:uid="{AE6CDC7B-F438-46C0-AD20-EE79CF2A0A0E}"/>
    <cellStyle name="Normal 2 2 2 2 2 2 2 2 2 2 2 2 2 8 5 2 6" xfId="9997" xr:uid="{1016FBBC-BF4F-43F6-AB28-F91EAA1FB0C2}"/>
    <cellStyle name="Normal 2 2 2 2 2 2 2 2 2 2 2 2 2 8 5 2 7" xfId="9998" xr:uid="{902EB45D-5EBA-43DF-B4FE-A30FA7742691}"/>
    <cellStyle name="Normal 2 2 2 2 2 2 2 2 2 2 2 2 2 8 5 2 8" xfId="9999" xr:uid="{1BAE958D-D236-4DF2-AEC7-F6C1181E51E4}"/>
    <cellStyle name="Normal 2 2 2 2 2 2 2 2 2 2 2 2 2 8 5 2 8 2" xfId="10000" xr:uid="{EAE81039-37C9-41DD-9528-61FC41522778}"/>
    <cellStyle name="Normal 2 2 2 2 2 2 2 2 2 2 2 2 2 8 5 2 8 3" xfId="10001" xr:uid="{C9B875BE-7777-4A8C-8D5A-B7FF0AD055AE}"/>
    <cellStyle name="Normal 2 2 2 2 2 2 2 2 2 2 2 2 2 8 5 2 8 4" xfId="10002" xr:uid="{B54F06F2-098E-475F-B12D-DC1D5DEC3A75}"/>
    <cellStyle name="Normal 2 2 2 2 2 2 2 2 2 2 2 2 2 8 5 2 9" xfId="10003" xr:uid="{717CAC19-7FC0-4C2A-BFEF-7CCDDFB2A118}"/>
    <cellStyle name="Normal 2 2 2 2 2 2 2 2 2 2 2 2 2 8 5 3" xfId="10004" xr:uid="{D965A28F-327D-4408-8026-85F0069FDEC7}"/>
    <cellStyle name="Normal 2 2 2 2 2 2 2 2 2 2 2 2 2 8 5 3 2" xfId="10005" xr:uid="{99A36514-EA12-43BB-8F2E-35BB763FBDD6}"/>
    <cellStyle name="Normal 2 2 2 2 2 2 2 2 2 2 2 2 2 8 5 3 2 2" xfId="10006" xr:uid="{F6F782B1-5A69-44F0-80A0-1BF9A2C8A66B}"/>
    <cellStyle name="Normal 2 2 2 2 2 2 2 2 2 2 2 2 2 8 5 3 2 3" xfId="10007" xr:uid="{9B13F0C1-349E-48D3-B105-9035BEDA9AE1}"/>
    <cellStyle name="Normal 2 2 2 2 2 2 2 2 2 2 2 2 2 8 5 3 2 4" xfId="10008" xr:uid="{8B146B63-75CB-416D-83DA-1328B4258AF9}"/>
    <cellStyle name="Normal 2 2 2 2 2 2 2 2 2 2 2 2 2 8 5 3 3" xfId="10009" xr:uid="{162597AE-6BB1-4AA6-8349-3E5F6D8B37A1}"/>
    <cellStyle name="Normal 2 2 2 2 2 2 2 2 2 2 2 2 2 8 5 3 4" xfId="10010" xr:uid="{156ACE58-6C2F-4348-B736-35F7F3C87A63}"/>
    <cellStyle name="Normal 2 2 2 2 2 2 2 2 2 2 2 2 2 8 5 3 5" xfId="10011" xr:uid="{A7D87DA3-86ED-4C1E-AAC6-032B179EECB0}"/>
    <cellStyle name="Normal 2 2 2 2 2 2 2 2 2 2 2 2 2 8 5 3 6" xfId="10012" xr:uid="{2BD8EE74-DCE0-4253-8957-D3FF605783A8}"/>
    <cellStyle name="Normal 2 2 2 2 2 2 2 2 2 2 2 2 2 8 5 4" xfId="10013" xr:uid="{DB3E9362-4354-4660-9F35-5554E9425F42}"/>
    <cellStyle name="Normal 2 2 2 2 2 2 2 2 2 2 2 2 2 8 5 5" xfId="10014" xr:uid="{053E101D-D766-4C98-98F8-A5C9B4AFB06E}"/>
    <cellStyle name="Normal 2 2 2 2 2 2 2 2 2 2 2 2 2 8 5 6" xfId="10015" xr:uid="{1E6FEDD0-A479-4829-8CD9-3302C4D42DEE}"/>
    <cellStyle name="Normal 2 2 2 2 2 2 2 2 2 2 2 2 2 8 5 7" xfId="10016" xr:uid="{4614F79D-7DB8-4497-889D-3F1FC6E117B2}"/>
    <cellStyle name="Normal 2 2 2 2 2 2 2 2 2 2 2 2 2 8 5 8" xfId="10017" xr:uid="{965F92A5-B81B-4F80-9A94-81DBDFC3E014}"/>
    <cellStyle name="Normal 2 2 2 2 2 2 2 2 2 2 2 2 2 8 5 8 2" xfId="10018" xr:uid="{FEEBC5C8-4318-4324-8B4E-AA7CB3A515DB}"/>
    <cellStyle name="Normal 2 2 2 2 2 2 2 2 2 2 2 2 2 8 5 8 3" xfId="10019" xr:uid="{E678E3A3-26AA-4739-9D86-5F2CFF11C890}"/>
    <cellStyle name="Normal 2 2 2 2 2 2 2 2 2 2 2 2 2 8 5 8 4" xfId="10020" xr:uid="{2641BE81-075B-4C0A-B7E2-82085DCC37E2}"/>
    <cellStyle name="Normal 2 2 2 2 2 2 2 2 2 2 2 2 2 8 5 9" xfId="10021" xr:uid="{9DE221B6-B79D-47EA-ABC3-03E8B476352F}"/>
    <cellStyle name="Normal 2 2 2 2 2 2 2 2 2 2 2 2 2 8 6" xfId="10022" xr:uid="{9FD66622-A829-489E-8CB1-4F110E93406E}"/>
    <cellStyle name="Normal 2 2 2 2 2 2 2 2 2 2 2 2 2 8 7" xfId="10023" xr:uid="{9A84BD04-D38D-427C-94B7-003FC1C1B1DA}"/>
    <cellStyle name="Normal 2 2 2 2 2 2 2 2 2 2 2 2 2 8 7 2" xfId="10024" xr:uid="{B8488D1A-3AE3-451A-976D-81D6225C5248}"/>
    <cellStyle name="Normal 2 2 2 2 2 2 2 2 2 2 2 2 2 8 7 2 2" xfId="10025" xr:uid="{8768896B-521A-4CF9-8FE8-084DCD047EE9}"/>
    <cellStyle name="Normal 2 2 2 2 2 2 2 2 2 2 2 2 2 8 7 2 3" xfId="10026" xr:uid="{8A1B64BA-638A-4DC8-AE22-6EE6176D7F7D}"/>
    <cellStyle name="Normal 2 2 2 2 2 2 2 2 2 2 2 2 2 8 7 2 4" xfId="10027" xr:uid="{16A3B81E-2A6B-4695-B991-D83E5065F615}"/>
    <cellStyle name="Normal 2 2 2 2 2 2 2 2 2 2 2 2 2 8 7 3" xfId="10028" xr:uid="{9A9A1E9C-45A2-4258-9E61-928F1BA2C748}"/>
    <cellStyle name="Normal 2 2 2 2 2 2 2 2 2 2 2 2 2 8 7 4" xfId="10029" xr:uid="{4DB5F4B9-757E-4F40-8AAA-D39866D01901}"/>
    <cellStyle name="Normal 2 2 2 2 2 2 2 2 2 2 2 2 2 8 7 5" xfId="10030" xr:uid="{A5548AFD-1DAB-4A48-A2FE-E8C0E025140C}"/>
    <cellStyle name="Normal 2 2 2 2 2 2 2 2 2 2 2 2 2 8 7 6" xfId="10031" xr:uid="{40DFCF90-ADEA-4413-AC03-F5E739A76210}"/>
    <cellStyle name="Normal 2 2 2 2 2 2 2 2 2 2 2 2 2 8 8" xfId="10032" xr:uid="{3749605E-65E6-40DD-A341-44036822ADBF}"/>
    <cellStyle name="Normal 2 2 2 2 2 2 2 2 2 2 2 2 2 8 9" xfId="10033" xr:uid="{4DBE9516-077D-4737-9268-F9398601A9A6}"/>
    <cellStyle name="Normal 2 2 2 2 2 2 2 2 2 2 2 2 2 80" xfId="10034" xr:uid="{12A8D73A-FD1E-4DEC-ACB2-4E2E6E0041A4}"/>
    <cellStyle name="Normal 2 2 2 2 2 2 2 2 2 2 2 2 2 81" xfId="10035" xr:uid="{9BD29E0A-6842-4729-89CB-882F0E59B573}"/>
    <cellStyle name="Normal 2 2 2 2 2 2 2 2 2 2 2 2 2 82" xfId="10036" xr:uid="{0173FCA6-5AEE-4683-B58F-8ACEFA39E000}"/>
    <cellStyle name="Normal 2 2 2 2 2 2 2 2 2 2 2 2 2 83" xfId="10037" xr:uid="{DE3B1E2A-6029-4E33-813F-CC967F7A581F}"/>
    <cellStyle name="Normal 2 2 2 2 2 2 2 2 2 2 2 2 2 84" xfId="10038" xr:uid="{6BB32416-6472-4B63-9922-34F7E8DCE0ED}"/>
    <cellStyle name="Normal 2 2 2 2 2 2 2 2 2 2 2 2 2 85" xfId="10039" xr:uid="{F7DDD299-3CF9-466D-AC45-65F18AA3BBC3}"/>
    <cellStyle name="Normal 2 2 2 2 2 2 2 2 2 2 2 2 2 86" xfId="10040" xr:uid="{CD7439CB-8C79-4B8C-BD67-89326B8F7DCD}"/>
    <cellStyle name="Normal 2 2 2 2 2 2 2 2 2 2 2 2 2 87" xfId="10041" xr:uid="{343A35CF-5459-4F9B-AB80-187BAFF58514}"/>
    <cellStyle name="Normal 2 2 2 2 2 2 2 2 2 2 2 2 2 88" xfId="10042" xr:uid="{4E96FEB8-1F82-47D7-9416-D0ACC9088726}"/>
    <cellStyle name="Normal 2 2 2 2 2 2 2 2 2 2 2 2 2 88 2" xfId="10043" xr:uid="{7532B270-2B53-4EB2-89C9-9F491E8F8634}"/>
    <cellStyle name="Normal 2 2 2 2 2 2 2 2 2 2 2 2 2 88 3" xfId="10044" xr:uid="{5984A25A-AE76-45C7-8675-E82FBD6B6A0A}"/>
    <cellStyle name="Normal 2 2 2 2 2 2 2 2 2 2 2 2 2 88 4" xfId="10045" xr:uid="{A118E063-DDC0-4223-AFBD-4D4ED5F804D7}"/>
    <cellStyle name="Normal 2 2 2 2 2 2 2 2 2 2 2 2 2 89" xfId="10046" xr:uid="{2A47B943-F2CD-4498-9230-75D96FF1B418}"/>
    <cellStyle name="Normal 2 2 2 2 2 2 2 2 2 2 2 2 2 9" xfId="10047" xr:uid="{92E256CF-513B-4126-876D-CD0C9B152C52}"/>
    <cellStyle name="Normal 2 2 2 2 2 2 2 2 2 2 2 2 2 90" xfId="10048" xr:uid="{04AA0B98-2A23-444F-ABC7-96E52C5C9258}"/>
    <cellStyle name="Normal 2 2 2 2 2 2 2 2 2 2 2 2 20" xfId="10049" xr:uid="{8E385974-9038-4951-B4B9-6BC636BA3C12}"/>
    <cellStyle name="Normal 2 2 2 2 2 2 2 2 2 2 2 2 21" xfId="10050" xr:uid="{EEDCCE23-FF47-42AA-A457-9B70C91F0C7E}"/>
    <cellStyle name="Normal 2 2 2 2 2 2 2 2 2 2 2 2 21 2" xfId="10051" xr:uid="{0A770521-C767-4174-ACC3-1A5C0AD041EC}"/>
    <cellStyle name="Normal 2 2 2 2 2 2 2 2 2 2 2 2 21 2 2" xfId="10052" xr:uid="{73F924A0-1B50-47D6-A562-6AAD3EEA9080}"/>
    <cellStyle name="Normal 2 2 2 2 2 2 2 2 2 2 2 2 21 2 3" xfId="10053" xr:uid="{D878172D-6F9D-443B-909B-8E0BC59DCD3A}"/>
    <cellStyle name="Normal 2 2 2 2 2 2 2 2 2 2 2 2 21 2 4" xfId="10054" xr:uid="{BF49A0D1-FD37-4DA4-9CC0-5D2CF174F6F5}"/>
    <cellStyle name="Normal 2 2 2 2 2 2 2 2 2 2 2 2 21 3" xfId="10055" xr:uid="{E505442D-B514-43C5-ADB9-44A9E6E41584}"/>
    <cellStyle name="Normal 2 2 2 2 2 2 2 2 2 2 2 2 21 4" xfId="10056" xr:uid="{97C67E30-B583-4CC6-A902-EDD66F76582E}"/>
    <cellStyle name="Normal 2 2 2 2 2 2 2 2 2 2 2 2 21 5" xfId="10057" xr:uid="{9061FFCD-564C-415A-A4F6-6B3206307698}"/>
    <cellStyle name="Normal 2 2 2 2 2 2 2 2 2 2 2 2 21 6" xfId="10058" xr:uid="{F13E915F-4CBF-4F45-A123-D15D04D6C024}"/>
    <cellStyle name="Normal 2 2 2 2 2 2 2 2 2 2 2 2 22" xfId="10059" xr:uid="{610D0D2F-6CFF-48FB-8E3D-246BA6471F16}"/>
    <cellStyle name="Normal 2 2 2 2 2 2 2 2 2 2 2 2 23" xfId="10060" xr:uid="{A5ACE27B-5DBB-4235-A3EB-981A1171B8E5}"/>
    <cellStyle name="Normal 2 2 2 2 2 2 2 2 2 2 2 2 24" xfId="10061" xr:uid="{73C09501-86FB-4CED-AC6D-04228CEDA5B6}"/>
    <cellStyle name="Normal 2 2 2 2 2 2 2 2 2 2 2 2 25" xfId="10062" xr:uid="{B7C1A009-DECD-4180-BC87-F5A44D41355C}"/>
    <cellStyle name="Normal 2 2 2 2 2 2 2 2 2 2 2 2 26" xfId="10063" xr:uid="{30F8D842-F6E1-4539-AB87-10191B7B0332}"/>
    <cellStyle name="Normal 2 2 2 2 2 2 2 2 2 2 2 2 27" xfId="10064" xr:uid="{6A92FA36-AC28-443F-B26C-44680C157952}"/>
    <cellStyle name="Normal 2 2 2 2 2 2 2 2 2 2 2 2 27 2" xfId="10065" xr:uid="{58B32543-60D2-4601-869A-789A1E4C332E}"/>
    <cellStyle name="Normal 2 2 2 2 2 2 2 2 2 2 2 2 27 3" xfId="10066" xr:uid="{A6513D28-8A0D-4249-BA9A-C5BDF1986A06}"/>
    <cellStyle name="Normal 2 2 2 2 2 2 2 2 2 2 2 2 27 4" xfId="10067" xr:uid="{722CE53D-38A1-4808-84FF-9D741A9A3A3D}"/>
    <cellStyle name="Normal 2 2 2 2 2 2 2 2 2 2 2 2 28" xfId="10068" xr:uid="{6B46FC66-8347-4B20-8587-E3782DFBAC9B}"/>
    <cellStyle name="Normal 2 2 2 2 2 2 2 2 2 2 2 2 29" xfId="10069" xr:uid="{25042E81-B61A-42E3-82D2-CFA774B939D1}"/>
    <cellStyle name="Normal 2 2 2 2 2 2 2 2 2 2 2 2 3" xfId="10070" xr:uid="{BFFC2647-B647-4EAA-B115-335826974BE7}"/>
    <cellStyle name="Normal 2 2 2 2 2 2 2 2 2 2 2 2 30" xfId="10071" xr:uid="{5BC5112D-58D8-49BB-B2D7-E4BE22016E19}"/>
    <cellStyle name="Normal 2 2 2 2 2 2 2 2 2 2 2 2 31" xfId="10072" xr:uid="{ECF736A6-7ECE-4CDB-A27E-9D3D61ADB47A}"/>
    <cellStyle name="Normal 2 2 2 2 2 2 2 2 2 2 2 2 32" xfId="10073" xr:uid="{196E7599-0EE6-403E-9CB4-F83D8130CA05}"/>
    <cellStyle name="Normal 2 2 2 2 2 2 2 2 2 2 2 2 33" xfId="10074" xr:uid="{F0C78C10-DE8F-426E-ABC0-A83FAB8F32DC}"/>
    <cellStyle name="Normal 2 2 2 2 2 2 2 2 2 2 2 2 34" xfId="10075" xr:uid="{599E95CB-31A1-40CC-9AD7-F48A56B6147C}"/>
    <cellStyle name="Normal 2 2 2 2 2 2 2 2 2 2 2 2 35" xfId="10076" xr:uid="{26C1A9D3-204C-4D29-B0E7-2A721C966F13}"/>
    <cellStyle name="Normal 2 2 2 2 2 2 2 2 2 2 2 2 36" xfId="10077" xr:uid="{5DA89AB4-C08D-49D4-BDAA-23EA13FA2852}"/>
    <cellStyle name="Normal 2 2 2 2 2 2 2 2 2 2 2 2 37" xfId="10078" xr:uid="{71CD1CE3-6F90-4046-BD64-B46FCB1F350F}"/>
    <cellStyle name="Normal 2 2 2 2 2 2 2 2 2 2 2 2 38" xfId="10079" xr:uid="{409618C6-1656-4015-8742-21F95381B14C}"/>
    <cellStyle name="Normal 2 2 2 2 2 2 2 2 2 2 2 2 39" xfId="10080" xr:uid="{515B6D1F-38EF-47AA-83DF-7B4388AC3D7B}"/>
    <cellStyle name="Normal 2 2 2 2 2 2 2 2 2 2 2 2 4" xfId="10081" xr:uid="{A1E26F43-A9A0-4F8A-8108-0E4025B76412}"/>
    <cellStyle name="Normal 2 2 2 2 2 2 2 2 2 2 2 2 40" xfId="10082" xr:uid="{09364400-09BB-4541-9D74-9836B536D7D6}"/>
    <cellStyle name="Normal 2 2 2 2 2 2 2 2 2 2 2 2 41" xfId="10083" xr:uid="{49EFB38B-CC75-4668-842E-702608A2C506}"/>
    <cellStyle name="Normal 2 2 2 2 2 2 2 2 2 2 2 2 42" xfId="10084" xr:uid="{C51B6216-08CA-4495-B6E0-7D9695CFE082}"/>
    <cellStyle name="Normal 2 2 2 2 2 2 2 2 2 2 2 2 42 2" xfId="10085" xr:uid="{BAEDA2A5-A276-475B-B5BD-58EE7EF6A3CF}"/>
    <cellStyle name="Normal 2 2 2 2 2 2 2 2 2 2 2 2 42 3" xfId="10086" xr:uid="{3772111F-E169-4FD6-B480-385CC15FD843}"/>
    <cellStyle name="Normal 2 2 2 2 2 2 2 2 2 2 2 2 42 4" xfId="10087" xr:uid="{03C07A90-9E82-4974-BF74-00103EF68566}"/>
    <cellStyle name="Normal 2 2 2 2 2 2 2 2 2 2 2 2 42 5" xfId="10088" xr:uid="{6B59D548-BA00-4A52-AE17-58C0E65493FC}"/>
    <cellStyle name="Normal 2 2 2 2 2 2 2 2 2 2 2 2 42 6" xfId="10089" xr:uid="{85AED9D3-4E06-461C-9102-7C35A6553FFB}"/>
    <cellStyle name="Normal 2 2 2 2 2 2 2 2 2 2 2 2 42 7" xfId="10090" xr:uid="{ECEAE15D-63E8-423A-8EC7-1D915EBAF828}"/>
    <cellStyle name="Normal 2 2 2 2 2 2 2 2 2 2 2 2 43" xfId="10091" xr:uid="{08E45D8D-24D4-4EBC-B7E3-EE152E9F0A27}"/>
    <cellStyle name="Normal 2 2 2 2 2 2 2 2 2 2 2 2 44" xfId="10092" xr:uid="{BFBAD51F-089D-4218-96B9-04C5D1AB7190}"/>
    <cellStyle name="Normal 2 2 2 2 2 2 2 2 2 2 2 2 45" xfId="10093" xr:uid="{DF72383B-2C3A-4F58-8B20-7ED3B4F7F6FC}"/>
    <cellStyle name="Normal 2 2 2 2 2 2 2 2 2 2 2 2 46" xfId="10094" xr:uid="{376F6475-BAED-47BD-A4D4-2623A7FFADC3}"/>
    <cellStyle name="Normal 2 2 2 2 2 2 2 2 2 2 2 2 47" xfId="10095" xr:uid="{8E8A827B-2145-4B9B-9002-50C26C03E5D8}"/>
    <cellStyle name="Normal 2 2 2 2 2 2 2 2 2 2 2 2 48" xfId="10096" xr:uid="{16005BED-3106-4C83-8144-5D565B433D04}"/>
    <cellStyle name="Normal 2 2 2 2 2 2 2 2 2 2 2 2 49" xfId="10097" xr:uid="{0B7865BE-509C-4D9F-A3E8-BA6A70109050}"/>
    <cellStyle name="Normal 2 2 2 2 2 2 2 2 2 2 2 2 5" xfId="10098" xr:uid="{C1341D13-7E4A-43DB-8FDD-3C695ED2611D}"/>
    <cellStyle name="Normal 2 2 2 2 2 2 2 2 2 2 2 2 50" xfId="10099" xr:uid="{EA8E36E8-0911-413B-BD66-25B0BE2050F5}"/>
    <cellStyle name="Normal 2 2 2 2 2 2 2 2 2 2 2 2 51" xfId="10100" xr:uid="{530339E7-184B-4193-A1E2-D35593D03DA9}"/>
    <cellStyle name="Normal 2 2 2 2 2 2 2 2 2 2 2 2 52" xfId="10101" xr:uid="{5343985E-5071-4DEF-AA0D-B5CCACC530BB}"/>
    <cellStyle name="Normal 2 2 2 2 2 2 2 2 2 2 2 2 53" xfId="10102" xr:uid="{255B88B6-0F1B-40FD-880B-A44086B4BEDD}"/>
    <cellStyle name="Normal 2 2 2 2 2 2 2 2 2 2 2 2 54" xfId="10103" xr:uid="{F2D7FCD3-CA5B-45C5-90DA-05C4282D2D81}"/>
    <cellStyle name="Normal 2 2 2 2 2 2 2 2 2 2 2 2 55" xfId="10104" xr:uid="{EEC67686-FAA4-486E-AEE4-ABB4290AE0B5}"/>
    <cellStyle name="Normal 2 2 2 2 2 2 2 2 2 2 2 2 56" xfId="10105" xr:uid="{EB274A24-08EF-4A6E-AE41-4DFD2464E6E3}"/>
    <cellStyle name="Normal 2 2 2 2 2 2 2 2 2 2 2 2 57" xfId="10106" xr:uid="{82373F5B-8C32-4563-80FB-14E5B50B1712}"/>
    <cellStyle name="Normal 2 2 2 2 2 2 2 2 2 2 2 2 58" xfId="10107" xr:uid="{70BB3C68-5827-4F8B-8C55-CA3F03977817}"/>
    <cellStyle name="Normal 2 2 2 2 2 2 2 2 2 2 2 2 59" xfId="10108" xr:uid="{49A6A64B-1557-4A70-A452-62FC26C1D890}"/>
    <cellStyle name="Normal 2 2 2 2 2 2 2 2 2 2 2 2 6" xfId="10109" xr:uid="{9363175E-EABE-4C55-A8FB-00A87D556C56}"/>
    <cellStyle name="Normal 2 2 2 2 2 2 2 2 2 2 2 2 60" xfId="10110" xr:uid="{364B9705-1259-4C19-9535-D4C3ED05A8C0}"/>
    <cellStyle name="Normal 2 2 2 2 2 2 2 2 2 2 2 2 61" xfId="10111" xr:uid="{FA52AA42-40AD-444C-B934-4C0827579E18}"/>
    <cellStyle name="Normal 2 2 2 2 2 2 2 2 2 2 2 2 62" xfId="10112" xr:uid="{DF7C416B-F962-4B6F-8990-4BFDA1815AC9}"/>
    <cellStyle name="Normal 2 2 2 2 2 2 2 2 2 2 2 2 63" xfId="10113" xr:uid="{75D4CC48-EF35-4434-9CC2-BDEC6625FDCD}"/>
    <cellStyle name="Normal 2 2 2 2 2 2 2 2 2 2 2 2 64" xfId="10114" xr:uid="{34C97796-BAC6-45CE-B75B-31AE3FBA5B04}"/>
    <cellStyle name="Normal 2 2 2 2 2 2 2 2 2 2 2 2 65" xfId="10115" xr:uid="{6E997F94-71B6-47DA-927C-EA253BFBAC86}"/>
    <cellStyle name="Normal 2 2 2 2 2 2 2 2 2 2 2 2 66" xfId="10116" xr:uid="{6EB1FC21-DDCD-4F43-94F7-3025E01EA1B1}"/>
    <cellStyle name="Normal 2 2 2 2 2 2 2 2 2 2 2 2 67" xfId="10117" xr:uid="{69D7E601-E493-4716-808D-1531F4C7CB11}"/>
    <cellStyle name="Normal 2 2 2 2 2 2 2 2 2 2 2 2 68" xfId="10118" xr:uid="{AA578035-D483-485A-B484-EF35FDD9DD4B}"/>
    <cellStyle name="Normal 2 2 2 2 2 2 2 2 2 2 2 2 69" xfId="10119" xr:uid="{19596DB5-1FFE-4B2A-818A-9D79FA5C1683}"/>
    <cellStyle name="Normal 2 2 2 2 2 2 2 2 2 2 2 2 7" xfId="10120" xr:uid="{8BD19A61-7886-4635-9F09-DED1ECBB19F3}"/>
    <cellStyle name="Normal 2 2 2 2 2 2 2 2 2 2 2 2 70" xfId="10121" xr:uid="{A7B59E9A-407F-4DA7-99B5-44220A512E91}"/>
    <cellStyle name="Normal 2 2 2 2 2 2 2 2 2 2 2 2 71" xfId="10122" xr:uid="{E5082705-2438-45A6-BD0B-36125594BCBA}"/>
    <cellStyle name="Normal 2 2 2 2 2 2 2 2 2 2 2 2 72" xfId="10123" xr:uid="{8634DC45-0CEA-49D1-9421-ED3DBE426F57}"/>
    <cellStyle name="Normal 2 2 2 2 2 2 2 2 2 2 2 2 73" xfId="10124" xr:uid="{056AD470-2AE0-4D36-B23E-8EBCEF44BF32}"/>
    <cellStyle name="Normal 2 2 2 2 2 2 2 2 2 2 2 2 74" xfId="10125" xr:uid="{295AE626-EEDE-4752-A53E-FC0908675F0F}"/>
    <cellStyle name="Normal 2 2 2 2 2 2 2 2 2 2 2 2 75" xfId="10126" xr:uid="{81A97C7C-2E0D-4529-80A5-50D12D798EB8}"/>
    <cellStyle name="Normal 2 2 2 2 2 2 2 2 2 2 2 2 76" xfId="10127" xr:uid="{DACB376D-8821-40EC-BF41-6B6DD4451E89}"/>
    <cellStyle name="Normal 2 2 2 2 2 2 2 2 2 2 2 2 77" xfId="10128" xr:uid="{BB8BB9DA-9E30-47E4-9B83-50CEA9A8A285}"/>
    <cellStyle name="Normal 2 2 2 2 2 2 2 2 2 2 2 2 78" xfId="10129" xr:uid="{9BC274C9-988C-4BEC-83F0-3516E2D93346}"/>
    <cellStyle name="Normal 2 2 2 2 2 2 2 2 2 2 2 2 79" xfId="10130" xr:uid="{381C0F87-2CEB-4CA0-A902-08502FCA5148}"/>
    <cellStyle name="Normal 2 2 2 2 2 2 2 2 2 2 2 2 8" xfId="10131" xr:uid="{BF629F49-CA8A-4373-B700-DF25CA27FAF5}"/>
    <cellStyle name="Normal 2 2 2 2 2 2 2 2 2 2 2 2 8 10" xfId="10132" xr:uid="{B1ADFA1F-30FF-48D4-BD77-38C815B86F36}"/>
    <cellStyle name="Normal 2 2 2 2 2 2 2 2 2 2 2 2 8 11" xfId="10133" xr:uid="{62D1EA03-0EA5-4C3A-8522-0F1505942690}"/>
    <cellStyle name="Normal 2 2 2 2 2 2 2 2 2 2 2 2 8 11 10" xfId="10134" xr:uid="{031BEEAD-A19D-49B4-9C50-8F3D2897006D}"/>
    <cellStyle name="Normal 2 2 2 2 2 2 2 2 2 2 2 2 8 11 11" xfId="10135" xr:uid="{24F80435-7CEF-4316-91D4-2B4BD28B6D42}"/>
    <cellStyle name="Normal 2 2 2 2 2 2 2 2 2 2 2 2 8 11 11 2" xfId="10136" xr:uid="{9A09753E-929D-4788-B37D-7FDD4E120D1D}"/>
    <cellStyle name="Normal 2 2 2 2 2 2 2 2 2 2 2 2 8 11 11 3" xfId="10137" xr:uid="{1E5A90E6-348F-4C4A-98F7-725835701B88}"/>
    <cellStyle name="Normal 2 2 2 2 2 2 2 2 2 2 2 2 8 11 11 4" xfId="10138" xr:uid="{50A5BA86-2603-4802-AD85-87CBE20DF213}"/>
    <cellStyle name="Normal 2 2 2 2 2 2 2 2 2 2 2 2 8 11 12" xfId="10139" xr:uid="{FBEEDCC1-20EF-4EA0-A1A1-4CCB24CEB66F}"/>
    <cellStyle name="Normal 2 2 2 2 2 2 2 2 2 2 2 2 8 11 13" xfId="10140" xr:uid="{5A51D0F5-C6D5-4C4A-8B00-8C758F66D418}"/>
    <cellStyle name="Normal 2 2 2 2 2 2 2 2 2 2 2 2 8 11 14" xfId="10141" xr:uid="{D9926DD2-A6AA-4C79-A187-B26D1CAE6DA3}"/>
    <cellStyle name="Normal 2 2 2 2 2 2 2 2 2 2 2 2 8 11 2" xfId="10142" xr:uid="{172AC2BC-A3E1-41FD-9E76-4493D151A303}"/>
    <cellStyle name="Normal 2 2 2 2 2 2 2 2 2 2 2 2 8 11 2 10" xfId="10143" xr:uid="{CADA856D-EBE1-43C5-A17A-0141982F9E21}"/>
    <cellStyle name="Normal 2 2 2 2 2 2 2 2 2 2 2 2 8 11 2 11" xfId="10144" xr:uid="{C489F2DE-4793-4B0D-9011-AB0707A7D5B0}"/>
    <cellStyle name="Normal 2 2 2 2 2 2 2 2 2 2 2 2 8 11 2 2" xfId="10145" xr:uid="{427FB8C4-95F9-4ADE-9579-126D9E74675B}"/>
    <cellStyle name="Normal 2 2 2 2 2 2 2 2 2 2 2 2 8 11 2 2 10" xfId="10146" xr:uid="{54C76FF2-1371-4076-8614-A35E67EBD77A}"/>
    <cellStyle name="Normal 2 2 2 2 2 2 2 2 2 2 2 2 8 11 2 2 11" xfId="10147" xr:uid="{BB5D5648-4A43-4B80-BE43-51595E5CA617}"/>
    <cellStyle name="Normal 2 2 2 2 2 2 2 2 2 2 2 2 8 11 2 2 2" xfId="10148" xr:uid="{6FCDE18A-9735-406B-B5EA-77EA55856227}"/>
    <cellStyle name="Normal 2 2 2 2 2 2 2 2 2 2 2 2 8 11 2 2 2 2" xfId="10149" xr:uid="{023621A8-0277-49DD-8754-4A11500B331C}"/>
    <cellStyle name="Normal 2 2 2 2 2 2 2 2 2 2 2 2 8 11 2 2 2 2 2" xfId="10150" xr:uid="{018496F7-C529-41DE-83D7-E9D73B7A3730}"/>
    <cellStyle name="Normal 2 2 2 2 2 2 2 2 2 2 2 2 8 11 2 2 2 2 3" xfId="10151" xr:uid="{D278A4CF-497E-4A9E-B191-F5F7E64E2793}"/>
    <cellStyle name="Normal 2 2 2 2 2 2 2 2 2 2 2 2 8 11 2 2 2 2 4" xfId="10152" xr:uid="{D19B4EC6-3F2A-4CAE-BF34-BF19E7506620}"/>
    <cellStyle name="Normal 2 2 2 2 2 2 2 2 2 2 2 2 8 11 2 2 2 3" xfId="10153" xr:uid="{B15097E6-221E-4ABC-A798-AD9D1E42C36C}"/>
    <cellStyle name="Normal 2 2 2 2 2 2 2 2 2 2 2 2 8 11 2 2 2 4" xfId="10154" xr:uid="{61EAD84B-284C-4576-9034-06319FC6BECB}"/>
    <cellStyle name="Normal 2 2 2 2 2 2 2 2 2 2 2 2 8 11 2 2 2 5" xfId="10155" xr:uid="{959F9456-11BC-45AF-AC80-4D60BD9CF522}"/>
    <cellStyle name="Normal 2 2 2 2 2 2 2 2 2 2 2 2 8 11 2 2 2 6" xfId="10156" xr:uid="{E82A85EC-9BD8-4E50-A5FA-064EF14C3297}"/>
    <cellStyle name="Normal 2 2 2 2 2 2 2 2 2 2 2 2 8 11 2 2 3" xfId="10157" xr:uid="{D1645DEC-E578-4165-9553-362870EF3D92}"/>
    <cellStyle name="Normal 2 2 2 2 2 2 2 2 2 2 2 2 8 11 2 2 4" xfId="10158" xr:uid="{502A4C1E-6643-4A4A-ADBE-7F3B9FD522A5}"/>
    <cellStyle name="Normal 2 2 2 2 2 2 2 2 2 2 2 2 8 11 2 2 5" xfId="10159" xr:uid="{ACDDE836-14C9-4555-BAB0-22124720DEC2}"/>
    <cellStyle name="Normal 2 2 2 2 2 2 2 2 2 2 2 2 8 11 2 2 6" xfId="10160" xr:uid="{17426605-1C0C-4F37-AA7C-41A46350C055}"/>
    <cellStyle name="Normal 2 2 2 2 2 2 2 2 2 2 2 2 8 11 2 2 7" xfId="10161" xr:uid="{8C1B3BF0-93D0-4ADE-8C83-C232C81E9A01}"/>
    <cellStyle name="Normal 2 2 2 2 2 2 2 2 2 2 2 2 8 11 2 2 8" xfId="10162" xr:uid="{7C581EE6-DAC9-4D40-BBB7-F2D67F6DCC76}"/>
    <cellStyle name="Normal 2 2 2 2 2 2 2 2 2 2 2 2 8 11 2 2 8 2" xfId="10163" xr:uid="{5CDA9122-1728-41FD-99E5-1995B066DABA}"/>
    <cellStyle name="Normal 2 2 2 2 2 2 2 2 2 2 2 2 8 11 2 2 8 3" xfId="10164" xr:uid="{AC0D570C-24B0-42CA-84C9-AC65D4C801D0}"/>
    <cellStyle name="Normal 2 2 2 2 2 2 2 2 2 2 2 2 8 11 2 2 8 4" xfId="10165" xr:uid="{D04D56FC-2E3F-4DCE-BF3F-B59596E17CC0}"/>
    <cellStyle name="Normal 2 2 2 2 2 2 2 2 2 2 2 2 8 11 2 2 9" xfId="10166" xr:uid="{1923C33D-143D-4F03-8A3E-D7EF881F5677}"/>
    <cellStyle name="Normal 2 2 2 2 2 2 2 2 2 2 2 2 8 11 2 3" xfId="10167" xr:uid="{A5A650CA-1A68-43D0-B59C-639384844EDB}"/>
    <cellStyle name="Normal 2 2 2 2 2 2 2 2 2 2 2 2 8 11 2 3 2" xfId="10168" xr:uid="{CAF8DF5B-F1E5-406B-881A-38F2E2A954D0}"/>
    <cellStyle name="Normal 2 2 2 2 2 2 2 2 2 2 2 2 8 11 2 3 2 2" xfId="10169" xr:uid="{FCDACC80-2553-45D8-8FFA-F7875553E1F1}"/>
    <cellStyle name="Normal 2 2 2 2 2 2 2 2 2 2 2 2 8 11 2 3 2 3" xfId="10170" xr:uid="{6FA3CC57-0789-41EC-8C32-EDE9C9F0CDA2}"/>
    <cellStyle name="Normal 2 2 2 2 2 2 2 2 2 2 2 2 8 11 2 3 2 4" xfId="10171" xr:uid="{0ED542FB-ADD4-4E9E-AF42-6BD8B33EF571}"/>
    <cellStyle name="Normal 2 2 2 2 2 2 2 2 2 2 2 2 8 11 2 3 3" xfId="10172" xr:uid="{71766A41-001C-4E82-B1C5-8DDD50264CCF}"/>
    <cellStyle name="Normal 2 2 2 2 2 2 2 2 2 2 2 2 8 11 2 3 4" xfId="10173" xr:uid="{EC9FE911-2ED5-4553-9D12-220917798F5F}"/>
    <cellStyle name="Normal 2 2 2 2 2 2 2 2 2 2 2 2 8 11 2 3 5" xfId="10174" xr:uid="{6C34E75A-8F79-40FC-8F94-926DB321CF70}"/>
    <cellStyle name="Normal 2 2 2 2 2 2 2 2 2 2 2 2 8 11 2 3 6" xfId="10175" xr:uid="{5A740CB1-7566-4F63-A476-D2223E872331}"/>
    <cellStyle name="Normal 2 2 2 2 2 2 2 2 2 2 2 2 8 11 2 4" xfId="10176" xr:uid="{F21140B5-AECF-4462-AFE2-A92F3F91AF51}"/>
    <cellStyle name="Normal 2 2 2 2 2 2 2 2 2 2 2 2 8 11 2 5" xfId="10177" xr:uid="{1B1A60A2-94BC-4F9B-9CFD-657B56F1F074}"/>
    <cellStyle name="Normal 2 2 2 2 2 2 2 2 2 2 2 2 8 11 2 6" xfId="10178" xr:uid="{5E66E417-90B2-4EF7-93B5-A38E3EB9C50C}"/>
    <cellStyle name="Normal 2 2 2 2 2 2 2 2 2 2 2 2 8 11 2 7" xfId="10179" xr:uid="{EBC95F01-7AAF-41A3-95F3-24CCC34D30BD}"/>
    <cellStyle name="Normal 2 2 2 2 2 2 2 2 2 2 2 2 8 11 2 8" xfId="10180" xr:uid="{95062738-3568-4F8F-B184-F00177137BCA}"/>
    <cellStyle name="Normal 2 2 2 2 2 2 2 2 2 2 2 2 8 11 2 8 2" xfId="10181" xr:uid="{953085F9-B448-4553-8D4D-4888D4B0EC27}"/>
    <cellStyle name="Normal 2 2 2 2 2 2 2 2 2 2 2 2 8 11 2 8 3" xfId="10182" xr:uid="{7F12C788-A72E-45D1-A790-B2878ABE3A59}"/>
    <cellStyle name="Normal 2 2 2 2 2 2 2 2 2 2 2 2 8 11 2 8 4" xfId="10183" xr:uid="{01E6F013-2594-4068-8EE4-1A4442050F47}"/>
    <cellStyle name="Normal 2 2 2 2 2 2 2 2 2 2 2 2 8 11 2 9" xfId="10184" xr:uid="{88CC6CC2-A52B-4C23-9435-8AF2918228B7}"/>
    <cellStyle name="Normal 2 2 2 2 2 2 2 2 2 2 2 2 8 11 3" xfId="10185" xr:uid="{74582C57-AD49-450A-8EE5-7F6779F61AF2}"/>
    <cellStyle name="Normal 2 2 2 2 2 2 2 2 2 2 2 2 8 11 4" xfId="10186" xr:uid="{0D80E2B3-A2F2-458B-BC5E-23A8E4F4CC31}"/>
    <cellStyle name="Normal 2 2 2 2 2 2 2 2 2 2 2 2 8 11 5" xfId="10187" xr:uid="{8FD3F4EC-A817-4962-92C9-A480BF93A377}"/>
    <cellStyle name="Normal 2 2 2 2 2 2 2 2 2 2 2 2 8 11 5 2" xfId="10188" xr:uid="{1F59D08C-62F8-4C0C-ABCA-8D11563B7913}"/>
    <cellStyle name="Normal 2 2 2 2 2 2 2 2 2 2 2 2 8 11 5 2 2" xfId="10189" xr:uid="{40CD6CB5-AF74-4380-820D-D6F2BB6F1A69}"/>
    <cellStyle name="Normal 2 2 2 2 2 2 2 2 2 2 2 2 8 11 5 2 3" xfId="10190" xr:uid="{8E717F08-58F3-4C27-8554-CC79E5217F09}"/>
    <cellStyle name="Normal 2 2 2 2 2 2 2 2 2 2 2 2 8 11 5 2 4" xfId="10191" xr:uid="{2EFA2E75-1D75-4726-B2B0-41348754D812}"/>
    <cellStyle name="Normal 2 2 2 2 2 2 2 2 2 2 2 2 8 11 5 3" xfId="10192" xr:uid="{2DE76F50-31BA-4DF5-8472-8D2A91915100}"/>
    <cellStyle name="Normal 2 2 2 2 2 2 2 2 2 2 2 2 8 11 5 4" xfId="10193" xr:uid="{4287AB73-BAC9-42B9-88ED-F0B6FAE7A419}"/>
    <cellStyle name="Normal 2 2 2 2 2 2 2 2 2 2 2 2 8 11 5 5" xfId="10194" xr:uid="{93707792-F89B-48E8-B2FA-8387F3C47401}"/>
    <cellStyle name="Normal 2 2 2 2 2 2 2 2 2 2 2 2 8 11 5 6" xfId="10195" xr:uid="{B5202F83-6DDD-4495-8791-0B85D623DAD3}"/>
    <cellStyle name="Normal 2 2 2 2 2 2 2 2 2 2 2 2 8 11 6" xfId="10196" xr:uid="{AD7C7C34-BD79-46BD-8518-BABD2147CE9B}"/>
    <cellStyle name="Normal 2 2 2 2 2 2 2 2 2 2 2 2 8 11 7" xfId="10197" xr:uid="{7D615EF3-B448-4668-A35C-BD19841B9086}"/>
    <cellStyle name="Normal 2 2 2 2 2 2 2 2 2 2 2 2 8 11 8" xfId="10198" xr:uid="{9F4B246B-577E-4D6B-BDAC-FA1F584122D9}"/>
    <cellStyle name="Normal 2 2 2 2 2 2 2 2 2 2 2 2 8 11 9" xfId="10199" xr:uid="{0DF2DB64-21CB-4F02-93D7-73CAABC6E731}"/>
    <cellStyle name="Normal 2 2 2 2 2 2 2 2 2 2 2 2 8 12" xfId="10200" xr:uid="{CF8C77DA-B29B-4F95-98D4-03E2C68252D6}"/>
    <cellStyle name="Normal 2 2 2 2 2 2 2 2 2 2 2 2 8 13" xfId="10201" xr:uid="{AA610214-3A48-46F7-B0BC-65417017AF8D}"/>
    <cellStyle name="Normal 2 2 2 2 2 2 2 2 2 2 2 2 8 13 10" xfId="10202" xr:uid="{C4D6E5CE-961E-48DB-9123-8F762CAA71DD}"/>
    <cellStyle name="Normal 2 2 2 2 2 2 2 2 2 2 2 2 8 13 11" xfId="10203" xr:uid="{9F2DC272-7F18-44DB-9050-997DD299B9AB}"/>
    <cellStyle name="Normal 2 2 2 2 2 2 2 2 2 2 2 2 8 13 2" xfId="10204" xr:uid="{EF5550C6-B57C-4518-98C8-FA149348CDAB}"/>
    <cellStyle name="Normal 2 2 2 2 2 2 2 2 2 2 2 2 8 13 2 10" xfId="10205" xr:uid="{1F504A36-50C2-445E-996D-C1AA5048C83F}"/>
    <cellStyle name="Normal 2 2 2 2 2 2 2 2 2 2 2 2 8 13 2 11" xfId="10206" xr:uid="{5EDAB1F4-70E2-4D6E-AE8B-D45D53B7EE8E}"/>
    <cellStyle name="Normal 2 2 2 2 2 2 2 2 2 2 2 2 8 13 2 2" xfId="10207" xr:uid="{0EBE64AB-B95A-439F-BBBD-934D91826496}"/>
    <cellStyle name="Normal 2 2 2 2 2 2 2 2 2 2 2 2 8 13 2 2 2" xfId="10208" xr:uid="{424DFF50-E321-4161-BAC0-3F252DE40BA5}"/>
    <cellStyle name="Normal 2 2 2 2 2 2 2 2 2 2 2 2 8 13 2 2 2 2" xfId="10209" xr:uid="{C1CC1649-AAC7-4D4A-BE83-FD2C57BC5142}"/>
    <cellStyle name="Normal 2 2 2 2 2 2 2 2 2 2 2 2 8 13 2 2 2 3" xfId="10210" xr:uid="{EFE4AE05-F8BF-4722-992E-85BE687CEF62}"/>
    <cellStyle name="Normal 2 2 2 2 2 2 2 2 2 2 2 2 8 13 2 2 2 4" xfId="10211" xr:uid="{7856FEC3-E629-4DAA-9695-234544731BED}"/>
    <cellStyle name="Normal 2 2 2 2 2 2 2 2 2 2 2 2 8 13 2 2 3" xfId="10212" xr:uid="{C3E11EFF-D92C-455F-911E-B9EACCB8C325}"/>
    <cellStyle name="Normal 2 2 2 2 2 2 2 2 2 2 2 2 8 13 2 2 4" xfId="10213" xr:uid="{58D11570-9468-4356-A167-224ED369F161}"/>
    <cellStyle name="Normal 2 2 2 2 2 2 2 2 2 2 2 2 8 13 2 2 5" xfId="10214" xr:uid="{5272E6F0-9215-4CC6-B688-0327269486E9}"/>
    <cellStyle name="Normal 2 2 2 2 2 2 2 2 2 2 2 2 8 13 2 2 6" xfId="10215" xr:uid="{7C099E8A-7D45-4D50-9A08-2617DCDDC2B5}"/>
    <cellStyle name="Normal 2 2 2 2 2 2 2 2 2 2 2 2 8 13 2 3" xfId="10216" xr:uid="{C41A8E19-BC31-4679-8BEA-C4D4C0CE5DFF}"/>
    <cellStyle name="Normal 2 2 2 2 2 2 2 2 2 2 2 2 8 13 2 4" xfId="10217" xr:uid="{02D1EE77-00AE-48C7-85A1-62157EB825B7}"/>
    <cellStyle name="Normal 2 2 2 2 2 2 2 2 2 2 2 2 8 13 2 5" xfId="10218" xr:uid="{CC728FDB-6052-40B3-A224-B33EFC35EF18}"/>
    <cellStyle name="Normal 2 2 2 2 2 2 2 2 2 2 2 2 8 13 2 6" xfId="10219" xr:uid="{D4CAD418-F98F-4176-951A-B1AF22830563}"/>
    <cellStyle name="Normal 2 2 2 2 2 2 2 2 2 2 2 2 8 13 2 7" xfId="10220" xr:uid="{A8818104-B0C9-4AF3-A2AB-7A018807A14D}"/>
    <cellStyle name="Normal 2 2 2 2 2 2 2 2 2 2 2 2 8 13 2 8" xfId="10221" xr:uid="{CEEED414-E75A-4FE2-B9BD-21A20F2B995C}"/>
    <cellStyle name="Normal 2 2 2 2 2 2 2 2 2 2 2 2 8 13 2 8 2" xfId="10222" xr:uid="{6AD497B3-498A-441E-A532-A71183778344}"/>
    <cellStyle name="Normal 2 2 2 2 2 2 2 2 2 2 2 2 8 13 2 8 3" xfId="10223" xr:uid="{580EF4B7-797E-44E8-A131-47460C1E1B87}"/>
    <cellStyle name="Normal 2 2 2 2 2 2 2 2 2 2 2 2 8 13 2 8 4" xfId="10224" xr:uid="{70873C04-4BA5-4E54-BC1B-ACB8D872AEC8}"/>
    <cellStyle name="Normal 2 2 2 2 2 2 2 2 2 2 2 2 8 13 2 9" xfId="10225" xr:uid="{E01CD26F-B299-42CE-8C76-150B310EE04B}"/>
    <cellStyle name="Normal 2 2 2 2 2 2 2 2 2 2 2 2 8 13 3" xfId="10226" xr:uid="{F1263AEA-7D84-4E89-BE67-5A458B858149}"/>
    <cellStyle name="Normal 2 2 2 2 2 2 2 2 2 2 2 2 8 13 3 2" xfId="10227" xr:uid="{9A799BB7-A99E-430F-839A-A11D5E4F77A9}"/>
    <cellStyle name="Normal 2 2 2 2 2 2 2 2 2 2 2 2 8 13 3 2 2" xfId="10228" xr:uid="{6C85A629-D8F9-42A4-8705-315F08F64B1E}"/>
    <cellStyle name="Normal 2 2 2 2 2 2 2 2 2 2 2 2 8 13 3 2 3" xfId="10229" xr:uid="{7C0B9060-C933-46D3-BFAE-3A35EA93AB87}"/>
    <cellStyle name="Normal 2 2 2 2 2 2 2 2 2 2 2 2 8 13 3 2 4" xfId="10230" xr:uid="{87232108-96CB-4A9D-A13E-CC7A48A39A62}"/>
    <cellStyle name="Normal 2 2 2 2 2 2 2 2 2 2 2 2 8 13 3 3" xfId="10231" xr:uid="{95964860-7C6F-4BD3-800A-FE42F543C47B}"/>
    <cellStyle name="Normal 2 2 2 2 2 2 2 2 2 2 2 2 8 13 3 4" xfId="10232" xr:uid="{9DBEAAA4-09D0-40B6-AD57-A68251DA9822}"/>
    <cellStyle name="Normal 2 2 2 2 2 2 2 2 2 2 2 2 8 13 3 5" xfId="10233" xr:uid="{5C8D33D4-6F2A-416B-840F-A1284BEEFBBF}"/>
    <cellStyle name="Normal 2 2 2 2 2 2 2 2 2 2 2 2 8 13 3 6" xfId="10234" xr:uid="{B787E5A1-4167-4DD3-831A-4A01158AD119}"/>
    <cellStyle name="Normal 2 2 2 2 2 2 2 2 2 2 2 2 8 13 4" xfId="10235" xr:uid="{9FD75628-5133-4D4A-BFDF-C9C344E8CE05}"/>
    <cellStyle name="Normal 2 2 2 2 2 2 2 2 2 2 2 2 8 13 5" xfId="10236" xr:uid="{F164D6A9-9CB6-4D28-A872-8C9130D945EF}"/>
    <cellStyle name="Normal 2 2 2 2 2 2 2 2 2 2 2 2 8 13 6" xfId="10237" xr:uid="{C304B797-574D-4084-A2DA-48D7384C6190}"/>
    <cellStyle name="Normal 2 2 2 2 2 2 2 2 2 2 2 2 8 13 7" xfId="10238" xr:uid="{A22444BF-3A89-4646-B422-FA73D966E853}"/>
    <cellStyle name="Normal 2 2 2 2 2 2 2 2 2 2 2 2 8 13 8" xfId="10239" xr:uid="{34EC6D0B-E4AF-4A74-9DE5-26C2BE4C1800}"/>
    <cellStyle name="Normal 2 2 2 2 2 2 2 2 2 2 2 2 8 13 8 2" xfId="10240" xr:uid="{39B7402D-3D0B-43D1-AAA5-CD4C78DCBCB4}"/>
    <cellStyle name="Normal 2 2 2 2 2 2 2 2 2 2 2 2 8 13 8 3" xfId="10241" xr:uid="{B0361BCD-3ED3-4912-A2D3-3E481ABDC4C4}"/>
    <cellStyle name="Normal 2 2 2 2 2 2 2 2 2 2 2 2 8 13 8 4" xfId="10242" xr:uid="{15E22401-9FDB-48DD-967A-5EB2E26086D0}"/>
    <cellStyle name="Normal 2 2 2 2 2 2 2 2 2 2 2 2 8 13 9" xfId="10243" xr:uid="{39529934-8FAB-45CC-85BB-F863F34E435D}"/>
    <cellStyle name="Normal 2 2 2 2 2 2 2 2 2 2 2 2 8 14" xfId="10244" xr:uid="{A6FB36D3-4406-40D7-8CB4-75B404C90FEE}"/>
    <cellStyle name="Normal 2 2 2 2 2 2 2 2 2 2 2 2 8 15" xfId="10245" xr:uid="{0133EEB7-79AD-415B-B545-8267ADB0C543}"/>
    <cellStyle name="Normal 2 2 2 2 2 2 2 2 2 2 2 2 8 15 2" xfId="10246" xr:uid="{0F4616CA-8061-4830-86B3-AB0DD2052BCC}"/>
    <cellStyle name="Normal 2 2 2 2 2 2 2 2 2 2 2 2 8 15 2 2" xfId="10247" xr:uid="{85E337A3-A1B6-49DF-A61C-007A0C0FDFF2}"/>
    <cellStyle name="Normal 2 2 2 2 2 2 2 2 2 2 2 2 8 15 2 3" xfId="10248" xr:uid="{7A582D81-A55B-4A35-97B1-9512D3012717}"/>
    <cellStyle name="Normal 2 2 2 2 2 2 2 2 2 2 2 2 8 15 2 4" xfId="10249" xr:uid="{3752F678-A4A0-4BEB-9195-EC541939C973}"/>
    <cellStyle name="Normal 2 2 2 2 2 2 2 2 2 2 2 2 8 15 3" xfId="10250" xr:uid="{B083CB1F-679C-4E31-884D-B0F11D216481}"/>
    <cellStyle name="Normal 2 2 2 2 2 2 2 2 2 2 2 2 8 15 4" xfId="10251" xr:uid="{60F8F7E6-86AA-43DF-BCB5-D4314EA57462}"/>
    <cellStyle name="Normal 2 2 2 2 2 2 2 2 2 2 2 2 8 15 5" xfId="10252" xr:uid="{ABE3E0B6-C4FE-4CD4-AF7B-11C6365E37E7}"/>
    <cellStyle name="Normal 2 2 2 2 2 2 2 2 2 2 2 2 8 15 6" xfId="10253" xr:uid="{C1884EC2-A4AB-4E6B-90AE-28C714F9AB57}"/>
    <cellStyle name="Normal 2 2 2 2 2 2 2 2 2 2 2 2 8 16" xfId="10254" xr:uid="{53B9C6BA-C84A-4CE5-B4C3-62181F0C5D1A}"/>
    <cellStyle name="Normal 2 2 2 2 2 2 2 2 2 2 2 2 8 17" xfId="10255" xr:uid="{A28E0F65-6FB7-4D0D-8F65-DA8EE714F862}"/>
    <cellStyle name="Normal 2 2 2 2 2 2 2 2 2 2 2 2 8 18" xfId="10256" xr:uid="{413105CC-5DEC-4E73-BEBC-C7CDAB7631AB}"/>
    <cellStyle name="Normal 2 2 2 2 2 2 2 2 2 2 2 2 8 19" xfId="10257" xr:uid="{A6E1817C-2B6C-40F9-955A-483D8CBE9349}"/>
    <cellStyle name="Normal 2 2 2 2 2 2 2 2 2 2 2 2 8 2" xfId="10258" xr:uid="{C6538935-7FA1-4986-B469-8315049705CD}"/>
    <cellStyle name="Normal 2 2 2 2 2 2 2 2 2 2 2 2 8 2 10" xfId="10259" xr:uid="{43254AB8-F7F9-457A-BDFF-7F61A8E84034}"/>
    <cellStyle name="Normal 2 2 2 2 2 2 2 2 2 2 2 2 8 2 11" xfId="10260" xr:uid="{7529C271-F615-4D4B-8183-A507EAAE580D}"/>
    <cellStyle name="Normal 2 2 2 2 2 2 2 2 2 2 2 2 8 2 12" xfId="10261" xr:uid="{33BB4E2E-731B-4CC4-BED4-05921A64FB00}"/>
    <cellStyle name="Normal 2 2 2 2 2 2 2 2 2 2 2 2 8 2 13" xfId="10262" xr:uid="{54D13206-D749-4189-A538-14651C5D1E98}"/>
    <cellStyle name="Normal 2 2 2 2 2 2 2 2 2 2 2 2 8 2 13 2" xfId="10263" xr:uid="{52AF6982-8F72-4079-AC3A-B4C95E5D0E0A}"/>
    <cellStyle name="Normal 2 2 2 2 2 2 2 2 2 2 2 2 8 2 13 3" xfId="10264" xr:uid="{8AA697E1-5EDC-4422-9CFB-6EBE3280BAE4}"/>
    <cellStyle name="Normal 2 2 2 2 2 2 2 2 2 2 2 2 8 2 13 4" xfId="10265" xr:uid="{D06E99AF-8862-4CCE-9900-11F95BE35C87}"/>
    <cellStyle name="Normal 2 2 2 2 2 2 2 2 2 2 2 2 8 2 14" xfId="10266" xr:uid="{08D2011E-C4D3-4380-839B-58F4A41E555D}"/>
    <cellStyle name="Normal 2 2 2 2 2 2 2 2 2 2 2 2 8 2 15" xfId="10267" xr:uid="{2C154C44-6E06-42C8-9E45-0B5467EDF25F}"/>
    <cellStyle name="Normal 2 2 2 2 2 2 2 2 2 2 2 2 8 2 16" xfId="10268" xr:uid="{6AF2127B-6A29-4575-A319-CFFF5B94E1C1}"/>
    <cellStyle name="Normal 2 2 2 2 2 2 2 2 2 2 2 2 8 2 2" xfId="10269" xr:uid="{C57D4BB0-8B4B-4C6C-928A-9DD7345FF802}"/>
    <cellStyle name="Normal 2 2 2 2 2 2 2 2 2 2 2 2 8 2 2 10" xfId="10270" xr:uid="{E49FC32C-B3AB-4E6F-896E-A1C51F592363}"/>
    <cellStyle name="Normal 2 2 2 2 2 2 2 2 2 2 2 2 8 2 2 11" xfId="10271" xr:uid="{DC1EBA05-EE7D-4959-AA58-D4FEF2D0252B}"/>
    <cellStyle name="Normal 2 2 2 2 2 2 2 2 2 2 2 2 8 2 2 11 2" xfId="10272" xr:uid="{32DA6ACF-D4A3-4C09-A9B0-CA9B436E151B}"/>
    <cellStyle name="Normal 2 2 2 2 2 2 2 2 2 2 2 2 8 2 2 11 3" xfId="10273" xr:uid="{82865D5A-41D3-46A7-A346-AA998B1FBBF9}"/>
    <cellStyle name="Normal 2 2 2 2 2 2 2 2 2 2 2 2 8 2 2 11 4" xfId="10274" xr:uid="{D0F96A96-8D13-4FD9-A59F-2327FEFBAED9}"/>
    <cellStyle name="Normal 2 2 2 2 2 2 2 2 2 2 2 2 8 2 2 12" xfId="10275" xr:uid="{2E11A289-2FA5-40BB-AC5D-2349CBB840A5}"/>
    <cellStyle name="Normal 2 2 2 2 2 2 2 2 2 2 2 2 8 2 2 13" xfId="10276" xr:uid="{59F10FFC-529C-4DCD-926F-4167ECB3F0BE}"/>
    <cellStyle name="Normal 2 2 2 2 2 2 2 2 2 2 2 2 8 2 2 14" xfId="10277" xr:uid="{34DFBF81-EB94-4D18-9072-98C125EAC8CF}"/>
    <cellStyle name="Normal 2 2 2 2 2 2 2 2 2 2 2 2 8 2 2 2" xfId="10278" xr:uid="{84D6B6FA-A778-423F-B755-73A72C2C7F31}"/>
    <cellStyle name="Normal 2 2 2 2 2 2 2 2 2 2 2 2 8 2 2 2 10" xfId="10279" xr:uid="{DDCF9FB3-6715-4A6B-8C4B-631AAAF4F77F}"/>
    <cellStyle name="Normal 2 2 2 2 2 2 2 2 2 2 2 2 8 2 2 2 11" xfId="10280" xr:uid="{7DC43878-A227-4CF4-8BE1-441C42AB9460}"/>
    <cellStyle name="Normal 2 2 2 2 2 2 2 2 2 2 2 2 8 2 2 2 2" xfId="10281" xr:uid="{A68376E5-A316-44BA-B2CB-17E839613643}"/>
    <cellStyle name="Normal 2 2 2 2 2 2 2 2 2 2 2 2 8 2 2 2 2 10" xfId="10282" xr:uid="{36E94832-B0E3-4B0D-BDB2-E52A3BDAA80C}"/>
    <cellStyle name="Normal 2 2 2 2 2 2 2 2 2 2 2 2 8 2 2 2 2 11" xfId="10283" xr:uid="{E8F396EB-C3AF-4819-A4C5-FD16331A4B7A}"/>
    <cellStyle name="Normal 2 2 2 2 2 2 2 2 2 2 2 2 8 2 2 2 2 2" xfId="10284" xr:uid="{EF45479E-3274-42ED-8F82-D3C96E2BA35E}"/>
    <cellStyle name="Normal 2 2 2 2 2 2 2 2 2 2 2 2 8 2 2 2 2 2 2" xfId="10285" xr:uid="{0163EDD4-9E55-4ABE-B614-F57E9001B363}"/>
    <cellStyle name="Normal 2 2 2 2 2 2 2 2 2 2 2 2 8 2 2 2 2 2 2 2" xfId="10286" xr:uid="{1F30B2D6-6458-411D-8142-E274ECA9F50A}"/>
    <cellStyle name="Normal 2 2 2 2 2 2 2 2 2 2 2 2 8 2 2 2 2 2 2 3" xfId="10287" xr:uid="{B65946EE-813A-45BF-A8E4-5A0F31E8F791}"/>
    <cellStyle name="Normal 2 2 2 2 2 2 2 2 2 2 2 2 8 2 2 2 2 2 2 4" xfId="10288" xr:uid="{66A3C035-182E-4C81-BADE-932CDAFB2CB6}"/>
    <cellStyle name="Normal 2 2 2 2 2 2 2 2 2 2 2 2 8 2 2 2 2 2 3" xfId="10289" xr:uid="{60D71A38-4226-456E-85D3-F44C1B839620}"/>
    <cellStyle name="Normal 2 2 2 2 2 2 2 2 2 2 2 2 8 2 2 2 2 2 4" xfId="10290" xr:uid="{EA6C96A7-3002-466A-9843-D410DCF4D054}"/>
    <cellStyle name="Normal 2 2 2 2 2 2 2 2 2 2 2 2 8 2 2 2 2 2 5" xfId="10291" xr:uid="{2B37239F-3C8C-4335-BDF4-2AA1C2054224}"/>
    <cellStyle name="Normal 2 2 2 2 2 2 2 2 2 2 2 2 8 2 2 2 2 2 6" xfId="10292" xr:uid="{520C9E15-A799-4895-96CA-539EC0B80686}"/>
    <cellStyle name="Normal 2 2 2 2 2 2 2 2 2 2 2 2 8 2 2 2 2 3" xfId="10293" xr:uid="{19F37111-5352-4068-955D-89696B49B708}"/>
    <cellStyle name="Normal 2 2 2 2 2 2 2 2 2 2 2 2 8 2 2 2 2 4" xfId="10294" xr:uid="{08668C4E-3BAE-4723-8838-87DA350D7733}"/>
    <cellStyle name="Normal 2 2 2 2 2 2 2 2 2 2 2 2 8 2 2 2 2 5" xfId="10295" xr:uid="{3E0A00D6-6B12-45AA-95D9-33AF61E4CE17}"/>
    <cellStyle name="Normal 2 2 2 2 2 2 2 2 2 2 2 2 8 2 2 2 2 6" xfId="10296" xr:uid="{5B798A99-8D00-47A0-B9AF-AC4ED6535183}"/>
    <cellStyle name="Normal 2 2 2 2 2 2 2 2 2 2 2 2 8 2 2 2 2 7" xfId="10297" xr:uid="{3A7E575F-62B6-46E2-ADD4-F5D1B66ED712}"/>
    <cellStyle name="Normal 2 2 2 2 2 2 2 2 2 2 2 2 8 2 2 2 2 8" xfId="10298" xr:uid="{DCF46A14-18C4-4A60-8B71-7CF9F806A3A5}"/>
    <cellStyle name="Normal 2 2 2 2 2 2 2 2 2 2 2 2 8 2 2 2 2 8 2" xfId="10299" xr:uid="{8168F9F5-48AA-4BE1-A68B-ABEB768115F0}"/>
    <cellStyle name="Normal 2 2 2 2 2 2 2 2 2 2 2 2 8 2 2 2 2 8 3" xfId="10300" xr:uid="{B89C397B-006A-418E-A1AA-83451A69D65F}"/>
    <cellStyle name="Normal 2 2 2 2 2 2 2 2 2 2 2 2 8 2 2 2 2 8 4" xfId="10301" xr:uid="{021D1B3B-8A28-49E7-A08B-1F1271619373}"/>
    <cellStyle name="Normal 2 2 2 2 2 2 2 2 2 2 2 2 8 2 2 2 2 9" xfId="10302" xr:uid="{C01251F4-E7C5-4E12-B944-4A204A80B88E}"/>
    <cellStyle name="Normal 2 2 2 2 2 2 2 2 2 2 2 2 8 2 2 2 3" xfId="10303" xr:uid="{4795C01E-E9D5-4F75-A3D0-24F215FAFA41}"/>
    <cellStyle name="Normal 2 2 2 2 2 2 2 2 2 2 2 2 8 2 2 2 3 2" xfId="10304" xr:uid="{5C29FDFC-52EF-47A3-B5F0-8B11BA87FE6A}"/>
    <cellStyle name="Normal 2 2 2 2 2 2 2 2 2 2 2 2 8 2 2 2 3 2 2" xfId="10305" xr:uid="{E8FA80F9-8D18-494F-80FC-3B907F227670}"/>
    <cellStyle name="Normal 2 2 2 2 2 2 2 2 2 2 2 2 8 2 2 2 3 2 3" xfId="10306" xr:uid="{461D82F2-453C-40EB-9C2B-206D23A26521}"/>
    <cellStyle name="Normal 2 2 2 2 2 2 2 2 2 2 2 2 8 2 2 2 3 2 4" xfId="10307" xr:uid="{BE322653-9190-46D0-859B-F4468CE47FAD}"/>
    <cellStyle name="Normal 2 2 2 2 2 2 2 2 2 2 2 2 8 2 2 2 3 3" xfId="10308" xr:uid="{3DCE59D3-2E38-437B-B1F4-876F9DF6D348}"/>
    <cellStyle name="Normal 2 2 2 2 2 2 2 2 2 2 2 2 8 2 2 2 3 4" xfId="10309" xr:uid="{0D8714BF-CBDC-4C60-AFEB-DDF304E5D4CD}"/>
    <cellStyle name="Normal 2 2 2 2 2 2 2 2 2 2 2 2 8 2 2 2 3 5" xfId="10310" xr:uid="{55147A07-1202-4C1E-8E6E-4895D533F5BB}"/>
    <cellStyle name="Normal 2 2 2 2 2 2 2 2 2 2 2 2 8 2 2 2 3 6" xfId="10311" xr:uid="{502A390F-3749-4B4C-82D8-B44F8954D772}"/>
    <cellStyle name="Normal 2 2 2 2 2 2 2 2 2 2 2 2 8 2 2 2 4" xfId="10312" xr:uid="{905C2438-3668-4148-927C-E07AA70558C7}"/>
    <cellStyle name="Normal 2 2 2 2 2 2 2 2 2 2 2 2 8 2 2 2 5" xfId="10313" xr:uid="{9627FD99-0673-4F36-A071-4DF4AA8D3C6E}"/>
    <cellStyle name="Normal 2 2 2 2 2 2 2 2 2 2 2 2 8 2 2 2 6" xfId="10314" xr:uid="{8A8DD02E-3D1D-40DD-908E-CBCB4B516DA8}"/>
    <cellStyle name="Normal 2 2 2 2 2 2 2 2 2 2 2 2 8 2 2 2 7" xfId="10315" xr:uid="{216A2594-F64A-4908-8B7D-5806DFFF9164}"/>
    <cellStyle name="Normal 2 2 2 2 2 2 2 2 2 2 2 2 8 2 2 2 8" xfId="10316" xr:uid="{A4161350-A50D-4264-9DDA-5B76B68D508E}"/>
    <cellStyle name="Normal 2 2 2 2 2 2 2 2 2 2 2 2 8 2 2 2 8 2" xfId="10317" xr:uid="{1BB0DE1D-BB08-46E9-8232-90AE1D2C503C}"/>
    <cellStyle name="Normal 2 2 2 2 2 2 2 2 2 2 2 2 8 2 2 2 8 3" xfId="10318" xr:uid="{DC47EEB8-5234-4AF6-A522-54235DE469F0}"/>
    <cellStyle name="Normal 2 2 2 2 2 2 2 2 2 2 2 2 8 2 2 2 8 4" xfId="10319" xr:uid="{07CA0243-A28E-46B7-B4B8-8C063F5F30B2}"/>
    <cellStyle name="Normal 2 2 2 2 2 2 2 2 2 2 2 2 8 2 2 2 9" xfId="10320" xr:uid="{B516D775-6A7D-451A-8119-8FBD92D08056}"/>
    <cellStyle name="Normal 2 2 2 2 2 2 2 2 2 2 2 2 8 2 2 3" xfId="10321" xr:uid="{F097A5B4-7D66-4EB0-BA8B-F4479A4DA181}"/>
    <cellStyle name="Normal 2 2 2 2 2 2 2 2 2 2 2 2 8 2 2 4" xfId="10322" xr:uid="{8B77B7B8-C4A5-40AC-9582-494DF72D0619}"/>
    <cellStyle name="Normal 2 2 2 2 2 2 2 2 2 2 2 2 8 2 2 5" xfId="10323" xr:uid="{9A8A422B-6F9A-49F8-8481-F5B35FF1040D}"/>
    <cellStyle name="Normal 2 2 2 2 2 2 2 2 2 2 2 2 8 2 2 5 2" xfId="10324" xr:uid="{C65E0D23-CA0D-486F-9C59-111A8D3A30C8}"/>
    <cellStyle name="Normal 2 2 2 2 2 2 2 2 2 2 2 2 8 2 2 5 2 2" xfId="10325" xr:uid="{09F2CFE4-C4C4-4B51-8F09-A388867DAF7D}"/>
    <cellStyle name="Normal 2 2 2 2 2 2 2 2 2 2 2 2 8 2 2 5 2 3" xfId="10326" xr:uid="{EA5D4D94-34BE-4E3E-8E61-71AADFA3C183}"/>
    <cellStyle name="Normal 2 2 2 2 2 2 2 2 2 2 2 2 8 2 2 5 2 4" xfId="10327" xr:uid="{AC32310E-DD01-4197-9AE0-5CC88015C5D0}"/>
    <cellStyle name="Normal 2 2 2 2 2 2 2 2 2 2 2 2 8 2 2 5 3" xfId="10328" xr:uid="{BCBEF635-F738-4FE4-8EA2-24F9A1EF86FC}"/>
    <cellStyle name="Normal 2 2 2 2 2 2 2 2 2 2 2 2 8 2 2 5 4" xfId="10329" xr:uid="{9996AD49-65C1-4A98-B9B5-BFC5B5035754}"/>
    <cellStyle name="Normal 2 2 2 2 2 2 2 2 2 2 2 2 8 2 2 5 5" xfId="10330" xr:uid="{664AEBA5-D23D-4DC1-9304-245A653E63D7}"/>
    <cellStyle name="Normal 2 2 2 2 2 2 2 2 2 2 2 2 8 2 2 5 6" xfId="10331" xr:uid="{2CB31204-5FA7-457C-8A19-D68C2A7DFBDC}"/>
    <cellStyle name="Normal 2 2 2 2 2 2 2 2 2 2 2 2 8 2 2 6" xfId="10332" xr:uid="{C17188A7-F5D8-4E16-9200-4F5D1EA052BD}"/>
    <cellStyle name="Normal 2 2 2 2 2 2 2 2 2 2 2 2 8 2 2 7" xfId="10333" xr:uid="{E50F0E3E-3341-4F56-8DF7-12750E56D337}"/>
    <cellStyle name="Normal 2 2 2 2 2 2 2 2 2 2 2 2 8 2 2 8" xfId="10334" xr:uid="{2642BD3A-8983-485E-BC47-1D4E806ABC2F}"/>
    <cellStyle name="Normal 2 2 2 2 2 2 2 2 2 2 2 2 8 2 2 9" xfId="10335" xr:uid="{AD420DE2-3473-4BCF-B3C3-75FFD7B2DF86}"/>
    <cellStyle name="Normal 2 2 2 2 2 2 2 2 2 2 2 2 8 2 3" xfId="10336" xr:uid="{B55CA3EE-3056-43C7-B918-0D48A18E11A9}"/>
    <cellStyle name="Normal 2 2 2 2 2 2 2 2 2 2 2 2 8 2 4" xfId="10337" xr:uid="{F25B4762-58C0-4E7B-8191-A86F47E34209}"/>
    <cellStyle name="Normal 2 2 2 2 2 2 2 2 2 2 2 2 8 2 5" xfId="10338" xr:uid="{3CC1959A-CBA6-475B-B98A-3B00DF9ECE8D}"/>
    <cellStyle name="Normal 2 2 2 2 2 2 2 2 2 2 2 2 8 2 5 10" xfId="10339" xr:uid="{18AB5228-D137-4FCD-B59E-CAC041666597}"/>
    <cellStyle name="Normal 2 2 2 2 2 2 2 2 2 2 2 2 8 2 5 11" xfId="10340" xr:uid="{0CBE7FB8-28F9-4E34-9FEA-36B4DD195F56}"/>
    <cellStyle name="Normal 2 2 2 2 2 2 2 2 2 2 2 2 8 2 5 2" xfId="10341" xr:uid="{DA82107E-1B6F-4F26-BF9B-1D5F84AE0182}"/>
    <cellStyle name="Normal 2 2 2 2 2 2 2 2 2 2 2 2 8 2 5 2 10" xfId="10342" xr:uid="{744D5D2F-B1DA-4D49-8540-4CD3ADDEF8E7}"/>
    <cellStyle name="Normal 2 2 2 2 2 2 2 2 2 2 2 2 8 2 5 2 11" xfId="10343" xr:uid="{45730B63-1920-45D0-AE46-188F606FFB03}"/>
    <cellStyle name="Normal 2 2 2 2 2 2 2 2 2 2 2 2 8 2 5 2 2" xfId="10344" xr:uid="{787C5435-BC99-402C-BF59-0A0A81EEE419}"/>
    <cellStyle name="Normal 2 2 2 2 2 2 2 2 2 2 2 2 8 2 5 2 2 2" xfId="10345" xr:uid="{D7F32D05-6F13-4EBC-93B9-BB5FCC1FA4CC}"/>
    <cellStyle name="Normal 2 2 2 2 2 2 2 2 2 2 2 2 8 2 5 2 2 2 2" xfId="10346" xr:uid="{AAA39997-770C-45D3-9794-B4816F0F6855}"/>
    <cellStyle name="Normal 2 2 2 2 2 2 2 2 2 2 2 2 8 2 5 2 2 2 3" xfId="10347" xr:uid="{C8B1ADE7-2F49-4BEB-A247-8E72072873E0}"/>
    <cellStyle name="Normal 2 2 2 2 2 2 2 2 2 2 2 2 8 2 5 2 2 2 4" xfId="10348" xr:uid="{27D3F533-865A-4005-8A8A-4540CD85FE5B}"/>
    <cellStyle name="Normal 2 2 2 2 2 2 2 2 2 2 2 2 8 2 5 2 2 3" xfId="10349" xr:uid="{843A6980-439E-4C91-8413-D002A287BBB9}"/>
    <cellStyle name="Normal 2 2 2 2 2 2 2 2 2 2 2 2 8 2 5 2 2 4" xfId="10350" xr:uid="{CB056C9E-B768-43AE-987E-0A3DE245C623}"/>
    <cellStyle name="Normal 2 2 2 2 2 2 2 2 2 2 2 2 8 2 5 2 2 5" xfId="10351" xr:uid="{DD3279C8-EC74-4DE7-820C-B94844A4D92D}"/>
    <cellStyle name="Normal 2 2 2 2 2 2 2 2 2 2 2 2 8 2 5 2 2 6" xfId="10352" xr:uid="{B5AC6175-381D-40E4-A16A-C8BE06A786C7}"/>
    <cellStyle name="Normal 2 2 2 2 2 2 2 2 2 2 2 2 8 2 5 2 3" xfId="10353" xr:uid="{CE63DEBB-F1B6-4C85-8A6F-720601795103}"/>
    <cellStyle name="Normal 2 2 2 2 2 2 2 2 2 2 2 2 8 2 5 2 4" xfId="10354" xr:uid="{FC097E0D-5223-4F7D-91F2-A8E7556C4F94}"/>
    <cellStyle name="Normal 2 2 2 2 2 2 2 2 2 2 2 2 8 2 5 2 5" xfId="10355" xr:uid="{8A803110-6676-494F-8745-3BA7CCED28E5}"/>
    <cellStyle name="Normal 2 2 2 2 2 2 2 2 2 2 2 2 8 2 5 2 6" xfId="10356" xr:uid="{3BE470F7-C04B-49D0-AE12-45BEC17EBE3C}"/>
    <cellStyle name="Normal 2 2 2 2 2 2 2 2 2 2 2 2 8 2 5 2 7" xfId="10357" xr:uid="{28835BED-B6F3-4AAC-AF65-243BA229DA47}"/>
    <cellStyle name="Normal 2 2 2 2 2 2 2 2 2 2 2 2 8 2 5 2 8" xfId="10358" xr:uid="{4AC38802-4373-45CB-A20E-DB36994C43A2}"/>
    <cellStyle name="Normal 2 2 2 2 2 2 2 2 2 2 2 2 8 2 5 2 8 2" xfId="10359" xr:uid="{A7C8F85B-172B-42AF-B34F-FB90A3E3E0D9}"/>
    <cellStyle name="Normal 2 2 2 2 2 2 2 2 2 2 2 2 8 2 5 2 8 3" xfId="10360" xr:uid="{4306DF05-5A97-482B-8E31-1F968A4E56F9}"/>
    <cellStyle name="Normal 2 2 2 2 2 2 2 2 2 2 2 2 8 2 5 2 8 4" xfId="10361" xr:uid="{BB5A0AFF-E817-444A-A163-43A0BA38B5E4}"/>
    <cellStyle name="Normal 2 2 2 2 2 2 2 2 2 2 2 2 8 2 5 2 9" xfId="10362" xr:uid="{840F6537-D179-4096-B4CB-8D568CCA82EE}"/>
    <cellStyle name="Normal 2 2 2 2 2 2 2 2 2 2 2 2 8 2 5 3" xfId="10363" xr:uid="{5FAC4E30-E8EA-4ABF-9585-B968F3FCC0C7}"/>
    <cellStyle name="Normal 2 2 2 2 2 2 2 2 2 2 2 2 8 2 5 3 2" xfId="10364" xr:uid="{9CB93242-3B2F-4D00-841A-D45B8FEEA17C}"/>
    <cellStyle name="Normal 2 2 2 2 2 2 2 2 2 2 2 2 8 2 5 3 2 2" xfId="10365" xr:uid="{0B668DEA-8D4D-49BF-9AFD-4645E144A399}"/>
    <cellStyle name="Normal 2 2 2 2 2 2 2 2 2 2 2 2 8 2 5 3 2 3" xfId="10366" xr:uid="{6D79ECCE-5165-472F-828A-38DB2075CE9E}"/>
    <cellStyle name="Normal 2 2 2 2 2 2 2 2 2 2 2 2 8 2 5 3 2 4" xfId="10367" xr:uid="{E5B121F1-E168-4241-A4B8-F54C23FD6136}"/>
    <cellStyle name="Normal 2 2 2 2 2 2 2 2 2 2 2 2 8 2 5 3 3" xfId="10368" xr:uid="{5F1E1DDF-C0CE-4D96-849D-F1097A433372}"/>
    <cellStyle name="Normal 2 2 2 2 2 2 2 2 2 2 2 2 8 2 5 3 4" xfId="10369" xr:uid="{7C3711BF-C0E8-4702-A1A3-B4C42B6E50DC}"/>
    <cellStyle name="Normal 2 2 2 2 2 2 2 2 2 2 2 2 8 2 5 3 5" xfId="10370" xr:uid="{8CE12A07-77A1-4976-B3E4-C07C156F2B81}"/>
    <cellStyle name="Normal 2 2 2 2 2 2 2 2 2 2 2 2 8 2 5 3 6" xfId="10371" xr:uid="{10F5EECA-E7D0-4061-919F-CCD691443526}"/>
    <cellStyle name="Normal 2 2 2 2 2 2 2 2 2 2 2 2 8 2 5 4" xfId="10372" xr:uid="{124045E5-C8AB-4356-BC73-DBD63E02F160}"/>
    <cellStyle name="Normal 2 2 2 2 2 2 2 2 2 2 2 2 8 2 5 5" xfId="10373" xr:uid="{4EB23299-2C81-4A0C-BADF-1B97C1D6618B}"/>
    <cellStyle name="Normal 2 2 2 2 2 2 2 2 2 2 2 2 8 2 5 6" xfId="10374" xr:uid="{64910575-A051-421C-890F-8A76CC9A3982}"/>
    <cellStyle name="Normal 2 2 2 2 2 2 2 2 2 2 2 2 8 2 5 7" xfId="10375" xr:uid="{1A676A9E-6EC6-427E-A110-5B73C7BF1D41}"/>
    <cellStyle name="Normal 2 2 2 2 2 2 2 2 2 2 2 2 8 2 5 8" xfId="10376" xr:uid="{1016EA03-EFFF-4CE8-A60C-E8363D868999}"/>
    <cellStyle name="Normal 2 2 2 2 2 2 2 2 2 2 2 2 8 2 5 8 2" xfId="10377" xr:uid="{160E4542-CE97-4962-B173-6B170E374484}"/>
    <cellStyle name="Normal 2 2 2 2 2 2 2 2 2 2 2 2 8 2 5 8 3" xfId="10378" xr:uid="{A16183D4-8CC5-4317-8282-8A29E9B2378D}"/>
    <cellStyle name="Normal 2 2 2 2 2 2 2 2 2 2 2 2 8 2 5 8 4" xfId="10379" xr:uid="{A8DD12D9-95AA-4B1D-9304-08DC3FEBDFC8}"/>
    <cellStyle name="Normal 2 2 2 2 2 2 2 2 2 2 2 2 8 2 5 9" xfId="10380" xr:uid="{2C250020-6894-4C0A-9CB6-6618F1D30768}"/>
    <cellStyle name="Normal 2 2 2 2 2 2 2 2 2 2 2 2 8 2 6" xfId="10381" xr:uid="{F902382D-167E-45AA-B4DE-F755516E5209}"/>
    <cellStyle name="Normal 2 2 2 2 2 2 2 2 2 2 2 2 8 2 7" xfId="10382" xr:uid="{2F4FC07E-A708-42E7-9194-1B288BB8A207}"/>
    <cellStyle name="Normal 2 2 2 2 2 2 2 2 2 2 2 2 8 2 7 2" xfId="10383" xr:uid="{97C10F35-A33C-48D4-86B5-7289E4D62A77}"/>
    <cellStyle name="Normal 2 2 2 2 2 2 2 2 2 2 2 2 8 2 7 2 2" xfId="10384" xr:uid="{A26341FB-4142-4EB3-822F-CC609AA22180}"/>
    <cellStyle name="Normal 2 2 2 2 2 2 2 2 2 2 2 2 8 2 7 2 3" xfId="10385" xr:uid="{477EC273-78D9-4920-9E10-BFDBC1B28BBF}"/>
    <cellStyle name="Normal 2 2 2 2 2 2 2 2 2 2 2 2 8 2 7 2 4" xfId="10386" xr:uid="{DAE46E41-6FBE-4666-8265-6775B859B30E}"/>
    <cellStyle name="Normal 2 2 2 2 2 2 2 2 2 2 2 2 8 2 7 3" xfId="10387" xr:uid="{A29045D5-CCA1-4D30-AEF2-6FEFF09B2CD5}"/>
    <cellStyle name="Normal 2 2 2 2 2 2 2 2 2 2 2 2 8 2 7 4" xfId="10388" xr:uid="{CB323C6E-0989-47BC-B85E-6206CF481E73}"/>
    <cellStyle name="Normal 2 2 2 2 2 2 2 2 2 2 2 2 8 2 7 5" xfId="10389" xr:uid="{3C1F6C7B-A8DC-4E5A-B0EC-5FF20FA09FFC}"/>
    <cellStyle name="Normal 2 2 2 2 2 2 2 2 2 2 2 2 8 2 7 6" xfId="10390" xr:uid="{33BBB5B6-58CB-4096-8BE8-D7513B7CF594}"/>
    <cellStyle name="Normal 2 2 2 2 2 2 2 2 2 2 2 2 8 2 8" xfId="10391" xr:uid="{3EAA1B60-7297-4B04-A68F-6529B8CC31D1}"/>
    <cellStyle name="Normal 2 2 2 2 2 2 2 2 2 2 2 2 8 2 9" xfId="10392" xr:uid="{171A91AE-FCC4-4DF2-AD7C-6EFC901F508B}"/>
    <cellStyle name="Normal 2 2 2 2 2 2 2 2 2 2 2 2 8 20" xfId="10393" xr:uid="{A92D4065-5C23-4EB6-BFF6-41EA16AA081D}"/>
    <cellStyle name="Normal 2 2 2 2 2 2 2 2 2 2 2 2 8 21" xfId="10394" xr:uid="{34FCBC17-5D56-4F76-ACF7-37619CA7E861}"/>
    <cellStyle name="Normal 2 2 2 2 2 2 2 2 2 2 2 2 8 21 2" xfId="10395" xr:uid="{8EA25560-91FC-4FA0-80B8-C154C58F6E6E}"/>
    <cellStyle name="Normal 2 2 2 2 2 2 2 2 2 2 2 2 8 21 3" xfId="10396" xr:uid="{10111940-70B7-401E-9EE9-8817E881F6D9}"/>
    <cellStyle name="Normal 2 2 2 2 2 2 2 2 2 2 2 2 8 21 4" xfId="10397" xr:uid="{E2D0E9D4-2DA5-437A-ACDB-5D463B2C6CBC}"/>
    <cellStyle name="Normal 2 2 2 2 2 2 2 2 2 2 2 2 8 22" xfId="10398" xr:uid="{ABD7E3A3-2090-4F64-9E00-EE4C538E9108}"/>
    <cellStyle name="Normal 2 2 2 2 2 2 2 2 2 2 2 2 8 23" xfId="10399" xr:uid="{06C41990-D88D-490E-87BA-81A58C51D907}"/>
    <cellStyle name="Normal 2 2 2 2 2 2 2 2 2 2 2 2 8 24" xfId="10400" xr:uid="{E8F29D13-DEEA-4B12-8912-0F5E2FB3896D}"/>
    <cellStyle name="Normal 2 2 2 2 2 2 2 2 2 2 2 2 8 3" xfId="10401" xr:uid="{77FA531C-7F52-4F1D-984F-DECE7BCC61B9}"/>
    <cellStyle name="Normal 2 2 2 2 2 2 2 2 2 2 2 2 8 4" xfId="10402" xr:uid="{CDAACF4F-4EA7-48A2-9DD2-69B412357006}"/>
    <cellStyle name="Normal 2 2 2 2 2 2 2 2 2 2 2 2 8 5" xfId="10403" xr:uid="{C130684E-D1D0-48D6-850D-B5AA8FF8BA14}"/>
    <cellStyle name="Normal 2 2 2 2 2 2 2 2 2 2 2 2 8 6" xfId="10404" xr:uid="{A7BD3FB0-3082-41AB-896A-E634C38CA51C}"/>
    <cellStyle name="Normal 2 2 2 2 2 2 2 2 2 2 2 2 8 7" xfId="10405" xr:uid="{D991EE8B-88DF-4A37-80E5-7E120E785BAA}"/>
    <cellStyle name="Normal 2 2 2 2 2 2 2 2 2 2 2 2 8 8" xfId="10406" xr:uid="{FC223A18-90FC-4007-8C88-86045DCC7B4B}"/>
    <cellStyle name="Normal 2 2 2 2 2 2 2 2 2 2 2 2 8 9" xfId="10407" xr:uid="{28551024-BA0F-4CA6-880A-03539E34C646}"/>
    <cellStyle name="Normal 2 2 2 2 2 2 2 2 2 2 2 2 80" xfId="10408" xr:uid="{8C319329-6016-4723-A439-F2D3EB39594C}"/>
    <cellStyle name="Normal 2 2 2 2 2 2 2 2 2 2 2 2 81" xfId="10409" xr:uid="{EE2317E7-3D14-4785-87ED-A6243212B98A}"/>
    <cellStyle name="Normal 2 2 2 2 2 2 2 2 2 2 2 2 82" xfId="10410" xr:uid="{70AB3C3B-4C16-471B-A653-8C417DE3C90F}"/>
    <cellStyle name="Normal 2 2 2 2 2 2 2 2 2 2 2 2 83" xfId="10411" xr:uid="{72E5A826-9C2D-4E54-8223-08128C807FCD}"/>
    <cellStyle name="Normal 2 2 2 2 2 2 2 2 2 2 2 2 84" xfId="10412" xr:uid="{321C3244-E196-43D6-AD4A-1D2EBD46CB24}"/>
    <cellStyle name="Normal 2 2 2 2 2 2 2 2 2 2 2 2 85" xfId="10413" xr:uid="{23337275-BD73-43D5-A319-21EE60597838}"/>
    <cellStyle name="Normal 2 2 2 2 2 2 2 2 2 2 2 2 86" xfId="10414" xr:uid="{48C35F98-80FE-4FA4-88D0-388D60538E15}"/>
    <cellStyle name="Normal 2 2 2 2 2 2 2 2 2 2 2 2 87" xfId="10415" xr:uid="{7BE3BEAD-A1F3-45EB-8949-7152E9D4BDBE}"/>
    <cellStyle name="Normal 2 2 2 2 2 2 2 2 2 2 2 2 88" xfId="10416" xr:uid="{852C6B31-3E1C-4DC7-8EC7-CD63A603DF21}"/>
    <cellStyle name="Normal 2 2 2 2 2 2 2 2 2 2 2 2 89" xfId="10417" xr:uid="{E1F144BF-0A31-480E-AF6C-ACC4AF812F02}"/>
    <cellStyle name="Normal 2 2 2 2 2 2 2 2 2 2 2 2 89 2" xfId="10418" xr:uid="{81E70089-39BD-497D-BB7F-52EB26D50CA5}"/>
    <cellStyle name="Normal 2 2 2 2 2 2 2 2 2 2 2 2 89 3" xfId="10419" xr:uid="{38D05110-7687-48A6-9A21-CFF1FD068011}"/>
    <cellStyle name="Normal 2 2 2 2 2 2 2 2 2 2 2 2 89 4" xfId="10420" xr:uid="{27CFCBFD-376B-47FD-AC24-87A2E292DA70}"/>
    <cellStyle name="Normal 2 2 2 2 2 2 2 2 2 2 2 2 9" xfId="10421" xr:uid="{16FFF8C8-3581-4FA5-984C-DCA2E7CD6B87}"/>
    <cellStyle name="Normal 2 2 2 2 2 2 2 2 2 2 2 2 9 10" xfId="10422" xr:uid="{15E67DA3-EF60-45E4-A02E-1392115C5649}"/>
    <cellStyle name="Normal 2 2 2 2 2 2 2 2 2 2 2 2 9 11" xfId="10423" xr:uid="{004E87B5-15D1-428F-885F-E485901DF9F3}"/>
    <cellStyle name="Normal 2 2 2 2 2 2 2 2 2 2 2 2 9 12" xfId="10424" xr:uid="{B00CA5F1-6E9E-4027-91C8-DC0B947B4190}"/>
    <cellStyle name="Normal 2 2 2 2 2 2 2 2 2 2 2 2 9 13" xfId="10425" xr:uid="{CB21C139-9A7B-480B-B075-D45A0EB7FD5D}"/>
    <cellStyle name="Normal 2 2 2 2 2 2 2 2 2 2 2 2 9 13 2" xfId="10426" xr:uid="{0C536EDD-2AA8-4A57-9481-C739B8FC5102}"/>
    <cellStyle name="Normal 2 2 2 2 2 2 2 2 2 2 2 2 9 13 3" xfId="10427" xr:uid="{C1133762-9FBF-440F-8A21-641EBA6FB170}"/>
    <cellStyle name="Normal 2 2 2 2 2 2 2 2 2 2 2 2 9 13 4" xfId="10428" xr:uid="{3147B212-D952-4FD0-AD72-B1C8DD58807F}"/>
    <cellStyle name="Normal 2 2 2 2 2 2 2 2 2 2 2 2 9 14" xfId="10429" xr:uid="{295CC23D-409F-47E4-B4C7-E5EE0A97BFDD}"/>
    <cellStyle name="Normal 2 2 2 2 2 2 2 2 2 2 2 2 9 15" xfId="10430" xr:uid="{B0B3A472-1167-4B20-82F9-944A07C431C8}"/>
    <cellStyle name="Normal 2 2 2 2 2 2 2 2 2 2 2 2 9 16" xfId="10431" xr:uid="{72CA3D7B-A521-4F22-851E-606E0098B18B}"/>
    <cellStyle name="Normal 2 2 2 2 2 2 2 2 2 2 2 2 9 2" xfId="10432" xr:uid="{A8FD106E-178E-4B7B-AB52-2E2157380257}"/>
    <cellStyle name="Normal 2 2 2 2 2 2 2 2 2 2 2 2 9 2 10" xfId="10433" xr:uid="{D267341E-A72B-46B9-93DC-1D6B9FFCC969}"/>
    <cellStyle name="Normal 2 2 2 2 2 2 2 2 2 2 2 2 9 2 11" xfId="10434" xr:uid="{A2D1D503-A120-4C8C-9C97-5A1C080766C1}"/>
    <cellStyle name="Normal 2 2 2 2 2 2 2 2 2 2 2 2 9 2 11 2" xfId="10435" xr:uid="{75818943-1E71-4005-A0D8-86744BBFCB92}"/>
    <cellStyle name="Normal 2 2 2 2 2 2 2 2 2 2 2 2 9 2 11 3" xfId="10436" xr:uid="{5A7C039E-76BF-4885-9BEF-10FDF759D9F2}"/>
    <cellStyle name="Normal 2 2 2 2 2 2 2 2 2 2 2 2 9 2 11 4" xfId="10437" xr:uid="{1BA5C912-C492-4184-AF36-BA08776B196D}"/>
    <cellStyle name="Normal 2 2 2 2 2 2 2 2 2 2 2 2 9 2 12" xfId="10438" xr:uid="{0972D905-59A1-4274-890F-E8BD97A77FCD}"/>
    <cellStyle name="Normal 2 2 2 2 2 2 2 2 2 2 2 2 9 2 13" xfId="10439" xr:uid="{9E823E3E-5048-413D-B280-DE750889B50A}"/>
    <cellStyle name="Normal 2 2 2 2 2 2 2 2 2 2 2 2 9 2 14" xfId="10440" xr:uid="{99790F30-FEEC-41A1-98B1-2F404B8B94AA}"/>
    <cellStyle name="Normal 2 2 2 2 2 2 2 2 2 2 2 2 9 2 2" xfId="10441" xr:uid="{C20FB7F4-3E98-481A-B40A-CDD374B51FC0}"/>
    <cellStyle name="Normal 2 2 2 2 2 2 2 2 2 2 2 2 9 2 2 10" xfId="10442" xr:uid="{CC9AEC82-6E82-4829-9CE3-A3732096F49C}"/>
    <cellStyle name="Normal 2 2 2 2 2 2 2 2 2 2 2 2 9 2 2 11" xfId="10443" xr:uid="{91914AAC-A256-4EC2-9BC5-56BF1275B3E4}"/>
    <cellStyle name="Normal 2 2 2 2 2 2 2 2 2 2 2 2 9 2 2 2" xfId="10444" xr:uid="{1AC38605-8B1F-4C7F-B3B6-18EA71247518}"/>
    <cellStyle name="Normal 2 2 2 2 2 2 2 2 2 2 2 2 9 2 2 2 10" xfId="10445" xr:uid="{EF43BAF7-DDAB-4362-BC79-296CBB13438A}"/>
    <cellStyle name="Normal 2 2 2 2 2 2 2 2 2 2 2 2 9 2 2 2 11" xfId="10446" xr:uid="{E81C87C1-1B9D-46B4-B14D-9B137FB5CDE1}"/>
    <cellStyle name="Normal 2 2 2 2 2 2 2 2 2 2 2 2 9 2 2 2 2" xfId="10447" xr:uid="{A951E37A-E10A-4BEC-947E-DC5A80AE29FF}"/>
    <cellStyle name="Normal 2 2 2 2 2 2 2 2 2 2 2 2 9 2 2 2 2 2" xfId="10448" xr:uid="{625470DC-91BA-47EC-9ED3-4E8F5837A4E7}"/>
    <cellStyle name="Normal 2 2 2 2 2 2 2 2 2 2 2 2 9 2 2 2 2 2 2" xfId="10449" xr:uid="{FB808253-9607-40DF-8F03-0D3ED7ED0908}"/>
    <cellStyle name="Normal 2 2 2 2 2 2 2 2 2 2 2 2 9 2 2 2 2 2 3" xfId="10450" xr:uid="{29F39997-A84F-4452-97C5-5A11F9A15229}"/>
    <cellStyle name="Normal 2 2 2 2 2 2 2 2 2 2 2 2 9 2 2 2 2 2 4" xfId="10451" xr:uid="{91428B3C-19CA-46B1-B804-55E00EB43C6C}"/>
    <cellStyle name="Normal 2 2 2 2 2 2 2 2 2 2 2 2 9 2 2 2 2 3" xfId="10452" xr:uid="{ACE8F749-F45F-489B-964E-4AE2304C6128}"/>
    <cellStyle name="Normal 2 2 2 2 2 2 2 2 2 2 2 2 9 2 2 2 2 4" xfId="10453" xr:uid="{A0BF67F1-48BE-40AE-85D9-AF12FFEFDC66}"/>
    <cellStyle name="Normal 2 2 2 2 2 2 2 2 2 2 2 2 9 2 2 2 2 5" xfId="10454" xr:uid="{616F2D8E-088D-408E-8203-B73CCDFFF697}"/>
    <cellStyle name="Normal 2 2 2 2 2 2 2 2 2 2 2 2 9 2 2 2 2 6" xfId="10455" xr:uid="{B1EE5EBE-368A-4A76-BB2D-DE01BB219C5A}"/>
    <cellStyle name="Normal 2 2 2 2 2 2 2 2 2 2 2 2 9 2 2 2 3" xfId="10456" xr:uid="{60D777F4-E5A0-4916-A899-2883EC346DF8}"/>
    <cellStyle name="Normal 2 2 2 2 2 2 2 2 2 2 2 2 9 2 2 2 4" xfId="10457" xr:uid="{8EEC985C-A133-49DD-92A6-FEE7B16D4F34}"/>
    <cellStyle name="Normal 2 2 2 2 2 2 2 2 2 2 2 2 9 2 2 2 5" xfId="10458" xr:uid="{096B1C81-544A-4ECB-8668-4593D6A4F046}"/>
    <cellStyle name="Normal 2 2 2 2 2 2 2 2 2 2 2 2 9 2 2 2 6" xfId="10459" xr:uid="{B551FEE7-1C9F-486B-A486-F11265CF7D99}"/>
    <cellStyle name="Normal 2 2 2 2 2 2 2 2 2 2 2 2 9 2 2 2 7" xfId="10460" xr:uid="{634D8B8C-49C3-4FF1-A42E-7662F987D33E}"/>
    <cellStyle name="Normal 2 2 2 2 2 2 2 2 2 2 2 2 9 2 2 2 8" xfId="10461" xr:uid="{67C747F6-3908-4966-8C27-1EEA2642802B}"/>
    <cellStyle name="Normal 2 2 2 2 2 2 2 2 2 2 2 2 9 2 2 2 8 2" xfId="10462" xr:uid="{E2FB7367-A828-462E-B383-6EC8E381B839}"/>
    <cellStyle name="Normal 2 2 2 2 2 2 2 2 2 2 2 2 9 2 2 2 8 3" xfId="10463" xr:uid="{D264150D-1CA4-4220-8B5D-A3048F143F27}"/>
    <cellStyle name="Normal 2 2 2 2 2 2 2 2 2 2 2 2 9 2 2 2 8 4" xfId="10464" xr:uid="{C0CC7684-6B89-4AA7-90B3-8D5090E8A037}"/>
    <cellStyle name="Normal 2 2 2 2 2 2 2 2 2 2 2 2 9 2 2 2 9" xfId="10465" xr:uid="{9D415AF6-F982-4D4B-B512-4A04E26EA98D}"/>
    <cellStyle name="Normal 2 2 2 2 2 2 2 2 2 2 2 2 9 2 2 3" xfId="10466" xr:uid="{E41567C9-DDCF-40C7-A217-A7EA594FEBB4}"/>
    <cellStyle name="Normal 2 2 2 2 2 2 2 2 2 2 2 2 9 2 2 3 2" xfId="10467" xr:uid="{A60A890E-5C0B-47E7-938C-B1FFFA4B68BE}"/>
    <cellStyle name="Normal 2 2 2 2 2 2 2 2 2 2 2 2 9 2 2 3 2 2" xfId="10468" xr:uid="{730997F5-3815-478A-84BA-2855A707830D}"/>
    <cellStyle name="Normal 2 2 2 2 2 2 2 2 2 2 2 2 9 2 2 3 2 3" xfId="10469" xr:uid="{89EC61E4-79B0-4FB7-B836-1C7EC8D28985}"/>
    <cellStyle name="Normal 2 2 2 2 2 2 2 2 2 2 2 2 9 2 2 3 2 4" xfId="10470" xr:uid="{2660310D-F754-4742-88B2-1E57B7661EBE}"/>
    <cellStyle name="Normal 2 2 2 2 2 2 2 2 2 2 2 2 9 2 2 3 3" xfId="10471" xr:uid="{ACB21987-7F91-4908-8930-A09EE530C2DB}"/>
    <cellStyle name="Normal 2 2 2 2 2 2 2 2 2 2 2 2 9 2 2 3 4" xfId="10472" xr:uid="{8BA23CCC-D198-41E0-B702-50AF2F61E2F2}"/>
    <cellStyle name="Normal 2 2 2 2 2 2 2 2 2 2 2 2 9 2 2 3 5" xfId="10473" xr:uid="{FABCEBC5-B0E6-4AA4-B2E7-74BA71C76AE1}"/>
    <cellStyle name="Normal 2 2 2 2 2 2 2 2 2 2 2 2 9 2 2 3 6" xfId="10474" xr:uid="{8F18B040-8EB4-48DE-A2BD-5D57BB4DBEBF}"/>
    <cellStyle name="Normal 2 2 2 2 2 2 2 2 2 2 2 2 9 2 2 4" xfId="10475" xr:uid="{9B131EF7-7B30-46EC-8F14-2560AC732D0F}"/>
    <cellStyle name="Normal 2 2 2 2 2 2 2 2 2 2 2 2 9 2 2 5" xfId="10476" xr:uid="{C71DBC48-8EDF-4E3E-B723-5E2577FB28CB}"/>
    <cellStyle name="Normal 2 2 2 2 2 2 2 2 2 2 2 2 9 2 2 6" xfId="10477" xr:uid="{63DE0F5A-A7AA-4398-9BE5-48B69C0019DC}"/>
    <cellStyle name="Normal 2 2 2 2 2 2 2 2 2 2 2 2 9 2 2 7" xfId="10478" xr:uid="{C5825AC6-0AD2-488B-9776-C974A8F23687}"/>
    <cellStyle name="Normal 2 2 2 2 2 2 2 2 2 2 2 2 9 2 2 8" xfId="10479" xr:uid="{83F40C1C-9DD2-4AE0-8CC0-0795C53C1B9E}"/>
    <cellStyle name="Normal 2 2 2 2 2 2 2 2 2 2 2 2 9 2 2 8 2" xfId="10480" xr:uid="{5E11714B-E33E-4E34-A2E7-5CF9B309B47A}"/>
    <cellStyle name="Normal 2 2 2 2 2 2 2 2 2 2 2 2 9 2 2 8 3" xfId="10481" xr:uid="{BA3CB025-255E-4DCC-A5A8-53A22043DC82}"/>
    <cellStyle name="Normal 2 2 2 2 2 2 2 2 2 2 2 2 9 2 2 8 4" xfId="10482" xr:uid="{BE9847B7-5439-4CEE-B9F9-E6146D03D3E8}"/>
    <cellStyle name="Normal 2 2 2 2 2 2 2 2 2 2 2 2 9 2 2 9" xfId="10483" xr:uid="{E6D61967-6634-4C58-A944-6115D4ACECB1}"/>
    <cellStyle name="Normal 2 2 2 2 2 2 2 2 2 2 2 2 9 2 3" xfId="10484" xr:uid="{0455AA19-0DA0-4B58-813D-77CBEA6F32E2}"/>
    <cellStyle name="Normal 2 2 2 2 2 2 2 2 2 2 2 2 9 2 4" xfId="10485" xr:uid="{10819781-9D68-4E2D-81EA-3874FA3409DB}"/>
    <cellStyle name="Normal 2 2 2 2 2 2 2 2 2 2 2 2 9 2 5" xfId="10486" xr:uid="{B28C11A7-EDEE-4EFE-AD41-77272B168BDA}"/>
    <cellStyle name="Normal 2 2 2 2 2 2 2 2 2 2 2 2 9 2 5 2" xfId="10487" xr:uid="{311DD14D-331B-4155-92CA-9040B50439A7}"/>
    <cellStyle name="Normal 2 2 2 2 2 2 2 2 2 2 2 2 9 2 5 2 2" xfId="10488" xr:uid="{D8DD860D-3776-45B1-85CA-E8EEB257A778}"/>
    <cellStyle name="Normal 2 2 2 2 2 2 2 2 2 2 2 2 9 2 5 2 3" xfId="10489" xr:uid="{2A863C9A-7997-4527-9885-3E60D3E92B4D}"/>
    <cellStyle name="Normal 2 2 2 2 2 2 2 2 2 2 2 2 9 2 5 2 4" xfId="10490" xr:uid="{9DC973A3-3480-4A46-A311-6FD84493F512}"/>
    <cellStyle name="Normal 2 2 2 2 2 2 2 2 2 2 2 2 9 2 5 3" xfId="10491" xr:uid="{98541599-67E2-4AC8-9582-3F119B332D51}"/>
    <cellStyle name="Normal 2 2 2 2 2 2 2 2 2 2 2 2 9 2 5 4" xfId="10492" xr:uid="{C656A0D5-8402-4331-AB83-8AC8E3F7A0C7}"/>
    <cellStyle name="Normal 2 2 2 2 2 2 2 2 2 2 2 2 9 2 5 5" xfId="10493" xr:uid="{8A8B322A-8984-4286-9EAA-2A72A5B47589}"/>
    <cellStyle name="Normal 2 2 2 2 2 2 2 2 2 2 2 2 9 2 5 6" xfId="10494" xr:uid="{D358D1E2-DF9A-4D76-8D29-5244581C1309}"/>
    <cellStyle name="Normal 2 2 2 2 2 2 2 2 2 2 2 2 9 2 6" xfId="10495" xr:uid="{E9686947-0C21-4284-838E-4E4EF910200C}"/>
    <cellStyle name="Normal 2 2 2 2 2 2 2 2 2 2 2 2 9 2 7" xfId="10496" xr:uid="{D949FDB7-F0A7-414E-815F-78291D51FCA7}"/>
    <cellStyle name="Normal 2 2 2 2 2 2 2 2 2 2 2 2 9 2 8" xfId="10497" xr:uid="{F671540E-57CB-4EBD-A039-52F5EDF99D85}"/>
    <cellStyle name="Normal 2 2 2 2 2 2 2 2 2 2 2 2 9 2 9" xfId="10498" xr:uid="{CA1C130D-C431-4951-9CFC-0E1B6E82D884}"/>
    <cellStyle name="Normal 2 2 2 2 2 2 2 2 2 2 2 2 9 3" xfId="10499" xr:uid="{D31BFB67-A8B4-4C7F-87E3-4F085067BEC4}"/>
    <cellStyle name="Normal 2 2 2 2 2 2 2 2 2 2 2 2 9 4" xfId="10500" xr:uid="{BCCE08A5-5DD4-468B-98FD-BD578973BF0B}"/>
    <cellStyle name="Normal 2 2 2 2 2 2 2 2 2 2 2 2 9 5" xfId="10501" xr:uid="{0F2B6890-699C-4F51-B644-DCD591E6AEEF}"/>
    <cellStyle name="Normal 2 2 2 2 2 2 2 2 2 2 2 2 9 5 10" xfId="10502" xr:uid="{7A0FC434-208E-4C71-B9E0-13A0D08D0D65}"/>
    <cellStyle name="Normal 2 2 2 2 2 2 2 2 2 2 2 2 9 5 11" xfId="10503" xr:uid="{D2D9EFF1-08E6-497D-BA50-CE6AA6B7B8AC}"/>
    <cellStyle name="Normal 2 2 2 2 2 2 2 2 2 2 2 2 9 5 2" xfId="10504" xr:uid="{43FF5AAD-43E8-4711-8B71-0EBFCDD38F8D}"/>
    <cellStyle name="Normal 2 2 2 2 2 2 2 2 2 2 2 2 9 5 2 10" xfId="10505" xr:uid="{B038AE08-AE13-4B67-92A3-60CB49F98B9D}"/>
    <cellStyle name="Normal 2 2 2 2 2 2 2 2 2 2 2 2 9 5 2 11" xfId="10506" xr:uid="{B418C341-6ACF-43A5-AC6B-C1DA041F634C}"/>
    <cellStyle name="Normal 2 2 2 2 2 2 2 2 2 2 2 2 9 5 2 2" xfId="10507" xr:uid="{5AC74A27-55EA-4E59-90DF-F9B2105420C0}"/>
    <cellStyle name="Normal 2 2 2 2 2 2 2 2 2 2 2 2 9 5 2 2 2" xfId="10508" xr:uid="{1B84BF53-2CC1-47D8-B482-D71E2B0E511E}"/>
    <cellStyle name="Normal 2 2 2 2 2 2 2 2 2 2 2 2 9 5 2 2 2 2" xfId="10509" xr:uid="{55A00771-C04A-46BB-8107-C0BDAAD392D7}"/>
    <cellStyle name="Normal 2 2 2 2 2 2 2 2 2 2 2 2 9 5 2 2 2 3" xfId="10510" xr:uid="{CECCF7DD-D416-4B64-B35E-F59EFC828032}"/>
    <cellStyle name="Normal 2 2 2 2 2 2 2 2 2 2 2 2 9 5 2 2 2 4" xfId="10511" xr:uid="{77149947-41EA-499E-AF17-CBFF65FBBBC4}"/>
    <cellStyle name="Normal 2 2 2 2 2 2 2 2 2 2 2 2 9 5 2 2 3" xfId="10512" xr:uid="{6343E97F-1567-4A75-B462-5D6F5D0FCC22}"/>
    <cellStyle name="Normal 2 2 2 2 2 2 2 2 2 2 2 2 9 5 2 2 4" xfId="10513" xr:uid="{CB6B4426-92CB-4E80-889D-6A3C282C45DA}"/>
    <cellStyle name="Normal 2 2 2 2 2 2 2 2 2 2 2 2 9 5 2 2 5" xfId="10514" xr:uid="{06D06CA4-E0D3-4DA4-911F-2174C5BAB420}"/>
    <cellStyle name="Normal 2 2 2 2 2 2 2 2 2 2 2 2 9 5 2 2 6" xfId="10515" xr:uid="{0EDB6393-DCF9-4CE5-8935-0F86578749A3}"/>
    <cellStyle name="Normal 2 2 2 2 2 2 2 2 2 2 2 2 9 5 2 3" xfId="10516" xr:uid="{36559C99-CF97-4A0E-9B07-33B98E8281DE}"/>
    <cellStyle name="Normal 2 2 2 2 2 2 2 2 2 2 2 2 9 5 2 4" xfId="10517" xr:uid="{B143E35A-FE23-4F4F-B54E-4C78C6BA4878}"/>
    <cellStyle name="Normal 2 2 2 2 2 2 2 2 2 2 2 2 9 5 2 5" xfId="10518" xr:uid="{1F6445E9-02C8-4731-B661-DBC50C31904E}"/>
    <cellStyle name="Normal 2 2 2 2 2 2 2 2 2 2 2 2 9 5 2 6" xfId="10519" xr:uid="{4F94A1E6-5AF1-412D-A933-7EC87BCE2DC5}"/>
    <cellStyle name="Normal 2 2 2 2 2 2 2 2 2 2 2 2 9 5 2 7" xfId="10520" xr:uid="{EE72C222-A11B-482F-9732-086A37948E1C}"/>
    <cellStyle name="Normal 2 2 2 2 2 2 2 2 2 2 2 2 9 5 2 8" xfId="10521" xr:uid="{7333FB56-E48D-4DED-BEB5-FFB2A72CEB68}"/>
    <cellStyle name="Normal 2 2 2 2 2 2 2 2 2 2 2 2 9 5 2 8 2" xfId="10522" xr:uid="{0E73E41A-3C6B-477F-A536-D7D927B907ED}"/>
    <cellStyle name="Normal 2 2 2 2 2 2 2 2 2 2 2 2 9 5 2 8 3" xfId="10523" xr:uid="{81D6227A-20F1-496E-85D5-EFA6CE3198A3}"/>
    <cellStyle name="Normal 2 2 2 2 2 2 2 2 2 2 2 2 9 5 2 8 4" xfId="10524" xr:uid="{64C3FBA7-7D53-494E-BCEF-FDA6378EABAD}"/>
    <cellStyle name="Normal 2 2 2 2 2 2 2 2 2 2 2 2 9 5 2 9" xfId="10525" xr:uid="{22FBF830-A9F2-48D4-A852-C3DEBA6E11E5}"/>
    <cellStyle name="Normal 2 2 2 2 2 2 2 2 2 2 2 2 9 5 3" xfId="10526" xr:uid="{C660A275-B10C-4B82-80DB-979EEE69EC7C}"/>
    <cellStyle name="Normal 2 2 2 2 2 2 2 2 2 2 2 2 9 5 3 2" xfId="10527" xr:uid="{09FE4A03-E1B7-41D4-B18B-10E545D96FC9}"/>
    <cellStyle name="Normal 2 2 2 2 2 2 2 2 2 2 2 2 9 5 3 2 2" xfId="10528" xr:uid="{03DEC0A6-C474-492A-B652-6B25C2C22E50}"/>
    <cellStyle name="Normal 2 2 2 2 2 2 2 2 2 2 2 2 9 5 3 2 3" xfId="10529" xr:uid="{98BD67A1-5BA6-4E19-A191-7F2FD80ABCBF}"/>
    <cellStyle name="Normal 2 2 2 2 2 2 2 2 2 2 2 2 9 5 3 2 4" xfId="10530" xr:uid="{6E2AA782-BEE4-4F23-8179-510002EF3929}"/>
    <cellStyle name="Normal 2 2 2 2 2 2 2 2 2 2 2 2 9 5 3 3" xfId="10531" xr:uid="{BBF9BC4A-4034-41EB-986E-D72F97AB9E0F}"/>
    <cellStyle name="Normal 2 2 2 2 2 2 2 2 2 2 2 2 9 5 3 4" xfId="10532" xr:uid="{B882FF40-87D2-4EC3-B2ED-F7BF850F94E6}"/>
    <cellStyle name="Normal 2 2 2 2 2 2 2 2 2 2 2 2 9 5 3 5" xfId="10533" xr:uid="{6ABD0995-E8CF-43C8-9AE1-871B15AFCA59}"/>
    <cellStyle name="Normal 2 2 2 2 2 2 2 2 2 2 2 2 9 5 3 6" xfId="10534" xr:uid="{F34A08B2-A5B6-4F50-AC86-1274AD6B1FB7}"/>
    <cellStyle name="Normal 2 2 2 2 2 2 2 2 2 2 2 2 9 5 4" xfId="10535" xr:uid="{2C97C82B-5369-4327-8637-5FAFF1EE918A}"/>
    <cellStyle name="Normal 2 2 2 2 2 2 2 2 2 2 2 2 9 5 5" xfId="10536" xr:uid="{73B96DA8-B76C-48C2-B271-5417E35B3256}"/>
    <cellStyle name="Normal 2 2 2 2 2 2 2 2 2 2 2 2 9 5 6" xfId="10537" xr:uid="{46581788-DA6C-4D10-9676-146E65D572FA}"/>
    <cellStyle name="Normal 2 2 2 2 2 2 2 2 2 2 2 2 9 5 7" xfId="10538" xr:uid="{052A1134-6267-45D4-AD5F-180C9D794A7C}"/>
    <cellStyle name="Normal 2 2 2 2 2 2 2 2 2 2 2 2 9 5 8" xfId="10539" xr:uid="{39B52EDB-1C81-4A70-8C46-A177DB410120}"/>
    <cellStyle name="Normal 2 2 2 2 2 2 2 2 2 2 2 2 9 5 8 2" xfId="10540" xr:uid="{641B4C98-DA89-450B-82FD-93B00048E38A}"/>
    <cellStyle name="Normal 2 2 2 2 2 2 2 2 2 2 2 2 9 5 8 3" xfId="10541" xr:uid="{78EBD8FD-305B-4416-A0F7-5E3A2247FE95}"/>
    <cellStyle name="Normal 2 2 2 2 2 2 2 2 2 2 2 2 9 5 8 4" xfId="10542" xr:uid="{26CBA11E-DE6E-45F3-B384-D02F10D699E6}"/>
    <cellStyle name="Normal 2 2 2 2 2 2 2 2 2 2 2 2 9 5 9" xfId="10543" xr:uid="{2E6DB151-5EA1-412D-851A-E7523AC54C95}"/>
    <cellStyle name="Normal 2 2 2 2 2 2 2 2 2 2 2 2 9 6" xfId="10544" xr:uid="{9265230E-A790-4A0A-A054-E4F5ADE237EB}"/>
    <cellStyle name="Normal 2 2 2 2 2 2 2 2 2 2 2 2 9 7" xfId="10545" xr:uid="{69BBD765-D137-4126-A746-2CBA89A83BDF}"/>
    <cellStyle name="Normal 2 2 2 2 2 2 2 2 2 2 2 2 9 7 2" xfId="10546" xr:uid="{C4C29FBA-29CD-4120-8AC7-1E4BDE51F841}"/>
    <cellStyle name="Normal 2 2 2 2 2 2 2 2 2 2 2 2 9 7 2 2" xfId="10547" xr:uid="{A096B7EC-B73D-4B0C-A187-3AB3FD13E51D}"/>
    <cellStyle name="Normal 2 2 2 2 2 2 2 2 2 2 2 2 9 7 2 3" xfId="10548" xr:uid="{2CCEDC48-87EA-4D88-91B7-E4608A0623ED}"/>
    <cellStyle name="Normal 2 2 2 2 2 2 2 2 2 2 2 2 9 7 2 4" xfId="10549" xr:uid="{26FDC930-F374-4010-A7AE-040465147050}"/>
    <cellStyle name="Normal 2 2 2 2 2 2 2 2 2 2 2 2 9 7 3" xfId="10550" xr:uid="{36B1A9D1-8722-4AF6-8F59-A3DB9CFB311E}"/>
    <cellStyle name="Normal 2 2 2 2 2 2 2 2 2 2 2 2 9 7 4" xfId="10551" xr:uid="{E96C0B67-4F04-4EA3-94BA-7ABB2ED2776E}"/>
    <cellStyle name="Normal 2 2 2 2 2 2 2 2 2 2 2 2 9 7 5" xfId="10552" xr:uid="{45B7268C-10DD-438D-BC9A-A38B8F1B2B70}"/>
    <cellStyle name="Normal 2 2 2 2 2 2 2 2 2 2 2 2 9 7 6" xfId="10553" xr:uid="{EC4BEF00-62D9-4147-A3E6-1859BCCD3A64}"/>
    <cellStyle name="Normal 2 2 2 2 2 2 2 2 2 2 2 2 9 8" xfId="10554" xr:uid="{AB258491-3D93-4AE8-BAF0-83DAC4438F84}"/>
    <cellStyle name="Normal 2 2 2 2 2 2 2 2 2 2 2 2 9 9" xfId="10555" xr:uid="{7B011BC8-AF47-4566-974D-AE4C46162EEA}"/>
    <cellStyle name="Normal 2 2 2 2 2 2 2 2 2 2 2 2 90" xfId="10556" xr:uid="{1FB0D92A-B9C0-4194-AE78-A23BF772E2D3}"/>
    <cellStyle name="Normal 2 2 2 2 2 2 2 2 2 2 2 2 91" xfId="10557" xr:uid="{D00BEBA8-D534-4A09-91BE-6730929E7ACF}"/>
    <cellStyle name="Normal 2 2 2 2 2 2 2 2 2 2 2 20" xfId="10558" xr:uid="{CF786EA3-E818-4FF1-B598-2AD20DD04BB4}"/>
    <cellStyle name="Normal 2 2 2 2 2 2 2 2 2 2 2 21" xfId="10559" xr:uid="{FDFB9547-ED4B-48AA-8BD1-1EB07396D300}"/>
    <cellStyle name="Normal 2 2 2 2 2 2 2 2 2 2 2 21 2" xfId="10560" xr:uid="{A7B12A26-D65E-4542-8CA3-4CFFB35AD8CC}"/>
    <cellStyle name="Normal 2 2 2 2 2 2 2 2 2 2 2 21 2 2" xfId="10561" xr:uid="{6807F246-602B-4E23-AD57-EF631A43E512}"/>
    <cellStyle name="Normal 2 2 2 2 2 2 2 2 2 2 2 21 2 3" xfId="10562" xr:uid="{B4B98A28-94A4-458C-AFE2-D9E1B33428C7}"/>
    <cellStyle name="Normal 2 2 2 2 2 2 2 2 2 2 2 21 2 4" xfId="10563" xr:uid="{B330A844-65DA-46B5-8B44-F059233DE5A7}"/>
    <cellStyle name="Normal 2 2 2 2 2 2 2 2 2 2 2 21 3" xfId="10564" xr:uid="{1FE08D2A-1772-4ACB-A67A-643A420E75FF}"/>
    <cellStyle name="Normal 2 2 2 2 2 2 2 2 2 2 2 21 4" xfId="10565" xr:uid="{7953C0FA-FCB9-4BE8-9120-3EC8A62796E8}"/>
    <cellStyle name="Normal 2 2 2 2 2 2 2 2 2 2 2 21 5" xfId="10566" xr:uid="{57896E11-400F-49B1-9285-CACA9D9A126E}"/>
    <cellStyle name="Normal 2 2 2 2 2 2 2 2 2 2 2 21 6" xfId="10567" xr:uid="{20B5EE0A-ECC9-4128-8858-04391A3A06BF}"/>
    <cellStyle name="Normal 2 2 2 2 2 2 2 2 2 2 2 22" xfId="10568" xr:uid="{173AC96E-9AFC-4D97-B1DF-A70867DCFD55}"/>
    <cellStyle name="Normal 2 2 2 2 2 2 2 2 2 2 2 23" xfId="10569" xr:uid="{77319048-F4A4-45E6-B98E-B20419CE2D66}"/>
    <cellStyle name="Normal 2 2 2 2 2 2 2 2 2 2 2 24" xfId="10570" xr:uid="{4605C87D-5EF1-4D37-B4DB-753B1A1E1A83}"/>
    <cellStyle name="Normal 2 2 2 2 2 2 2 2 2 2 2 25" xfId="10571" xr:uid="{39CA6055-42D5-4D23-9D16-AE8CD24C8143}"/>
    <cellStyle name="Normal 2 2 2 2 2 2 2 2 2 2 2 26" xfId="10572" xr:uid="{8FE59B5E-1805-4A05-9117-A34884BB842C}"/>
    <cellStyle name="Normal 2 2 2 2 2 2 2 2 2 2 2 27" xfId="10573" xr:uid="{151160B7-4D3D-4148-A9AA-94AD79A50730}"/>
    <cellStyle name="Normal 2 2 2 2 2 2 2 2 2 2 2 27 2" xfId="10574" xr:uid="{DD410642-5FA9-4072-9D5A-D612925CF700}"/>
    <cellStyle name="Normal 2 2 2 2 2 2 2 2 2 2 2 27 3" xfId="10575" xr:uid="{A08889C6-4A11-4AF5-86F6-A959F454C0B1}"/>
    <cellStyle name="Normal 2 2 2 2 2 2 2 2 2 2 2 27 4" xfId="10576" xr:uid="{EAC4A069-678F-479D-BB98-189FA42B803E}"/>
    <cellStyle name="Normal 2 2 2 2 2 2 2 2 2 2 2 28" xfId="10577" xr:uid="{04628A7F-EFC4-478D-84BE-0CAB0A6CF5EE}"/>
    <cellStyle name="Normal 2 2 2 2 2 2 2 2 2 2 2 29" xfId="10578" xr:uid="{7A5C2AE4-2A16-477B-B195-776EC10B4175}"/>
    <cellStyle name="Normal 2 2 2 2 2 2 2 2 2 2 2 3" xfId="10579" xr:uid="{37D72EFA-FBB4-4AB0-8810-F44B0F0F9730}"/>
    <cellStyle name="Normal 2 2 2 2 2 2 2 2 2 2 2 30" xfId="10580" xr:uid="{B1052DB9-D61E-4F25-8CC0-5234706210A7}"/>
    <cellStyle name="Normal 2 2 2 2 2 2 2 2 2 2 2 31" xfId="10581" xr:uid="{4FF8936F-9FFC-4657-97B4-22D787E3D587}"/>
    <cellStyle name="Normal 2 2 2 2 2 2 2 2 2 2 2 32" xfId="10582" xr:uid="{76E8E86E-1B93-4B15-BD06-C3EFFF2D48D6}"/>
    <cellStyle name="Normal 2 2 2 2 2 2 2 2 2 2 2 33" xfId="10583" xr:uid="{47A88C35-4B14-4198-90B3-3DE8DC563BB9}"/>
    <cellStyle name="Normal 2 2 2 2 2 2 2 2 2 2 2 34" xfId="10584" xr:uid="{C48D2993-9F60-4F36-A443-E67D4986E538}"/>
    <cellStyle name="Normal 2 2 2 2 2 2 2 2 2 2 2 35" xfId="10585" xr:uid="{BCACB195-1AC9-4EC6-8B47-FE12D5A6AB03}"/>
    <cellStyle name="Normal 2 2 2 2 2 2 2 2 2 2 2 36" xfId="10586" xr:uid="{62A7572B-D27B-44CB-A3DE-4312FD98BB07}"/>
    <cellStyle name="Normal 2 2 2 2 2 2 2 2 2 2 2 37" xfId="10587" xr:uid="{2496B9BA-042B-4CBB-87F1-D6944FA8FF4A}"/>
    <cellStyle name="Normal 2 2 2 2 2 2 2 2 2 2 2 38" xfId="10588" xr:uid="{3366344E-645A-4855-92B1-C979B8BBDF5D}"/>
    <cellStyle name="Normal 2 2 2 2 2 2 2 2 2 2 2 39" xfId="10589" xr:uid="{C7CAD1C6-714F-4D9F-9235-874ED144F1C4}"/>
    <cellStyle name="Normal 2 2 2 2 2 2 2 2 2 2 2 4" xfId="10590" xr:uid="{CB9AEED3-9ECA-4139-9665-16E6A669EFF9}"/>
    <cellStyle name="Normal 2 2 2 2 2 2 2 2 2 2 2 40" xfId="10591" xr:uid="{4CC5EBA5-4A9D-4B15-99CA-09B3AD45DC3B}"/>
    <cellStyle name="Normal 2 2 2 2 2 2 2 2 2 2 2 41" xfId="10592" xr:uid="{AC4B2290-B7DA-429B-B8CA-832C5F71A293}"/>
    <cellStyle name="Normal 2 2 2 2 2 2 2 2 2 2 2 42" xfId="10593" xr:uid="{8D0085A0-5A6E-4041-A2F0-76915268E25E}"/>
    <cellStyle name="Normal 2 2 2 2 2 2 2 2 2 2 2 42 2" xfId="10594" xr:uid="{62315546-506B-4C77-8FCA-DD08D83B32E3}"/>
    <cellStyle name="Normal 2 2 2 2 2 2 2 2 2 2 2 42 3" xfId="10595" xr:uid="{F162AC22-A8C8-48BF-9BED-0DD5BB7CD185}"/>
    <cellStyle name="Normal 2 2 2 2 2 2 2 2 2 2 2 42 4" xfId="10596" xr:uid="{9AE6A480-A99B-4484-A386-4C46F94727BA}"/>
    <cellStyle name="Normal 2 2 2 2 2 2 2 2 2 2 2 42 5" xfId="10597" xr:uid="{A6FB9A07-6AA1-45C4-AE5F-FC390AB488F3}"/>
    <cellStyle name="Normal 2 2 2 2 2 2 2 2 2 2 2 42 6" xfId="10598" xr:uid="{A97D8F92-B5AB-4862-B4A3-73AE5364E0BA}"/>
    <cellStyle name="Normal 2 2 2 2 2 2 2 2 2 2 2 42 7" xfId="10599" xr:uid="{C203C909-54CA-47EC-A209-57DBE89E9140}"/>
    <cellStyle name="Normal 2 2 2 2 2 2 2 2 2 2 2 43" xfId="10600" xr:uid="{AF13C8AC-746C-42D0-8DA3-A62AFC9E0E33}"/>
    <cellStyle name="Normal 2 2 2 2 2 2 2 2 2 2 2 44" xfId="10601" xr:uid="{4A4C15AD-E2DF-4639-B53B-7ABC39570536}"/>
    <cellStyle name="Normal 2 2 2 2 2 2 2 2 2 2 2 45" xfId="10602" xr:uid="{DF5D66CE-8699-4A7C-AB90-CBB512A51661}"/>
    <cellStyle name="Normal 2 2 2 2 2 2 2 2 2 2 2 46" xfId="10603" xr:uid="{0F13BCE9-7EAA-428A-A1FB-68F8CB50D386}"/>
    <cellStyle name="Normal 2 2 2 2 2 2 2 2 2 2 2 47" xfId="10604" xr:uid="{484C153D-59DB-46B7-99BB-4FAB8D433D99}"/>
    <cellStyle name="Normal 2 2 2 2 2 2 2 2 2 2 2 48" xfId="10605" xr:uid="{BD1CC20F-819F-4158-A0A0-B4F21EC3B2EB}"/>
    <cellStyle name="Normal 2 2 2 2 2 2 2 2 2 2 2 49" xfId="10606" xr:uid="{04CA8679-1118-45E2-A791-6B6972C4916C}"/>
    <cellStyle name="Normal 2 2 2 2 2 2 2 2 2 2 2 5" xfId="10607" xr:uid="{B8C147B6-6FA7-4129-8FAF-38401D6209FA}"/>
    <cellStyle name="Normal 2 2 2 2 2 2 2 2 2 2 2 50" xfId="10608" xr:uid="{BEA00D49-FA9D-48FA-81A9-F65C6B08B8AC}"/>
    <cellStyle name="Normal 2 2 2 2 2 2 2 2 2 2 2 51" xfId="10609" xr:uid="{B3968F5B-152C-4B8E-A24E-E92CD3658E65}"/>
    <cellStyle name="Normal 2 2 2 2 2 2 2 2 2 2 2 52" xfId="10610" xr:uid="{1AA6BFD1-6C7E-4216-88DC-6051D3369E3E}"/>
    <cellStyle name="Normal 2 2 2 2 2 2 2 2 2 2 2 53" xfId="10611" xr:uid="{E1E0DCD5-880C-48DB-AD70-850FC11C2B5D}"/>
    <cellStyle name="Normal 2 2 2 2 2 2 2 2 2 2 2 54" xfId="10612" xr:uid="{36B5FD11-B8AF-4EC3-8739-6853268F6964}"/>
    <cellStyle name="Normal 2 2 2 2 2 2 2 2 2 2 2 55" xfId="10613" xr:uid="{01F357D0-A226-418B-87EE-D66A30EE8C0E}"/>
    <cellStyle name="Normal 2 2 2 2 2 2 2 2 2 2 2 56" xfId="10614" xr:uid="{4BDF63A0-FF44-4DEF-9C46-2BEA75DDFD09}"/>
    <cellStyle name="Normal 2 2 2 2 2 2 2 2 2 2 2 57" xfId="10615" xr:uid="{9E0AEC9A-A21F-4813-AFAB-79DCD293D5A0}"/>
    <cellStyle name="Normal 2 2 2 2 2 2 2 2 2 2 2 58" xfId="10616" xr:uid="{CB20AC97-8E31-45F0-92B3-2E07D5C268AD}"/>
    <cellStyle name="Normal 2 2 2 2 2 2 2 2 2 2 2 59" xfId="10617" xr:uid="{49464B7B-9B3D-4439-B999-1FAFB7349EF5}"/>
    <cellStyle name="Normal 2 2 2 2 2 2 2 2 2 2 2 6" xfId="10618" xr:uid="{32DE6B02-C43A-4C48-B2E4-B07432DE08E8}"/>
    <cellStyle name="Normal 2 2 2 2 2 2 2 2 2 2 2 60" xfId="10619" xr:uid="{49CB4B99-FDBA-42B0-A00C-F117D7816AEC}"/>
    <cellStyle name="Normal 2 2 2 2 2 2 2 2 2 2 2 61" xfId="10620" xr:uid="{398C9834-E345-486C-9907-B7B8D855EA1D}"/>
    <cellStyle name="Normal 2 2 2 2 2 2 2 2 2 2 2 62" xfId="10621" xr:uid="{1902F15F-C0FB-4460-B97B-C0C191A36A07}"/>
    <cellStyle name="Normal 2 2 2 2 2 2 2 2 2 2 2 63" xfId="10622" xr:uid="{A4376C5C-2B67-464E-8D31-DB24427429B4}"/>
    <cellStyle name="Normal 2 2 2 2 2 2 2 2 2 2 2 64" xfId="10623" xr:uid="{79EEC220-A615-4024-A63C-D1BDEFB5FC3A}"/>
    <cellStyle name="Normal 2 2 2 2 2 2 2 2 2 2 2 65" xfId="10624" xr:uid="{0FD2435E-94BA-490A-9557-7658A4020DBA}"/>
    <cellStyle name="Normal 2 2 2 2 2 2 2 2 2 2 2 66" xfId="10625" xr:uid="{FA942ECC-F70B-4EAC-9286-97B566CF9F0F}"/>
    <cellStyle name="Normal 2 2 2 2 2 2 2 2 2 2 2 67" xfId="10626" xr:uid="{89F342DD-0961-4D08-A580-5A2208EEA214}"/>
    <cellStyle name="Normal 2 2 2 2 2 2 2 2 2 2 2 68" xfId="10627" xr:uid="{E112EFE8-EF52-45DE-AC4F-4D0BC6118A62}"/>
    <cellStyle name="Normal 2 2 2 2 2 2 2 2 2 2 2 69" xfId="10628" xr:uid="{9438A19E-6784-4C0C-B325-3455074D96D8}"/>
    <cellStyle name="Normal 2 2 2 2 2 2 2 2 2 2 2 7" xfId="10629" xr:uid="{0DC02F21-EC2F-420B-BA8F-978A0403601E}"/>
    <cellStyle name="Normal 2 2 2 2 2 2 2 2 2 2 2 70" xfId="10630" xr:uid="{A467FA26-5142-4ECC-AC78-F5884E445471}"/>
    <cellStyle name="Normal 2 2 2 2 2 2 2 2 2 2 2 71" xfId="10631" xr:uid="{C3FEEE71-3B05-4680-B0C3-D392D8CD4D1F}"/>
    <cellStyle name="Normal 2 2 2 2 2 2 2 2 2 2 2 72" xfId="10632" xr:uid="{E8F1B4D9-3E2E-4F95-8A8C-05A6076D2816}"/>
    <cellStyle name="Normal 2 2 2 2 2 2 2 2 2 2 2 73" xfId="10633" xr:uid="{BEA34133-3359-4D4D-86B0-A85DCFDBB3C7}"/>
    <cellStyle name="Normal 2 2 2 2 2 2 2 2 2 2 2 74" xfId="10634" xr:uid="{C1AE38E8-D78E-4173-84A2-6B32691430A3}"/>
    <cellStyle name="Normal 2 2 2 2 2 2 2 2 2 2 2 75" xfId="10635" xr:uid="{9FC708E6-1137-4195-B0C2-22619FCCBE1F}"/>
    <cellStyle name="Normal 2 2 2 2 2 2 2 2 2 2 2 76" xfId="10636" xr:uid="{8A7010A4-4354-4903-BE97-DB72FDF3F43D}"/>
    <cellStyle name="Normal 2 2 2 2 2 2 2 2 2 2 2 77" xfId="10637" xr:uid="{B0CDA55E-183A-4EA3-9F91-51DB5E6AE845}"/>
    <cellStyle name="Normal 2 2 2 2 2 2 2 2 2 2 2 78" xfId="10638" xr:uid="{61201022-39F0-48E5-B591-B897A30B1E78}"/>
    <cellStyle name="Normal 2 2 2 2 2 2 2 2 2 2 2 79" xfId="10639" xr:uid="{29CCEC9F-3B6A-4461-B312-5E1A68800DCD}"/>
    <cellStyle name="Normal 2 2 2 2 2 2 2 2 2 2 2 8" xfId="10640" xr:uid="{EDD67816-D4C1-40C7-BFB7-A3B9951101C7}"/>
    <cellStyle name="Normal 2 2 2 2 2 2 2 2 2 2 2 8 10" xfId="10641" xr:uid="{234AA05A-2455-4F31-A5E3-53A06CF5EE04}"/>
    <cellStyle name="Normal 2 2 2 2 2 2 2 2 2 2 2 8 11" xfId="10642" xr:uid="{9F9BE467-93EF-41FC-ABB2-E942CBA0D15D}"/>
    <cellStyle name="Normal 2 2 2 2 2 2 2 2 2 2 2 8 11 10" xfId="10643" xr:uid="{9AC3E11B-E25C-45AA-9341-398234983651}"/>
    <cellStyle name="Normal 2 2 2 2 2 2 2 2 2 2 2 8 11 11" xfId="10644" xr:uid="{CFE4E754-FA34-4DE2-B434-24335327276E}"/>
    <cellStyle name="Normal 2 2 2 2 2 2 2 2 2 2 2 8 11 11 2" xfId="10645" xr:uid="{3125CB94-A1FC-4E6A-AB1A-4DAB70142E6E}"/>
    <cellStyle name="Normal 2 2 2 2 2 2 2 2 2 2 2 8 11 11 3" xfId="10646" xr:uid="{98A3D056-CF8C-44DB-880C-13E193532AA9}"/>
    <cellStyle name="Normal 2 2 2 2 2 2 2 2 2 2 2 8 11 11 4" xfId="10647" xr:uid="{7FB08546-D452-49D5-B5FE-DA40E51301F7}"/>
    <cellStyle name="Normal 2 2 2 2 2 2 2 2 2 2 2 8 11 12" xfId="10648" xr:uid="{CC4B2E28-D98C-4A79-AEBB-06D79B08B4EB}"/>
    <cellStyle name="Normal 2 2 2 2 2 2 2 2 2 2 2 8 11 13" xfId="10649" xr:uid="{5F387430-5C55-4F50-9D38-0AD754652CAF}"/>
    <cellStyle name="Normal 2 2 2 2 2 2 2 2 2 2 2 8 11 14" xfId="10650" xr:uid="{6B018B86-EF35-4A65-8A1E-5269CC3AD255}"/>
    <cellStyle name="Normal 2 2 2 2 2 2 2 2 2 2 2 8 11 2" xfId="10651" xr:uid="{C6083D71-69EF-41E4-8881-AAFD5B1F5A6E}"/>
    <cellStyle name="Normal 2 2 2 2 2 2 2 2 2 2 2 8 11 2 10" xfId="10652" xr:uid="{87CA299A-653B-433C-A4DC-98DC39F6AF50}"/>
    <cellStyle name="Normal 2 2 2 2 2 2 2 2 2 2 2 8 11 2 11" xfId="10653" xr:uid="{D5F69305-9B8A-4FF6-90D7-0BCA6E1DE89F}"/>
    <cellStyle name="Normal 2 2 2 2 2 2 2 2 2 2 2 8 11 2 2" xfId="10654" xr:uid="{F28F22EE-6AD4-4126-B482-60D18B68B4B7}"/>
    <cellStyle name="Normal 2 2 2 2 2 2 2 2 2 2 2 8 11 2 2 10" xfId="10655" xr:uid="{2375B1AC-EE49-4C57-A7D8-94D73D4C2B87}"/>
    <cellStyle name="Normal 2 2 2 2 2 2 2 2 2 2 2 8 11 2 2 11" xfId="10656" xr:uid="{95F5EC37-D921-4F9A-BB06-445170FC784A}"/>
    <cellStyle name="Normal 2 2 2 2 2 2 2 2 2 2 2 8 11 2 2 2" xfId="10657" xr:uid="{D5D94EAB-14D5-41E8-9423-1C0E5F53594D}"/>
    <cellStyle name="Normal 2 2 2 2 2 2 2 2 2 2 2 8 11 2 2 2 2" xfId="10658" xr:uid="{76C951AF-8746-43B7-8638-911730C933D8}"/>
    <cellStyle name="Normal 2 2 2 2 2 2 2 2 2 2 2 8 11 2 2 2 2 2" xfId="10659" xr:uid="{6DD992DA-8575-4475-8158-E645E6681351}"/>
    <cellStyle name="Normal 2 2 2 2 2 2 2 2 2 2 2 8 11 2 2 2 2 3" xfId="10660" xr:uid="{04A55979-63C8-4F95-82EA-60BD5BEA1085}"/>
    <cellStyle name="Normal 2 2 2 2 2 2 2 2 2 2 2 8 11 2 2 2 2 4" xfId="10661" xr:uid="{F5D99CE0-F242-4FDB-846F-3802E671F934}"/>
    <cellStyle name="Normal 2 2 2 2 2 2 2 2 2 2 2 8 11 2 2 2 3" xfId="10662" xr:uid="{1F606F4B-365C-482A-B678-2D507EE351C3}"/>
    <cellStyle name="Normal 2 2 2 2 2 2 2 2 2 2 2 8 11 2 2 2 4" xfId="10663" xr:uid="{EAC05FAA-6B17-4861-AF56-35F5F4F91B84}"/>
    <cellStyle name="Normal 2 2 2 2 2 2 2 2 2 2 2 8 11 2 2 2 5" xfId="10664" xr:uid="{EB5A6FD9-9107-427B-90D1-D60306A26C92}"/>
    <cellStyle name="Normal 2 2 2 2 2 2 2 2 2 2 2 8 11 2 2 2 6" xfId="10665" xr:uid="{C1E02D6C-9E0E-4ABF-8A89-062F52D301B7}"/>
    <cellStyle name="Normal 2 2 2 2 2 2 2 2 2 2 2 8 11 2 2 3" xfId="10666" xr:uid="{1746D598-D1F0-49DF-BA38-35A4E1F9D399}"/>
    <cellStyle name="Normal 2 2 2 2 2 2 2 2 2 2 2 8 11 2 2 4" xfId="10667" xr:uid="{0E269320-66BB-4B9D-81AC-5621AA4A323E}"/>
    <cellStyle name="Normal 2 2 2 2 2 2 2 2 2 2 2 8 11 2 2 5" xfId="10668" xr:uid="{7F3C4769-5B60-45B5-A0A5-0541EB52D0B3}"/>
    <cellStyle name="Normal 2 2 2 2 2 2 2 2 2 2 2 8 11 2 2 6" xfId="10669" xr:uid="{E35DEFF6-6949-4766-8645-7ACE7E3D0931}"/>
    <cellStyle name="Normal 2 2 2 2 2 2 2 2 2 2 2 8 11 2 2 7" xfId="10670" xr:uid="{B9FF0A2F-31FD-40D5-9DBF-214D50E6D720}"/>
    <cellStyle name="Normal 2 2 2 2 2 2 2 2 2 2 2 8 11 2 2 8" xfId="10671" xr:uid="{467C2587-C911-4421-99A6-21FF6DC68197}"/>
    <cellStyle name="Normal 2 2 2 2 2 2 2 2 2 2 2 8 11 2 2 8 2" xfId="10672" xr:uid="{7C56C7FD-00A0-465A-BAB1-19180AC1D00A}"/>
    <cellStyle name="Normal 2 2 2 2 2 2 2 2 2 2 2 8 11 2 2 8 3" xfId="10673" xr:uid="{189C6104-805B-4D8C-A915-54BC4D829D86}"/>
    <cellStyle name="Normal 2 2 2 2 2 2 2 2 2 2 2 8 11 2 2 8 4" xfId="10674" xr:uid="{C0752AAE-A9F9-44DF-93E5-A754B56DA4D7}"/>
    <cellStyle name="Normal 2 2 2 2 2 2 2 2 2 2 2 8 11 2 2 9" xfId="10675" xr:uid="{C263FBCC-D2DF-4ED9-850A-267B8B9F2794}"/>
    <cellStyle name="Normal 2 2 2 2 2 2 2 2 2 2 2 8 11 2 3" xfId="10676" xr:uid="{61C198B8-0759-43D2-B2C7-9C0B7D309158}"/>
    <cellStyle name="Normal 2 2 2 2 2 2 2 2 2 2 2 8 11 2 3 2" xfId="10677" xr:uid="{0275524C-693A-4220-A5F6-3DF6532717ED}"/>
    <cellStyle name="Normal 2 2 2 2 2 2 2 2 2 2 2 8 11 2 3 2 2" xfId="10678" xr:uid="{72F3AD82-EAD8-428D-B050-89598FDD770A}"/>
    <cellStyle name="Normal 2 2 2 2 2 2 2 2 2 2 2 8 11 2 3 2 3" xfId="10679" xr:uid="{5F7304D1-9710-4429-B0A7-A22B48CBF4BB}"/>
    <cellStyle name="Normal 2 2 2 2 2 2 2 2 2 2 2 8 11 2 3 2 4" xfId="10680" xr:uid="{84BFE09B-EB12-4596-BBA5-EFBBFDF74B5F}"/>
    <cellStyle name="Normal 2 2 2 2 2 2 2 2 2 2 2 8 11 2 3 3" xfId="10681" xr:uid="{15E1A42A-0B32-4460-A982-B7C1E07040B0}"/>
    <cellStyle name="Normal 2 2 2 2 2 2 2 2 2 2 2 8 11 2 3 4" xfId="10682" xr:uid="{B915BCC1-B386-435C-91FE-B287DD3B4D8F}"/>
    <cellStyle name="Normal 2 2 2 2 2 2 2 2 2 2 2 8 11 2 3 5" xfId="10683" xr:uid="{AB9BEBD6-0DFB-4B36-A909-479421240579}"/>
    <cellStyle name="Normal 2 2 2 2 2 2 2 2 2 2 2 8 11 2 3 6" xfId="10684" xr:uid="{AD8EEE86-4F52-4CF2-A4E1-31F097724ADE}"/>
    <cellStyle name="Normal 2 2 2 2 2 2 2 2 2 2 2 8 11 2 4" xfId="10685" xr:uid="{BDCC5235-0A0A-4002-ACB6-787692164EBE}"/>
    <cellStyle name="Normal 2 2 2 2 2 2 2 2 2 2 2 8 11 2 5" xfId="10686" xr:uid="{25BF231D-5714-4235-86A4-DD97F6400C9B}"/>
    <cellStyle name="Normal 2 2 2 2 2 2 2 2 2 2 2 8 11 2 6" xfId="10687" xr:uid="{78900CD2-5214-44E2-9C13-A48DB7603B61}"/>
    <cellStyle name="Normal 2 2 2 2 2 2 2 2 2 2 2 8 11 2 7" xfId="10688" xr:uid="{7AB1977A-EE6D-4919-9F4C-8D7E41F98B6E}"/>
    <cellStyle name="Normal 2 2 2 2 2 2 2 2 2 2 2 8 11 2 8" xfId="10689" xr:uid="{0863B946-C04A-4A87-8E64-7CA17D350266}"/>
    <cellStyle name="Normal 2 2 2 2 2 2 2 2 2 2 2 8 11 2 8 2" xfId="10690" xr:uid="{C4EDB694-397F-4FBB-BE96-99C40081A224}"/>
    <cellStyle name="Normal 2 2 2 2 2 2 2 2 2 2 2 8 11 2 8 3" xfId="10691" xr:uid="{348B0D38-52DA-4CC5-8025-3EAF168A7742}"/>
    <cellStyle name="Normal 2 2 2 2 2 2 2 2 2 2 2 8 11 2 8 4" xfId="10692" xr:uid="{37181584-ABA0-4F5F-8618-054C910B85A2}"/>
    <cellStyle name="Normal 2 2 2 2 2 2 2 2 2 2 2 8 11 2 9" xfId="10693" xr:uid="{3F1C89A9-946A-4F25-ADB3-5FFFEF057A66}"/>
    <cellStyle name="Normal 2 2 2 2 2 2 2 2 2 2 2 8 11 3" xfId="10694" xr:uid="{DEBE5D60-FA96-426E-8FE8-5FE218E5F578}"/>
    <cellStyle name="Normal 2 2 2 2 2 2 2 2 2 2 2 8 11 4" xfId="10695" xr:uid="{466388E3-BC85-489B-B3EC-A5ED01C64F89}"/>
    <cellStyle name="Normal 2 2 2 2 2 2 2 2 2 2 2 8 11 5" xfId="10696" xr:uid="{D5F5FC00-0C0B-4D2C-A56B-1CF79C602B68}"/>
    <cellStyle name="Normal 2 2 2 2 2 2 2 2 2 2 2 8 11 5 2" xfId="10697" xr:uid="{F6B7CED8-7BAC-4D55-B4DA-061F5566BAA9}"/>
    <cellStyle name="Normal 2 2 2 2 2 2 2 2 2 2 2 8 11 5 2 2" xfId="10698" xr:uid="{18AD8C21-5AA7-46E7-9F2F-47840156A383}"/>
    <cellStyle name="Normal 2 2 2 2 2 2 2 2 2 2 2 8 11 5 2 3" xfId="10699" xr:uid="{6D504881-77E8-45D6-9302-34244C6C4B26}"/>
    <cellStyle name="Normal 2 2 2 2 2 2 2 2 2 2 2 8 11 5 2 4" xfId="10700" xr:uid="{A78AD4A4-BF1C-40AC-8D91-9649A416C6A9}"/>
    <cellStyle name="Normal 2 2 2 2 2 2 2 2 2 2 2 8 11 5 3" xfId="10701" xr:uid="{BABDDE85-92C7-45E3-ACBE-85CBB894E90F}"/>
    <cellStyle name="Normal 2 2 2 2 2 2 2 2 2 2 2 8 11 5 4" xfId="10702" xr:uid="{6FE86525-53BD-4554-8CCE-C6A5CCDAEA3A}"/>
    <cellStyle name="Normal 2 2 2 2 2 2 2 2 2 2 2 8 11 5 5" xfId="10703" xr:uid="{5F4896FB-9358-4411-8CC1-B7182D659C25}"/>
    <cellStyle name="Normal 2 2 2 2 2 2 2 2 2 2 2 8 11 5 6" xfId="10704" xr:uid="{502FC235-7D84-40D7-9674-937B4FD6C4AC}"/>
    <cellStyle name="Normal 2 2 2 2 2 2 2 2 2 2 2 8 11 6" xfId="10705" xr:uid="{64EEBF31-90BC-41B7-8CBE-F4F5F406BA8E}"/>
    <cellStyle name="Normal 2 2 2 2 2 2 2 2 2 2 2 8 11 7" xfId="10706" xr:uid="{95E4A1FB-EA3F-4C95-8E69-38D80F19136A}"/>
    <cellStyle name="Normal 2 2 2 2 2 2 2 2 2 2 2 8 11 8" xfId="10707" xr:uid="{753A1F37-D2CC-4B89-AF49-A66462BB7F88}"/>
    <cellStyle name="Normal 2 2 2 2 2 2 2 2 2 2 2 8 11 9" xfId="10708" xr:uid="{B519CAFA-4944-4165-9F6E-888ECC4C4704}"/>
    <cellStyle name="Normal 2 2 2 2 2 2 2 2 2 2 2 8 12" xfId="10709" xr:uid="{88ADF9F3-5111-400C-917C-DFDF2BC77B9F}"/>
    <cellStyle name="Normal 2 2 2 2 2 2 2 2 2 2 2 8 13" xfId="10710" xr:uid="{CBEFD3AC-75DF-4DD4-BD63-6B31DB1C4C5A}"/>
    <cellStyle name="Normal 2 2 2 2 2 2 2 2 2 2 2 8 13 10" xfId="10711" xr:uid="{42ECBB8A-84E4-4B30-87DA-42F479C8A0F3}"/>
    <cellStyle name="Normal 2 2 2 2 2 2 2 2 2 2 2 8 13 11" xfId="10712" xr:uid="{1B2BC77B-BDB8-4C43-866F-574FEF819C35}"/>
    <cellStyle name="Normal 2 2 2 2 2 2 2 2 2 2 2 8 13 2" xfId="10713" xr:uid="{8DA01150-E8D5-4C63-A8C5-ADC40A3DC689}"/>
    <cellStyle name="Normal 2 2 2 2 2 2 2 2 2 2 2 8 13 2 10" xfId="10714" xr:uid="{A50F7C7B-8E58-4CAC-B8CF-CEE04176778D}"/>
    <cellStyle name="Normal 2 2 2 2 2 2 2 2 2 2 2 8 13 2 11" xfId="10715" xr:uid="{46189363-BDE7-415C-AB6B-9C70E643011F}"/>
    <cellStyle name="Normal 2 2 2 2 2 2 2 2 2 2 2 8 13 2 2" xfId="10716" xr:uid="{961EE802-316F-4A17-8117-75A2F2FF1881}"/>
    <cellStyle name="Normal 2 2 2 2 2 2 2 2 2 2 2 8 13 2 2 2" xfId="10717" xr:uid="{1B5A1A4B-2628-4E0C-A617-EEE2E96C2DDB}"/>
    <cellStyle name="Normal 2 2 2 2 2 2 2 2 2 2 2 8 13 2 2 2 2" xfId="10718" xr:uid="{2B744BE8-DCBF-489F-94DF-099EAFEB62AF}"/>
    <cellStyle name="Normal 2 2 2 2 2 2 2 2 2 2 2 8 13 2 2 2 3" xfId="10719" xr:uid="{90EAA385-92D0-46FB-98B6-FBB139F9BC45}"/>
    <cellStyle name="Normal 2 2 2 2 2 2 2 2 2 2 2 8 13 2 2 2 4" xfId="10720" xr:uid="{944E8BEF-4AE8-42E9-8B2D-C37D4C1085F5}"/>
    <cellStyle name="Normal 2 2 2 2 2 2 2 2 2 2 2 8 13 2 2 3" xfId="10721" xr:uid="{F6396E54-960D-4D7B-9CA1-61B091D0578F}"/>
    <cellStyle name="Normal 2 2 2 2 2 2 2 2 2 2 2 8 13 2 2 4" xfId="10722" xr:uid="{C5557649-E942-4919-937C-8E34F64C063E}"/>
    <cellStyle name="Normal 2 2 2 2 2 2 2 2 2 2 2 8 13 2 2 5" xfId="10723" xr:uid="{C384E55D-94D7-43F4-ABF8-BF735FCF1BBB}"/>
    <cellStyle name="Normal 2 2 2 2 2 2 2 2 2 2 2 8 13 2 2 6" xfId="10724" xr:uid="{2A60E44F-5741-4DCC-8845-2D607857ADD3}"/>
    <cellStyle name="Normal 2 2 2 2 2 2 2 2 2 2 2 8 13 2 3" xfId="10725" xr:uid="{57D17D0A-7326-4825-8A39-B1877783F1FD}"/>
    <cellStyle name="Normal 2 2 2 2 2 2 2 2 2 2 2 8 13 2 4" xfId="10726" xr:uid="{57DD4E1A-E68D-482B-BCFC-4109CC74ACD1}"/>
    <cellStyle name="Normal 2 2 2 2 2 2 2 2 2 2 2 8 13 2 5" xfId="10727" xr:uid="{57DF711C-C5B0-4E4B-A37C-4978BBDAA40B}"/>
    <cellStyle name="Normal 2 2 2 2 2 2 2 2 2 2 2 8 13 2 6" xfId="10728" xr:uid="{451567F2-F106-46E9-B1BF-AC419056DD0D}"/>
    <cellStyle name="Normal 2 2 2 2 2 2 2 2 2 2 2 8 13 2 7" xfId="10729" xr:uid="{F782B1B5-5C89-441D-AB11-1FFB19BB93F2}"/>
    <cellStyle name="Normal 2 2 2 2 2 2 2 2 2 2 2 8 13 2 8" xfId="10730" xr:uid="{00F0D89D-D136-40C4-A0DB-F4FA8FF7940F}"/>
    <cellStyle name="Normal 2 2 2 2 2 2 2 2 2 2 2 8 13 2 8 2" xfId="10731" xr:uid="{020126D0-DE55-401E-87EC-30E1BA55AB8C}"/>
    <cellStyle name="Normal 2 2 2 2 2 2 2 2 2 2 2 8 13 2 8 3" xfId="10732" xr:uid="{B7546EB0-CAC9-4015-B9D2-5F7EDDF90874}"/>
    <cellStyle name="Normal 2 2 2 2 2 2 2 2 2 2 2 8 13 2 8 4" xfId="10733" xr:uid="{D152D27E-D577-4BF4-8320-A8B115BEE760}"/>
    <cellStyle name="Normal 2 2 2 2 2 2 2 2 2 2 2 8 13 2 9" xfId="10734" xr:uid="{5AB55433-7A65-4177-A096-2715742F17E6}"/>
    <cellStyle name="Normal 2 2 2 2 2 2 2 2 2 2 2 8 13 3" xfId="10735" xr:uid="{C88D30A6-A5F2-4BDC-A91D-192D6A740255}"/>
    <cellStyle name="Normal 2 2 2 2 2 2 2 2 2 2 2 8 13 3 2" xfId="10736" xr:uid="{CC8CD3C0-1B16-4ACF-A9A7-5EF50A11C975}"/>
    <cellStyle name="Normal 2 2 2 2 2 2 2 2 2 2 2 8 13 3 2 2" xfId="10737" xr:uid="{E33C2CCA-4925-40DA-9680-6BA935C6C9CE}"/>
    <cellStyle name="Normal 2 2 2 2 2 2 2 2 2 2 2 8 13 3 2 3" xfId="10738" xr:uid="{E8F6DD05-5B33-4C52-8D2F-EBE5B8781360}"/>
    <cellStyle name="Normal 2 2 2 2 2 2 2 2 2 2 2 8 13 3 2 4" xfId="10739" xr:uid="{99FB0942-951C-48BF-BEE6-944F12D909BA}"/>
    <cellStyle name="Normal 2 2 2 2 2 2 2 2 2 2 2 8 13 3 3" xfId="10740" xr:uid="{A0C9159F-B1E2-4609-B2FA-19C898136017}"/>
    <cellStyle name="Normal 2 2 2 2 2 2 2 2 2 2 2 8 13 3 4" xfId="10741" xr:uid="{C95A9859-4EF3-48D2-BEC1-65A26D7D5723}"/>
    <cellStyle name="Normal 2 2 2 2 2 2 2 2 2 2 2 8 13 3 5" xfId="10742" xr:uid="{9F29A31A-B2DF-4664-AFE1-7253BC42FA13}"/>
    <cellStyle name="Normal 2 2 2 2 2 2 2 2 2 2 2 8 13 3 6" xfId="10743" xr:uid="{4BD93C03-44FD-4D10-B9C5-2B2FC7B6F275}"/>
    <cellStyle name="Normal 2 2 2 2 2 2 2 2 2 2 2 8 13 4" xfId="10744" xr:uid="{DCCDC895-EB88-4BD5-B759-1DBEC10FD1BF}"/>
    <cellStyle name="Normal 2 2 2 2 2 2 2 2 2 2 2 8 13 5" xfId="10745" xr:uid="{AF257F46-0515-4817-A7C6-CF5F31590975}"/>
    <cellStyle name="Normal 2 2 2 2 2 2 2 2 2 2 2 8 13 6" xfId="10746" xr:uid="{ACFF6E6C-3546-427F-B14F-9C781F833694}"/>
    <cellStyle name="Normal 2 2 2 2 2 2 2 2 2 2 2 8 13 7" xfId="10747" xr:uid="{E07E2D69-4316-4922-998D-2A04C7D2AFF1}"/>
    <cellStyle name="Normal 2 2 2 2 2 2 2 2 2 2 2 8 13 8" xfId="10748" xr:uid="{F889CA56-25A0-40C8-A74A-F07DB781550E}"/>
    <cellStyle name="Normal 2 2 2 2 2 2 2 2 2 2 2 8 13 8 2" xfId="10749" xr:uid="{148664D2-35D8-4F17-BC21-21B14F52DD41}"/>
    <cellStyle name="Normal 2 2 2 2 2 2 2 2 2 2 2 8 13 8 3" xfId="10750" xr:uid="{8370F54E-BC11-47CF-B23C-5F15C39B3AC9}"/>
    <cellStyle name="Normal 2 2 2 2 2 2 2 2 2 2 2 8 13 8 4" xfId="10751" xr:uid="{E2AB0373-3857-4832-96AC-05EA7C1415BF}"/>
    <cellStyle name="Normal 2 2 2 2 2 2 2 2 2 2 2 8 13 9" xfId="10752" xr:uid="{29F586A4-BE53-4C4D-8FED-43EBF8B6F38E}"/>
    <cellStyle name="Normal 2 2 2 2 2 2 2 2 2 2 2 8 14" xfId="10753" xr:uid="{11F18CBD-C849-4C6B-BC99-D52619B15057}"/>
    <cellStyle name="Normal 2 2 2 2 2 2 2 2 2 2 2 8 15" xfId="10754" xr:uid="{51421733-70D9-4CF0-90DD-5CE184694AA6}"/>
    <cellStyle name="Normal 2 2 2 2 2 2 2 2 2 2 2 8 15 2" xfId="10755" xr:uid="{92EADAB2-2548-4A48-8BCF-2AE2B58576C5}"/>
    <cellStyle name="Normal 2 2 2 2 2 2 2 2 2 2 2 8 15 2 2" xfId="10756" xr:uid="{9971EBFB-C635-4BD8-B03D-013066488740}"/>
    <cellStyle name="Normal 2 2 2 2 2 2 2 2 2 2 2 8 15 2 3" xfId="10757" xr:uid="{D46E82D0-A1E2-404E-8A84-AEDBB377AF98}"/>
    <cellStyle name="Normal 2 2 2 2 2 2 2 2 2 2 2 8 15 2 4" xfId="10758" xr:uid="{E4028DEE-2980-48C0-A1F7-0C21D92F6FA4}"/>
    <cellStyle name="Normal 2 2 2 2 2 2 2 2 2 2 2 8 15 3" xfId="10759" xr:uid="{B654D0D7-4E7B-4AEF-9282-AD9133A618BA}"/>
    <cellStyle name="Normal 2 2 2 2 2 2 2 2 2 2 2 8 15 4" xfId="10760" xr:uid="{477881A1-4233-496A-A5F2-C7AF09499545}"/>
    <cellStyle name="Normal 2 2 2 2 2 2 2 2 2 2 2 8 15 5" xfId="10761" xr:uid="{00CB1A8F-98FB-4D82-88D2-222DC51743F0}"/>
    <cellStyle name="Normal 2 2 2 2 2 2 2 2 2 2 2 8 15 6" xfId="10762" xr:uid="{018011B1-7EA6-42AB-96D3-EBBF2EDC2940}"/>
    <cellStyle name="Normal 2 2 2 2 2 2 2 2 2 2 2 8 16" xfId="10763" xr:uid="{6FFA670A-0630-400E-B35D-869933FE2B42}"/>
    <cellStyle name="Normal 2 2 2 2 2 2 2 2 2 2 2 8 17" xfId="10764" xr:uid="{005AB1D1-BC4C-4521-846F-550B1A6934AB}"/>
    <cellStyle name="Normal 2 2 2 2 2 2 2 2 2 2 2 8 18" xfId="10765" xr:uid="{0A68947C-BC69-4C1C-9AC6-1A107B722DB9}"/>
    <cellStyle name="Normal 2 2 2 2 2 2 2 2 2 2 2 8 19" xfId="10766" xr:uid="{0D8F80AE-566B-481F-8F77-9CF3D6D19A97}"/>
    <cellStyle name="Normal 2 2 2 2 2 2 2 2 2 2 2 8 2" xfId="10767" xr:uid="{AC021EA7-F4F3-4DCE-AB80-0080309FA58B}"/>
    <cellStyle name="Normal 2 2 2 2 2 2 2 2 2 2 2 8 2 10" xfId="10768" xr:uid="{EF1E355E-F1C9-4775-8674-D96E8DAE1D60}"/>
    <cellStyle name="Normal 2 2 2 2 2 2 2 2 2 2 2 8 2 11" xfId="10769" xr:uid="{7E1830B2-82C1-44BA-BBDD-36AE5CC92540}"/>
    <cellStyle name="Normal 2 2 2 2 2 2 2 2 2 2 2 8 2 12" xfId="10770" xr:uid="{DC2DE19A-B678-4BC4-B644-8BCD811B460E}"/>
    <cellStyle name="Normal 2 2 2 2 2 2 2 2 2 2 2 8 2 13" xfId="10771" xr:uid="{1AB3AA3C-67B2-4849-BDD0-02B5A1ECD562}"/>
    <cellStyle name="Normal 2 2 2 2 2 2 2 2 2 2 2 8 2 13 2" xfId="10772" xr:uid="{C0407FAE-4E04-4306-A3F5-A794E7DD1A02}"/>
    <cellStyle name="Normal 2 2 2 2 2 2 2 2 2 2 2 8 2 13 3" xfId="10773" xr:uid="{9C9892DF-82BA-401E-AD15-2A9A45330462}"/>
    <cellStyle name="Normal 2 2 2 2 2 2 2 2 2 2 2 8 2 13 4" xfId="10774" xr:uid="{67BA3A29-E473-4456-96C2-319DBA595A4A}"/>
    <cellStyle name="Normal 2 2 2 2 2 2 2 2 2 2 2 8 2 14" xfId="10775" xr:uid="{91DFAD0D-85BD-465B-B768-0002630431FC}"/>
    <cellStyle name="Normal 2 2 2 2 2 2 2 2 2 2 2 8 2 15" xfId="10776" xr:uid="{BAFA5C9C-49E8-423E-8401-43816F320E0B}"/>
    <cellStyle name="Normal 2 2 2 2 2 2 2 2 2 2 2 8 2 16" xfId="10777" xr:uid="{15310984-368F-47B9-A459-FF20A1D1A614}"/>
    <cellStyle name="Normal 2 2 2 2 2 2 2 2 2 2 2 8 2 2" xfId="10778" xr:uid="{1EA173F2-7552-4BAB-B611-774F3E9D65A4}"/>
    <cellStyle name="Normal 2 2 2 2 2 2 2 2 2 2 2 8 2 2 10" xfId="10779" xr:uid="{E93464F3-B5EE-455C-86F2-1A815EB1962C}"/>
    <cellStyle name="Normal 2 2 2 2 2 2 2 2 2 2 2 8 2 2 11" xfId="10780" xr:uid="{46D4210C-F812-4D1D-B28E-4925914EA695}"/>
    <cellStyle name="Normal 2 2 2 2 2 2 2 2 2 2 2 8 2 2 11 2" xfId="10781" xr:uid="{78CB5E67-D58A-4402-BFA8-2FDD70FD24F3}"/>
    <cellStyle name="Normal 2 2 2 2 2 2 2 2 2 2 2 8 2 2 11 3" xfId="10782" xr:uid="{BDCA2FF7-680C-47A6-B9CC-BEE95343C673}"/>
    <cellStyle name="Normal 2 2 2 2 2 2 2 2 2 2 2 8 2 2 11 4" xfId="10783" xr:uid="{B5EDE592-5CCA-447E-BAF5-DD77890259B2}"/>
    <cellStyle name="Normal 2 2 2 2 2 2 2 2 2 2 2 8 2 2 12" xfId="10784" xr:uid="{C6568ABD-BBFE-47B2-8658-6BB08DCCBC0C}"/>
    <cellStyle name="Normal 2 2 2 2 2 2 2 2 2 2 2 8 2 2 13" xfId="10785" xr:uid="{0105427A-0B56-42BA-9F74-F609DD44B833}"/>
    <cellStyle name="Normal 2 2 2 2 2 2 2 2 2 2 2 8 2 2 14" xfId="10786" xr:uid="{CA3B35F6-C002-465C-980C-6B62C298DBE0}"/>
    <cellStyle name="Normal 2 2 2 2 2 2 2 2 2 2 2 8 2 2 2" xfId="10787" xr:uid="{6F5CB301-76A1-435D-A2EE-074373C6809F}"/>
    <cellStyle name="Normal 2 2 2 2 2 2 2 2 2 2 2 8 2 2 2 10" xfId="10788" xr:uid="{2B2D25BC-9A07-4AB6-BF06-75A8EDB2EE5F}"/>
    <cellStyle name="Normal 2 2 2 2 2 2 2 2 2 2 2 8 2 2 2 11" xfId="10789" xr:uid="{265B060B-6D59-4211-BA52-F5EC201EBD9D}"/>
    <cellStyle name="Normal 2 2 2 2 2 2 2 2 2 2 2 8 2 2 2 2" xfId="10790" xr:uid="{6BFF2557-86CF-419C-BB3F-39AE8B173CAD}"/>
    <cellStyle name="Normal 2 2 2 2 2 2 2 2 2 2 2 8 2 2 2 2 10" xfId="10791" xr:uid="{4A9882C2-207A-461D-995A-368A3EDC7E05}"/>
    <cellStyle name="Normal 2 2 2 2 2 2 2 2 2 2 2 8 2 2 2 2 11" xfId="10792" xr:uid="{E14397F2-E257-42CD-9F2F-ACE016AD0B6B}"/>
    <cellStyle name="Normal 2 2 2 2 2 2 2 2 2 2 2 8 2 2 2 2 2" xfId="10793" xr:uid="{E972818C-18AD-4A79-831C-E9C293448DA9}"/>
    <cellStyle name="Normal 2 2 2 2 2 2 2 2 2 2 2 8 2 2 2 2 2 2" xfId="10794" xr:uid="{D922EDD4-BFFD-4D32-9966-711A88F8F598}"/>
    <cellStyle name="Normal 2 2 2 2 2 2 2 2 2 2 2 8 2 2 2 2 2 2 2" xfId="10795" xr:uid="{9A2958DD-FED0-48CA-9E7B-1B7A76AD0F66}"/>
    <cellStyle name="Normal 2 2 2 2 2 2 2 2 2 2 2 8 2 2 2 2 2 2 3" xfId="10796" xr:uid="{6970CF6D-73A3-451F-9161-B24C0A9876FD}"/>
    <cellStyle name="Normal 2 2 2 2 2 2 2 2 2 2 2 8 2 2 2 2 2 2 4" xfId="10797" xr:uid="{5D0800FB-AAE2-4D51-9E5D-D3AD694D0AA0}"/>
    <cellStyle name="Normal 2 2 2 2 2 2 2 2 2 2 2 8 2 2 2 2 2 3" xfId="10798" xr:uid="{5B908E3B-2139-4142-A7F1-878DE6D757F5}"/>
    <cellStyle name="Normal 2 2 2 2 2 2 2 2 2 2 2 8 2 2 2 2 2 4" xfId="10799" xr:uid="{CF2BFB57-4986-41BC-9C96-2D3A9FE1C46F}"/>
    <cellStyle name="Normal 2 2 2 2 2 2 2 2 2 2 2 8 2 2 2 2 2 5" xfId="10800" xr:uid="{5F2C5CC5-6356-403E-A50A-72806A0335E1}"/>
    <cellStyle name="Normal 2 2 2 2 2 2 2 2 2 2 2 8 2 2 2 2 2 6" xfId="10801" xr:uid="{7D2747BC-D6D1-4D91-BE3F-540F2766DBCE}"/>
    <cellStyle name="Normal 2 2 2 2 2 2 2 2 2 2 2 8 2 2 2 2 3" xfId="10802" xr:uid="{1C1E2B1F-34C7-4BC8-964A-74B2595977AC}"/>
    <cellStyle name="Normal 2 2 2 2 2 2 2 2 2 2 2 8 2 2 2 2 4" xfId="10803" xr:uid="{ED530324-1EFD-4CD3-9658-9F886A42E006}"/>
    <cellStyle name="Normal 2 2 2 2 2 2 2 2 2 2 2 8 2 2 2 2 5" xfId="10804" xr:uid="{EDC15C76-B1EB-4D6C-8B09-B36F4C436DA3}"/>
    <cellStyle name="Normal 2 2 2 2 2 2 2 2 2 2 2 8 2 2 2 2 6" xfId="10805" xr:uid="{0C863940-6941-4587-B9CF-1CEBD027D3FB}"/>
    <cellStyle name="Normal 2 2 2 2 2 2 2 2 2 2 2 8 2 2 2 2 7" xfId="10806" xr:uid="{810933E7-75A6-470B-B043-0058B3F2C5DD}"/>
    <cellStyle name="Normal 2 2 2 2 2 2 2 2 2 2 2 8 2 2 2 2 8" xfId="10807" xr:uid="{EED2BC70-D19E-4AB1-B4E6-2F333AACDE7F}"/>
    <cellStyle name="Normal 2 2 2 2 2 2 2 2 2 2 2 8 2 2 2 2 8 2" xfId="10808" xr:uid="{646D0391-5453-4370-84C2-B3EFE42E31C0}"/>
    <cellStyle name="Normal 2 2 2 2 2 2 2 2 2 2 2 8 2 2 2 2 8 3" xfId="10809" xr:uid="{D69728CD-B0F6-4B78-996F-2D270A774771}"/>
    <cellStyle name="Normal 2 2 2 2 2 2 2 2 2 2 2 8 2 2 2 2 8 4" xfId="10810" xr:uid="{79610E47-2C05-4987-BD1D-D19B964DC3A1}"/>
    <cellStyle name="Normal 2 2 2 2 2 2 2 2 2 2 2 8 2 2 2 2 9" xfId="10811" xr:uid="{59364667-599D-41FD-9293-C26FC60EBE21}"/>
    <cellStyle name="Normal 2 2 2 2 2 2 2 2 2 2 2 8 2 2 2 3" xfId="10812" xr:uid="{85629A73-D479-47B6-AFEC-22EDE497F63D}"/>
    <cellStyle name="Normal 2 2 2 2 2 2 2 2 2 2 2 8 2 2 2 3 2" xfId="10813" xr:uid="{352C12EA-EAFD-4E46-9C3F-E86A65B1857C}"/>
    <cellStyle name="Normal 2 2 2 2 2 2 2 2 2 2 2 8 2 2 2 3 2 2" xfId="10814" xr:uid="{B7B17B93-D3F9-40EF-8E29-DF38B64BBC26}"/>
    <cellStyle name="Normal 2 2 2 2 2 2 2 2 2 2 2 8 2 2 2 3 2 3" xfId="10815" xr:uid="{D66D3B04-F54F-4C6C-A555-FED77A47EF13}"/>
    <cellStyle name="Normal 2 2 2 2 2 2 2 2 2 2 2 8 2 2 2 3 2 4" xfId="10816" xr:uid="{222FCD25-0457-41AA-A61F-AA4387DB4EC5}"/>
    <cellStyle name="Normal 2 2 2 2 2 2 2 2 2 2 2 8 2 2 2 3 3" xfId="10817" xr:uid="{561355B0-51E9-427E-A1FE-D9327501F1E4}"/>
    <cellStyle name="Normal 2 2 2 2 2 2 2 2 2 2 2 8 2 2 2 3 4" xfId="10818" xr:uid="{D88FAD0E-4B05-49F0-9C98-94FE51E37331}"/>
    <cellStyle name="Normal 2 2 2 2 2 2 2 2 2 2 2 8 2 2 2 3 5" xfId="10819" xr:uid="{6FFE73DB-1607-4ABC-9FCB-6F593AE637C4}"/>
    <cellStyle name="Normal 2 2 2 2 2 2 2 2 2 2 2 8 2 2 2 3 6" xfId="10820" xr:uid="{A5F33E6C-49FB-4F1D-BFE0-5392D4A6AE60}"/>
    <cellStyle name="Normal 2 2 2 2 2 2 2 2 2 2 2 8 2 2 2 4" xfId="10821" xr:uid="{408009F3-D485-4F57-8F80-83E2B1F7EA7B}"/>
    <cellStyle name="Normal 2 2 2 2 2 2 2 2 2 2 2 8 2 2 2 5" xfId="10822" xr:uid="{3473F678-C60C-4DEF-8AB9-A49D765A98C2}"/>
    <cellStyle name="Normal 2 2 2 2 2 2 2 2 2 2 2 8 2 2 2 6" xfId="10823" xr:uid="{3A0B414C-CF72-4893-A64E-06A724437122}"/>
    <cellStyle name="Normal 2 2 2 2 2 2 2 2 2 2 2 8 2 2 2 7" xfId="10824" xr:uid="{143A4605-A23D-4492-970D-2D1AB0D1A5BB}"/>
    <cellStyle name="Normal 2 2 2 2 2 2 2 2 2 2 2 8 2 2 2 8" xfId="10825" xr:uid="{6E5A39E7-AB96-42A1-9173-3CE48BBED7BA}"/>
    <cellStyle name="Normal 2 2 2 2 2 2 2 2 2 2 2 8 2 2 2 8 2" xfId="10826" xr:uid="{474C5D5B-8A5A-4676-8D95-5D1CB669D348}"/>
    <cellStyle name="Normal 2 2 2 2 2 2 2 2 2 2 2 8 2 2 2 8 3" xfId="10827" xr:uid="{CE13DEAE-5845-45AA-8D99-029665DC1C3F}"/>
    <cellStyle name="Normal 2 2 2 2 2 2 2 2 2 2 2 8 2 2 2 8 4" xfId="10828" xr:uid="{91BEF939-CC7C-4F47-B6F0-A2E855D68E1D}"/>
    <cellStyle name="Normal 2 2 2 2 2 2 2 2 2 2 2 8 2 2 2 9" xfId="10829" xr:uid="{821063BF-4547-4EBD-A85E-8A3A6046D022}"/>
    <cellStyle name="Normal 2 2 2 2 2 2 2 2 2 2 2 8 2 2 3" xfId="10830" xr:uid="{8E1181FC-7464-4769-A701-1BF24A3F3334}"/>
    <cellStyle name="Normal 2 2 2 2 2 2 2 2 2 2 2 8 2 2 4" xfId="10831" xr:uid="{B571E72C-7D4F-46C3-A9D7-F0A387C0D1F3}"/>
    <cellStyle name="Normal 2 2 2 2 2 2 2 2 2 2 2 8 2 2 5" xfId="10832" xr:uid="{8F1209DF-9B06-4DD0-8E01-7A880796EE94}"/>
    <cellStyle name="Normal 2 2 2 2 2 2 2 2 2 2 2 8 2 2 5 2" xfId="10833" xr:uid="{B0B8EAB6-18AD-4797-A26F-A7299BF883DA}"/>
    <cellStyle name="Normal 2 2 2 2 2 2 2 2 2 2 2 8 2 2 5 2 2" xfId="10834" xr:uid="{17EE1AFB-6C1F-4FE3-8B05-3E6884519AD1}"/>
    <cellStyle name="Normal 2 2 2 2 2 2 2 2 2 2 2 8 2 2 5 2 3" xfId="10835" xr:uid="{27085D3D-5742-4A07-BBF0-90047C1BD5E2}"/>
    <cellStyle name="Normal 2 2 2 2 2 2 2 2 2 2 2 8 2 2 5 2 4" xfId="10836" xr:uid="{C0B11985-83E3-42DD-A703-FAFEF2C24AD5}"/>
    <cellStyle name="Normal 2 2 2 2 2 2 2 2 2 2 2 8 2 2 5 3" xfId="10837" xr:uid="{3D7FB04F-F12A-4C54-9A43-E559CC56188A}"/>
    <cellStyle name="Normal 2 2 2 2 2 2 2 2 2 2 2 8 2 2 5 4" xfId="10838" xr:uid="{BC6DF593-BE20-4A39-9BB0-ABE799920998}"/>
    <cellStyle name="Normal 2 2 2 2 2 2 2 2 2 2 2 8 2 2 5 5" xfId="10839" xr:uid="{21CCC28B-8044-4FDD-91E6-62A283950B3B}"/>
    <cellStyle name="Normal 2 2 2 2 2 2 2 2 2 2 2 8 2 2 5 6" xfId="10840" xr:uid="{1D0BC83B-DC51-4397-9BD8-20641E6FEADC}"/>
    <cellStyle name="Normal 2 2 2 2 2 2 2 2 2 2 2 8 2 2 6" xfId="10841" xr:uid="{6EE5679C-1DC9-431E-852D-30B20DC72B5E}"/>
    <cellStyle name="Normal 2 2 2 2 2 2 2 2 2 2 2 8 2 2 7" xfId="10842" xr:uid="{B5BF3EC8-C58B-46FE-B780-9F9574320D59}"/>
    <cellStyle name="Normal 2 2 2 2 2 2 2 2 2 2 2 8 2 2 8" xfId="10843" xr:uid="{2C286B96-E6C4-4DF6-8516-C4BCD413B099}"/>
    <cellStyle name="Normal 2 2 2 2 2 2 2 2 2 2 2 8 2 2 9" xfId="10844" xr:uid="{26FC57F0-7CE4-44C8-8F2A-2E5FCE8E5124}"/>
    <cellStyle name="Normal 2 2 2 2 2 2 2 2 2 2 2 8 2 3" xfId="10845" xr:uid="{5EF60388-530F-4192-BC4E-9FA1E5862FDA}"/>
    <cellStyle name="Normal 2 2 2 2 2 2 2 2 2 2 2 8 2 4" xfId="10846" xr:uid="{666A79F2-4743-45A1-B708-0EE20FB168F9}"/>
    <cellStyle name="Normal 2 2 2 2 2 2 2 2 2 2 2 8 2 5" xfId="10847" xr:uid="{FE8D49F1-5B4C-4981-A4CE-690247A7F557}"/>
    <cellStyle name="Normal 2 2 2 2 2 2 2 2 2 2 2 8 2 5 10" xfId="10848" xr:uid="{9A9879B9-A2AE-491F-A384-530A3F5DCF0B}"/>
    <cellStyle name="Normal 2 2 2 2 2 2 2 2 2 2 2 8 2 5 11" xfId="10849" xr:uid="{BAFD77E6-6A4C-4F26-B33F-537A3E1189DC}"/>
    <cellStyle name="Normal 2 2 2 2 2 2 2 2 2 2 2 8 2 5 2" xfId="10850" xr:uid="{FC910319-CE8C-4063-A212-FA5C721DD0D8}"/>
    <cellStyle name="Normal 2 2 2 2 2 2 2 2 2 2 2 8 2 5 2 10" xfId="10851" xr:uid="{3F0FC0AE-CA02-41AA-8892-ACA9E692C39D}"/>
    <cellStyle name="Normal 2 2 2 2 2 2 2 2 2 2 2 8 2 5 2 11" xfId="10852" xr:uid="{8F01636C-920E-46E2-B319-E6C5C6DB6219}"/>
    <cellStyle name="Normal 2 2 2 2 2 2 2 2 2 2 2 8 2 5 2 2" xfId="10853" xr:uid="{B9FC7C02-3634-4D0E-AED4-870B50F8654B}"/>
    <cellStyle name="Normal 2 2 2 2 2 2 2 2 2 2 2 8 2 5 2 2 2" xfId="10854" xr:uid="{C0A32CB8-7702-419F-8067-9F6720D2FFAE}"/>
    <cellStyle name="Normal 2 2 2 2 2 2 2 2 2 2 2 8 2 5 2 2 2 2" xfId="10855" xr:uid="{EE5C5D17-1336-4D78-B349-32C2661780BA}"/>
    <cellStyle name="Normal 2 2 2 2 2 2 2 2 2 2 2 8 2 5 2 2 2 3" xfId="10856" xr:uid="{7A262FDB-EA88-4089-AC25-E23B29D295C6}"/>
    <cellStyle name="Normal 2 2 2 2 2 2 2 2 2 2 2 8 2 5 2 2 2 4" xfId="10857" xr:uid="{5F17F969-63E0-4072-A1D6-B75AEA9F5520}"/>
    <cellStyle name="Normal 2 2 2 2 2 2 2 2 2 2 2 8 2 5 2 2 3" xfId="10858" xr:uid="{3780CA70-1806-4E26-B176-3971FF30CA77}"/>
    <cellStyle name="Normal 2 2 2 2 2 2 2 2 2 2 2 8 2 5 2 2 4" xfId="10859" xr:uid="{776FFCD2-28B1-47F9-9020-2BD6D9A3ECDC}"/>
    <cellStyle name="Normal 2 2 2 2 2 2 2 2 2 2 2 8 2 5 2 2 5" xfId="10860" xr:uid="{277A1A07-D388-4281-BB6D-E9F014AA0182}"/>
    <cellStyle name="Normal 2 2 2 2 2 2 2 2 2 2 2 8 2 5 2 2 6" xfId="10861" xr:uid="{41B60B98-2F77-45ED-AE01-09C4BFBAC711}"/>
    <cellStyle name="Normal 2 2 2 2 2 2 2 2 2 2 2 8 2 5 2 3" xfId="10862" xr:uid="{4AA08664-5179-4DFF-9A68-04B09004CD87}"/>
    <cellStyle name="Normal 2 2 2 2 2 2 2 2 2 2 2 8 2 5 2 4" xfId="10863" xr:uid="{6CA4CC0B-3229-4F3D-9126-B67DB6ADAA5D}"/>
    <cellStyle name="Normal 2 2 2 2 2 2 2 2 2 2 2 8 2 5 2 5" xfId="10864" xr:uid="{621E5829-5170-482D-8FFA-49F559080AD2}"/>
    <cellStyle name="Normal 2 2 2 2 2 2 2 2 2 2 2 8 2 5 2 6" xfId="10865" xr:uid="{281460F6-B167-48FF-BA32-C687AD4D4652}"/>
    <cellStyle name="Normal 2 2 2 2 2 2 2 2 2 2 2 8 2 5 2 7" xfId="10866" xr:uid="{AAF895E1-483D-4975-85A0-41C60B10D8BB}"/>
    <cellStyle name="Normal 2 2 2 2 2 2 2 2 2 2 2 8 2 5 2 8" xfId="10867" xr:uid="{CEADB91A-F9C3-43B3-8C4E-3A6BFB475A6D}"/>
    <cellStyle name="Normal 2 2 2 2 2 2 2 2 2 2 2 8 2 5 2 8 2" xfId="10868" xr:uid="{D5E4E351-26EB-4337-83C5-411F1C9CC3EA}"/>
    <cellStyle name="Normal 2 2 2 2 2 2 2 2 2 2 2 8 2 5 2 8 3" xfId="10869" xr:uid="{9D53107E-B3AB-434B-93BF-C7073B2A99DA}"/>
    <cellStyle name="Normal 2 2 2 2 2 2 2 2 2 2 2 8 2 5 2 8 4" xfId="10870" xr:uid="{8DEA0E28-F0E6-43C2-83F2-6D64A237F41B}"/>
    <cellStyle name="Normal 2 2 2 2 2 2 2 2 2 2 2 8 2 5 2 9" xfId="10871" xr:uid="{092C5BCD-6A59-4ECA-9B1E-EC7DBD78C973}"/>
    <cellStyle name="Normal 2 2 2 2 2 2 2 2 2 2 2 8 2 5 3" xfId="10872" xr:uid="{6C62B34F-8538-453D-B6C2-C44E72E6DD3C}"/>
    <cellStyle name="Normal 2 2 2 2 2 2 2 2 2 2 2 8 2 5 3 2" xfId="10873" xr:uid="{AA2F296F-812F-4479-BF2A-A9F6337C2901}"/>
    <cellStyle name="Normal 2 2 2 2 2 2 2 2 2 2 2 8 2 5 3 2 2" xfId="10874" xr:uid="{0AF9DD07-64A5-4213-921F-E34179DA2106}"/>
    <cellStyle name="Normal 2 2 2 2 2 2 2 2 2 2 2 8 2 5 3 2 3" xfId="10875" xr:uid="{D39D9544-087C-44B9-B2AD-2D679B63DB69}"/>
    <cellStyle name="Normal 2 2 2 2 2 2 2 2 2 2 2 8 2 5 3 2 4" xfId="10876" xr:uid="{B51B33C7-B679-4A31-A7BC-A4094D3F48A1}"/>
    <cellStyle name="Normal 2 2 2 2 2 2 2 2 2 2 2 8 2 5 3 3" xfId="10877" xr:uid="{3315FA32-5545-4C7B-8257-C693F17316AE}"/>
    <cellStyle name="Normal 2 2 2 2 2 2 2 2 2 2 2 8 2 5 3 4" xfId="10878" xr:uid="{F5B11A69-FF4B-4063-A555-8DB019CB50D3}"/>
    <cellStyle name="Normal 2 2 2 2 2 2 2 2 2 2 2 8 2 5 3 5" xfId="10879" xr:uid="{2023EA04-9C42-4608-B128-B45038CC2D0E}"/>
    <cellStyle name="Normal 2 2 2 2 2 2 2 2 2 2 2 8 2 5 3 6" xfId="10880" xr:uid="{5D991670-C133-478B-834C-3DCAF267DEB4}"/>
    <cellStyle name="Normal 2 2 2 2 2 2 2 2 2 2 2 8 2 5 4" xfId="10881" xr:uid="{D25B6358-17EF-41B0-AF4B-0CC847737140}"/>
    <cellStyle name="Normal 2 2 2 2 2 2 2 2 2 2 2 8 2 5 5" xfId="10882" xr:uid="{6AD111BC-6E02-4A11-AF69-BE7B1821C30D}"/>
    <cellStyle name="Normal 2 2 2 2 2 2 2 2 2 2 2 8 2 5 6" xfId="10883" xr:uid="{53D5AA05-D4C1-4B79-813B-E4D76021E9E4}"/>
    <cellStyle name="Normal 2 2 2 2 2 2 2 2 2 2 2 8 2 5 7" xfId="10884" xr:uid="{CD97485C-590F-46BE-B97A-33E429EC41A7}"/>
    <cellStyle name="Normal 2 2 2 2 2 2 2 2 2 2 2 8 2 5 8" xfId="10885" xr:uid="{95A4F39A-F7A3-4FFD-9760-18474861475D}"/>
    <cellStyle name="Normal 2 2 2 2 2 2 2 2 2 2 2 8 2 5 8 2" xfId="10886" xr:uid="{F8D90DFD-2395-4B11-A965-63E51DF4D6FB}"/>
    <cellStyle name="Normal 2 2 2 2 2 2 2 2 2 2 2 8 2 5 8 3" xfId="10887" xr:uid="{0298CE6E-9EAC-4189-992D-2586ED5481CC}"/>
    <cellStyle name="Normal 2 2 2 2 2 2 2 2 2 2 2 8 2 5 8 4" xfId="10888" xr:uid="{5B45EE08-8E55-458F-99F3-E0D14C5E7FD9}"/>
    <cellStyle name="Normal 2 2 2 2 2 2 2 2 2 2 2 8 2 5 9" xfId="10889" xr:uid="{F48614F2-C377-42B5-A487-2D2C33CFF022}"/>
    <cellStyle name="Normal 2 2 2 2 2 2 2 2 2 2 2 8 2 6" xfId="10890" xr:uid="{A28356DF-27EF-4480-8185-6E06510FF759}"/>
    <cellStyle name="Normal 2 2 2 2 2 2 2 2 2 2 2 8 2 7" xfId="10891" xr:uid="{03E36C4F-ABF2-4A68-8D47-2546056B7E21}"/>
    <cellStyle name="Normal 2 2 2 2 2 2 2 2 2 2 2 8 2 7 2" xfId="10892" xr:uid="{5340CDB5-F456-4264-808D-94EB9A44C9EF}"/>
    <cellStyle name="Normal 2 2 2 2 2 2 2 2 2 2 2 8 2 7 2 2" xfId="10893" xr:uid="{CB0853C6-2C67-4475-8832-BF6063AE5523}"/>
    <cellStyle name="Normal 2 2 2 2 2 2 2 2 2 2 2 8 2 7 2 3" xfId="10894" xr:uid="{F8040329-B5D9-4BC3-B4BE-9AF1FBA4CA69}"/>
    <cellStyle name="Normal 2 2 2 2 2 2 2 2 2 2 2 8 2 7 2 4" xfId="10895" xr:uid="{38D5ADB6-88F5-4254-8B04-77A9D1A84EB3}"/>
    <cellStyle name="Normal 2 2 2 2 2 2 2 2 2 2 2 8 2 7 3" xfId="10896" xr:uid="{CFE52D87-7367-477F-B988-44F608CE611A}"/>
    <cellStyle name="Normal 2 2 2 2 2 2 2 2 2 2 2 8 2 7 4" xfId="10897" xr:uid="{E8205776-1279-41C0-8E5C-A26E235F8CB9}"/>
    <cellStyle name="Normal 2 2 2 2 2 2 2 2 2 2 2 8 2 7 5" xfId="10898" xr:uid="{ECDA5313-C661-4B95-AB71-B3192DAF7F8E}"/>
    <cellStyle name="Normal 2 2 2 2 2 2 2 2 2 2 2 8 2 7 6" xfId="10899" xr:uid="{C43E1D85-F3EE-40C2-AB61-AA2F98E562F3}"/>
    <cellStyle name="Normal 2 2 2 2 2 2 2 2 2 2 2 8 2 8" xfId="10900" xr:uid="{F518D74F-38A6-4E0F-A8E0-85DCEEEC5167}"/>
    <cellStyle name="Normal 2 2 2 2 2 2 2 2 2 2 2 8 2 9" xfId="10901" xr:uid="{CB4E547F-9A06-4B1C-8851-529874443E5F}"/>
    <cellStyle name="Normal 2 2 2 2 2 2 2 2 2 2 2 8 20" xfId="10902" xr:uid="{98B73962-D259-4B80-8485-5928F809F223}"/>
    <cellStyle name="Normal 2 2 2 2 2 2 2 2 2 2 2 8 21" xfId="10903" xr:uid="{7FF3C61F-901F-428B-911B-AA108F7D4A20}"/>
    <cellStyle name="Normal 2 2 2 2 2 2 2 2 2 2 2 8 21 2" xfId="10904" xr:uid="{5F3E8051-2790-47BA-9CE4-8750A41BD7C6}"/>
    <cellStyle name="Normal 2 2 2 2 2 2 2 2 2 2 2 8 21 3" xfId="10905" xr:uid="{D9F3C845-98A5-4934-8EAD-08113A7A2EC8}"/>
    <cellStyle name="Normal 2 2 2 2 2 2 2 2 2 2 2 8 21 4" xfId="10906" xr:uid="{B7F01166-B55A-4FBE-9491-1A3890A987AF}"/>
    <cellStyle name="Normal 2 2 2 2 2 2 2 2 2 2 2 8 22" xfId="10907" xr:uid="{F1EA7775-07AA-4A0E-A608-62DE731D806E}"/>
    <cellStyle name="Normal 2 2 2 2 2 2 2 2 2 2 2 8 23" xfId="10908" xr:uid="{4AB30BCE-EF00-4E15-AD79-7D21B33BC5C9}"/>
    <cellStyle name="Normal 2 2 2 2 2 2 2 2 2 2 2 8 24" xfId="10909" xr:uid="{F1F5202F-A599-4DFB-AFA2-67B55E55C293}"/>
    <cellStyle name="Normal 2 2 2 2 2 2 2 2 2 2 2 8 3" xfId="10910" xr:uid="{F49A4E62-3963-4A9A-9209-44E7BC413117}"/>
    <cellStyle name="Normal 2 2 2 2 2 2 2 2 2 2 2 8 4" xfId="10911" xr:uid="{30C40297-B1CE-426B-827D-2249D939CC9B}"/>
    <cellStyle name="Normal 2 2 2 2 2 2 2 2 2 2 2 8 5" xfId="10912" xr:uid="{523F9DEB-976B-47E8-9AF0-4E23CFC4087C}"/>
    <cellStyle name="Normal 2 2 2 2 2 2 2 2 2 2 2 8 6" xfId="10913" xr:uid="{A3189D2C-2CB9-4477-A43B-A155C0710C64}"/>
    <cellStyle name="Normal 2 2 2 2 2 2 2 2 2 2 2 8 7" xfId="10914" xr:uid="{36E3C1B9-33D3-43B8-A157-92984AFAE836}"/>
    <cellStyle name="Normal 2 2 2 2 2 2 2 2 2 2 2 8 8" xfId="10915" xr:uid="{9C7B4C42-DC8F-4C9B-822D-3E2A050E1231}"/>
    <cellStyle name="Normal 2 2 2 2 2 2 2 2 2 2 2 8 9" xfId="10916" xr:uid="{AE3A7A61-91E4-4B4F-87F3-7D346CAC591C}"/>
    <cellStyle name="Normal 2 2 2 2 2 2 2 2 2 2 2 80" xfId="10917" xr:uid="{578F7B53-3C95-475C-BB1E-129A2F5FFA9B}"/>
    <cellStyle name="Normal 2 2 2 2 2 2 2 2 2 2 2 81" xfId="10918" xr:uid="{6C94E7F9-2A23-4B7A-80FA-6644E4CC67DE}"/>
    <cellStyle name="Normal 2 2 2 2 2 2 2 2 2 2 2 82" xfId="10919" xr:uid="{EE2B4147-38A0-471C-8AA3-BEB52FC333AD}"/>
    <cellStyle name="Normal 2 2 2 2 2 2 2 2 2 2 2 83" xfId="10920" xr:uid="{0E367A2E-5DE8-4834-869F-37529BBDDC18}"/>
    <cellStyle name="Normal 2 2 2 2 2 2 2 2 2 2 2 84" xfId="10921" xr:uid="{99048CB6-2524-48CC-B4BE-509A31682BC2}"/>
    <cellStyle name="Normal 2 2 2 2 2 2 2 2 2 2 2 85" xfId="10922" xr:uid="{9FC666A2-AC21-40AC-97C7-2DAF7CCE8AFB}"/>
    <cellStyle name="Normal 2 2 2 2 2 2 2 2 2 2 2 86" xfId="10923" xr:uid="{ED17D031-8D9F-4163-973F-2656639A11FC}"/>
    <cellStyle name="Normal 2 2 2 2 2 2 2 2 2 2 2 87" xfId="10924" xr:uid="{F4075F92-6B6E-496F-A0DE-A0BBFF9E00E8}"/>
    <cellStyle name="Normal 2 2 2 2 2 2 2 2 2 2 2 88" xfId="10925" xr:uid="{CC56CFE0-DF93-4385-A84F-931F44A634F9}"/>
    <cellStyle name="Normal 2 2 2 2 2 2 2 2 2 2 2 89" xfId="10926" xr:uid="{03EFA74A-591B-4E0D-B373-767289A3ADA6}"/>
    <cellStyle name="Normal 2 2 2 2 2 2 2 2 2 2 2 89 2" xfId="10927" xr:uid="{8A3D99E7-7C39-400C-8F7E-42A6E9E3046B}"/>
    <cellStyle name="Normal 2 2 2 2 2 2 2 2 2 2 2 89 3" xfId="10928" xr:uid="{D051050B-C468-4569-9C74-133A7B1D9046}"/>
    <cellStyle name="Normal 2 2 2 2 2 2 2 2 2 2 2 89 4" xfId="10929" xr:uid="{904E0439-BAF0-4C7D-B5FD-1EED92A67361}"/>
    <cellStyle name="Normal 2 2 2 2 2 2 2 2 2 2 2 9" xfId="10930" xr:uid="{3A824207-F2A4-441C-AD10-C1BF40D6CB24}"/>
    <cellStyle name="Normal 2 2 2 2 2 2 2 2 2 2 2 9 10" xfId="10931" xr:uid="{B915EFD1-98E6-444D-8191-6DDAD34B6B9B}"/>
    <cellStyle name="Normal 2 2 2 2 2 2 2 2 2 2 2 9 11" xfId="10932" xr:uid="{F66A6565-C697-4950-BF80-94D5092AFCC7}"/>
    <cellStyle name="Normal 2 2 2 2 2 2 2 2 2 2 2 9 12" xfId="10933" xr:uid="{5A75AE44-3E5A-428C-81E6-1245803854CD}"/>
    <cellStyle name="Normal 2 2 2 2 2 2 2 2 2 2 2 9 13" xfId="10934" xr:uid="{C2FF4A40-50B3-4CEF-9257-BC766CA7A9C3}"/>
    <cellStyle name="Normal 2 2 2 2 2 2 2 2 2 2 2 9 13 2" xfId="10935" xr:uid="{2BFFB631-B657-42F0-AAF9-2879148A57A5}"/>
    <cellStyle name="Normal 2 2 2 2 2 2 2 2 2 2 2 9 13 3" xfId="10936" xr:uid="{D96014C3-4191-41BF-89B6-991FF3E55A1F}"/>
    <cellStyle name="Normal 2 2 2 2 2 2 2 2 2 2 2 9 13 4" xfId="10937" xr:uid="{D7672D94-9750-45D8-B806-60193C49CCB6}"/>
    <cellStyle name="Normal 2 2 2 2 2 2 2 2 2 2 2 9 14" xfId="10938" xr:uid="{7D67D415-41E8-4A15-927C-6591F78CCDF5}"/>
    <cellStyle name="Normal 2 2 2 2 2 2 2 2 2 2 2 9 15" xfId="10939" xr:uid="{E21D25A3-2E7D-4059-B094-0D740887299F}"/>
    <cellStyle name="Normal 2 2 2 2 2 2 2 2 2 2 2 9 16" xfId="10940" xr:uid="{D6058A57-348A-4ACC-B5FD-B8504AF7F836}"/>
    <cellStyle name="Normal 2 2 2 2 2 2 2 2 2 2 2 9 2" xfId="10941" xr:uid="{C10EB6A7-8954-4273-8D36-AD74F08A2225}"/>
    <cellStyle name="Normal 2 2 2 2 2 2 2 2 2 2 2 9 2 10" xfId="10942" xr:uid="{DA98BCC1-03D9-44DC-B9B6-CCF51E141921}"/>
    <cellStyle name="Normal 2 2 2 2 2 2 2 2 2 2 2 9 2 11" xfId="10943" xr:uid="{429131A1-4E3D-4A9B-89AD-2713C8748275}"/>
    <cellStyle name="Normal 2 2 2 2 2 2 2 2 2 2 2 9 2 11 2" xfId="10944" xr:uid="{64E5B131-4C26-42D8-986F-5E1F100338C5}"/>
    <cellStyle name="Normal 2 2 2 2 2 2 2 2 2 2 2 9 2 11 3" xfId="10945" xr:uid="{6D086B5D-BDE5-4519-B720-B36BFE761305}"/>
    <cellStyle name="Normal 2 2 2 2 2 2 2 2 2 2 2 9 2 11 4" xfId="10946" xr:uid="{DEE2A46A-9038-47D5-B5C7-E8A4364CC292}"/>
    <cellStyle name="Normal 2 2 2 2 2 2 2 2 2 2 2 9 2 12" xfId="10947" xr:uid="{01EE492B-BE7D-486B-969A-31DFB66171EA}"/>
    <cellStyle name="Normal 2 2 2 2 2 2 2 2 2 2 2 9 2 13" xfId="10948" xr:uid="{3A2FDC92-59CD-4A32-B6F4-23ABBC22D5B4}"/>
    <cellStyle name="Normal 2 2 2 2 2 2 2 2 2 2 2 9 2 14" xfId="10949" xr:uid="{A02EE847-1957-47E3-90E4-0B9B7AB5394F}"/>
    <cellStyle name="Normal 2 2 2 2 2 2 2 2 2 2 2 9 2 2" xfId="10950" xr:uid="{868A31AE-0AD1-4A63-A73B-A70ECF9F43F2}"/>
    <cellStyle name="Normal 2 2 2 2 2 2 2 2 2 2 2 9 2 2 10" xfId="10951" xr:uid="{82F74632-6660-47C5-9A7E-EF1353F3D3A6}"/>
    <cellStyle name="Normal 2 2 2 2 2 2 2 2 2 2 2 9 2 2 11" xfId="10952" xr:uid="{5FA5F4FB-39FE-4393-B2F8-200AFA38F13B}"/>
    <cellStyle name="Normal 2 2 2 2 2 2 2 2 2 2 2 9 2 2 2" xfId="10953" xr:uid="{143E822B-EA9E-4954-BAD5-3ADF4F2A768D}"/>
    <cellStyle name="Normal 2 2 2 2 2 2 2 2 2 2 2 9 2 2 2 10" xfId="10954" xr:uid="{7E22F040-46CD-45C7-AF70-664CE765E0F5}"/>
    <cellStyle name="Normal 2 2 2 2 2 2 2 2 2 2 2 9 2 2 2 11" xfId="10955" xr:uid="{080631D7-3FBE-46E3-B8F5-3AB14B7227E9}"/>
    <cellStyle name="Normal 2 2 2 2 2 2 2 2 2 2 2 9 2 2 2 2" xfId="10956" xr:uid="{E2DD27BE-BE58-456E-A50C-22C579809E62}"/>
    <cellStyle name="Normal 2 2 2 2 2 2 2 2 2 2 2 9 2 2 2 2 2" xfId="10957" xr:uid="{9D603859-DE93-44FB-9F9C-9F8A3359C783}"/>
    <cellStyle name="Normal 2 2 2 2 2 2 2 2 2 2 2 9 2 2 2 2 2 2" xfId="10958" xr:uid="{742A7EFF-A709-4044-8BEB-3D6127BEEB18}"/>
    <cellStyle name="Normal 2 2 2 2 2 2 2 2 2 2 2 9 2 2 2 2 2 3" xfId="10959" xr:uid="{F5B634AC-A2E6-4D3C-997E-83E812AB9B35}"/>
    <cellStyle name="Normal 2 2 2 2 2 2 2 2 2 2 2 9 2 2 2 2 2 4" xfId="10960" xr:uid="{CACF96DE-7FDA-4B6F-980E-AC5D899BA0CA}"/>
    <cellStyle name="Normal 2 2 2 2 2 2 2 2 2 2 2 9 2 2 2 2 3" xfId="10961" xr:uid="{5B6D4F90-28F2-4808-A677-5FD4CBFFA6CD}"/>
    <cellStyle name="Normal 2 2 2 2 2 2 2 2 2 2 2 9 2 2 2 2 4" xfId="10962" xr:uid="{56F6DF5B-B80D-40E0-BA41-DD5DD329BD2E}"/>
    <cellStyle name="Normal 2 2 2 2 2 2 2 2 2 2 2 9 2 2 2 2 5" xfId="10963" xr:uid="{1E0BCB26-3E18-4137-A419-189333BA52CF}"/>
    <cellStyle name="Normal 2 2 2 2 2 2 2 2 2 2 2 9 2 2 2 2 6" xfId="10964" xr:uid="{0AABC6DB-2438-4083-996F-20BCC82209D0}"/>
    <cellStyle name="Normal 2 2 2 2 2 2 2 2 2 2 2 9 2 2 2 3" xfId="10965" xr:uid="{80A101B0-BBBD-41C2-BF97-78464E7D2888}"/>
    <cellStyle name="Normal 2 2 2 2 2 2 2 2 2 2 2 9 2 2 2 4" xfId="10966" xr:uid="{68EF7B7A-DCC4-4175-840F-3796FAB2B395}"/>
    <cellStyle name="Normal 2 2 2 2 2 2 2 2 2 2 2 9 2 2 2 5" xfId="10967" xr:uid="{84EDC0F5-BD62-457F-841C-7FA45E1B6730}"/>
    <cellStyle name="Normal 2 2 2 2 2 2 2 2 2 2 2 9 2 2 2 6" xfId="10968" xr:uid="{A07A51DA-E5CF-46E7-A0DC-7124D7237819}"/>
    <cellStyle name="Normal 2 2 2 2 2 2 2 2 2 2 2 9 2 2 2 7" xfId="10969" xr:uid="{C315DC95-D4D6-4CE8-A71A-23744C5A8A4C}"/>
    <cellStyle name="Normal 2 2 2 2 2 2 2 2 2 2 2 9 2 2 2 8" xfId="10970" xr:uid="{D1597673-36FD-42C6-81FE-F43EE6F36314}"/>
    <cellStyle name="Normal 2 2 2 2 2 2 2 2 2 2 2 9 2 2 2 8 2" xfId="10971" xr:uid="{C4A20BD3-2B53-43EF-BC19-D839B67596DB}"/>
    <cellStyle name="Normal 2 2 2 2 2 2 2 2 2 2 2 9 2 2 2 8 3" xfId="10972" xr:uid="{DD958D20-F2B0-4EDB-BAA5-BD623E9F50A3}"/>
    <cellStyle name="Normal 2 2 2 2 2 2 2 2 2 2 2 9 2 2 2 8 4" xfId="10973" xr:uid="{FA55FFB8-21DC-4F61-B074-FA1FD253FB6F}"/>
    <cellStyle name="Normal 2 2 2 2 2 2 2 2 2 2 2 9 2 2 2 9" xfId="10974" xr:uid="{70F9BC4F-7D2B-4680-BC45-70B73DE959A1}"/>
    <cellStyle name="Normal 2 2 2 2 2 2 2 2 2 2 2 9 2 2 3" xfId="10975" xr:uid="{44A800A2-406C-4395-ABA7-9B24B3F93C5F}"/>
    <cellStyle name="Normal 2 2 2 2 2 2 2 2 2 2 2 9 2 2 3 2" xfId="10976" xr:uid="{B4F17A18-9590-4CCC-AA72-603F339E653B}"/>
    <cellStyle name="Normal 2 2 2 2 2 2 2 2 2 2 2 9 2 2 3 2 2" xfId="10977" xr:uid="{9C434F0E-16D8-42C7-B70F-20829EEF758D}"/>
    <cellStyle name="Normal 2 2 2 2 2 2 2 2 2 2 2 9 2 2 3 2 3" xfId="10978" xr:uid="{515E85DF-13D8-4018-9F2E-705EDC7A6D15}"/>
    <cellStyle name="Normal 2 2 2 2 2 2 2 2 2 2 2 9 2 2 3 2 4" xfId="10979" xr:uid="{93163AC8-C917-4A59-B154-DBDDEE3DA8B7}"/>
    <cellStyle name="Normal 2 2 2 2 2 2 2 2 2 2 2 9 2 2 3 3" xfId="10980" xr:uid="{AA945944-004F-42B7-B4A6-AC9C055C5ECC}"/>
    <cellStyle name="Normal 2 2 2 2 2 2 2 2 2 2 2 9 2 2 3 4" xfId="10981" xr:uid="{273A4543-709F-4FE0-8BF0-4DC3BF09A456}"/>
    <cellStyle name="Normal 2 2 2 2 2 2 2 2 2 2 2 9 2 2 3 5" xfId="10982" xr:uid="{3E10283A-08FB-4558-952B-3A4BEE7AD578}"/>
    <cellStyle name="Normal 2 2 2 2 2 2 2 2 2 2 2 9 2 2 3 6" xfId="10983" xr:uid="{C676FE16-4D5E-4DBA-B11C-C255A2FB0A47}"/>
    <cellStyle name="Normal 2 2 2 2 2 2 2 2 2 2 2 9 2 2 4" xfId="10984" xr:uid="{D1E1FABC-6780-4631-8501-BF04472DEEB0}"/>
    <cellStyle name="Normal 2 2 2 2 2 2 2 2 2 2 2 9 2 2 5" xfId="10985" xr:uid="{2CCC04B3-EF05-41DF-9B7A-31DF5B2B6D3D}"/>
    <cellStyle name="Normal 2 2 2 2 2 2 2 2 2 2 2 9 2 2 6" xfId="10986" xr:uid="{D2EED085-2E10-4998-B518-7103A0D8D15C}"/>
    <cellStyle name="Normal 2 2 2 2 2 2 2 2 2 2 2 9 2 2 7" xfId="10987" xr:uid="{93A06F2A-C8AC-4097-BDF3-2CD7B0B802CB}"/>
    <cellStyle name="Normal 2 2 2 2 2 2 2 2 2 2 2 9 2 2 8" xfId="10988" xr:uid="{A53A0CA7-D9A3-4095-B2C4-4A8A696C4F13}"/>
    <cellStyle name="Normal 2 2 2 2 2 2 2 2 2 2 2 9 2 2 8 2" xfId="10989" xr:uid="{37F21E98-A969-4BC3-B158-3BA965EFE53F}"/>
    <cellStyle name="Normal 2 2 2 2 2 2 2 2 2 2 2 9 2 2 8 3" xfId="10990" xr:uid="{7D0DB254-FA95-4F0A-8DCA-ACB05BB737A6}"/>
    <cellStyle name="Normal 2 2 2 2 2 2 2 2 2 2 2 9 2 2 8 4" xfId="10991" xr:uid="{7FF2508B-285C-4DC6-9B9A-3BDB088D30EC}"/>
    <cellStyle name="Normal 2 2 2 2 2 2 2 2 2 2 2 9 2 2 9" xfId="10992" xr:uid="{B88E6528-BAF0-4F77-BFFC-978B4EA482E4}"/>
    <cellStyle name="Normal 2 2 2 2 2 2 2 2 2 2 2 9 2 3" xfId="10993" xr:uid="{C26609C9-F494-4E69-BEDB-B935505DA734}"/>
    <cellStyle name="Normal 2 2 2 2 2 2 2 2 2 2 2 9 2 4" xfId="10994" xr:uid="{CBFD0118-9D43-44F7-9504-ED9FC7701F53}"/>
    <cellStyle name="Normal 2 2 2 2 2 2 2 2 2 2 2 9 2 5" xfId="10995" xr:uid="{5D8B9554-37E6-444D-8154-FAC0174932B1}"/>
    <cellStyle name="Normal 2 2 2 2 2 2 2 2 2 2 2 9 2 5 2" xfId="10996" xr:uid="{4156A56A-BE7F-4EEF-A526-FA3CB2721A8A}"/>
    <cellStyle name="Normal 2 2 2 2 2 2 2 2 2 2 2 9 2 5 2 2" xfId="10997" xr:uid="{BF887901-FDB5-44B5-BB27-C8402A6B1349}"/>
    <cellStyle name="Normal 2 2 2 2 2 2 2 2 2 2 2 9 2 5 2 3" xfId="10998" xr:uid="{C84B983D-FEF3-4232-91C3-977898A61B13}"/>
    <cellStyle name="Normal 2 2 2 2 2 2 2 2 2 2 2 9 2 5 2 4" xfId="10999" xr:uid="{AEEED03A-B1CB-4C52-9B8E-A39F1EE6A480}"/>
    <cellStyle name="Normal 2 2 2 2 2 2 2 2 2 2 2 9 2 5 3" xfId="11000" xr:uid="{C217FC4D-1762-4964-96F6-5F2F13FD2AF2}"/>
    <cellStyle name="Normal 2 2 2 2 2 2 2 2 2 2 2 9 2 5 4" xfId="11001" xr:uid="{AB5738A2-F688-4A57-A21E-DA56577E43D2}"/>
    <cellStyle name="Normal 2 2 2 2 2 2 2 2 2 2 2 9 2 5 5" xfId="11002" xr:uid="{21396475-0143-4810-B534-FFDCC85EDEDD}"/>
    <cellStyle name="Normal 2 2 2 2 2 2 2 2 2 2 2 9 2 5 6" xfId="11003" xr:uid="{36189162-9BED-45E9-B21E-88ADF838E5EA}"/>
    <cellStyle name="Normal 2 2 2 2 2 2 2 2 2 2 2 9 2 6" xfId="11004" xr:uid="{EBF69675-E61C-4151-9FAE-3474C21B1E06}"/>
    <cellStyle name="Normal 2 2 2 2 2 2 2 2 2 2 2 9 2 7" xfId="11005" xr:uid="{E76EACEF-020C-4F2E-AF14-6D03DED1AF87}"/>
    <cellStyle name="Normal 2 2 2 2 2 2 2 2 2 2 2 9 2 8" xfId="11006" xr:uid="{3A946611-DC95-441E-8379-6D629C861E35}"/>
    <cellStyle name="Normal 2 2 2 2 2 2 2 2 2 2 2 9 2 9" xfId="11007" xr:uid="{B994263A-1B00-4F6C-9171-2024B77A8491}"/>
    <cellStyle name="Normal 2 2 2 2 2 2 2 2 2 2 2 9 3" xfId="11008" xr:uid="{75EC03AE-1895-4FA3-84B3-70CE5E9432A8}"/>
    <cellStyle name="Normal 2 2 2 2 2 2 2 2 2 2 2 9 4" xfId="11009" xr:uid="{25C2715C-8F87-411F-AB3B-CA811FDED245}"/>
    <cellStyle name="Normal 2 2 2 2 2 2 2 2 2 2 2 9 5" xfId="11010" xr:uid="{78AF6F1F-AFA3-4980-91F5-8BE02BD97139}"/>
    <cellStyle name="Normal 2 2 2 2 2 2 2 2 2 2 2 9 5 10" xfId="11011" xr:uid="{0979C270-C2D8-41AC-80D3-5314FAC36301}"/>
    <cellStyle name="Normal 2 2 2 2 2 2 2 2 2 2 2 9 5 11" xfId="11012" xr:uid="{CA7ABAE4-6644-4A12-B91C-E1C6CB16978D}"/>
    <cellStyle name="Normal 2 2 2 2 2 2 2 2 2 2 2 9 5 2" xfId="11013" xr:uid="{5297F3A8-99DA-45AF-9B22-A84F5E554F1C}"/>
    <cellStyle name="Normal 2 2 2 2 2 2 2 2 2 2 2 9 5 2 10" xfId="11014" xr:uid="{5BED11B5-A11B-4833-A58F-46D0D9B93AF1}"/>
    <cellStyle name="Normal 2 2 2 2 2 2 2 2 2 2 2 9 5 2 11" xfId="11015" xr:uid="{7F0AE429-73FD-456C-AEE8-3E05EC2ADFF6}"/>
    <cellStyle name="Normal 2 2 2 2 2 2 2 2 2 2 2 9 5 2 2" xfId="11016" xr:uid="{F8AB52A4-D055-4D5B-B691-47747E149B29}"/>
    <cellStyle name="Normal 2 2 2 2 2 2 2 2 2 2 2 9 5 2 2 2" xfId="11017" xr:uid="{5580DB40-E9DB-4006-9D02-3A8C0FBBF18A}"/>
    <cellStyle name="Normal 2 2 2 2 2 2 2 2 2 2 2 9 5 2 2 2 2" xfId="11018" xr:uid="{65AD59C6-DF40-47B9-BA02-70C6EF682937}"/>
    <cellStyle name="Normal 2 2 2 2 2 2 2 2 2 2 2 9 5 2 2 2 3" xfId="11019" xr:uid="{C840645C-387C-4CB1-86EA-AF7D7EAEDBF4}"/>
    <cellStyle name="Normal 2 2 2 2 2 2 2 2 2 2 2 9 5 2 2 2 4" xfId="11020" xr:uid="{82CF01CE-0DE7-4B14-9B66-DE19A67DA97D}"/>
    <cellStyle name="Normal 2 2 2 2 2 2 2 2 2 2 2 9 5 2 2 3" xfId="11021" xr:uid="{C446C1CA-03C9-4D27-8559-422B140E3852}"/>
    <cellStyle name="Normal 2 2 2 2 2 2 2 2 2 2 2 9 5 2 2 4" xfId="11022" xr:uid="{61E2D092-D176-4CCA-B781-FCA750125B7B}"/>
    <cellStyle name="Normal 2 2 2 2 2 2 2 2 2 2 2 9 5 2 2 5" xfId="11023" xr:uid="{6F8B640B-14B1-4C85-927C-0C2D992241B5}"/>
    <cellStyle name="Normal 2 2 2 2 2 2 2 2 2 2 2 9 5 2 2 6" xfId="11024" xr:uid="{0CBC51DE-3961-4196-8514-7BAAA687C066}"/>
    <cellStyle name="Normal 2 2 2 2 2 2 2 2 2 2 2 9 5 2 3" xfId="11025" xr:uid="{9B4DD571-2011-4099-98FA-5B5B64AA0833}"/>
    <cellStyle name="Normal 2 2 2 2 2 2 2 2 2 2 2 9 5 2 4" xfId="11026" xr:uid="{DFF177C1-791E-4AE0-BE05-05F12E76CDCD}"/>
    <cellStyle name="Normal 2 2 2 2 2 2 2 2 2 2 2 9 5 2 5" xfId="11027" xr:uid="{B2958E1F-9176-4263-8539-9C9BAA8D1308}"/>
    <cellStyle name="Normal 2 2 2 2 2 2 2 2 2 2 2 9 5 2 6" xfId="11028" xr:uid="{8AE8A8BC-F654-42F6-A545-23D71047B2E1}"/>
    <cellStyle name="Normal 2 2 2 2 2 2 2 2 2 2 2 9 5 2 7" xfId="11029" xr:uid="{92D197BA-DB8D-4322-A9F1-A41B121C5E55}"/>
    <cellStyle name="Normal 2 2 2 2 2 2 2 2 2 2 2 9 5 2 8" xfId="11030" xr:uid="{B8B97756-C7FE-4BD6-B751-F29B3CED1372}"/>
    <cellStyle name="Normal 2 2 2 2 2 2 2 2 2 2 2 9 5 2 8 2" xfId="11031" xr:uid="{7C1F04AA-D4F6-4592-805F-DD40B1BB486D}"/>
    <cellStyle name="Normal 2 2 2 2 2 2 2 2 2 2 2 9 5 2 8 3" xfId="11032" xr:uid="{7DA4C363-39C8-4810-A7FF-8845F3751646}"/>
    <cellStyle name="Normal 2 2 2 2 2 2 2 2 2 2 2 9 5 2 8 4" xfId="11033" xr:uid="{B6F8A0A4-37FF-41BB-956A-E0E663172C4B}"/>
    <cellStyle name="Normal 2 2 2 2 2 2 2 2 2 2 2 9 5 2 9" xfId="11034" xr:uid="{DB07E0F8-D91C-4C89-98AA-B286603EF4D4}"/>
    <cellStyle name="Normal 2 2 2 2 2 2 2 2 2 2 2 9 5 3" xfId="11035" xr:uid="{38EFA3C7-B723-4FE9-A58F-B037A64A7A9E}"/>
    <cellStyle name="Normal 2 2 2 2 2 2 2 2 2 2 2 9 5 3 2" xfId="11036" xr:uid="{72273C25-0305-4268-B6A4-C43029C2AD2A}"/>
    <cellStyle name="Normal 2 2 2 2 2 2 2 2 2 2 2 9 5 3 2 2" xfId="11037" xr:uid="{B9E3B24B-028C-4C8E-974D-A9265C54A2F0}"/>
    <cellStyle name="Normal 2 2 2 2 2 2 2 2 2 2 2 9 5 3 2 3" xfId="11038" xr:uid="{43CB1AC3-8A6E-4D88-A503-B3FA287349A3}"/>
    <cellStyle name="Normal 2 2 2 2 2 2 2 2 2 2 2 9 5 3 2 4" xfId="11039" xr:uid="{0FA91BE0-E995-48D4-B4E3-70438FBA047F}"/>
    <cellStyle name="Normal 2 2 2 2 2 2 2 2 2 2 2 9 5 3 3" xfId="11040" xr:uid="{68B2808D-488E-44B0-9B60-A43A2118C009}"/>
    <cellStyle name="Normal 2 2 2 2 2 2 2 2 2 2 2 9 5 3 4" xfId="11041" xr:uid="{ED6A4CE0-8924-49FF-A20F-B5CA8451B8D4}"/>
    <cellStyle name="Normal 2 2 2 2 2 2 2 2 2 2 2 9 5 3 5" xfId="11042" xr:uid="{D9D4FD1A-3DC2-4398-B804-713AA2784901}"/>
    <cellStyle name="Normal 2 2 2 2 2 2 2 2 2 2 2 9 5 3 6" xfId="11043" xr:uid="{0CDA7999-61EC-40D2-AA8B-93C31A6859C7}"/>
    <cellStyle name="Normal 2 2 2 2 2 2 2 2 2 2 2 9 5 4" xfId="11044" xr:uid="{71418549-BE1A-46F6-8897-7581F83CFFC1}"/>
    <cellStyle name="Normal 2 2 2 2 2 2 2 2 2 2 2 9 5 5" xfId="11045" xr:uid="{E2F2B5FB-97D1-400F-A935-6D748F7A0B62}"/>
    <cellStyle name="Normal 2 2 2 2 2 2 2 2 2 2 2 9 5 6" xfId="11046" xr:uid="{200CCB35-DC29-4A02-8B60-338D483956A1}"/>
    <cellStyle name="Normal 2 2 2 2 2 2 2 2 2 2 2 9 5 7" xfId="11047" xr:uid="{40F29BC4-2451-4E9D-AEDF-7C1C6D0430F9}"/>
    <cellStyle name="Normal 2 2 2 2 2 2 2 2 2 2 2 9 5 8" xfId="11048" xr:uid="{AC19B764-1B4D-4AB8-BE29-8D04375C7B40}"/>
    <cellStyle name="Normal 2 2 2 2 2 2 2 2 2 2 2 9 5 8 2" xfId="11049" xr:uid="{E8C92734-514D-4CA2-A9FC-0B45ED9DF87C}"/>
    <cellStyle name="Normal 2 2 2 2 2 2 2 2 2 2 2 9 5 8 3" xfId="11050" xr:uid="{98182410-5B4F-4391-9544-173283736B40}"/>
    <cellStyle name="Normal 2 2 2 2 2 2 2 2 2 2 2 9 5 8 4" xfId="11051" xr:uid="{72312DCD-A26E-4C4A-93C1-CF886CCD3217}"/>
    <cellStyle name="Normal 2 2 2 2 2 2 2 2 2 2 2 9 5 9" xfId="11052" xr:uid="{1CD7AEF7-978D-4BE1-9C5F-A71321F3EEAE}"/>
    <cellStyle name="Normal 2 2 2 2 2 2 2 2 2 2 2 9 6" xfId="11053" xr:uid="{98BB5386-326B-4AA7-A356-AD15F69854C1}"/>
    <cellStyle name="Normal 2 2 2 2 2 2 2 2 2 2 2 9 7" xfId="11054" xr:uid="{D7CC1373-206E-4240-AE14-0631FA4EE087}"/>
    <cellStyle name="Normal 2 2 2 2 2 2 2 2 2 2 2 9 7 2" xfId="11055" xr:uid="{E474CDB9-B7E9-41AF-917A-75C7424901B4}"/>
    <cellStyle name="Normal 2 2 2 2 2 2 2 2 2 2 2 9 7 2 2" xfId="11056" xr:uid="{45AD2CA3-4D20-4142-9A36-0683FFA22CF2}"/>
    <cellStyle name="Normal 2 2 2 2 2 2 2 2 2 2 2 9 7 2 3" xfId="11057" xr:uid="{B0D2539A-167D-4F97-A0BB-E4A27A4FD747}"/>
    <cellStyle name="Normal 2 2 2 2 2 2 2 2 2 2 2 9 7 2 4" xfId="11058" xr:uid="{065A46B9-F32D-4AF7-A276-EB919DFE80CE}"/>
    <cellStyle name="Normal 2 2 2 2 2 2 2 2 2 2 2 9 7 3" xfId="11059" xr:uid="{155DEF13-F7FF-426E-B42A-5AB3378EF554}"/>
    <cellStyle name="Normal 2 2 2 2 2 2 2 2 2 2 2 9 7 4" xfId="11060" xr:uid="{E850CE8B-DBD0-4EDF-9850-DF21FBC5D522}"/>
    <cellStyle name="Normal 2 2 2 2 2 2 2 2 2 2 2 9 7 5" xfId="11061" xr:uid="{909EFECF-D7EC-4579-9739-54CD65EF6B39}"/>
    <cellStyle name="Normal 2 2 2 2 2 2 2 2 2 2 2 9 7 6" xfId="11062" xr:uid="{F69FA852-A689-4F5F-98D3-6669325415C5}"/>
    <cellStyle name="Normal 2 2 2 2 2 2 2 2 2 2 2 9 8" xfId="11063" xr:uid="{38AA23B0-8C61-4F00-9015-75FC7168327A}"/>
    <cellStyle name="Normal 2 2 2 2 2 2 2 2 2 2 2 9 9" xfId="11064" xr:uid="{A58407C2-5D1E-443D-B609-BCC46B01EB1D}"/>
    <cellStyle name="Normal 2 2 2 2 2 2 2 2 2 2 2 90" xfId="11065" xr:uid="{4DB75165-AF9E-427B-B313-B1ABBA2BB65C}"/>
    <cellStyle name="Normal 2 2 2 2 2 2 2 2 2 2 2 91" xfId="11066" xr:uid="{8CE048D4-3FD5-4576-9B4E-C6596A1193AF}"/>
    <cellStyle name="Normal 2 2 2 2 2 2 2 2 2 2 20" xfId="11067" xr:uid="{93C4976C-91E0-45F0-A52A-D578C3D120EB}"/>
    <cellStyle name="Normal 2 2 2 2 2 2 2 2 2 2 21" xfId="11068" xr:uid="{B88B3AE7-1CF9-4AA1-A208-3E0E9EC0ABD2}"/>
    <cellStyle name="Normal 2 2 2 2 2 2 2 2 2 2 21 10" xfId="11069" xr:uid="{AD472B9D-5FBC-4C4F-BC69-286455F71381}"/>
    <cellStyle name="Normal 2 2 2 2 2 2 2 2 2 2 21 11" xfId="11070" xr:uid="{0D5A094D-6321-4508-8580-ACE650CB560A}"/>
    <cellStyle name="Normal 2 2 2 2 2 2 2 2 2 2 21 11 2" xfId="11071" xr:uid="{A51F5A42-C488-4CDE-B768-E7D89DDA3FD1}"/>
    <cellStyle name="Normal 2 2 2 2 2 2 2 2 2 2 21 11 3" xfId="11072" xr:uid="{4E57E37C-E72F-456D-8506-F81352F4FDCE}"/>
    <cellStyle name="Normal 2 2 2 2 2 2 2 2 2 2 21 11 4" xfId="11073" xr:uid="{42CFDE6F-0468-4A50-9F85-70F20D04D2A6}"/>
    <cellStyle name="Normal 2 2 2 2 2 2 2 2 2 2 21 12" xfId="11074" xr:uid="{615D9238-CF61-40EF-A571-24C67B026C4A}"/>
    <cellStyle name="Normal 2 2 2 2 2 2 2 2 2 2 21 13" xfId="11075" xr:uid="{A6CDE686-7B0E-4CA8-8526-6F9AF7B0CF38}"/>
    <cellStyle name="Normal 2 2 2 2 2 2 2 2 2 2 21 14" xfId="11076" xr:uid="{AABE8E2F-016C-4CD4-9A28-53FE4C1B4335}"/>
    <cellStyle name="Normal 2 2 2 2 2 2 2 2 2 2 21 2" xfId="11077" xr:uid="{7EA0B5A6-DF74-4865-B619-C34148C4FD12}"/>
    <cellStyle name="Normal 2 2 2 2 2 2 2 2 2 2 21 2 10" xfId="11078" xr:uid="{E18D5B32-54B8-450C-9ADF-DAB9B80E3AE6}"/>
    <cellStyle name="Normal 2 2 2 2 2 2 2 2 2 2 21 2 11" xfId="11079" xr:uid="{87390F91-3F59-4B35-9CD2-0001C7AB3DB4}"/>
    <cellStyle name="Normal 2 2 2 2 2 2 2 2 2 2 21 2 2" xfId="11080" xr:uid="{35A7C760-3E74-440A-A563-18035897E17C}"/>
    <cellStyle name="Normal 2 2 2 2 2 2 2 2 2 2 21 2 2 10" xfId="11081" xr:uid="{CDC467C4-798C-4537-AA6B-C2DC1121F323}"/>
    <cellStyle name="Normal 2 2 2 2 2 2 2 2 2 2 21 2 2 11" xfId="11082" xr:uid="{78A485B2-89D4-4CE9-88D5-A6F09FC9E15C}"/>
    <cellStyle name="Normal 2 2 2 2 2 2 2 2 2 2 21 2 2 2" xfId="11083" xr:uid="{42A5485E-4B9D-4D54-AEC3-40FA98AC9FDB}"/>
    <cellStyle name="Normal 2 2 2 2 2 2 2 2 2 2 21 2 2 2 2" xfId="11084" xr:uid="{E1451CB4-618F-4D49-AD74-B54CAE27E15B}"/>
    <cellStyle name="Normal 2 2 2 2 2 2 2 2 2 2 21 2 2 2 2 2" xfId="11085" xr:uid="{3DCCFE78-6814-4EB1-8C7A-78AC3B53AC6C}"/>
    <cellStyle name="Normal 2 2 2 2 2 2 2 2 2 2 21 2 2 2 2 3" xfId="11086" xr:uid="{E0E6E945-1F0F-445F-9C28-7C76356997FD}"/>
    <cellStyle name="Normal 2 2 2 2 2 2 2 2 2 2 21 2 2 2 2 4" xfId="11087" xr:uid="{D951EF9D-5CAD-41F3-BAE1-D8736874688D}"/>
    <cellStyle name="Normal 2 2 2 2 2 2 2 2 2 2 21 2 2 2 3" xfId="11088" xr:uid="{6FC6A67B-D798-4A5C-9484-077B366FD3EB}"/>
    <cellStyle name="Normal 2 2 2 2 2 2 2 2 2 2 21 2 2 2 4" xfId="11089" xr:uid="{FCC40621-22F5-4B04-BE8E-818C2897475E}"/>
    <cellStyle name="Normal 2 2 2 2 2 2 2 2 2 2 21 2 2 2 5" xfId="11090" xr:uid="{245993B8-8FF9-474D-A227-A0C9A9BE5594}"/>
    <cellStyle name="Normal 2 2 2 2 2 2 2 2 2 2 21 2 2 2 6" xfId="11091" xr:uid="{C0B8CD27-B5D7-4428-9455-5DEAA0B644B3}"/>
    <cellStyle name="Normal 2 2 2 2 2 2 2 2 2 2 21 2 2 3" xfId="11092" xr:uid="{2BDC90C7-DD4E-4E30-8EBD-6F47534A05FA}"/>
    <cellStyle name="Normal 2 2 2 2 2 2 2 2 2 2 21 2 2 4" xfId="11093" xr:uid="{1BE92F35-D427-4184-9AEA-C04C22FF4822}"/>
    <cellStyle name="Normal 2 2 2 2 2 2 2 2 2 2 21 2 2 5" xfId="11094" xr:uid="{392570FE-F080-4837-B207-05CF8DDCA51A}"/>
    <cellStyle name="Normal 2 2 2 2 2 2 2 2 2 2 21 2 2 6" xfId="11095" xr:uid="{462C26A5-9589-490D-AC88-CEEF7CC71279}"/>
    <cellStyle name="Normal 2 2 2 2 2 2 2 2 2 2 21 2 2 7" xfId="11096" xr:uid="{29B3D357-890D-4FB0-A7BA-A996BEB4F756}"/>
    <cellStyle name="Normal 2 2 2 2 2 2 2 2 2 2 21 2 2 8" xfId="11097" xr:uid="{8D1AAAE8-52BD-4DF5-A5C1-444F161CA175}"/>
    <cellStyle name="Normal 2 2 2 2 2 2 2 2 2 2 21 2 2 8 2" xfId="11098" xr:uid="{57AEC9B4-ED65-45A4-BF7E-8288F5EFFE1D}"/>
    <cellStyle name="Normal 2 2 2 2 2 2 2 2 2 2 21 2 2 8 3" xfId="11099" xr:uid="{EF59E94C-5DD8-45B7-959B-B0057465B087}"/>
    <cellStyle name="Normal 2 2 2 2 2 2 2 2 2 2 21 2 2 8 4" xfId="11100" xr:uid="{F518BDB7-7311-448D-A77D-10574A574B62}"/>
    <cellStyle name="Normal 2 2 2 2 2 2 2 2 2 2 21 2 2 9" xfId="11101" xr:uid="{F2E8334C-E686-4C6C-99AE-21EE953C10B9}"/>
    <cellStyle name="Normal 2 2 2 2 2 2 2 2 2 2 21 2 3" xfId="11102" xr:uid="{B5C0148E-450A-412E-8E22-862C8F4C4F52}"/>
    <cellStyle name="Normal 2 2 2 2 2 2 2 2 2 2 21 2 3 2" xfId="11103" xr:uid="{DD9959FF-FF56-4726-B6EC-7774B7AEECC3}"/>
    <cellStyle name="Normal 2 2 2 2 2 2 2 2 2 2 21 2 3 2 2" xfId="11104" xr:uid="{CA98B16A-68C9-4787-98CD-0A9B1C0116DF}"/>
    <cellStyle name="Normal 2 2 2 2 2 2 2 2 2 2 21 2 3 2 3" xfId="11105" xr:uid="{8AEF1062-A8C1-47D1-B06E-A062C6C53362}"/>
    <cellStyle name="Normal 2 2 2 2 2 2 2 2 2 2 21 2 3 2 4" xfId="11106" xr:uid="{A46025BA-4062-4AAB-93B1-D93F37086A44}"/>
    <cellStyle name="Normal 2 2 2 2 2 2 2 2 2 2 21 2 3 3" xfId="11107" xr:uid="{AE0A821A-5E0F-454B-90DA-5C1C165E4AA2}"/>
    <cellStyle name="Normal 2 2 2 2 2 2 2 2 2 2 21 2 3 4" xfId="11108" xr:uid="{4788D181-D629-460B-BA05-5CBFB13471F3}"/>
    <cellStyle name="Normal 2 2 2 2 2 2 2 2 2 2 21 2 3 5" xfId="11109" xr:uid="{6F23B027-F7B4-4241-9532-595D07E71822}"/>
    <cellStyle name="Normal 2 2 2 2 2 2 2 2 2 2 21 2 3 6" xfId="11110" xr:uid="{9ACB4945-2351-4863-AAE2-4283FA8ADC39}"/>
    <cellStyle name="Normal 2 2 2 2 2 2 2 2 2 2 21 2 4" xfId="11111" xr:uid="{9DB173A7-8DE5-4312-BDF0-90E1DEF51331}"/>
    <cellStyle name="Normal 2 2 2 2 2 2 2 2 2 2 21 2 5" xfId="11112" xr:uid="{933D3C10-C065-4547-BDA9-8CAE0EB27601}"/>
    <cellStyle name="Normal 2 2 2 2 2 2 2 2 2 2 21 2 6" xfId="11113" xr:uid="{94EA1817-851B-4807-9652-BC0F38202020}"/>
    <cellStyle name="Normal 2 2 2 2 2 2 2 2 2 2 21 2 7" xfId="11114" xr:uid="{9BD6EB8F-B2A3-43BC-88F1-F865C41C5791}"/>
    <cellStyle name="Normal 2 2 2 2 2 2 2 2 2 2 21 2 8" xfId="11115" xr:uid="{399011F5-7754-4AF1-84A4-B287B2FC1E85}"/>
    <cellStyle name="Normal 2 2 2 2 2 2 2 2 2 2 21 2 8 2" xfId="11116" xr:uid="{30BA8660-A071-4820-8E9E-A68157A65897}"/>
    <cellStyle name="Normal 2 2 2 2 2 2 2 2 2 2 21 2 8 3" xfId="11117" xr:uid="{55D64A83-568F-4BBF-B53C-8E53B266F963}"/>
    <cellStyle name="Normal 2 2 2 2 2 2 2 2 2 2 21 2 8 4" xfId="11118" xr:uid="{2D66A4FD-0CAC-4D02-A98E-D8C7592C8419}"/>
    <cellStyle name="Normal 2 2 2 2 2 2 2 2 2 2 21 2 9" xfId="11119" xr:uid="{6BAFD7BE-8FBE-41B1-9472-EFFA35666A75}"/>
    <cellStyle name="Normal 2 2 2 2 2 2 2 2 2 2 21 3" xfId="11120" xr:uid="{CEC81B36-33F9-416C-ABAE-0638EF38B2DC}"/>
    <cellStyle name="Normal 2 2 2 2 2 2 2 2 2 2 21 4" xfId="11121" xr:uid="{E75DD9D0-4675-4D21-83E9-3142A1E68AFE}"/>
    <cellStyle name="Normal 2 2 2 2 2 2 2 2 2 2 21 5" xfId="11122" xr:uid="{64124818-125E-468F-93BB-DA3866DC93A7}"/>
    <cellStyle name="Normal 2 2 2 2 2 2 2 2 2 2 21 5 2" xfId="11123" xr:uid="{70F03E92-7815-494B-9943-37680B19B3C3}"/>
    <cellStyle name="Normal 2 2 2 2 2 2 2 2 2 2 21 5 2 2" xfId="11124" xr:uid="{88FD188B-53E8-4AB9-83A5-A4DA50401830}"/>
    <cellStyle name="Normal 2 2 2 2 2 2 2 2 2 2 21 5 2 3" xfId="11125" xr:uid="{107B4C10-6A76-4A9D-8BC3-8680CBAC7C73}"/>
    <cellStyle name="Normal 2 2 2 2 2 2 2 2 2 2 21 5 2 4" xfId="11126" xr:uid="{34C9F177-76A8-4C84-9379-53785EB31F32}"/>
    <cellStyle name="Normal 2 2 2 2 2 2 2 2 2 2 21 5 3" xfId="11127" xr:uid="{735A78A3-672C-41FD-A99E-507FFDCEE85C}"/>
    <cellStyle name="Normal 2 2 2 2 2 2 2 2 2 2 21 5 4" xfId="11128" xr:uid="{02987E33-DAC4-4391-86AB-54A3DE7DCEB4}"/>
    <cellStyle name="Normal 2 2 2 2 2 2 2 2 2 2 21 5 5" xfId="11129" xr:uid="{A7E1DAFC-F738-455B-A3E2-19D588D52E0F}"/>
    <cellStyle name="Normal 2 2 2 2 2 2 2 2 2 2 21 5 6" xfId="11130" xr:uid="{0EF27172-404F-4716-818E-CA66897F1638}"/>
    <cellStyle name="Normal 2 2 2 2 2 2 2 2 2 2 21 6" xfId="11131" xr:uid="{C96507D3-9210-4E0F-BAA3-B817C28D057B}"/>
    <cellStyle name="Normal 2 2 2 2 2 2 2 2 2 2 21 7" xfId="11132" xr:uid="{C2EA0463-B70D-4B54-9694-B1D5655F4674}"/>
    <cellStyle name="Normal 2 2 2 2 2 2 2 2 2 2 21 8" xfId="11133" xr:uid="{B900AFD4-A3A0-4871-A418-FAFEB2B7EBED}"/>
    <cellStyle name="Normal 2 2 2 2 2 2 2 2 2 2 21 9" xfId="11134" xr:uid="{77FCF091-7973-4263-A0B9-1C075FDE9961}"/>
    <cellStyle name="Normal 2 2 2 2 2 2 2 2 2 2 22" xfId="11135" xr:uid="{7AE3DF62-15B2-4ED2-BD17-25CDF2F8B730}"/>
    <cellStyle name="Normal 2 2 2 2 2 2 2 2 2 2 23" xfId="11136" xr:uid="{25C24BC9-1CDC-487A-9B85-63BC2B4B3CA0}"/>
    <cellStyle name="Normal 2 2 2 2 2 2 2 2 2 2 23 10" xfId="11137" xr:uid="{06068CED-E385-41DE-BE5D-5820F3EC0F5D}"/>
    <cellStyle name="Normal 2 2 2 2 2 2 2 2 2 2 23 11" xfId="11138" xr:uid="{08C1705E-2A66-4B5C-8F9D-2CD42CDF6D98}"/>
    <cellStyle name="Normal 2 2 2 2 2 2 2 2 2 2 23 2" xfId="11139" xr:uid="{098D9D5B-DAE8-4B54-9181-59788A4CCB6E}"/>
    <cellStyle name="Normal 2 2 2 2 2 2 2 2 2 2 23 2 10" xfId="11140" xr:uid="{D929A3EC-28BD-4D2E-AAB6-A57779BD91B3}"/>
    <cellStyle name="Normal 2 2 2 2 2 2 2 2 2 2 23 2 11" xfId="11141" xr:uid="{7480EC69-9117-4571-A4DF-837F730B4BCF}"/>
    <cellStyle name="Normal 2 2 2 2 2 2 2 2 2 2 23 2 2" xfId="11142" xr:uid="{F2938FB6-1E49-47E4-AED0-546BF478FDFA}"/>
    <cellStyle name="Normal 2 2 2 2 2 2 2 2 2 2 23 2 2 2" xfId="11143" xr:uid="{5D834CCF-1FA1-41E1-9E62-7FC100C4CB06}"/>
    <cellStyle name="Normal 2 2 2 2 2 2 2 2 2 2 23 2 2 2 2" xfId="11144" xr:uid="{107B192C-2470-4B0D-A740-18B7A70BAF46}"/>
    <cellStyle name="Normal 2 2 2 2 2 2 2 2 2 2 23 2 2 2 3" xfId="11145" xr:uid="{0B084240-73EF-4BE6-8CCE-DA819ADE6D72}"/>
    <cellStyle name="Normal 2 2 2 2 2 2 2 2 2 2 23 2 2 2 4" xfId="11146" xr:uid="{A2CDC47A-6A3A-4E83-AB93-F7512C80232F}"/>
    <cellStyle name="Normal 2 2 2 2 2 2 2 2 2 2 23 2 2 3" xfId="11147" xr:uid="{225C6475-D5F3-452D-BBB1-01EC2786C50B}"/>
    <cellStyle name="Normal 2 2 2 2 2 2 2 2 2 2 23 2 2 4" xfId="11148" xr:uid="{1D0532D0-28DC-4859-9C81-E7EC303CE780}"/>
    <cellStyle name="Normal 2 2 2 2 2 2 2 2 2 2 23 2 2 5" xfId="11149" xr:uid="{BDABDED5-5BBE-47D1-B727-4E05DA8413DB}"/>
    <cellStyle name="Normal 2 2 2 2 2 2 2 2 2 2 23 2 2 6" xfId="11150" xr:uid="{0E3B0633-5F48-4670-BC23-5AB6C7F5FF97}"/>
    <cellStyle name="Normal 2 2 2 2 2 2 2 2 2 2 23 2 3" xfId="11151" xr:uid="{3F5D9A81-C81F-4AEB-9593-28AF385F537C}"/>
    <cellStyle name="Normal 2 2 2 2 2 2 2 2 2 2 23 2 4" xfId="11152" xr:uid="{B034A5CB-98B0-46CB-9F1C-6DD0AEF74396}"/>
    <cellStyle name="Normal 2 2 2 2 2 2 2 2 2 2 23 2 5" xfId="11153" xr:uid="{0B8EB17A-C02C-4FA2-AEEE-E28707DA38E9}"/>
    <cellStyle name="Normal 2 2 2 2 2 2 2 2 2 2 23 2 6" xfId="11154" xr:uid="{5CF6EF32-F2A1-4146-A36F-782C3B4C7C15}"/>
    <cellStyle name="Normal 2 2 2 2 2 2 2 2 2 2 23 2 7" xfId="11155" xr:uid="{78BB4F98-27C8-4D79-8A6F-4F747C4B422C}"/>
    <cellStyle name="Normal 2 2 2 2 2 2 2 2 2 2 23 2 8" xfId="11156" xr:uid="{972769B2-A64B-4E18-A8CF-4CC960436A53}"/>
    <cellStyle name="Normal 2 2 2 2 2 2 2 2 2 2 23 2 8 2" xfId="11157" xr:uid="{74579FBE-5044-4595-B1B7-23530F2E3B0C}"/>
    <cellStyle name="Normal 2 2 2 2 2 2 2 2 2 2 23 2 8 3" xfId="11158" xr:uid="{90E65ED3-F89D-4E93-BF9F-95350D19860B}"/>
    <cellStyle name="Normal 2 2 2 2 2 2 2 2 2 2 23 2 8 4" xfId="11159" xr:uid="{794AA50B-4292-496E-AB2C-F058B90D80F8}"/>
    <cellStyle name="Normal 2 2 2 2 2 2 2 2 2 2 23 2 9" xfId="11160" xr:uid="{A567403A-5933-401D-9F26-EECA8905C24A}"/>
    <cellStyle name="Normal 2 2 2 2 2 2 2 2 2 2 23 3" xfId="11161" xr:uid="{AF1C72B1-8E7F-41A2-A4A8-BB4586D7459E}"/>
    <cellStyle name="Normal 2 2 2 2 2 2 2 2 2 2 23 3 2" xfId="11162" xr:uid="{2374024F-AB14-48B9-B474-28C9986C5A46}"/>
    <cellStyle name="Normal 2 2 2 2 2 2 2 2 2 2 23 3 2 2" xfId="11163" xr:uid="{D649AC1D-49E2-4F70-9D33-AD8AC7F06532}"/>
    <cellStyle name="Normal 2 2 2 2 2 2 2 2 2 2 23 3 2 3" xfId="11164" xr:uid="{94FB4AEF-8A44-49DE-8730-0B4BEDDE7D2F}"/>
    <cellStyle name="Normal 2 2 2 2 2 2 2 2 2 2 23 3 2 4" xfId="11165" xr:uid="{6DE1941C-1C1F-44CE-B3A3-4A49DCED895B}"/>
    <cellStyle name="Normal 2 2 2 2 2 2 2 2 2 2 23 3 3" xfId="11166" xr:uid="{17DDA9EB-91C3-420A-8827-E03FF3B92A84}"/>
    <cellStyle name="Normal 2 2 2 2 2 2 2 2 2 2 23 3 4" xfId="11167" xr:uid="{4048D927-EC4C-4A7A-89DC-9A38B2ECDB2D}"/>
    <cellStyle name="Normal 2 2 2 2 2 2 2 2 2 2 23 3 5" xfId="11168" xr:uid="{C356A391-B972-41F4-B79D-3AD807348354}"/>
    <cellStyle name="Normal 2 2 2 2 2 2 2 2 2 2 23 3 6" xfId="11169" xr:uid="{6F192443-D75C-4334-8F31-0A272C14DD6A}"/>
    <cellStyle name="Normal 2 2 2 2 2 2 2 2 2 2 23 4" xfId="11170" xr:uid="{D00AB417-1718-4BE2-83BB-97AF2F121C4B}"/>
    <cellStyle name="Normal 2 2 2 2 2 2 2 2 2 2 23 5" xfId="11171" xr:uid="{1F6B9931-A21F-4EDE-A2CA-F947AE304A13}"/>
    <cellStyle name="Normal 2 2 2 2 2 2 2 2 2 2 23 6" xfId="11172" xr:uid="{63DAD172-6E91-4E12-9F3E-EC669925BF35}"/>
    <cellStyle name="Normal 2 2 2 2 2 2 2 2 2 2 23 7" xfId="11173" xr:uid="{33F43A0B-0C20-4172-B04D-17FCCF02F4ED}"/>
    <cellStyle name="Normal 2 2 2 2 2 2 2 2 2 2 23 8" xfId="11174" xr:uid="{D0262AB5-371B-4E0E-84AE-80F59023152F}"/>
    <cellStyle name="Normal 2 2 2 2 2 2 2 2 2 2 23 8 2" xfId="11175" xr:uid="{9703E92D-7650-4510-9154-3916E5CBD7B0}"/>
    <cellStyle name="Normal 2 2 2 2 2 2 2 2 2 2 23 8 3" xfId="11176" xr:uid="{7B18E6D6-F64D-4FD3-8F51-56BE9DFA62CE}"/>
    <cellStyle name="Normal 2 2 2 2 2 2 2 2 2 2 23 8 4" xfId="11177" xr:uid="{55E41285-95A6-4DC4-BC00-B6625714224E}"/>
    <cellStyle name="Normal 2 2 2 2 2 2 2 2 2 2 23 9" xfId="11178" xr:uid="{29DB74E8-93BB-40C7-856F-1CFD0FCE533E}"/>
    <cellStyle name="Normal 2 2 2 2 2 2 2 2 2 2 24" xfId="11179" xr:uid="{B8AA0B12-5B99-4659-A3BD-550B5C18DA86}"/>
    <cellStyle name="Normal 2 2 2 2 2 2 2 2 2 2 25" xfId="11180" xr:uid="{1F65780A-1A6D-40BA-A165-25C396135341}"/>
    <cellStyle name="Normal 2 2 2 2 2 2 2 2 2 2 25 2" xfId="11181" xr:uid="{DDA2110C-365D-46A7-8695-76ED5903EFA8}"/>
    <cellStyle name="Normal 2 2 2 2 2 2 2 2 2 2 25 2 2" xfId="11182" xr:uid="{4939D3F1-3338-4DB2-BCCF-9886A20E7A5D}"/>
    <cellStyle name="Normal 2 2 2 2 2 2 2 2 2 2 25 2 3" xfId="11183" xr:uid="{AE57DFE7-7A9B-4CFA-85D6-DC2ECB04365E}"/>
    <cellStyle name="Normal 2 2 2 2 2 2 2 2 2 2 25 2 4" xfId="11184" xr:uid="{195642CC-195F-4C8C-9DFB-34B3717D2C8C}"/>
    <cellStyle name="Normal 2 2 2 2 2 2 2 2 2 2 25 3" xfId="11185" xr:uid="{BE306C85-7D9A-42ED-823D-258276FE5F05}"/>
    <cellStyle name="Normal 2 2 2 2 2 2 2 2 2 2 25 4" xfId="11186" xr:uid="{41691BF5-E3FF-4459-B78B-844351CD759D}"/>
    <cellStyle name="Normal 2 2 2 2 2 2 2 2 2 2 25 5" xfId="11187" xr:uid="{7709E814-F6A8-4F2A-A7F0-98F48A485716}"/>
    <cellStyle name="Normal 2 2 2 2 2 2 2 2 2 2 25 6" xfId="11188" xr:uid="{1834A9A4-AE72-46C0-A6A7-199456BB6CAE}"/>
    <cellStyle name="Normal 2 2 2 2 2 2 2 2 2 2 26" xfId="11189" xr:uid="{3F782271-F58C-414E-9837-5BD1F03A5DEE}"/>
    <cellStyle name="Normal 2 2 2 2 2 2 2 2 2 2 27" xfId="11190" xr:uid="{210EB768-8056-41E0-82F8-6E2B73D4C228}"/>
    <cellStyle name="Normal 2 2 2 2 2 2 2 2 2 2 28" xfId="11191" xr:uid="{0060E31E-7BEA-46F7-9937-DC7AD369A052}"/>
    <cellStyle name="Normal 2 2 2 2 2 2 2 2 2 2 29" xfId="11192" xr:uid="{995346C5-6EF2-4CD2-A017-9B565F1BAA0F}"/>
    <cellStyle name="Normal 2 2 2 2 2 2 2 2 2 2 3" xfId="11193" xr:uid="{8BC71AE0-978F-4497-9F0D-1FB262877036}"/>
    <cellStyle name="Normal 2 2 2 2 2 2 2 2 2 2 30" xfId="11194" xr:uid="{8824AEF6-06D5-4538-ABF4-C6A794BF4D7D}"/>
    <cellStyle name="Normal 2 2 2 2 2 2 2 2 2 2 31" xfId="11195" xr:uid="{8003B588-9A4A-49AA-8F92-D29B506CD5C8}"/>
    <cellStyle name="Normal 2 2 2 2 2 2 2 2 2 2 31 2" xfId="11196" xr:uid="{3E0F2C42-CFAD-4E7E-B0CD-CA4408C8D256}"/>
    <cellStyle name="Normal 2 2 2 2 2 2 2 2 2 2 31 3" xfId="11197" xr:uid="{1E2289DA-4F17-4B22-AD15-EF9F08EEEA35}"/>
    <cellStyle name="Normal 2 2 2 2 2 2 2 2 2 2 31 4" xfId="11198" xr:uid="{40D11417-84E9-4F1F-AD41-D56390F0AB4C}"/>
    <cellStyle name="Normal 2 2 2 2 2 2 2 2 2 2 32" xfId="11199" xr:uid="{6DFA4058-E750-4636-8892-2E4BCB5C365A}"/>
    <cellStyle name="Normal 2 2 2 2 2 2 2 2 2 2 33" xfId="11200" xr:uid="{10F83025-C679-438A-9072-3EF3396351C6}"/>
    <cellStyle name="Normal 2 2 2 2 2 2 2 2 2 2 34" xfId="11201" xr:uid="{06F28F66-8E37-4058-844C-B425F6975B2F}"/>
    <cellStyle name="Normal 2 2 2 2 2 2 2 2 2 2 35" xfId="11202" xr:uid="{A15805DA-F57E-4933-8EA5-379EAD5F3DC6}"/>
    <cellStyle name="Normal 2 2 2 2 2 2 2 2 2 2 36" xfId="11203" xr:uid="{AC19C68D-C570-44B9-919E-CC826C2BC183}"/>
    <cellStyle name="Normal 2 2 2 2 2 2 2 2 2 2 37" xfId="11204" xr:uid="{19EEA749-5392-4D64-8B13-BFCA385DB572}"/>
    <cellStyle name="Normal 2 2 2 2 2 2 2 2 2 2 38" xfId="11205" xr:uid="{A978A92B-A6CF-48FE-A8B1-CDEECFEC0D84}"/>
    <cellStyle name="Normal 2 2 2 2 2 2 2 2 2 2 39" xfId="11206" xr:uid="{822B7630-EF07-4203-B0B1-CFFF759699DD}"/>
    <cellStyle name="Normal 2 2 2 2 2 2 2 2 2 2 4" xfId="11207" xr:uid="{CE1871A9-009B-494F-B852-B9309DDCAF48}"/>
    <cellStyle name="Normal 2 2 2 2 2 2 2 2 2 2 40" xfId="11208" xr:uid="{A8173CCF-721F-4E83-9DC3-926AF5A53C70}"/>
    <cellStyle name="Normal 2 2 2 2 2 2 2 2 2 2 41" xfId="11209" xr:uid="{C5A19480-F25F-4583-ACDB-D0A89639695D}"/>
    <cellStyle name="Normal 2 2 2 2 2 2 2 2 2 2 42" xfId="11210" xr:uid="{CFDAD41A-4B27-40DB-89A1-ABF5AAA2F0D6}"/>
    <cellStyle name="Normal 2 2 2 2 2 2 2 2 2 2 43" xfId="11211" xr:uid="{5AA9F86C-7184-4DD3-BD0B-6D353BCF72AA}"/>
    <cellStyle name="Normal 2 2 2 2 2 2 2 2 2 2 44" xfId="11212" xr:uid="{C6324376-3DDE-4D65-8A2D-FDD5F30CDC2E}"/>
    <cellStyle name="Normal 2 2 2 2 2 2 2 2 2 2 45" xfId="11213" xr:uid="{4C22EFFF-C90D-4ACC-91C6-E1A85F85ABC4}"/>
    <cellStyle name="Normal 2 2 2 2 2 2 2 2 2 2 46" xfId="11214" xr:uid="{C46A9146-C341-45A8-8A5C-EB5B97AD1CD2}"/>
    <cellStyle name="Normal 2 2 2 2 2 2 2 2 2 2 46 2" xfId="11215" xr:uid="{A631C1FB-FE90-4486-9CE1-EE23E4635C32}"/>
    <cellStyle name="Normal 2 2 2 2 2 2 2 2 2 2 46 3" xfId="11216" xr:uid="{61A6DC44-4EF7-4D1A-BD5A-4406FD3A8E82}"/>
    <cellStyle name="Normal 2 2 2 2 2 2 2 2 2 2 46 4" xfId="11217" xr:uid="{26FA1061-6949-48A7-B216-DFC17B9CD3F3}"/>
    <cellStyle name="Normal 2 2 2 2 2 2 2 2 2 2 46 5" xfId="11218" xr:uid="{0062C753-DDB0-4CC6-9C41-C0A1FFCB78A9}"/>
    <cellStyle name="Normal 2 2 2 2 2 2 2 2 2 2 46 6" xfId="11219" xr:uid="{D9B30D3B-7989-4A48-8434-6A9386A22B97}"/>
    <cellStyle name="Normal 2 2 2 2 2 2 2 2 2 2 46 7" xfId="11220" xr:uid="{940B5E59-6417-4664-9B9F-8E13E3946980}"/>
    <cellStyle name="Normal 2 2 2 2 2 2 2 2 2 2 47" xfId="11221" xr:uid="{9CCBAC97-F8E6-470A-9F2C-71060750C696}"/>
    <cellStyle name="Normal 2 2 2 2 2 2 2 2 2 2 48" xfId="11222" xr:uid="{CC76734E-695E-4735-81C9-7B3DAC0C66A6}"/>
    <cellStyle name="Normal 2 2 2 2 2 2 2 2 2 2 49" xfId="11223" xr:uid="{2EAA182F-AA86-4912-870A-A934DDEC5B3D}"/>
    <cellStyle name="Normal 2 2 2 2 2 2 2 2 2 2 5" xfId="11224" xr:uid="{B70ED475-82C7-462C-9C0A-3D796DFAA5CE}"/>
    <cellStyle name="Normal 2 2 2 2 2 2 2 2 2 2 50" xfId="11225" xr:uid="{81062A61-5FAA-48F3-9DC5-08E4A3FF500F}"/>
    <cellStyle name="Normal 2 2 2 2 2 2 2 2 2 2 51" xfId="11226" xr:uid="{A0CE4730-D047-416B-A91F-57D8953AF878}"/>
    <cellStyle name="Normal 2 2 2 2 2 2 2 2 2 2 52" xfId="11227" xr:uid="{2F890B78-E3F8-48D1-AA00-3678CB49FE7E}"/>
    <cellStyle name="Normal 2 2 2 2 2 2 2 2 2 2 53" xfId="11228" xr:uid="{5B1C1038-03FE-425D-AC37-D87C8B1599AF}"/>
    <cellStyle name="Normal 2 2 2 2 2 2 2 2 2 2 54" xfId="11229" xr:uid="{9752B400-A962-4F50-B5F9-7FE2904A2E61}"/>
    <cellStyle name="Normal 2 2 2 2 2 2 2 2 2 2 55" xfId="11230" xr:uid="{BD01B610-D28E-486C-BBAF-91FDDF92D981}"/>
    <cellStyle name="Normal 2 2 2 2 2 2 2 2 2 2 56" xfId="11231" xr:uid="{1856E687-38DB-42FF-92A9-20DFD5264B76}"/>
    <cellStyle name="Normal 2 2 2 2 2 2 2 2 2 2 57" xfId="11232" xr:uid="{FD3BE89E-1CD6-49AF-918F-FDE70DEC21DD}"/>
    <cellStyle name="Normal 2 2 2 2 2 2 2 2 2 2 58" xfId="11233" xr:uid="{8E1E7083-7B13-4E27-8AC0-DE70FEF32880}"/>
    <cellStyle name="Normal 2 2 2 2 2 2 2 2 2 2 59" xfId="11234" xr:uid="{0121D5AE-CB3F-4025-970C-6DEBDE7B5A68}"/>
    <cellStyle name="Normal 2 2 2 2 2 2 2 2 2 2 6" xfId="11235" xr:uid="{10B4173B-553E-4B66-9549-1070A253383E}"/>
    <cellStyle name="Normal 2 2 2 2 2 2 2 2 2 2 60" xfId="11236" xr:uid="{94B649A1-AB4A-4A1B-82C1-B847F1A8D668}"/>
    <cellStyle name="Normal 2 2 2 2 2 2 2 2 2 2 61" xfId="11237" xr:uid="{D34D6B35-4DE0-4320-80C9-1B7E1A0EB10D}"/>
    <cellStyle name="Normal 2 2 2 2 2 2 2 2 2 2 62" xfId="11238" xr:uid="{3F6FA203-AFDF-4092-AB2F-F78D027129AC}"/>
    <cellStyle name="Normal 2 2 2 2 2 2 2 2 2 2 63" xfId="11239" xr:uid="{34B5AB28-E83E-4383-939C-E4AD0A117662}"/>
    <cellStyle name="Normal 2 2 2 2 2 2 2 2 2 2 64" xfId="11240" xr:uid="{B8D6CCEF-9A95-4DE3-B62B-7D01547FA28C}"/>
    <cellStyle name="Normal 2 2 2 2 2 2 2 2 2 2 65" xfId="11241" xr:uid="{5FBB3C03-DFD6-49D2-828D-5C5A7B40341D}"/>
    <cellStyle name="Normal 2 2 2 2 2 2 2 2 2 2 66" xfId="11242" xr:uid="{A69D2D39-7193-45AF-ACFB-74EFDEFA8E10}"/>
    <cellStyle name="Normal 2 2 2 2 2 2 2 2 2 2 67" xfId="11243" xr:uid="{4C76DCD0-9182-4A13-926B-05306C2B1891}"/>
    <cellStyle name="Normal 2 2 2 2 2 2 2 2 2 2 68" xfId="11244" xr:uid="{54CA20C0-C924-413A-B0DD-8BFA62E093EB}"/>
    <cellStyle name="Normal 2 2 2 2 2 2 2 2 2 2 69" xfId="11245" xr:uid="{27F00F07-4EA5-4A1A-8371-291585CEE4E7}"/>
    <cellStyle name="Normal 2 2 2 2 2 2 2 2 2 2 7" xfId="11246" xr:uid="{2B2F7DBE-2AD7-44C1-8534-06157C465D85}"/>
    <cellStyle name="Normal 2 2 2 2 2 2 2 2 2 2 70" xfId="11247" xr:uid="{30151DF6-C5A6-4C9C-ACA8-FCC748F4191E}"/>
    <cellStyle name="Normal 2 2 2 2 2 2 2 2 2 2 71" xfId="11248" xr:uid="{454B3267-42B9-4BCE-BE3E-9F7B0D574E3D}"/>
    <cellStyle name="Normal 2 2 2 2 2 2 2 2 2 2 72" xfId="11249" xr:uid="{7DDAA76C-A571-427E-88E1-BBF865DFBB81}"/>
    <cellStyle name="Normal 2 2 2 2 2 2 2 2 2 2 73" xfId="11250" xr:uid="{F5C96932-30C3-4256-95FB-CB86F2350AAE}"/>
    <cellStyle name="Normal 2 2 2 2 2 2 2 2 2 2 74" xfId="11251" xr:uid="{75C7B488-BC39-49E8-88FF-4B404AFF35C7}"/>
    <cellStyle name="Normal 2 2 2 2 2 2 2 2 2 2 75" xfId="11252" xr:uid="{9E91D520-EC76-401E-8E06-72BF9F30772B}"/>
    <cellStyle name="Normal 2 2 2 2 2 2 2 2 2 2 76" xfId="11253" xr:uid="{1F9507DF-05AC-4AB5-9F14-7C04E0DDD603}"/>
    <cellStyle name="Normal 2 2 2 2 2 2 2 2 2 2 77" xfId="11254" xr:uid="{373AC6F3-DDA6-4BA1-AFE8-4ADEEAD9BFD4}"/>
    <cellStyle name="Normal 2 2 2 2 2 2 2 2 2 2 78" xfId="11255" xr:uid="{FEA09033-5880-42D3-800B-CDE806BF4E04}"/>
    <cellStyle name="Normal 2 2 2 2 2 2 2 2 2 2 79" xfId="11256" xr:uid="{675CD633-491D-4F24-BAB4-F1F2FACB3CF9}"/>
    <cellStyle name="Normal 2 2 2 2 2 2 2 2 2 2 8" xfId="11257" xr:uid="{A4E1236A-7CA3-4CEA-8C8B-22BA0CE656C7}"/>
    <cellStyle name="Normal 2 2 2 2 2 2 2 2 2 2 80" xfId="11258" xr:uid="{47BA900A-9404-46D9-BC10-3E7B9C3F8687}"/>
    <cellStyle name="Normal 2 2 2 2 2 2 2 2 2 2 81" xfId="11259" xr:uid="{C402A68E-6EA8-4DFF-A31D-FB924F390594}"/>
    <cellStyle name="Normal 2 2 2 2 2 2 2 2 2 2 82" xfId="11260" xr:uid="{1830EDB5-23E3-4AD5-8E36-D656303C5963}"/>
    <cellStyle name="Normal 2 2 2 2 2 2 2 2 2 2 83" xfId="11261" xr:uid="{99DE0DAE-6FC7-46FA-BCE0-9192807CF886}"/>
    <cellStyle name="Normal 2 2 2 2 2 2 2 2 2 2 84" xfId="11262" xr:uid="{7DD0A4C7-A845-4865-B233-7E940F99BA6B}"/>
    <cellStyle name="Normal 2 2 2 2 2 2 2 2 2 2 85" xfId="11263" xr:uid="{A898E5F8-AE0F-4BDE-8407-8E2B75FE287A}"/>
    <cellStyle name="Normal 2 2 2 2 2 2 2 2 2 2 86" xfId="11264" xr:uid="{318D0535-4945-4D0A-BA70-8D6BB447CFA9}"/>
    <cellStyle name="Normal 2 2 2 2 2 2 2 2 2 2 87" xfId="11265" xr:uid="{C1434892-3921-4BE8-8F70-758AE68765FF}"/>
    <cellStyle name="Normal 2 2 2 2 2 2 2 2 2 2 88" xfId="11266" xr:uid="{90F55C4F-263E-4582-AA34-256CA2198009}"/>
    <cellStyle name="Normal 2 2 2 2 2 2 2 2 2 2 89" xfId="11267" xr:uid="{EBE1D01F-B9F5-452C-A3DE-E9E55F58FDA4}"/>
    <cellStyle name="Normal 2 2 2 2 2 2 2 2 2 2 9" xfId="11268" xr:uid="{7628412A-9812-4ADA-8F9B-D5710693331A}"/>
    <cellStyle name="Normal 2 2 2 2 2 2 2 2 2 2 90" xfId="11269" xr:uid="{C2D652B0-2366-487E-90E1-E2F9C36143BC}"/>
    <cellStyle name="Normal 2 2 2 2 2 2 2 2 2 2 91" xfId="11270" xr:uid="{BC129614-B138-45BA-9078-A7CED39E0F79}"/>
    <cellStyle name="Normal 2 2 2 2 2 2 2 2 2 2 92" xfId="11271" xr:uid="{733A4FA6-310A-4936-8A93-741BE058A433}"/>
    <cellStyle name="Normal 2 2 2 2 2 2 2 2 2 2 93" xfId="11272" xr:uid="{FDB79DBE-3A6F-4FF3-A27D-89450E078CDD}"/>
    <cellStyle name="Normal 2 2 2 2 2 2 2 2 2 2 93 2" xfId="11273" xr:uid="{3EDE1CDA-61EF-4382-9A1E-6DCCD514EC69}"/>
    <cellStyle name="Normal 2 2 2 2 2 2 2 2 2 2 93 3" xfId="11274" xr:uid="{C0CB8299-3ABB-40C4-80DD-F6C19A45EEC9}"/>
    <cellStyle name="Normal 2 2 2 2 2 2 2 2 2 2 93 4" xfId="11275" xr:uid="{452EB59C-78C0-4C0E-908B-7B18E2F1D062}"/>
    <cellStyle name="Normal 2 2 2 2 2 2 2 2 2 2 94" xfId="11276" xr:uid="{D6FD45FC-DE6F-472E-A1EC-1CDFB26C478D}"/>
    <cellStyle name="Normal 2 2 2 2 2 2 2 2 2 2 95" xfId="11277" xr:uid="{A5F6DEC0-87B9-4FA1-949A-A74A93C43B45}"/>
    <cellStyle name="Normal 2 2 2 2 2 2 2 2 2 20" xfId="11278" xr:uid="{E1E81FF2-2E24-4A32-A610-99717F8131E1}"/>
    <cellStyle name="Normal 2 2 2 2 2 2 2 2 2 21" xfId="11279" xr:uid="{D66C422C-1185-4BED-B5A7-B49A420B3C76}"/>
    <cellStyle name="Normal 2 2 2 2 2 2 2 2 2 22" xfId="11280" xr:uid="{C4EA6629-97EF-4333-A179-ADC961FFE767}"/>
    <cellStyle name="Normal 2 2 2 2 2 2 2 2 2 22 10" xfId="11281" xr:uid="{21AC6E3A-BF3F-4458-AD61-D6938B16A67A}"/>
    <cellStyle name="Normal 2 2 2 2 2 2 2 2 2 22 11" xfId="11282" xr:uid="{FF3B0580-4B9A-409B-8396-EBB61A45342B}"/>
    <cellStyle name="Normal 2 2 2 2 2 2 2 2 2 22 11 2" xfId="11283" xr:uid="{AFA47360-2465-492C-BE0B-FCC86894A5C7}"/>
    <cellStyle name="Normal 2 2 2 2 2 2 2 2 2 22 11 3" xfId="11284" xr:uid="{70A13C95-98CB-4666-AE52-5675026A2E9E}"/>
    <cellStyle name="Normal 2 2 2 2 2 2 2 2 2 22 11 4" xfId="11285" xr:uid="{242C8880-6BA2-46F1-AA78-5A2A0332E90B}"/>
    <cellStyle name="Normal 2 2 2 2 2 2 2 2 2 22 12" xfId="11286" xr:uid="{7358DE92-A231-440C-A23C-D69B11CACE1F}"/>
    <cellStyle name="Normal 2 2 2 2 2 2 2 2 2 22 13" xfId="11287" xr:uid="{982773F3-5CED-4879-8DCE-8A2D726FFCC9}"/>
    <cellStyle name="Normal 2 2 2 2 2 2 2 2 2 22 14" xfId="11288" xr:uid="{2D750242-4697-4975-96E0-8552FB8013DA}"/>
    <cellStyle name="Normal 2 2 2 2 2 2 2 2 2 22 2" xfId="11289" xr:uid="{7645AFEC-2932-4EB6-B599-C356DEA76A37}"/>
    <cellStyle name="Normal 2 2 2 2 2 2 2 2 2 22 2 10" xfId="11290" xr:uid="{EDFA924B-F2ED-4816-B8F8-B58483E1064D}"/>
    <cellStyle name="Normal 2 2 2 2 2 2 2 2 2 22 2 11" xfId="11291" xr:uid="{AE5BB5F7-BCBE-4E9E-B9B5-0C1C21B17D58}"/>
    <cellStyle name="Normal 2 2 2 2 2 2 2 2 2 22 2 2" xfId="11292" xr:uid="{DCF5B164-A135-41D2-B885-7A451F0152D6}"/>
    <cellStyle name="Normal 2 2 2 2 2 2 2 2 2 22 2 2 10" xfId="11293" xr:uid="{9E92367F-F2E1-4133-97C3-CDD790E5174C}"/>
    <cellStyle name="Normal 2 2 2 2 2 2 2 2 2 22 2 2 11" xfId="11294" xr:uid="{2BE2AB89-B772-401B-9370-60E167EBBCF8}"/>
    <cellStyle name="Normal 2 2 2 2 2 2 2 2 2 22 2 2 2" xfId="11295" xr:uid="{5B168B78-789A-41F8-9D22-2D0ABEA2CD6D}"/>
    <cellStyle name="Normal 2 2 2 2 2 2 2 2 2 22 2 2 2 2" xfId="11296" xr:uid="{4D794C3A-CB53-40D7-B3A5-2978A0F6E0F9}"/>
    <cellStyle name="Normal 2 2 2 2 2 2 2 2 2 22 2 2 2 2 2" xfId="11297" xr:uid="{ACAF5268-416A-457B-B560-35D45F7DCD8F}"/>
    <cellStyle name="Normal 2 2 2 2 2 2 2 2 2 22 2 2 2 2 3" xfId="11298" xr:uid="{1D5DEF83-C917-42B2-9EEE-57448139AA62}"/>
    <cellStyle name="Normal 2 2 2 2 2 2 2 2 2 22 2 2 2 2 4" xfId="11299" xr:uid="{45D230BA-7489-4CCF-A70F-E12F368683D3}"/>
    <cellStyle name="Normal 2 2 2 2 2 2 2 2 2 22 2 2 2 3" xfId="11300" xr:uid="{D4591427-DCAB-42E8-AEA3-A1E11A6C3AB6}"/>
    <cellStyle name="Normal 2 2 2 2 2 2 2 2 2 22 2 2 2 4" xfId="11301" xr:uid="{F3B211F2-73AB-474A-B53C-DF42FEE3FC87}"/>
    <cellStyle name="Normal 2 2 2 2 2 2 2 2 2 22 2 2 2 5" xfId="11302" xr:uid="{C679DCBE-7CF1-455A-82CB-86FC00D9CA9E}"/>
    <cellStyle name="Normal 2 2 2 2 2 2 2 2 2 22 2 2 2 6" xfId="11303" xr:uid="{69EA7E43-2F88-4313-97D8-293EEBEF3AFE}"/>
    <cellStyle name="Normal 2 2 2 2 2 2 2 2 2 22 2 2 3" xfId="11304" xr:uid="{A2F0496C-0352-42CE-8E3D-626966D6A5AB}"/>
    <cellStyle name="Normal 2 2 2 2 2 2 2 2 2 22 2 2 4" xfId="11305" xr:uid="{463F97DB-49D5-4B81-8897-0C4672AECF39}"/>
    <cellStyle name="Normal 2 2 2 2 2 2 2 2 2 22 2 2 5" xfId="11306" xr:uid="{8AF7B280-60D8-427E-B883-8A2BC87E81B4}"/>
    <cellStyle name="Normal 2 2 2 2 2 2 2 2 2 22 2 2 6" xfId="11307" xr:uid="{9ED7A7F1-FAAA-496E-A954-4F8A35E713A6}"/>
    <cellStyle name="Normal 2 2 2 2 2 2 2 2 2 22 2 2 7" xfId="11308" xr:uid="{6D07D576-E477-44A9-83C7-5EACA7E363ED}"/>
    <cellStyle name="Normal 2 2 2 2 2 2 2 2 2 22 2 2 8" xfId="11309" xr:uid="{1EF2BC82-DA61-43C2-9069-3EE47F5E7D9D}"/>
    <cellStyle name="Normal 2 2 2 2 2 2 2 2 2 22 2 2 8 2" xfId="11310" xr:uid="{AF601E58-AE02-4FAC-ADF6-7CA24E218A41}"/>
    <cellStyle name="Normal 2 2 2 2 2 2 2 2 2 22 2 2 8 3" xfId="11311" xr:uid="{1120558A-92B6-4C42-960E-9103AFD32EF5}"/>
    <cellStyle name="Normal 2 2 2 2 2 2 2 2 2 22 2 2 8 4" xfId="11312" xr:uid="{66C185FD-CDE3-44E7-97AD-82095D7B8BD3}"/>
    <cellStyle name="Normal 2 2 2 2 2 2 2 2 2 22 2 2 9" xfId="11313" xr:uid="{2516ACF0-73E4-48EA-96B9-687DF44D5492}"/>
    <cellStyle name="Normal 2 2 2 2 2 2 2 2 2 22 2 3" xfId="11314" xr:uid="{C5D8D25E-E147-4CFC-83BC-5AB882E42DA7}"/>
    <cellStyle name="Normal 2 2 2 2 2 2 2 2 2 22 2 3 2" xfId="11315" xr:uid="{68840AD6-4975-4079-8F8C-2CC2A436BE4A}"/>
    <cellStyle name="Normal 2 2 2 2 2 2 2 2 2 22 2 3 2 2" xfId="11316" xr:uid="{85159774-3612-4F04-90F3-5A21326535AB}"/>
    <cellStyle name="Normal 2 2 2 2 2 2 2 2 2 22 2 3 2 3" xfId="11317" xr:uid="{FE9E9FA2-F8DE-46A9-9142-6A72DA0A78EC}"/>
    <cellStyle name="Normal 2 2 2 2 2 2 2 2 2 22 2 3 2 4" xfId="11318" xr:uid="{F9B56026-0534-47BC-966F-8B7B5B77B8FA}"/>
    <cellStyle name="Normal 2 2 2 2 2 2 2 2 2 22 2 3 3" xfId="11319" xr:uid="{CFC2F72C-85A9-4934-94CA-0DA251A34158}"/>
    <cellStyle name="Normal 2 2 2 2 2 2 2 2 2 22 2 3 4" xfId="11320" xr:uid="{36D906B1-E646-442E-AD49-E85E2AFF903D}"/>
    <cellStyle name="Normal 2 2 2 2 2 2 2 2 2 22 2 3 5" xfId="11321" xr:uid="{6D974D0C-7CC1-47B7-BA6F-C231A0A28D7F}"/>
    <cellStyle name="Normal 2 2 2 2 2 2 2 2 2 22 2 3 6" xfId="11322" xr:uid="{E00FE5EC-4DEC-4179-A89B-713C2B448E68}"/>
    <cellStyle name="Normal 2 2 2 2 2 2 2 2 2 22 2 4" xfId="11323" xr:uid="{A1D169BE-7837-40C4-8FBA-9486BFCB7098}"/>
    <cellStyle name="Normal 2 2 2 2 2 2 2 2 2 22 2 5" xfId="11324" xr:uid="{35B2DEB3-D771-4A53-BC13-4692599927E7}"/>
    <cellStyle name="Normal 2 2 2 2 2 2 2 2 2 22 2 6" xfId="11325" xr:uid="{DFF98C4A-1BF3-4A6B-9738-954AA43FB82A}"/>
    <cellStyle name="Normal 2 2 2 2 2 2 2 2 2 22 2 7" xfId="11326" xr:uid="{DE80A64F-3285-4FC0-B021-21C5BAF70E3B}"/>
    <cellStyle name="Normal 2 2 2 2 2 2 2 2 2 22 2 8" xfId="11327" xr:uid="{219CB560-BC82-406A-A9C2-41E16231F6C4}"/>
    <cellStyle name="Normal 2 2 2 2 2 2 2 2 2 22 2 8 2" xfId="11328" xr:uid="{4F85B13D-682F-4053-B9A2-298CA602A898}"/>
    <cellStyle name="Normal 2 2 2 2 2 2 2 2 2 22 2 8 3" xfId="11329" xr:uid="{BED73260-4D9D-4002-845B-D21A96EAE65A}"/>
    <cellStyle name="Normal 2 2 2 2 2 2 2 2 2 22 2 8 4" xfId="11330" xr:uid="{3C7BADC4-5C1C-402B-8CCD-3E6DB2DDFF0B}"/>
    <cellStyle name="Normal 2 2 2 2 2 2 2 2 2 22 2 9" xfId="11331" xr:uid="{73E8FC74-A1F1-42CF-A11A-BE1802548F44}"/>
    <cellStyle name="Normal 2 2 2 2 2 2 2 2 2 22 3" xfId="11332" xr:uid="{B5F54DB5-B7D1-4F79-97E0-48523F8CC013}"/>
    <cellStyle name="Normal 2 2 2 2 2 2 2 2 2 22 4" xfId="11333" xr:uid="{5E3A97DD-FDA8-4095-B049-6B60C843D254}"/>
    <cellStyle name="Normal 2 2 2 2 2 2 2 2 2 22 5" xfId="11334" xr:uid="{757CED7D-99E7-45B9-8007-C1563BBFBF5D}"/>
    <cellStyle name="Normal 2 2 2 2 2 2 2 2 2 22 5 2" xfId="11335" xr:uid="{4A20FDCE-DDFF-4DF5-95F3-BD0A73458C82}"/>
    <cellStyle name="Normal 2 2 2 2 2 2 2 2 2 22 5 2 2" xfId="11336" xr:uid="{21EAE404-10E4-4198-A882-77CBB6B3E060}"/>
    <cellStyle name="Normal 2 2 2 2 2 2 2 2 2 22 5 2 3" xfId="11337" xr:uid="{7493CF9B-2E26-4AD6-A337-0F5E371AC9AC}"/>
    <cellStyle name="Normal 2 2 2 2 2 2 2 2 2 22 5 2 4" xfId="11338" xr:uid="{ED6D2C7D-C39B-4FB0-88E8-C73D7620EFD4}"/>
    <cellStyle name="Normal 2 2 2 2 2 2 2 2 2 22 5 3" xfId="11339" xr:uid="{E1E0ED8D-4955-4B13-B882-F59CF3504319}"/>
    <cellStyle name="Normal 2 2 2 2 2 2 2 2 2 22 5 4" xfId="11340" xr:uid="{3D1FCCF6-B5A6-42E1-BDEE-1D7AB26F1416}"/>
    <cellStyle name="Normal 2 2 2 2 2 2 2 2 2 22 5 5" xfId="11341" xr:uid="{A286F251-30A9-4F93-A6A9-71AFD44ACDEF}"/>
    <cellStyle name="Normal 2 2 2 2 2 2 2 2 2 22 5 6" xfId="11342" xr:uid="{D57520EA-371D-4B23-BE07-090FF91C4DB3}"/>
    <cellStyle name="Normal 2 2 2 2 2 2 2 2 2 22 6" xfId="11343" xr:uid="{B2B999CB-7E3B-4326-B445-1009211F0DFE}"/>
    <cellStyle name="Normal 2 2 2 2 2 2 2 2 2 22 7" xfId="11344" xr:uid="{D3686E64-05A5-4699-9732-BB509739DCEB}"/>
    <cellStyle name="Normal 2 2 2 2 2 2 2 2 2 22 8" xfId="11345" xr:uid="{D1FED260-CFCE-4E7D-BEAD-A509A448082B}"/>
    <cellStyle name="Normal 2 2 2 2 2 2 2 2 2 22 9" xfId="11346" xr:uid="{F43B3B7B-8268-4351-9158-8752C8567A5B}"/>
    <cellStyle name="Normal 2 2 2 2 2 2 2 2 2 23" xfId="11347" xr:uid="{1B5F270B-CC13-4806-A29E-CCED9F18882A}"/>
    <cellStyle name="Normal 2 2 2 2 2 2 2 2 2 24" xfId="11348" xr:uid="{DE31D20A-3E63-4785-819B-F0856034452C}"/>
    <cellStyle name="Normal 2 2 2 2 2 2 2 2 2 24 10" xfId="11349" xr:uid="{EBC22201-48CC-4D08-98AC-EFE2E2F3B797}"/>
    <cellStyle name="Normal 2 2 2 2 2 2 2 2 2 24 11" xfId="11350" xr:uid="{84C7C7C3-1348-4EE1-BC8C-907ED0034D1B}"/>
    <cellStyle name="Normal 2 2 2 2 2 2 2 2 2 24 2" xfId="11351" xr:uid="{C38D9F89-4C68-4E3F-9499-B81C6C084B9E}"/>
    <cellStyle name="Normal 2 2 2 2 2 2 2 2 2 24 2 10" xfId="11352" xr:uid="{940324B9-D9A0-4ACB-931F-AFE9AA11C8BE}"/>
    <cellStyle name="Normal 2 2 2 2 2 2 2 2 2 24 2 11" xfId="11353" xr:uid="{17947893-9D96-491B-A016-537682CFED62}"/>
    <cellStyle name="Normal 2 2 2 2 2 2 2 2 2 24 2 2" xfId="11354" xr:uid="{0E5F3D51-4E71-45AF-B838-134C22800BCC}"/>
    <cellStyle name="Normal 2 2 2 2 2 2 2 2 2 24 2 2 2" xfId="11355" xr:uid="{54B63A53-E5AE-4443-92A9-962143C6D58C}"/>
    <cellStyle name="Normal 2 2 2 2 2 2 2 2 2 24 2 2 2 2" xfId="11356" xr:uid="{5977A6D5-A229-470F-828D-A13936BB5A87}"/>
    <cellStyle name="Normal 2 2 2 2 2 2 2 2 2 24 2 2 2 3" xfId="11357" xr:uid="{8AFC4969-7352-49C1-B215-33DE773BBE04}"/>
    <cellStyle name="Normal 2 2 2 2 2 2 2 2 2 24 2 2 2 4" xfId="11358" xr:uid="{D3DB7FF8-ACA1-463C-A473-FEBE9BAB6753}"/>
    <cellStyle name="Normal 2 2 2 2 2 2 2 2 2 24 2 2 3" xfId="11359" xr:uid="{DEDA9B68-6FF5-4E82-A150-206D479B43A5}"/>
    <cellStyle name="Normal 2 2 2 2 2 2 2 2 2 24 2 2 4" xfId="11360" xr:uid="{C510A60D-8D55-4044-8209-965B10A63EF1}"/>
    <cellStyle name="Normal 2 2 2 2 2 2 2 2 2 24 2 2 5" xfId="11361" xr:uid="{A93A64EF-A168-4F31-A338-B5EA006B8D8A}"/>
    <cellStyle name="Normal 2 2 2 2 2 2 2 2 2 24 2 2 6" xfId="11362" xr:uid="{E1195A76-E71E-423D-B33A-A1237982E5E1}"/>
    <cellStyle name="Normal 2 2 2 2 2 2 2 2 2 24 2 3" xfId="11363" xr:uid="{7924E601-68BE-49BA-B615-CC87474164E6}"/>
    <cellStyle name="Normal 2 2 2 2 2 2 2 2 2 24 2 4" xfId="11364" xr:uid="{A04C1B9B-6807-47E4-A321-618F80A26DBD}"/>
    <cellStyle name="Normal 2 2 2 2 2 2 2 2 2 24 2 5" xfId="11365" xr:uid="{82B648CE-47E4-4F68-B839-C030073B427A}"/>
    <cellStyle name="Normal 2 2 2 2 2 2 2 2 2 24 2 6" xfId="11366" xr:uid="{32125881-D508-4595-9A80-268BED67E28D}"/>
    <cellStyle name="Normal 2 2 2 2 2 2 2 2 2 24 2 7" xfId="11367" xr:uid="{1F43B627-CC11-4869-926E-AAE5560C317A}"/>
    <cellStyle name="Normal 2 2 2 2 2 2 2 2 2 24 2 8" xfId="11368" xr:uid="{C131256D-A00B-4E56-9DA7-EA4D7E04F6C5}"/>
    <cellStyle name="Normal 2 2 2 2 2 2 2 2 2 24 2 8 2" xfId="11369" xr:uid="{A930E4F2-CFC7-42A8-AA48-4EFE7E3208DA}"/>
    <cellStyle name="Normal 2 2 2 2 2 2 2 2 2 24 2 8 3" xfId="11370" xr:uid="{DB15079F-46AE-49D0-869E-D2E2C4C6BB4C}"/>
    <cellStyle name="Normal 2 2 2 2 2 2 2 2 2 24 2 8 4" xfId="11371" xr:uid="{C37C2D7F-CE91-462D-8E64-023F137CDB2A}"/>
    <cellStyle name="Normal 2 2 2 2 2 2 2 2 2 24 2 9" xfId="11372" xr:uid="{0AEDFB1E-7980-44B2-BD1B-7E07A98CA161}"/>
    <cellStyle name="Normal 2 2 2 2 2 2 2 2 2 24 3" xfId="11373" xr:uid="{CBA610B1-42B8-4EDB-B783-763BFE83050A}"/>
    <cellStyle name="Normal 2 2 2 2 2 2 2 2 2 24 3 2" xfId="11374" xr:uid="{8B6F8E01-188B-4C2C-BEE1-952286022ECB}"/>
    <cellStyle name="Normal 2 2 2 2 2 2 2 2 2 24 3 2 2" xfId="11375" xr:uid="{180CE7B2-0A1C-49B9-8244-6C2B1ABC5E2F}"/>
    <cellStyle name="Normal 2 2 2 2 2 2 2 2 2 24 3 2 3" xfId="11376" xr:uid="{2C83B565-40D0-4D36-B3B1-D9FA5F74CE1D}"/>
    <cellStyle name="Normal 2 2 2 2 2 2 2 2 2 24 3 2 4" xfId="11377" xr:uid="{58F4E164-50FA-4A88-B0BA-EA4637940686}"/>
    <cellStyle name="Normal 2 2 2 2 2 2 2 2 2 24 3 3" xfId="11378" xr:uid="{05130442-24DA-4E39-BD88-C5191460ABA6}"/>
    <cellStyle name="Normal 2 2 2 2 2 2 2 2 2 24 3 4" xfId="11379" xr:uid="{A4B1F4F0-9725-4FC3-B4B9-9B0FF5CBE295}"/>
    <cellStyle name="Normal 2 2 2 2 2 2 2 2 2 24 3 5" xfId="11380" xr:uid="{2A39D449-B131-4EF7-AC1D-00DFE0B0AFEE}"/>
    <cellStyle name="Normal 2 2 2 2 2 2 2 2 2 24 3 6" xfId="11381" xr:uid="{2DE58840-9E60-491C-BA7B-2865EC3327E3}"/>
    <cellStyle name="Normal 2 2 2 2 2 2 2 2 2 24 4" xfId="11382" xr:uid="{2CD13A2A-55FC-4F0B-B973-3EBCB25C2DEB}"/>
    <cellStyle name="Normal 2 2 2 2 2 2 2 2 2 24 5" xfId="11383" xr:uid="{38A49204-CF26-4E6B-82FD-86A064D97B3D}"/>
    <cellStyle name="Normal 2 2 2 2 2 2 2 2 2 24 6" xfId="11384" xr:uid="{C66A51AF-4AA7-4BF7-AA0C-84DBE2C5628D}"/>
    <cellStyle name="Normal 2 2 2 2 2 2 2 2 2 24 7" xfId="11385" xr:uid="{915CA102-A9F9-40EA-9923-666D525947C3}"/>
    <cellStyle name="Normal 2 2 2 2 2 2 2 2 2 24 8" xfId="11386" xr:uid="{2FE61C04-5E67-47DB-8BC4-C74A443EC853}"/>
    <cellStyle name="Normal 2 2 2 2 2 2 2 2 2 24 8 2" xfId="11387" xr:uid="{0E03244E-187B-4905-884E-E1AC421C257C}"/>
    <cellStyle name="Normal 2 2 2 2 2 2 2 2 2 24 8 3" xfId="11388" xr:uid="{C09BC2F9-7A3C-469F-9E60-BF591492769C}"/>
    <cellStyle name="Normal 2 2 2 2 2 2 2 2 2 24 8 4" xfId="11389" xr:uid="{ACB687CD-01B5-4D70-8224-730C6D441F21}"/>
    <cellStyle name="Normal 2 2 2 2 2 2 2 2 2 24 9" xfId="11390" xr:uid="{55831D10-F1BC-495B-9D38-89C104B5DD12}"/>
    <cellStyle name="Normal 2 2 2 2 2 2 2 2 2 25" xfId="11391" xr:uid="{48367D8C-1D01-410B-BADC-A2FB7F6E6AF5}"/>
    <cellStyle name="Normal 2 2 2 2 2 2 2 2 2 26" xfId="11392" xr:uid="{A412F63F-6B43-4493-9B6C-8ACFA869E034}"/>
    <cellStyle name="Normal 2 2 2 2 2 2 2 2 2 26 2" xfId="11393" xr:uid="{72785887-7EF6-4D57-A5A5-E833939717DF}"/>
    <cellStyle name="Normal 2 2 2 2 2 2 2 2 2 26 2 2" xfId="11394" xr:uid="{55A550AD-3F70-4B9E-852A-D67376B14115}"/>
    <cellStyle name="Normal 2 2 2 2 2 2 2 2 2 26 2 3" xfId="11395" xr:uid="{BEA810BB-A737-49BE-92F5-59B41A6418C8}"/>
    <cellStyle name="Normal 2 2 2 2 2 2 2 2 2 26 2 4" xfId="11396" xr:uid="{7F4E0799-4719-4B8F-9E64-3831012D7093}"/>
    <cellStyle name="Normal 2 2 2 2 2 2 2 2 2 26 3" xfId="11397" xr:uid="{8FF08DCA-3316-47B5-98F0-1C9D523EB4F3}"/>
    <cellStyle name="Normal 2 2 2 2 2 2 2 2 2 26 4" xfId="11398" xr:uid="{C21AC3A9-F5AF-4381-8C27-407439D8895C}"/>
    <cellStyle name="Normal 2 2 2 2 2 2 2 2 2 26 5" xfId="11399" xr:uid="{A0C84927-A068-4355-895A-2BC25097B523}"/>
    <cellStyle name="Normal 2 2 2 2 2 2 2 2 2 26 6" xfId="11400" xr:uid="{1EF3564A-4069-4C6D-BF67-F9C27A120395}"/>
    <cellStyle name="Normal 2 2 2 2 2 2 2 2 2 27" xfId="11401" xr:uid="{18B3FAB5-BD75-42A7-BDDB-7FBFCCC1A9DA}"/>
    <cellStyle name="Normal 2 2 2 2 2 2 2 2 2 28" xfId="11402" xr:uid="{ABC3E580-C515-43EC-B9C5-73BF587CA3D2}"/>
    <cellStyle name="Normal 2 2 2 2 2 2 2 2 2 29" xfId="11403" xr:uid="{0D71CE0C-84B5-41D4-995C-76B868EB56B0}"/>
    <cellStyle name="Normal 2 2 2 2 2 2 2 2 2 3" xfId="11404" xr:uid="{9B55F67F-CDC1-4C9E-9C8C-53228BC17FCE}"/>
    <cellStyle name="Normal 2 2 2 2 2 2 2 2 2 30" xfId="11405" xr:uid="{A3E2FB6B-9B8B-477E-8696-E2DBFA8100C9}"/>
    <cellStyle name="Normal 2 2 2 2 2 2 2 2 2 31" xfId="11406" xr:uid="{B2F2748C-B756-4FCD-A40B-C598A77EB635}"/>
    <cellStyle name="Normal 2 2 2 2 2 2 2 2 2 32" xfId="11407" xr:uid="{A4EBD960-03B8-42E8-BBE7-14B314AF37C0}"/>
    <cellStyle name="Normal 2 2 2 2 2 2 2 2 2 32 2" xfId="11408" xr:uid="{4A2BE1F5-FE68-436E-8AD1-7F4905C18F88}"/>
    <cellStyle name="Normal 2 2 2 2 2 2 2 2 2 32 3" xfId="11409" xr:uid="{C1F0A905-0389-44B2-88E8-0018FC473908}"/>
    <cellStyle name="Normal 2 2 2 2 2 2 2 2 2 32 4" xfId="11410" xr:uid="{031CBE73-FF43-420B-9E2A-72CD5E499D39}"/>
    <cellStyle name="Normal 2 2 2 2 2 2 2 2 2 33" xfId="11411" xr:uid="{B9196C05-EEBF-47B1-BB37-2C9F28AF30C8}"/>
    <cellStyle name="Normal 2 2 2 2 2 2 2 2 2 34" xfId="11412" xr:uid="{B2329EBC-13DB-4477-A1F1-67EDA67E9F28}"/>
    <cellStyle name="Normal 2 2 2 2 2 2 2 2 2 35" xfId="11413" xr:uid="{5FBCEDF0-E536-413B-8CA5-98B8E3D20B46}"/>
    <cellStyle name="Normal 2 2 2 2 2 2 2 2 2 36" xfId="11414" xr:uid="{6D9DCDF5-6586-42F1-B74F-9ECE8C22741E}"/>
    <cellStyle name="Normal 2 2 2 2 2 2 2 2 2 37" xfId="11415" xr:uid="{35D364B0-B03A-45B5-9C38-A03F2F50F25B}"/>
    <cellStyle name="Normal 2 2 2 2 2 2 2 2 2 38" xfId="11416" xr:uid="{A0BBBE21-10F6-4283-BF13-5D7FF4E20DDB}"/>
    <cellStyle name="Normal 2 2 2 2 2 2 2 2 2 39" xfId="11417" xr:uid="{38363EB7-79B6-439F-9436-9F1182518E4E}"/>
    <cellStyle name="Normal 2 2 2 2 2 2 2 2 2 4" xfId="11418" xr:uid="{2587CC75-31F1-4B26-82C2-75886147F313}"/>
    <cellStyle name="Normal 2 2 2 2 2 2 2 2 2 4 2" xfId="11419" xr:uid="{DD86849E-1919-456A-8131-2ABAC414FAE5}"/>
    <cellStyle name="Normal 2 2 2 2 2 2 2 2 2 4 2 2" xfId="11420" xr:uid="{43B0FEED-1FA2-49D8-BC65-830C7D2C1FB9}"/>
    <cellStyle name="Normal 2 2 2 2 2 2 2 2 2 40" xfId="11421" xr:uid="{AF19E5F8-A8E9-4260-8463-7C74F014991C}"/>
    <cellStyle name="Normal 2 2 2 2 2 2 2 2 2 41" xfId="11422" xr:uid="{E5E7CDE4-E6E2-40CD-8A82-6AF7296465F7}"/>
    <cellStyle name="Normal 2 2 2 2 2 2 2 2 2 42" xfId="11423" xr:uid="{93E2A2FC-2312-4B5F-864A-7C48E1CD6D84}"/>
    <cellStyle name="Normal 2 2 2 2 2 2 2 2 2 43" xfId="11424" xr:uid="{5B7758D6-7691-494F-9A75-6FA65EB0590D}"/>
    <cellStyle name="Normal 2 2 2 2 2 2 2 2 2 44" xfId="11425" xr:uid="{22816373-1F78-4F5A-B32A-72EDCDEE4138}"/>
    <cellStyle name="Normal 2 2 2 2 2 2 2 2 2 45" xfId="11426" xr:uid="{EA53FB64-4977-4726-8138-437DE25B2DC7}"/>
    <cellStyle name="Normal 2 2 2 2 2 2 2 2 2 46" xfId="11427" xr:uid="{6F0470C1-C109-489A-8198-7279568A7ADF}"/>
    <cellStyle name="Normal 2 2 2 2 2 2 2 2 2 47" xfId="11428" xr:uid="{9E7C9B56-8D7F-423A-B5D5-3B740C0C8010}"/>
    <cellStyle name="Normal 2 2 2 2 2 2 2 2 2 47 2" xfId="11429" xr:uid="{E2F4D166-7993-45EA-A2FA-659C6B2891C7}"/>
    <cellStyle name="Normal 2 2 2 2 2 2 2 2 2 47 3" xfId="11430" xr:uid="{F5B49340-3DBD-47A6-80D0-B80EA54199CE}"/>
    <cellStyle name="Normal 2 2 2 2 2 2 2 2 2 47 4" xfId="11431" xr:uid="{19B33724-A733-427D-8C17-52F250F95AA7}"/>
    <cellStyle name="Normal 2 2 2 2 2 2 2 2 2 47 5" xfId="11432" xr:uid="{417DE8B1-1484-4C7D-ACBD-4C44975AC24A}"/>
    <cellStyle name="Normal 2 2 2 2 2 2 2 2 2 47 6" xfId="11433" xr:uid="{6EFEF30F-E68A-4C8B-B035-ED486BC699E7}"/>
    <cellStyle name="Normal 2 2 2 2 2 2 2 2 2 47 7" xfId="11434" xr:uid="{E5A73BA6-A02B-418E-B6F5-347F83F90888}"/>
    <cellStyle name="Normal 2 2 2 2 2 2 2 2 2 48" xfId="11435" xr:uid="{EBA89024-C14B-4772-A114-796E72620DDA}"/>
    <cellStyle name="Normal 2 2 2 2 2 2 2 2 2 49" xfId="11436" xr:uid="{EB81E5D9-F717-4DD5-A452-5A8D89631DAE}"/>
    <cellStyle name="Normal 2 2 2 2 2 2 2 2 2 5" xfId="11437" xr:uid="{9B330D62-FE97-4C35-ABDA-CA5011B7534D}"/>
    <cellStyle name="Normal 2 2 2 2 2 2 2 2 2 50" xfId="11438" xr:uid="{61D9F787-0790-45DE-8CE3-ABDDC358EF30}"/>
    <cellStyle name="Normal 2 2 2 2 2 2 2 2 2 51" xfId="11439" xr:uid="{C6B00744-AF7C-45F3-8AEE-576BBDE03BE5}"/>
    <cellStyle name="Normal 2 2 2 2 2 2 2 2 2 52" xfId="11440" xr:uid="{B89261D6-C048-40F6-8249-FC9AB978A28C}"/>
    <cellStyle name="Normal 2 2 2 2 2 2 2 2 2 53" xfId="11441" xr:uid="{F32BC33B-6FF2-44CC-A4B8-AAE76D542598}"/>
    <cellStyle name="Normal 2 2 2 2 2 2 2 2 2 54" xfId="11442" xr:uid="{C2BEB220-E0E5-4C64-BE2B-8EE096B3AA90}"/>
    <cellStyle name="Normal 2 2 2 2 2 2 2 2 2 55" xfId="11443" xr:uid="{FC23C411-1B1E-4AE5-BF12-343D4196AA05}"/>
    <cellStyle name="Normal 2 2 2 2 2 2 2 2 2 56" xfId="11444" xr:uid="{37B9103B-F7E4-4635-AEEC-5BD3660967D5}"/>
    <cellStyle name="Normal 2 2 2 2 2 2 2 2 2 57" xfId="11445" xr:uid="{0AEF4E35-5899-42D9-986F-82F6E9439FF3}"/>
    <cellStyle name="Normal 2 2 2 2 2 2 2 2 2 58" xfId="11446" xr:uid="{4D60C972-FEB2-4E38-9ED9-6363218ABF26}"/>
    <cellStyle name="Normal 2 2 2 2 2 2 2 2 2 59" xfId="11447" xr:uid="{28DC6D5A-D8CB-44F5-A44D-5FA9D4BD87FE}"/>
    <cellStyle name="Normal 2 2 2 2 2 2 2 2 2 6" xfId="11448" xr:uid="{C479B72D-A5A0-48AF-8808-928404CB7C29}"/>
    <cellStyle name="Normal 2 2 2 2 2 2 2 2 2 60" xfId="11449" xr:uid="{D516FD30-8750-48B5-A62E-CAE4F6CF302F}"/>
    <cellStyle name="Normal 2 2 2 2 2 2 2 2 2 61" xfId="11450" xr:uid="{0BD856B0-3588-4346-B68B-6B14CA8749A1}"/>
    <cellStyle name="Normal 2 2 2 2 2 2 2 2 2 62" xfId="11451" xr:uid="{56B68A3A-E72F-41D1-96D5-B923680FC7E5}"/>
    <cellStyle name="Normal 2 2 2 2 2 2 2 2 2 63" xfId="11452" xr:uid="{BAE4CB2E-9339-4D68-96A7-EAABEEF6EC4A}"/>
    <cellStyle name="Normal 2 2 2 2 2 2 2 2 2 64" xfId="11453" xr:uid="{5FF2FAFA-C909-43BF-B819-326549A8F81B}"/>
    <cellStyle name="Normal 2 2 2 2 2 2 2 2 2 65" xfId="11454" xr:uid="{A19F1580-EA7C-4A94-AA83-2E541FB5209C}"/>
    <cellStyle name="Normal 2 2 2 2 2 2 2 2 2 66" xfId="11455" xr:uid="{B0E6F96D-EE76-4731-86FB-D0B7562A3A35}"/>
    <cellStyle name="Normal 2 2 2 2 2 2 2 2 2 67" xfId="11456" xr:uid="{AF5AB6E6-4DF4-4938-80F4-E5E9A5D933ED}"/>
    <cellStyle name="Normal 2 2 2 2 2 2 2 2 2 68" xfId="11457" xr:uid="{28B1B55F-7310-4946-BB2F-A7E1D991FDE2}"/>
    <cellStyle name="Normal 2 2 2 2 2 2 2 2 2 69" xfId="11458" xr:uid="{C5BEBE80-B243-4088-972C-699C820E0AA2}"/>
    <cellStyle name="Normal 2 2 2 2 2 2 2 2 2 7" xfId="11459" xr:uid="{9FED8498-7128-4D63-9110-C246877BE126}"/>
    <cellStyle name="Normal 2 2 2 2 2 2 2 2 2 70" xfId="11460" xr:uid="{C045B524-4FFE-4422-BA62-2F742DED047E}"/>
    <cellStyle name="Normal 2 2 2 2 2 2 2 2 2 71" xfId="11461" xr:uid="{46B5C338-091D-41F6-9C3D-85928DBC2A70}"/>
    <cellStyle name="Normal 2 2 2 2 2 2 2 2 2 72" xfId="11462" xr:uid="{980BABF2-9D50-46F9-8F06-A544A8F7ADB7}"/>
    <cellStyle name="Normal 2 2 2 2 2 2 2 2 2 73" xfId="11463" xr:uid="{95366AB7-1FA1-41BF-90C8-C6C81259A9B2}"/>
    <cellStyle name="Normal 2 2 2 2 2 2 2 2 2 74" xfId="11464" xr:uid="{D66581A7-12C9-45DA-A4E0-304B0A4D90F9}"/>
    <cellStyle name="Normal 2 2 2 2 2 2 2 2 2 75" xfId="11465" xr:uid="{9A4CFB4B-5CEF-40B5-960D-F4868E3873D3}"/>
    <cellStyle name="Normal 2 2 2 2 2 2 2 2 2 76" xfId="11466" xr:uid="{26FB2FE9-2DE2-4EE1-8EAF-8012C6A726A6}"/>
    <cellStyle name="Normal 2 2 2 2 2 2 2 2 2 77" xfId="11467" xr:uid="{BABC3D9C-E5E6-4835-A9D1-4A3072508DD1}"/>
    <cellStyle name="Normal 2 2 2 2 2 2 2 2 2 78" xfId="11468" xr:uid="{456BFCA3-4D32-4E05-A637-58709D72CED3}"/>
    <cellStyle name="Normal 2 2 2 2 2 2 2 2 2 79" xfId="11469" xr:uid="{DAC1E267-2F2A-4EEC-8594-10C7A5999D9F}"/>
    <cellStyle name="Normal 2 2 2 2 2 2 2 2 2 8" xfId="11470" xr:uid="{CAB7748B-2B8C-4A1A-8660-539F0280EB49}"/>
    <cellStyle name="Normal 2 2 2 2 2 2 2 2 2 80" xfId="11471" xr:uid="{D71104B6-371B-42E5-A5AA-97B325C63643}"/>
    <cellStyle name="Normal 2 2 2 2 2 2 2 2 2 81" xfId="11472" xr:uid="{E6FF2196-9FAF-4360-AEBB-E9741686EB47}"/>
    <cellStyle name="Normal 2 2 2 2 2 2 2 2 2 82" xfId="11473" xr:uid="{C8327D0A-917C-4E79-8B77-10DBE95FFE30}"/>
    <cellStyle name="Normal 2 2 2 2 2 2 2 2 2 83" xfId="11474" xr:uid="{22763189-AD00-46EE-A24F-E81F2D122637}"/>
    <cellStyle name="Normal 2 2 2 2 2 2 2 2 2 84" xfId="11475" xr:uid="{9CB04550-3392-48AD-90A8-6A23F78CA246}"/>
    <cellStyle name="Normal 2 2 2 2 2 2 2 2 2 85" xfId="11476" xr:uid="{52DFE927-FB98-4C4B-A181-4EAE163053AE}"/>
    <cellStyle name="Normal 2 2 2 2 2 2 2 2 2 86" xfId="11477" xr:uid="{19734F22-8739-4367-A6FC-FFE9A3E83668}"/>
    <cellStyle name="Normal 2 2 2 2 2 2 2 2 2 87" xfId="11478" xr:uid="{88674022-E117-47D0-BCA6-6D4912A53E2D}"/>
    <cellStyle name="Normal 2 2 2 2 2 2 2 2 2 88" xfId="11479" xr:uid="{D94FACA9-2655-41D0-821B-C70E788BCE49}"/>
    <cellStyle name="Normal 2 2 2 2 2 2 2 2 2 89" xfId="11480" xr:uid="{A82BAAEC-B6AD-4064-A5D2-664D251C0703}"/>
    <cellStyle name="Normal 2 2 2 2 2 2 2 2 2 9" xfId="11481" xr:uid="{29D27C9A-8AAF-4DC6-81C7-46AF93C9180B}"/>
    <cellStyle name="Normal 2 2 2 2 2 2 2 2 2 90" xfId="11482" xr:uid="{93F6ECC6-2664-4BAF-921B-3817DBF2AA92}"/>
    <cellStyle name="Normal 2 2 2 2 2 2 2 2 2 91" xfId="11483" xr:uid="{FFD342DE-1580-4700-8CCF-9D1CBD7E50A9}"/>
    <cellStyle name="Normal 2 2 2 2 2 2 2 2 2 92" xfId="11484" xr:uid="{349DC5FC-72EF-4081-B502-7920533E2FBE}"/>
    <cellStyle name="Normal 2 2 2 2 2 2 2 2 2 93" xfId="11485" xr:uid="{2E0BD60B-AF4C-457E-92AC-372AE5905A92}"/>
    <cellStyle name="Normal 2 2 2 2 2 2 2 2 2 94" xfId="11486" xr:uid="{C3C7C6C9-FCCA-4A1F-8E32-80322FD24F28}"/>
    <cellStyle name="Normal 2 2 2 2 2 2 2 2 2 94 2" xfId="11487" xr:uid="{549D060D-8DF0-4BFE-A499-E7033C0CCB2B}"/>
    <cellStyle name="Normal 2 2 2 2 2 2 2 2 2 94 3" xfId="11488" xr:uid="{BDEFEBA4-5293-4A15-890E-6F3975F558FE}"/>
    <cellStyle name="Normal 2 2 2 2 2 2 2 2 2 94 4" xfId="11489" xr:uid="{1151DDD9-2EC0-43C4-9A37-42F815F6A098}"/>
    <cellStyle name="Normal 2 2 2 2 2 2 2 2 2 95" xfId="11490" xr:uid="{5356E25A-B104-4A7A-9E3B-87106932989D}"/>
    <cellStyle name="Normal 2 2 2 2 2 2 2 2 2 96" xfId="11491" xr:uid="{7780DDF3-5C48-4FFD-B684-A6EFC8907FE7}"/>
    <cellStyle name="Normal 2 2 2 2 2 2 2 2 20" xfId="11492" xr:uid="{88F3E4B3-5149-47D2-BA47-0F4E44547EDB}"/>
    <cellStyle name="Normal 2 2 2 2 2 2 2 2 20 10" xfId="11493" xr:uid="{D1B80E15-AA51-4751-BBF1-910032198F5C}"/>
    <cellStyle name="Normal 2 2 2 2 2 2 2 2 20 11" xfId="11494" xr:uid="{7F1632E0-7C18-4C92-8C7C-6DF40512DA77}"/>
    <cellStyle name="Normal 2 2 2 2 2 2 2 2 20 11 10" xfId="11495" xr:uid="{DC88386F-7206-4F9C-B3BD-6388B502E852}"/>
    <cellStyle name="Normal 2 2 2 2 2 2 2 2 20 11 11" xfId="11496" xr:uid="{FB7BCBF6-B9F3-4ED4-AC18-289E1CC77646}"/>
    <cellStyle name="Normal 2 2 2 2 2 2 2 2 20 11 11 2" xfId="11497" xr:uid="{68E53F28-1D1E-4CF2-840A-32E91C5E4AF3}"/>
    <cellStyle name="Normal 2 2 2 2 2 2 2 2 20 11 11 3" xfId="11498" xr:uid="{9A6A9590-165C-49AB-8805-1BBDFCD9B265}"/>
    <cellStyle name="Normal 2 2 2 2 2 2 2 2 20 11 11 4" xfId="11499" xr:uid="{DF1D015F-6B62-4AEA-B548-85E152FD4E0B}"/>
    <cellStyle name="Normal 2 2 2 2 2 2 2 2 20 11 12" xfId="11500" xr:uid="{1DD852A4-B902-46F7-A25B-C078872F7058}"/>
    <cellStyle name="Normal 2 2 2 2 2 2 2 2 20 11 13" xfId="11501" xr:uid="{A18C4167-0A9F-4F50-B351-2FA5A84DEDB9}"/>
    <cellStyle name="Normal 2 2 2 2 2 2 2 2 20 11 14" xfId="11502" xr:uid="{239AD5DB-A5D1-40A3-A4A1-4AA2B5F6EDF2}"/>
    <cellStyle name="Normal 2 2 2 2 2 2 2 2 20 11 2" xfId="11503" xr:uid="{E12C0A37-3B25-4BCC-85FC-E5BEDF574DD5}"/>
    <cellStyle name="Normal 2 2 2 2 2 2 2 2 20 11 2 10" xfId="11504" xr:uid="{0FC55799-4478-467D-8580-D1866965F66D}"/>
    <cellStyle name="Normal 2 2 2 2 2 2 2 2 20 11 2 11" xfId="11505" xr:uid="{180F6D67-1B2F-45B4-BACA-3F4978081A39}"/>
    <cellStyle name="Normal 2 2 2 2 2 2 2 2 20 11 2 2" xfId="11506" xr:uid="{19099805-CF33-417D-B324-DC08AC8D38C9}"/>
    <cellStyle name="Normal 2 2 2 2 2 2 2 2 20 11 2 2 10" xfId="11507" xr:uid="{A426534C-00BF-4722-BFE4-1BE8E80D66BD}"/>
    <cellStyle name="Normal 2 2 2 2 2 2 2 2 20 11 2 2 11" xfId="11508" xr:uid="{574208E0-5579-4A56-824F-650DDE60901F}"/>
    <cellStyle name="Normal 2 2 2 2 2 2 2 2 20 11 2 2 2" xfId="11509" xr:uid="{C7AA77AA-37BE-4618-980D-A3BA60193D0D}"/>
    <cellStyle name="Normal 2 2 2 2 2 2 2 2 20 11 2 2 2 2" xfId="11510" xr:uid="{69443BA7-B5A8-43FD-AF25-6C5AE3832A22}"/>
    <cellStyle name="Normal 2 2 2 2 2 2 2 2 20 11 2 2 2 2 2" xfId="11511" xr:uid="{293B2389-DF6D-40EA-92FA-9FB005634702}"/>
    <cellStyle name="Normal 2 2 2 2 2 2 2 2 20 11 2 2 2 2 3" xfId="11512" xr:uid="{8EAF9ADF-6E6A-4217-BD56-3D6236CE43C6}"/>
    <cellStyle name="Normal 2 2 2 2 2 2 2 2 20 11 2 2 2 2 4" xfId="11513" xr:uid="{1485E961-1F5D-427D-AAAB-651E091912E2}"/>
    <cellStyle name="Normal 2 2 2 2 2 2 2 2 20 11 2 2 2 3" xfId="11514" xr:uid="{D89B21FE-3315-40F5-830D-80151F5D63AE}"/>
    <cellStyle name="Normal 2 2 2 2 2 2 2 2 20 11 2 2 2 4" xfId="11515" xr:uid="{D636FE9F-985F-4B62-9520-4A9CE921277C}"/>
    <cellStyle name="Normal 2 2 2 2 2 2 2 2 20 11 2 2 2 5" xfId="11516" xr:uid="{ACE0826F-7563-4044-B4AD-9FEE34882056}"/>
    <cellStyle name="Normal 2 2 2 2 2 2 2 2 20 11 2 2 2 6" xfId="11517" xr:uid="{3375101E-E15A-486E-9826-F92CF3B23F9B}"/>
    <cellStyle name="Normal 2 2 2 2 2 2 2 2 20 11 2 2 3" xfId="11518" xr:uid="{AC3D8C0A-C386-44B7-B432-AD548DEBED39}"/>
    <cellStyle name="Normal 2 2 2 2 2 2 2 2 20 11 2 2 4" xfId="11519" xr:uid="{EA9429BC-0CAB-4FCB-B1F3-FF5F4719681F}"/>
    <cellStyle name="Normal 2 2 2 2 2 2 2 2 20 11 2 2 5" xfId="11520" xr:uid="{4D786030-618F-45C6-970A-20BE628CBAB7}"/>
    <cellStyle name="Normal 2 2 2 2 2 2 2 2 20 11 2 2 6" xfId="11521" xr:uid="{236E3C47-E0CA-4F46-B92F-BCA7A8D6B474}"/>
    <cellStyle name="Normal 2 2 2 2 2 2 2 2 20 11 2 2 7" xfId="11522" xr:uid="{11C3BA3E-F2A6-415B-AC7E-09F6EB7895B8}"/>
    <cellStyle name="Normal 2 2 2 2 2 2 2 2 20 11 2 2 8" xfId="11523" xr:uid="{51504741-015D-4508-A085-04F7E179B06F}"/>
    <cellStyle name="Normal 2 2 2 2 2 2 2 2 20 11 2 2 8 2" xfId="11524" xr:uid="{6BF0CC44-EC0A-4C7C-B1F7-95DD7BB0A9C7}"/>
    <cellStyle name="Normal 2 2 2 2 2 2 2 2 20 11 2 2 8 3" xfId="11525" xr:uid="{E08B1A4F-56B5-4F43-88CA-36308101D65A}"/>
    <cellStyle name="Normal 2 2 2 2 2 2 2 2 20 11 2 2 8 4" xfId="11526" xr:uid="{F3C7BAA2-5CD1-44E8-A468-87A551570E67}"/>
    <cellStyle name="Normal 2 2 2 2 2 2 2 2 20 11 2 2 9" xfId="11527" xr:uid="{BF759B50-24E3-48FC-93E9-817E30647E22}"/>
    <cellStyle name="Normal 2 2 2 2 2 2 2 2 20 11 2 3" xfId="11528" xr:uid="{32891A4A-9D7C-49B2-BAEC-A8D488A3AD93}"/>
    <cellStyle name="Normal 2 2 2 2 2 2 2 2 20 11 2 3 2" xfId="11529" xr:uid="{E56F17DE-FA00-4DE0-ACB0-722D0284A02F}"/>
    <cellStyle name="Normal 2 2 2 2 2 2 2 2 20 11 2 3 2 2" xfId="11530" xr:uid="{B593AA5D-0038-4663-93AA-F89B1BDAD477}"/>
    <cellStyle name="Normal 2 2 2 2 2 2 2 2 20 11 2 3 2 3" xfId="11531" xr:uid="{614D032E-BD66-4821-B0FE-F9A12B456D38}"/>
    <cellStyle name="Normal 2 2 2 2 2 2 2 2 20 11 2 3 2 4" xfId="11532" xr:uid="{A50E5BE2-0E16-48B8-B07A-38168CFA8926}"/>
    <cellStyle name="Normal 2 2 2 2 2 2 2 2 20 11 2 3 3" xfId="11533" xr:uid="{738972D8-8FA8-450D-81C3-4B3386197742}"/>
    <cellStyle name="Normal 2 2 2 2 2 2 2 2 20 11 2 3 4" xfId="11534" xr:uid="{CCE6268A-2361-4CD2-9DA7-1DA1DB2504A4}"/>
    <cellStyle name="Normal 2 2 2 2 2 2 2 2 20 11 2 3 5" xfId="11535" xr:uid="{CFB91BDE-83F4-4393-8FC1-EF8A1B0F3A77}"/>
    <cellStyle name="Normal 2 2 2 2 2 2 2 2 20 11 2 3 6" xfId="11536" xr:uid="{825C9D62-45F2-4495-85C7-0C2C7F08571D}"/>
    <cellStyle name="Normal 2 2 2 2 2 2 2 2 20 11 2 4" xfId="11537" xr:uid="{E87CD34A-1717-4FD1-B5D6-CAAE427A3570}"/>
    <cellStyle name="Normal 2 2 2 2 2 2 2 2 20 11 2 5" xfId="11538" xr:uid="{31D0D4F2-918F-4B04-BC87-ED84450452C2}"/>
    <cellStyle name="Normal 2 2 2 2 2 2 2 2 20 11 2 6" xfId="11539" xr:uid="{AE334D9B-373F-4053-A457-80F85080E8AF}"/>
    <cellStyle name="Normal 2 2 2 2 2 2 2 2 20 11 2 7" xfId="11540" xr:uid="{0810D8A4-1C88-4836-AD7C-3294579D3658}"/>
    <cellStyle name="Normal 2 2 2 2 2 2 2 2 20 11 2 8" xfId="11541" xr:uid="{0A05BCA2-23DC-45AE-8587-4E3EC8ACF619}"/>
    <cellStyle name="Normal 2 2 2 2 2 2 2 2 20 11 2 8 2" xfId="11542" xr:uid="{5285F987-B8F8-4ED6-B61D-07E6A6CB5340}"/>
    <cellStyle name="Normal 2 2 2 2 2 2 2 2 20 11 2 8 3" xfId="11543" xr:uid="{C9EABB4F-D52F-4894-85C8-C0CCE0F1F0B7}"/>
    <cellStyle name="Normal 2 2 2 2 2 2 2 2 20 11 2 8 4" xfId="11544" xr:uid="{F2076165-7792-4614-9C44-CA49CFB56A5B}"/>
    <cellStyle name="Normal 2 2 2 2 2 2 2 2 20 11 2 9" xfId="11545" xr:uid="{0AA4531B-C893-46FF-938A-5127D1BA6E64}"/>
    <cellStyle name="Normal 2 2 2 2 2 2 2 2 20 11 3" xfId="11546" xr:uid="{AE08DDBA-2B09-4B94-9F28-DB9FE6F8BD37}"/>
    <cellStyle name="Normal 2 2 2 2 2 2 2 2 20 11 4" xfId="11547" xr:uid="{A7568744-0442-4E44-9028-93AD1C179FC1}"/>
    <cellStyle name="Normal 2 2 2 2 2 2 2 2 20 11 5" xfId="11548" xr:uid="{BA6058D5-8481-4792-AE29-EEA7179D3A3C}"/>
    <cellStyle name="Normal 2 2 2 2 2 2 2 2 20 11 5 2" xfId="11549" xr:uid="{D07FE297-27B1-4D05-8B17-A0D96D9E8ACF}"/>
    <cellStyle name="Normal 2 2 2 2 2 2 2 2 20 11 5 2 2" xfId="11550" xr:uid="{316459E9-B975-4B4D-9CBE-9D65F5F1DD43}"/>
    <cellStyle name="Normal 2 2 2 2 2 2 2 2 20 11 5 2 3" xfId="11551" xr:uid="{FDDC3328-1E4A-47D8-A321-C02C5208F2F5}"/>
    <cellStyle name="Normal 2 2 2 2 2 2 2 2 20 11 5 2 4" xfId="11552" xr:uid="{EFCEFCB6-24AF-4FD8-AF79-CDEBBBFB1AFA}"/>
    <cellStyle name="Normal 2 2 2 2 2 2 2 2 20 11 5 3" xfId="11553" xr:uid="{3EA8FADB-9AEC-461A-A1B1-42FE4F526071}"/>
    <cellStyle name="Normal 2 2 2 2 2 2 2 2 20 11 5 4" xfId="11554" xr:uid="{D7F8E337-21CE-4339-94E5-77941CB8D304}"/>
    <cellStyle name="Normal 2 2 2 2 2 2 2 2 20 11 5 5" xfId="11555" xr:uid="{6DD736DB-E8C7-4D8B-83A2-9A42047A119D}"/>
    <cellStyle name="Normal 2 2 2 2 2 2 2 2 20 11 5 6" xfId="11556" xr:uid="{2BB309B0-1521-48A9-AD50-29A5F6334272}"/>
    <cellStyle name="Normal 2 2 2 2 2 2 2 2 20 11 6" xfId="11557" xr:uid="{5FE60D00-A61F-4131-8D25-F1B6A7D68C2A}"/>
    <cellStyle name="Normal 2 2 2 2 2 2 2 2 20 11 7" xfId="11558" xr:uid="{F020DBE6-E92A-4DB8-9EDD-82633639095A}"/>
    <cellStyle name="Normal 2 2 2 2 2 2 2 2 20 11 8" xfId="11559" xr:uid="{1423D09B-E22F-40C9-A827-369415BC7BF0}"/>
    <cellStyle name="Normal 2 2 2 2 2 2 2 2 20 11 9" xfId="11560" xr:uid="{DE9F0F37-D5ED-4C73-8EDD-2CD121D9AA62}"/>
    <cellStyle name="Normal 2 2 2 2 2 2 2 2 20 12" xfId="11561" xr:uid="{9A8D7616-72BB-45E9-992C-A70D1910C449}"/>
    <cellStyle name="Normal 2 2 2 2 2 2 2 2 20 13" xfId="11562" xr:uid="{6428D8A0-7F12-4BC2-8A20-E85AA500E7FE}"/>
    <cellStyle name="Normal 2 2 2 2 2 2 2 2 20 13 10" xfId="11563" xr:uid="{FEE75B8F-CEB5-487E-9602-EC509ACA37E6}"/>
    <cellStyle name="Normal 2 2 2 2 2 2 2 2 20 13 11" xfId="11564" xr:uid="{D2FBD8C4-7D1C-4D31-9A7F-7EAB7099E54F}"/>
    <cellStyle name="Normal 2 2 2 2 2 2 2 2 20 13 2" xfId="11565" xr:uid="{864ADD9B-65F7-4219-BE18-2DEEFC27ABB3}"/>
    <cellStyle name="Normal 2 2 2 2 2 2 2 2 20 13 2 10" xfId="11566" xr:uid="{EC18E250-32FA-4604-BF80-1708E74C11BE}"/>
    <cellStyle name="Normal 2 2 2 2 2 2 2 2 20 13 2 11" xfId="11567" xr:uid="{46C25671-744F-451A-858C-CFB62B856F42}"/>
    <cellStyle name="Normal 2 2 2 2 2 2 2 2 20 13 2 2" xfId="11568" xr:uid="{9BF700FE-908A-4F08-8998-D6A123742918}"/>
    <cellStyle name="Normal 2 2 2 2 2 2 2 2 20 13 2 2 2" xfId="11569" xr:uid="{257F7A72-0BE0-48F7-ABE7-69190123CD1A}"/>
    <cellStyle name="Normal 2 2 2 2 2 2 2 2 20 13 2 2 2 2" xfId="11570" xr:uid="{9B868922-CC87-4C44-AC67-98F071604B10}"/>
    <cellStyle name="Normal 2 2 2 2 2 2 2 2 20 13 2 2 2 3" xfId="11571" xr:uid="{1FF9E897-A4D2-45F9-884B-1238A99EBD46}"/>
    <cellStyle name="Normal 2 2 2 2 2 2 2 2 20 13 2 2 2 4" xfId="11572" xr:uid="{91027855-3D8A-4D98-B2BB-8087FC9EBE64}"/>
    <cellStyle name="Normal 2 2 2 2 2 2 2 2 20 13 2 2 3" xfId="11573" xr:uid="{672D1938-D907-4026-9525-79CDF6EB552B}"/>
    <cellStyle name="Normal 2 2 2 2 2 2 2 2 20 13 2 2 4" xfId="11574" xr:uid="{FD2F3AD1-3006-4A1C-BFD8-FC4B179CFE71}"/>
    <cellStyle name="Normal 2 2 2 2 2 2 2 2 20 13 2 2 5" xfId="11575" xr:uid="{D7B8854B-D473-4491-96E7-8A87BF150978}"/>
    <cellStyle name="Normal 2 2 2 2 2 2 2 2 20 13 2 2 6" xfId="11576" xr:uid="{1031ED56-3EF0-4E75-800C-E10ABA85B658}"/>
    <cellStyle name="Normal 2 2 2 2 2 2 2 2 20 13 2 3" xfId="11577" xr:uid="{3AFEF290-6BCC-4AB4-A04D-BAE0C5464741}"/>
    <cellStyle name="Normal 2 2 2 2 2 2 2 2 20 13 2 4" xfId="11578" xr:uid="{9C3971C5-94F2-4AA7-8C24-37567B1241FC}"/>
    <cellStyle name="Normal 2 2 2 2 2 2 2 2 20 13 2 5" xfId="11579" xr:uid="{DBD5EA9E-6EEE-4BEF-95AA-99617383BB4E}"/>
    <cellStyle name="Normal 2 2 2 2 2 2 2 2 20 13 2 6" xfId="11580" xr:uid="{C07C86C9-550E-44AC-B5DD-D74A5723051C}"/>
    <cellStyle name="Normal 2 2 2 2 2 2 2 2 20 13 2 7" xfId="11581" xr:uid="{64BFABA5-806E-40D4-AD67-1390640CE321}"/>
    <cellStyle name="Normal 2 2 2 2 2 2 2 2 20 13 2 8" xfId="11582" xr:uid="{39584080-1F13-4C28-A1A6-FB6D0E3A3F3C}"/>
    <cellStyle name="Normal 2 2 2 2 2 2 2 2 20 13 2 8 2" xfId="11583" xr:uid="{D6CCB531-051D-47A6-9788-FF7C7B9D8972}"/>
    <cellStyle name="Normal 2 2 2 2 2 2 2 2 20 13 2 8 3" xfId="11584" xr:uid="{9D38C2C8-64C1-408F-9C24-94AD49365557}"/>
    <cellStyle name="Normal 2 2 2 2 2 2 2 2 20 13 2 8 4" xfId="11585" xr:uid="{E2B65F0D-A07D-407D-9136-4702E405DC07}"/>
    <cellStyle name="Normal 2 2 2 2 2 2 2 2 20 13 2 9" xfId="11586" xr:uid="{15634AE4-5671-4D32-B7AD-0BBD2372EC5E}"/>
    <cellStyle name="Normal 2 2 2 2 2 2 2 2 20 13 3" xfId="11587" xr:uid="{C7B2A9F3-5F40-4514-A6CD-E629B38C4EE8}"/>
    <cellStyle name="Normal 2 2 2 2 2 2 2 2 20 13 3 2" xfId="11588" xr:uid="{4DCF6CA0-7E87-4AC8-92FE-5B474DF79BC7}"/>
    <cellStyle name="Normal 2 2 2 2 2 2 2 2 20 13 3 2 2" xfId="11589" xr:uid="{3D74E06A-7EF3-4E77-882F-6EE1A1EA484A}"/>
    <cellStyle name="Normal 2 2 2 2 2 2 2 2 20 13 3 2 3" xfId="11590" xr:uid="{F23CF252-F824-42DA-A5E2-B5A1EA94C47C}"/>
    <cellStyle name="Normal 2 2 2 2 2 2 2 2 20 13 3 2 4" xfId="11591" xr:uid="{254DB777-48E5-4752-BDCD-B3E867BDB43E}"/>
    <cellStyle name="Normal 2 2 2 2 2 2 2 2 20 13 3 3" xfId="11592" xr:uid="{7D697061-70D9-458C-9719-27BF1296305F}"/>
    <cellStyle name="Normal 2 2 2 2 2 2 2 2 20 13 3 4" xfId="11593" xr:uid="{8DA1B703-6739-4965-99E1-E2CF05CD5D5D}"/>
    <cellStyle name="Normal 2 2 2 2 2 2 2 2 20 13 3 5" xfId="11594" xr:uid="{14E7D53A-14FD-4370-8B8E-2AD5CBC209DA}"/>
    <cellStyle name="Normal 2 2 2 2 2 2 2 2 20 13 3 6" xfId="11595" xr:uid="{A83ADF9A-8BEB-43B3-8E99-2E5341EFE6E8}"/>
    <cellStyle name="Normal 2 2 2 2 2 2 2 2 20 13 4" xfId="11596" xr:uid="{19318255-89B6-4FEE-904D-F6E3AABDE0B7}"/>
    <cellStyle name="Normal 2 2 2 2 2 2 2 2 20 13 5" xfId="11597" xr:uid="{B6A9B54C-9B9A-4CEE-9E65-1B7838D42D0E}"/>
    <cellStyle name="Normal 2 2 2 2 2 2 2 2 20 13 6" xfId="11598" xr:uid="{5E098CE1-3FC9-44E4-9193-252F7CBEF20B}"/>
    <cellStyle name="Normal 2 2 2 2 2 2 2 2 20 13 7" xfId="11599" xr:uid="{3B001801-9A32-4A4D-B474-29721133EAB1}"/>
    <cellStyle name="Normal 2 2 2 2 2 2 2 2 20 13 8" xfId="11600" xr:uid="{7020FE08-1A23-4292-BB56-BC72DCB52B65}"/>
    <cellStyle name="Normal 2 2 2 2 2 2 2 2 20 13 8 2" xfId="11601" xr:uid="{868C9529-4B5E-4975-9B0A-D9ECA73518CB}"/>
    <cellStyle name="Normal 2 2 2 2 2 2 2 2 20 13 8 3" xfId="11602" xr:uid="{5274502F-85B5-422E-BE8B-EF6F78DF2B5B}"/>
    <cellStyle name="Normal 2 2 2 2 2 2 2 2 20 13 8 4" xfId="11603" xr:uid="{26112263-96EC-4DE4-BD09-1FAA0BFE0D37}"/>
    <cellStyle name="Normal 2 2 2 2 2 2 2 2 20 13 9" xfId="11604" xr:uid="{0E2EA6AC-2173-46F7-A5AE-7EBA72F0CA80}"/>
    <cellStyle name="Normal 2 2 2 2 2 2 2 2 20 14" xfId="11605" xr:uid="{BD1CDF88-4286-4487-A936-E17AA857982E}"/>
    <cellStyle name="Normal 2 2 2 2 2 2 2 2 20 15" xfId="11606" xr:uid="{EFB62022-E950-4BB1-8760-F1796F8210AF}"/>
    <cellStyle name="Normal 2 2 2 2 2 2 2 2 20 15 2" xfId="11607" xr:uid="{73F7E2A7-3F21-4B1D-8343-906DE2A14D07}"/>
    <cellStyle name="Normal 2 2 2 2 2 2 2 2 20 15 2 2" xfId="11608" xr:uid="{422A8A81-DCF6-4C82-BCA1-2588B3F9C1B6}"/>
    <cellStyle name="Normal 2 2 2 2 2 2 2 2 20 15 2 3" xfId="11609" xr:uid="{26B4511E-5304-4CF0-95B0-64DF8351F68F}"/>
    <cellStyle name="Normal 2 2 2 2 2 2 2 2 20 15 2 4" xfId="11610" xr:uid="{DDC808C8-EA9A-458C-920F-0F79D8467290}"/>
    <cellStyle name="Normal 2 2 2 2 2 2 2 2 20 15 3" xfId="11611" xr:uid="{5D76AB94-2517-40DB-BCF2-612AA6C7D920}"/>
    <cellStyle name="Normal 2 2 2 2 2 2 2 2 20 15 4" xfId="11612" xr:uid="{551574F8-E947-4CD3-990A-B79EC766A9EF}"/>
    <cellStyle name="Normal 2 2 2 2 2 2 2 2 20 15 5" xfId="11613" xr:uid="{BB640021-9090-4909-8F09-8C989562F413}"/>
    <cellStyle name="Normal 2 2 2 2 2 2 2 2 20 15 6" xfId="11614" xr:uid="{60D17153-E568-4125-AF5D-BAE32A79B61A}"/>
    <cellStyle name="Normal 2 2 2 2 2 2 2 2 20 16" xfId="11615" xr:uid="{F1646D5D-9DD4-4796-87C3-0924964F829D}"/>
    <cellStyle name="Normal 2 2 2 2 2 2 2 2 20 17" xfId="11616" xr:uid="{A1E96795-05F8-4D4B-B422-2692584255A8}"/>
    <cellStyle name="Normal 2 2 2 2 2 2 2 2 20 18" xfId="11617" xr:uid="{9BD7486C-5940-4AE7-84DC-065EE23FCE41}"/>
    <cellStyle name="Normal 2 2 2 2 2 2 2 2 20 19" xfId="11618" xr:uid="{ACA506D1-28E6-4AF9-965A-C267C8988940}"/>
    <cellStyle name="Normal 2 2 2 2 2 2 2 2 20 2" xfId="11619" xr:uid="{724C41B7-E82D-4E86-9222-77EE2EEFDA5A}"/>
    <cellStyle name="Normal 2 2 2 2 2 2 2 2 20 2 10" xfId="11620" xr:uid="{9B0D566B-F6BF-4DE0-9185-C7C05719FE91}"/>
    <cellStyle name="Normal 2 2 2 2 2 2 2 2 20 2 11" xfId="11621" xr:uid="{7C746901-DF37-44EC-AF97-A4584BD126C7}"/>
    <cellStyle name="Normal 2 2 2 2 2 2 2 2 20 2 12" xfId="11622" xr:uid="{79C639AB-8F9B-407D-BDB9-4733FAE28C62}"/>
    <cellStyle name="Normal 2 2 2 2 2 2 2 2 20 2 13" xfId="11623" xr:uid="{353A7550-55AE-4B31-AF8E-7276126E34D9}"/>
    <cellStyle name="Normal 2 2 2 2 2 2 2 2 20 2 13 2" xfId="11624" xr:uid="{55AFD587-B1D7-4FA5-8C27-6E0AD306A3E9}"/>
    <cellStyle name="Normal 2 2 2 2 2 2 2 2 20 2 13 3" xfId="11625" xr:uid="{00CF12C2-9F32-4CF8-BE77-CE15DCCDF244}"/>
    <cellStyle name="Normal 2 2 2 2 2 2 2 2 20 2 13 4" xfId="11626" xr:uid="{46A42082-9C94-43DF-AE80-CFC0BB41E293}"/>
    <cellStyle name="Normal 2 2 2 2 2 2 2 2 20 2 14" xfId="11627" xr:uid="{7C20E14F-D0A5-4AB2-9717-9DD2EFBA9DD2}"/>
    <cellStyle name="Normal 2 2 2 2 2 2 2 2 20 2 15" xfId="11628" xr:uid="{0DA2EBBB-E68A-41B1-8ED9-9DD543BDBF6C}"/>
    <cellStyle name="Normal 2 2 2 2 2 2 2 2 20 2 16" xfId="11629" xr:uid="{75CB4837-6D62-4AFD-BBAF-36A6C8D05925}"/>
    <cellStyle name="Normal 2 2 2 2 2 2 2 2 20 2 2" xfId="11630" xr:uid="{F788AA9C-6E95-4D3D-BC9D-DFBBE4008DE1}"/>
    <cellStyle name="Normal 2 2 2 2 2 2 2 2 20 2 2 10" xfId="11631" xr:uid="{E63949FB-A0BD-4B9F-86D3-B28CE0FB7FC8}"/>
    <cellStyle name="Normal 2 2 2 2 2 2 2 2 20 2 2 11" xfId="11632" xr:uid="{464AD30B-C752-4E87-BD5F-CFC3D583922E}"/>
    <cellStyle name="Normal 2 2 2 2 2 2 2 2 20 2 2 11 2" xfId="11633" xr:uid="{4C9F0695-838B-48E4-87C7-0D3804DAE93A}"/>
    <cellStyle name="Normal 2 2 2 2 2 2 2 2 20 2 2 11 3" xfId="11634" xr:uid="{B9B53F04-8CF5-4C41-B319-EB71EA4CA1B0}"/>
    <cellStyle name="Normal 2 2 2 2 2 2 2 2 20 2 2 11 4" xfId="11635" xr:uid="{B9DC7A24-5B58-4A4B-96F8-BF185F8A5887}"/>
    <cellStyle name="Normal 2 2 2 2 2 2 2 2 20 2 2 12" xfId="11636" xr:uid="{1A8C6FD0-5F6E-437C-AAA8-B6F79C055FA0}"/>
    <cellStyle name="Normal 2 2 2 2 2 2 2 2 20 2 2 13" xfId="11637" xr:uid="{586ADA42-BF98-4133-9CF3-DC3A9196CD3A}"/>
    <cellStyle name="Normal 2 2 2 2 2 2 2 2 20 2 2 14" xfId="11638" xr:uid="{F3F06024-D8A1-4013-A691-932E461218B3}"/>
    <cellStyle name="Normal 2 2 2 2 2 2 2 2 20 2 2 2" xfId="11639" xr:uid="{277FA076-DDD1-4774-B486-E82E5CB5918F}"/>
    <cellStyle name="Normal 2 2 2 2 2 2 2 2 20 2 2 2 10" xfId="11640" xr:uid="{6888BDB7-515A-4EF3-B236-264991A2F70B}"/>
    <cellStyle name="Normal 2 2 2 2 2 2 2 2 20 2 2 2 11" xfId="11641" xr:uid="{89348C2F-97E2-4767-A41D-40ECAD8CE979}"/>
    <cellStyle name="Normal 2 2 2 2 2 2 2 2 20 2 2 2 2" xfId="11642" xr:uid="{C69BD612-490F-4BA4-B5F7-5E09AD6F8966}"/>
    <cellStyle name="Normal 2 2 2 2 2 2 2 2 20 2 2 2 2 10" xfId="11643" xr:uid="{5A901E21-C412-46E2-884E-06B17B26D237}"/>
    <cellStyle name="Normal 2 2 2 2 2 2 2 2 20 2 2 2 2 11" xfId="11644" xr:uid="{EF07B84C-60F0-46F6-A722-067E3B8EA6E4}"/>
    <cellStyle name="Normal 2 2 2 2 2 2 2 2 20 2 2 2 2 2" xfId="11645" xr:uid="{069E67D2-F084-4B1F-ABBE-3570830A7F32}"/>
    <cellStyle name="Normal 2 2 2 2 2 2 2 2 20 2 2 2 2 2 2" xfId="11646" xr:uid="{6A5EA5E0-5637-47EC-AB2F-D92079BC9E4D}"/>
    <cellStyle name="Normal 2 2 2 2 2 2 2 2 20 2 2 2 2 2 2 2" xfId="11647" xr:uid="{3895F12A-3C17-445D-A761-057658C880DD}"/>
    <cellStyle name="Normal 2 2 2 2 2 2 2 2 20 2 2 2 2 2 2 3" xfId="11648" xr:uid="{2E6F5746-529E-47BB-BC73-05B4FA9C5211}"/>
    <cellStyle name="Normal 2 2 2 2 2 2 2 2 20 2 2 2 2 2 2 4" xfId="11649" xr:uid="{05B854CA-D505-4815-BBEA-2B84AB32A288}"/>
    <cellStyle name="Normal 2 2 2 2 2 2 2 2 20 2 2 2 2 2 3" xfId="11650" xr:uid="{06FE9A61-E403-48A4-94E7-1BD1F97A4D80}"/>
    <cellStyle name="Normal 2 2 2 2 2 2 2 2 20 2 2 2 2 2 4" xfId="11651" xr:uid="{631CD0E4-4545-46C4-9F22-897F5C2E5605}"/>
    <cellStyle name="Normal 2 2 2 2 2 2 2 2 20 2 2 2 2 2 5" xfId="11652" xr:uid="{BC436EC9-57A7-49CF-9DD0-4F56BFD7A766}"/>
    <cellStyle name="Normal 2 2 2 2 2 2 2 2 20 2 2 2 2 2 6" xfId="11653" xr:uid="{7BE27C83-E88A-4359-A227-751AFFFFDD5C}"/>
    <cellStyle name="Normal 2 2 2 2 2 2 2 2 20 2 2 2 2 3" xfId="11654" xr:uid="{B6E9911A-D01F-4FA0-A7C8-90F11C7B5255}"/>
    <cellStyle name="Normal 2 2 2 2 2 2 2 2 20 2 2 2 2 4" xfId="11655" xr:uid="{EB199FAC-65C7-4BF4-8478-CDE58B589FCE}"/>
    <cellStyle name="Normal 2 2 2 2 2 2 2 2 20 2 2 2 2 5" xfId="11656" xr:uid="{343877AC-E7A0-4BC7-9E22-85DC04E09572}"/>
    <cellStyle name="Normal 2 2 2 2 2 2 2 2 20 2 2 2 2 6" xfId="11657" xr:uid="{EB5FB13B-270F-4198-9B13-8F1BC2E2A687}"/>
    <cellStyle name="Normal 2 2 2 2 2 2 2 2 20 2 2 2 2 7" xfId="11658" xr:uid="{5383D0A8-3A4A-407A-9E5A-2818B52F6C85}"/>
    <cellStyle name="Normal 2 2 2 2 2 2 2 2 20 2 2 2 2 8" xfId="11659" xr:uid="{9E179643-F10A-4F3E-AAA5-7453498DC59B}"/>
    <cellStyle name="Normal 2 2 2 2 2 2 2 2 20 2 2 2 2 8 2" xfId="11660" xr:uid="{4C52DC17-20F1-4F7D-8D13-24C8B86D8051}"/>
    <cellStyle name="Normal 2 2 2 2 2 2 2 2 20 2 2 2 2 8 3" xfId="11661" xr:uid="{ADA5C515-F6F7-4DD4-A54E-53693DCBF92B}"/>
    <cellStyle name="Normal 2 2 2 2 2 2 2 2 20 2 2 2 2 8 4" xfId="11662" xr:uid="{D46F9536-4865-47C1-A469-210CFA7D9B7E}"/>
    <cellStyle name="Normal 2 2 2 2 2 2 2 2 20 2 2 2 2 9" xfId="11663" xr:uid="{E80455FC-0648-4A27-98CB-7F2D3DEAE391}"/>
    <cellStyle name="Normal 2 2 2 2 2 2 2 2 20 2 2 2 3" xfId="11664" xr:uid="{DA7D2A48-2C33-451A-8EA1-BE757F02AC04}"/>
    <cellStyle name="Normal 2 2 2 2 2 2 2 2 20 2 2 2 3 2" xfId="11665" xr:uid="{E83CFFB5-1971-49F5-873F-EF9D5D6659CD}"/>
    <cellStyle name="Normal 2 2 2 2 2 2 2 2 20 2 2 2 3 2 2" xfId="11666" xr:uid="{511A7C4C-9B4C-443A-8913-D8DD8B8BCEAC}"/>
    <cellStyle name="Normal 2 2 2 2 2 2 2 2 20 2 2 2 3 2 3" xfId="11667" xr:uid="{9DD24602-A7E8-4A4E-B098-9CCC89F7E156}"/>
    <cellStyle name="Normal 2 2 2 2 2 2 2 2 20 2 2 2 3 2 4" xfId="11668" xr:uid="{D82B0547-C7B5-46E5-B21E-0B9777DFE5E4}"/>
    <cellStyle name="Normal 2 2 2 2 2 2 2 2 20 2 2 2 3 3" xfId="11669" xr:uid="{0F1E634C-11E5-426D-B7DA-FCF6313AB709}"/>
    <cellStyle name="Normal 2 2 2 2 2 2 2 2 20 2 2 2 3 4" xfId="11670" xr:uid="{D1B112A0-D7B1-447F-AF24-3F138E56DCC0}"/>
    <cellStyle name="Normal 2 2 2 2 2 2 2 2 20 2 2 2 3 5" xfId="11671" xr:uid="{0E6052A4-C3C3-4395-8747-61C9749D896A}"/>
    <cellStyle name="Normal 2 2 2 2 2 2 2 2 20 2 2 2 3 6" xfId="11672" xr:uid="{1A58846D-F974-4D47-AB8C-33C630F9A39F}"/>
    <cellStyle name="Normal 2 2 2 2 2 2 2 2 20 2 2 2 4" xfId="11673" xr:uid="{44FECE6D-3CB6-4E94-8BEB-37A4C8329DE9}"/>
    <cellStyle name="Normal 2 2 2 2 2 2 2 2 20 2 2 2 5" xfId="11674" xr:uid="{45678548-C66C-45CF-B3C0-EC3AECD72B44}"/>
    <cellStyle name="Normal 2 2 2 2 2 2 2 2 20 2 2 2 6" xfId="11675" xr:uid="{41A92F25-CACF-495B-9BE4-4BD991098F6A}"/>
    <cellStyle name="Normal 2 2 2 2 2 2 2 2 20 2 2 2 7" xfId="11676" xr:uid="{A3325085-FEA5-4BA6-AB2B-22ED4C0819B8}"/>
    <cellStyle name="Normal 2 2 2 2 2 2 2 2 20 2 2 2 8" xfId="11677" xr:uid="{FCA3081E-3FAF-42BB-A2ED-CB7FDB432A93}"/>
    <cellStyle name="Normal 2 2 2 2 2 2 2 2 20 2 2 2 8 2" xfId="11678" xr:uid="{6632F8DF-EC6E-44C1-B027-236DC7495501}"/>
    <cellStyle name="Normal 2 2 2 2 2 2 2 2 20 2 2 2 8 3" xfId="11679" xr:uid="{03E05CCF-C05E-4340-82CA-F6B0A11C15E6}"/>
    <cellStyle name="Normal 2 2 2 2 2 2 2 2 20 2 2 2 8 4" xfId="11680" xr:uid="{14C3C7DE-C320-445A-9EFE-1120F4E90C36}"/>
    <cellStyle name="Normal 2 2 2 2 2 2 2 2 20 2 2 2 9" xfId="11681" xr:uid="{E971F063-FF03-4514-B707-08EBC8F3773D}"/>
    <cellStyle name="Normal 2 2 2 2 2 2 2 2 20 2 2 3" xfId="11682" xr:uid="{FC029AD8-0EF2-4476-B48E-9E7BCE56837F}"/>
    <cellStyle name="Normal 2 2 2 2 2 2 2 2 20 2 2 4" xfId="11683" xr:uid="{73ED33BF-5EC7-4F84-A4C1-92457DED632C}"/>
    <cellStyle name="Normal 2 2 2 2 2 2 2 2 20 2 2 5" xfId="11684" xr:uid="{8A692681-5031-4B95-8461-C30253024354}"/>
    <cellStyle name="Normal 2 2 2 2 2 2 2 2 20 2 2 5 2" xfId="11685" xr:uid="{CBD63B94-B327-4925-8F4F-42CC16571EB8}"/>
    <cellStyle name="Normal 2 2 2 2 2 2 2 2 20 2 2 5 2 2" xfId="11686" xr:uid="{C9BFEE1D-A65B-4A03-AF56-90CDF23A3AC0}"/>
    <cellStyle name="Normal 2 2 2 2 2 2 2 2 20 2 2 5 2 3" xfId="11687" xr:uid="{8070C327-DF56-4BF8-9556-E139AB8D335A}"/>
    <cellStyle name="Normal 2 2 2 2 2 2 2 2 20 2 2 5 2 4" xfId="11688" xr:uid="{F005D063-A81E-469E-A515-F967B58E9F48}"/>
    <cellStyle name="Normal 2 2 2 2 2 2 2 2 20 2 2 5 3" xfId="11689" xr:uid="{D841A168-54FB-46C3-90E2-0236076F238C}"/>
    <cellStyle name="Normal 2 2 2 2 2 2 2 2 20 2 2 5 4" xfId="11690" xr:uid="{0F057EA8-0583-4D1E-9C78-84FFE07E7D75}"/>
    <cellStyle name="Normal 2 2 2 2 2 2 2 2 20 2 2 5 5" xfId="11691" xr:uid="{5B18907F-3CD1-4A52-9B13-92AEB63B8420}"/>
    <cellStyle name="Normal 2 2 2 2 2 2 2 2 20 2 2 5 6" xfId="11692" xr:uid="{4BD8EBA6-C860-4F8E-8AEE-92AEAC1B15CE}"/>
    <cellStyle name="Normal 2 2 2 2 2 2 2 2 20 2 2 6" xfId="11693" xr:uid="{D937997E-EC0F-4A62-883F-5909CF3B9B2A}"/>
    <cellStyle name="Normal 2 2 2 2 2 2 2 2 20 2 2 7" xfId="11694" xr:uid="{BC8686D0-0EE0-4827-ABE8-A08BB3152429}"/>
    <cellStyle name="Normal 2 2 2 2 2 2 2 2 20 2 2 8" xfId="11695" xr:uid="{706E8862-F5E3-4C13-9BAB-7C5F6D39CA5A}"/>
    <cellStyle name="Normal 2 2 2 2 2 2 2 2 20 2 2 9" xfId="11696" xr:uid="{95C3C3CD-2619-4C75-AC8D-EBE232CC3E50}"/>
    <cellStyle name="Normal 2 2 2 2 2 2 2 2 20 2 3" xfId="11697" xr:uid="{0ABCC495-32C7-425A-927D-AC6788E73BD4}"/>
    <cellStyle name="Normal 2 2 2 2 2 2 2 2 20 2 4" xfId="11698" xr:uid="{0358F9FC-7091-4345-9793-E058698F634D}"/>
    <cellStyle name="Normal 2 2 2 2 2 2 2 2 20 2 5" xfId="11699" xr:uid="{04E7B49D-D345-459F-9161-67B088DFBCAB}"/>
    <cellStyle name="Normal 2 2 2 2 2 2 2 2 20 2 5 10" xfId="11700" xr:uid="{1705964A-F317-400D-8F69-98BFCB8E764C}"/>
    <cellStyle name="Normal 2 2 2 2 2 2 2 2 20 2 5 11" xfId="11701" xr:uid="{2801B987-D880-4D08-A2BF-A5EAF60B13B3}"/>
    <cellStyle name="Normal 2 2 2 2 2 2 2 2 20 2 5 2" xfId="11702" xr:uid="{F7F45F62-5924-4E13-B816-B416A601D350}"/>
    <cellStyle name="Normal 2 2 2 2 2 2 2 2 20 2 5 2 10" xfId="11703" xr:uid="{42C58045-2409-4440-8D27-30E3340CCABF}"/>
    <cellStyle name="Normal 2 2 2 2 2 2 2 2 20 2 5 2 11" xfId="11704" xr:uid="{30A6E29E-FAAE-4876-8A39-870841C33FC3}"/>
    <cellStyle name="Normal 2 2 2 2 2 2 2 2 20 2 5 2 2" xfId="11705" xr:uid="{C5001D58-208F-41D0-857D-350FC875304E}"/>
    <cellStyle name="Normal 2 2 2 2 2 2 2 2 20 2 5 2 2 2" xfId="11706" xr:uid="{B5E32667-F319-4A1A-87FC-52B89ABC672F}"/>
    <cellStyle name="Normal 2 2 2 2 2 2 2 2 20 2 5 2 2 2 2" xfId="11707" xr:uid="{2D2A6FEC-BE2B-4B96-B28A-72C6817E7815}"/>
    <cellStyle name="Normal 2 2 2 2 2 2 2 2 20 2 5 2 2 2 3" xfId="11708" xr:uid="{A6B21799-51CB-4767-9E42-C56B1507C92E}"/>
    <cellStyle name="Normal 2 2 2 2 2 2 2 2 20 2 5 2 2 2 4" xfId="11709" xr:uid="{F234F36F-F4AD-447E-B0EE-5C916C733CA0}"/>
    <cellStyle name="Normal 2 2 2 2 2 2 2 2 20 2 5 2 2 3" xfId="11710" xr:uid="{40E75922-2670-4C0A-A290-B82D555915D6}"/>
    <cellStyle name="Normal 2 2 2 2 2 2 2 2 20 2 5 2 2 4" xfId="11711" xr:uid="{17D1478A-E493-4E54-8576-11D8CD11CEC0}"/>
    <cellStyle name="Normal 2 2 2 2 2 2 2 2 20 2 5 2 2 5" xfId="11712" xr:uid="{3A704C27-7CE1-484E-B062-594D9DC22378}"/>
    <cellStyle name="Normal 2 2 2 2 2 2 2 2 20 2 5 2 2 6" xfId="11713" xr:uid="{54A9D2F0-06A6-45C6-97D1-950FF611E429}"/>
    <cellStyle name="Normal 2 2 2 2 2 2 2 2 20 2 5 2 3" xfId="11714" xr:uid="{130E2EF0-FF12-4E53-ADA2-3AEB32AC04F7}"/>
    <cellStyle name="Normal 2 2 2 2 2 2 2 2 20 2 5 2 4" xfId="11715" xr:uid="{CF768CFC-BE7B-4076-BE4D-D921D1825D68}"/>
    <cellStyle name="Normal 2 2 2 2 2 2 2 2 20 2 5 2 5" xfId="11716" xr:uid="{5F78E595-9569-4C58-B09F-B0E0539DF71A}"/>
    <cellStyle name="Normal 2 2 2 2 2 2 2 2 20 2 5 2 6" xfId="11717" xr:uid="{4051BE42-19EC-436E-81F4-B112905B6676}"/>
    <cellStyle name="Normal 2 2 2 2 2 2 2 2 20 2 5 2 7" xfId="11718" xr:uid="{76A429C0-9BFC-4110-9E70-82B193774D5F}"/>
    <cellStyle name="Normal 2 2 2 2 2 2 2 2 20 2 5 2 8" xfId="11719" xr:uid="{45F9CEF6-6B3A-43B3-A81E-83C390A47ACE}"/>
    <cellStyle name="Normal 2 2 2 2 2 2 2 2 20 2 5 2 8 2" xfId="11720" xr:uid="{1B4DD121-3261-4F4A-9ADA-F8F397C9A0BB}"/>
    <cellStyle name="Normal 2 2 2 2 2 2 2 2 20 2 5 2 8 3" xfId="11721" xr:uid="{4BD50F59-0747-48B6-A1DF-71D031F925C3}"/>
    <cellStyle name="Normal 2 2 2 2 2 2 2 2 20 2 5 2 8 4" xfId="11722" xr:uid="{F5C9848B-8FB7-49E6-ADF9-2B85F5784C1B}"/>
    <cellStyle name="Normal 2 2 2 2 2 2 2 2 20 2 5 2 9" xfId="11723" xr:uid="{5B26D585-4288-4E2E-A03A-18BB519E35FE}"/>
    <cellStyle name="Normal 2 2 2 2 2 2 2 2 20 2 5 3" xfId="11724" xr:uid="{4C88A6A6-BA7A-4979-B45A-9726109DDBC3}"/>
    <cellStyle name="Normal 2 2 2 2 2 2 2 2 20 2 5 3 2" xfId="11725" xr:uid="{207F8C16-AD68-4BD8-9D6A-7A37ACDE6D5B}"/>
    <cellStyle name="Normal 2 2 2 2 2 2 2 2 20 2 5 3 2 2" xfId="11726" xr:uid="{2D635E1D-C490-4037-A497-99C61F6B0BA4}"/>
    <cellStyle name="Normal 2 2 2 2 2 2 2 2 20 2 5 3 2 3" xfId="11727" xr:uid="{95FD5BC6-77DA-481D-8612-5337F596FC3B}"/>
    <cellStyle name="Normal 2 2 2 2 2 2 2 2 20 2 5 3 2 4" xfId="11728" xr:uid="{D0E470B8-5028-4951-A956-0EE77AF374B1}"/>
    <cellStyle name="Normal 2 2 2 2 2 2 2 2 20 2 5 3 3" xfId="11729" xr:uid="{3D1ED851-5E9C-4468-8DAF-372B15F1DAD1}"/>
    <cellStyle name="Normal 2 2 2 2 2 2 2 2 20 2 5 3 4" xfId="11730" xr:uid="{E6DADD77-71FD-4FC9-A3FA-CBBD528D7E3D}"/>
    <cellStyle name="Normal 2 2 2 2 2 2 2 2 20 2 5 3 5" xfId="11731" xr:uid="{BF668954-9447-4415-9924-14158F6F400F}"/>
    <cellStyle name="Normal 2 2 2 2 2 2 2 2 20 2 5 3 6" xfId="11732" xr:uid="{967DAB0F-8DF4-49FA-8C8A-0F60DD5887EE}"/>
    <cellStyle name="Normal 2 2 2 2 2 2 2 2 20 2 5 4" xfId="11733" xr:uid="{8CB73707-6308-4000-83C1-06DDA5FFB3FA}"/>
    <cellStyle name="Normal 2 2 2 2 2 2 2 2 20 2 5 5" xfId="11734" xr:uid="{A85CB5D7-BEA1-4BC7-9479-C0D81D561274}"/>
    <cellStyle name="Normal 2 2 2 2 2 2 2 2 20 2 5 6" xfId="11735" xr:uid="{28E57DA5-21C5-48ED-9632-1FF78FE8F12F}"/>
    <cellStyle name="Normal 2 2 2 2 2 2 2 2 20 2 5 7" xfId="11736" xr:uid="{6EDE7204-B1D4-481A-91FD-30DD89AFDE14}"/>
    <cellStyle name="Normal 2 2 2 2 2 2 2 2 20 2 5 8" xfId="11737" xr:uid="{B9EF858A-3B53-4106-B69E-7822001363A8}"/>
    <cellStyle name="Normal 2 2 2 2 2 2 2 2 20 2 5 8 2" xfId="11738" xr:uid="{B7CF344B-FB40-4792-B506-4AA8B764A1B0}"/>
    <cellStyle name="Normal 2 2 2 2 2 2 2 2 20 2 5 8 3" xfId="11739" xr:uid="{0EB597D2-5156-4036-9E36-892C2BE4D33A}"/>
    <cellStyle name="Normal 2 2 2 2 2 2 2 2 20 2 5 8 4" xfId="11740" xr:uid="{77B1F33D-7E7B-4A5E-A6C9-6769DBDA8366}"/>
    <cellStyle name="Normal 2 2 2 2 2 2 2 2 20 2 5 9" xfId="11741" xr:uid="{DAE01B22-206B-4BD4-A4EF-093755D45143}"/>
    <cellStyle name="Normal 2 2 2 2 2 2 2 2 20 2 6" xfId="11742" xr:uid="{8573C3E4-EFFB-48A7-9496-CD8AAFA2BCBC}"/>
    <cellStyle name="Normal 2 2 2 2 2 2 2 2 20 2 7" xfId="11743" xr:uid="{A7B427E7-720D-4BE0-8282-9678435CC413}"/>
    <cellStyle name="Normal 2 2 2 2 2 2 2 2 20 2 7 2" xfId="11744" xr:uid="{32CF9AA1-0E9A-46CB-B1CB-7F7C179CF790}"/>
    <cellStyle name="Normal 2 2 2 2 2 2 2 2 20 2 7 2 2" xfId="11745" xr:uid="{78098E6B-A7F0-4607-830C-DCEB07D9925E}"/>
    <cellStyle name="Normal 2 2 2 2 2 2 2 2 20 2 7 2 3" xfId="11746" xr:uid="{05A77AAF-AC1F-4C84-A171-15B8FA5CAE71}"/>
    <cellStyle name="Normal 2 2 2 2 2 2 2 2 20 2 7 2 4" xfId="11747" xr:uid="{A087836E-B1FD-4AE0-996F-26C154672D86}"/>
    <cellStyle name="Normal 2 2 2 2 2 2 2 2 20 2 7 3" xfId="11748" xr:uid="{0A0927B1-C7D4-44A7-8648-056E4797FB65}"/>
    <cellStyle name="Normal 2 2 2 2 2 2 2 2 20 2 7 4" xfId="11749" xr:uid="{EABAA699-FB57-4B45-89D9-0EFF3E5A5906}"/>
    <cellStyle name="Normal 2 2 2 2 2 2 2 2 20 2 7 5" xfId="11750" xr:uid="{520EF4BE-03E3-459C-99EB-F7424B8B3488}"/>
    <cellStyle name="Normal 2 2 2 2 2 2 2 2 20 2 7 6" xfId="11751" xr:uid="{87779001-4842-42D0-B521-0553F44ACC82}"/>
    <cellStyle name="Normal 2 2 2 2 2 2 2 2 20 2 8" xfId="11752" xr:uid="{3CEF7AC5-3F24-4F5A-B33D-E325C02FF942}"/>
    <cellStyle name="Normal 2 2 2 2 2 2 2 2 20 2 9" xfId="11753" xr:uid="{6B29176E-A48E-4529-B224-CD3B58B8C555}"/>
    <cellStyle name="Normal 2 2 2 2 2 2 2 2 20 20" xfId="11754" xr:uid="{EB8F79ED-EED1-4F63-9F7C-8AAC79FF3976}"/>
    <cellStyle name="Normal 2 2 2 2 2 2 2 2 20 21" xfId="11755" xr:uid="{FA83EA3A-F56D-475C-B56F-2994F4DFCF99}"/>
    <cellStyle name="Normal 2 2 2 2 2 2 2 2 20 21 2" xfId="11756" xr:uid="{DD58C7E3-407E-477A-92C5-7A5421076D9F}"/>
    <cellStyle name="Normal 2 2 2 2 2 2 2 2 20 21 3" xfId="11757" xr:uid="{714470AD-244E-4180-9A86-E8E24384C526}"/>
    <cellStyle name="Normal 2 2 2 2 2 2 2 2 20 21 4" xfId="11758" xr:uid="{3F083FFB-C4DD-478F-96A8-095CB2A415A5}"/>
    <cellStyle name="Normal 2 2 2 2 2 2 2 2 20 22" xfId="11759" xr:uid="{877949D2-5D8D-4635-8719-C0F64DB658C5}"/>
    <cellStyle name="Normal 2 2 2 2 2 2 2 2 20 23" xfId="11760" xr:uid="{6B3D2B85-2D47-46C7-B74A-956A5B15394D}"/>
    <cellStyle name="Normal 2 2 2 2 2 2 2 2 20 24" xfId="11761" xr:uid="{F23FCBE3-C742-4321-8CDD-78B501DC00E8}"/>
    <cellStyle name="Normal 2 2 2 2 2 2 2 2 20 3" xfId="11762" xr:uid="{77ADEA06-0FFE-4883-A779-82EE37AA3F24}"/>
    <cellStyle name="Normal 2 2 2 2 2 2 2 2 20 4" xfId="11763" xr:uid="{2E3E53E0-005F-4107-B418-C85A6991EB65}"/>
    <cellStyle name="Normal 2 2 2 2 2 2 2 2 20 5" xfId="11764" xr:uid="{A300825A-8EAD-4EE1-B5CD-EDCB80C343EF}"/>
    <cellStyle name="Normal 2 2 2 2 2 2 2 2 20 6" xfId="11765" xr:uid="{F159D495-94B2-45BB-9B02-1F4E150FCD21}"/>
    <cellStyle name="Normal 2 2 2 2 2 2 2 2 20 7" xfId="11766" xr:uid="{F0DA4763-DBB9-4008-A5CF-F4B0C94A07A5}"/>
    <cellStyle name="Normal 2 2 2 2 2 2 2 2 20 8" xfId="11767" xr:uid="{8C443865-368E-47A1-A184-CC789445C76A}"/>
    <cellStyle name="Normal 2 2 2 2 2 2 2 2 20 9" xfId="11768" xr:uid="{6535FE38-0A1D-4AA5-A7F8-BA2E17D8125E}"/>
    <cellStyle name="Normal 2 2 2 2 2 2 2 2 21" xfId="11769" xr:uid="{8193A5CB-CC0D-43D1-AE77-D10DD6A28C5D}"/>
    <cellStyle name="Normal 2 2 2 2 2 2 2 2 21 10" xfId="11770" xr:uid="{F6F1AE67-A6BD-41FD-955A-FEED84FC4E5F}"/>
    <cellStyle name="Normal 2 2 2 2 2 2 2 2 21 11" xfId="11771" xr:uid="{16EA7D6A-3D6A-43BF-967F-FB001EB953B3}"/>
    <cellStyle name="Normal 2 2 2 2 2 2 2 2 21 12" xfId="11772" xr:uid="{BAEA6501-4E3E-4493-85B2-72A864B8908C}"/>
    <cellStyle name="Normal 2 2 2 2 2 2 2 2 21 13" xfId="11773" xr:uid="{D6EFB7D8-28A5-41E5-A9CA-2FA686762A3F}"/>
    <cellStyle name="Normal 2 2 2 2 2 2 2 2 21 13 2" xfId="11774" xr:uid="{C2F147FC-739F-4E13-A51E-F2362AD315F5}"/>
    <cellStyle name="Normal 2 2 2 2 2 2 2 2 21 13 3" xfId="11775" xr:uid="{7D1FAB31-B987-49A3-8828-7133EAC19BD1}"/>
    <cellStyle name="Normal 2 2 2 2 2 2 2 2 21 13 4" xfId="11776" xr:uid="{B9E7A469-E249-4080-B344-19AE8EADC2B2}"/>
    <cellStyle name="Normal 2 2 2 2 2 2 2 2 21 14" xfId="11777" xr:uid="{DD28DA66-8CE8-4A07-8626-82CA6A6CD7ED}"/>
    <cellStyle name="Normal 2 2 2 2 2 2 2 2 21 15" xfId="11778" xr:uid="{F993BB0B-2A30-41CE-A63E-E4E34F444EE8}"/>
    <cellStyle name="Normal 2 2 2 2 2 2 2 2 21 16" xfId="11779" xr:uid="{20AEBF9E-7D7A-4DBC-995E-9E72A7F05A40}"/>
    <cellStyle name="Normal 2 2 2 2 2 2 2 2 21 2" xfId="11780" xr:uid="{5774D73E-56A0-45D4-9E6A-04F0FE16D553}"/>
    <cellStyle name="Normal 2 2 2 2 2 2 2 2 21 2 10" xfId="11781" xr:uid="{AE5841CE-9C75-43DE-8CA1-C204DEDE6509}"/>
    <cellStyle name="Normal 2 2 2 2 2 2 2 2 21 2 11" xfId="11782" xr:uid="{0D96082B-C863-4A2A-8350-87FF17B48AAA}"/>
    <cellStyle name="Normal 2 2 2 2 2 2 2 2 21 2 11 2" xfId="11783" xr:uid="{917F6EF2-E02A-42AC-989A-C2F0A3D4FE04}"/>
    <cellStyle name="Normal 2 2 2 2 2 2 2 2 21 2 11 3" xfId="11784" xr:uid="{B9A65227-6AEF-46F7-829F-22D14272535C}"/>
    <cellStyle name="Normal 2 2 2 2 2 2 2 2 21 2 11 4" xfId="11785" xr:uid="{A42CCA0C-B3CC-4B5E-A2FA-11A932E6F596}"/>
    <cellStyle name="Normal 2 2 2 2 2 2 2 2 21 2 12" xfId="11786" xr:uid="{DCE4C0EA-436B-4406-8F7C-D25CDE0963E3}"/>
    <cellStyle name="Normal 2 2 2 2 2 2 2 2 21 2 13" xfId="11787" xr:uid="{745EDDD5-7506-4331-93A0-8117418B4007}"/>
    <cellStyle name="Normal 2 2 2 2 2 2 2 2 21 2 14" xfId="11788" xr:uid="{A966ADD4-27B2-4730-B1A2-7560A72CAFBF}"/>
    <cellStyle name="Normal 2 2 2 2 2 2 2 2 21 2 2" xfId="11789" xr:uid="{D7D0F410-036C-4320-B8D5-C75C08538ABD}"/>
    <cellStyle name="Normal 2 2 2 2 2 2 2 2 21 2 2 10" xfId="11790" xr:uid="{76A8D496-1532-4F59-BF76-E30C2E0447ED}"/>
    <cellStyle name="Normal 2 2 2 2 2 2 2 2 21 2 2 11" xfId="11791" xr:uid="{0B94089C-D0BD-404C-972D-20B7272C021E}"/>
    <cellStyle name="Normal 2 2 2 2 2 2 2 2 21 2 2 2" xfId="11792" xr:uid="{3560A3FA-3CF7-4433-A1F4-ABB0B8C8F968}"/>
    <cellStyle name="Normal 2 2 2 2 2 2 2 2 21 2 2 2 10" xfId="11793" xr:uid="{D605467D-4235-4414-B3EF-3F1E174E2805}"/>
    <cellStyle name="Normal 2 2 2 2 2 2 2 2 21 2 2 2 11" xfId="11794" xr:uid="{00AB75F0-A9CA-4794-94F5-543A45CB6289}"/>
    <cellStyle name="Normal 2 2 2 2 2 2 2 2 21 2 2 2 2" xfId="11795" xr:uid="{F6FD90F2-A19B-4CAA-9E83-149AB315898D}"/>
    <cellStyle name="Normal 2 2 2 2 2 2 2 2 21 2 2 2 2 2" xfId="11796" xr:uid="{C2ED9914-5988-415A-9944-8BE1B208BC29}"/>
    <cellStyle name="Normal 2 2 2 2 2 2 2 2 21 2 2 2 2 2 2" xfId="11797" xr:uid="{8788E24F-E80C-4703-B5F2-223F536FAD33}"/>
    <cellStyle name="Normal 2 2 2 2 2 2 2 2 21 2 2 2 2 2 3" xfId="11798" xr:uid="{1E4D88B9-85BD-4609-96EC-ED5DE0F43D97}"/>
    <cellStyle name="Normal 2 2 2 2 2 2 2 2 21 2 2 2 2 2 4" xfId="11799" xr:uid="{C949FB5A-7800-4640-BCA0-575BFCDA12A1}"/>
    <cellStyle name="Normal 2 2 2 2 2 2 2 2 21 2 2 2 2 3" xfId="11800" xr:uid="{6E715B2C-BEC2-4F69-B2CC-7DD6017972DC}"/>
    <cellStyle name="Normal 2 2 2 2 2 2 2 2 21 2 2 2 2 4" xfId="11801" xr:uid="{55C65F24-6CCC-4049-8346-81F1130FEE06}"/>
    <cellStyle name="Normal 2 2 2 2 2 2 2 2 21 2 2 2 2 5" xfId="11802" xr:uid="{9EA7954C-F51F-466A-BF52-F381ED2FC14F}"/>
    <cellStyle name="Normal 2 2 2 2 2 2 2 2 21 2 2 2 2 6" xfId="11803" xr:uid="{ED0A05C4-578B-4091-920A-FDAFA67A7D60}"/>
    <cellStyle name="Normal 2 2 2 2 2 2 2 2 21 2 2 2 3" xfId="11804" xr:uid="{7983A860-DD68-4A59-941A-BFD7EC82E13E}"/>
    <cellStyle name="Normal 2 2 2 2 2 2 2 2 21 2 2 2 4" xfId="11805" xr:uid="{540471F2-2BA5-4673-AB39-50EDA18AB6FC}"/>
    <cellStyle name="Normal 2 2 2 2 2 2 2 2 21 2 2 2 5" xfId="11806" xr:uid="{FCD2751A-CC13-4E36-B3E6-4CE034F60764}"/>
    <cellStyle name="Normal 2 2 2 2 2 2 2 2 21 2 2 2 6" xfId="11807" xr:uid="{FC637009-79E0-4FB4-B1F2-0ABE6FC94E4B}"/>
    <cellStyle name="Normal 2 2 2 2 2 2 2 2 21 2 2 2 7" xfId="11808" xr:uid="{C1CD32DD-0CB5-4F59-936D-3D0F3992052F}"/>
    <cellStyle name="Normal 2 2 2 2 2 2 2 2 21 2 2 2 8" xfId="11809" xr:uid="{195C5A92-8BD8-4DDC-A8BD-0097F7FA6446}"/>
    <cellStyle name="Normal 2 2 2 2 2 2 2 2 21 2 2 2 8 2" xfId="11810" xr:uid="{4996850C-3424-4C0E-8A27-3B7460EFAAA5}"/>
    <cellStyle name="Normal 2 2 2 2 2 2 2 2 21 2 2 2 8 3" xfId="11811" xr:uid="{AFF0D2BC-A9A6-48FD-9982-5201BDB71453}"/>
    <cellStyle name="Normal 2 2 2 2 2 2 2 2 21 2 2 2 8 4" xfId="11812" xr:uid="{BE397D28-BE62-4221-A2F8-32086C738FFA}"/>
    <cellStyle name="Normal 2 2 2 2 2 2 2 2 21 2 2 2 9" xfId="11813" xr:uid="{A4DA6155-B49E-49D5-9526-2BA4FB493901}"/>
    <cellStyle name="Normal 2 2 2 2 2 2 2 2 21 2 2 3" xfId="11814" xr:uid="{77ED39D9-3B5F-45AA-9FB2-0EB83D49067E}"/>
    <cellStyle name="Normal 2 2 2 2 2 2 2 2 21 2 2 3 2" xfId="11815" xr:uid="{B5CE70DE-949D-4932-9209-865BBD77D149}"/>
    <cellStyle name="Normal 2 2 2 2 2 2 2 2 21 2 2 3 2 2" xfId="11816" xr:uid="{711E9D0A-7619-4F89-82F8-6F26BFD8CCE3}"/>
    <cellStyle name="Normal 2 2 2 2 2 2 2 2 21 2 2 3 2 3" xfId="11817" xr:uid="{9CC4FFD1-BCCE-4641-9F6D-C9FE2C24E9F9}"/>
    <cellStyle name="Normal 2 2 2 2 2 2 2 2 21 2 2 3 2 4" xfId="11818" xr:uid="{49A03EEA-1A41-4E69-AC1A-7522C4BE788F}"/>
    <cellStyle name="Normal 2 2 2 2 2 2 2 2 21 2 2 3 3" xfId="11819" xr:uid="{49B22C8F-19EB-4413-A82F-AFBEC172999D}"/>
    <cellStyle name="Normal 2 2 2 2 2 2 2 2 21 2 2 3 4" xfId="11820" xr:uid="{6BC86B1E-0B00-4560-B5BF-924BDFFEAE21}"/>
    <cellStyle name="Normal 2 2 2 2 2 2 2 2 21 2 2 3 5" xfId="11821" xr:uid="{EF5C88DB-A7B6-4715-A7F4-0E57D5DEF85C}"/>
    <cellStyle name="Normal 2 2 2 2 2 2 2 2 21 2 2 3 6" xfId="11822" xr:uid="{474F55C0-17B2-44F9-AC31-EB5EA6996974}"/>
    <cellStyle name="Normal 2 2 2 2 2 2 2 2 21 2 2 4" xfId="11823" xr:uid="{58DA0F2C-EF27-474B-B683-D7DD729EA867}"/>
    <cellStyle name="Normal 2 2 2 2 2 2 2 2 21 2 2 5" xfId="11824" xr:uid="{B0F3DA48-15E7-423D-A485-EB0831B4DC55}"/>
    <cellStyle name="Normal 2 2 2 2 2 2 2 2 21 2 2 6" xfId="11825" xr:uid="{1F8DB225-0826-44A7-814D-B482C34AE216}"/>
    <cellStyle name="Normal 2 2 2 2 2 2 2 2 21 2 2 7" xfId="11826" xr:uid="{187E282E-7C1B-4A32-A702-682D7C467556}"/>
    <cellStyle name="Normal 2 2 2 2 2 2 2 2 21 2 2 8" xfId="11827" xr:uid="{73DB8050-F190-4F89-996E-ED8D39D6A755}"/>
    <cellStyle name="Normal 2 2 2 2 2 2 2 2 21 2 2 8 2" xfId="11828" xr:uid="{4A4544BD-016E-450B-A32B-86D04639BA93}"/>
    <cellStyle name="Normal 2 2 2 2 2 2 2 2 21 2 2 8 3" xfId="11829" xr:uid="{3C9DDBAB-A721-47E6-9455-7F179297C85A}"/>
    <cellStyle name="Normal 2 2 2 2 2 2 2 2 21 2 2 8 4" xfId="11830" xr:uid="{EFB9EA9F-AB0E-487F-9661-5458FD7E298F}"/>
    <cellStyle name="Normal 2 2 2 2 2 2 2 2 21 2 2 9" xfId="11831" xr:uid="{195B9698-4CA6-4C69-BA67-82078968D5E3}"/>
    <cellStyle name="Normal 2 2 2 2 2 2 2 2 21 2 3" xfId="11832" xr:uid="{5ED27E43-E2A9-4E25-843C-3A34E7CBDEC5}"/>
    <cellStyle name="Normal 2 2 2 2 2 2 2 2 21 2 4" xfId="11833" xr:uid="{578EC011-BE5D-4392-BE45-D735C306C59B}"/>
    <cellStyle name="Normal 2 2 2 2 2 2 2 2 21 2 5" xfId="11834" xr:uid="{FEEB9FD0-08AD-4189-A2F2-1E12AF7198F0}"/>
    <cellStyle name="Normal 2 2 2 2 2 2 2 2 21 2 5 2" xfId="11835" xr:uid="{CC145D8E-7398-453B-90F6-2CAADCD3DDB8}"/>
    <cellStyle name="Normal 2 2 2 2 2 2 2 2 21 2 5 2 2" xfId="11836" xr:uid="{052AD100-9758-45F8-9BE0-E36BC6E8BDAC}"/>
    <cellStyle name="Normal 2 2 2 2 2 2 2 2 21 2 5 2 3" xfId="11837" xr:uid="{7C331589-830D-4788-AAC5-D2ED069FA840}"/>
    <cellStyle name="Normal 2 2 2 2 2 2 2 2 21 2 5 2 4" xfId="11838" xr:uid="{FA96E6BF-C78B-4072-A8BF-E28E077C91F0}"/>
    <cellStyle name="Normal 2 2 2 2 2 2 2 2 21 2 5 3" xfId="11839" xr:uid="{6B2BA09D-6010-449A-A6D1-E8F32BDF778E}"/>
    <cellStyle name="Normal 2 2 2 2 2 2 2 2 21 2 5 4" xfId="11840" xr:uid="{3EAC8B2B-C9F7-4E3E-9B7A-EA4EC3702C58}"/>
    <cellStyle name="Normal 2 2 2 2 2 2 2 2 21 2 5 5" xfId="11841" xr:uid="{6B3501BE-72C7-4FEB-8F06-3B421DF42B5E}"/>
    <cellStyle name="Normal 2 2 2 2 2 2 2 2 21 2 5 6" xfId="11842" xr:uid="{AF40A202-4B99-4A14-BE3D-0E8E814FBCD7}"/>
    <cellStyle name="Normal 2 2 2 2 2 2 2 2 21 2 6" xfId="11843" xr:uid="{87E9D735-32BD-4D22-8634-3CA6D266A3FC}"/>
    <cellStyle name="Normal 2 2 2 2 2 2 2 2 21 2 7" xfId="11844" xr:uid="{64E85D68-5FA2-4C8D-B13A-44FFD2C102CD}"/>
    <cellStyle name="Normal 2 2 2 2 2 2 2 2 21 2 8" xfId="11845" xr:uid="{E8AE7563-DFD6-47EF-9A62-E38E59B4935A}"/>
    <cellStyle name="Normal 2 2 2 2 2 2 2 2 21 2 9" xfId="11846" xr:uid="{05F08C91-EC97-4302-A0B3-D8B7C3DE20A8}"/>
    <cellStyle name="Normal 2 2 2 2 2 2 2 2 21 3" xfId="11847" xr:uid="{B0CB5271-D205-40A0-99F8-83523107D051}"/>
    <cellStyle name="Normal 2 2 2 2 2 2 2 2 21 4" xfId="11848" xr:uid="{4D2D7CD8-1837-478F-B9F1-90F9672A69CE}"/>
    <cellStyle name="Normal 2 2 2 2 2 2 2 2 21 5" xfId="11849" xr:uid="{2631A3EB-E918-4DC0-B5C6-EDC347218351}"/>
    <cellStyle name="Normal 2 2 2 2 2 2 2 2 21 5 10" xfId="11850" xr:uid="{932C4281-3CBD-42A5-AA90-E86F6DAB5EBF}"/>
    <cellStyle name="Normal 2 2 2 2 2 2 2 2 21 5 11" xfId="11851" xr:uid="{58D7B50B-312F-4ACA-BA04-52C65FBC82E8}"/>
    <cellStyle name="Normal 2 2 2 2 2 2 2 2 21 5 2" xfId="11852" xr:uid="{017CDCB0-F198-4ACB-BA72-92FC7703D66B}"/>
    <cellStyle name="Normal 2 2 2 2 2 2 2 2 21 5 2 10" xfId="11853" xr:uid="{68487D11-3B01-42AE-8185-F882693E2B07}"/>
    <cellStyle name="Normal 2 2 2 2 2 2 2 2 21 5 2 11" xfId="11854" xr:uid="{19A04BC2-7897-48AF-8EAE-ED649025E5BF}"/>
    <cellStyle name="Normal 2 2 2 2 2 2 2 2 21 5 2 2" xfId="11855" xr:uid="{DEC99F3D-1969-4FAE-ACC9-38D2A35632E2}"/>
    <cellStyle name="Normal 2 2 2 2 2 2 2 2 21 5 2 2 2" xfId="11856" xr:uid="{CCE311C4-ECF7-46B4-BB8E-DCE8C59B5206}"/>
    <cellStyle name="Normal 2 2 2 2 2 2 2 2 21 5 2 2 2 2" xfId="11857" xr:uid="{7125E553-EEEA-465D-B273-6A99634AE2B6}"/>
    <cellStyle name="Normal 2 2 2 2 2 2 2 2 21 5 2 2 2 3" xfId="11858" xr:uid="{9F767DCE-42E5-41E0-BE39-87D4F7FD7B6A}"/>
    <cellStyle name="Normal 2 2 2 2 2 2 2 2 21 5 2 2 2 4" xfId="11859" xr:uid="{C2D156B0-95EE-4659-8BD0-42722ED140F9}"/>
    <cellStyle name="Normal 2 2 2 2 2 2 2 2 21 5 2 2 3" xfId="11860" xr:uid="{7212B31F-0364-4318-85EF-6C3D1A9BA06B}"/>
    <cellStyle name="Normal 2 2 2 2 2 2 2 2 21 5 2 2 4" xfId="11861" xr:uid="{3E18E01F-A6FC-4502-B982-0A15D05D65A4}"/>
    <cellStyle name="Normal 2 2 2 2 2 2 2 2 21 5 2 2 5" xfId="11862" xr:uid="{0256A916-E0C3-4513-B4E8-8E97B646188C}"/>
    <cellStyle name="Normal 2 2 2 2 2 2 2 2 21 5 2 2 6" xfId="11863" xr:uid="{F7EE16AD-330B-43F8-8229-12012A1BB5F2}"/>
    <cellStyle name="Normal 2 2 2 2 2 2 2 2 21 5 2 3" xfId="11864" xr:uid="{04BE38BC-DCF2-4B91-97CE-5AA839620732}"/>
    <cellStyle name="Normal 2 2 2 2 2 2 2 2 21 5 2 4" xfId="11865" xr:uid="{77E4C0C9-7D71-4C3F-9E3E-36D7250EF584}"/>
    <cellStyle name="Normal 2 2 2 2 2 2 2 2 21 5 2 5" xfId="11866" xr:uid="{CD3B39FF-2754-4BE9-A0A2-B942AA03ED29}"/>
    <cellStyle name="Normal 2 2 2 2 2 2 2 2 21 5 2 6" xfId="11867" xr:uid="{EA041CE7-1427-4BA8-98E4-DD78FFC90AAC}"/>
    <cellStyle name="Normal 2 2 2 2 2 2 2 2 21 5 2 7" xfId="11868" xr:uid="{1FF954E0-D8D3-432C-83C2-B98CDE47E851}"/>
    <cellStyle name="Normal 2 2 2 2 2 2 2 2 21 5 2 8" xfId="11869" xr:uid="{75018667-2607-4C5C-BC43-727DA27D826E}"/>
    <cellStyle name="Normal 2 2 2 2 2 2 2 2 21 5 2 8 2" xfId="11870" xr:uid="{1B5D44F1-29B1-498F-911A-96A4FCA7A9AE}"/>
    <cellStyle name="Normal 2 2 2 2 2 2 2 2 21 5 2 8 3" xfId="11871" xr:uid="{7513E036-DD5D-4FB3-B0BA-705C6B7C9310}"/>
    <cellStyle name="Normal 2 2 2 2 2 2 2 2 21 5 2 8 4" xfId="11872" xr:uid="{9AF7C56C-5916-428E-ACEE-1973B3535B15}"/>
    <cellStyle name="Normal 2 2 2 2 2 2 2 2 21 5 2 9" xfId="11873" xr:uid="{EC1B32DC-81FF-4661-BBD3-E37244522E98}"/>
    <cellStyle name="Normal 2 2 2 2 2 2 2 2 21 5 3" xfId="11874" xr:uid="{1E136558-3371-433B-9E51-36CA05417E34}"/>
    <cellStyle name="Normal 2 2 2 2 2 2 2 2 21 5 3 2" xfId="11875" xr:uid="{E36E8F6E-4C07-4B59-8103-399902B554FF}"/>
    <cellStyle name="Normal 2 2 2 2 2 2 2 2 21 5 3 2 2" xfId="11876" xr:uid="{EEED402B-E790-495C-B088-723D4FCE362A}"/>
    <cellStyle name="Normal 2 2 2 2 2 2 2 2 21 5 3 2 3" xfId="11877" xr:uid="{D482310F-561B-42F3-ABE4-409A31D9B81C}"/>
    <cellStyle name="Normal 2 2 2 2 2 2 2 2 21 5 3 2 4" xfId="11878" xr:uid="{284F198A-FB7C-47D8-8972-D3147256D364}"/>
    <cellStyle name="Normal 2 2 2 2 2 2 2 2 21 5 3 3" xfId="11879" xr:uid="{6CBA3F6B-D700-4A58-8873-88AE97063851}"/>
    <cellStyle name="Normal 2 2 2 2 2 2 2 2 21 5 3 4" xfId="11880" xr:uid="{7D6869C6-C99A-4683-95CE-A9CCA9FA67B7}"/>
    <cellStyle name="Normal 2 2 2 2 2 2 2 2 21 5 3 5" xfId="11881" xr:uid="{34F47DC3-1125-40EA-9541-0FACA2522048}"/>
    <cellStyle name="Normal 2 2 2 2 2 2 2 2 21 5 3 6" xfId="11882" xr:uid="{B1827341-695B-4E88-AAB6-E24EA5B88F69}"/>
    <cellStyle name="Normal 2 2 2 2 2 2 2 2 21 5 4" xfId="11883" xr:uid="{F3BC2570-61EC-422A-8BB0-4116604675FF}"/>
    <cellStyle name="Normal 2 2 2 2 2 2 2 2 21 5 5" xfId="11884" xr:uid="{F372DAD4-0BB7-442C-AE6E-0B48DD63816A}"/>
    <cellStyle name="Normal 2 2 2 2 2 2 2 2 21 5 6" xfId="11885" xr:uid="{C1944E7D-9C12-4922-9764-BC445BF21A1B}"/>
    <cellStyle name="Normal 2 2 2 2 2 2 2 2 21 5 7" xfId="11886" xr:uid="{11DD9EA2-C89E-42C4-8A0E-A884C80281E4}"/>
    <cellStyle name="Normal 2 2 2 2 2 2 2 2 21 5 8" xfId="11887" xr:uid="{D22A1E37-88D1-42BE-88D5-1EB22B6B09A4}"/>
    <cellStyle name="Normal 2 2 2 2 2 2 2 2 21 5 8 2" xfId="11888" xr:uid="{964BC41A-606A-4215-A721-62FB2B70BA08}"/>
    <cellStyle name="Normal 2 2 2 2 2 2 2 2 21 5 8 3" xfId="11889" xr:uid="{22F50FBF-33A7-4252-90B6-5663FB6861A5}"/>
    <cellStyle name="Normal 2 2 2 2 2 2 2 2 21 5 8 4" xfId="11890" xr:uid="{06B2842A-993C-4548-BB36-59342A300797}"/>
    <cellStyle name="Normal 2 2 2 2 2 2 2 2 21 5 9" xfId="11891" xr:uid="{5E6C32C0-49B6-44B0-9DE1-B5BA757A8BD3}"/>
    <cellStyle name="Normal 2 2 2 2 2 2 2 2 21 6" xfId="11892" xr:uid="{4F5076B8-9CB8-4E08-9A0F-EA46952DB478}"/>
    <cellStyle name="Normal 2 2 2 2 2 2 2 2 21 7" xfId="11893" xr:uid="{7A514C8D-AC84-4A0B-AEB6-44BAB414B464}"/>
    <cellStyle name="Normal 2 2 2 2 2 2 2 2 21 7 2" xfId="11894" xr:uid="{4751DE4A-BE63-4466-B65E-3638EBEE70E0}"/>
    <cellStyle name="Normal 2 2 2 2 2 2 2 2 21 7 2 2" xfId="11895" xr:uid="{23DCAA93-9BFD-4FCE-AA3C-EA742D7103D0}"/>
    <cellStyle name="Normal 2 2 2 2 2 2 2 2 21 7 2 3" xfId="11896" xr:uid="{BC723634-5A97-4703-B830-72A21AEC011D}"/>
    <cellStyle name="Normal 2 2 2 2 2 2 2 2 21 7 2 4" xfId="11897" xr:uid="{11413944-0762-4CB3-99B1-DB96FE49441A}"/>
    <cellStyle name="Normal 2 2 2 2 2 2 2 2 21 7 3" xfId="11898" xr:uid="{A6EBDDD4-3E26-4EF6-8E86-2313950619E1}"/>
    <cellStyle name="Normal 2 2 2 2 2 2 2 2 21 7 4" xfId="11899" xr:uid="{BAEDD40B-F846-4244-B75A-22A1B66C094C}"/>
    <cellStyle name="Normal 2 2 2 2 2 2 2 2 21 7 5" xfId="11900" xr:uid="{8567BDDA-6045-4C42-B86D-CA1C35D881D9}"/>
    <cellStyle name="Normal 2 2 2 2 2 2 2 2 21 7 6" xfId="11901" xr:uid="{86C2797C-2E0F-4879-B896-6EF7429A531C}"/>
    <cellStyle name="Normal 2 2 2 2 2 2 2 2 21 8" xfId="11902" xr:uid="{7B3C8B7C-BE20-43C7-8AA1-AD857FB81C4B}"/>
    <cellStyle name="Normal 2 2 2 2 2 2 2 2 21 9" xfId="11903" xr:uid="{6F70A420-8A92-4DCC-8D1D-48A399FD5A0C}"/>
    <cellStyle name="Normal 2 2 2 2 2 2 2 2 22" xfId="11904" xr:uid="{266C8B3B-D01A-4613-99F1-1E4DE6C5F849}"/>
    <cellStyle name="Normal 2 2 2 2 2 2 2 2 23" xfId="11905" xr:uid="{E2D9B91F-1F19-4746-A86B-17C1859483CD}"/>
    <cellStyle name="Normal 2 2 2 2 2 2 2 2 24" xfId="11906" xr:uid="{4601BEF0-8B02-4A07-BB46-73C22BA59A8C}"/>
    <cellStyle name="Normal 2 2 2 2 2 2 2 2 25" xfId="11907" xr:uid="{60B101B2-3659-4686-8771-072FBA72197D}"/>
    <cellStyle name="Normal 2 2 2 2 2 2 2 2 26" xfId="11908" xr:uid="{0DBAD33D-9BAB-4372-839B-1861B0D6FA9D}"/>
    <cellStyle name="Normal 2 2 2 2 2 2 2 2 27" xfId="11909" xr:uid="{D15B67A4-5492-4C96-A9CB-F3513FF302E5}"/>
    <cellStyle name="Normal 2 2 2 2 2 2 2 2 28" xfId="11910" xr:uid="{40A38185-9B52-4E4F-B27C-0269248D0674}"/>
    <cellStyle name="Normal 2 2 2 2 2 2 2 2 29" xfId="11911" xr:uid="{33958EB7-6166-480C-89AD-925A4DEB8404}"/>
    <cellStyle name="Normal 2 2 2 2 2 2 2 2 29 10" xfId="11912" xr:uid="{96B837DF-A7F1-4133-B1ED-138B731E9B41}"/>
    <cellStyle name="Normal 2 2 2 2 2 2 2 2 29 11" xfId="11913" xr:uid="{607B8AB3-93B0-42E3-AC3D-539C359BBBF9}"/>
    <cellStyle name="Normal 2 2 2 2 2 2 2 2 29 11 2" xfId="11914" xr:uid="{DC8071DD-16D6-408F-BF15-297E65156AFF}"/>
    <cellStyle name="Normal 2 2 2 2 2 2 2 2 29 11 3" xfId="11915" xr:uid="{9BB80C12-F409-4D55-971F-5D87977050CA}"/>
    <cellStyle name="Normal 2 2 2 2 2 2 2 2 29 11 4" xfId="11916" xr:uid="{7AAB998B-3C71-4C8D-978B-45FCA848FB11}"/>
    <cellStyle name="Normal 2 2 2 2 2 2 2 2 29 12" xfId="11917" xr:uid="{91428BA6-983B-494E-88EE-9D9BB1181AF2}"/>
    <cellStyle name="Normal 2 2 2 2 2 2 2 2 29 13" xfId="11918" xr:uid="{617BBE4B-0567-441F-BD02-AB0B6B47E7B2}"/>
    <cellStyle name="Normal 2 2 2 2 2 2 2 2 29 14" xfId="11919" xr:uid="{3125AF69-A6E2-4688-B8FA-26DA4F0362E9}"/>
    <cellStyle name="Normal 2 2 2 2 2 2 2 2 29 2" xfId="11920" xr:uid="{9532415C-61D2-4681-9478-DCA26CE56520}"/>
    <cellStyle name="Normal 2 2 2 2 2 2 2 2 29 2 10" xfId="11921" xr:uid="{CD98D899-6A38-4B93-8166-E1AFB0455287}"/>
    <cellStyle name="Normal 2 2 2 2 2 2 2 2 29 2 11" xfId="11922" xr:uid="{77F9BF36-B9DF-4721-9F54-D5C61FED5CB0}"/>
    <cellStyle name="Normal 2 2 2 2 2 2 2 2 29 2 2" xfId="11923" xr:uid="{2FA49441-7D03-49E2-837A-B86B0CF4D895}"/>
    <cellStyle name="Normal 2 2 2 2 2 2 2 2 29 2 2 10" xfId="11924" xr:uid="{C2D155F5-EE20-48E0-A083-5842A4528B73}"/>
    <cellStyle name="Normal 2 2 2 2 2 2 2 2 29 2 2 11" xfId="11925" xr:uid="{75F1A0BC-065D-4571-A30E-E1248BCC188E}"/>
    <cellStyle name="Normal 2 2 2 2 2 2 2 2 29 2 2 2" xfId="11926" xr:uid="{500FF1F9-BA82-44D8-827C-00692A9F5AAA}"/>
    <cellStyle name="Normal 2 2 2 2 2 2 2 2 29 2 2 2 2" xfId="11927" xr:uid="{34DAD0E7-4D3F-4096-87BA-53AD256CA991}"/>
    <cellStyle name="Normal 2 2 2 2 2 2 2 2 29 2 2 2 2 2" xfId="11928" xr:uid="{73BDEF0E-C158-4AB0-A38D-E563474A8FB6}"/>
    <cellStyle name="Normal 2 2 2 2 2 2 2 2 29 2 2 2 2 3" xfId="11929" xr:uid="{BD89A47B-17DA-4B57-8EE3-458F7911EB64}"/>
    <cellStyle name="Normal 2 2 2 2 2 2 2 2 29 2 2 2 2 4" xfId="11930" xr:uid="{7A7CBB39-D8D3-4650-8BDC-4EE1223CDECC}"/>
    <cellStyle name="Normal 2 2 2 2 2 2 2 2 29 2 2 2 3" xfId="11931" xr:uid="{61CFC6D0-CAC9-4D23-A93B-6BDEF5205CF9}"/>
    <cellStyle name="Normal 2 2 2 2 2 2 2 2 29 2 2 2 4" xfId="11932" xr:uid="{14F73409-760A-45BB-9A72-070699612F7D}"/>
    <cellStyle name="Normal 2 2 2 2 2 2 2 2 29 2 2 2 5" xfId="11933" xr:uid="{EA0D020F-03FE-47AE-BF65-B98B693B47C3}"/>
    <cellStyle name="Normal 2 2 2 2 2 2 2 2 29 2 2 2 6" xfId="11934" xr:uid="{27A85470-12F1-4A21-81E4-BA2679919BDB}"/>
    <cellStyle name="Normal 2 2 2 2 2 2 2 2 29 2 2 3" xfId="11935" xr:uid="{461AC465-2D6D-4DDF-BA8D-18E516582F46}"/>
    <cellStyle name="Normal 2 2 2 2 2 2 2 2 29 2 2 4" xfId="11936" xr:uid="{7078E0A8-3F84-422B-817D-AE8D066B92B2}"/>
    <cellStyle name="Normal 2 2 2 2 2 2 2 2 29 2 2 5" xfId="11937" xr:uid="{FFCC5017-6AA4-4326-8F22-68A8F61474AE}"/>
    <cellStyle name="Normal 2 2 2 2 2 2 2 2 29 2 2 6" xfId="11938" xr:uid="{92FBBF05-E51F-4B59-B65E-E4D77A1A892B}"/>
    <cellStyle name="Normal 2 2 2 2 2 2 2 2 29 2 2 7" xfId="11939" xr:uid="{EED84707-8D15-4360-B404-102D08E8575F}"/>
    <cellStyle name="Normal 2 2 2 2 2 2 2 2 29 2 2 8" xfId="11940" xr:uid="{73D95FAE-C17B-4CB7-9A65-6822F75D0BC1}"/>
    <cellStyle name="Normal 2 2 2 2 2 2 2 2 29 2 2 8 2" xfId="11941" xr:uid="{EF66E041-4160-4C69-9CDB-C1734961FF1A}"/>
    <cellStyle name="Normal 2 2 2 2 2 2 2 2 29 2 2 8 3" xfId="11942" xr:uid="{2EA42964-E436-419C-994E-0A6775D18B76}"/>
    <cellStyle name="Normal 2 2 2 2 2 2 2 2 29 2 2 8 4" xfId="11943" xr:uid="{72480AEE-CE0A-4B11-8351-E3845BC2F6BD}"/>
    <cellStyle name="Normal 2 2 2 2 2 2 2 2 29 2 2 9" xfId="11944" xr:uid="{67A3CB69-0C4D-44B4-B805-3B3C0DE832AC}"/>
    <cellStyle name="Normal 2 2 2 2 2 2 2 2 29 2 3" xfId="11945" xr:uid="{43819C4A-D7D4-4AC5-8623-1CCDA0EC77EF}"/>
    <cellStyle name="Normal 2 2 2 2 2 2 2 2 29 2 3 2" xfId="11946" xr:uid="{FD1F3EE5-6152-4D62-BDE5-DB89EDBC8BC1}"/>
    <cellStyle name="Normal 2 2 2 2 2 2 2 2 29 2 3 2 2" xfId="11947" xr:uid="{E9D36C72-13BF-4591-AA92-0E8BA1E20221}"/>
    <cellStyle name="Normal 2 2 2 2 2 2 2 2 29 2 3 2 3" xfId="11948" xr:uid="{46FB25B2-F335-4096-A296-9EB5C9A61F73}"/>
    <cellStyle name="Normal 2 2 2 2 2 2 2 2 29 2 3 2 4" xfId="11949" xr:uid="{1C1F5D04-375E-45C7-8F35-32ECAEF4FFE2}"/>
    <cellStyle name="Normal 2 2 2 2 2 2 2 2 29 2 3 3" xfId="11950" xr:uid="{B0AE8ABB-36B7-4D3F-9A19-25DF3EEA33B8}"/>
    <cellStyle name="Normal 2 2 2 2 2 2 2 2 29 2 3 4" xfId="11951" xr:uid="{2E59F17F-CE9A-40DA-A77A-F5395CAF8E83}"/>
    <cellStyle name="Normal 2 2 2 2 2 2 2 2 29 2 3 5" xfId="11952" xr:uid="{705694F8-20C0-4EC0-980F-609062BC1AA2}"/>
    <cellStyle name="Normal 2 2 2 2 2 2 2 2 29 2 3 6" xfId="11953" xr:uid="{EA5D0B95-D1B8-4EA5-B9A8-362E8DE6C704}"/>
    <cellStyle name="Normal 2 2 2 2 2 2 2 2 29 2 4" xfId="11954" xr:uid="{C08186B4-B9AA-4990-9D03-5ABE8BEBEFD3}"/>
    <cellStyle name="Normal 2 2 2 2 2 2 2 2 29 2 5" xfId="11955" xr:uid="{48DF6F40-EF02-43B2-83F0-F9ECDA523C97}"/>
    <cellStyle name="Normal 2 2 2 2 2 2 2 2 29 2 6" xfId="11956" xr:uid="{30642631-1B3F-46C4-93EF-B0BD3D820E35}"/>
    <cellStyle name="Normal 2 2 2 2 2 2 2 2 29 2 7" xfId="11957" xr:uid="{C4D9BBEB-8308-4F48-A580-BE4A24B481D5}"/>
    <cellStyle name="Normal 2 2 2 2 2 2 2 2 29 2 8" xfId="11958" xr:uid="{50174F12-73DF-4658-869C-59F7456436F8}"/>
    <cellStyle name="Normal 2 2 2 2 2 2 2 2 29 2 8 2" xfId="11959" xr:uid="{DCC95105-CF94-412D-8FD5-AB538E4BC865}"/>
    <cellStyle name="Normal 2 2 2 2 2 2 2 2 29 2 8 3" xfId="11960" xr:uid="{428CEFEC-7786-4661-8806-BD8275C8D24A}"/>
    <cellStyle name="Normal 2 2 2 2 2 2 2 2 29 2 8 4" xfId="11961" xr:uid="{71A3A906-BD8E-4548-8F18-AB93AE7E935B}"/>
    <cellStyle name="Normal 2 2 2 2 2 2 2 2 29 2 9" xfId="11962" xr:uid="{645D29F9-4B1F-441D-943E-8881F0556277}"/>
    <cellStyle name="Normal 2 2 2 2 2 2 2 2 29 3" xfId="11963" xr:uid="{56AA65B1-7F9C-4637-B2D7-E6DA73495E92}"/>
    <cellStyle name="Normal 2 2 2 2 2 2 2 2 29 4" xfId="11964" xr:uid="{04CDCFD4-8EDE-4411-813D-97812D1585A5}"/>
    <cellStyle name="Normal 2 2 2 2 2 2 2 2 29 5" xfId="11965" xr:uid="{E2996F8C-AD31-4961-9349-F0C38BD3B755}"/>
    <cellStyle name="Normal 2 2 2 2 2 2 2 2 29 5 2" xfId="11966" xr:uid="{D22A4324-D388-4EE6-AB08-EC08C1533BF7}"/>
    <cellStyle name="Normal 2 2 2 2 2 2 2 2 29 5 2 2" xfId="11967" xr:uid="{8C6197AF-6E39-4D3D-8E3F-31C4EF05EA71}"/>
    <cellStyle name="Normal 2 2 2 2 2 2 2 2 29 5 2 3" xfId="11968" xr:uid="{C5771128-2B15-4635-AAB5-DF6D065B311B}"/>
    <cellStyle name="Normal 2 2 2 2 2 2 2 2 29 5 2 4" xfId="11969" xr:uid="{6593194F-2C49-473F-B493-C5AC80F783BD}"/>
    <cellStyle name="Normal 2 2 2 2 2 2 2 2 29 5 3" xfId="11970" xr:uid="{2D8419AF-4C80-4D6D-AC67-F3209EACB617}"/>
    <cellStyle name="Normal 2 2 2 2 2 2 2 2 29 5 4" xfId="11971" xr:uid="{AFD4C3D4-A877-47C3-80C6-E86451241B5B}"/>
    <cellStyle name="Normal 2 2 2 2 2 2 2 2 29 5 5" xfId="11972" xr:uid="{110240FB-AF85-413D-A876-C91173BD5569}"/>
    <cellStyle name="Normal 2 2 2 2 2 2 2 2 29 5 6" xfId="11973" xr:uid="{DD9AF579-93D4-483A-9830-3DFA5EA87753}"/>
    <cellStyle name="Normal 2 2 2 2 2 2 2 2 29 6" xfId="11974" xr:uid="{168BBC30-38F4-4525-8AFD-D299F482E24F}"/>
    <cellStyle name="Normal 2 2 2 2 2 2 2 2 29 7" xfId="11975" xr:uid="{BC967969-570D-4D81-85DC-177D7D3FA7C3}"/>
    <cellStyle name="Normal 2 2 2 2 2 2 2 2 29 8" xfId="11976" xr:uid="{FB3C70BA-BFF5-40A8-99CF-367F2DFD94B7}"/>
    <cellStyle name="Normal 2 2 2 2 2 2 2 2 29 9" xfId="11977" xr:uid="{DE9BC237-BA05-4D72-933B-35B76B1D5A57}"/>
    <cellStyle name="Normal 2 2 2 2 2 2 2 2 3" xfId="11978" xr:uid="{42D47B82-7642-44A5-AF25-EDD4232388FA}"/>
    <cellStyle name="Normal 2 2 2 2 2 2 2 2 30" xfId="11979" xr:uid="{24126560-E5EE-429B-B4EF-959B6B868BBC}"/>
    <cellStyle name="Normal 2 2 2 2 2 2 2 2 31" xfId="11980" xr:uid="{01C684EE-B097-42F8-B530-09A9CE238F4E}"/>
    <cellStyle name="Normal 2 2 2 2 2 2 2 2 31 10" xfId="11981" xr:uid="{98ABD314-429F-46FC-AB53-569DB04863F9}"/>
    <cellStyle name="Normal 2 2 2 2 2 2 2 2 31 11" xfId="11982" xr:uid="{C5AC8465-E7EC-4B17-AE3E-C091604F8061}"/>
    <cellStyle name="Normal 2 2 2 2 2 2 2 2 31 2" xfId="11983" xr:uid="{77D29B43-6C04-4A3B-9D2E-8B768FA124C1}"/>
    <cellStyle name="Normal 2 2 2 2 2 2 2 2 31 2 10" xfId="11984" xr:uid="{5BBCE4C6-4CC5-4FA6-B44B-A3BF37E3419D}"/>
    <cellStyle name="Normal 2 2 2 2 2 2 2 2 31 2 11" xfId="11985" xr:uid="{541C4779-82A4-4A80-A416-8ADDCCD2F624}"/>
    <cellStyle name="Normal 2 2 2 2 2 2 2 2 31 2 2" xfId="11986" xr:uid="{161DFDB1-EC0C-4EC5-B527-D8B33DEAD2FB}"/>
    <cellStyle name="Normal 2 2 2 2 2 2 2 2 31 2 2 2" xfId="11987" xr:uid="{6493321F-E721-4C27-AD1A-21D36DF39B1D}"/>
    <cellStyle name="Normal 2 2 2 2 2 2 2 2 31 2 2 2 2" xfId="11988" xr:uid="{F36C32C5-4337-4F0F-96EB-A6C6D6ED8735}"/>
    <cellStyle name="Normal 2 2 2 2 2 2 2 2 31 2 2 2 3" xfId="11989" xr:uid="{124F10EE-A551-4364-B763-9FE3DB41F7C6}"/>
    <cellStyle name="Normal 2 2 2 2 2 2 2 2 31 2 2 2 4" xfId="11990" xr:uid="{5BC7E1B6-858D-46D1-BAE7-D6B393F1FAB5}"/>
    <cellStyle name="Normal 2 2 2 2 2 2 2 2 31 2 2 3" xfId="11991" xr:uid="{ADB2C983-C931-454A-897C-F61EF9048A88}"/>
    <cellStyle name="Normal 2 2 2 2 2 2 2 2 31 2 2 4" xfId="11992" xr:uid="{E0AA2255-2B71-453D-832A-09249052ED85}"/>
    <cellStyle name="Normal 2 2 2 2 2 2 2 2 31 2 2 5" xfId="11993" xr:uid="{EE1AF783-365C-4866-8B37-5961971804E2}"/>
    <cellStyle name="Normal 2 2 2 2 2 2 2 2 31 2 2 6" xfId="11994" xr:uid="{B255EBE4-895E-4E47-95C9-D473F1D034FE}"/>
    <cellStyle name="Normal 2 2 2 2 2 2 2 2 31 2 3" xfId="11995" xr:uid="{09E2FBEA-D1E6-46A3-83BB-2E63B9B2F231}"/>
    <cellStyle name="Normal 2 2 2 2 2 2 2 2 31 2 4" xfId="11996" xr:uid="{C70BC128-21EB-4A6F-8877-A058BAFB5CED}"/>
    <cellStyle name="Normal 2 2 2 2 2 2 2 2 31 2 5" xfId="11997" xr:uid="{B20C221B-DF7C-4288-AA2E-EA1545469A08}"/>
    <cellStyle name="Normal 2 2 2 2 2 2 2 2 31 2 6" xfId="11998" xr:uid="{0099F6CC-32A9-4824-BAF8-2E9212F5FBC7}"/>
    <cellStyle name="Normal 2 2 2 2 2 2 2 2 31 2 7" xfId="11999" xr:uid="{62737C57-82E9-49AE-825F-8F4D8FF24E00}"/>
    <cellStyle name="Normal 2 2 2 2 2 2 2 2 31 2 8" xfId="12000" xr:uid="{1CFD534A-96FF-4419-913C-D0AF87B6F926}"/>
    <cellStyle name="Normal 2 2 2 2 2 2 2 2 31 2 8 2" xfId="12001" xr:uid="{4B086399-0618-4871-AC77-F177B280D3D3}"/>
    <cellStyle name="Normal 2 2 2 2 2 2 2 2 31 2 8 3" xfId="12002" xr:uid="{8B9F7DDD-50F1-4FE2-BE34-AC739D0991FC}"/>
    <cellStyle name="Normal 2 2 2 2 2 2 2 2 31 2 8 4" xfId="12003" xr:uid="{439E54D8-2345-4A32-80A5-8FCF66FEA19E}"/>
    <cellStyle name="Normal 2 2 2 2 2 2 2 2 31 2 9" xfId="12004" xr:uid="{473EA512-6DCD-4F7B-97C1-ED1C6A7A8F8B}"/>
    <cellStyle name="Normal 2 2 2 2 2 2 2 2 31 3" xfId="12005" xr:uid="{AE93B729-4301-42CA-92C1-D0AC30987AE4}"/>
    <cellStyle name="Normal 2 2 2 2 2 2 2 2 31 3 2" xfId="12006" xr:uid="{A657A17A-15C7-40BC-872F-7C199CFFC12D}"/>
    <cellStyle name="Normal 2 2 2 2 2 2 2 2 31 3 2 2" xfId="12007" xr:uid="{CF5DFA0C-5EB8-416C-93B3-6DA01AA22891}"/>
    <cellStyle name="Normal 2 2 2 2 2 2 2 2 31 3 2 3" xfId="12008" xr:uid="{66C20C61-EFCF-45B3-9A71-D949B2C46093}"/>
    <cellStyle name="Normal 2 2 2 2 2 2 2 2 31 3 2 4" xfId="12009" xr:uid="{B318C7E5-25D0-4AA4-92D6-AAC2561399A0}"/>
    <cellStyle name="Normal 2 2 2 2 2 2 2 2 31 3 3" xfId="12010" xr:uid="{AAB2FA0D-4B1E-4028-BFE2-6E6B8114FD2E}"/>
    <cellStyle name="Normal 2 2 2 2 2 2 2 2 31 3 4" xfId="12011" xr:uid="{2FE8B13B-F677-45B2-A2F7-018A1C2484B2}"/>
    <cellStyle name="Normal 2 2 2 2 2 2 2 2 31 3 5" xfId="12012" xr:uid="{C12CACF8-F431-4678-8D72-9F56142E9219}"/>
    <cellStyle name="Normal 2 2 2 2 2 2 2 2 31 3 6" xfId="12013" xr:uid="{1752C78C-7EDB-4A9C-B800-9E489905D4FF}"/>
    <cellStyle name="Normal 2 2 2 2 2 2 2 2 31 4" xfId="12014" xr:uid="{235164F4-EBB7-4AEA-B683-4C8FC69D8690}"/>
    <cellStyle name="Normal 2 2 2 2 2 2 2 2 31 5" xfId="12015" xr:uid="{CA283E74-35AD-4FD4-87D1-0BF8C224AA62}"/>
    <cellStyle name="Normal 2 2 2 2 2 2 2 2 31 6" xfId="12016" xr:uid="{662588A1-25EA-49CE-9FA2-B07E74A798C8}"/>
    <cellStyle name="Normal 2 2 2 2 2 2 2 2 31 7" xfId="12017" xr:uid="{9EEBFCB8-4A51-48A0-969B-E56F120AC64D}"/>
    <cellStyle name="Normal 2 2 2 2 2 2 2 2 31 8" xfId="12018" xr:uid="{B2FA1F07-37FD-46F3-B48B-CEE9E0079BEE}"/>
    <cellStyle name="Normal 2 2 2 2 2 2 2 2 31 8 2" xfId="12019" xr:uid="{65623AA2-BC7E-4E7D-8041-CF31971E0214}"/>
    <cellStyle name="Normal 2 2 2 2 2 2 2 2 31 8 3" xfId="12020" xr:uid="{7EADF76B-B99F-4E4D-BE4E-F79750FC764B}"/>
    <cellStyle name="Normal 2 2 2 2 2 2 2 2 31 8 4" xfId="12021" xr:uid="{585B81AC-8530-4AA5-A190-C26D288342EB}"/>
    <cellStyle name="Normal 2 2 2 2 2 2 2 2 31 9" xfId="12022" xr:uid="{E07413E0-768C-4D60-A3CF-1306B7DF848F}"/>
    <cellStyle name="Normal 2 2 2 2 2 2 2 2 32" xfId="12023" xr:uid="{B6425693-7DC9-4DF8-8195-AF7F5609418A}"/>
    <cellStyle name="Normal 2 2 2 2 2 2 2 2 33" xfId="12024" xr:uid="{FF0B4A13-1A11-4B27-84E7-082FD824E7DA}"/>
    <cellStyle name="Normal 2 2 2 2 2 2 2 2 33 2" xfId="12025" xr:uid="{7E570641-1E8F-4191-A95A-3DAD03B3806A}"/>
    <cellStyle name="Normal 2 2 2 2 2 2 2 2 33 2 2" xfId="12026" xr:uid="{0D7C7AE7-C652-4DC2-81BA-CDF58FC7E0B8}"/>
    <cellStyle name="Normal 2 2 2 2 2 2 2 2 33 2 3" xfId="12027" xr:uid="{3872F66F-8108-4008-BF8C-6D89E764854B}"/>
    <cellStyle name="Normal 2 2 2 2 2 2 2 2 33 2 4" xfId="12028" xr:uid="{9A0B8E02-C0DA-49E6-B07F-0EAFA3E88813}"/>
    <cellStyle name="Normal 2 2 2 2 2 2 2 2 33 3" xfId="12029" xr:uid="{BE51E424-5D3F-441F-8066-20305F5B4882}"/>
    <cellStyle name="Normal 2 2 2 2 2 2 2 2 33 4" xfId="12030" xr:uid="{3421911D-7E50-45D3-8C87-B8C3FB43028E}"/>
    <cellStyle name="Normal 2 2 2 2 2 2 2 2 33 5" xfId="12031" xr:uid="{B74A9521-70AA-4BF5-A6B3-9DBE37269907}"/>
    <cellStyle name="Normal 2 2 2 2 2 2 2 2 33 6" xfId="12032" xr:uid="{5A8812BE-646F-437F-BF18-48CABF39F8BE}"/>
    <cellStyle name="Normal 2 2 2 2 2 2 2 2 34" xfId="12033" xr:uid="{45A1AA38-486D-48CA-8672-67993141E013}"/>
    <cellStyle name="Normal 2 2 2 2 2 2 2 2 35" xfId="12034" xr:uid="{A7077521-25F8-4733-86A3-BD9E37051DB0}"/>
    <cellStyle name="Normal 2 2 2 2 2 2 2 2 36" xfId="12035" xr:uid="{EAF8048D-4B5B-462A-8FCF-6E8637BA6D6D}"/>
    <cellStyle name="Normal 2 2 2 2 2 2 2 2 37" xfId="12036" xr:uid="{A8F7CBAC-8037-48EF-B70C-9B26255343ED}"/>
    <cellStyle name="Normal 2 2 2 2 2 2 2 2 38" xfId="12037" xr:uid="{C2BB7BEE-5AF2-4E03-A96B-AE15B058315C}"/>
    <cellStyle name="Normal 2 2 2 2 2 2 2 2 39" xfId="12038" xr:uid="{5A8F3BEA-3C84-4512-A399-B1F5F9545565}"/>
    <cellStyle name="Normal 2 2 2 2 2 2 2 2 39 2" xfId="12039" xr:uid="{48433CE0-74FE-445A-9163-3B297998CC34}"/>
    <cellStyle name="Normal 2 2 2 2 2 2 2 2 39 3" xfId="12040" xr:uid="{0AC68E54-FEED-4BCA-9760-7728C0D35AC9}"/>
    <cellStyle name="Normal 2 2 2 2 2 2 2 2 39 4" xfId="12041" xr:uid="{4A28AA88-9B37-4F74-AC94-1241E5A00E08}"/>
    <cellStyle name="Normal 2 2 2 2 2 2 2 2 4" xfId="12042" xr:uid="{358D2479-7C10-4C6F-A408-966F5B6A7416}"/>
    <cellStyle name="Normal 2 2 2 2 2 2 2 2 40" xfId="12043" xr:uid="{4E399B9E-0E8E-4183-95C3-A051D8B49DC4}"/>
    <cellStyle name="Normal 2 2 2 2 2 2 2 2 41" xfId="12044" xr:uid="{9EA6A129-56DE-4EAE-A6F4-4F12D9D5A298}"/>
    <cellStyle name="Normal 2 2 2 2 2 2 2 2 42" xfId="12045" xr:uid="{48384984-8C24-4E24-9D38-EA56F6D52AB6}"/>
    <cellStyle name="Normal 2 2 2 2 2 2 2 2 43" xfId="12046" xr:uid="{C8C192CA-45AD-49F6-8288-E485D9BF7479}"/>
    <cellStyle name="Normal 2 2 2 2 2 2 2 2 44" xfId="12047" xr:uid="{6F7345B6-30DD-4862-8ECE-DE2F30E8AA21}"/>
    <cellStyle name="Normal 2 2 2 2 2 2 2 2 45" xfId="12048" xr:uid="{3EDB4D81-5D0D-4C47-8C5F-E2E2C2274A67}"/>
    <cellStyle name="Normal 2 2 2 2 2 2 2 2 46" xfId="12049" xr:uid="{8A3931B8-504A-4801-A472-16010AE7D8DC}"/>
    <cellStyle name="Normal 2 2 2 2 2 2 2 2 47" xfId="12050" xr:uid="{B29000F6-F65D-4A9C-BAF4-9626F49E2AB9}"/>
    <cellStyle name="Normal 2 2 2 2 2 2 2 2 48" xfId="12051" xr:uid="{20BF0EEB-C8C3-4BF1-9DD9-675241AF730C}"/>
    <cellStyle name="Normal 2 2 2 2 2 2 2 2 49" xfId="12052" xr:uid="{6F6987E6-7A2C-4D0B-A705-A5CAC78AC60F}"/>
    <cellStyle name="Normal 2 2 2 2 2 2 2 2 5" xfId="12053" xr:uid="{C7A404DC-4C3F-45FC-B10D-C6E8448E096E}"/>
    <cellStyle name="Normal 2 2 2 2 2 2 2 2 50" xfId="12054" xr:uid="{18BE909F-6AD4-455C-B622-6C2F5796A58F}"/>
    <cellStyle name="Normal 2 2 2 2 2 2 2 2 51" xfId="12055" xr:uid="{93FC7B66-CFF6-4B1B-AF51-7F2E20C59E55}"/>
    <cellStyle name="Normal 2 2 2 2 2 2 2 2 52" xfId="12056" xr:uid="{FB282096-CCAC-4A53-A696-1FFE1EDCE7FE}"/>
    <cellStyle name="Normal 2 2 2 2 2 2 2 2 53" xfId="12057" xr:uid="{C1FD2D9F-8880-47C4-A516-8B3A1A6B23FD}"/>
    <cellStyle name="Normal 2 2 2 2 2 2 2 2 54" xfId="12058" xr:uid="{96347D6F-DD37-406C-8657-02EEA06F2AB1}"/>
    <cellStyle name="Normal 2 2 2 2 2 2 2 2 54 2" xfId="12059" xr:uid="{0656D4BC-3178-4865-81AF-0EC35C339656}"/>
    <cellStyle name="Normal 2 2 2 2 2 2 2 2 54 3" xfId="12060" xr:uid="{5EDB11F9-78EE-45F7-91FA-710B710EF92E}"/>
    <cellStyle name="Normal 2 2 2 2 2 2 2 2 54 4" xfId="12061" xr:uid="{91C40226-0C2E-4F6D-9C57-2C306E2D4712}"/>
    <cellStyle name="Normal 2 2 2 2 2 2 2 2 54 5" xfId="12062" xr:uid="{DD163EE3-F141-4FAE-916F-00331FA9048C}"/>
    <cellStyle name="Normal 2 2 2 2 2 2 2 2 54 6" xfId="12063" xr:uid="{11FBC2FE-E73F-4856-938F-86991797D58F}"/>
    <cellStyle name="Normal 2 2 2 2 2 2 2 2 54 7" xfId="12064" xr:uid="{B45403D6-B2B8-4FAA-A9A2-72BB68C9BFCA}"/>
    <cellStyle name="Normal 2 2 2 2 2 2 2 2 55" xfId="12065" xr:uid="{851D7837-F5C8-4DC3-B9A5-D7A9C73BC36E}"/>
    <cellStyle name="Normal 2 2 2 2 2 2 2 2 56" xfId="12066" xr:uid="{2F0E38F8-D635-4C04-8536-49582049985C}"/>
    <cellStyle name="Normal 2 2 2 2 2 2 2 2 57" xfId="12067" xr:uid="{CA595F06-CEE9-4C24-BA24-A61DC009C541}"/>
    <cellStyle name="Normal 2 2 2 2 2 2 2 2 58" xfId="12068" xr:uid="{C9F8AF2A-CC75-40A7-B28C-34E97373ED55}"/>
    <cellStyle name="Normal 2 2 2 2 2 2 2 2 59" xfId="12069" xr:uid="{67836303-3472-4BA3-8347-0976D5768C0E}"/>
    <cellStyle name="Normal 2 2 2 2 2 2 2 2 6" xfId="12070" xr:uid="{8A5D19FB-5640-4E43-9814-359E089288D9}"/>
    <cellStyle name="Normal 2 2 2 2 2 2 2 2 60" xfId="12071" xr:uid="{E4A8A468-EF8B-402A-9686-5272EB683B72}"/>
    <cellStyle name="Normal 2 2 2 2 2 2 2 2 61" xfId="12072" xr:uid="{6E57C46C-3DEB-45D2-B551-FDE0528DFA27}"/>
    <cellStyle name="Normal 2 2 2 2 2 2 2 2 62" xfId="12073" xr:uid="{B8AD006D-2A9F-4F48-9B80-B3562DCDBEFE}"/>
    <cellStyle name="Normal 2 2 2 2 2 2 2 2 63" xfId="12074" xr:uid="{247B002B-0548-4269-A214-AB5D58EB6CA8}"/>
    <cellStyle name="Normal 2 2 2 2 2 2 2 2 64" xfId="12075" xr:uid="{D4300790-1CCB-4B3D-B04E-E7CC10679B86}"/>
    <cellStyle name="Normal 2 2 2 2 2 2 2 2 65" xfId="12076" xr:uid="{7466FAA5-D670-450D-A979-06387C0AF7CF}"/>
    <cellStyle name="Normal 2 2 2 2 2 2 2 2 66" xfId="12077" xr:uid="{E63BB395-9F8C-40ED-8ADF-5CC443EDED1A}"/>
    <cellStyle name="Normal 2 2 2 2 2 2 2 2 67" xfId="12078" xr:uid="{30994067-5907-4F24-9EB7-939C1417B8EA}"/>
    <cellStyle name="Normal 2 2 2 2 2 2 2 2 68" xfId="12079" xr:uid="{7E99ECC6-422B-49B2-AB20-9A023C927925}"/>
    <cellStyle name="Normal 2 2 2 2 2 2 2 2 69" xfId="12080" xr:uid="{9B28852E-5F8A-4BDE-AF8B-CF7505E338F5}"/>
    <cellStyle name="Normal 2 2 2 2 2 2 2 2 7" xfId="12081" xr:uid="{C5FEB022-C243-4B7B-B6BE-812D85BD89AB}"/>
    <cellStyle name="Normal 2 2 2 2 2 2 2 2 70" xfId="12082" xr:uid="{5337ECCC-0025-4CDE-92AB-CD8EA1310C18}"/>
    <cellStyle name="Normal 2 2 2 2 2 2 2 2 71" xfId="12083" xr:uid="{0563BA89-589D-488F-8228-9C71D9962829}"/>
    <cellStyle name="Normal 2 2 2 2 2 2 2 2 72" xfId="12084" xr:uid="{4E9FE5A9-FBE5-42EF-8BAB-BBA73B67FCF7}"/>
    <cellStyle name="Normal 2 2 2 2 2 2 2 2 73" xfId="12085" xr:uid="{27E1F19C-5AB2-4180-80B1-BB7D3E4A61FA}"/>
    <cellStyle name="Normal 2 2 2 2 2 2 2 2 74" xfId="12086" xr:uid="{A746DA81-AA2C-4EF4-BB08-CF01BD786CC4}"/>
    <cellStyle name="Normal 2 2 2 2 2 2 2 2 75" xfId="12087" xr:uid="{A487A917-9405-4C23-BE0E-0807A9399C4A}"/>
    <cellStyle name="Normal 2 2 2 2 2 2 2 2 76" xfId="12088" xr:uid="{404C44CD-5B7D-4B47-B5A0-7FE06C3B2D6D}"/>
    <cellStyle name="Normal 2 2 2 2 2 2 2 2 77" xfId="12089" xr:uid="{078233D0-7CD8-486E-A031-22559EBFB045}"/>
    <cellStyle name="Normal 2 2 2 2 2 2 2 2 78" xfId="12090" xr:uid="{37B0B717-81EE-4296-89FA-57595320B07D}"/>
    <cellStyle name="Normal 2 2 2 2 2 2 2 2 79" xfId="12091" xr:uid="{366E3E31-FBF3-41C8-A1D6-9B120E7851AB}"/>
    <cellStyle name="Normal 2 2 2 2 2 2 2 2 8" xfId="12092" xr:uid="{D6B2427E-F66D-4C3A-BC78-C77DFB2EF085}"/>
    <cellStyle name="Normal 2 2 2 2 2 2 2 2 80" xfId="12093" xr:uid="{2F552E95-8DE3-4222-8C09-AA21F3656E8A}"/>
    <cellStyle name="Normal 2 2 2 2 2 2 2 2 81" xfId="12094" xr:uid="{E2B938DF-8354-43DA-9634-466F6C69F306}"/>
    <cellStyle name="Normal 2 2 2 2 2 2 2 2 82" xfId="12095" xr:uid="{1EB03AA4-7FEB-41CA-BC74-0D9482CAAF9F}"/>
    <cellStyle name="Normal 2 2 2 2 2 2 2 2 83" xfId="12096" xr:uid="{D747D1FC-83F1-465D-82D2-448DAD18BE27}"/>
    <cellStyle name="Normal 2 2 2 2 2 2 2 2 84" xfId="12097" xr:uid="{F57DD6ED-76BA-4E64-9DA3-7A3DC7DBF24F}"/>
    <cellStyle name="Normal 2 2 2 2 2 2 2 2 85" xfId="12098" xr:uid="{03D2DB4C-A557-49D6-9E3C-0908E9F1A9BC}"/>
    <cellStyle name="Normal 2 2 2 2 2 2 2 2 86" xfId="12099" xr:uid="{5EE64680-EBFD-4B1E-8DC8-EB6672E346D4}"/>
    <cellStyle name="Normal 2 2 2 2 2 2 2 2 87" xfId="12100" xr:uid="{CF01AA34-C9EE-48EB-A65E-6A7DF6E2930A}"/>
    <cellStyle name="Normal 2 2 2 2 2 2 2 2 88" xfId="12101" xr:uid="{667B8DD6-2FFC-479B-B4DA-CD97420B5C5D}"/>
    <cellStyle name="Normal 2 2 2 2 2 2 2 2 89" xfId="12102" xr:uid="{74B5FF71-E6B9-48EA-9F05-4C7FF9BA320C}"/>
    <cellStyle name="Normal 2 2 2 2 2 2 2 2 9" xfId="12103" xr:uid="{3379F345-76B1-41FC-8E31-DD16CA7AC01E}"/>
    <cellStyle name="Normal 2 2 2 2 2 2 2 2 90" xfId="12104" xr:uid="{F7BBA7D3-2FD4-40F0-967E-67975ED63364}"/>
    <cellStyle name="Normal 2 2 2 2 2 2 2 2 91" xfId="12105" xr:uid="{AA64C706-BC51-4DEA-8AFA-591439F80A34}"/>
    <cellStyle name="Normal 2 2 2 2 2 2 2 2 92" xfId="12106" xr:uid="{242674C1-5889-4A9F-AC25-F90E53D92342}"/>
    <cellStyle name="Normal 2 2 2 2 2 2 2 2 93" xfId="12107" xr:uid="{D6CFB4CC-CE6A-400C-9997-63CDD6287AA9}"/>
    <cellStyle name="Normal 2 2 2 2 2 2 2 2 94" xfId="12108" xr:uid="{5F047E6A-C31C-4293-B400-0D83DECB9650}"/>
    <cellStyle name="Normal 2 2 2 2 2 2 2 2 95" xfId="12109" xr:uid="{7D3A492E-6A82-4E2B-9364-B481B326EB9D}"/>
    <cellStyle name="Normal 2 2 2 2 2 2 2 2 96" xfId="12110" xr:uid="{EA86F67F-8B8B-4F14-B661-A3D3AE9BC4A9}"/>
    <cellStyle name="Normal 2 2 2 2 2 2 2 2 97" xfId="12111" xr:uid="{8509EA59-DFFA-4FD2-95F7-EC92F1ADAA63}"/>
    <cellStyle name="Normal 2 2 2 2 2 2 2 2 98" xfId="12112" xr:uid="{CFAC38B6-62F8-438B-80F7-9418E503FC32}"/>
    <cellStyle name="Normal 2 2 2 2 2 2 2 2 99" xfId="12113" xr:uid="{603CDA55-A624-49BB-B6FE-E24CAF2DFB04}"/>
    <cellStyle name="Normal 2 2 2 2 2 2 2 20" xfId="12114" xr:uid="{4655B7E6-9A35-42B6-BE43-80BE0D3D8294}"/>
    <cellStyle name="Normal 2 2 2 2 2 2 2 20 10" xfId="12115" xr:uid="{BFD3F3DE-CDC6-4966-A304-720E4E1C63F5}"/>
    <cellStyle name="Normal 2 2 2 2 2 2 2 20 11" xfId="12116" xr:uid="{3845ECDB-76EF-4533-BFB0-59F5BA915076}"/>
    <cellStyle name="Normal 2 2 2 2 2 2 2 20 11 10" xfId="12117" xr:uid="{E55B0D25-6CED-4271-9BB9-2AD6FDD74B1A}"/>
    <cellStyle name="Normal 2 2 2 2 2 2 2 20 11 11" xfId="12118" xr:uid="{2E893BA9-E6E0-4546-96FA-74C71B449F93}"/>
    <cellStyle name="Normal 2 2 2 2 2 2 2 20 11 11 2" xfId="12119" xr:uid="{D850F7C2-4E8A-478A-BE92-EA48848EF4BF}"/>
    <cellStyle name="Normal 2 2 2 2 2 2 2 20 11 11 3" xfId="12120" xr:uid="{4280F7AE-2B22-48D2-86A7-D47C00CB2C36}"/>
    <cellStyle name="Normal 2 2 2 2 2 2 2 20 11 11 4" xfId="12121" xr:uid="{9EFDD83E-426B-4CF1-A90F-37ED8B24A02D}"/>
    <cellStyle name="Normal 2 2 2 2 2 2 2 20 11 12" xfId="12122" xr:uid="{1735ECAA-8E03-4669-89A1-CA7BE2BBA489}"/>
    <cellStyle name="Normal 2 2 2 2 2 2 2 20 11 13" xfId="12123" xr:uid="{087E76B3-4839-4853-9592-32E2C3B3D64D}"/>
    <cellStyle name="Normal 2 2 2 2 2 2 2 20 11 14" xfId="12124" xr:uid="{EDC6651B-C765-44D5-A84D-7709BC3ED8D6}"/>
    <cellStyle name="Normal 2 2 2 2 2 2 2 20 11 2" xfId="12125" xr:uid="{BD70CE5B-743C-49D2-BA15-45E22D209A92}"/>
    <cellStyle name="Normal 2 2 2 2 2 2 2 20 11 2 10" xfId="12126" xr:uid="{00DD4D06-4B8F-4AC9-8E47-BD40244E8140}"/>
    <cellStyle name="Normal 2 2 2 2 2 2 2 20 11 2 11" xfId="12127" xr:uid="{28FE149E-B4F8-4665-983D-B56158A9BB4E}"/>
    <cellStyle name="Normal 2 2 2 2 2 2 2 20 11 2 2" xfId="12128" xr:uid="{D25F89CD-1BA0-45B4-AEB8-2E60D678DC33}"/>
    <cellStyle name="Normal 2 2 2 2 2 2 2 20 11 2 2 10" xfId="12129" xr:uid="{7445308C-9DB0-4771-A7E6-05380541BDC3}"/>
    <cellStyle name="Normal 2 2 2 2 2 2 2 20 11 2 2 11" xfId="12130" xr:uid="{F61BEA1D-2A33-4512-848E-0C962213382C}"/>
    <cellStyle name="Normal 2 2 2 2 2 2 2 20 11 2 2 2" xfId="12131" xr:uid="{34CF7458-B68B-4F4B-8B29-22A1BC8AD5AD}"/>
    <cellStyle name="Normal 2 2 2 2 2 2 2 20 11 2 2 2 2" xfId="12132" xr:uid="{7E421CBC-1F72-455A-84AD-702E8FAC7D15}"/>
    <cellStyle name="Normal 2 2 2 2 2 2 2 20 11 2 2 2 2 2" xfId="12133" xr:uid="{A3907D43-73A4-496C-9246-FB8A21DCEB96}"/>
    <cellStyle name="Normal 2 2 2 2 2 2 2 20 11 2 2 2 2 3" xfId="12134" xr:uid="{1A5B9A15-0D5C-45C1-B7EA-38C2C19DBA87}"/>
    <cellStyle name="Normal 2 2 2 2 2 2 2 20 11 2 2 2 2 4" xfId="12135" xr:uid="{FC3C222C-42D7-49C3-B63F-7F4C332631B1}"/>
    <cellStyle name="Normal 2 2 2 2 2 2 2 20 11 2 2 2 3" xfId="12136" xr:uid="{3D5288A3-1090-491A-B6D9-2922A111422C}"/>
    <cellStyle name="Normal 2 2 2 2 2 2 2 20 11 2 2 2 4" xfId="12137" xr:uid="{C6DE373F-6017-46AE-BA9B-133A62593178}"/>
    <cellStyle name="Normal 2 2 2 2 2 2 2 20 11 2 2 2 5" xfId="12138" xr:uid="{559C2902-24B5-489B-A306-A60260220EB9}"/>
    <cellStyle name="Normal 2 2 2 2 2 2 2 20 11 2 2 2 6" xfId="12139" xr:uid="{98E38AB5-9AE4-47F7-A9D0-E14203EE1DEC}"/>
    <cellStyle name="Normal 2 2 2 2 2 2 2 20 11 2 2 3" xfId="12140" xr:uid="{A6806B22-652A-4865-8D8B-E5D70AB82CCE}"/>
    <cellStyle name="Normal 2 2 2 2 2 2 2 20 11 2 2 4" xfId="12141" xr:uid="{E3C7DF89-7E63-413D-9F3B-4D8E0FF389E1}"/>
    <cellStyle name="Normal 2 2 2 2 2 2 2 20 11 2 2 5" xfId="12142" xr:uid="{3F988979-C6C0-4009-BC2C-ABC3F5E90FFC}"/>
    <cellStyle name="Normal 2 2 2 2 2 2 2 20 11 2 2 6" xfId="12143" xr:uid="{AD045CC8-9D91-40DA-A980-77BDCEBEABCE}"/>
    <cellStyle name="Normal 2 2 2 2 2 2 2 20 11 2 2 7" xfId="12144" xr:uid="{2D5396F7-DD59-4444-A4F3-9B4BD2B8E9C3}"/>
    <cellStyle name="Normal 2 2 2 2 2 2 2 20 11 2 2 8" xfId="12145" xr:uid="{8DA93430-2753-4AF7-9AB1-98E024B74BD8}"/>
    <cellStyle name="Normal 2 2 2 2 2 2 2 20 11 2 2 8 2" xfId="12146" xr:uid="{95E78B0B-475B-4BE3-A658-FE123C0DF482}"/>
    <cellStyle name="Normal 2 2 2 2 2 2 2 20 11 2 2 8 3" xfId="12147" xr:uid="{F3C992EA-2296-4B72-AF24-94D71ECDF24F}"/>
    <cellStyle name="Normal 2 2 2 2 2 2 2 20 11 2 2 8 4" xfId="12148" xr:uid="{74955A08-10E0-4137-85F4-60445B7116F2}"/>
    <cellStyle name="Normal 2 2 2 2 2 2 2 20 11 2 2 9" xfId="12149" xr:uid="{631E761F-02D9-4384-B67A-752C1754E612}"/>
    <cellStyle name="Normal 2 2 2 2 2 2 2 20 11 2 3" xfId="12150" xr:uid="{A4ED4317-615B-438B-B947-411FD779D4CB}"/>
    <cellStyle name="Normal 2 2 2 2 2 2 2 20 11 2 3 2" xfId="12151" xr:uid="{D8592A50-551E-443F-A881-726929263691}"/>
    <cellStyle name="Normal 2 2 2 2 2 2 2 20 11 2 3 2 2" xfId="12152" xr:uid="{16367567-C45E-4C3C-868C-59E1E0152D9C}"/>
    <cellStyle name="Normal 2 2 2 2 2 2 2 20 11 2 3 2 3" xfId="12153" xr:uid="{EAE8E74B-7B9C-4AEF-8A92-939569206A2C}"/>
    <cellStyle name="Normal 2 2 2 2 2 2 2 20 11 2 3 2 4" xfId="12154" xr:uid="{FB163539-534B-4D52-888A-D3E9FB2C0420}"/>
    <cellStyle name="Normal 2 2 2 2 2 2 2 20 11 2 3 3" xfId="12155" xr:uid="{C43A7E26-63B3-4F6F-8BC7-04002698B125}"/>
    <cellStyle name="Normal 2 2 2 2 2 2 2 20 11 2 3 4" xfId="12156" xr:uid="{05059D14-9C2A-435A-BA50-237E0CEBD052}"/>
    <cellStyle name="Normal 2 2 2 2 2 2 2 20 11 2 3 5" xfId="12157" xr:uid="{4D01716C-FD59-4F06-8D90-C3FB5DE7966D}"/>
    <cellStyle name="Normal 2 2 2 2 2 2 2 20 11 2 3 6" xfId="12158" xr:uid="{567CE546-BDC7-43D9-8562-B3E1837E88C4}"/>
    <cellStyle name="Normal 2 2 2 2 2 2 2 20 11 2 4" xfId="12159" xr:uid="{3972C269-C11F-4DC8-AD86-D8DDD65691C3}"/>
    <cellStyle name="Normal 2 2 2 2 2 2 2 20 11 2 5" xfId="12160" xr:uid="{64AA48C0-0760-4E5F-A10E-84C733E37EB9}"/>
    <cellStyle name="Normal 2 2 2 2 2 2 2 20 11 2 6" xfId="12161" xr:uid="{392E2202-3017-46F9-80F9-D23E3A2C13ED}"/>
    <cellStyle name="Normal 2 2 2 2 2 2 2 20 11 2 7" xfId="12162" xr:uid="{888DD9D4-A691-4AA4-AAE4-14F5CABC3FCE}"/>
    <cellStyle name="Normal 2 2 2 2 2 2 2 20 11 2 8" xfId="12163" xr:uid="{B4A2B706-BDE7-480D-A486-AF4971D3B74A}"/>
    <cellStyle name="Normal 2 2 2 2 2 2 2 20 11 2 8 2" xfId="12164" xr:uid="{E209C31D-4E82-415B-B73A-4C717B8909E1}"/>
    <cellStyle name="Normal 2 2 2 2 2 2 2 20 11 2 8 3" xfId="12165" xr:uid="{8D6B6C06-E614-4C9A-BE89-28C23BFBD33C}"/>
    <cellStyle name="Normal 2 2 2 2 2 2 2 20 11 2 8 4" xfId="12166" xr:uid="{75556405-A077-4AAE-BB69-1F67F51BF517}"/>
    <cellStyle name="Normal 2 2 2 2 2 2 2 20 11 2 9" xfId="12167" xr:uid="{7BDC621A-923A-46A8-A390-B10E0EC0BDDA}"/>
    <cellStyle name="Normal 2 2 2 2 2 2 2 20 11 3" xfId="12168" xr:uid="{AB42DAB9-EC8E-44FE-9F2D-46EF2E178CD4}"/>
    <cellStyle name="Normal 2 2 2 2 2 2 2 20 11 4" xfId="12169" xr:uid="{C3B14BE7-DA58-49CA-88E8-4F9FA70ACD29}"/>
    <cellStyle name="Normal 2 2 2 2 2 2 2 20 11 5" xfId="12170" xr:uid="{402728CF-DAB0-42A0-AA07-8C8693C01E63}"/>
    <cellStyle name="Normal 2 2 2 2 2 2 2 20 11 5 2" xfId="12171" xr:uid="{24A6FED3-9141-4C6F-814A-78B0466313E3}"/>
    <cellStyle name="Normal 2 2 2 2 2 2 2 20 11 5 2 2" xfId="12172" xr:uid="{7DDA0946-720F-4AFA-8F22-46DAE464281F}"/>
    <cellStyle name="Normal 2 2 2 2 2 2 2 20 11 5 2 3" xfId="12173" xr:uid="{DEBC1D5B-B7F2-4F61-9704-73AD91C841C3}"/>
    <cellStyle name="Normal 2 2 2 2 2 2 2 20 11 5 2 4" xfId="12174" xr:uid="{0203DA18-8569-4BBD-BCAD-AE104E860A6D}"/>
    <cellStyle name="Normal 2 2 2 2 2 2 2 20 11 5 3" xfId="12175" xr:uid="{675B1FE9-2638-4DF9-ABF2-E0753C010AEA}"/>
    <cellStyle name="Normal 2 2 2 2 2 2 2 20 11 5 4" xfId="12176" xr:uid="{1FAD8139-76A5-4C95-892E-024EAAD2AA71}"/>
    <cellStyle name="Normal 2 2 2 2 2 2 2 20 11 5 5" xfId="12177" xr:uid="{7B749CA6-7566-48AC-B4B2-8C59D9B0931F}"/>
    <cellStyle name="Normal 2 2 2 2 2 2 2 20 11 5 6" xfId="12178" xr:uid="{B707878B-C11E-4FFC-BC3A-FC0FC31FB9EA}"/>
    <cellStyle name="Normal 2 2 2 2 2 2 2 20 11 6" xfId="12179" xr:uid="{08B546EA-7E06-4221-B89E-54BDFA7B0D3E}"/>
    <cellStyle name="Normal 2 2 2 2 2 2 2 20 11 7" xfId="12180" xr:uid="{56CB9AAA-E32F-4877-BD6D-6648DF692EDF}"/>
    <cellStyle name="Normal 2 2 2 2 2 2 2 20 11 8" xfId="12181" xr:uid="{4D0DA2D2-B750-4B35-808B-728B17517976}"/>
    <cellStyle name="Normal 2 2 2 2 2 2 2 20 11 9" xfId="12182" xr:uid="{CB64098A-E0AF-40A3-A8B6-0FFC706712B9}"/>
    <cellStyle name="Normal 2 2 2 2 2 2 2 20 12" xfId="12183" xr:uid="{FFE6D214-392C-4DD5-9290-F6421276CB7F}"/>
    <cellStyle name="Normal 2 2 2 2 2 2 2 20 13" xfId="12184" xr:uid="{D7091107-D0EE-458D-A8BE-7BAA8C5E0403}"/>
    <cellStyle name="Normal 2 2 2 2 2 2 2 20 13 10" xfId="12185" xr:uid="{F63DE360-6895-4716-8E4D-8645AC76A761}"/>
    <cellStyle name="Normal 2 2 2 2 2 2 2 20 13 11" xfId="12186" xr:uid="{3B884A33-F013-4693-96D4-569D832E9F02}"/>
    <cellStyle name="Normal 2 2 2 2 2 2 2 20 13 2" xfId="12187" xr:uid="{D4D30E9B-3C8E-49A0-AF11-0C955F586FC1}"/>
    <cellStyle name="Normal 2 2 2 2 2 2 2 20 13 2 10" xfId="12188" xr:uid="{82344C88-3FCD-4677-B803-4DBC7776E9DA}"/>
    <cellStyle name="Normal 2 2 2 2 2 2 2 20 13 2 11" xfId="12189" xr:uid="{E20D1CAA-279E-4A95-BE3E-7D5981719115}"/>
    <cellStyle name="Normal 2 2 2 2 2 2 2 20 13 2 2" xfId="12190" xr:uid="{05C88E31-DED7-44DA-B57D-D39F7FFC9623}"/>
    <cellStyle name="Normal 2 2 2 2 2 2 2 20 13 2 2 2" xfId="12191" xr:uid="{41A4B739-A781-493B-A4EA-FED1C70DF2F6}"/>
    <cellStyle name="Normal 2 2 2 2 2 2 2 20 13 2 2 2 2" xfId="12192" xr:uid="{8BBD1152-247B-49A1-89C2-8538B1C324AD}"/>
    <cellStyle name="Normal 2 2 2 2 2 2 2 20 13 2 2 2 3" xfId="12193" xr:uid="{98409A32-6090-4A2C-BC46-CB05CA10A5D6}"/>
    <cellStyle name="Normal 2 2 2 2 2 2 2 20 13 2 2 2 4" xfId="12194" xr:uid="{386DFF5A-B379-40EF-BDA5-2D2163805536}"/>
    <cellStyle name="Normal 2 2 2 2 2 2 2 20 13 2 2 3" xfId="12195" xr:uid="{755008B6-3D6C-41DC-894C-7108C3B5993B}"/>
    <cellStyle name="Normal 2 2 2 2 2 2 2 20 13 2 2 4" xfId="12196" xr:uid="{1376678D-DB2B-4045-BA68-D98A9DEA7943}"/>
    <cellStyle name="Normal 2 2 2 2 2 2 2 20 13 2 2 5" xfId="12197" xr:uid="{F3B8A708-AE3C-46E4-887B-2D3BDE421927}"/>
    <cellStyle name="Normal 2 2 2 2 2 2 2 20 13 2 2 6" xfId="12198" xr:uid="{9051F47E-3A7A-41AD-9C07-0D09A2C2D6C6}"/>
    <cellStyle name="Normal 2 2 2 2 2 2 2 20 13 2 3" xfId="12199" xr:uid="{647A26B9-8A3F-4BB0-A1FC-CA66AB29904C}"/>
    <cellStyle name="Normal 2 2 2 2 2 2 2 20 13 2 4" xfId="12200" xr:uid="{AC43939C-3202-4EA1-B109-F3A311BB659E}"/>
    <cellStyle name="Normal 2 2 2 2 2 2 2 20 13 2 5" xfId="12201" xr:uid="{E7BD3F52-4B37-4520-A9C5-18288EEEE899}"/>
    <cellStyle name="Normal 2 2 2 2 2 2 2 20 13 2 6" xfId="12202" xr:uid="{E5ACDDB5-11DB-4513-9F13-0207C124BDF2}"/>
    <cellStyle name="Normal 2 2 2 2 2 2 2 20 13 2 7" xfId="12203" xr:uid="{0E27D669-C6A5-433F-B35C-E9466C7F886A}"/>
    <cellStyle name="Normal 2 2 2 2 2 2 2 20 13 2 8" xfId="12204" xr:uid="{41497C74-CA9F-489D-ABAA-12123F4653A9}"/>
    <cellStyle name="Normal 2 2 2 2 2 2 2 20 13 2 8 2" xfId="12205" xr:uid="{B6A6AC6A-5DC6-459D-99DD-3FD038704A95}"/>
    <cellStyle name="Normal 2 2 2 2 2 2 2 20 13 2 8 3" xfId="12206" xr:uid="{9627347A-94F3-41B3-B024-2408FB5D32E6}"/>
    <cellStyle name="Normal 2 2 2 2 2 2 2 20 13 2 8 4" xfId="12207" xr:uid="{E23B48D4-5C62-4052-BEBF-88FBAF747DA8}"/>
    <cellStyle name="Normal 2 2 2 2 2 2 2 20 13 2 9" xfId="12208" xr:uid="{D0DB50DE-E0EC-4A3B-AF3F-4EDAB1538810}"/>
    <cellStyle name="Normal 2 2 2 2 2 2 2 20 13 3" xfId="12209" xr:uid="{A744E392-936F-4D66-850F-88DBFE093B59}"/>
    <cellStyle name="Normal 2 2 2 2 2 2 2 20 13 3 2" xfId="12210" xr:uid="{93BEDA44-4A13-4E2C-A852-5CB4290A8CD2}"/>
    <cellStyle name="Normal 2 2 2 2 2 2 2 20 13 3 2 2" xfId="12211" xr:uid="{C354C56E-ABB0-4335-A24E-6C7DA1A6F493}"/>
    <cellStyle name="Normal 2 2 2 2 2 2 2 20 13 3 2 3" xfId="12212" xr:uid="{9507EB90-1EB2-41B3-B9EC-B20BC9765A1F}"/>
    <cellStyle name="Normal 2 2 2 2 2 2 2 20 13 3 2 4" xfId="12213" xr:uid="{D7B9C1AD-8561-4512-BBD7-F3E9129527D2}"/>
    <cellStyle name="Normal 2 2 2 2 2 2 2 20 13 3 3" xfId="12214" xr:uid="{FD44F00A-5C4C-47C8-AA7F-6D98618BC263}"/>
    <cellStyle name="Normal 2 2 2 2 2 2 2 20 13 3 4" xfId="12215" xr:uid="{242EDF48-571F-4B99-A88A-29CE026A2137}"/>
    <cellStyle name="Normal 2 2 2 2 2 2 2 20 13 3 5" xfId="12216" xr:uid="{B217FDE6-2397-42A4-B789-A39BF0354B84}"/>
    <cellStyle name="Normal 2 2 2 2 2 2 2 20 13 3 6" xfId="12217" xr:uid="{D2486D24-87BA-4AEC-9604-2AD3B9DDFA9C}"/>
    <cellStyle name="Normal 2 2 2 2 2 2 2 20 13 4" xfId="12218" xr:uid="{8859B6CE-6790-4882-8B73-E0C3AF46D103}"/>
    <cellStyle name="Normal 2 2 2 2 2 2 2 20 13 5" xfId="12219" xr:uid="{B3980889-9564-4CAC-A951-A707936D2FC9}"/>
    <cellStyle name="Normal 2 2 2 2 2 2 2 20 13 6" xfId="12220" xr:uid="{AD908373-8880-4820-9BDA-ADF784AFFB2E}"/>
    <cellStyle name="Normal 2 2 2 2 2 2 2 20 13 7" xfId="12221" xr:uid="{573217EB-0AD6-486D-AEEB-9B204379EBA2}"/>
    <cellStyle name="Normal 2 2 2 2 2 2 2 20 13 8" xfId="12222" xr:uid="{0FA064DD-4729-4B2F-9297-E221E87272A2}"/>
    <cellStyle name="Normal 2 2 2 2 2 2 2 20 13 8 2" xfId="12223" xr:uid="{DDC4219F-1D7D-4555-81A0-575E8338F2B2}"/>
    <cellStyle name="Normal 2 2 2 2 2 2 2 20 13 8 3" xfId="12224" xr:uid="{6A70ED68-928D-44B7-9929-9961589C2007}"/>
    <cellStyle name="Normal 2 2 2 2 2 2 2 20 13 8 4" xfId="12225" xr:uid="{47CBF40B-CF62-454E-8975-663DFF7FAF77}"/>
    <cellStyle name="Normal 2 2 2 2 2 2 2 20 13 9" xfId="12226" xr:uid="{5E3EC385-AC91-4000-BDC3-5A08A20052CC}"/>
    <cellStyle name="Normal 2 2 2 2 2 2 2 20 14" xfId="12227" xr:uid="{D91338D1-B827-43FB-8794-4D5A4A6E3B94}"/>
    <cellStyle name="Normal 2 2 2 2 2 2 2 20 15" xfId="12228" xr:uid="{83919536-5417-4274-99BF-FD8A6DC363B3}"/>
    <cellStyle name="Normal 2 2 2 2 2 2 2 20 15 2" xfId="12229" xr:uid="{D6BCA9FC-6AA6-452B-8F70-21572F8942FF}"/>
    <cellStyle name="Normal 2 2 2 2 2 2 2 20 15 2 2" xfId="12230" xr:uid="{3852A9B2-CDF6-4A96-98F8-DC7BF5072F45}"/>
    <cellStyle name="Normal 2 2 2 2 2 2 2 20 15 2 3" xfId="12231" xr:uid="{D54BE3F6-0177-4BAA-B43F-2838668EC779}"/>
    <cellStyle name="Normal 2 2 2 2 2 2 2 20 15 2 4" xfId="12232" xr:uid="{052DC0C9-4863-4DEE-95CA-DF3C3889DEA0}"/>
    <cellStyle name="Normal 2 2 2 2 2 2 2 20 15 3" xfId="12233" xr:uid="{9AFCC615-CD1D-434C-93A2-47A450758763}"/>
    <cellStyle name="Normal 2 2 2 2 2 2 2 20 15 4" xfId="12234" xr:uid="{52B41C0A-6DF3-40B4-8D9B-64117BD7B999}"/>
    <cellStyle name="Normal 2 2 2 2 2 2 2 20 15 5" xfId="12235" xr:uid="{1A52B6B1-AB31-4B8D-8F32-514FB0FAA088}"/>
    <cellStyle name="Normal 2 2 2 2 2 2 2 20 15 6" xfId="12236" xr:uid="{0B72A9C8-0D81-4C75-AA3E-CDFDBA4717A2}"/>
    <cellStyle name="Normal 2 2 2 2 2 2 2 20 16" xfId="12237" xr:uid="{17BD4EC3-0459-451C-A7F6-867C708394F2}"/>
    <cellStyle name="Normal 2 2 2 2 2 2 2 20 17" xfId="12238" xr:uid="{C77B6186-B109-4912-8A37-D4490A179E73}"/>
    <cellStyle name="Normal 2 2 2 2 2 2 2 20 18" xfId="12239" xr:uid="{3DF07621-801E-4A16-A147-4912AEFEC428}"/>
    <cellStyle name="Normal 2 2 2 2 2 2 2 20 19" xfId="12240" xr:uid="{4858AD5D-C79A-4A75-A964-BB6E23055493}"/>
    <cellStyle name="Normal 2 2 2 2 2 2 2 20 2" xfId="12241" xr:uid="{991CBD40-9768-4DD9-8017-97D5DD2C5272}"/>
    <cellStyle name="Normal 2 2 2 2 2 2 2 20 2 10" xfId="12242" xr:uid="{D2B5F68D-B425-467B-AFBD-323D99350B4F}"/>
    <cellStyle name="Normal 2 2 2 2 2 2 2 20 2 11" xfId="12243" xr:uid="{85466446-131B-4B6D-8E42-79D6027FF629}"/>
    <cellStyle name="Normal 2 2 2 2 2 2 2 20 2 12" xfId="12244" xr:uid="{B11D3546-99C7-4E36-9752-129C04AF704E}"/>
    <cellStyle name="Normal 2 2 2 2 2 2 2 20 2 13" xfId="12245" xr:uid="{BE0A1401-042B-45DF-8205-D674C1C48296}"/>
    <cellStyle name="Normal 2 2 2 2 2 2 2 20 2 13 2" xfId="12246" xr:uid="{F18A8339-877A-45C5-B096-30828EAA7BF1}"/>
    <cellStyle name="Normal 2 2 2 2 2 2 2 20 2 13 3" xfId="12247" xr:uid="{01FA1AF4-4E69-4405-96DD-DD807A1C5232}"/>
    <cellStyle name="Normal 2 2 2 2 2 2 2 20 2 13 4" xfId="12248" xr:uid="{BA217601-7781-434C-B2A9-4ACBF401D318}"/>
    <cellStyle name="Normal 2 2 2 2 2 2 2 20 2 14" xfId="12249" xr:uid="{C51E47C9-449E-41E2-A3F1-401923AC88C3}"/>
    <cellStyle name="Normal 2 2 2 2 2 2 2 20 2 15" xfId="12250" xr:uid="{3B353CF8-F0CF-40D6-B320-F0DAC84CD8CE}"/>
    <cellStyle name="Normal 2 2 2 2 2 2 2 20 2 16" xfId="12251" xr:uid="{EE40B27B-D75D-4669-A4B5-FB92584FA4E9}"/>
    <cellStyle name="Normal 2 2 2 2 2 2 2 20 2 2" xfId="12252" xr:uid="{2B02B4D0-D01A-4804-B96A-5F807C3A2EC4}"/>
    <cellStyle name="Normal 2 2 2 2 2 2 2 20 2 2 10" xfId="12253" xr:uid="{3F035192-4D15-40E7-A321-49B70DD3CC03}"/>
    <cellStyle name="Normal 2 2 2 2 2 2 2 20 2 2 11" xfId="12254" xr:uid="{2BA593BF-5ED5-498E-809C-EAE0933AD1FA}"/>
    <cellStyle name="Normal 2 2 2 2 2 2 2 20 2 2 11 2" xfId="12255" xr:uid="{886FA05E-CCE0-4018-AF3B-07384222284A}"/>
    <cellStyle name="Normal 2 2 2 2 2 2 2 20 2 2 11 3" xfId="12256" xr:uid="{9404E4D4-18B2-4128-9AA6-923EC7F03FED}"/>
    <cellStyle name="Normal 2 2 2 2 2 2 2 20 2 2 11 4" xfId="12257" xr:uid="{BB824C56-28A4-418F-96B5-FF3E95EC43B5}"/>
    <cellStyle name="Normal 2 2 2 2 2 2 2 20 2 2 12" xfId="12258" xr:uid="{16B41F93-A8B8-4E06-B071-F56160FA8E6A}"/>
    <cellStyle name="Normal 2 2 2 2 2 2 2 20 2 2 13" xfId="12259" xr:uid="{5F92F310-F3BA-454F-B256-258183D21045}"/>
    <cellStyle name="Normal 2 2 2 2 2 2 2 20 2 2 14" xfId="12260" xr:uid="{537EB25F-CAD1-4537-8028-CDEFF6FC3FF6}"/>
    <cellStyle name="Normal 2 2 2 2 2 2 2 20 2 2 2" xfId="12261" xr:uid="{326EEB7A-0B7A-4BD0-886F-6EB16D1916E5}"/>
    <cellStyle name="Normal 2 2 2 2 2 2 2 20 2 2 2 10" xfId="12262" xr:uid="{FE78727B-D0A5-4A58-9B5F-29409DBD7BA8}"/>
    <cellStyle name="Normal 2 2 2 2 2 2 2 20 2 2 2 11" xfId="12263" xr:uid="{2CF6B7E6-D057-4FC8-BECE-D53B1A7E7541}"/>
    <cellStyle name="Normal 2 2 2 2 2 2 2 20 2 2 2 2" xfId="12264" xr:uid="{777BD5C9-78DF-4C80-8646-0442E49286B9}"/>
    <cellStyle name="Normal 2 2 2 2 2 2 2 20 2 2 2 2 10" xfId="12265" xr:uid="{F38A0827-3F8C-4D66-A20F-E14C53B573ED}"/>
    <cellStyle name="Normal 2 2 2 2 2 2 2 20 2 2 2 2 11" xfId="12266" xr:uid="{96BCA2D2-25DA-442D-B6E0-84A4241791E1}"/>
    <cellStyle name="Normal 2 2 2 2 2 2 2 20 2 2 2 2 2" xfId="12267" xr:uid="{1220AB92-5430-4168-9C09-5D40089949B4}"/>
    <cellStyle name="Normal 2 2 2 2 2 2 2 20 2 2 2 2 2 2" xfId="12268" xr:uid="{CB174D88-8249-4BEC-B096-81690B507B33}"/>
    <cellStyle name="Normal 2 2 2 2 2 2 2 20 2 2 2 2 2 2 2" xfId="12269" xr:uid="{0B33535B-E588-4692-9AC0-4C8486B94B32}"/>
    <cellStyle name="Normal 2 2 2 2 2 2 2 20 2 2 2 2 2 2 3" xfId="12270" xr:uid="{2505BA41-548A-425D-B562-C9A2B2A3A7C5}"/>
    <cellStyle name="Normal 2 2 2 2 2 2 2 20 2 2 2 2 2 2 4" xfId="12271" xr:uid="{094A4FF2-7058-489F-98F9-26686FD96D35}"/>
    <cellStyle name="Normal 2 2 2 2 2 2 2 20 2 2 2 2 2 3" xfId="12272" xr:uid="{7B75FF97-7CB3-430F-87A2-5C6D61683BAE}"/>
    <cellStyle name="Normal 2 2 2 2 2 2 2 20 2 2 2 2 2 4" xfId="12273" xr:uid="{9C1114A4-6A73-4F46-8763-8DBECF67CAB2}"/>
    <cellStyle name="Normal 2 2 2 2 2 2 2 20 2 2 2 2 2 5" xfId="12274" xr:uid="{2066E598-E638-4411-A997-3E120A1E7330}"/>
    <cellStyle name="Normal 2 2 2 2 2 2 2 20 2 2 2 2 2 6" xfId="12275" xr:uid="{4F14442E-D94C-4FC7-B4AE-70141A36EB17}"/>
    <cellStyle name="Normal 2 2 2 2 2 2 2 20 2 2 2 2 3" xfId="12276" xr:uid="{9C4312AF-58EE-451C-B239-078B50B4FAF2}"/>
    <cellStyle name="Normal 2 2 2 2 2 2 2 20 2 2 2 2 4" xfId="12277" xr:uid="{2D86DCB1-7960-4F04-83D3-532CBA183E8F}"/>
    <cellStyle name="Normal 2 2 2 2 2 2 2 20 2 2 2 2 5" xfId="12278" xr:uid="{869F9767-1205-499F-942B-679F9A800D9F}"/>
    <cellStyle name="Normal 2 2 2 2 2 2 2 20 2 2 2 2 6" xfId="12279" xr:uid="{97A0B2B3-5A1C-4504-95D3-C854D1DED29E}"/>
    <cellStyle name="Normal 2 2 2 2 2 2 2 20 2 2 2 2 7" xfId="12280" xr:uid="{35F663B5-E954-475C-BBF4-4D00C84BC4A8}"/>
    <cellStyle name="Normal 2 2 2 2 2 2 2 20 2 2 2 2 8" xfId="12281" xr:uid="{7322B2C0-FC6D-46BB-B07B-B33F65B1FCBB}"/>
    <cellStyle name="Normal 2 2 2 2 2 2 2 20 2 2 2 2 8 2" xfId="12282" xr:uid="{860FAE20-5028-43C4-B3B1-CE289057F046}"/>
    <cellStyle name="Normal 2 2 2 2 2 2 2 20 2 2 2 2 8 3" xfId="12283" xr:uid="{44CD5BAA-67F6-4EA6-9EE7-DAD1784C867F}"/>
    <cellStyle name="Normal 2 2 2 2 2 2 2 20 2 2 2 2 8 4" xfId="12284" xr:uid="{87F547A5-FB1F-4D85-B142-2D07C6EC09F1}"/>
    <cellStyle name="Normal 2 2 2 2 2 2 2 20 2 2 2 2 9" xfId="12285" xr:uid="{5E4B0208-782F-46E6-AB7B-5910F44C8026}"/>
    <cellStyle name="Normal 2 2 2 2 2 2 2 20 2 2 2 3" xfId="12286" xr:uid="{FF5E8CD0-1EA1-4546-B95B-06EEEF1FED41}"/>
    <cellStyle name="Normal 2 2 2 2 2 2 2 20 2 2 2 3 2" xfId="12287" xr:uid="{AB80D0C4-BFC9-4156-AEBF-30457390E3D8}"/>
    <cellStyle name="Normal 2 2 2 2 2 2 2 20 2 2 2 3 2 2" xfId="12288" xr:uid="{7E210418-169F-44D1-A9E9-5795C677E63A}"/>
    <cellStyle name="Normal 2 2 2 2 2 2 2 20 2 2 2 3 2 3" xfId="12289" xr:uid="{53B3954D-55D8-4DCA-A3C1-A6C6D0973DCF}"/>
    <cellStyle name="Normal 2 2 2 2 2 2 2 20 2 2 2 3 2 4" xfId="12290" xr:uid="{BDC570D7-E649-4A83-B4D0-8E13A430E315}"/>
    <cellStyle name="Normal 2 2 2 2 2 2 2 20 2 2 2 3 3" xfId="12291" xr:uid="{5F89394B-6755-4BE6-A7B1-3D59D0F4644E}"/>
    <cellStyle name="Normal 2 2 2 2 2 2 2 20 2 2 2 3 4" xfId="12292" xr:uid="{03A1FB8E-94F5-4302-8B7D-C7181E7DD0F9}"/>
    <cellStyle name="Normal 2 2 2 2 2 2 2 20 2 2 2 3 5" xfId="12293" xr:uid="{AB9CD63A-5638-4D9C-B572-C8939B0C59CC}"/>
    <cellStyle name="Normal 2 2 2 2 2 2 2 20 2 2 2 3 6" xfId="12294" xr:uid="{2621E4E5-932C-4151-93F1-5B71127B3DD0}"/>
    <cellStyle name="Normal 2 2 2 2 2 2 2 20 2 2 2 4" xfId="12295" xr:uid="{E1BC4431-B82E-4350-9F48-B6C84FB9D9EB}"/>
    <cellStyle name="Normal 2 2 2 2 2 2 2 20 2 2 2 5" xfId="12296" xr:uid="{85B4884F-A18F-4B54-A1B8-E101006F00A6}"/>
    <cellStyle name="Normal 2 2 2 2 2 2 2 20 2 2 2 6" xfId="12297" xr:uid="{C4360262-79DA-4983-84DB-D2BD57EB557A}"/>
    <cellStyle name="Normal 2 2 2 2 2 2 2 20 2 2 2 7" xfId="12298" xr:uid="{4D4F01FA-E79E-46AE-8B75-A5D8EBEB4867}"/>
    <cellStyle name="Normal 2 2 2 2 2 2 2 20 2 2 2 8" xfId="12299" xr:uid="{402E3171-E1A9-4F6C-BCBC-231F5D42D157}"/>
    <cellStyle name="Normal 2 2 2 2 2 2 2 20 2 2 2 8 2" xfId="12300" xr:uid="{6E425D24-7AE2-4E52-9245-F180A9C0055D}"/>
    <cellStyle name="Normal 2 2 2 2 2 2 2 20 2 2 2 8 3" xfId="12301" xr:uid="{7798CE22-8742-4793-8FD0-10E4DB4173C9}"/>
    <cellStyle name="Normal 2 2 2 2 2 2 2 20 2 2 2 8 4" xfId="12302" xr:uid="{3C370E74-020C-404D-83EC-925A528A35BD}"/>
    <cellStyle name="Normal 2 2 2 2 2 2 2 20 2 2 2 9" xfId="12303" xr:uid="{6F6A3FE0-B9BB-4255-9453-A99C1BBE0173}"/>
    <cellStyle name="Normal 2 2 2 2 2 2 2 20 2 2 3" xfId="12304" xr:uid="{0C9FA90B-AF0E-45C2-B49B-5D1D63C76793}"/>
    <cellStyle name="Normal 2 2 2 2 2 2 2 20 2 2 4" xfId="12305" xr:uid="{E1C4D438-38B4-4DE2-AC13-AB4988922507}"/>
    <cellStyle name="Normal 2 2 2 2 2 2 2 20 2 2 5" xfId="12306" xr:uid="{D52C202E-EFBC-4B7A-8F50-2E2E2D2C7F91}"/>
    <cellStyle name="Normal 2 2 2 2 2 2 2 20 2 2 5 2" xfId="12307" xr:uid="{97FCE3AD-8E3D-45BC-A5BF-63B031D1AE18}"/>
    <cellStyle name="Normal 2 2 2 2 2 2 2 20 2 2 5 2 2" xfId="12308" xr:uid="{EE3F6E8D-58E3-47E1-B496-3BB1D2376B7C}"/>
    <cellStyle name="Normal 2 2 2 2 2 2 2 20 2 2 5 2 3" xfId="12309" xr:uid="{DDC91278-DC6E-4A99-9AA2-2468AFE36EBA}"/>
    <cellStyle name="Normal 2 2 2 2 2 2 2 20 2 2 5 2 4" xfId="12310" xr:uid="{8001651B-D030-4551-B89D-71B611A6B38F}"/>
    <cellStyle name="Normal 2 2 2 2 2 2 2 20 2 2 5 3" xfId="12311" xr:uid="{C202DCB7-407D-4596-A8F6-DA7B39DC7B94}"/>
    <cellStyle name="Normal 2 2 2 2 2 2 2 20 2 2 5 4" xfId="12312" xr:uid="{1303BB10-8692-46DF-A519-F60AB7AF4DBC}"/>
    <cellStyle name="Normal 2 2 2 2 2 2 2 20 2 2 5 5" xfId="12313" xr:uid="{71592B3E-B314-4E6C-AB48-11C8C03EE58D}"/>
    <cellStyle name="Normal 2 2 2 2 2 2 2 20 2 2 5 6" xfId="12314" xr:uid="{7966BBEE-8D05-46C3-B571-439419FDC6AE}"/>
    <cellStyle name="Normal 2 2 2 2 2 2 2 20 2 2 6" xfId="12315" xr:uid="{4FF1D882-0ADE-4254-A132-5436B6047AB6}"/>
    <cellStyle name="Normal 2 2 2 2 2 2 2 20 2 2 7" xfId="12316" xr:uid="{6073BB4D-E6F9-4B2F-BB21-59F3808B7C1D}"/>
    <cellStyle name="Normal 2 2 2 2 2 2 2 20 2 2 8" xfId="12317" xr:uid="{12B80C96-FE34-40C6-8365-01EB5C26E7EE}"/>
    <cellStyle name="Normal 2 2 2 2 2 2 2 20 2 2 9" xfId="12318" xr:uid="{D190827E-E57E-468A-B6E1-AB765DD50020}"/>
    <cellStyle name="Normal 2 2 2 2 2 2 2 20 2 3" xfId="12319" xr:uid="{2A47A959-8BC8-43BA-8AE3-FCDD8AD616BA}"/>
    <cellStyle name="Normal 2 2 2 2 2 2 2 20 2 4" xfId="12320" xr:uid="{2975097B-7BAC-4087-B019-3BD53D7C860C}"/>
    <cellStyle name="Normal 2 2 2 2 2 2 2 20 2 5" xfId="12321" xr:uid="{86DF7ACE-603B-459A-A7C7-923C5321327B}"/>
    <cellStyle name="Normal 2 2 2 2 2 2 2 20 2 5 10" xfId="12322" xr:uid="{482B6895-93B0-4BBC-8FBF-60D9B24AE5F4}"/>
    <cellStyle name="Normal 2 2 2 2 2 2 2 20 2 5 11" xfId="12323" xr:uid="{296C356A-FBFE-490D-87DF-948C5AC4931E}"/>
    <cellStyle name="Normal 2 2 2 2 2 2 2 20 2 5 2" xfId="12324" xr:uid="{C7D82EE9-19F2-4208-BED0-78854CD8FCEC}"/>
    <cellStyle name="Normal 2 2 2 2 2 2 2 20 2 5 2 10" xfId="12325" xr:uid="{FCF3F917-9974-4F16-85DF-F31EC66C210B}"/>
    <cellStyle name="Normal 2 2 2 2 2 2 2 20 2 5 2 11" xfId="12326" xr:uid="{E01874CC-4D24-47A9-B0FC-FC5B4631EB0A}"/>
    <cellStyle name="Normal 2 2 2 2 2 2 2 20 2 5 2 2" xfId="12327" xr:uid="{586CD300-8CF0-4350-A52E-476178B19866}"/>
    <cellStyle name="Normal 2 2 2 2 2 2 2 20 2 5 2 2 2" xfId="12328" xr:uid="{69C162CF-ACD8-479C-B148-36F714DCC6AA}"/>
    <cellStyle name="Normal 2 2 2 2 2 2 2 20 2 5 2 2 2 2" xfId="12329" xr:uid="{116FE635-61F4-4460-89E1-1975574682F6}"/>
    <cellStyle name="Normal 2 2 2 2 2 2 2 20 2 5 2 2 2 3" xfId="12330" xr:uid="{E6116A3E-84B4-4F35-B828-72E4ADEF3C56}"/>
    <cellStyle name="Normal 2 2 2 2 2 2 2 20 2 5 2 2 2 4" xfId="12331" xr:uid="{5CFBEC2D-DA00-4720-95B7-19429E9EA21C}"/>
    <cellStyle name="Normal 2 2 2 2 2 2 2 20 2 5 2 2 3" xfId="12332" xr:uid="{EED18BA1-8A4F-44F8-8CBB-FB794F1EC12F}"/>
    <cellStyle name="Normal 2 2 2 2 2 2 2 20 2 5 2 2 4" xfId="12333" xr:uid="{D3AC452B-DD52-46A3-A232-50552528E47C}"/>
    <cellStyle name="Normal 2 2 2 2 2 2 2 20 2 5 2 2 5" xfId="12334" xr:uid="{ED41072E-D6FF-4D0E-850F-BD8DE0D9CFB8}"/>
    <cellStyle name="Normal 2 2 2 2 2 2 2 20 2 5 2 2 6" xfId="12335" xr:uid="{3D2CC46C-DADB-4482-A671-6F4BDC66FCAC}"/>
    <cellStyle name="Normal 2 2 2 2 2 2 2 20 2 5 2 3" xfId="12336" xr:uid="{45C812BC-48E4-4249-9470-8747D5EC893E}"/>
    <cellStyle name="Normal 2 2 2 2 2 2 2 20 2 5 2 4" xfId="12337" xr:uid="{AED5FA1A-D2F9-4301-A21F-A132F90B91C1}"/>
    <cellStyle name="Normal 2 2 2 2 2 2 2 20 2 5 2 5" xfId="12338" xr:uid="{BEA9698D-122D-40B2-AE98-1C07ED458D8D}"/>
    <cellStyle name="Normal 2 2 2 2 2 2 2 20 2 5 2 6" xfId="12339" xr:uid="{9B36D123-3592-4D40-A794-5AC4DFEEEF85}"/>
    <cellStyle name="Normal 2 2 2 2 2 2 2 20 2 5 2 7" xfId="12340" xr:uid="{B8EA1A60-F0E9-4589-9F2D-60A0CADABE22}"/>
    <cellStyle name="Normal 2 2 2 2 2 2 2 20 2 5 2 8" xfId="12341" xr:uid="{7900224B-F9D0-4FE2-AB0F-363BBE7F9CC1}"/>
    <cellStyle name="Normal 2 2 2 2 2 2 2 20 2 5 2 8 2" xfId="12342" xr:uid="{865F4499-4575-4582-8F5E-9DC6898021CF}"/>
    <cellStyle name="Normal 2 2 2 2 2 2 2 20 2 5 2 8 3" xfId="12343" xr:uid="{41A983D2-D40C-4C3A-BC1A-2F3C5AA062FF}"/>
    <cellStyle name="Normal 2 2 2 2 2 2 2 20 2 5 2 8 4" xfId="12344" xr:uid="{16B5ECEB-107C-4286-AE77-B0D35E0A11BC}"/>
    <cellStyle name="Normal 2 2 2 2 2 2 2 20 2 5 2 9" xfId="12345" xr:uid="{A4BFD83B-F091-43DF-9751-F2B0AC2DF53C}"/>
    <cellStyle name="Normal 2 2 2 2 2 2 2 20 2 5 3" xfId="12346" xr:uid="{6D9ED734-CCE9-4321-ABEB-175671748CBE}"/>
    <cellStyle name="Normal 2 2 2 2 2 2 2 20 2 5 3 2" xfId="12347" xr:uid="{FADFE842-9BBD-46AE-B19A-4A6757A3052D}"/>
    <cellStyle name="Normal 2 2 2 2 2 2 2 20 2 5 3 2 2" xfId="12348" xr:uid="{9446F357-12C5-4AB0-8222-80490B346ADA}"/>
    <cellStyle name="Normal 2 2 2 2 2 2 2 20 2 5 3 2 3" xfId="12349" xr:uid="{218D3643-4A23-4204-98AE-1AB5830026B3}"/>
    <cellStyle name="Normal 2 2 2 2 2 2 2 20 2 5 3 2 4" xfId="12350" xr:uid="{C4348C7B-5E1E-4E90-B2AA-F523BC1081E4}"/>
    <cellStyle name="Normal 2 2 2 2 2 2 2 20 2 5 3 3" xfId="12351" xr:uid="{8724813C-D35E-4483-AC9A-56C892454853}"/>
    <cellStyle name="Normal 2 2 2 2 2 2 2 20 2 5 3 4" xfId="12352" xr:uid="{00E3FC30-7C2F-4206-AB7A-C80B48530987}"/>
    <cellStyle name="Normal 2 2 2 2 2 2 2 20 2 5 3 5" xfId="12353" xr:uid="{3AB9FA0D-8B2C-422F-B411-96CF7B4ED5CF}"/>
    <cellStyle name="Normal 2 2 2 2 2 2 2 20 2 5 3 6" xfId="12354" xr:uid="{6816DC04-B740-411A-B3C8-402A254EB0DC}"/>
    <cellStyle name="Normal 2 2 2 2 2 2 2 20 2 5 4" xfId="12355" xr:uid="{D2673877-A576-4E68-9A11-8842D32504DE}"/>
    <cellStyle name="Normal 2 2 2 2 2 2 2 20 2 5 5" xfId="12356" xr:uid="{EDBFF1BE-1F11-47A5-81A6-4573279F55EB}"/>
    <cellStyle name="Normal 2 2 2 2 2 2 2 20 2 5 6" xfId="12357" xr:uid="{2E44ACFC-5B71-4D01-92E9-1003F9A46B05}"/>
    <cellStyle name="Normal 2 2 2 2 2 2 2 20 2 5 7" xfId="12358" xr:uid="{14E13C77-7C34-4724-8AA2-B981010DFF45}"/>
    <cellStyle name="Normal 2 2 2 2 2 2 2 20 2 5 8" xfId="12359" xr:uid="{AFAD253C-F18F-419B-A55A-CCDCE82AEAC4}"/>
    <cellStyle name="Normal 2 2 2 2 2 2 2 20 2 5 8 2" xfId="12360" xr:uid="{E9A21A30-A9D0-4C3F-AFFB-06C23E0BB212}"/>
    <cellStyle name="Normal 2 2 2 2 2 2 2 20 2 5 8 3" xfId="12361" xr:uid="{1E2AE0CE-10CE-4E7D-9678-C74B422A1A06}"/>
    <cellStyle name="Normal 2 2 2 2 2 2 2 20 2 5 8 4" xfId="12362" xr:uid="{DF9C8259-24A4-457B-A50C-46EED2A1F8E2}"/>
    <cellStyle name="Normal 2 2 2 2 2 2 2 20 2 5 9" xfId="12363" xr:uid="{0376987C-B8A2-4C8E-A32F-C6702E2CB3B5}"/>
    <cellStyle name="Normal 2 2 2 2 2 2 2 20 2 6" xfId="12364" xr:uid="{C1CB33FB-0C77-4FAB-B965-3171303FD84A}"/>
    <cellStyle name="Normal 2 2 2 2 2 2 2 20 2 7" xfId="12365" xr:uid="{77B907D1-C19E-46AF-BB96-E9DA02C66344}"/>
    <cellStyle name="Normal 2 2 2 2 2 2 2 20 2 7 2" xfId="12366" xr:uid="{CE54D765-F003-43EA-85D0-D1CED492241F}"/>
    <cellStyle name="Normal 2 2 2 2 2 2 2 20 2 7 2 2" xfId="12367" xr:uid="{505402E2-9C9D-4FDC-9EF9-F34D94756346}"/>
    <cellStyle name="Normal 2 2 2 2 2 2 2 20 2 7 2 3" xfId="12368" xr:uid="{B6851AA2-E8C4-4A70-BFFD-40EFAD352C53}"/>
    <cellStyle name="Normal 2 2 2 2 2 2 2 20 2 7 2 4" xfId="12369" xr:uid="{59DCD505-293C-483E-80CA-F6BEBD328861}"/>
    <cellStyle name="Normal 2 2 2 2 2 2 2 20 2 7 3" xfId="12370" xr:uid="{DCA022D2-BBD4-4410-BB27-7FCBE57705BA}"/>
    <cellStyle name="Normal 2 2 2 2 2 2 2 20 2 7 4" xfId="12371" xr:uid="{6EDC8142-63FB-431F-A8F9-A13E59A91E2B}"/>
    <cellStyle name="Normal 2 2 2 2 2 2 2 20 2 7 5" xfId="12372" xr:uid="{F3E917AC-F1AF-4624-A88C-04B66A064FF6}"/>
    <cellStyle name="Normal 2 2 2 2 2 2 2 20 2 7 6" xfId="12373" xr:uid="{51D31B80-77CA-492D-8CAD-CA973D41AFF6}"/>
    <cellStyle name="Normal 2 2 2 2 2 2 2 20 2 8" xfId="12374" xr:uid="{72DEDA6C-BB64-495B-8429-D2E9F84BBC97}"/>
    <cellStyle name="Normal 2 2 2 2 2 2 2 20 2 9" xfId="12375" xr:uid="{7BC57C31-B0D3-4336-85CF-FE65D48214E9}"/>
    <cellStyle name="Normal 2 2 2 2 2 2 2 20 20" xfId="12376" xr:uid="{346971DC-6525-4708-9E9D-83E445D89CB1}"/>
    <cellStyle name="Normal 2 2 2 2 2 2 2 20 21" xfId="12377" xr:uid="{2668BFFB-6904-4993-B30D-2F84324B2C99}"/>
    <cellStyle name="Normal 2 2 2 2 2 2 2 20 21 2" xfId="12378" xr:uid="{8A3141AA-C97A-48A3-97C4-47C373C09D27}"/>
    <cellStyle name="Normal 2 2 2 2 2 2 2 20 21 3" xfId="12379" xr:uid="{1BC329E4-BE43-41C6-BD69-D56E89FFC695}"/>
    <cellStyle name="Normal 2 2 2 2 2 2 2 20 21 4" xfId="12380" xr:uid="{4DBC6ED8-A415-41D3-827A-B6D5125C846E}"/>
    <cellStyle name="Normal 2 2 2 2 2 2 2 20 22" xfId="12381" xr:uid="{CA6D46A0-786E-4B97-BA26-EEC0EDAE5625}"/>
    <cellStyle name="Normal 2 2 2 2 2 2 2 20 23" xfId="12382" xr:uid="{B508AF6D-7E64-4004-928B-D4755A927085}"/>
    <cellStyle name="Normal 2 2 2 2 2 2 2 20 24" xfId="12383" xr:uid="{43548A9E-75C8-4D44-9867-DBE1971D3EC7}"/>
    <cellStyle name="Normal 2 2 2 2 2 2 2 20 3" xfId="12384" xr:uid="{5F2E210A-3D78-451A-8664-B13B2712997E}"/>
    <cellStyle name="Normal 2 2 2 2 2 2 2 20 4" xfId="12385" xr:uid="{851094EF-B999-4D91-B640-082A437DCB87}"/>
    <cellStyle name="Normal 2 2 2 2 2 2 2 20 5" xfId="12386" xr:uid="{4C7F4EE7-45F9-47C8-9C90-5D767E6A266C}"/>
    <cellStyle name="Normal 2 2 2 2 2 2 2 20 6" xfId="12387" xr:uid="{6D1D5563-3942-40EA-B49B-AAE8C118D5DE}"/>
    <cellStyle name="Normal 2 2 2 2 2 2 2 20 7" xfId="12388" xr:uid="{5DA7DBF7-27CC-4057-9007-DFB39F30CBCA}"/>
    <cellStyle name="Normal 2 2 2 2 2 2 2 20 8" xfId="12389" xr:uid="{2600319D-B4BF-47E3-9D9A-A0A6223D119B}"/>
    <cellStyle name="Normal 2 2 2 2 2 2 2 20 9" xfId="12390" xr:uid="{28F372E0-4716-46F4-B4A2-8693B4957529}"/>
    <cellStyle name="Normal 2 2 2 2 2 2 2 21" xfId="12391" xr:uid="{B5FD7DC0-B3D5-42FE-8411-C02FB2A85D2B}"/>
    <cellStyle name="Normal 2 2 2 2 2 2 2 21 10" xfId="12392" xr:uid="{E3DE84EB-E63B-4DBD-91C7-80CCD9FD6560}"/>
    <cellStyle name="Normal 2 2 2 2 2 2 2 21 11" xfId="12393" xr:uid="{1A2C6223-6DFD-4687-A56F-C277A1AED612}"/>
    <cellStyle name="Normal 2 2 2 2 2 2 2 21 12" xfId="12394" xr:uid="{10811C67-10DD-4A3E-B144-9AA1B5C5962F}"/>
    <cellStyle name="Normal 2 2 2 2 2 2 2 21 13" xfId="12395" xr:uid="{6F3DEFBC-28D4-40CE-BBCE-FC704B2F76EF}"/>
    <cellStyle name="Normal 2 2 2 2 2 2 2 21 13 2" xfId="12396" xr:uid="{A47C0D08-51A8-491B-88D7-9ACEA352CB92}"/>
    <cellStyle name="Normal 2 2 2 2 2 2 2 21 13 3" xfId="12397" xr:uid="{4D04BA2F-DF8C-43AB-BB4D-CE7144B91D6C}"/>
    <cellStyle name="Normal 2 2 2 2 2 2 2 21 13 4" xfId="12398" xr:uid="{186B3BE1-1C1A-492F-8356-05C8F5041DD8}"/>
    <cellStyle name="Normal 2 2 2 2 2 2 2 21 14" xfId="12399" xr:uid="{3894028B-8CE2-4FD2-8CA2-2F26A1DCE38F}"/>
    <cellStyle name="Normal 2 2 2 2 2 2 2 21 15" xfId="12400" xr:uid="{7074D63D-3ADC-44F7-B348-78C8E5FB52B0}"/>
    <cellStyle name="Normal 2 2 2 2 2 2 2 21 16" xfId="12401" xr:uid="{BD4B7D83-A823-42D2-8440-A617B9107F73}"/>
    <cellStyle name="Normal 2 2 2 2 2 2 2 21 2" xfId="12402" xr:uid="{6B46C0A7-4034-4B08-8753-2CDF30092CDA}"/>
    <cellStyle name="Normal 2 2 2 2 2 2 2 21 2 10" xfId="12403" xr:uid="{F388D647-8D82-4596-9FE6-D17B01B4A17D}"/>
    <cellStyle name="Normal 2 2 2 2 2 2 2 21 2 11" xfId="12404" xr:uid="{D606AC8D-EE9B-428E-A20A-CC4FDDF1932C}"/>
    <cellStyle name="Normal 2 2 2 2 2 2 2 21 2 11 2" xfId="12405" xr:uid="{CB21AECA-1685-40D5-83E2-7B2607D54C54}"/>
    <cellStyle name="Normal 2 2 2 2 2 2 2 21 2 11 3" xfId="12406" xr:uid="{E7549B11-B451-4C63-92D5-80ACCA975B19}"/>
    <cellStyle name="Normal 2 2 2 2 2 2 2 21 2 11 4" xfId="12407" xr:uid="{BAC7F7E4-C817-49B0-B05A-8029C0CAE14D}"/>
    <cellStyle name="Normal 2 2 2 2 2 2 2 21 2 12" xfId="12408" xr:uid="{0BDFF733-A82D-4CFE-A08A-56C721C47407}"/>
    <cellStyle name="Normal 2 2 2 2 2 2 2 21 2 13" xfId="12409" xr:uid="{A823205C-8D65-4FCC-9600-E9C984C2AC5A}"/>
    <cellStyle name="Normal 2 2 2 2 2 2 2 21 2 14" xfId="12410" xr:uid="{B3AA86A8-395D-464A-BE8A-D454794A29B0}"/>
    <cellStyle name="Normal 2 2 2 2 2 2 2 21 2 2" xfId="12411" xr:uid="{DA00D8E6-C941-4DF8-9EA9-F7BEC9A16196}"/>
    <cellStyle name="Normal 2 2 2 2 2 2 2 21 2 2 10" xfId="12412" xr:uid="{C66DA8A6-ED20-4187-9E1B-169A3D1D02CE}"/>
    <cellStyle name="Normal 2 2 2 2 2 2 2 21 2 2 11" xfId="12413" xr:uid="{9541F7DE-4835-438B-83A3-D30A7A5D43A5}"/>
    <cellStyle name="Normal 2 2 2 2 2 2 2 21 2 2 2" xfId="12414" xr:uid="{15C10C42-2BF1-4DCF-8A40-B9BC18933E7E}"/>
    <cellStyle name="Normal 2 2 2 2 2 2 2 21 2 2 2 10" xfId="12415" xr:uid="{3F3F751B-2965-4A0C-8E9C-B58F27013550}"/>
    <cellStyle name="Normal 2 2 2 2 2 2 2 21 2 2 2 11" xfId="12416" xr:uid="{B04C6F12-CB9E-4997-99CE-A8F69674899A}"/>
    <cellStyle name="Normal 2 2 2 2 2 2 2 21 2 2 2 2" xfId="12417" xr:uid="{A05688CE-FB26-4456-96D8-F33E0BC5731A}"/>
    <cellStyle name="Normal 2 2 2 2 2 2 2 21 2 2 2 2 2" xfId="12418" xr:uid="{90485C13-9CCD-4144-96C5-3446EA7A4F87}"/>
    <cellStyle name="Normal 2 2 2 2 2 2 2 21 2 2 2 2 2 2" xfId="12419" xr:uid="{953FBAE5-E917-4D81-A0A4-FD1C5AE5DCF1}"/>
    <cellStyle name="Normal 2 2 2 2 2 2 2 21 2 2 2 2 2 3" xfId="12420" xr:uid="{7AE6868E-015B-4653-9D6E-281FB7CF9ED7}"/>
    <cellStyle name="Normal 2 2 2 2 2 2 2 21 2 2 2 2 2 4" xfId="12421" xr:uid="{752938EF-F518-4573-8191-DA72A84F9687}"/>
    <cellStyle name="Normal 2 2 2 2 2 2 2 21 2 2 2 2 3" xfId="12422" xr:uid="{06E929EF-E715-4CC4-85D2-876733402C85}"/>
    <cellStyle name="Normal 2 2 2 2 2 2 2 21 2 2 2 2 4" xfId="12423" xr:uid="{BBA0DEFC-D573-439F-A4B5-29C9A4CE827E}"/>
    <cellStyle name="Normal 2 2 2 2 2 2 2 21 2 2 2 2 5" xfId="12424" xr:uid="{D268A3E7-A770-431B-B916-C89F664EAE96}"/>
    <cellStyle name="Normal 2 2 2 2 2 2 2 21 2 2 2 2 6" xfId="12425" xr:uid="{70EF63E4-53C3-48B4-BA85-D9BE926C161E}"/>
    <cellStyle name="Normal 2 2 2 2 2 2 2 21 2 2 2 3" xfId="12426" xr:uid="{55339C66-8D34-49B1-9CFC-75970D201321}"/>
    <cellStyle name="Normal 2 2 2 2 2 2 2 21 2 2 2 4" xfId="12427" xr:uid="{36E8A651-DC22-4056-89CD-572BEA2301CF}"/>
    <cellStyle name="Normal 2 2 2 2 2 2 2 21 2 2 2 5" xfId="12428" xr:uid="{BB842F54-DEFE-4653-81BD-5C0218A4FFDF}"/>
    <cellStyle name="Normal 2 2 2 2 2 2 2 21 2 2 2 6" xfId="12429" xr:uid="{88EF2049-3837-44CA-B5C9-00AF3896CE1E}"/>
    <cellStyle name="Normal 2 2 2 2 2 2 2 21 2 2 2 7" xfId="12430" xr:uid="{D7AE6E7E-7300-464A-AB90-A6A65ED38AF4}"/>
    <cellStyle name="Normal 2 2 2 2 2 2 2 21 2 2 2 8" xfId="12431" xr:uid="{0A00B8EB-DC27-44A6-BA70-5A72D16282E8}"/>
    <cellStyle name="Normal 2 2 2 2 2 2 2 21 2 2 2 8 2" xfId="12432" xr:uid="{542278FC-6B3A-498E-BF13-C7AFDEE68DDA}"/>
    <cellStyle name="Normal 2 2 2 2 2 2 2 21 2 2 2 8 3" xfId="12433" xr:uid="{8756D4A0-6ADE-446E-842C-9ACABA7CAF60}"/>
    <cellStyle name="Normal 2 2 2 2 2 2 2 21 2 2 2 8 4" xfId="12434" xr:uid="{868A4FA3-5A5B-41E8-A2AA-C8C3A297E222}"/>
    <cellStyle name="Normal 2 2 2 2 2 2 2 21 2 2 2 9" xfId="12435" xr:uid="{D41A9BCE-ABE9-45B2-907D-AE68AD89EB32}"/>
    <cellStyle name="Normal 2 2 2 2 2 2 2 21 2 2 3" xfId="12436" xr:uid="{FA24925B-8417-4DEC-817C-688CA5A5960E}"/>
    <cellStyle name="Normal 2 2 2 2 2 2 2 21 2 2 3 2" xfId="12437" xr:uid="{CF0D81C9-DB78-4FC8-88A1-22CAC02076ED}"/>
    <cellStyle name="Normal 2 2 2 2 2 2 2 21 2 2 3 2 2" xfId="12438" xr:uid="{CB4A4B16-5FE9-40FC-AE80-F03D51BAE9A2}"/>
    <cellStyle name="Normal 2 2 2 2 2 2 2 21 2 2 3 2 3" xfId="12439" xr:uid="{0CB70F92-EB65-45D3-A3AD-CD3F5DDC5B08}"/>
    <cellStyle name="Normal 2 2 2 2 2 2 2 21 2 2 3 2 4" xfId="12440" xr:uid="{FE9790B6-8B6F-4EDE-B65C-861647E6EAC5}"/>
    <cellStyle name="Normal 2 2 2 2 2 2 2 21 2 2 3 3" xfId="12441" xr:uid="{84110075-EB9B-4FEF-A134-44C8528833CD}"/>
    <cellStyle name="Normal 2 2 2 2 2 2 2 21 2 2 3 4" xfId="12442" xr:uid="{97FFE6C4-171A-4654-A43F-747AAE5018CF}"/>
    <cellStyle name="Normal 2 2 2 2 2 2 2 21 2 2 3 5" xfId="12443" xr:uid="{089A09FF-759B-4CE7-837F-EB2DB087F990}"/>
    <cellStyle name="Normal 2 2 2 2 2 2 2 21 2 2 3 6" xfId="12444" xr:uid="{83E463FE-D0CA-4B5E-93FB-C277DEA6AF1D}"/>
    <cellStyle name="Normal 2 2 2 2 2 2 2 21 2 2 4" xfId="12445" xr:uid="{54E6CF8F-503B-4E2F-A44D-B813C5FC6276}"/>
    <cellStyle name="Normal 2 2 2 2 2 2 2 21 2 2 5" xfId="12446" xr:uid="{95DA966D-BBB1-44D8-8BD8-BD06056E58BB}"/>
    <cellStyle name="Normal 2 2 2 2 2 2 2 21 2 2 6" xfId="12447" xr:uid="{94E22C7E-A484-4E7C-BB82-DAE55F6F1953}"/>
    <cellStyle name="Normal 2 2 2 2 2 2 2 21 2 2 7" xfId="12448" xr:uid="{34D24E22-C147-46E6-9A9B-096DA17CD726}"/>
    <cellStyle name="Normal 2 2 2 2 2 2 2 21 2 2 8" xfId="12449" xr:uid="{83D4626C-6C73-4AF9-B827-6A827E9FB8EC}"/>
    <cellStyle name="Normal 2 2 2 2 2 2 2 21 2 2 8 2" xfId="12450" xr:uid="{30DE640C-A8B1-4C61-B302-4F80B68CE89C}"/>
    <cellStyle name="Normal 2 2 2 2 2 2 2 21 2 2 8 3" xfId="12451" xr:uid="{62A77E12-7F46-499A-AD12-8EDE5039D124}"/>
    <cellStyle name="Normal 2 2 2 2 2 2 2 21 2 2 8 4" xfId="12452" xr:uid="{3A4456AA-9642-4A94-B29F-5D0CF1C49746}"/>
    <cellStyle name="Normal 2 2 2 2 2 2 2 21 2 2 9" xfId="12453" xr:uid="{3D683644-A909-4745-8D46-DF67D291E082}"/>
    <cellStyle name="Normal 2 2 2 2 2 2 2 21 2 3" xfId="12454" xr:uid="{42668878-A78A-4F15-870B-FFF063D4CA13}"/>
    <cellStyle name="Normal 2 2 2 2 2 2 2 21 2 4" xfId="12455" xr:uid="{6A6FBF7B-BFD0-44FA-8095-1FB47B02B312}"/>
    <cellStyle name="Normal 2 2 2 2 2 2 2 21 2 5" xfId="12456" xr:uid="{9A0A2787-CE4F-433C-B264-EA55830C807D}"/>
    <cellStyle name="Normal 2 2 2 2 2 2 2 21 2 5 2" xfId="12457" xr:uid="{85BD9620-9FDB-48E6-8AA4-90FCD4907C63}"/>
    <cellStyle name="Normal 2 2 2 2 2 2 2 21 2 5 2 2" xfId="12458" xr:uid="{DC3550A7-0582-4998-BD82-6466CE54C9EF}"/>
    <cellStyle name="Normal 2 2 2 2 2 2 2 21 2 5 2 3" xfId="12459" xr:uid="{8388F1D5-0BC4-48F8-9B8F-8B7CF2AAA59D}"/>
    <cellStyle name="Normal 2 2 2 2 2 2 2 21 2 5 2 4" xfId="12460" xr:uid="{B8646C77-431F-418F-9EB6-BF653F201C15}"/>
    <cellStyle name="Normal 2 2 2 2 2 2 2 21 2 5 3" xfId="12461" xr:uid="{DD267F4A-EDF4-462B-996F-F0EF4E658AC3}"/>
    <cellStyle name="Normal 2 2 2 2 2 2 2 21 2 5 4" xfId="12462" xr:uid="{786826AB-078B-42AB-8FE9-3E25189EB4DC}"/>
    <cellStyle name="Normal 2 2 2 2 2 2 2 21 2 5 5" xfId="12463" xr:uid="{6B4329DC-B45B-4872-8363-F62DE5534CE3}"/>
    <cellStyle name="Normal 2 2 2 2 2 2 2 21 2 5 6" xfId="12464" xr:uid="{2F68E887-5185-429A-A05E-47262ACBE25E}"/>
    <cellStyle name="Normal 2 2 2 2 2 2 2 21 2 6" xfId="12465" xr:uid="{E9A152C7-D1F2-4AC2-A023-392E5AF78AA4}"/>
    <cellStyle name="Normal 2 2 2 2 2 2 2 21 2 7" xfId="12466" xr:uid="{DBB4E7A1-637E-48B0-B4DF-A991CA242374}"/>
    <cellStyle name="Normal 2 2 2 2 2 2 2 21 2 8" xfId="12467" xr:uid="{C3A0A222-EAA2-4135-AE09-3FC26DE7ECB3}"/>
    <cellStyle name="Normal 2 2 2 2 2 2 2 21 2 9" xfId="12468" xr:uid="{4D02F98C-3E21-49A2-8F69-FA7ECD476442}"/>
    <cellStyle name="Normal 2 2 2 2 2 2 2 21 3" xfId="12469" xr:uid="{F8F996AB-87DF-4CAC-9632-8933556A7B82}"/>
    <cellStyle name="Normal 2 2 2 2 2 2 2 21 4" xfId="12470" xr:uid="{F46539E5-1E57-40C4-95E8-9A2DE5E40084}"/>
    <cellStyle name="Normal 2 2 2 2 2 2 2 21 5" xfId="12471" xr:uid="{0DF73A45-C87A-4684-A6CD-AED9B8F75801}"/>
    <cellStyle name="Normal 2 2 2 2 2 2 2 21 5 10" xfId="12472" xr:uid="{226DE319-4873-4F91-BCB1-81380367381F}"/>
    <cellStyle name="Normal 2 2 2 2 2 2 2 21 5 11" xfId="12473" xr:uid="{FEB58065-0A2B-4CA1-B087-259DDC7A773C}"/>
    <cellStyle name="Normal 2 2 2 2 2 2 2 21 5 2" xfId="12474" xr:uid="{C0EFFFEE-CC24-47BC-8CD1-76441FA20A4E}"/>
    <cellStyle name="Normal 2 2 2 2 2 2 2 21 5 2 10" xfId="12475" xr:uid="{0AD5CFB0-9991-4727-AE49-47BC3648CB31}"/>
    <cellStyle name="Normal 2 2 2 2 2 2 2 21 5 2 11" xfId="12476" xr:uid="{C8FBAF08-70B1-42DB-B9F5-8F5885AA97C9}"/>
    <cellStyle name="Normal 2 2 2 2 2 2 2 21 5 2 2" xfId="12477" xr:uid="{E9CA6210-C82E-4916-BF3F-F0D2F6EC0217}"/>
    <cellStyle name="Normal 2 2 2 2 2 2 2 21 5 2 2 2" xfId="12478" xr:uid="{298B4BD3-C210-4458-8765-0C0BD7B90877}"/>
    <cellStyle name="Normal 2 2 2 2 2 2 2 21 5 2 2 2 2" xfId="12479" xr:uid="{8EC0153E-A096-4AB2-9E62-579643CBD1B2}"/>
    <cellStyle name="Normal 2 2 2 2 2 2 2 21 5 2 2 2 3" xfId="12480" xr:uid="{8444F17F-8EF7-4A84-8B0F-7CAD1054A23C}"/>
    <cellStyle name="Normal 2 2 2 2 2 2 2 21 5 2 2 2 4" xfId="12481" xr:uid="{F60EEF33-DCB5-4106-A653-D59E4571077A}"/>
    <cellStyle name="Normal 2 2 2 2 2 2 2 21 5 2 2 3" xfId="12482" xr:uid="{EC2BBEC6-62D7-4F4B-9A50-BDF8FBD1C427}"/>
    <cellStyle name="Normal 2 2 2 2 2 2 2 21 5 2 2 4" xfId="12483" xr:uid="{E7C9FBB5-2A7C-4C9E-B4C7-5AA13A33820A}"/>
    <cellStyle name="Normal 2 2 2 2 2 2 2 21 5 2 2 5" xfId="12484" xr:uid="{C275ADD9-0669-462C-8E17-B123079D1825}"/>
    <cellStyle name="Normal 2 2 2 2 2 2 2 21 5 2 2 6" xfId="12485" xr:uid="{524EB425-91A2-41FC-8DB4-E5C7A1D66421}"/>
    <cellStyle name="Normal 2 2 2 2 2 2 2 21 5 2 3" xfId="12486" xr:uid="{7AFCEF3C-CFC1-4A96-BC4B-AD66C9650F8B}"/>
    <cellStyle name="Normal 2 2 2 2 2 2 2 21 5 2 4" xfId="12487" xr:uid="{A3EE3688-68E1-4139-8B34-CBE6DBD89A72}"/>
    <cellStyle name="Normal 2 2 2 2 2 2 2 21 5 2 5" xfId="12488" xr:uid="{76BD7128-B052-444D-AF1C-211EEDEB6E86}"/>
    <cellStyle name="Normal 2 2 2 2 2 2 2 21 5 2 6" xfId="12489" xr:uid="{A6A6C5A3-1301-411B-8779-1EB0D600F380}"/>
    <cellStyle name="Normal 2 2 2 2 2 2 2 21 5 2 7" xfId="12490" xr:uid="{A2D78689-A399-44E5-8371-EE8F469811ED}"/>
    <cellStyle name="Normal 2 2 2 2 2 2 2 21 5 2 8" xfId="12491" xr:uid="{2A939325-7623-4F9A-9661-9CC097394190}"/>
    <cellStyle name="Normal 2 2 2 2 2 2 2 21 5 2 8 2" xfId="12492" xr:uid="{8F1B09DD-3CC4-42BF-A06B-BA63E2639C54}"/>
    <cellStyle name="Normal 2 2 2 2 2 2 2 21 5 2 8 3" xfId="12493" xr:uid="{3F41F621-568F-41CB-8286-2676CC1CBC97}"/>
    <cellStyle name="Normal 2 2 2 2 2 2 2 21 5 2 8 4" xfId="12494" xr:uid="{55F93C6E-FB0F-460B-9B22-040B7AE4A98D}"/>
    <cellStyle name="Normal 2 2 2 2 2 2 2 21 5 2 9" xfId="12495" xr:uid="{9B1F9E94-F660-436C-BC13-F8736093D8E5}"/>
    <cellStyle name="Normal 2 2 2 2 2 2 2 21 5 3" xfId="12496" xr:uid="{99CFDC1D-6A0A-4C06-B748-4EDE249909B7}"/>
    <cellStyle name="Normal 2 2 2 2 2 2 2 21 5 3 2" xfId="12497" xr:uid="{93ABF940-E463-4A7A-9B94-D463544A55CE}"/>
    <cellStyle name="Normal 2 2 2 2 2 2 2 21 5 3 2 2" xfId="12498" xr:uid="{4C233424-A44B-41CC-A391-FB7D68126EFA}"/>
    <cellStyle name="Normal 2 2 2 2 2 2 2 21 5 3 2 3" xfId="12499" xr:uid="{1696ED36-7EF8-410A-8AA3-01BF78ADC716}"/>
    <cellStyle name="Normal 2 2 2 2 2 2 2 21 5 3 2 4" xfId="12500" xr:uid="{7900D913-2803-4DC1-B81D-A98F2BE7BA5C}"/>
    <cellStyle name="Normal 2 2 2 2 2 2 2 21 5 3 3" xfId="12501" xr:uid="{11F03190-1667-42B0-AE9B-27378B5E3C84}"/>
    <cellStyle name="Normal 2 2 2 2 2 2 2 21 5 3 4" xfId="12502" xr:uid="{6D48522F-57F0-4BBE-BC78-DEC705946335}"/>
    <cellStyle name="Normal 2 2 2 2 2 2 2 21 5 3 5" xfId="12503" xr:uid="{E2DDD943-5899-4A9E-828D-372934D8F7A6}"/>
    <cellStyle name="Normal 2 2 2 2 2 2 2 21 5 3 6" xfId="12504" xr:uid="{A7F36A7F-84EC-4C10-8DD4-EDBCA11176EA}"/>
    <cellStyle name="Normal 2 2 2 2 2 2 2 21 5 4" xfId="12505" xr:uid="{FEE64758-D9D5-4E1B-8978-78A112E0DAF1}"/>
    <cellStyle name="Normal 2 2 2 2 2 2 2 21 5 5" xfId="12506" xr:uid="{9119F500-77FD-4277-92D4-10B51FA48570}"/>
    <cellStyle name="Normal 2 2 2 2 2 2 2 21 5 6" xfId="12507" xr:uid="{DFCE8C70-1313-4CAB-8142-C7BD357AD359}"/>
    <cellStyle name="Normal 2 2 2 2 2 2 2 21 5 7" xfId="12508" xr:uid="{3AD19E42-16D1-4E70-9CDC-14D2046E8EC8}"/>
    <cellStyle name="Normal 2 2 2 2 2 2 2 21 5 8" xfId="12509" xr:uid="{18AEE9DD-C88C-4A5F-971C-8CFF3CE2D998}"/>
    <cellStyle name="Normal 2 2 2 2 2 2 2 21 5 8 2" xfId="12510" xr:uid="{13220B2A-BF15-45A2-B9C1-14A9003B7C85}"/>
    <cellStyle name="Normal 2 2 2 2 2 2 2 21 5 8 3" xfId="12511" xr:uid="{2FE5DED8-4177-4C1C-A442-B4207FB08869}"/>
    <cellStyle name="Normal 2 2 2 2 2 2 2 21 5 8 4" xfId="12512" xr:uid="{E8FB85D0-C9BA-4C5B-93F1-5AB7D6C655F8}"/>
    <cellStyle name="Normal 2 2 2 2 2 2 2 21 5 9" xfId="12513" xr:uid="{376A2AF5-B6EA-48EF-872A-DD73FF4DCD16}"/>
    <cellStyle name="Normal 2 2 2 2 2 2 2 21 6" xfId="12514" xr:uid="{B68AE1D7-890B-421B-A097-19AEE16B5D1A}"/>
    <cellStyle name="Normal 2 2 2 2 2 2 2 21 7" xfId="12515" xr:uid="{C526BE36-03BF-4717-BBC2-F75200EBC5D3}"/>
    <cellStyle name="Normal 2 2 2 2 2 2 2 21 7 2" xfId="12516" xr:uid="{6624ED69-F15E-4AFB-BF91-09FA4E65C1F7}"/>
    <cellStyle name="Normal 2 2 2 2 2 2 2 21 7 2 2" xfId="12517" xr:uid="{9AEB1F4A-F41E-4FCC-90CE-E61F37CCF3B2}"/>
    <cellStyle name="Normal 2 2 2 2 2 2 2 21 7 2 3" xfId="12518" xr:uid="{DF1648CE-A332-4A24-9675-1E29435C8353}"/>
    <cellStyle name="Normal 2 2 2 2 2 2 2 21 7 2 4" xfId="12519" xr:uid="{8682E6F1-6346-4A29-A8D3-C7B0542EB8FF}"/>
    <cellStyle name="Normal 2 2 2 2 2 2 2 21 7 3" xfId="12520" xr:uid="{77826EDD-E922-4B31-8173-30CD6979FD16}"/>
    <cellStyle name="Normal 2 2 2 2 2 2 2 21 7 4" xfId="12521" xr:uid="{8E89F94A-0000-43F8-A067-1EC66E00A7AA}"/>
    <cellStyle name="Normal 2 2 2 2 2 2 2 21 7 5" xfId="12522" xr:uid="{B51CD2E4-494B-442F-8169-237012512E09}"/>
    <cellStyle name="Normal 2 2 2 2 2 2 2 21 7 6" xfId="12523" xr:uid="{9A15D7FE-6C88-4148-8705-0853D1F49A76}"/>
    <cellStyle name="Normal 2 2 2 2 2 2 2 21 8" xfId="12524" xr:uid="{972B81F7-8CE5-485B-BD5E-7251BBD814EF}"/>
    <cellStyle name="Normal 2 2 2 2 2 2 2 21 9" xfId="12525" xr:uid="{255FDC56-C702-4CF2-8A2E-28BE850F4F82}"/>
    <cellStyle name="Normal 2 2 2 2 2 2 2 22" xfId="12526" xr:uid="{D5B07567-0F7C-44AF-A64C-CCC4F5E925AD}"/>
    <cellStyle name="Normal 2 2 2 2 2 2 2 23" xfId="12527" xr:uid="{66E08B2B-D594-4720-88E2-39657DD517FF}"/>
    <cellStyle name="Normal 2 2 2 2 2 2 2 24" xfId="12528" xr:uid="{51EAD802-F2FD-49F4-810C-33D28E58B4BE}"/>
    <cellStyle name="Normal 2 2 2 2 2 2 2 25" xfId="12529" xr:uid="{8813EAC4-7CAC-4E94-8AF3-2D7DB8E956FA}"/>
    <cellStyle name="Normal 2 2 2 2 2 2 2 26" xfId="12530" xr:uid="{DDAE1456-92BF-452F-BB65-3C70E8E079AC}"/>
    <cellStyle name="Normal 2 2 2 2 2 2 2 27" xfId="12531" xr:uid="{04E0C9FA-CB42-4524-8E0F-3067E1D57F41}"/>
    <cellStyle name="Normal 2 2 2 2 2 2 2 28" xfId="12532" xr:uid="{BC65D6F7-2C73-48C7-82E3-2A58D4053191}"/>
    <cellStyle name="Normal 2 2 2 2 2 2 2 29" xfId="12533" xr:uid="{2C1B59C7-1D09-4CBB-BDB3-A680BAFAADBF}"/>
    <cellStyle name="Normal 2 2 2 2 2 2 2 29 10" xfId="12534" xr:uid="{4594734C-2CC3-453D-A1F1-57221F60DEA4}"/>
    <cellStyle name="Normal 2 2 2 2 2 2 2 29 11" xfId="12535" xr:uid="{372ABFDB-C06E-4045-BC20-BBCA99E322C4}"/>
    <cellStyle name="Normal 2 2 2 2 2 2 2 29 11 2" xfId="12536" xr:uid="{CD9F8D24-7278-404D-BC59-E0CED2131939}"/>
    <cellStyle name="Normal 2 2 2 2 2 2 2 29 11 3" xfId="12537" xr:uid="{67C10FA4-DEDA-4422-9415-7E441D0A37F2}"/>
    <cellStyle name="Normal 2 2 2 2 2 2 2 29 11 4" xfId="12538" xr:uid="{E5E2FB56-2698-494D-8826-6F4CF0C5F5EA}"/>
    <cellStyle name="Normal 2 2 2 2 2 2 2 29 12" xfId="12539" xr:uid="{21C77A5C-D94C-4CD4-A5F9-46523E4BC8B9}"/>
    <cellStyle name="Normal 2 2 2 2 2 2 2 29 13" xfId="12540" xr:uid="{C40AE154-4450-48F2-B2AB-403E72AE7272}"/>
    <cellStyle name="Normal 2 2 2 2 2 2 2 29 14" xfId="12541" xr:uid="{173E1113-C4FE-40EE-9E1D-631DDA95991D}"/>
    <cellStyle name="Normal 2 2 2 2 2 2 2 29 2" xfId="12542" xr:uid="{CCDA1F7D-831B-45C4-A6AF-22727A6E85D5}"/>
    <cellStyle name="Normal 2 2 2 2 2 2 2 29 2 10" xfId="12543" xr:uid="{207EFC17-30DE-4BF9-8F9A-EB21AF5BA7FF}"/>
    <cellStyle name="Normal 2 2 2 2 2 2 2 29 2 11" xfId="12544" xr:uid="{D39E5747-B02A-4670-A620-F32D97E40141}"/>
    <cellStyle name="Normal 2 2 2 2 2 2 2 29 2 2" xfId="12545" xr:uid="{3FBA7ACE-3694-4361-9D86-18D806E631FF}"/>
    <cellStyle name="Normal 2 2 2 2 2 2 2 29 2 2 10" xfId="12546" xr:uid="{56CE2E18-EE4E-4E1F-AC19-F97A23997435}"/>
    <cellStyle name="Normal 2 2 2 2 2 2 2 29 2 2 11" xfId="12547" xr:uid="{6807340C-B599-42A9-ACD2-13DCE24E6107}"/>
    <cellStyle name="Normal 2 2 2 2 2 2 2 29 2 2 2" xfId="12548" xr:uid="{7F72B168-5A4F-4BDD-82F6-10F5E138BA39}"/>
    <cellStyle name="Normal 2 2 2 2 2 2 2 29 2 2 2 2" xfId="12549" xr:uid="{9886EEF7-D4A1-48A6-98B4-68CEEFCDB266}"/>
    <cellStyle name="Normal 2 2 2 2 2 2 2 29 2 2 2 2 2" xfId="12550" xr:uid="{FA7C1ECF-AE85-4A63-ACC7-164FC25FD81E}"/>
    <cellStyle name="Normal 2 2 2 2 2 2 2 29 2 2 2 2 3" xfId="12551" xr:uid="{1BBE8D90-F8BF-4E4C-965C-B67DCBD68105}"/>
    <cellStyle name="Normal 2 2 2 2 2 2 2 29 2 2 2 2 4" xfId="12552" xr:uid="{192329DC-A011-4BDF-AF1B-11B7D5C692EB}"/>
    <cellStyle name="Normal 2 2 2 2 2 2 2 29 2 2 2 3" xfId="12553" xr:uid="{07A25251-4061-4BD9-A899-E22A4855B42D}"/>
    <cellStyle name="Normal 2 2 2 2 2 2 2 29 2 2 2 4" xfId="12554" xr:uid="{E399306B-64E7-476C-8152-7FD07322D815}"/>
    <cellStyle name="Normal 2 2 2 2 2 2 2 29 2 2 2 5" xfId="12555" xr:uid="{DF4FECB6-A3A8-4E5A-AD8C-1DD857A55FAA}"/>
    <cellStyle name="Normal 2 2 2 2 2 2 2 29 2 2 2 6" xfId="12556" xr:uid="{D1CC1D93-9213-412C-B3F2-5C6F2797C0D9}"/>
    <cellStyle name="Normal 2 2 2 2 2 2 2 29 2 2 3" xfId="12557" xr:uid="{85FF6298-5E23-42FC-8BC2-B77E34676B57}"/>
    <cellStyle name="Normal 2 2 2 2 2 2 2 29 2 2 4" xfId="12558" xr:uid="{E2A394F5-D218-4190-9ACA-3AFB2CEB1203}"/>
    <cellStyle name="Normal 2 2 2 2 2 2 2 29 2 2 5" xfId="12559" xr:uid="{DFDD440B-0B0E-4AEC-8653-834B473323EB}"/>
    <cellStyle name="Normal 2 2 2 2 2 2 2 29 2 2 6" xfId="12560" xr:uid="{79A86AA4-04B8-44E3-BA7E-B07EC4B0D32F}"/>
    <cellStyle name="Normal 2 2 2 2 2 2 2 29 2 2 7" xfId="12561" xr:uid="{A14F122A-EC91-405E-84EF-FCD48831D3C1}"/>
    <cellStyle name="Normal 2 2 2 2 2 2 2 29 2 2 8" xfId="12562" xr:uid="{A6CD6035-032A-4F75-9AF3-4B7A9D297785}"/>
    <cellStyle name="Normal 2 2 2 2 2 2 2 29 2 2 8 2" xfId="12563" xr:uid="{6BB4D1D5-671B-46F3-B269-5E2781A388F3}"/>
    <cellStyle name="Normal 2 2 2 2 2 2 2 29 2 2 8 3" xfId="12564" xr:uid="{E85EF527-A0F0-4BA8-887F-E4BBB6FDDDBD}"/>
    <cellStyle name="Normal 2 2 2 2 2 2 2 29 2 2 8 4" xfId="12565" xr:uid="{561C91B9-F885-4751-A837-3E575D64B860}"/>
    <cellStyle name="Normal 2 2 2 2 2 2 2 29 2 2 9" xfId="12566" xr:uid="{9ACC3C5C-1C6D-4DB3-8ABE-4AF7A4B7D85A}"/>
    <cellStyle name="Normal 2 2 2 2 2 2 2 29 2 3" xfId="12567" xr:uid="{DDAD9966-BF77-478D-A0CB-B5BAA7B40F60}"/>
    <cellStyle name="Normal 2 2 2 2 2 2 2 29 2 3 2" xfId="12568" xr:uid="{31C68A38-3525-4358-B063-C382DF602255}"/>
    <cellStyle name="Normal 2 2 2 2 2 2 2 29 2 3 2 2" xfId="12569" xr:uid="{67C18166-27AE-4BAD-A6FF-4BFE05DC3D93}"/>
    <cellStyle name="Normal 2 2 2 2 2 2 2 29 2 3 2 3" xfId="12570" xr:uid="{A04607A7-241B-4787-9BED-824380C22B0A}"/>
    <cellStyle name="Normal 2 2 2 2 2 2 2 29 2 3 2 4" xfId="12571" xr:uid="{680746BF-4F9F-41D3-82DA-8821F939E197}"/>
    <cellStyle name="Normal 2 2 2 2 2 2 2 29 2 3 3" xfId="12572" xr:uid="{CA0998BC-16AD-4E70-8565-2312D555BAFC}"/>
    <cellStyle name="Normal 2 2 2 2 2 2 2 29 2 3 4" xfId="12573" xr:uid="{E9B41E8C-744D-43B8-BD8E-F570A294195B}"/>
    <cellStyle name="Normal 2 2 2 2 2 2 2 29 2 3 5" xfId="12574" xr:uid="{2F444B61-F2AD-4FBD-B0EC-0BD1605B2475}"/>
    <cellStyle name="Normal 2 2 2 2 2 2 2 29 2 3 6" xfId="12575" xr:uid="{91AE96CD-FE71-4DD3-B014-4EAFBCEAA771}"/>
    <cellStyle name="Normal 2 2 2 2 2 2 2 29 2 4" xfId="12576" xr:uid="{CAF7DA9B-4FC3-48BF-9432-61865E265829}"/>
    <cellStyle name="Normal 2 2 2 2 2 2 2 29 2 5" xfId="12577" xr:uid="{FE11D5AD-E695-47B3-8C81-E3382850E00D}"/>
    <cellStyle name="Normal 2 2 2 2 2 2 2 29 2 6" xfId="12578" xr:uid="{4CEA4421-6A89-417A-BFF8-4AC4C44633C7}"/>
    <cellStyle name="Normal 2 2 2 2 2 2 2 29 2 7" xfId="12579" xr:uid="{A017C6B1-542A-49F2-BD42-C0FF915B5C33}"/>
    <cellStyle name="Normal 2 2 2 2 2 2 2 29 2 8" xfId="12580" xr:uid="{DA4A00A1-9521-42DD-8EF7-B424B9970D07}"/>
    <cellStyle name="Normal 2 2 2 2 2 2 2 29 2 8 2" xfId="12581" xr:uid="{6874DF2C-17A5-4F2E-BFFC-F72FD2CFC1AB}"/>
    <cellStyle name="Normal 2 2 2 2 2 2 2 29 2 8 3" xfId="12582" xr:uid="{E3D94FAC-ADE5-4AA7-BCD9-F288888263CC}"/>
    <cellStyle name="Normal 2 2 2 2 2 2 2 29 2 8 4" xfId="12583" xr:uid="{ACC4618E-0B0A-46D4-8C7E-571AB9A6E08B}"/>
    <cellStyle name="Normal 2 2 2 2 2 2 2 29 2 9" xfId="12584" xr:uid="{A614B16B-504D-49D8-AC94-B69C3B9E9886}"/>
    <cellStyle name="Normal 2 2 2 2 2 2 2 29 3" xfId="12585" xr:uid="{BEFE4455-C6B3-452E-B54E-B8550F0D6692}"/>
    <cellStyle name="Normal 2 2 2 2 2 2 2 29 4" xfId="12586" xr:uid="{016FF79B-F02F-412C-B5A6-E1AE4323399F}"/>
    <cellStyle name="Normal 2 2 2 2 2 2 2 29 5" xfId="12587" xr:uid="{B0D98DB3-4973-4218-87DF-CFFBE762F870}"/>
    <cellStyle name="Normal 2 2 2 2 2 2 2 29 5 2" xfId="12588" xr:uid="{34EEBABE-691A-4B59-99AC-DB60DEFD3166}"/>
    <cellStyle name="Normal 2 2 2 2 2 2 2 29 5 2 2" xfId="12589" xr:uid="{2FFBC8B8-A260-451E-9572-646FE828378E}"/>
    <cellStyle name="Normal 2 2 2 2 2 2 2 29 5 2 3" xfId="12590" xr:uid="{0FA7BC6E-F659-4E6E-9970-337FFDD851DC}"/>
    <cellStyle name="Normal 2 2 2 2 2 2 2 29 5 2 4" xfId="12591" xr:uid="{0426137B-FC69-41C4-B8FA-D7D93562B898}"/>
    <cellStyle name="Normal 2 2 2 2 2 2 2 29 5 3" xfId="12592" xr:uid="{C9092D7C-8996-4033-A579-4522FCF29321}"/>
    <cellStyle name="Normal 2 2 2 2 2 2 2 29 5 4" xfId="12593" xr:uid="{6E5A9714-BAD6-4DDE-BC77-60CFF056F4D2}"/>
    <cellStyle name="Normal 2 2 2 2 2 2 2 29 5 5" xfId="12594" xr:uid="{49F0A075-4E31-42E9-B907-0B07C31E375B}"/>
    <cellStyle name="Normal 2 2 2 2 2 2 2 29 5 6" xfId="12595" xr:uid="{BB75D4F7-2718-446F-B28C-26CB8EDCF6DD}"/>
    <cellStyle name="Normal 2 2 2 2 2 2 2 29 6" xfId="12596" xr:uid="{B1EEF85F-7075-481F-9BED-64424E08AF4E}"/>
    <cellStyle name="Normal 2 2 2 2 2 2 2 29 7" xfId="12597" xr:uid="{F45ECEB2-552F-47CC-BC84-E52EA529D7E0}"/>
    <cellStyle name="Normal 2 2 2 2 2 2 2 29 8" xfId="12598" xr:uid="{6FB24624-9472-4813-8A8B-2DC8B5211554}"/>
    <cellStyle name="Normal 2 2 2 2 2 2 2 29 9" xfId="12599" xr:uid="{9617FCF9-9952-4991-AB29-8AED50C0138F}"/>
    <cellStyle name="Normal 2 2 2 2 2 2 2 3" xfId="12600" xr:uid="{024FD0C2-304B-4463-A4E3-4B9A0765C179}"/>
    <cellStyle name="Normal 2 2 2 2 2 2 2 30" xfId="12601" xr:uid="{75317A54-186A-460E-A499-1961D239C6CB}"/>
    <cellStyle name="Normal 2 2 2 2 2 2 2 31" xfId="12602" xr:uid="{F234A843-92B1-44C1-91A7-E6B79297DEE7}"/>
    <cellStyle name="Normal 2 2 2 2 2 2 2 31 10" xfId="12603" xr:uid="{6257BF3E-0C5E-4FEB-B503-856ABD4B22BB}"/>
    <cellStyle name="Normal 2 2 2 2 2 2 2 31 11" xfId="12604" xr:uid="{7DC7FEF5-1BF1-44FF-9E6E-935BB310CB50}"/>
    <cellStyle name="Normal 2 2 2 2 2 2 2 31 2" xfId="12605" xr:uid="{3D72E2D0-8074-4D36-8826-B753D599799F}"/>
    <cellStyle name="Normal 2 2 2 2 2 2 2 31 2 10" xfId="12606" xr:uid="{3FEACD3A-6765-4110-BBF1-51A945A81A24}"/>
    <cellStyle name="Normal 2 2 2 2 2 2 2 31 2 11" xfId="12607" xr:uid="{4412C64A-90B6-4072-824F-2FDAF4D13D20}"/>
    <cellStyle name="Normal 2 2 2 2 2 2 2 31 2 2" xfId="12608" xr:uid="{9B0C9DE0-24F1-418E-8FD5-E5DAEDC51A63}"/>
    <cellStyle name="Normal 2 2 2 2 2 2 2 31 2 2 2" xfId="12609" xr:uid="{7FA4012F-4A3D-45BC-A9CA-D73293B21949}"/>
    <cellStyle name="Normal 2 2 2 2 2 2 2 31 2 2 2 2" xfId="12610" xr:uid="{6DF0C7F4-F5F9-4F41-B4B2-BDB6A3BCA74D}"/>
    <cellStyle name="Normal 2 2 2 2 2 2 2 31 2 2 2 3" xfId="12611" xr:uid="{BB9A2091-07E4-4626-BA31-3C56AE69E7E0}"/>
    <cellStyle name="Normal 2 2 2 2 2 2 2 31 2 2 2 4" xfId="12612" xr:uid="{2374DA1C-7CEA-4BAA-BEA2-ABF18DF34773}"/>
    <cellStyle name="Normal 2 2 2 2 2 2 2 31 2 2 3" xfId="12613" xr:uid="{B03ABF3E-5139-4DA6-8BC9-E1F26DBD4B8C}"/>
    <cellStyle name="Normal 2 2 2 2 2 2 2 31 2 2 4" xfId="12614" xr:uid="{02B18BFE-F3E5-4381-A700-07B540F7F9CE}"/>
    <cellStyle name="Normal 2 2 2 2 2 2 2 31 2 2 5" xfId="12615" xr:uid="{B21F2FF4-1F29-44A8-BFD3-D4650E8BCAD2}"/>
    <cellStyle name="Normal 2 2 2 2 2 2 2 31 2 2 6" xfId="12616" xr:uid="{BE02FF8D-0EEA-4EEB-BFC9-A6A7A500147C}"/>
    <cellStyle name="Normal 2 2 2 2 2 2 2 31 2 3" xfId="12617" xr:uid="{4846D95C-E4CE-49E6-BAE9-2BA3A499D941}"/>
    <cellStyle name="Normal 2 2 2 2 2 2 2 31 2 4" xfId="12618" xr:uid="{B2F1E754-4138-47FE-8F4C-3BFF990D6B90}"/>
    <cellStyle name="Normal 2 2 2 2 2 2 2 31 2 5" xfId="12619" xr:uid="{D00FF42A-A63F-4317-86E0-2B4257988E5F}"/>
    <cellStyle name="Normal 2 2 2 2 2 2 2 31 2 6" xfId="12620" xr:uid="{5F22E6B4-78ED-4D6A-BD36-47008A5ACEDF}"/>
    <cellStyle name="Normal 2 2 2 2 2 2 2 31 2 7" xfId="12621" xr:uid="{20648710-E77C-418C-8D23-74922D6858C0}"/>
    <cellStyle name="Normal 2 2 2 2 2 2 2 31 2 8" xfId="12622" xr:uid="{27019B25-29E6-419C-8E72-1212C329F60E}"/>
    <cellStyle name="Normal 2 2 2 2 2 2 2 31 2 8 2" xfId="12623" xr:uid="{D99AF107-6143-4395-A23E-E1BB434EAC07}"/>
    <cellStyle name="Normal 2 2 2 2 2 2 2 31 2 8 3" xfId="12624" xr:uid="{1290AFCE-E940-4097-9CA2-81502C7EA16F}"/>
    <cellStyle name="Normal 2 2 2 2 2 2 2 31 2 8 4" xfId="12625" xr:uid="{0F7C8736-4D8E-42FA-8266-9F99C2587DC7}"/>
    <cellStyle name="Normal 2 2 2 2 2 2 2 31 2 9" xfId="12626" xr:uid="{FBBB50A8-AC31-4240-AAE5-96369835F482}"/>
    <cellStyle name="Normal 2 2 2 2 2 2 2 31 3" xfId="12627" xr:uid="{6AAFE4AB-8C97-4C38-B9C9-6B7A1CCE5DB6}"/>
    <cellStyle name="Normal 2 2 2 2 2 2 2 31 3 2" xfId="12628" xr:uid="{00382322-7F74-4D37-8873-9F73DCCD4C1C}"/>
    <cellStyle name="Normal 2 2 2 2 2 2 2 31 3 2 2" xfId="12629" xr:uid="{A48E183B-EA8B-4C6C-8A0D-242EAF3C58F4}"/>
    <cellStyle name="Normal 2 2 2 2 2 2 2 31 3 2 3" xfId="12630" xr:uid="{D84EEDAC-3E40-4679-9EA9-6FEE7DAC72A1}"/>
    <cellStyle name="Normal 2 2 2 2 2 2 2 31 3 2 4" xfId="12631" xr:uid="{1CC82848-78DF-41E8-97EA-7438D38766B3}"/>
    <cellStyle name="Normal 2 2 2 2 2 2 2 31 3 3" xfId="12632" xr:uid="{EE4982E7-8615-4F7D-9893-61033E6F5A74}"/>
    <cellStyle name="Normal 2 2 2 2 2 2 2 31 3 4" xfId="12633" xr:uid="{D0821624-85B8-4E1A-A312-F72BAB79D554}"/>
    <cellStyle name="Normal 2 2 2 2 2 2 2 31 3 5" xfId="12634" xr:uid="{5A544EE3-20D1-4F7F-A23A-76DA6680C189}"/>
    <cellStyle name="Normal 2 2 2 2 2 2 2 31 3 6" xfId="12635" xr:uid="{550F5CDA-DA56-46D3-949D-383B89C01488}"/>
    <cellStyle name="Normal 2 2 2 2 2 2 2 31 4" xfId="12636" xr:uid="{FB713951-77B6-48C6-90F0-90032FFEE843}"/>
    <cellStyle name="Normal 2 2 2 2 2 2 2 31 5" xfId="12637" xr:uid="{A39AA49D-2B4D-4604-B929-DBF055F56203}"/>
    <cellStyle name="Normal 2 2 2 2 2 2 2 31 6" xfId="12638" xr:uid="{F1CB2C30-ADEA-4AE4-9E6D-58FCD6F36FD3}"/>
    <cellStyle name="Normal 2 2 2 2 2 2 2 31 7" xfId="12639" xr:uid="{A0CE66B7-9439-4F26-AA50-191B058AFABB}"/>
    <cellStyle name="Normal 2 2 2 2 2 2 2 31 8" xfId="12640" xr:uid="{CC9DEDFE-5EC3-401E-A788-ED6A602EDFEF}"/>
    <cellStyle name="Normal 2 2 2 2 2 2 2 31 8 2" xfId="12641" xr:uid="{D9508029-C30A-4272-A101-2A37003E490A}"/>
    <cellStyle name="Normal 2 2 2 2 2 2 2 31 8 3" xfId="12642" xr:uid="{D7B0CED2-356B-44F8-9FF7-4D94DA927000}"/>
    <cellStyle name="Normal 2 2 2 2 2 2 2 31 8 4" xfId="12643" xr:uid="{A20A9A2F-8410-412B-9097-8949EAC82ECD}"/>
    <cellStyle name="Normal 2 2 2 2 2 2 2 31 9" xfId="12644" xr:uid="{602E7C20-199F-4DE0-B954-C77495BE244E}"/>
    <cellStyle name="Normal 2 2 2 2 2 2 2 32" xfId="12645" xr:uid="{FD8AE53E-7537-4E4D-B959-8405507DCC71}"/>
    <cellStyle name="Normal 2 2 2 2 2 2 2 33" xfId="12646" xr:uid="{5765F0B0-53DD-45FB-883F-09DF8EA05397}"/>
    <cellStyle name="Normal 2 2 2 2 2 2 2 33 2" xfId="12647" xr:uid="{37D135F6-0B84-4C62-A244-5248BC68D2A1}"/>
    <cellStyle name="Normal 2 2 2 2 2 2 2 33 2 2" xfId="12648" xr:uid="{78E808C1-1F33-4B64-A35E-87B371D88371}"/>
    <cellStyle name="Normal 2 2 2 2 2 2 2 33 2 3" xfId="12649" xr:uid="{42A1BCAA-E5BB-48F3-9CA8-AB17DC45FCE8}"/>
    <cellStyle name="Normal 2 2 2 2 2 2 2 33 2 4" xfId="12650" xr:uid="{A2A41793-54D1-40D0-B45D-915A1BDEBFA4}"/>
    <cellStyle name="Normal 2 2 2 2 2 2 2 33 3" xfId="12651" xr:uid="{C1121B9B-8BBF-473C-9722-2CD42864BA3D}"/>
    <cellStyle name="Normal 2 2 2 2 2 2 2 33 4" xfId="12652" xr:uid="{0C11354F-9D44-4E51-8144-3E96D6DA53E4}"/>
    <cellStyle name="Normal 2 2 2 2 2 2 2 33 5" xfId="12653" xr:uid="{F0F74808-AFF0-4155-A5DC-F759332D3573}"/>
    <cellStyle name="Normal 2 2 2 2 2 2 2 33 6" xfId="12654" xr:uid="{C9A0B96B-4C63-4B32-BC25-A0544CF8DE6B}"/>
    <cellStyle name="Normal 2 2 2 2 2 2 2 34" xfId="12655" xr:uid="{5181D924-BF15-46D8-A24E-E0309AF32D45}"/>
    <cellStyle name="Normal 2 2 2 2 2 2 2 35" xfId="12656" xr:uid="{08090306-4F03-4CDE-AA3E-C91BA84B20A0}"/>
    <cellStyle name="Normal 2 2 2 2 2 2 2 36" xfId="12657" xr:uid="{0C4C4F4B-2C1E-4DEE-9068-75EA99FFC731}"/>
    <cellStyle name="Normal 2 2 2 2 2 2 2 37" xfId="12658" xr:uid="{6E034C07-333B-4550-AEC5-290DA3D111A3}"/>
    <cellStyle name="Normal 2 2 2 2 2 2 2 38" xfId="12659" xr:uid="{D0949BE6-E509-4AE8-93A1-762157729361}"/>
    <cellStyle name="Normal 2 2 2 2 2 2 2 39" xfId="12660" xr:uid="{1B210E83-D856-4491-99E3-921EB01A373A}"/>
    <cellStyle name="Normal 2 2 2 2 2 2 2 39 2" xfId="12661" xr:uid="{F54E5C72-F311-41B4-A578-48D91B80837B}"/>
    <cellStyle name="Normal 2 2 2 2 2 2 2 39 3" xfId="12662" xr:uid="{B52B090F-C42E-420F-80BF-74BC6F26876F}"/>
    <cellStyle name="Normal 2 2 2 2 2 2 2 39 4" xfId="12663" xr:uid="{196B4E00-B16C-4ECC-B67A-1D2E43A5C554}"/>
    <cellStyle name="Normal 2 2 2 2 2 2 2 4" xfId="12664" xr:uid="{3CCB8BBA-FC9B-4A35-B372-3ECF3F28E1AE}"/>
    <cellStyle name="Normal 2 2 2 2 2 2 2 40" xfId="12665" xr:uid="{2C22E278-92A2-4CC1-85AC-7C02DEF1CD35}"/>
    <cellStyle name="Normal 2 2 2 2 2 2 2 41" xfId="12666" xr:uid="{7C07FFC2-20EA-45FF-A06A-6B5AF7E3E882}"/>
    <cellStyle name="Normal 2 2 2 2 2 2 2 42" xfId="12667" xr:uid="{0355C0E2-08F6-43C4-8F37-35E6336F4895}"/>
    <cellStyle name="Normal 2 2 2 2 2 2 2 43" xfId="12668" xr:uid="{969FE718-FC31-4C27-9680-9E7F7B8C4E07}"/>
    <cellStyle name="Normal 2 2 2 2 2 2 2 44" xfId="12669" xr:uid="{B7E96984-6D87-4EB6-8F2A-9BE6D56C581C}"/>
    <cellStyle name="Normal 2 2 2 2 2 2 2 45" xfId="12670" xr:uid="{75A1F49A-6987-46CC-83DF-D987DEE94E67}"/>
    <cellStyle name="Normal 2 2 2 2 2 2 2 46" xfId="12671" xr:uid="{1B02D4D4-CA48-48D6-B954-15BFA311C823}"/>
    <cellStyle name="Normal 2 2 2 2 2 2 2 47" xfId="12672" xr:uid="{5055C7FF-97C3-4E8C-8AA5-F045B14A8FAE}"/>
    <cellStyle name="Normal 2 2 2 2 2 2 2 48" xfId="12673" xr:uid="{FBFA1379-6D18-421F-B666-F41F6E01DF93}"/>
    <cellStyle name="Normal 2 2 2 2 2 2 2 49" xfId="12674" xr:uid="{C6C11DF1-1066-414F-A7D3-9637C88D6DDE}"/>
    <cellStyle name="Normal 2 2 2 2 2 2 2 5" xfId="12675" xr:uid="{64FE6A54-54B5-47FD-9304-2107E64F024A}"/>
    <cellStyle name="Normal 2 2 2 2 2 2 2 50" xfId="12676" xr:uid="{14642F0A-1B40-4B9C-98E0-1672C524DFF4}"/>
    <cellStyle name="Normal 2 2 2 2 2 2 2 51" xfId="12677" xr:uid="{3B20D192-A492-47E1-A508-D4921C142E06}"/>
    <cellStyle name="Normal 2 2 2 2 2 2 2 52" xfId="12678" xr:uid="{AF890749-26B1-4507-963A-371CB0C6D456}"/>
    <cellStyle name="Normal 2 2 2 2 2 2 2 53" xfId="12679" xr:uid="{A2D3D03B-70BE-467E-A924-C8A423953132}"/>
    <cellStyle name="Normal 2 2 2 2 2 2 2 54" xfId="12680" xr:uid="{6C178C84-D68A-4125-B39B-349A0F1F1F2E}"/>
    <cellStyle name="Normal 2 2 2 2 2 2 2 54 2" xfId="12681" xr:uid="{F7716E1C-F30B-4FAC-BA8C-66B91C2D7A80}"/>
    <cellStyle name="Normal 2 2 2 2 2 2 2 54 3" xfId="12682" xr:uid="{5510789A-32CA-41D1-AD8F-46698B76465C}"/>
    <cellStyle name="Normal 2 2 2 2 2 2 2 54 4" xfId="12683" xr:uid="{79AE1CA7-AAE4-431A-83ED-51B7F40E4BD6}"/>
    <cellStyle name="Normal 2 2 2 2 2 2 2 54 5" xfId="12684" xr:uid="{7E48E27A-A8AF-47E4-B1F9-FC1500757F7B}"/>
    <cellStyle name="Normal 2 2 2 2 2 2 2 54 6" xfId="12685" xr:uid="{3FE388A7-8AE6-49DE-9688-5B934F2B6028}"/>
    <cellStyle name="Normal 2 2 2 2 2 2 2 54 7" xfId="12686" xr:uid="{A991DB40-548E-4F9A-B019-125DBAD7CFE7}"/>
    <cellStyle name="Normal 2 2 2 2 2 2 2 55" xfId="12687" xr:uid="{ED06138B-81D3-478E-9A88-11DF42F3D8BC}"/>
    <cellStyle name="Normal 2 2 2 2 2 2 2 56" xfId="12688" xr:uid="{9C01D7D2-4D76-4E2B-9CE1-7CEFD483A141}"/>
    <cellStyle name="Normal 2 2 2 2 2 2 2 57" xfId="12689" xr:uid="{68D49845-DC39-4CE5-B122-93515121C83E}"/>
    <cellStyle name="Normal 2 2 2 2 2 2 2 58" xfId="12690" xr:uid="{774C9977-C9D6-4A9B-A505-7E4434FF3242}"/>
    <cellStyle name="Normal 2 2 2 2 2 2 2 59" xfId="12691" xr:uid="{11E26FFE-376A-4763-B237-B420248C8299}"/>
    <cellStyle name="Normal 2 2 2 2 2 2 2 6" xfId="12692" xr:uid="{EC8D9A0A-7A0E-421F-8CB8-656D38C3812C}"/>
    <cellStyle name="Normal 2 2 2 2 2 2 2 60" xfId="12693" xr:uid="{27254BA7-B19A-40C9-9CD5-98755ED6A8F0}"/>
    <cellStyle name="Normal 2 2 2 2 2 2 2 61" xfId="12694" xr:uid="{89AADF86-E4F9-4E32-97BB-283AEF1375B9}"/>
    <cellStyle name="Normal 2 2 2 2 2 2 2 62" xfId="12695" xr:uid="{491FA813-B81B-4627-932C-00A7C7EDD174}"/>
    <cellStyle name="Normal 2 2 2 2 2 2 2 63" xfId="12696" xr:uid="{8B4722D6-FC59-4E1C-8683-A201FDDA20EC}"/>
    <cellStyle name="Normal 2 2 2 2 2 2 2 64" xfId="12697" xr:uid="{44AE6B7D-271B-47EF-A4F3-4F22C0EF86EA}"/>
    <cellStyle name="Normal 2 2 2 2 2 2 2 65" xfId="12698" xr:uid="{9064C6D9-5B5F-4DE2-8BCD-11CD128A5B1A}"/>
    <cellStyle name="Normal 2 2 2 2 2 2 2 66" xfId="12699" xr:uid="{9C8DFE58-DBFC-4114-8615-A71E1E514866}"/>
    <cellStyle name="Normal 2 2 2 2 2 2 2 67" xfId="12700" xr:uid="{200805D5-0054-4DEA-9226-E9DAE76094C6}"/>
    <cellStyle name="Normal 2 2 2 2 2 2 2 68" xfId="12701" xr:uid="{DF8C58FE-4CB7-4389-AED4-517ABB3A4A63}"/>
    <cellStyle name="Normal 2 2 2 2 2 2 2 69" xfId="12702" xr:uid="{8B5C6080-BD96-4D3B-B219-87B57FB91E94}"/>
    <cellStyle name="Normal 2 2 2 2 2 2 2 7" xfId="12703" xr:uid="{3C316D53-B6AA-47F8-8617-F7CEA966441D}"/>
    <cellStyle name="Normal 2 2 2 2 2 2 2 70" xfId="12704" xr:uid="{5686BB9F-9102-4B6C-AB8F-B357F540218A}"/>
    <cellStyle name="Normal 2 2 2 2 2 2 2 71" xfId="12705" xr:uid="{57A0401F-A095-4F88-B8BF-B30745D6D4A6}"/>
    <cellStyle name="Normal 2 2 2 2 2 2 2 72" xfId="12706" xr:uid="{EEB21270-92AC-4E7F-BC66-E818D3751450}"/>
    <cellStyle name="Normal 2 2 2 2 2 2 2 73" xfId="12707" xr:uid="{48AACF1B-67B5-4443-B9AE-EDD1221F53E8}"/>
    <cellStyle name="Normal 2 2 2 2 2 2 2 74" xfId="12708" xr:uid="{CDEC3207-CDCB-4989-BEB1-CC685504AED5}"/>
    <cellStyle name="Normal 2 2 2 2 2 2 2 75" xfId="12709" xr:uid="{6045C9DE-54D2-492E-9B06-33EF3B5055CD}"/>
    <cellStyle name="Normal 2 2 2 2 2 2 2 76" xfId="12710" xr:uid="{2D538354-E816-41AC-926F-61F05C18E08F}"/>
    <cellStyle name="Normal 2 2 2 2 2 2 2 77" xfId="12711" xr:uid="{AD4E9F2E-CF75-456F-84B6-F322A9CAF03C}"/>
    <cellStyle name="Normal 2 2 2 2 2 2 2 78" xfId="12712" xr:uid="{CC6144EF-3470-4945-8327-EC3116189987}"/>
    <cellStyle name="Normal 2 2 2 2 2 2 2 79" xfId="12713" xr:uid="{D2457A53-2D8D-4035-9E07-E25F54177FCF}"/>
    <cellStyle name="Normal 2 2 2 2 2 2 2 8" xfId="12714" xr:uid="{DD4A7587-FB09-451E-B9A9-26CEEE698367}"/>
    <cellStyle name="Normal 2 2 2 2 2 2 2 80" xfId="12715" xr:uid="{F04E5BA4-F626-4462-8363-10825AE3948E}"/>
    <cellStyle name="Normal 2 2 2 2 2 2 2 81" xfId="12716" xr:uid="{A2575294-D75D-4BD1-912B-BED71C9EC613}"/>
    <cellStyle name="Normal 2 2 2 2 2 2 2 82" xfId="12717" xr:uid="{B1BC7D0B-F8C1-4B00-B8EF-DC70C5E20023}"/>
    <cellStyle name="Normal 2 2 2 2 2 2 2 83" xfId="12718" xr:uid="{4FEE46D1-A8D9-463C-B648-86D793A2DA2F}"/>
    <cellStyle name="Normal 2 2 2 2 2 2 2 84" xfId="12719" xr:uid="{CF9B51A3-A378-42AA-8C24-3432483C9A84}"/>
    <cellStyle name="Normal 2 2 2 2 2 2 2 85" xfId="12720" xr:uid="{78E965B6-277C-4264-AE9A-1D0DD5EAD59F}"/>
    <cellStyle name="Normal 2 2 2 2 2 2 2 86" xfId="12721" xr:uid="{D7457164-625B-48C0-AA10-4043C1506798}"/>
    <cellStyle name="Normal 2 2 2 2 2 2 2 87" xfId="12722" xr:uid="{98CE4811-77BA-4BDA-AC09-31F52737F781}"/>
    <cellStyle name="Normal 2 2 2 2 2 2 2 88" xfId="12723" xr:uid="{C7D0EA0A-BBDB-425B-B156-BDD6A023DD8D}"/>
    <cellStyle name="Normal 2 2 2 2 2 2 2 89" xfId="12724" xr:uid="{CD49F7CB-ED57-4A1D-9F0F-7B21E3C10772}"/>
    <cellStyle name="Normal 2 2 2 2 2 2 2 9" xfId="12725" xr:uid="{8C843BC1-157F-4B0B-A1A8-1C8FA8823362}"/>
    <cellStyle name="Normal 2 2 2 2 2 2 2 90" xfId="12726" xr:uid="{669E532F-34EE-47FF-853D-D5EE7378AA2C}"/>
    <cellStyle name="Normal 2 2 2 2 2 2 2 91" xfId="12727" xr:uid="{E1A1E162-DFF8-4EC9-9597-2B7DE1A4D047}"/>
    <cellStyle name="Normal 2 2 2 2 2 2 2 92" xfId="12728" xr:uid="{0DBFCD24-BE34-4A73-A6E9-C5C1E2EADF16}"/>
    <cellStyle name="Normal 2 2 2 2 2 2 2 93" xfId="12729" xr:uid="{31DA888F-A096-411D-B57D-B4BDBA706854}"/>
    <cellStyle name="Normal 2 2 2 2 2 2 2 94" xfId="12730" xr:uid="{92FA4D5D-7B2A-44E3-92BB-5E013F8D179B}"/>
    <cellStyle name="Normal 2 2 2 2 2 2 2 95" xfId="12731" xr:uid="{39284345-8D9E-45B1-AA81-C28A0B189B4B}"/>
    <cellStyle name="Normal 2 2 2 2 2 2 2 96" xfId="12732" xr:uid="{409D8DA2-5047-4140-A0F3-C67C76D3FE4C}"/>
    <cellStyle name="Normal 2 2 2 2 2 2 2 97" xfId="12733" xr:uid="{B249F65D-A6FC-4B42-92A0-2229B1A384EC}"/>
    <cellStyle name="Normal 2 2 2 2 2 2 2 98" xfId="12734" xr:uid="{99512E22-DC0A-40A3-A14A-9E422C23D145}"/>
    <cellStyle name="Normal 2 2 2 2 2 2 2 99" xfId="12735" xr:uid="{E1024A12-0FAB-4408-83FB-7C7AA0D8BF30}"/>
    <cellStyle name="Normal 2 2 2 2 2 2 20" xfId="12736" xr:uid="{31475795-A8B4-4771-A86E-2BABE3CBB03F}"/>
    <cellStyle name="Normal 2 2 2 2 2 2 21" xfId="12737" xr:uid="{24DC9749-4682-4FCB-B5BF-DF00BC72D032}"/>
    <cellStyle name="Normal 2 2 2 2 2 2 22" xfId="12738" xr:uid="{C50DE45C-6E46-42B9-BCFE-4565BB8DBAD0}"/>
    <cellStyle name="Normal 2 2 2 2 2 2 23" xfId="12739" xr:uid="{434777DF-ED75-4B2B-B4EF-E8BE493E399A}"/>
    <cellStyle name="Normal 2 2 2 2 2 2 24" xfId="12740" xr:uid="{83C2C0C5-AF70-485E-8868-06E53E872F5C}"/>
    <cellStyle name="Normal 2 2 2 2 2 2 25" xfId="12741" xr:uid="{E3AD9742-F82C-42AE-AF42-CD14CB575FD8}"/>
    <cellStyle name="Normal 2 2 2 2 2 2 26" xfId="12742" xr:uid="{B82AF72C-A38A-460B-8357-33C860232065}"/>
    <cellStyle name="Normal 2 2 2 2 2 2 27" xfId="12743" xr:uid="{416DE0AA-956C-40CD-98BE-B808B5EA84D0}"/>
    <cellStyle name="Normal 2 2 2 2 2 2 28" xfId="12744" xr:uid="{93EB169D-68FA-47CF-A0D6-44C39B924ADD}"/>
    <cellStyle name="Normal 2 2 2 2 2 2 28 10" xfId="12745" xr:uid="{054137BD-2631-4501-AC4A-5CBAF02A129D}"/>
    <cellStyle name="Normal 2 2 2 2 2 2 28 11" xfId="12746" xr:uid="{954FA899-4C88-42AA-A68B-3F7350EA0DC6}"/>
    <cellStyle name="Normal 2 2 2 2 2 2 28 11 10" xfId="12747" xr:uid="{4E1033B7-5C30-4E45-9A7E-5AB543240726}"/>
    <cellStyle name="Normal 2 2 2 2 2 2 28 11 11" xfId="12748" xr:uid="{9948D287-5267-4B80-9849-BD1CCE79FBDE}"/>
    <cellStyle name="Normal 2 2 2 2 2 2 28 11 11 2" xfId="12749" xr:uid="{921535DB-1D25-4F6D-A5F0-F475864EE060}"/>
    <cellStyle name="Normal 2 2 2 2 2 2 28 11 11 3" xfId="12750" xr:uid="{157831C5-CE2D-4BC5-B17B-719A1D543D5B}"/>
    <cellStyle name="Normal 2 2 2 2 2 2 28 11 11 4" xfId="12751" xr:uid="{45B5F376-396F-4179-B5B9-752698E69A5F}"/>
    <cellStyle name="Normal 2 2 2 2 2 2 28 11 12" xfId="12752" xr:uid="{AA57B9C4-6DF6-4D64-AC4F-38B9C5805EC2}"/>
    <cellStyle name="Normal 2 2 2 2 2 2 28 11 13" xfId="12753" xr:uid="{37EB0872-013E-4335-BA53-E18A4FFD0EA4}"/>
    <cellStyle name="Normal 2 2 2 2 2 2 28 11 14" xfId="12754" xr:uid="{EE7C2534-FCD9-4788-BD87-8BAD42BC5393}"/>
    <cellStyle name="Normal 2 2 2 2 2 2 28 11 2" xfId="12755" xr:uid="{D1A5EFC4-6D48-4687-8003-4E3D8249704D}"/>
    <cellStyle name="Normal 2 2 2 2 2 2 28 11 2 10" xfId="12756" xr:uid="{69F5E3E8-9EA6-492F-9A05-3E990CDF29E1}"/>
    <cellStyle name="Normal 2 2 2 2 2 2 28 11 2 11" xfId="12757" xr:uid="{19CE2AC3-847A-4D9C-848F-8F3216B14F55}"/>
    <cellStyle name="Normal 2 2 2 2 2 2 28 11 2 2" xfId="12758" xr:uid="{AC54367C-4112-45ED-A9F9-D612ECD723C5}"/>
    <cellStyle name="Normal 2 2 2 2 2 2 28 11 2 2 10" xfId="12759" xr:uid="{6EA68773-D5FB-4B68-B540-A89AD6017691}"/>
    <cellStyle name="Normal 2 2 2 2 2 2 28 11 2 2 11" xfId="12760" xr:uid="{E2029C80-A704-48E6-BECB-8A8599E83F55}"/>
    <cellStyle name="Normal 2 2 2 2 2 2 28 11 2 2 2" xfId="12761" xr:uid="{EBF90719-8C98-4E6F-B6AB-D4F3697CC9E5}"/>
    <cellStyle name="Normal 2 2 2 2 2 2 28 11 2 2 2 2" xfId="12762" xr:uid="{A9B12AAB-84F3-4228-BF41-730846B36A39}"/>
    <cellStyle name="Normal 2 2 2 2 2 2 28 11 2 2 2 2 2" xfId="12763" xr:uid="{E5B9F9AC-7DFD-4C6C-B2B2-98BF02407F50}"/>
    <cellStyle name="Normal 2 2 2 2 2 2 28 11 2 2 2 2 3" xfId="12764" xr:uid="{54B5235F-A0E9-4B3C-B3CA-2E36E45855EE}"/>
    <cellStyle name="Normal 2 2 2 2 2 2 28 11 2 2 2 2 4" xfId="12765" xr:uid="{7C37AAB0-E7DB-4A65-BCCA-B93C93A6D679}"/>
    <cellStyle name="Normal 2 2 2 2 2 2 28 11 2 2 2 3" xfId="12766" xr:uid="{C4BC399F-BEBC-4573-B052-F472AD54BAD8}"/>
    <cellStyle name="Normal 2 2 2 2 2 2 28 11 2 2 2 4" xfId="12767" xr:uid="{5D2E63C2-8BA2-464A-8C3D-E6C04A7FF495}"/>
    <cellStyle name="Normal 2 2 2 2 2 2 28 11 2 2 2 5" xfId="12768" xr:uid="{4D0DDC28-8FCC-4E31-9B81-C3026C424751}"/>
    <cellStyle name="Normal 2 2 2 2 2 2 28 11 2 2 2 6" xfId="12769" xr:uid="{AA947043-1749-42BC-A7BF-6A3404B88C92}"/>
    <cellStyle name="Normal 2 2 2 2 2 2 28 11 2 2 3" xfId="12770" xr:uid="{C650D75C-0992-46A2-9435-298D48B16F2B}"/>
    <cellStyle name="Normal 2 2 2 2 2 2 28 11 2 2 4" xfId="12771" xr:uid="{88A29E5C-C619-420A-A9AB-84154FCE8912}"/>
    <cellStyle name="Normal 2 2 2 2 2 2 28 11 2 2 5" xfId="12772" xr:uid="{C12D65A1-870F-4959-8961-04954D12F8DE}"/>
    <cellStyle name="Normal 2 2 2 2 2 2 28 11 2 2 6" xfId="12773" xr:uid="{354E475A-E36D-46B9-9725-03F21457CA60}"/>
    <cellStyle name="Normal 2 2 2 2 2 2 28 11 2 2 7" xfId="12774" xr:uid="{86B523FF-A7D7-4869-9900-2989DF598320}"/>
    <cellStyle name="Normal 2 2 2 2 2 2 28 11 2 2 8" xfId="12775" xr:uid="{FF23F883-43C2-43ED-872F-51614F305AC5}"/>
    <cellStyle name="Normal 2 2 2 2 2 2 28 11 2 2 8 2" xfId="12776" xr:uid="{EBA87983-648B-46E0-9DE6-2591C19EE6B7}"/>
    <cellStyle name="Normal 2 2 2 2 2 2 28 11 2 2 8 3" xfId="12777" xr:uid="{5C68BBC8-A5C2-4B96-A381-6076C731FC01}"/>
    <cellStyle name="Normal 2 2 2 2 2 2 28 11 2 2 8 4" xfId="12778" xr:uid="{275A81AF-C86F-4C32-A3CE-ABA42B4A984A}"/>
    <cellStyle name="Normal 2 2 2 2 2 2 28 11 2 2 9" xfId="12779" xr:uid="{F2292431-C114-4968-A225-10F81E1C9C07}"/>
    <cellStyle name="Normal 2 2 2 2 2 2 28 11 2 3" xfId="12780" xr:uid="{56F42CE2-F4DD-4876-9E7D-4BF5116BE37F}"/>
    <cellStyle name="Normal 2 2 2 2 2 2 28 11 2 3 2" xfId="12781" xr:uid="{B8C4091A-8FF6-4129-B6FC-0D9435394F22}"/>
    <cellStyle name="Normal 2 2 2 2 2 2 28 11 2 3 2 2" xfId="12782" xr:uid="{E4A3C0A2-AB1E-4CA7-8F5C-272160913655}"/>
    <cellStyle name="Normal 2 2 2 2 2 2 28 11 2 3 2 3" xfId="12783" xr:uid="{204D1C7B-B110-410A-82E2-A5F1D3BE81DD}"/>
    <cellStyle name="Normal 2 2 2 2 2 2 28 11 2 3 2 4" xfId="12784" xr:uid="{71318FEB-7D22-44E3-856F-D406A4F723AC}"/>
    <cellStyle name="Normal 2 2 2 2 2 2 28 11 2 3 3" xfId="12785" xr:uid="{B8A6F1FD-ED50-4732-95A5-1960DC94C812}"/>
    <cellStyle name="Normal 2 2 2 2 2 2 28 11 2 3 4" xfId="12786" xr:uid="{91A050E1-0468-4A3F-98E2-3F876598EF14}"/>
    <cellStyle name="Normal 2 2 2 2 2 2 28 11 2 3 5" xfId="12787" xr:uid="{352ACE2F-AAD0-420F-B61B-7D92DCCCD0CD}"/>
    <cellStyle name="Normal 2 2 2 2 2 2 28 11 2 3 6" xfId="12788" xr:uid="{0DD53BAC-B4B6-4951-855A-3C536A191616}"/>
    <cellStyle name="Normal 2 2 2 2 2 2 28 11 2 4" xfId="12789" xr:uid="{EE72C6E1-3CB7-4D50-957D-AB2B4CD4875D}"/>
    <cellStyle name="Normal 2 2 2 2 2 2 28 11 2 5" xfId="12790" xr:uid="{7E571EFB-F016-4042-9984-F89DF34FD5A6}"/>
    <cellStyle name="Normal 2 2 2 2 2 2 28 11 2 6" xfId="12791" xr:uid="{6B667C40-EFE6-4885-9626-216652FFE4CB}"/>
    <cellStyle name="Normal 2 2 2 2 2 2 28 11 2 7" xfId="12792" xr:uid="{2A7E699E-A3B6-4971-B864-46B683D863CA}"/>
    <cellStyle name="Normal 2 2 2 2 2 2 28 11 2 8" xfId="12793" xr:uid="{18419C92-B21D-439D-9B30-C42E2C8AA386}"/>
    <cellStyle name="Normal 2 2 2 2 2 2 28 11 2 8 2" xfId="12794" xr:uid="{85CE9B6F-7031-491C-A06D-9EB0D1ED9558}"/>
    <cellStyle name="Normal 2 2 2 2 2 2 28 11 2 8 3" xfId="12795" xr:uid="{E7CD3363-C560-41B2-8A3B-9D5D086C4064}"/>
    <cellStyle name="Normal 2 2 2 2 2 2 28 11 2 8 4" xfId="12796" xr:uid="{ABF2366E-1433-4F9B-A788-DD6D940B072A}"/>
    <cellStyle name="Normal 2 2 2 2 2 2 28 11 2 9" xfId="12797" xr:uid="{D47C3CA7-DE3D-4B5D-B1E1-3E24964568F2}"/>
    <cellStyle name="Normal 2 2 2 2 2 2 28 11 3" xfId="12798" xr:uid="{A957329E-989E-4EAC-987F-009A2BDC18E1}"/>
    <cellStyle name="Normal 2 2 2 2 2 2 28 11 4" xfId="12799" xr:uid="{018A7FC6-88D0-4E31-B2B3-81215CBB0A72}"/>
    <cellStyle name="Normal 2 2 2 2 2 2 28 11 5" xfId="12800" xr:uid="{6188ABCE-7993-4CA4-83A8-FA75D5B8F8F2}"/>
    <cellStyle name="Normal 2 2 2 2 2 2 28 11 5 2" xfId="12801" xr:uid="{FE8640E5-B554-4AD4-B27A-890516C54069}"/>
    <cellStyle name="Normal 2 2 2 2 2 2 28 11 5 2 2" xfId="12802" xr:uid="{7E388E19-C95C-4862-ABDC-F80EC7089952}"/>
    <cellStyle name="Normal 2 2 2 2 2 2 28 11 5 2 3" xfId="12803" xr:uid="{5809E26B-A3AB-419E-95BE-1A0E0B5EB269}"/>
    <cellStyle name="Normal 2 2 2 2 2 2 28 11 5 2 4" xfId="12804" xr:uid="{15AFE5F1-A9F7-4577-8E43-BF48C3E9C062}"/>
    <cellStyle name="Normal 2 2 2 2 2 2 28 11 5 3" xfId="12805" xr:uid="{8DADFCFD-ACE8-471F-B432-4B27841E68B3}"/>
    <cellStyle name="Normal 2 2 2 2 2 2 28 11 5 4" xfId="12806" xr:uid="{F263C34C-A503-4644-AD96-E25D71BD5D91}"/>
    <cellStyle name="Normal 2 2 2 2 2 2 28 11 5 5" xfId="12807" xr:uid="{1C011CBE-1A83-4844-A906-9D57E3B10377}"/>
    <cellStyle name="Normal 2 2 2 2 2 2 28 11 5 6" xfId="12808" xr:uid="{27BB5B32-3228-4814-997A-F56751ECDCF4}"/>
    <cellStyle name="Normal 2 2 2 2 2 2 28 11 6" xfId="12809" xr:uid="{7D3C9D60-32B8-47B5-9B96-68DFF36BCDE8}"/>
    <cellStyle name="Normal 2 2 2 2 2 2 28 11 7" xfId="12810" xr:uid="{0F0632C4-69D6-4383-B05B-8FDC07517936}"/>
    <cellStyle name="Normal 2 2 2 2 2 2 28 11 8" xfId="12811" xr:uid="{75D0ECDD-7746-41FE-B8D7-756AC5CD2065}"/>
    <cellStyle name="Normal 2 2 2 2 2 2 28 11 9" xfId="12812" xr:uid="{F2E5EAF9-9E8C-40AC-8082-82648269A4C6}"/>
    <cellStyle name="Normal 2 2 2 2 2 2 28 12" xfId="12813" xr:uid="{E89B1514-32C7-480D-9847-A19EF1AB3AB1}"/>
    <cellStyle name="Normal 2 2 2 2 2 2 28 13" xfId="12814" xr:uid="{2423513F-3F8F-4EB4-8AC7-6B8B41491B66}"/>
    <cellStyle name="Normal 2 2 2 2 2 2 28 13 10" xfId="12815" xr:uid="{2D4B8243-3807-4221-ADAE-927061D92CCC}"/>
    <cellStyle name="Normal 2 2 2 2 2 2 28 13 11" xfId="12816" xr:uid="{5EBCC757-96E1-4B6E-849D-CACCD4C422D9}"/>
    <cellStyle name="Normal 2 2 2 2 2 2 28 13 2" xfId="12817" xr:uid="{3E53B4F1-AAA5-4083-86F9-364FCF7C4061}"/>
    <cellStyle name="Normal 2 2 2 2 2 2 28 13 2 10" xfId="12818" xr:uid="{DAF24E38-339F-4114-9650-B68BC4380E9C}"/>
    <cellStyle name="Normal 2 2 2 2 2 2 28 13 2 11" xfId="12819" xr:uid="{AFDE77CD-3E17-40C6-8BE5-5FE5CB59C317}"/>
    <cellStyle name="Normal 2 2 2 2 2 2 28 13 2 2" xfId="12820" xr:uid="{456C30C3-8B5B-40CF-9BBC-F10344EDF5B6}"/>
    <cellStyle name="Normal 2 2 2 2 2 2 28 13 2 2 2" xfId="12821" xr:uid="{08BCAB32-6AD3-41BE-BC29-EF149BEA93C9}"/>
    <cellStyle name="Normal 2 2 2 2 2 2 28 13 2 2 2 2" xfId="12822" xr:uid="{9A2C7897-6D7B-42AC-8A13-A385762CFB67}"/>
    <cellStyle name="Normal 2 2 2 2 2 2 28 13 2 2 2 3" xfId="12823" xr:uid="{16CF2E02-6ACB-4886-9D38-68316DA7C49B}"/>
    <cellStyle name="Normal 2 2 2 2 2 2 28 13 2 2 2 4" xfId="12824" xr:uid="{F0757053-928C-4727-8FB2-A8C62BDB5996}"/>
    <cellStyle name="Normal 2 2 2 2 2 2 28 13 2 2 3" xfId="12825" xr:uid="{CDEA891E-24F0-4D02-9994-E0CCCB4D76C3}"/>
    <cellStyle name="Normal 2 2 2 2 2 2 28 13 2 2 4" xfId="12826" xr:uid="{0FC2FAEB-F524-41C3-A2FA-6B002D2487A4}"/>
    <cellStyle name="Normal 2 2 2 2 2 2 28 13 2 2 5" xfId="12827" xr:uid="{8F8407EC-9948-44F7-A962-E0179AC1740E}"/>
    <cellStyle name="Normal 2 2 2 2 2 2 28 13 2 2 6" xfId="12828" xr:uid="{A41CEC2F-6B34-4AB0-849D-17DB5ED13771}"/>
    <cellStyle name="Normal 2 2 2 2 2 2 28 13 2 3" xfId="12829" xr:uid="{A21D8F70-5D97-4F23-8EE6-1BEAC0253BB2}"/>
    <cellStyle name="Normal 2 2 2 2 2 2 28 13 2 4" xfId="12830" xr:uid="{2C5FA8EF-5AE5-495A-8BCD-AE16DFF18E7B}"/>
    <cellStyle name="Normal 2 2 2 2 2 2 28 13 2 5" xfId="12831" xr:uid="{FD5F8FEA-E5EC-489C-964A-0AB71CB97158}"/>
    <cellStyle name="Normal 2 2 2 2 2 2 28 13 2 6" xfId="12832" xr:uid="{F11107EF-D573-4808-8E84-521969947A45}"/>
    <cellStyle name="Normal 2 2 2 2 2 2 28 13 2 7" xfId="12833" xr:uid="{F0225EAD-8F79-477D-B275-E53BDEAA8B90}"/>
    <cellStyle name="Normal 2 2 2 2 2 2 28 13 2 8" xfId="12834" xr:uid="{092FED04-C74F-40F6-AD42-B1528227CB45}"/>
    <cellStyle name="Normal 2 2 2 2 2 2 28 13 2 8 2" xfId="12835" xr:uid="{E57B5AEC-D6DE-4C9B-A363-02B6A9E5A9E1}"/>
    <cellStyle name="Normal 2 2 2 2 2 2 28 13 2 8 3" xfId="12836" xr:uid="{71517BF4-2C95-4A52-8572-B80489847BC6}"/>
    <cellStyle name="Normal 2 2 2 2 2 2 28 13 2 8 4" xfId="12837" xr:uid="{FA305FAF-A55E-40F4-80CD-68759ACEC4E9}"/>
    <cellStyle name="Normal 2 2 2 2 2 2 28 13 2 9" xfId="12838" xr:uid="{3E827E1B-94BA-4B79-AB26-726B677A1707}"/>
    <cellStyle name="Normal 2 2 2 2 2 2 28 13 3" xfId="12839" xr:uid="{DFACD461-70B7-4806-A759-5F09063A7B0C}"/>
    <cellStyle name="Normal 2 2 2 2 2 2 28 13 3 2" xfId="12840" xr:uid="{3D0348A7-67CF-47F5-B505-2933FBF198E7}"/>
    <cellStyle name="Normal 2 2 2 2 2 2 28 13 3 2 2" xfId="12841" xr:uid="{FAB056CC-5CF2-4FE2-A835-BA4873A720C3}"/>
    <cellStyle name="Normal 2 2 2 2 2 2 28 13 3 2 3" xfId="12842" xr:uid="{9840A984-7924-415E-8C8D-DB12323C3F6A}"/>
    <cellStyle name="Normal 2 2 2 2 2 2 28 13 3 2 4" xfId="12843" xr:uid="{9671DD75-640B-4476-BA03-48F639106B6D}"/>
    <cellStyle name="Normal 2 2 2 2 2 2 28 13 3 3" xfId="12844" xr:uid="{CE74D7A3-BD66-4A4E-BA0D-F2DA71A14A3C}"/>
    <cellStyle name="Normal 2 2 2 2 2 2 28 13 3 4" xfId="12845" xr:uid="{FF87107E-0790-4C54-8022-82C11128FEF7}"/>
    <cellStyle name="Normal 2 2 2 2 2 2 28 13 3 5" xfId="12846" xr:uid="{DEC6F498-F307-4D15-8774-2DCDE37C6D18}"/>
    <cellStyle name="Normal 2 2 2 2 2 2 28 13 3 6" xfId="12847" xr:uid="{397A84DA-0B5F-4C97-B83D-440126425B8D}"/>
    <cellStyle name="Normal 2 2 2 2 2 2 28 13 4" xfId="12848" xr:uid="{4A8A071B-28BE-46C8-9E6A-FD15F1FA66CF}"/>
    <cellStyle name="Normal 2 2 2 2 2 2 28 13 5" xfId="12849" xr:uid="{AF5FA3FD-098B-4118-951F-09DF15925595}"/>
    <cellStyle name="Normal 2 2 2 2 2 2 28 13 6" xfId="12850" xr:uid="{4730FEE8-3610-4DC5-A65D-E1ADA05E81F2}"/>
    <cellStyle name="Normal 2 2 2 2 2 2 28 13 7" xfId="12851" xr:uid="{474C5BE6-B89B-4D3C-9C71-99C2369E8908}"/>
    <cellStyle name="Normal 2 2 2 2 2 2 28 13 8" xfId="12852" xr:uid="{D990D453-89A2-498A-8BBE-92F2C56BD814}"/>
    <cellStyle name="Normal 2 2 2 2 2 2 28 13 8 2" xfId="12853" xr:uid="{FEDEF2B3-1B9D-426F-B172-AF01F1E7582F}"/>
    <cellStyle name="Normal 2 2 2 2 2 2 28 13 8 3" xfId="12854" xr:uid="{E0228E3B-A236-4EA3-A100-D4B4C0D18F5A}"/>
    <cellStyle name="Normal 2 2 2 2 2 2 28 13 8 4" xfId="12855" xr:uid="{A293555F-A4BE-4014-8B87-77C3A6B8A8C9}"/>
    <cellStyle name="Normal 2 2 2 2 2 2 28 13 9" xfId="12856" xr:uid="{64EDBEB3-CBA2-4467-A161-E878A98C546B}"/>
    <cellStyle name="Normal 2 2 2 2 2 2 28 14" xfId="12857" xr:uid="{0111DD5B-CC57-405D-B061-EB7A0C531AFD}"/>
    <cellStyle name="Normal 2 2 2 2 2 2 28 15" xfId="12858" xr:uid="{CCB34E6A-B363-4411-9192-619F0AEFC470}"/>
    <cellStyle name="Normal 2 2 2 2 2 2 28 15 2" xfId="12859" xr:uid="{A798806D-0FCF-4C9D-BE51-DFF27FA4AE29}"/>
    <cellStyle name="Normal 2 2 2 2 2 2 28 15 2 2" xfId="12860" xr:uid="{1FB100CF-7F56-4A47-AEC1-3F1F41AD848D}"/>
    <cellStyle name="Normal 2 2 2 2 2 2 28 15 2 3" xfId="12861" xr:uid="{053B579C-DA0D-43BA-B19F-6ECCC76129CB}"/>
    <cellStyle name="Normal 2 2 2 2 2 2 28 15 2 4" xfId="12862" xr:uid="{4D035164-7648-40B3-95B5-136B583C15B0}"/>
    <cellStyle name="Normal 2 2 2 2 2 2 28 15 3" xfId="12863" xr:uid="{A6B1F0B0-545D-4F6B-BBC0-4186DE7102CF}"/>
    <cellStyle name="Normal 2 2 2 2 2 2 28 15 4" xfId="12864" xr:uid="{4E468416-3991-46F8-8B79-6D7FE791752C}"/>
    <cellStyle name="Normal 2 2 2 2 2 2 28 15 5" xfId="12865" xr:uid="{BC07642A-7947-4790-BAE7-9B8B3A89D336}"/>
    <cellStyle name="Normal 2 2 2 2 2 2 28 15 6" xfId="12866" xr:uid="{96CE759D-257F-465F-818A-DA65CE26EDC8}"/>
    <cellStyle name="Normal 2 2 2 2 2 2 28 16" xfId="12867" xr:uid="{D06D4D99-5BB1-4EE3-B51F-D00F6C0686D7}"/>
    <cellStyle name="Normal 2 2 2 2 2 2 28 17" xfId="12868" xr:uid="{4AD76CD9-D8FA-40E3-8A06-5B0E2A52F353}"/>
    <cellStyle name="Normal 2 2 2 2 2 2 28 18" xfId="12869" xr:uid="{CD5F58E4-752A-4C03-83E4-F4BADE14F4C1}"/>
    <cellStyle name="Normal 2 2 2 2 2 2 28 19" xfId="12870" xr:uid="{DE6A871E-4DF7-409B-B1F1-236098CF219E}"/>
    <cellStyle name="Normal 2 2 2 2 2 2 28 2" xfId="12871" xr:uid="{26FA924C-2AD4-4A3F-BBCD-F003138AD869}"/>
    <cellStyle name="Normal 2 2 2 2 2 2 28 2 10" xfId="12872" xr:uid="{CD47F8F2-38A4-4D1C-B6A0-0CAB87FE0369}"/>
    <cellStyle name="Normal 2 2 2 2 2 2 28 2 11" xfId="12873" xr:uid="{2FC076B6-B3D7-4D42-8D1A-1B7390559E9C}"/>
    <cellStyle name="Normal 2 2 2 2 2 2 28 2 12" xfId="12874" xr:uid="{CB0D3C1F-7291-4C19-8D95-D67E90403778}"/>
    <cellStyle name="Normal 2 2 2 2 2 2 28 2 13" xfId="12875" xr:uid="{D1B501CE-7CF0-42BF-B70D-004BA0DAA4DA}"/>
    <cellStyle name="Normal 2 2 2 2 2 2 28 2 13 2" xfId="12876" xr:uid="{651BDB20-FD86-46E4-AD3B-21D36530894B}"/>
    <cellStyle name="Normal 2 2 2 2 2 2 28 2 13 3" xfId="12877" xr:uid="{AFFEC82D-82CD-4A24-9699-6BA97B34B904}"/>
    <cellStyle name="Normal 2 2 2 2 2 2 28 2 13 4" xfId="12878" xr:uid="{6F75D803-7122-417B-BDE2-98EE057E3FB7}"/>
    <cellStyle name="Normal 2 2 2 2 2 2 28 2 14" xfId="12879" xr:uid="{9976494C-F1BF-4B1F-B1B2-1957ECA0D925}"/>
    <cellStyle name="Normal 2 2 2 2 2 2 28 2 15" xfId="12880" xr:uid="{19914566-9DC9-4A68-8BFB-67D0817F643C}"/>
    <cellStyle name="Normal 2 2 2 2 2 2 28 2 16" xfId="12881" xr:uid="{5985B33A-9020-427E-8A88-476369EFFE18}"/>
    <cellStyle name="Normal 2 2 2 2 2 2 28 2 2" xfId="12882" xr:uid="{BAFAA5D7-B013-4288-89F4-E72AF2266E6A}"/>
    <cellStyle name="Normal 2 2 2 2 2 2 28 2 2 10" xfId="12883" xr:uid="{A027A927-FA0B-4AED-8238-DD5C1CF3E4E1}"/>
    <cellStyle name="Normal 2 2 2 2 2 2 28 2 2 11" xfId="12884" xr:uid="{73B1A7FC-817C-46E9-83EC-949E55824C43}"/>
    <cellStyle name="Normal 2 2 2 2 2 2 28 2 2 11 2" xfId="12885" xr:uid="{FA27FADD-BADD-4FA9-8A6A-2F50FD6ABE63}"/>
    <cellStyle name="Normal 2 2 2 2 2 2 28 2 2 11 3" xfId="12886" xr:uid="{3AA6A004-E766-4AFD-A3E7-4BB7F16756E8}"/>
    <cellStyle name="Normal 2 2 2 2 2 2 28 2 2 11 4" xfId="12887" xr:uid="{9FCFB8CF-3CA4-4330-B277-1D095EA29C20}"/>
    <cellStyle name="Normal 2 2 2 2 2 2 28 2 2 12" xfId="12888" xr:uid="{BECB8D50-AD6D-4DF9-953D-07C1FE93C5EE}"/>
    <cellStyle name="Normal 2 2 2 2 2 2 28 2 2 13" xfId="12889" xr:uid="{FA90936B-A427-4977-AAAE-238BE1FB7309}"/>
    <cellStyle name="Normal 2 2 2 2 2 2 28 2 2 14" xfId="12890" xr:uid="{F9CA4F27-4232-46B2-9DD6-4753185D836B}"/>
    <cellStyle name="Normal 2 2 2 2 2 2 28 2 2 2" xfId="12891" xr:uid="{341859C1-F47A-418B-A7F2-0CE590EBDEE5}"/>
    <cellStyle name="Normal 2 2 2 2 2 2 28 2 2 2 10" xfId="12892" xr:uid="{F9F45574-3FDA-4DDE-B69D-7E6776CCB96A}"/>
    <cellStyle name="Normal 2 2 2 2 2 2 28 2 2 2 11" xfId="12893" xr:uid="{E9E92FAA-5F34-4AE0-BCB8-C53753749F4C}"/>
    <cellStyle name="Normal 2 2 2 2 2 2 28 2 2 2 2" xfId="12894" xr:uid="{25BBDAFF-6388-4942-BC7D-85B3420EDC99}"/>
    <cellStyle name="Normal 2 2 2 2 2 2 28 2 2 2 2 10" xfId="12895" xr:uid="{0158E9DA-4E89-438B-B5BA-8AB4DDEAFA9B}"/>
    <cellStyle name="Normal 2 2 2 2 2 2 28 2 2 2 2 11" xfId="12896" xr:uid="{63517275-3CC9-400F-A61F-636F3BC85974}"/>
    <cellStyle name="Normal 2 2 2 2 2 2 28 2 2 2 2 2" xfId="12897" xr:uid="{FC0F40FA-62D0-4E07-B164-36954090C04B}"/>
    <cellStyle name="Normal 2 2 2 2 2 2 28 2 2 2 2 2 2" xfId="12898" xr:uid="{C24CDF4E-7674-4630-BC19-B4A8B57CBDED}"/>
    <cellStyle name="Normal 2 2 2 2 2 2 28 2 2 2 2 2 2 2" xfId="12899" xr:uid="{14BD46A8-9814-4B2E-A6A3-45D85C55FFA5}"/>
    <cellStyle name="Normal 2 2 2 2 2 2 28 2 2 2 2 2 2 3" xfId="12900" xr:uid="{9BABE1D5-0199-4F2B-9D04-3E9DACAEBB34}"/>
    <cellStyle name="Normal 2 2 2 2 2 2 28 2 2 2 2 2 2 4" xfId="12901" xr:uid="{1F1F38F1-D8E0-4E6A-8DFC-FCF9E78F171C}"/>
    <cellStyle name="Normal 2 2 2 2 2 2 28 2 2 2 2 2 3" xfId="12902" xr:uid="{4B14B33A-F0F4-4B3B-97AE-7A8A24BA91CE}"/>
    <cellStyle name="Normal 2 2 2 2 2 2 28 2 2 2 2 2 4" xfId="12903" xr:uid="{19F78112-146A-463F-85CD-16BE9E8D6B54}"/>
    <cellStyle name="Normal 2 2 2 2 2 2 28 2 2 2 2 2 5" xfId="12904" xr:uid="{CA06F064-2878-49FF-9479-DAB7ABD4D3F2}"/>
    <cellStyle name="Normal 2 2 2 2 2 2 28 2 2 2 2 2 6" xfId="12905" xr:uid="{000C8569-C446-4A9C-9783-D291878E5E9E}"/>
    <cellStyle name="Normal 2 2 2 2 2 2 28 2 2 2 2 3" xfId="12906" xr:uid="{8CD79072-31FB-4D47-AAA7-D8CDB4FCAC5D}"/>
    <cellStyle name="Normal 2 2 2 2 2 2 28 2 2 2 2 4" xfId="12907" xr:uid="{DC41AC6C-0806-4FBD-955F-54A50870B904}"/>
    <cellStyle name="Normal 2 2 2 2 2 2 28 2 2 2 2 5" xfId="12908" xr:uid="{940BDBD5-A768-4CEB-8854-3F25AA4EEC41}"/>
    <cellStyle name="Normal 2 2 2 2 2 2 28 2 2 2 2 6" xfId="12909" xr:uid="{54703727-AB08-4D17-AB88-FCAACEB387EE}"/>
    <cellStyle name="Normal 2 2 2 2 2 2 28 2 2 2 2 7" xfId="12910" xr:uid="{F03425E2-94BB-4FBC-B929-40C394541F02}"/>
    <cellStyle name="Normal 2 2 2 2 2 2 28 2 2 2 2 8" xfId="12911" xr:uid="{E11A7722-F2E7-4A99-AAB3-1CA122214F22}"/>
    <cellStyle name="Normal 2 2 2 2 2 2 28 2 2 2 2 8 2" xfId="12912" xr:uid="{E21DC724-773F-46EB-B293-9161F8ECFB40}"/>
    <cellStyle name="Normal 2 2 2 2 2 2 28 2 2 2 2 8 3" xfId="12913" xr:uid="{B1AC963A-B90F-4957-847F-93192B17753A}"/>
    <cellStyle name="Normal 2 2 2 2 2 2 28 2 2 2 2 8 4" xfId="12914" xr:uid="{2BFE3570-1C4B-4640-AF08-DAD8EABCCC16}"/>
    <cellStyle name="Normal 2 2 2 2 2 2 28 2 2 2 2 9" xfId="12915" xr:uid="{596F7EBE-977B-4D3D-B0F0-217E0A7F738C}"/>
    <cellStyle name="Normal 2 2 2 2 2 2 28 2 2 2 3" xfId="12916" xr:uid="{E32F9197-88EF-44A7-8A4B-BE9F33BAB2A8}"/>
    <cellStyle name="Normal 2 2 2 2 2 2 28 2 2 2 3 2" xfId="12917" xr:uid="{5C3B2E7A-6A89-4157-A957-16C742F2CAFC}"/>
    <cellStyle name="Normal 2 2 2 2 2 2 28 2 2 2 3 2 2" xfId="12918" xr:uid="{8A1AFD4B-7002-451C-AE5C-7C4EF35A3AA1}"/>
    <cellStyle name="Normal 2 2 2 2 2 2 28 2 2 2 3 2 3" xfId="12919" xr:uid="{D1C12A55-605C-426C-9E58-39DC1AC14FF9}"/>
    <cellStyle name="Normal 2 2 2 2 2 2 28 2 2 2 3 2 4" xfId="12920" xr:uid="{D6C1FFC3-3F81-499E-9BB9-A29197422F4B}"/>
    <cellStyle name="Normal 2 2 2 2 2 2 28 2 2 2 3 3" xfId="12921" xr:uid="{302E9418-0AE8-4D1C-AB85-7F3A158D0C55}"/>
    <cellStyle name="Normal 2 2 2 2 2 2 28 2 2 2 3 4" xfId="12922" xr:uid="{938AF8E0-8E4D-46F9-AD29-A7BA7786BECD}"/>
    <cellStyle name="Normal 2 2 2 2 2 2 28 2 2 2 3 5" xfId="12923" xr:uid="{A7510F56-38E6-4248-9FE8-04593D30C401}"/>
    <cellStyle name="Normal 2 2 2 2 2 2 28 2 2 2 3 6" xfId="12924" xr:uid="{4325EAEA-048C-4278-82C2-C2E3B4CBB050}"/>
    <cellStyle name="Normal 2 2 2 2 2 2 28 2 2 2 4" xfId="12925" xr:uid="{2523024E-3C90-4721-A589-360FA8DE94A1}"/>
    <cellStyle name="Normal 2 2 2 2 2 2 28 2 2 2 5" xfId="12926" xr:uid="{06E15E64-AB97-415F-B4B3-9C8758514C44}"/>
    <cellStyle name="Normal 2 2 2 2 2 2 28 2 2 2 6" xfId="12927" xr:uid="{0EE40B84-9186-4F41-AA3F-05193ACCCCAF}"/>
    <cellStyle name="Normal 2 2 2 2 2 2 28 2 2 2 7" xfId="12928" xr:uid="{C99DDDA5-FE78-48C2-AC6D-86915EF3B976}"/>
    <cellStyle name="Normal 2 2 2 2 2 2 28 2 2 2 8" xfId="12929" xr:uid="{FC619CDF-AB4B-444A-A221-BF3EFEF8C35F}"/>
    <cellStyle name="Normal 2 2 2 2 2 2 28 2 2 2 8 2" xfId="12930" xr:uid="{FC2D32A2-2392-41A5-9FDB-FD5E93A1420D}"/>
    <cellStyle name="Normal 2 2 2 2 2 2 28 2 2 2 8 3" xfId="12931" xr:uid="{5DABB5D8-DA3F-456E-A92C-F9EE70DE4579}"/>
    <cellStyle name="Normal 2 2 2 2 2 2 28 2 2 2 8 4" xfId="12932" xr:uid="{09A92C6C-CF2E-4EDD-969B-06E766878C41}"/>
    <cellStyle name="Normal 2 2 2 2 2 2 28 2 2 2 9" xfId="12933" xr:uid="{7A294956-72BB-4725-AE9D-2BE7C25AB029}"/>
    <cellStyle name="Normal 2 2 2 2 2 2 28 2 2 3" xfId="12934" xr:uid="{39D3823B-73F5-4A68-9EE0-682B6580C3DC}"/>
    <cellStyle name="Normal 2 2 2 2 2 2 28 2 2 4" xfId="12935" xr:uid="{A11CDCE9-1C0F-491A-979C-955E4C3C7F0E}"/>
    <cellStyle name="Normal 2 2 2 2 2 2 28 2 2 5" xfId="12936" xr:uid="{E182FDAE-056F-47A1-9644-CED6316F63F6}"/>
    <cellStyle name="Normal 2 2 2 2 2 2 28 2 2 5 2" xfId="12937" xr:uid="{5ADEEEA0-6D9C-4D06-B841-68EF788A3C5C}"/>
    <cellStyle name="Normal 2 2 2 2 2 2 28 2 2 5 2 2" xfId="12938" xr:uid="{E9E123E9-BB17-47B2-ADED-C2A434E8848B}"/>
    <cellStyle name="Normal 2 2 2 2 2 2 28 2 2 5 2 3" xfId="12939" xr:uid="{1C1CC570-478F-49E8-9FB4-37007C869F35}"/>
    <cellStyle name="Normal 2 2 2 2 2 2 28 2 2 5 2 4" xfId="12940" xr:uid="{CC8063D7-928A-462A-8639-6DAB292EC2A8}"/>
    <cellStyle name="Normal 2 2 2 2 2 2 28 2 2 5 3" xfId="12941" xr:uid="{1E5CCC74-D375-44D8-99E6-769F7EE76D26}"/>
    <cellStyle name="Normal 2 2 2 2 2 2 28 2 2 5 4" xfId="12942" xr:uid="{C675E117-3021-4131-907F-773CC478D2BE}"/>
    <cellStyle name="Normal 2 2 2 2 2 2 28 2 2 5 5" xfId="12943" xr:uid="{1CAE6457-53C1-46A5-AD5B-2623ACAECCA1}"/>
    <cellStyle name="Normal 2 2 2 2 2 2 28 2 2 5 6" xfId="12944" xr:uid="{668BB5FB-4AAE-4410-A5A5-0A9A07BB15A8}"/>
    <cellStyle name="Normal 2 2 2 2 2 2 28 2 2 6" xfId="12945" xr:uid="{A52C404D-CBD6-4297-AFC1-73E3311E337A}"/>
    <cellStyle name="Normal 2 2 2 2 2 2 28 2 2 7" xfId="12946" xr:uid="{499D0107-886B-4850-A5F9-4D68E3660D84}"/>
    <cellStyle name="Normal 2 2 2 2 2 2 28 2 2 8" xfId="12947" xr:uid="{2C241585-A9A5-43DC-A0A8-95A1B1E183FD}"/>
    <cellStyle name="Normal 2 2 2 2 2 2 28 2 2 9" xfId="12948" xr:uid="{DEF081B3-CA68-4B31-89C4-F42C648B41B2}"/>
    <cellStyle name="Normal 2 2 2 2 2 2 28 2 3" xfId="12949" xr:uid="{412A6BDD-C0EF-4F75-97A8-B0919876BFCD}"/>
    <cellStyle name="Normal 2 2 2 2 2 2 28 2 4" xfId="12950" xr:uid="{C010AB6F-99B6-4C07-86B5-FC5B866E0648}"/>
    <cellStyle name="Normal 2 2 2 2 2 2 28 2 5" xfId="12951" xr:uid="{5D80BEE2-AEE9-41A8-BF4A-EBEF0659CA9C}"/>
    <cellStyle name="Normal 2 2 2 2 2 2 28 2 5 10" xfId="12952" xr:uid="{A5D7AFC3-1568-4D81-BD9F-A9C7F862B5E0}"/>
    <cellStyle name="Normal 2 2 2 2 2 2 28 2 5 11" xfId="12953" xr:uid="{E2ED8988-70FE-46A9-88C3-556C262AAE75}"/>
    <cellStyle name="Normal 2 2 2 2 2 2 28 2 5 2" xfId="12954" xr:uid="{FC65E275-345F-422A-B351-58A02C48D2A2}"/>
    <cellStyle name="Normal 2 2 2 2 2 2 28 2 5 2 10" xfId="12955" xr:uid="{5D8FB980-CBBE-452B-87A4-58C82EBE4702}"/>
    <cellStyle name="Normal 2 2 2 2 2 2 28 2 5 2 11" xfId="12956" xr:uid="{4CDA0C81-BDAC-4792-A7CA-B9FD61583EED}"/>
    <cellStyle name="Normal 2 2 2 2 2 2 28 2 5 2 2" xfId="12957" xr:uid="{A912D827-DA9F-4DF7-8211-285977416257}"/>
    <cellStyle name="Normal 2 2 2 2 2 2 28 2 5 2 2 2" xfId="12958" xr:uid="{2E6070A0-A558-4BA5-A9A6-DD07778B7489}"/>
    <cellStyle name="Normal 2 2 2 2 2 2 28 2 5 2 2 2 2" xfId="12959" xr:uid="{C0A3780B-95D4-44D9-B5BE-2547A389D988}"/>
    <cellStyle name="Normal 2 2 2 2 2 2 28 2 5 2 2 2 3" xfId="12960" xr:uid="{7D8C4F2B-FC74-4B1D-8452-B6F7A69B442A}"/>
    <cellStyle name="Normal 2 2 2 2 2 2 28 2 5 2 2 2 4" xfId="12961" xr:uid="{60D06E9F-59CE-499D-9213-A9A4F39CC867}"/>
    <cellStyle name="Normal 2 2 2 2 2 2 28 2 5 2 2 3" xfId="12962" xr:uid="{E31515C5-B062-4896-A8FE-B0696236B42F}"/>
    <cellStyle name="Normal 2 2 2 2 2 2 28 2 5 2 2 4" xfId="12963" xr:uid="{36337B98-5366-4002-BDBE-7C2532F9969E}"/>
    <cellStyle name="Normal 2 2 2 2 2 2 28 2 5 2 2 5" xfId="12964" xr:uid="{72206109-A3A3-4B4C-A98B-C04BC28F648C}"/>
    <cellStyle name="Normal 2 2 2 2 2 2 28 2 5 2 2 6" xfId="12965" xr:uid="{80ACEDF5-E2F8-4FAD-8BC7-093BB130439C}"/>
    <cellStyle name="Normal 2 2 2 2 2 2 28 2 5 2 3" xfId="12966" xr:uid="{03755730-2A06-4C90-8042-A585F8CBF62F}"/>
    <cellStyle name="Normal 2 2 2 2 2 2 28 2 5 2 4" xfId="12967" xr:uid="{B992C3D5-DCB9-4253-957C-9960A01F2F5B}"/>
    <cellStyle name="Normal 2 2 2 2 2 2 28 2 5 2 5" xfId="12968" xr:uid="{90F291C3-5EC2-4E67-BB5D-9BD30E2650A3}"/>
    <cellStyle name="Normal 2 2 2 2 2 2 28 2 5 2 6" xfId="12969" xr:uid="{B712C6C8-E00B-42CB-9269-29516651C471}"/>
    <cellStyle name="Normal 2 2 2 2 2 2 28 2 5 2 7" xfId="12970" xr:uid="{3CFE7AB9-0118-44E0-AAFE-AE8ED1F7C0A8}"/>
    <cellStyle name="Normal 2 2 2 2 2 2 28 2 5 2 8" xfId="12971" xr:uid="{6DC8CA7F-6393-4B66-B801-CBB865A0712F}"/>
    <cellStyle name="Normal 2 2 2 2 2 2 28 2 5 2 8 2" xfId="12972" xr:uid="{26B598A6-E4A7-4C51-85DD-E2C9F5E3C81E}"/>
    <cellStyle name="Normal 2 2 2 2 2 2 28 2 5 2 8 3" xfId="12973" xr:uid="{E9E24872-D21E-46F4-A475-2714F3D22227}"/>
    <cellStyle name="Normal 2 2 2 2 2 2 28 2 5 2 8 4" xfId="12974" xr:uid="{68369DFF-F8C8-454A-9976-F6301EB0C136}"/>
    <cellStyle name="Normal 2 2 2 2 2 2 28 2 5 2 9" xfId="12975" xr:uid="{EE36C148-1910-4043-8D4A-D2667842F46E}"/>
    <cellStyle name="Normal 2 2 2 2 2 2 28 2 5 3" xfId="12976" xr:uid="{ECBA5BBF-D60C-46B2-A2EE-6110FCC31DEA}"/>
    <cellStyle name="Normal 2 2 2 2 2 2 28 2 5 3 2" xfId="12977" xr:uid="{D9663467-06B1-4CAE-A003-94BA39ED1D19}"/>
    <cellStyle name="Normal 2 2 2 2 2 2 28 2 5 3 2 2" xfId="12978" xr:uid="{A7CE91DB-487C-428B-A0E1-821411C8988A}"/>
    <cellStyle name="Normal 2 2 2 2 2 2 28 2 5 3 2 3" xfId="12979" xr:uid="{2D5192A9-3048-4C98-B6D7-30778DA9C5C3}"/>
    <cellStyle name="Normal 2 2 2 2 2 2 28 2 5 3 2 4" xfId="12980" xr:uid="{6DEEF92E-5FDB-4C64-8361-8CE880407142}"/>
    <cellStyle name="Normal 2 2 2 2 2 2 28 2 5 3 3" xfId="12981" xr:uid="{2FA9EA25-EDD1-4355-A7E6-0870F58C7BFF}"/>
    <cellStyle name="Normal 2 2 2 2 2 2 28 2 5 3 4" xfId="12982" xr:uid="{A99C7764-FF9D-4C0D-8134-CFC63F33F9E2}"/>
    <cellStyle name="Normal 2 2 2 2 2 2 28 2 5 3 5" xfId="12983" xr:uid="{F4A3BA9D-2005-40FB-BCBF-5F71C33E9260}"/>
    <cellStyle name="Normal 2 2 2 2 2 2 28 2 5 3 6" xfId="12984" xr:uid="{812A65EA-698D-47EB-97F5-644D61BE9845}"/>
    <cellStyle name="Normal 2 2 2 2 2 2 28 2 5 4" xfId="12985" xr:uid="{0E359FB0-D235-4961-890B-371ED670A29B}"/>
    <cellStyle name="Normal 2 2 2 2 2 2 28 2 5 5" xfId="12986" xr:uid="{18EA29DA-8114-4920-B884-85CFE9C1FEFC}"/>
    <cellStyle name="Normal 2 2 2 2 2 2 28 2 5 6" xfId="12987" xr:uid="{F12B22A7-3794-432C-A681-F429A6BB0927}"/>
    <cellStyle name="Normal 2 2 2 2 2 2 28 2 5 7" xfId="12988" xr:uid="{565ADB98-4F9B-4CD5-A2CF-812505620067}"/>
    <cellStyle name="Normal 2 2 2 2 2 2 28 2 5 8" xfId="12989" xr:uid="{7B3E7EF3-7149-416A-B6FA-FF02E665EEF2}"/>
    <cellStyle name="Normal 2 2 2 2 2 2 28 2 5 8 2" xfId="12990" xr:uid="{BC6A977C-1981-400D-BBD1-1AF85A8082ED}"/>
    <cellStyle name="Normal 2 2 2 2 2 2 28 2 5 8 3" xfId="12991" xr:uid="{AFF35868-A9F6-445D-805C-D59460D4A4C8}"/>
    <cellStyle name="Normal 2 2 2 2 2 2 28 2 5 8 4" xfId="12992" xr:uid="{F3332F6D-B8F4-45D2-AA2B-50BBBF91AECF}"/>
    <cellStyle name="Normal 2 2 2 2 2 2 28 2 5 9" xfId="12993" xr:uid="{F37EDCB9-F421-40E8-83A6-A7C31B069879}"/>
    <cellStyle name="Normal 2 2 2 2 2 2 28 2 6" xfId="12994" xr:uid="{6D2A5B99-5C3C-491A-BA5C-027B7B81DEC2}"/>
    <cellStyle name="Normal 2 2 2 2 2 2 28 2 7" xfId="12995" xr:uid="{AF71B814-7E75-4E85-AD5E-FBBCCCDFD0B7}"/>
    <cellStyle name="Normal 2 2 2 2 2 2 28 2 7 2" xfId="12996" xr:uid="{CA57B7DA-5A0A-4D59-825C-8C3700468501}"/>
    <cellStyle name="Normal 2 2 2 2 2 2 28 2 7 2 2" xfId="12997" xr:uid="{765F2BF9-B3F4-4EEF-B429-9B6BDA53BDB5}"/>
    <cellStyle name="Normal 2 2 2 2 2 2 28 2 7 2 3" xfId="12998" xr:uid="{C4F342F1-4AA3-4D45-AA4E-C34B9AD63BD2}"/>
    <cellStyle name="Normal 2 2 2 2 2 2 28 2 7 2 4" xfId="12999" xr:uid="{6E9B29B0-F357-4359-9511-FD6F4EC1D717}"/>
    <cellStyle name="Normal 2 2 2 2 2 2 28 2 7 3" xfId="13000" xr:uid="{AD00D3A6-EAE1-4A0B-AE62-DCF7A699F12A}"/>
    <cellStyle name="Normal 2 2 2 2 2 2 28 2 7 4" xfId="13001" xr:uid="{913D0BEE-4ADE-4501-B95C-C5C55B167A4C}"/>
    <cellStyle name="Normal 2 2 2 2 2 2 28 2 7 5" xfId="13002" xr:uid="{B1521A39-2059-47F5-8456-E21DCFE2463B}"/>
    <cellStyle name="Normal 2 2 2 2 2 2 28 2 7 6" xfId="13003" xr:uid="{4E315F99-E159-4462-A720-F6A093E7466D}"/>
    <cellStyle name="Normal 2 2 2 2 2 2 28 2 8" xfId="13004" xr:uid="{9361FEAD-75A6-44A4-B4C1-A14B73DC1AAB}"/>
    <cellStyle name="Normal 2 2 2 2 2 2 28 2 9" xfId="13005" xr:uid="{C06F91E6-8641-41A1-8A23-7C806ADA25EB}"/>
    <cellStyle name="Normal 2 2 2 2 2 2 28 20" xfId="13006" xr:uid="{F680DF19-BF92-4796-9F54-B9F2CCD030F0}"/>
    <cellStyle name="Normal 2 2 2 2 2 2 28 21" xfId="13007" xr:uid="{4D465CCF-9FA2-4BE4-BD35-A72815C8D787}"/>
    <cellStyle name="Normal 2 2 2 2 2 2 28 21 2" xfId="13008" xr:uid="{962CA3D0-6FFF-4FFF-945B-A96B49BDF710}"/>
    <cellStyle name="Normal 2 2 2 2 2 2 28 21 3" xfId="13009" xr:uid="{43753E6C-7C01-4802-83B3-7840AFA37EDC}"/>
    <cellStyle name="Normal 2 2 2 2 2 2 28 21 4" xfId="13010" xr:uid="{0ACF23AE-B19C-49AA-8D53-32CB9E9A145D}"/>
    <cellStyle name="Normal 2 2 2 2 2 2 28 22" xfId="13011" xr:uid="{0CA303F6-A33C-4C61-AFFB-8DDE4D19F4D1}"/>
    <cellStyle name="Normal 2 2 2 2 2 2 28 23" xfId="13012" xr:uid="{2B85D0D4-F0AC-41B4-85A1-83F503F8090E}"/>
    <cellStyle name="Normal 2 2 2 2 2 2 28 24" xfId="13013" xr:uid="{7D43244B-4A6C-4AFF-A863-6706AB024A90}"/>
    <cellStyle name="Normal 2 2 2 2 2 2 28 3" xfId="13014" xr:uid="{ADAFDD62-CDD3-49F6-A79A-28A228531493}"/>
    <cellStyle name="Normal 2 2 2 2 2 2 28 4" xfId="13015" xr:uid="{E98BEECA-A796-423F-9094-57D16ED9BA1C}"/>
    <cellStyle name="Normal 2 2 2 2 2 2 28 5" xfId="13016" xr:uid="{6611B770-5872-4890-BB95-5E67C1CEC9D0}"/>
    <cellStyle name="Normal 2 2 2 2 2 2 28 6" xfId="13017" xr:uid="{86E2A441-CCA3-4EC8-8109-2D2F2DE384F9}"/>
    <cellStyle name="Normal 2 2 2 2 2 2 28 7" xfId="13018" xr:uid="{8B622346-99F3-4126-81B3-F42EA734ABFF}"/>
    <cellStyle name="Normal 2 2 2 2 2 2 28 8" xfId="13019" xr:uid="{B624812E-6BF4-40FE-BD30-09B519712D1B}"/>
    <cellStyle name="Normal 2 2 2 2 2 2 28 9" xfId="13020" xr:uid="{E5B62617-6E98-4B5F-8020-39D85C1FA29C}"/>
    <cellStyle name="Normal 2 2 2 2 2 2 29" xfId="13021" xr:uid="{32A52AC4-7DFA-43E8-B91B-1FA41B86DBB3}"/>
    <cellStyle name="Normal 2 2 2 2 2 2 29 10" xfId="13022" xr:uid="{B71688F2-9F6C-4FA7-8BFD-359344361E68}"/>
    <cellStyle name="Normal 2 2 2 2 2 2 29 11" xfId="13023" xr:uid="{61D49156-F204-4181-B67A-E36A5C1408AA}"/>
    <cellStyle name="Normal 2 2 2 2 2 2 29 12" xfId="13024" xr:uid="{1962B9B3-9A34-4165-8D53-63672D634FBD}"/>
    <cellStyle name="Normal 2 2 2 2 2 2 29 13" xfId="13025" xr:uid="{CCCF3573-FCF3-48F5-A012-46F5DA8AD795}"/>
    <cellStyle name="Normal 2 2 2 2 2 2 29 13 2" xfId="13026" xr:uid="{F63F2A32-DAC4-4B7A-B31E-84EEA896118B}"/>
    <cellStyle name="Normal 2 2 2 2 2 2 29 13 3" xfId="13027" xr:uid="{25D3BA6C-75DD-4912-AA45-A8C2343B53D4}"/>
    <cellStyle name="Normal 2 2 2 2 2 2 29 13 4" xfId="13028" xr:uid="{2209DB3C-5114-466E-A3C2-C82E08D4666D}"/>
    <cellStyle name="Normal 2 2 2 2 2 2 29 14" xfId="13029" xr:uid="{DE16F6BE-4D82-4827-818A-51E2DB45FD38}"/>
    <cellStyle name="Normal 2 2 2 2 2 2 29 15" xfId="13030" xr:uid="{15972D67-0E96-432C-948A-BFC8A3196B27}"/>
    <cellStyle name="Normal 2 2 2 2 2 2 29 16" xfId="13031" xr:uid="{1B6BE908-D4F6-4975-8B85-27D6953CADF3}"/>
    <cellStyle name="Normal 2 2 2 2 2 2 29 2" xfId="13032" xr:uid="{85304877-CFE4-42BD-93CD-01304F34EDBF}"/>
    <cellStyle name="Normal 2 2 2 2 2 2 29 2 10" xfId="13033" xr:uid="{E2421BFE-2FCC-4F2D-99C7-2D6991FCDA67}"/>
    <cellStyle name="Normal 2 2 2 2 2 2 29 2 11" xfId="13034" xr:uid="{4CC268E1-B812-4097-9471-08F8EBDE6AF4}"/>
    <cellStyle name="Normal 2 2 2 2 2 2 29 2 11 2" xfId="13035" xr:uid="{38337BF5-8911-4A5A-9156-E98C02522030}"/>
    <cellStyle name="Normal 2 2 2 2 2 2 29 2 11 3" xfId="13036" xr:uid="{FA7E5D85-8D5F-4C03-AD8A-69D92EFB2BD8}"/>
    <cellStyle name="Normal 2 2 2 2 2 2 29 2 11 4" xfId="13037" xr:uid="{B7CE8F0C-3842-4412-A925-EFA679E49211}"/>
    <cellStyle name="Normal 2 2 2 2 2 2 29 2 12" xfId="13038" xr:uid="{C3E42473-25E5-4673-BBD5-C98040C40EE1}"/>
    <cellStyle name="Normal 2 2 2 2 2 2 29 2 13" xfId="13039" xr:uid="{8B4BB590-1E95-4BD0-ACA9-2F8842D87E88}"/>
    <cellStyle name="Normal 2 2 2 2 2 2 29 2 14" xfId="13040" xr:uid="{C4907EB7-E480-4E66-A7E7-24B9E36E3DD7}"/>
    <cellStyle name="Normal 2 2 2 2 2 2 29 2 2" xfId="13041" xr:uid="{6145BF1F-6B71-4AF9-BA8D-77C5A8762FCF}"/>
    <cellStyle name="Normal 2 2 2 2 2 2 29 2 2 10" xfId="13042" xr:uid="{4C861A8E-74FE-4488-9C1B-F6126B678FFC}"/>
    <cellStyle name="Normal 2 2 2 2 2 2 29 2 2 11" xfId="13043" xr:uid="{19F52D52-AD4F-4245-A53E-D7DC250C6F5F}"/>
    <cellStyle name="Normal 2 2 2 2 2 2 29 2 2 2" xfId="13044" xr:uid="{DC896DBA-FE9A-4BBA-86A3-6A95E5D17756}"/>
    <cellStyle name="Normal 2 2 2 2 2 2 29 2 2 2 10" xfId="13045" xr:uid="{A4D5054C-4C3D-42AF-9B95-2B161FF21E41}"/>
    <cellStyle name="Normal 2 2 2 2 2 2 29 2 2 2 11" xfId="13046" xr:uid="{DCC75742-5534-4206-B9C8-CC365C501A5E}"/>
    <cellStyle name="Normal 2 2 2 2 2 2 29 2 2 2 2" xfId="13047" xr:uid="{BA5FD151-CA41-4619-AE28-53E651B7D7B4}"/>
    <cellStyle name="Normal 2 2 2 2 2 2 29 2 2 2 2 2" xfId="13048" xr:uid="{64C89718-D2E5-41DB-A17F-018B214C7DC1}"/>
    <cellStyle name="Normal 2 2 2 2 2 2 29 2 2 2 2 2 2" xfId="13049" xr:uid="{545259BF-1C1F-48D9-8211-38326F55842C}"/>
    <cellStyle name="Normal 2 2 2 2 2 2 29 2 2 2 2 2 3" xfId="13050" xr:uid="{98527B22-8E5A-48D0-8C5F-E6B11DA24B64}"/>
    <cellStyle name="Normal 2 2 2 2 2 2 29 2 2 2 2 2 4" xfId="13051" xr:uid="{9D87F026-9A02-451C-9E33-F7553B48753C}"/>
    <cellStyle name="Normal 2 2 2 2 2 2 29 2 2 2 2 3" xfId="13052" xr:uid="{4884D274-3646-4062-913E-DE75DA58425E}"/>
    <cellStyle name="Normal 2 2 2 2 2 2 29 2 2 2 2 4" xfId="13053" xr:uid="{A1D26FFB-589F-48F7-8CD0-9113B6AA0425}"/>
    <cellStyle name="Normal 2 2 2 2 2 2 29 2 2 2 2 5" xfId="13054" xr:uid="{A83D97B9-68D4-4963-8FAE-9A682EDF5289}"/>
    <cellStyle name="Normal 2 2 2 2 2 2 29 2 2 2 2 6" xfId="13055" xr:uid="{48D0A9A5-B6F0-4C48-9337-893ED562CA58}"/>
    <cellStyle name="Normal 2 2 2 2 2 2 29 2 2 2 3" xfId="13056" xr:uid="{41CC7B56-DEC7-4CB4-9160-3D71C7D87B7C}"/>
    <cellStyle name="Normal 2 2 2 2 2 2 29 2 2 2 4" xfId="13057" xr:uid="{CA15C657-465B-4C21-972C-B655564BEF95}"/>
    <cellStyle name="Normal 2 2 2 2 2 2 29 2 2 2 5" xfId="13058" xr:uid="{5F0D02A4-5C07-4900-B0A4-291523576B0C}"/>
    <cellStyle name="Normal 2 2 2 2 2 2 29 2 2 2 6" xfId="13059" xr:uid="{F212E896-9E8C-4B91-9C2E-677FC06CE21C}"/>
    <cellStyle name="Normal 2 2 2 2 2 2 29 2 2 2 7" xfId="13060" xr:uid="{7E3BC457-1A60-4105-8E37-9A13F7F7F2DE}"/>
    <cellStyle name="Normal 2 2 2 2 2 2 29 2 2 2 8" xfId="13061" xr:uid="{A8977919-241F-42F6-A174-32589298586A}"/>
    <cellStyle name="Normal 2 2 2 2 2 2 29 2 2 2 8 2" xfId="13062" xr:uid="{098E13EF-52CC-4135-8E76-F926C2383E4A}"/>
    <cellStyle name="Normal 2 2 2 2 2 2 29 2 2 2 8 3" xfId="13063" xr:uid="{51148E2E-F512-47EC-ADB9-738C83C1CE32}"/>
    <cellStyle name="Normal 2 2 2 2 2 2 29 2 2 2 8 4" xfId="13064" xr:uid="{F25D07DF-C713-4DE8-941D-8E35951B73F4}"/>
    <cellStyle name="Normal 2 2 2 2 2 2 29 2 2 2 9" xfId="13065" xr:uid="{101D2B42-D0D1-42E1-B769-ED1C5C742DDF}"/>
    <cellStyle name="Normal 2 2 2 2 2 2 29 2 2 3" xfId="13066" xr:uid="{C6F84E1D-F0B2-474C-BAAA-CA51D2090087}"/>
    <cellStyle name="Normal 2 2 2 2 2 2 29 2 2 3 2" xfId="13067" xr:uid="{02CC616C-0E71-4461-866D-D2C16CCA10BC}"/>
    <cellStyle name="Normal 2 2 2 2 2 2 29 2 2 3 2 2" xfId="13068" xr:uid="{B2E82C94-6DF8-4509-9120-9BBA311E6FF8}"/>
    <cellStyle name="Normal 2 2 2 2 2 2 29 2 2 3 2 3" xfId="13069" xr:uid="{B3568B69-0FEA-47AC-B5C8-7768B6354CBF}"/>
    <cellStyle name="Normal 2 2 2 2 2 2 29 2 2 3 2 4" xfId="13070" xr:uid="{8345FE9B-000B-4D38-9001-8BC163714291}"/>
    <cellStyle name="Normal 2 2 2 2 2 2 29 2 2 3 3" xfId="13071" xr:uid="{9C78169B-1FB8-422E-8144-971443C87601}"/>
    <cellStyle name="Normal 2 2 2 2 2 2 29 2 2 3 4" xfId="13072" xr:uid="{D1C35D13-10D0-4242-BA34-D04314246EC9}"/>
    <cellStyle name="Normal 2 2 2 2 2 2 29 2 2 3 5" xfId="13073" xr:uid="{86521AFE-42FE-49E4-A834-FCA1E0B24E05}"/>
    <cellStyle name="Normal 2 2 2 2 2 2 29 2 2 3 6" xfId="13074" xr:uid="{A7AAE5BB-05C8-4438-A4AE-F27930755DD9}"/>
    <cellStyle name="Normal 2 2 2 2 2 2 29 2 2 4" xfId="13075" xr:uid="{CD8C79C3-130C-4A21-B707-297D7EF958A1}"/>
    <cellStyle name="Normal 2 2 2 2 2 2 29 2 2 5" xfId="13076" xr:uid="{5D81D5CC-4940-4D02-943C-28FFCC500046}"/>
    <cellStyle name="Normal 2 2 2 2 2 2 29 2 2 6" xfId="13077" xr:uid="{1C5DAA86-812E-4781-BFBA-AEAA4C5B4A8D}"/>
    <cellStyle name="Normal 2 2 2 2 2 2 29 2 2 7" xfId="13078" xr:uid="{7C8DBD6E-7238-4565-8833-E6317583DC60}"/>
    <cellStyle name="Normal 2 2 2 2 2 2 29 2 2 8" xfId="13079" xr:uid="{BD0D82FA-4F05-4B39-9490-B58DBD6C4B9C}"/>
    <cellStyle name="Normal 2 2 2 2 2 2 29 2 2 8 2" xfId="13080" xr:uid="{BAC727FC-69CB-4510-A290-B7896A62DAD9}"/>
    <cellStyle name="Normal 2 2 2 2 2 2 29 2 2 8 3" xfId="13081" xr:uid="{CC11DAB4-693B-427F-975E-2BE2FDB0E916}"/>
    <cellStyle name="Normal 2 2 2 2 2 2 29 2 2 8 4" xfId="13082" xr:uid="{C088878E-93BB-4278-8125-BB2E2BA96C68}"/>
    <cellStyle name="Normal 2 2 2 2 2 2 29 2 2 9" xfId="13083" xr:uid="{AA87978D-2B6E-49EE-8F4B-13621BFDAF8B}"/>
    <cellStyle name="Normal 2 2 2 2 2 2 29 2 3" xfId="13084" xr:uid="{015F06AA-153E-46C4-8202-A0DC7C336A3F}"/>
    <cellStyle name="Normal 2 2 2 2 2 2 29 2 4" xfId="13085" xr:uid="{D0CF54A3-00A7-448F-980D-3B7414A3687E}"/>
    <cellStyle name="Normal 2 2 2 2 2 2 29 2 5" xfId="13086" xr:uid="{840A8E7E-8F13-4FDA-9FA9-5AB7130AF239}"/>
    <cellStyle name="Normal 2 2 2 2 2 2 29 2 5 2" xfId="13087" xr:uid="{704C837B-D2A0-4165-B111-2A9191CD19FD}"/>
    <cellStyle name="Normal 2 2 2 2 2 2 29 2 5 2 2" xfId="13088" xr:uid="{832F2377-991B-4BD6-9FE4-F46071FDFC5F}"/>
    <cellStyle name="Normal 2 2 2 2 2 2 29 2 5 2 3" xfId="13089" xr:uid="{F707B34E-2317-4021-BBBB-FEF8AA9FF36D}"/>
    <cellStyle name="Normal 2 2 2 2 2 2 29 2 5 2 4" xfId="13090" xr:uid="{580F669E-A6C1-414F-808D-0E22F79B884A}"/>
    <cellStyle name="Normal 2 2 2 2 2 2 29 2 5 3" xfId="13091" xr:uid="{EA931EC5-6D07-41CA-AB0B-C80D845662F5}"/>
    <cellStyle name="Normal 2 2 2 2 2 2 29 2 5 4" xfId="13092" xr:uid="{E0D2B2F0-A9A9-4989-9BF4-CF92224EC1CF}"/>
    <cellStyle name="Normal 2 2 2 2 2 2 29 2 5 5" xfId="13093" xr:uid="{BA96EC6F-8DBF-4BC8-B96A-7DA9EF9F9531}"/>
    <cellStyle name="Normal 2 2 2 2 2 2 29 2 5 6" xfId="13094" xr:uid="{CD698A69-6DD0-4932-AFDC-F921FFBCA407}"/>
    <cellStyle name="Normal 2 2 2 2 2 2 29 2 6" xfId="13095" xr:uid="{1E565245-99C1-4414-9129-C42EE3106255}"/>
    <cellStyle name="Normal 2 2 2 2 2 2 29 2 7" xfId="13096" xr:uid="{09A73E0E-A3EA-4D3D-9106-1A24DA9055F2}"/>
    <cellStyle name="Normal 2 2 2 2 2 2 29 2 8" xfId="13097" xr:uid="{4643A69C-51D0-41DD-98DD-0BA1820A07EB}"/>
    <cellStyle name="Normal 2 2 2 2 2 2 29 2 9" xfId="13098" xr:uid="{CB32E54B-5CAF-4E8C-B948-89EF5D0BD7C4}"/>
    <cellStyle name="Normal 2 2 2 2 2 2 29 3" xfId="13099" xr:uid="{5F5010E8-273C-4003-8311-F8451C80B487}"/>
    <cellStyle name="Normal 2 2 2 2 2 2 29 4" xfId="13100" xr:uid="{FB3F75BB-1954-467F-880E-2B2386B8FB4D}"/>
    <cellStyle name="Normal 2 2 2 2 2 2 29 5" xfId="13101" xr:uid="{0B48F16E-3739-4791-B564-C26754D2A491}"/>
    <cellStyle name="Normal 2 2 2 2 2 2 29 5 10" xfId="13102" xr:uid="{DB70EC91-9558-4701-9746-7372E7FF4095}"/>
    <cellStyle name="Normal 2 2 2 2 2 2 29 5 11" xfId="13103" xr:uid="{94B9C0FE-74C3-4EF3-9BC6-BE0DAC3938AC}"/>
    <cellStyle name="Normal 2 2 2 2 2 2 29 5 2" xfId="13104" xr:uid="{B2DD56DF-46A5-4010-886A-375EF5CD0C02}"/>
    <cellStyle name="Normal 2 2 2 2 2 2 29 5 2 10" xfId="13105" xr:uid="{7095209B-0BCC-44E6-A9C7-B972CDE5257A}"/>
    <cellStyle name="Normal 2 2 2 2 2 2 29 5 2 11" xfId="13106" xr:uid="{1E05E4B6-435E-495D-A038-E5B1A73B1A99}"/>
    <cellStyle name="Normal 2 2 2 2 2 2 29 5 2 2" xfId="13107" xr:uid="{ADB256A3-BD2C-4215-A5FE-68B9ACD24E54}"/>
    <cellStyle name="Normal 2 2 2 2 2 2 29 5 2 2 2" xfId="13108" xr:uid="{FCE0E685-6423-4FD0-BE82-68B93A7424D9}"/>
    <cellStyle name="Normal 2 2 2 2 2 2 29 5 2 2 2 2" xfId="13109" xr:uid="{657E6DF7-2E6F-45A8-AC47-C7BD2AB25099}"/>
    <cellStyle name="Normal 2 2 2 2 2 2 29 5 2 2 2 3" xfId="13110" xr:uid="{A95B8AA0-C0A4-40A4-BA2C-8141C4F6B242}"/>
    <cellStyle name="Normal 2 2 2 2 2 2 29 5 2 2 2 4" xfId="13111" xr:uid="{E3F9D978-6A82-45FD-A672-261EBEBB3787}"/>
    <cellStyle name="Normal 2 2 2 2 2 2 29 5 2 2 3" xfId="13112" xr:uid="{7FE32F07-3433-48EF-9B09-D23534882DD3}"/>
    <cellStyle name="Normal 2 2 2 2 2 2 29 5 2 2 4" xfId="13113" xr:uid="{93548544-C528-4D5E-90CB-9BCB7C6C4552}"/>
    <cellStyle name="Normal 2 2 2 2 2 2 29 5 2 2 5" xfId="13114" xr:uid="{0DBCB756-1204-4DCD-A60B-50CE5FCBFE9C}"/>
    <cellStyle name="Normal 2 2 2 2 2 2 29 5 2 2 6" xfId="13115" xr:uid="{B10EAED1-C1F1-4042-84C2-770C65B71212}"/>
    <cellStyle name="Normal 2 2 2 2 2 2 29 5 2 3" xfId="13116" xr:uid="{A2A0F8E9-BFD2-4597-9AA1-6690AA2388BE}"/>
    <cellStyle name="Normal 2 2 2 2 2 2 29 5 2 4" xfId="13117" xr:uid="{E002F5B5-3888-4860-95ED-689C283C0AA9}"/>
    <cellStyle name="Normal 2 2 2 2 2 2 29 5 2 5" xfId="13118" xr:uid="{2687ED51-9BC0-4F1B-BBF5-EABD966F0372}"/>
    <cellStyle name="Normal 2 2 2 2 2 2 29 5 2 6" xfId="13119" xr:uid="{B9BDF9EE-A799-4DAB-8EB7-5BBC12EF78CE}"/>
    <cellStyle name="Normal 2 2 2 2 2 2 29 5 2 7" xfId="13120" xr:uid="{56E0A154-1903-4003-926A-F978E66AB576}"/>
    <cellStyle name="Normal 2 2 2 2 2 2 29 5 2 8" xfId="13121" xr:uid="{68BCA2E0-5C9B-4516-B497-02F3B5F4DB63}"/>
    <cellStyle name="Normal 2 2 2 2 2 2 29 5 2 8 2" xfId="13122" xr:uid="{3BFEFBE1-8240-43B6-819F-961832DA7C64}"/>
    <cellStyle name="Normal 2 2 2 2 2 2 29 5 2 8 3" xfId="13123" xr:uid="{86C6085C-93CC-4614-B094-6860F9E3AEDE}"/>
    <cellStyle name="Normal 2 2 2 2 2 2 29 5 2 8 4" xfId="13124" xr:uid="{7B85DDC6-03EF-4784-AE8C-2E00DCA0A833}"/>
    <cellStyle name="Normal 2 2 2 2 2 2 29 5 2 9" xfId="13125" xr:uid="{50AB7224-4B10-490F-9F43-29AAAF627DAE}"/>
    <cellStyle name="Normal 2 2 2 2 2 2 29 5 3" xfId="13126" xr:uid="{1F0CB191-679B-49B6-BF82-3329E9B20F30}"/>
    <cellStyle name="Normal 2 2 2 2 2 2 29 5 3 2" xfId="13127" xr:uid="{096B9940-5835-49D3-BC71-76D470C260FB}"/>
    <cellStyle name="Normal 2 2 2 2 2 2 29 5 3 2 2" xfId="13128" xr:uid="{2552F1FC-EE64-4D5E-B583-D7A9CA6B3258}"/>
    <cellStyle name="Normal 2 2 2 2 2 2 29 5 3 2 3" xfId="13129" xr:uid="{3CAC38FC-29E5-4FEA-A083-1AD541186F80}"/>
    <cellStyle name="Normal 2 2 2 2 2 2 29 5 3 2 4" xfId="13130" xr:uid="{F034D854-E935-43B2-BEA3-12031EC6F583}"/>
    <cellStyle name="Normal 2 2 2 2 2 2 29 5 3 3" xfId="13131" xr:uid="{5A6007DC-3E1B-4568-A00F-9396CA6A35CA}"/>
    <cellStyle name="Normal 2 2 2 2 2 2 29 5 3 4" xfId="13132" xr:uid="{43265872-2FA6-45BC-B72C-C63CDA014C2F}"/>
    <cellStyle name="Normal 2 2 2 2 2 2 29 5 3 5" xfId="13133" xr:uid="{070D33A1-7B10-42E9-A80A-B60924199AD7}"/>
    <cellStyle name="Normal 2 2 2 2 2 2 29 5 3 6" xfId="13134" xr:uid="{D1DA3B9A-6302-4FC6-9441-4A4FB10CD8A5}"/>
    <cellStyle name="Normal 2 2 2 2 2 2 29 5 4" xfId="13135" xr:uid="{19228A1B-4331-4B39-8FB9-DE854CC372A7}"/>
    <cellStyle name="Normal 2 2 2 2 2 2 29 5 5" xfId="13136" xr:uid="{CFB6322A-9003-4542-B6AA-F35822C8F84D}"/>
    <cellStyle name="Normal 2 2 2 2 2 2 29 5 6" xfId="13137" xr:uid="{0EB5D097-2863-4CF0-AE89-CA2CDEBE5595}"/>
    <cellStyle name="Normal 2 2 2 2 2 2 29 5 7" xfId="13138" xr:uid="{ABCEF564-7885-460B-B6E5-B66973EC9260}"/>
    <cellStyle name="Normal 2 2 2 2 2 2 29 5 8" xfId="13139" xr:uid="{A17B3096-D2CC-4C52-A69F-D828D0F3F56E}"/>
    <cellStyle name="Normal 2 2 2 2 2 2 29 5 8 2" xfId="13140" xr:uid="{42DBE92C-EFC7-4AA4-961C-C4A06CBA35E6}"/>
    <cellStyle name="Normal 2 2 2 2 2 2 29 5 8 3" xfId="13141" xr:uid="{3F3F1BEB-F0CF-4CC1-B78B-224F9F64C439}"/>
    <cellStyle name="Normal 2 2 2 2 2 2 29 5 8 4" xfId="13142" xr:uid="{E4772930-7885-4865-8090-557AA5DC59FF}"/>
    <cellStyle name="Normal 2 2 2 2 2 2 29 5 9" xfId="13143" xr:uid="{99A14C14-E7F7-44BE-A365-7FAC7B0ADD62}"/>
    <cellStyle name="Normal 2 2 2 2 2 2 29 6" xfId="13144" xr:uid="{E4A2F8A1-B1B0-4841-8CB1-D470E238196B}"/>
    <cellStyle name="Normal 2 2 2 2 2 2 29 7" xfId="13145" xr:uid="{8DFD8372-45FE-435C-B567-4D417B02F41A}"/>
    <cellStyle name="Normal 2 2 2 2 2 2 29 7 2" xfId="13146" xr:uid="{3AEAE00D-1F78-4577-A6D4-85AFD3835BF7}"/>
    <cellStyle name="Normal 2 2 2 2 2 2 29 7 2 2" xfId="13147" xr:uid="{1A990B86-8F1D-43A6-BED1-8F569EF87BBE}"/>
    <cellStyle name="Normal 2 2 2 2 2 2 29 7 2 3" xfId="13148" xr:uid="{59D33667-69EC-4304-A6C3-1DAEF57D0EC6}"/>
    <cellStyle name="Normal 2 2 2 2 2 2 29 7 2 4" xfId="13149" xr:uid="{ABAE0B9F-8CD6-4F24-BA6B-0BE8C187ED4A}"/>
    <cellStyle name="Normal 2 2 2 2 2 2 29 7 3" xfId="13150" xr:uid="{E0716EF4-D1C8-485E-A86E-D2986726A135}"/>
    <cellStyle name="Normal 2 2 2 2 2 2 29 7 4" xfId="13151" xr:uid="{A38C1E73-2EB5-42F3-A524-71FFD54536E1}"/>
    <cellStyle name="Normal 2 2 2 2 2 2 29 7 5" xfId="13152" xr:uid="{A26A4D70-8E08-4278-9216-AA658992E8B7}"/>
    <cellStyle name="Normal 2 2 2 2 2 2 29 7 6" xfId="13153" xr:uid="{316E8A7C-F2DF-4E7E-8119-E45B9334731C}"/>
    <cellStyle name="Normal 2 2 2 2 2 2 29 8" xfId="13154" xr:uid="{CB282AF7-5946-4672-820E-52B218970652}"/>
    <cellStyle name="Normal 2 2 2 2 2 2 29 9" xfId="13155" xr:uid="{A6EEF4DA-76A0-45C6-BA16-83CA780374C0}"/>
    <cellStyle name="Normal 2 2 2 2 2 2 3" xfId="13156" xr:uid="{B7D9C209-A7CF-4A62-B62B-0505F298AAE5}"/>
    <cellStyle name="Normal 2 2 2 2 2 2 30" xfId="13157" xr:uid="{24F78B56-7302-4304-B499-F3C5922E7871}"/>
    <cellStyle name="Normal 2 2 2 2 2 2 31" xfId="13158" xr:uid="{FA199F40-689A-469C-89DC-09438301F629}"/>
    <cellStyle name="Normal 2 2 2 2 2 2 32" xfId="13159" xr:uid="{81899A1B-5BF7-40A4-8CC4-8CEFCE0CE49F}"/>
    <cellStyle name="Normal 2 2 2 2 2 2 33" xfId="13160" xr:uid="{2A3C79D0-8E6E-4AF7-814F-C46C1442590A}"/>
    <cellStyle name="Normal 2 2 2 2 2 2 34" xfId="13161" xr:uid="{551C8AFB-3F14-429E-9804-328B553A5C31}"/>
    <cellStyle name="Normal 2 2 2 2 2 2 35" xfId="13162" xr:uid="{C63A09F7-FF42-48D4-9760-65778E86E057}"/>
    <cellStyle name="Normal 2 2 2 2 2 2 36" xfId="13163" xr:uid="{3C0DD773-4B2E-40A0-A62C-2A82D1DDAEFD}"/>
    <cellStyle name="Normal 2 2 2 2 2 2 37" xfId="13164" xr:uid="{F6A1C777-F26A-4003-B75C-4071AA1A1D71}"/>
    <cellStyle name="Normal 2 2 2 2 2 2 37 10" xfId="13165" xr:uid="{6F7A5643-957D-4F46-B9D6-81822F7DB499}"/>
    <cellStyle name="Normal 2 2 2 2 2 2 37 11" xfId="13166" xr:uid="{916710BF-1ACF-45CD-83C3-AF9AADDE7088}"/>
    <cellStyle name="Normal 2 2 2 2 2 2 37 11 2" xfId="13167" xr:uid="{B0A7212C-C14D-43A4-843B-6475649601CC}"/>
    <cellStyle name="Normal 2 2 2 2 2 2 37 11 3" xfId="13168" xr:uid="{FE0263B9-44E7-4CCC-BB7C-1A8D8CC8834C}"/>
    <cellStyle name="Normal 2 2 2 2 2 2 37 11 4" xfId="13169" xr:uid="{F85BADEC-AAB7-4A81-9BE3-E89B7C4D0941}"/>
    <cellStyle name="Normal 2 2 2 2 2 2 37 12" xfId="13170" xr:uid="{5281ECF1-C55C-4F41-99FF-0A45DCA33133}"/>
    <cellStyle name="Normal 2 2 2 2 2 2 37 13" xfId="13171" xr:uid="{7E810A91-5704-49E4-A426-C2F1A4ECA91A}"/>
    <cellStyle name="Normal 2 2 2 2 2 2 37 14" xfId="13172" xr:uid="{20417AB3-3050-4435-A5F4-214FED173C97}"/>
    <cellStyle name="Normal 2 2 2 2 2 2 37 2" xfId="13173" xr:uid="{079AECE8-135D-4668-B65D-6B1F4FA9B92A}"/>
    <cellStyle name="Normal 2 2 2 2 2 2 37 2 10" xfId="13174" xr:uid="{B00F8B57-E361-48B3-B0FD-17E8A2661790}"/>
    <cellStyle name="Normal 2 2 2 2 2 2 37 2 11" xfId="13175" xr:uid="{C33275E6-A413-4BE5-9516-9A1B24B8D850}"/>
    <cellStyle name="Normal 2 2 2 2 2 2 37 2 2" xfId="13176" xr:uid="{C330558D-AF3E-4A9C-A806-1C3103B847A4}"/>
    <cellStyle name="Normal 2 2 2 2 2 2 37 2 2 10" xfId="13177" xr:uid="{39F1D6F8-BCBE-41E2-ADA7-78963B5B0CC9}"/>
    <cellStyle name="Normal 2 2 2 2 2 2 37 2 2 11" xfId="13178" xr:uid="{729E559C-202D-4D0F-BCE4-5BB2AA8024A4}"/>
    <cellStyle name="Normal 2 2 2 2 2 2 37 2 2 2" xfId="13179" xr:uid="{2E402AF2-9F4E-48A7-A63D-A570645ED249}"/>
    <cellStyle name="Normal 2 2 2 2 2 2 37 2 2 2 2" xfId="13180" xr:uid="{4E62FCF9-D9F9-4BAA-BEA9-C786EAE60897}"/>
    <cellStyle name="Normal 2 2 2 2 2 2 37 2 2 2 2 2" xfId="13181" xr:uid="{0E6FDDAB-5CDC-451D-AFC6-C89217F6FB40}"/>
    <cellStyle name="Normal 2 2 2 2 2 2 37 2 2 2 2 3" xfId="13182" xr:uid="{1F0F61E0-58A9-47F3-8A64-5632B0E5EF8D}"/>
    <cellStyle name="Normal 2 2 2 2 2 2 37 2 2 2 2 4" xfId="13183" xr:uid="{16C19730-F919-4D0E-963D-EF7A29DD5322}"/>
    <cellStyle name="Normal 2 2 2 2 2 2 37 2 2 2 3" xfId="13184" xr:uid="{07CC9CEF-93F9-46FD-91D4-D615703C1943}"/>
    <cellStyle name="Normal 2 2 2 2 2 2 37 2 2 2 4" xfId="13185" xr:uid="{7FA43A3C-7A0C-4D7D-A1FD-6A80D8B5402F}"/>
    <cellStyle name="Normal 2 2 2 2 2 2 37 2 2 2 5" xfId="13186" xr:uid="{A5DF5D5F-5B04-4E6F-A30F-BCAAB22BBE6A}"/>
    <cellStyle name="Normal 2 2 2 2 2 2 37 2 2 2 6" xfId="13187" xr:uid="{34EF599F-DFE1-46D1-AC1C-868988137210}"/>
    <cellStyle name="Normal 2 2 2 2 2 2 37 2 2 3" xfId="13188" xr:uid="{1965DEEE-979C-4F66-9EF4-AB1346ADCA6E}"/>
    <cellStyle name="Normal 2 2 2 2 2 2 37 2 2 4" xfId="13189" xr:uid="{05C29461-5F3F-4CB4-B807-5F144A9EC5DF}"/>
    <cellStyle name="Normal 2 2 2 2 2 2 37 2 2 5" xfId="13190" xr:uid="{58D2022D-73F7-4BE7-A35D-410680F62092}"/>
    <cellStyle name="Normal 2 2 2 2 2 2 37 2 2 6" xfId="13191" xr:uid="{30B18FFD-C4CB-4CA6-AA7C-C678676C34A8}"/>
    <cellStyle name="Normal 2 2 2 2 2 2 37 2 2 7" xfId="13192" xr:uid="{FD2A920C-3CE3-455B-A595-73E3177042DE}"/>
    <cellStyle name="Normal 2 2 2 2 2 2 37 2 2 8" xfId="13193" xr:uid="{8898C3BD-84A1-4D33-B6A5-9B9569AAA8C3}"/>
    <cellStyle name="Normal 2 2 2 2 2 2 37 2 2 8 2" xfId="13194" xr:uid="{2FBFD693-9515-4245-B688-5EE68EF9CEC5}"/>
    <cellStyle name="Normal 2 2 2 2 2 2 37 2 2 8 3" xfId="13195" xr:uid="{2CC9C490-7913-475D-B3F1-DD2D378C0231}"/>
    <cellStyle name="Normal 2 2 2 2 2 2 37 2 2 8 4" xfId="13196" xr:uid="{6582AF74-8985-4350-88F3-9B0DC9A61266}"/>
    <cellStyle name="Normal 2 2 2 2 2 2 37 2 2 9" xfId="13197" xr:uid="{4B2DBA05-4652-4F2F-80BC-41AD28FBC46A}"/>
    <cellStyle name="Normal 2 2 2 2 2 2 37 2 3" xfId="13198" xr:uid="{DBFB3194-AE22-4B6B-BA94-9D1CC638F2FD}"/>
    <cellStyle name="Normal 2 2 2 2 2 2 37 2 3 2" xfId="13199" xr:uid="{8F0C7907-FA1D-4821-A88E-805B5754D721}"/>
    <cellStyle name="Normal 2 2 2 2 2 2 37 2 3 2 2" xfId="13200" xr:uid="{A071C924-DB4D-4DC0-8A4C-EEAB01A66D4F}"/>
    <cellStyle name="Normal 2 2 2 2 2 2 37 2 3 2 3" xfId="13201" xr:uid="{7D29F1B8-4143-45C9-BCC5-D9A23D16A526}"/>
    <cellStyle name="Normal 2 2 2 2 2 2 37 2 3 2 4" xfId="13202" xr:uid="{36CC8546-8B61-45D0-BA6E-ED0E15749AC2}"/>
    <cellStyle name="Normal 2 2 2 2 2 2 37 2 3 3" xfId="13203" xr:uid="{37058203-BA3E-4E2F-8793-D9C247241440}"/>
    <cellStyle name="Normal 2 2 2 2 2 2 37 2 3 4" xfId="13204" xr:uid="{FE9BE3F3-548B-427E-B523-0FCE79C76EB6}"/>
    <cellStyle name="Normal 2 2 2 2 2 2 37 2 3 5" xfId="13205" xr:uid="{3FA5E43E-8BDE-4CC2-8002-5E37BCA799CE}"/>
    <cellStyle name="Normal 2 2 2 2 2 2 37 2 3 6" xfId="13206" xr:uid="{FBD0DBD8-BAF9-41C4-B899-DF73D3F88E4E}"/>
    <cellStyle name="Normal 2 2 2 2 2 2 37 2 4" xfId="13207" xr:uid="{4E07693F-3DBC-4056-9387-2476D0BA8C88}"/>
    <cellStyle name="Normal 2 2 2 2 2 2 37 2 5" xfId="13208" xr:uid="{CD5FFD4E-4229-4367-A268-EBB40915DD38}"/>
    <cellStyle name="Normal 2 2 2 2 2 2 37 2 6" xfId="13209" xr:uid="{24D07444-94F8-4F01-809A-BBF039F69B9F}"/>
    <cellStyle name="Normal 2 2 2 2 2 2 37 2 7" xfId="13210" xr:uid="{6623C498-5A4A-49BD-9138-2C6EF32A09DF}"/>
    <cellStyle name="Normal 2 2 2 2 2 2 37 2 8" xfId="13211" xr:uid="{E3843121-E895-41F6-AB57-B6B19B852B90}"/>
    <cellStyle name="Normal 2 2 2 2 2 2 37 2 8 2" xfId="13212" xr:uid="{0E96B5E5-4826-4209-95FD-84E54E9E47E2}"/>
    <cellStyle name="Normal 2 2 2 2 2 2 37 2 8 3" xfId="13213" xr:uid="{9F2EB3D3-6616-4BE9-9F84-1C90D44D8CC4}"/>
    <cellStyle name="Normal 2 2 2 2 2 2 37 2 8 4" xfId="13214" xr:uid="{9611A44F-5825-4A2C-95BB-6425D7E5D906}"/>
    <cellStyle name="Normal 2 2 2 2 2 2 37 2 9" xfId="13215" xr:uid="{795A5A08-0CD4-4CC9-AD37-CF44C2FC4901}"/>
    <cellStyle name="Normal 2 2 2 2 2 2 37 3" xfId="13216" xr:uid="{CD776F09-5DBD-40B6-817D-DA3D65F28D61}"/>
    <cellStyle name="Normal 2 2 2 2 2 2 37 4" xfId="13217" xr:uid="{A4C4406B-62B1-46FD-BB12-419EBB28E48C}"/>
    <cellStyle name="Normal 2 2 2 2 2 2 37 5" xfId="13218" xr:uid="{AAC055E8-4003-43D5-B759-96F40F9DAD73}"/>
    <cellStyle name="Normal 2 2 2 2 2 2 37 5 2" xfId="13219" xr:uid="{EFF0BAC7-957E-42F2-95C7-67DC13D74E90}"/>
    <cellStyle name="Normal 2 2 2 2 2 2 37 5 2 2" xfId="13220" xr:uid="{3697FFCA-DCCD-4948-B3EF-2E0227A3F7FD}"/>
    <cellStyle name="Normal 2 2 2 2 2 2 37 5 2 3" xfId="13221" xr:uid="{FBF46F1E-D07E-48FB-8C2D-B1F7662E039B}"/>
    <cellStyle name="Normal 2 2 2 2 2 2 37 5 2 4" xfId="13222" xr:uid="{42F3E462-7631-4515-8CFC-A18A206EE3C8}"/>
    <cellStyle name="Normal 2 2 2 2 2 2 37 5 3" xfId="13223" xr:uid="{31840E56-D33E-423B-BB53-AD8853E92ADF}"/>
    <cellStyle name="Normal 2 2 2 2 2 2 37 5 4" xfId="13224" xr:uid="{6BB6D769-2B7A-45BA-B3EF-05D9591553B4}"/>
    <cellStyle name="Normal 2 2 2 2 2 2 37 5 5" xfId="13225" xr:uid="{C8D06DF4-C0D0-4C60-9732-FDF0913F4576}"/>
    <cellStyle name="Normal 2 2 2 2 2 2 37 5 6" xfId="13226" xr:uid="{988C419C-FCC0-49E8-ACCB-BE22727C2DE7}"/>
    <cellStyle name="Normal 2 2 2 2 2 2 37 6" xfId="13227" xr:uid="{4AAE7CCC-208D-4E75-9DEF-19A4947E0269}"/>
    <cellStyle name="Normal 2 2 2 2 2 2 37 7" xfId="13228" xr:uid="{455FAEA2-7A42-43CE-926D-5010A905B211}"/>
    <cellStyle name="Normal 2 2 2 2 2 2 37 8" xfId="13229" xr:uid="{1013A619-294F-428C-B22E-7A4E99F0981A}"/>
    <cellStyle name="Normal 2 2 2 2 2 2 37 9" xfId="13230" xr:uid="{6EF45CE8-5F09-4A96-9F77-D1C22E0FC59A}"/>
    <cellStyle name="Normal 2 2 2 2 2 2 38" xfId="13231" xr:uid="{EE65E49E-5753-4792-958F-C5A44EA690CE}"/>
    <cellStyle name="Normal 2 2 2 2 2 2 39" xfId="13232" xr:uid="{BCB333BB-6AEF-4E14-8041-255BC4CC74BB}"/>
    <cellStyle name="Normal 2 2 2 2 2 2 39 10" xfId="13233" xr:uid="{3828CCE1-6DC9-461B-9DB1-66BD7DA28245}"/>
    <cellStyle name="Normal 2 2 2 2 2 2 39 11" xfId="13234" xr:uid="{246D75AC-365A-44FB-8081-DCD0352C4A57}"/>
    <cellStyle name="Normal 2 2 2 2 2 2 39 2" xfId="13235" xr:uid="{82422B47-4780-47BD-AD9E-0D0AC759D3D2}"/>
    <cellStyle name="Normal 2 2 2 2 2 2 39 2 10" xfId="13236" xr:uid="{3C43BA07-21C0-4A76-AD13-6D53BF3891A8}"/>
    <cellStyle name="Normal 2 2 2 2 2 2 39 2 11" xfId="13237" xr:uid="{56EB1AAA-1917-4226-B536-08CCDF05AA0E}"/>
    <cellStyle name="Normal 2 2 2 2 2 2 39 2 2" xfId="13238" xr:uid="{F6DD283C-BFDF-454F-AEB5-7C7169CB5B64}"/>
    <cellStyle name="Normal 2 2 2 2 2 2 39 2 2 2" xfId="13239" xr:uid="{1B0AA6DF-AF03-4863-8DC0-FCFCD791E640}"/>
    <cellStyle name="Normal 2 2 2 2 2 2 39 2 2 2 2" xfId="13240" xr:uid="{769B162E-7A22-4FF6-9012-38DDFEB8975C}"/>
    <cellStyle name="Normal 2 2 2 2 2 2 39 2 2 2 3" xfId="13241" xr:uid="{8C43D663-BA23-49E5-9584-0ADB55F07AB2}"/>
    <cellStyle name="Normal 2 2 2 2 2 2 39 2 2 2 4" xfId="13242" xr:uid="{68BCE2EB-D91C-444E-92D8-1192386D4EAB}"/>
    <cellStyle name="Normal 2 2 2 2 2 2 39 2 2 3" xfId="13243" xr:uid="{64C4A13E-5DD7-45B3-A910-23ECBB343C50}"/>
    <cellStyle name="Normal 2 2 2 2 2 2 39 2 2 4" xfId="13244" xr:uid="{29033671-4654-41DF-A07E-3B182D70ECDF}"/>
    <cellStyle name="Normal 2 2 2 2 2 2 39 2 2 5" xfId="13245" xr:uid="{7A02801D-C15A-47F9-9E03-12C9BFC46C48}"/>
    <cellStyle name="Normal 2 2 2 2 2 2 39 2 2 6" xfId="13246" xr:uid="{60F4803D-896C-41D7-B664-98665F09B5BD}"/>
    <cellStyle name="Normal 2 2 2 2 2 2 39 2 3" xfId="13247" xr:uid="{5E36B84D-E4D2-4917-8F5F-2E42E564AB49}"/>
    <cellStyle name="Normal 2 2 2 2 2 2 39 2 4" xfId="13248" xr:uid="{DE8E7F7B-47E1-4813-B9DF-6CC0331550C0}"/>
    <cellStyle name="Normal 2 2 2 2 2 2 39 2 5" xfId="13249" xr:uid="{69890CB9-5D12-4B88-A6E5-3AA57FF1A5F5}"/>
    <cellStyle name="Normal 2 2 2 2 2 2 39 2 6" xfId="13250" xr:uid="{3D017734-E27C-46EA-9C64-AE6C70A7B1FC}"/>
    <cellStyle name="Normal 2 2 2 2 2 2 39 2 7" xfId="13251" xr:uid="{240753BA-1D77-4DF4-9686-F302A36D16ED}"/>
    <cellStyle name="Normal 2 2 2 2 2 2 39 2 8" xfId="13252" xr:uid="{7D55077F-49DB-48BF-A654-898B206D962F}"/>
    <cellStyle name="Normal 2 2 2 2 2 2 39 2 8 2" xfId="13253" xr:uid="{8651F883-202A-4075-A87B-B6BDF344D6D7}"/>
    <cellStyle name="Normal 2 2 2 2 2 2 39 2 8 3" xfId="13254" xr:uid="{AAB376FC-3B91-4F09-A4FE-2A94C365F0E4}"/>
    <cellStyle name="Normal 2 2 2 2 2 2 39 2 8 4" xfId="13255" xr:uid="{615CFAA6-3902-49D3-BE8E-141AB39B7FC5}"/>
    <cellStyle name="Normal 2 2 2 2 2 2 39 2 9" xfId="13256" xr:uid="{3B905671-40BF-4D47-A73F-BB0B3F1F4BA4}"/>
    <cellStyle name="Normal 2 2 2 2 2 2 39 3" xfId="13257" xr:uid="{54BDDA51-9408-4CA1-B0D5-A8F850A55C31}"/>
    <cellStyle name="Normal 2 2 2 2 2 2 39 3 2" xfId="13258" xr:uid="{BA8D6EBF-2FFA-4D59-8E62-CCB528FF986C}"/>
    <cellStyle name="Normal 2 2 2 2 2 2 39 3 2 2" xfId="13259" xr:uid="{EBD282BA-2735-4552-84F7-B0FF7F7A0CD5}"/>
    <cellStyle name="Normal 2 2 2 2 2 2 39 3 2 3" xfId="13260" xr:uid="{0EDF3343-CD41-4690-AFBB-2D42C12AF223}"/>
    <cellStyle name="Normal 2 2 2 2 2 2 39 3 2 4" xfId="13261" xr:uid="{2F0F1B6E-F3D4-475D-9181-3FFC2971D3C8}"/>
    <cellStyle name="Normal 2 2 2 2 2 2 39 3 3" xfId="13262" xr:uid="{647BE01E-5536-4700-AC6D-411F1BD98C27}"/>
    <cellStyle name="Normal 2 2 2 2 2 2 39 3 4" xfId="13263" xr:uid="{7BA55E97-68BD-49D0-8338-F70E050DFBA9}"/>
    <cellStyle name="Normal 2 2 2 2 2 2 39 3 5" xfId="13264" xr:uid="{87DC8778-41B5-4EDA-A755-BC4E30CD6DFD}"/>
    <cellStyle name="Normal 2 2 2 2 2 2 39 3 6" xfId="13265" xr:uid="{2678F584-CA6C-41E6-8864-18AEB92C9AF9}"/>
    <cellStyle name="Normal 2 2 2 2 2 2 39 4" xfId="13266" xr:uid="{6FAE2931-0488-46DB-950D-0CED0EB0E38F}"/>
    <cellStyle name="Normal 2 2 2 2 2 2 39 5" xfId="13267" xr:uid="{003891EC-A9A0-4EC0-90C7-8556554850C2}"/>
    <cellStyle name="Normal 2 2 2 2 2 2 39 6" xfId="13268" xr:uid="{C3851BEB-E011-4F3B-8C49-DF41737B985B}"/>
    <cellStyle name="Normal 2 2 2 2 2 2 39 7" xfId="13269" xr:uid="{D453664C-0D0B-4EAD-A97D-33B3D1500A02}"/>
    <cellStyle name="Normal 2 2 2 2 2 2 39 8" xfId="13270" xr:uid="{05C2D35A-A4FA-446E-BD06-C9EEE714038E}"/>
    <cellStyle name="Normal 2 2 2 2 2 2 39 8 2" xfId="13271" xr:uid="{08C24D98-0474-40B2-8546-E5C1AC0F0C01}"/>
    <cellStyle name="Normal 2 2 2 2 2 2 39 8 3" xfId="13272" xr:uid="{82E76735-F268-4C2F-AA5C-77C2B9182D2A}"/>
    <cellStyle name="Normal 2 2 2 2 2 2 39 8 4" xfId="13273" xr:uid="{3D8C0D22-91E5-4507-9DAB-8D7D8517FEA6}"/>
    <cellStyle name="Normal 2 2 2 2 2 2 39 9" xfId="13274" xr:uid="{3CC59ABF-9366-40CD-A89A-E4DFC3223541}"/>
    <cellStyle name="Normal 2 2 2 2 2 2 4" xfId="13275" xr:uid="{F6EE9818-B1C8-478B-B025-559BDA15395D}"/>
    <cellStyle name="Normal 2 2 2 2 2 2 40" xfId="13276" xr:uid="{594C407E-75E5-4E09-9B07-ABDA7998DD6F}"/>
    <cellStyle name="Normal 2 2 2 2 2 2 41" xfId="13277" xr:uid="{04A40F07-0060-4180-AC26-26C3CA2F31C4}"/>
    <cellStyle name="Normal 2 2 2 2 2 2 41 2" xfId="13278" xr:uid="{71A5EFC7-74DA-44F2-A6C7-F528007E8E48}"/>
    <cellStyle name="Normal 2 2 2 2 2 2 41 2 2" xfId="13279" xr:uid="{CD389B19-7241-4CE3-839C-A1B99123D66A}"/>
    <cellStyle name="Normal 2 2 2 2 2 2 41 2 3" xfId="13280" xr:uid="{DB0EFD80-C89E-48FC-985E-5347D455DCFD}"/>
    <cellStyle name="Normal 2 2 2 2 2 2 41 2 4" xfId="13281" xr:uid="{353D527D-28C8-4A85-9752-7EAC1D1BBDB8}"/>
    <cellStyle name="Normal 2 2 2 2 2 2 41 3" xfId="13282" xr:uid="{D856C1DA-430D-453C-B2D4-146406023A54}"/>
    <cellStyle name="Normal 2 2 2 2 2 2 41 4" xfId="13283" xr:uid="{654046C8-1201-4EA3-B350-8C2DDA663336}"/>
    <cellStyle name="Normal 2 2 2 2 2 2 41 5" xfId="13284" xr:uid="{51CE960F-F2AD-4878-BAA8-0CD844F0418B}"/>
    <cellStyle name="Normal 2 2 2 2 2 2 41 6" xfId="13285" xr:uid="{1C3F8A82-22A5-4285-9BB3-1AA30D0537AE}"/>
    <cellStyle name="Normal 2 2 2 2 2 2 42" xfId="13286" xr:uid="{E422E5B5-049F-425D-8D63-316B7296C2D4}"/>
    <cellStyle name="Normal 2 2 2 2 2 2 43" xfId="13287" xr:uid="{0C3C1ABB-0BA1-4783-B8C8-E0C4B2D05D51}"/>
    <cellStyle name="Normal 2 2 2 2 2 2 44" xfId="13288" xr:uid="{4D5ADCCD-F24D-4B7D-96FC-0D0A9B1E5D17}"/>
    <cellStyle name="Normal 2 2 2 2 2 2 45" xfId="13289" xr:uid="{2D720D99-597A-41A5-8A5F-ED502B477D27}"/>
    <cellStyle name="Normal 2 2 2 2 2 2 46" xfId="13290" xr:uid="{35A42A0A-20A1-4129-8210-B131C0BF2EB4}"/>
    <cellStyle name="Normal 2 2 2 2 2 2 47" xfId="13291" xr:uid="{551DA2ED-8D82-4DEF-A44A-4FDE89AF4DCF}"/>
    <cellStyle name="Normal 2 2 2 2 2 2 47 2" xfId="13292" xr:uid="{A08424DB-98A4-493B-8C80-85BC8DAA299C}"/>
    <cellStyle name="Normal 2 2 2 2 2 2 47 3" xfId="13293" xr:uid="{575A1053-912C-4211-B1F4-92FECFDF0472}"/>
    <cellStyle name="Normal 2 2 2 2 2 2 47 4" xfId="13294" xr:uid="{1FDDAA59-4CA4-4295-967B-C84D480D2964}"/>
    <cellStyle name="Normal 2 2 2 2 2 2 48" xfId="13295" xr:uid="{19CCD03D-A64E-4BFA-8B0B-0107A0B96AC4}"/>
    <cellStyle name="Normal 2 2 2 2 2 2 49" xfId="13296" xr:uid="{4822A222-EB2A-4FF7-A2B1-5CFA8413191D}"/>
    <cellStyle name="Normal 2 2 2 2 2 2 5" xfId="13297" xr:uid="{056945CA-956A-4A3F-ADA7-0F7B9011B5A7}"/>
    <cellStyle name="Normal 2 2 2 2 2 2 50" xfId="13298" xr:uid="{4E9C2CDE-7486-452B-934F-8FE3884ED6F7}"/>
    <cellStyle name="Normal 2 2 2 2 2 2 51" xfId="13299" xr:uid="{D61B2925-A36A-408D-B19E-53DEF7A5763B}"/>
    <cellStyle name="Normal 2 2 2 2 2 2 52" xfId="13300" xr:uid="{8019D9F9-DEB6-435D-8D42-D77DF3F1F8C4}"/>
    <cellStyle name="Normal 2 2 2 2 2 2 53" xfId="13301" xr:uid="{07B5F8A1-1EAB-4B8E-8737-0BBA28B0AAFF}"/>
    <cellStyle name="Normal 2 2 2 2 2 2 54" xfId="13302" xr:uid="{8D052A39-4C26-4D89-9515-8B8EB4B41EB0}"/>
    <cellStyle name="Normal 2 2 2 2 2 2 55" xfId="13303" xr:uid="{8D8632F6-882A-4B5A-B0A2-70BBAD1DE737}"/>
    <cellStyle name="Normal 2 2 2 2 2 2 56" xfId="13304" xr:uid="{D5F77D7A-64A5-42F8-AA4B-E6889364D124}"/>
    <cellStyle name="Normal 2 2 2 2 2 2 57" xfId="13305" xr:uid="{CCCC53FF-58F2-48C6-9B9A-40070BF18D04}"/>
    <cellStyle name="Normal 2 2 2 2 2 2 58" xfId="13306" xr:uid="{E41891F4-FBD8-4016-A9DC-15E46A9A8392}"/>
    <cellStyle name="Normal 2 2 2 2 2 2 59" xfId="13307" xr:uid="{8DD6CBA9-3121-484A-B0B3-CEB6CEAC39EF}"/>
    <cellStyle name="Normal 2 2 2 2 2 2 6" xfId="13308" xr:uid="{6659F834-18A7-48DB-984F-AC670CF2B001}"/>
    <cellStyle name="Normal 2 2 2 2 2 2 60" xfId="13309" xr:uid="{FD209107-4187-4C20-BCD3-1568593EF0AE}"/>
    <cellStyle name="Normal 2 2 2 2 2 2 61" xfId="13310" xr:uid="{A0E9FFAD-CDF0-42F2-8F10-B5D4A5BD7C75}"/>
    <cellStyle name="Normal 2 2 2 2 2 2 62" xfId="13311" xr:uid="{04924C11-F412-4B12-87DF-5D5FC9E5DB6D}"/>
    <cellStyle name="Normal 2 2 2 2 2 2 62 2" xfId="13312" xr:uid="{8BA18A0A-1B00-4D25-8C49-AEC62F934274}"/>
    <cellStyle name="Normal 2 2 2 2 2 2 62 3" xfId="13313" xr:uid="{BDFC1D1B-2C61-4749-8010-B8CBE4C05D3B}"/>
    <cellStyle name="Normal 2 2 2 2 2 2 62 4" xfId="13314" xr:uid="{BEEF2EF9-9798-42DE-B4FF-CDD713FFAF6B}"/>
    <cellStyle name="Normal 2 2 2 2 2 2 62 5" xfId="13315" xr:uid="{86D9B961-E7EB-447C-8B6B-38C2ADA24FCF}"/>
    <cellStyle name="Normal 2 2 2 2 2 2 62 6" xfId="13316" xr:uid="{5F753714-D2FA-47B8-B966-CF26017397BD}"/>
    <cellStyle name="Normal 2 2 2 2 2 2 62 7" xfId="13317" xr:uid="{BB3F43A3-63F1-4AB3-A091-CA0E0827A695}"/>
    <cellStyle name="Normal 2 2 2 2 2 2 63" xfId="13318" xr:uid="{78D940B8-D870-45C0-B5B6-17B8886A866F}"/>
    <cellStyle name="Normal 2 2 2 2 2 2 64" xfId="13319" xr:uid="{3FBB6929-4F01-4256-AFD3-3908CB814AAA}"/>
    <cellStyle name="Normal 2 2 2 2 2 2 65" xfId="13320" xr:uid="{881617C6-5F54-4319-BF83-B6BD18674DEC}"/>
    <cellStyle name="Normal 2 2 2 2 2 2 66" xfId="13321" xr:uid="{5513C121-A0F1-42F8-A7C1-3D7ED7E8035A}"/>
    <cellStyle name="Normal 2 2 2 2 2 2 67" xfId="13322" xr:uid="{A01D7BC0-45EE-42D3-87C2-0B001671B639}"/>
    <cellStyle name="Normal 2 2 2 2 2 2 68" xfId="13323" xr:uid="{6B54DDC4-9521-4404-99FB-887178936B07}"/>
    <cellStyle name="Normal 2 2 2 2 2 2 69" xfId="13324" xr:uid="{88A4D80E-08B6-4457-A3A9-12DCF00188E1}"/>
    <cellStyle name="Normal 2 2 2 2 2 2 7" xfId="13325" xr:uid="{06EF213E-6199-43D7-91DB-758A18000CA9}"/>
    <cellStyle name="Normal 2 2 2 2 2 2 70" xfId="13326" xr:uid="{79EFFF49-E635-4CFC-A16E-124F152432B3}"/>
    <cellStyle name="Normal 2 2 2 2 2 2 71" xfId="13327" xr:uid="{9AAFCFED-52A9-431A-9959-EB1EEE5982AD}"/>
    <cellStyle name="Normal 2 2 2 2 2 2 72" xfId="13328" xr:uid="{C054FC45-8AE3-4221-B3BA-EF6F1EA9727C}"/>
    <cellStyle name="Normal 2 2 2 2 2 2 73" xfId="13329" xr:uid="{62F51F4A-60D1-48E5-9CDA-1B3B4C82EC1F}"/>
    <cellStyle name="Normal 2 2 2 2 2 2 74" xfId="13330" xr:uid="{49F5B0DB-D62B-4370-865C-D41B8F0D5BC8}"/>
    <cellStyle name="Normal 2 2 2 2 2 2 75" xfId="13331" xr:uid="{6A50BA09-3419-488F-9C12-5DF464D35A44}"/>
    <cellStyle name="Normal 2 2 2 2 2 2 76" xfId="13332" xr:uid="{DAEC6B83-3757-4697-BEA5-88AD4C726332}"/>
    <cellStyle name="Normal 2 2 2 2 2 2 77" xfId="13333" xr:uid="{D76F0DD5-E95F-43D2-90C8-EDB228A3D2C7}"/>
    <cellStyle name="Normal 2 2 2 2 2 2 78" xfId="13334" xr:uid="{0B99ED0F-175A-40A6-930D-BA0692CDABE9}"/>
    <cellStyle name="Normal 2 2 2 2 2 2 79" xfId="13335" xr:uid="{55ACB703-5F19-4B5B-85EA-F207ED7439EE}"/>
    <cellStyle name="Normal 2 2 2 2 2 2 8" xfId="13336" xr:uid="{3BAE4632-DD24-43AE-8984-8D2704049749}"/>
    <cellStyle name="Normal 2 2 2 2 2 2 80" xfId="13337" xr:uid="{11E56F58-637C-4350-B5D0-6F91A548998F}"/>
    <cellStyle name="Normal 2 2 2 2 2 2 81" xfId="13338" xr:uid="{C69B1916-8EC0-4DEA-9753-9009F4FE7615}"/>
    <cellStyle name="Normal 2 2 2 2 2 2 82" xfId="13339" xr:uid="{7E98638D-510B-4511-AD2A-2054BE329959}"/>
    <cellStyle name="Normal 2 2 2 2 2 2 83" xfId="13340" xr:uid="{603F62D3-F55A-4E54-B244-A246F536E2A0}"/>
    <cellStyle name="Normal 2 2 2 2 2 2 84" xfId="13341" xr:uid="{DC2C1CA0-F362-43BF-AB19-9A0F0531411B}"/>
    <cellStyle name="Normal 2 2 2 2 2 2 85" xfId="13342" xr:uid="{A8836EFE-7752-4C3B-9E9D-174A8E20D325}"/>
    <cellStyle name="Normal 2 2 2 2 2 2 86" xfId="13343" xr:uid="{2E4395E9-C9EF-4E24-9B87-84338E47E585}"/>
    <cellStyle name="Normal 2 2 2 2 2 2 87" xfId="13344" xr:uid="{10ADF8AF-2B8F-4C70-84B0-191B27139D2A}"/>
    <cellStyle name="Normal 2 2 2 2 2 2 88" xfId="13345" xr:uid="{A0B20A1C-077A-4414-873E-05CF7C83B24C}"/>
    <cellStyle name="Normal 2 2 2 2 2 2 89" xfId="13346" xr:uid="{D22500CA-F74F-40B6-AD77-B400445C1AA2}"/>
    <cellStyle name="Normal 2 2 2 2 2 2 9" xfId="13347" xr:uid="{A8702670-6085-4A45-AEF6-F54451F5F6B3}"/>
    <cellStyle name="Normal 2 2 2 2 2 2 90" xfId="13348" xr:uid="{D9F0E487-EE22-404F-90BD-4379D232EB9D}"/>
    <cellStyle name="Normal 2 2 2 2 2 2 91" xfId="13349" xr:uid="{0A74E1FB-BA5E-4F80-85B9-39031A271352}"/>
    <cellStyle name="Normal 2 2 2 2 2 2 92" xfId="13350" xr:uid="{CE1324C3-8825-4071-B9A6-3D1D380AFC35}"/>
    <cellStyle name="Normal 2 2 2 2 2 2 93" xfId="13351" xr:uid="{52FE7E49-AEF3-465E-A9E7-251957E59531}"/>
    <cellStyle name="Normal 2 2 2 2 2 2 94" xfId="13352" xr:uid="{A05F86FA-FFC8-40C1-BA63-77492D099928}"/>
    <cellStyle name="Normal 2 2 2 2 2 2 95" xfId="13353" xr:uid="{4E3398FB-2985-43E5-A93F-95AF76955EB9}"/>
    <cellStyle name="Normal 2 2 2 2 2 2 96" xfId="13354" xr:uid="{D9B9D7BD-F286-42E1-935B-FFB08AA6CCC1}"/>
    <cellStyle name="Normal 2 2 2 2 2 2 97" xfId="13355" xr:uid="{714818A9-5618-4F9F-ABD3-C1CBB4D00A0D}"/>
    <cellStyle name="Normal 2 2 2 2 2 2 98" xfId="13356" xr:uid="{E0C0C506-25D8-4CFF-BC75-F052F1064256}"/>
    <cellStyle name="Normal 2 2 2 2 2 2 99" xfId="13357" xr:uid="{5AE82851-B473-40E7-9722-61CDBA60B343}"/>
    <cellStyle name="Normal 2 2 2 2 2 20" xfId="13358" xr:uid="{AB5CE697-8603-401D-BA47-27C9B6F8D9E9}"/>
    <cellStyle name="Normal 2 2 2 2 2 21" xfId="13359" xr:uid="{A67FD359-8952-49D7-B170-A33DC88DB3EC}"/>
    <cellStyle name="Normal 2 2 2 2 2 22" xfId="13360" xr:uid="{FAD64DD4-06D7-425A-845F-80FD31A7066E}"/>
    <cellStyle name="Normal 2 2 2 2 2 23" xfId="13361" xr:uid="{EA1F7659-694A-4332-ABCC-C06620954BFA}"/>
    <cellStyle name="Normal 2 2 2 2 2 24" xfId="13362" xr:uid="{6C54105B-9E32-4964-937B-4FFCC49106B6}"/>
    <cellStyle name="Normal 2 2 2 2 2 25" xfId="13363" xr:uid="{D37F6AA9-890B-4EDE-B238-558F1D055119}"/>
    <cellStyle name="Normal 2 2 2 2 2 26" xfId="13364" xr:uid="{C5FF0394-2768-4DAD-B7E5-65513B682DEE}"/>
    <cellStyle name="Normal 2 2 2 2 2 27" xfId="13365" xr:uid="{63F84EF1-E963-4D9E-B4FD-844C0584B77D}"/>
    <cellStyle name="Normal 2 2 2 2 2 28" xfId="13366" xr:uid="{DBCA8398-915C-4F76-90C4-055036B6F261}"/>
    <cellStyle name="Normal 2 2 2 2 2 28 10" xfId="13367" xr:uid="{45ED15ED-4C4F-439A-A4F9-6B1C41BCF0D4}"/>
    <cellStyle name="Normal 2 2 2 2 2 28 11" xfId="13368" xr:uid="{F9CDE5A9-804B-48C0-B2AF-54E6EDD682D8}"/>
    <cellStyle name="Normal 2 2 2 2 2 28 11 10" xfId="13369" xr:uid="{7E283AD6-BDF2-47CE-958A-DF55B77E70EE}"/>
    <cellStyle name="Normal 2 2 2 2 2 28 11 11" xfId="13370" xr:uid="{064486B3-59DF-47BC-8756-F8BF80D5A96B}"/>
    <cellStyle name="Normal 2 2 2 2 2 28 11 11 2" xfId="13371" xr:uid="{EE938A96-7835-4152-9513-717A5B022837}"/>
    <cellStyle name="Normal 2 2 2 2 2 28 11 11 3" xfId="13372" xr:uid="{2C8C9260-84C8-4201-9676-843A7A3C5E1D}"/>
    <cellStyle name="Normal 2 2 2 2 2 28 11 11 4" xfId="13373" xr:uid="{E3116D65-A7CC-4750-A0DB-F9FA6E48A15A}"/>
    <cellStyle name="Normal 2 2 2 2 2 28 11 12" xfId="13374" xr:uid="{20E298F9-CF9E-412F-A3E3-4534635E4C76}"/>
    <cellStyle name="Normal 2 2 2 2 2 28 11 13" xfId="13375" xr:uid="{A0CDAA83-591B-404C-8779-C95C942551A8}"/>
    <cellStyle name="Normal 2 2 2 2 2 28 11 14" xfId="13376" xr:uid="{9A0AB074-3E61-4741-BB0D-BA3AC63E1F03}"/>
    <cellStyle name="Normal 2 2 2 2 2 28 11 2" xfId="13377" xr:uid="{851794EB-50E9-40C4-8928-AF3E4831A910}"/>
    <cellStyle name="Normal 2 2 2 2 2 28 11 2 10" xfId="13378" xr:uid="{6131FB38-AF3E-4516-AB79-253D26D1195A}"/>
    <cellStyle name="Normal 2 2 2 2 2 28 11 2 11" xfId="13379" xr:uid="{E3022402-7701-4FB9-8B09-743319C146E8}"/>
    <cellStyle name="Normal 2 2 2 2 2 28 11 2 2" xfId="13380" xr:uid="{5FC4F923-501E-4258-BADD-087D40D98910}"/>
    <cellStyle name="Normal 2 2 2 2 2 28 11 2 2 10" xfId="13381" xr:uid="{EFB29E56-4EA9-4799-87ED-E281F48DD550}"/>
    <cellStyle name="Normal 2 2 2 2 2 28 11 2 2 11" xfId="13382" xr:uid="{9F7EDD3E-F837-490B-A0C5-B4485EBBFF5A}"/>
    <cellStyle name="Normal 2 2 2 2 2 28 11 2 2 2" xfId="13383" xr:uid="{520147A8-EAF7-4CA9-9D8F-D88800C79BA6}"/>
    <cellStyle name="Normal 2 2 2 2 2 28 11 2 2 2 2" xfId="13384" xr:uid="{08591BDD-62B7-4A2D-B2ED-E44E60A07EDA}"/>
    <cellStyle name="Normal 2 2 2 2 2 28 11 2 2 2 2 2" xfId="13385" xr:uid="{4B6BC22B-F244-4EF4-92AA-C2E21D706E77}"/>
    <cellStyle name="Normal 2 2 2 2 2 28 11 2 2 2 2 3" xfId="13386" xr:uid="{E0F75967-D24B-42D3-AF2F-DCF3EF73302C}"/>
    <cellStyle name="Normal 2 2 2 2 2 28 11 2 2 2 2 4" xfId="13387" xr:uid="{EF458C75-5DEA-4C3C-AE08-CBAFC63ECF9B}"/>
    <cellStyle name="Normal 2 2 2 2 2 28 11 2 2 2 3" xfId="13388" xr:uid="{D50B1021-20E1-42EE-9DDB-FCCAB156C0EB}"/>
    <cellStyle name="Normal 2 2 2 2 2 28 11 2 2 2 4" xfId="13389" xr:uid="{69D9D88E-765C-4725-9E5B-FDB8DFF0234E}"/>
    <cellStyle name="Normal 2 2 2 2 2 28 11 2 2 2 5" xfId="13390" xr:uid="{42E66432-DFE2-4334-A290-DF9AE2A3FD2A}"/>
    <cellStyle name="Normal 2 2 2 2 2 28 11 2 2 2 6" xfId="13391" xr:uid="{336B80BB-2DA2-4D5F-BAC9-B72FEA0C86E1}"/>
    <cellStyle name="Normal 2 2 2 2 2 28 11 2 2 3" xfId="13392" xr:uid="{F68DD88D-B1F2-467A-8AAA-081A7F1696A2}"/>
    <cellStyle name="Normal 2 2 2 2 2 28 11 2 2 4" xfId="13393" xr:uid="{726A5925-CE44-4AE8-BB0A-695CC7155CA7}"/>
    <cellStyle name="Normal 2 2 2 2 2 28 11 2 2 5" xfId="13394" xr:uid="{49316C08-5960-4AD6-8399-E40D2F62A9FB}"/>
    <cellStyle name="Normal 2 2 2 2 2 28 11 2 2 6" xfId="13395" xr:uid="{4F98A215-8EEF-4F6D-85E2-8AFE23CCACEF}"/>
    <cellStyle name="Normal 2 2 2 2 2 28 11 2 2 7" xfId="13396" xr:uid="{8D913E3D-C19E-4515-92A4-0E53F8449730}"/>
    <cellStyle name="Normal 2 2 2 2 2 28 11 2 2 8" xfId="13397" xr:uid="{409F419D-8C6D-4AB0-8D23-8EA4157FCC76}"/>
    <cellStyle name="Normal 2 2 2 2 2 28 11 2 2 8 2" xfId="13398" xr:uid="{87B65AA1-CD55-4E56-92DE-E5E6CA18CB25}"/>
    <cellStyle name="Normal 2 2 2 2 2 28 11 2 2 8 3" xfId="13399" xr:uid="{79ADCFA9-57BB-47E7-8D4E-977A61B0EC4E}"/>
    <cellStyle name="Normal 2 2 2 2 2 28 11 2 2 8 4" xfId="13400" xr:uid="{1E08CC2C-FE96-42FE-9B81-CE707DC73ACF}"/>
    <cellStyle name="Normal 2 2 2 2 2 28 11 2 2 9" xfId="13401" xr:uid="{4F450E29-EDFC-41D3-B77D-883378C03971}"/>
    <cellStyle name="Normal 2 2 2 2 2 28 11 2 3" xfId="13402" xr:uid="{183C2C49-C928-4C81-8713-52FC6E1F7DC2}"/>
    <cellStyle name="Normal 2 2 2 2 2 28 11 2 3 2" xfId="13403" xr:uid="{0521E178-022D-495D-97DD-09302B767339}"/>
    <cellStyle name="Normal 2 2 2 2 2 28 11 2 3 2 2" xfId="13404" xr:uid="{78455486-100D-4D90-B9A5-06AF058CF164}"/>
    <cellStyle name="Normal 2 2 2 2 2 28 11 2 3 2 3" xfId="13405" xr:uid="{5A8BA0BA-93E5-4E85-9B9D-8A18B3C2274B}"/>
    <cellStyle name="Normal 2 2 2 2 2 28 11 2 3 2 4" xfId="13406" xr:uid="{3C8E0CB4-7F92-4FCB-9E99-72CEA76B11E9}"/>
    <cellStyle name="Normal 2 2 2 2 2 28 11 2 3 3" xfId="13407" xr:uid="{8AEE5EA6-FCE6-4255-A14F-FC90AF41EBDC}"/>
    <cellStyle name="Normal 2 2 2 2 2 28 11 2 3 4" xfId="13408" xr:uid="{1B86172F-3964-4659-BFAA-972122E81E98}"/>
    <cellStyle name="Normal 2 2 2 2 2 28 11 2 3 5" xfId="13409" xr:uid="{86E2064E-AC6B-4CAB-B318-402623B294D8}"/>
    <cellStyle name="Normal 2 2 2 2 2 28 11 2 3 6" xfId="13410" xr:uid="{677AE754-C0E5-4326-B4AB-C87EEC9F4950}"/>
    <cellStyle name="Normal 2 2 2 2 2 28 11 2 4" xfId="13411" xr:uid="{63269782-CD93-4DD4-9EA1-2A95BF5F5710}"/>
    <cellStyle name="Normal 2 2 2 2 2 28 11 2 5" xfId="13412" xr:uid="{E7506CED-27AA-4F9F-BD3A-0C5EDD58A3EF}"/>
    <cellStyle name="Normal 2 2 2 2 2 28 11 2 6" xfId="13413" xr:uid="{0E72C96C-6F75-41FF-B6EA-968A8176567A}"/>
    <cellStyle name="Normal 2 2 2 2 2 28 11 2 7" xfId="13414" xr:uid="{49573473-9C65-479D-950B-605369DFFACD}"/>
    <cellStyle name="Normal 2 2 2 2 2 28 11 2 8" xfId="13415" xr:uid="{2DE609F4-DA67-44D9-B4EB-E1EEF52B2471}"/>
    <cellStyle name="Normal 2 2 2 2 2 28 11 2 8 2" xfId="13416" xr:uid="{1A7EE925-2688-420C-9DC4-08157D36013C}"/>
    <cellStyle name="Normal 2 2 2 2 2 28 11 2 8 3" xfId="13417" xr:uid="{3915663F-ACBF-423D-8B22-AAB9B443862F}"/>
    <cellStyle name="Normal 2 2 2 2 2 28 11 2 8 4" xfId="13418" xr:uid="{8DDE29E7-7D00-46B4-869C-DC5B7359C89D}"/>
    <cellStyle name="Normal 2 2 2 2 2 28 11 2 9" xfId="13419" xr:uid="{CAE9753E-00A8-454F-82D4-AD604D6AEA25}"/>
    <cellStyle name="Normal 2 2 2 2 2 28 11 3" xfId="13420" xr:uid="{C84FA9D5-D980-4181-BA8E-7138AFBE7D21}"/>
    <cellStyle name="Normal 2 2 2 2 2 28 11 4" xfId="13421" xr:uid="{7EDF6B03-7BBF-43C3-A581-7C6FAB989E47}"/>
    <cellStyle name="Normal 2 2 2 2 2 28 11 5" xfId="13422" xr:uid="{192C663F-9485-4591-9E64-5D0D6BA7DF1E}"/>
    <cellStyle name="Normal 2 2 2 2 2 28 11 5 2" xfId="13423" xr:uid="{411BBF47-165F-4982-9143-1ABE1B371DD8}"/>
    <cellStyle name="Normal 2 2 2 2 2 28 11 5 2 2" xfId="13424" xr:uid="{BA13F747-6C95-4BEC-944F-A6962E740BB3}"/>
    <cellStyle name="Normal 2 2 2 2 2 28 11 5 2 3" xfId="13425" xr:uid="{707E3B9B-BB6B-4528-9674-1D68271B9621}"/>
    <cellStyle name="Normal 2 2 2 2 2 28 11 5 2 4" xfId="13426" xr:uid="{0E2C4DF3-B64A-4E7D-B88D-75649887D71C}"/>
    <cellStyle name="Normal 2 2 2 2 2 28 11 5 3" xfId="13427" xr:uid="{C6F3A9B2-EC73-4B40-AD06-326585A1C414}"/>
    <cellStyle name="Normal 2 2 2 2 2 28 11 5 4" xfId="13428" xr:uid="{B9C6DF7B-9DDE-44DD-A56B-5E8E5DBFD291}"/>
    <cellStyle name="Normal 2 2 2 2 2 28 11 5 5" xfId="13429" xr:uid="{6B4840C1-CAB8-495C-A70C-CD2E0E521669}"/>
    <cellStyle name="Normal 2 2 2 2 2 28 11 5 6" xfId="13430" xr:uid="{387BEBF5-76C6-4071-BFA5-7E2661D4E78F}"/>
    <cellStyle name="Normal 2 2 2 2 2 28 11 6" xfId="13431" xr:uid="{2C6DA60F-A142-417E-BCE2-C2D78E1C0710}"/>
    <cellStyle name="Normal 2 2 2 2 2 28 11 7" xfId="13432" xr:uid="{40C1A4BF-0F69-41E3-A85A-E989004323E6}"/>
    <cellStyle name="Normal 2 2 2 2 2 28 11 8" xfId="13433" xr:uid="{3AE32208-D82E-4ECC-A603-4A9DAA1168B6}"/>
    <cellStyle name="Normal 2 2 2 2 2 28 11 9" xfId="13434" xr:uid="{BF928BB5-D95C-4B4C-8659-03546AF2DF88}"/>
    <cellStyle name="Normal 2 2 2 2 2 28 12" xfId="13435" xr:uid="{B64B9BB8-3877-4E50-B254-34142DCBA695}"/>
    <cellStyle name="Normal 2 2 2 2 2 28 13" xfId="13436" xr:uid="{587B7CFF-1DAC-4100-AAD6-79DEFA1D4C8F}"/>
    <cellStyle name="Normal 2 2 2 2 2 28 13 10" xfId="13437" xr:uid="{67F0EB42-9434-4AA3-80C3-C6213986D772}"/>
    <cellStyle name="Normal 2 2 2 2 2 28 13 11" xfId="13438" xr:uid="{36C9E69D-4752-41B1-8CA3-41E767F6D533}"/>
    <cellStyle name="Normal 2 2 2 2 2 28 13 2" xfId="13439" xr:uid="{B26E95DC-557B-46CF-BE06-6867867E5C24}"/>
    <cellStyle name="Normal 2 2 2 2 2 28 13 2 10" xfId="13440" xr:uid="{C78B2229-ADA8-488B-A67D-72263799E965}"/>
    <cellStyle name="Normal 2 2 2 2 2 28 13 2 11" xfId="13441" xr:uid="{DBF979C2-661C-4BA2-A1AD-9D053F9A266A}"/>
    <cellStyle name="Normal 2 2 2 2 2 28 13 2 2" xfId="13442" xr:uid="{137A3276-464A-4921-8A5A-E929E0E421C6}"/>
    <cellStyle name="Normal 2 2 2 2 2 28 13 2 2 2" xfId="13443" xr:uid="{0372A692-0941-4A8C-8A9F-375D9526150B}"/>
    <cellStyle name="Normal 2 2 2 2 2 28 13 2 2 2 2" xfId="13444" xr:uid="{15E7A200-4504-44BB-944A-678704AEFCC0}"/>
    <cellStyle name="Normal 2 2 2 2 2 28 13 2 2 2 3" xfId="13445" xr:uid="{9EA463B7-74E7-4A4D-AEB7-BC347B407936}"/>
    <cellStyle name="Normal 2 2 2 2 2 28 13 2 2 2 4" xfId="13446" xr:uid="{362B68E2-6BE2-48DF-A766-6F31B96D7F65}"/>
    <cellStyle name="Normal 2 2 2 2 2 28 13 2 2 3" xfId="13447" xr:uid="{F20B4261-BC8A-4983-954D-E37B6BE74096}"/>
    <cellStyle name="Normal 2 2 2 2 2 28 13 2 2 4" xfId="13448" xr:uid="{2B2F43AF-605F-4570-9B56-4DB60C898291}"/>
    <cellStyle name="Normal 2 2 2 2 2 28 13 2 2 5" xfId="13449" xr:uid="{4091557F-5B5A-4813-9B1E-05E8AD92216A}"/>
    <cellStyle name="Normal 2 2 2 2 2 28 13 2 2 6" xfId="13450" xr:uid="{1BC59743-0814-443F-829F-D30C2437125E}"/>
    <cellStyle name="Normal 2 2 2 2 2 28 13 2 3" xfId="13451" xr:uid="{DCFFA09C-4070-4B74-AEAF-03DCF2B08546}"/>
    <cellStyle name="Normal 2 2 2 2 2 28 13 2 4" xfId="13452" xr:uid="{29181AEA-5308-48E4-A36D-EF5AEF972D89}"/>
    <cellStyle name="Normal 2 2 2 2 2 28 13 2 5" xfId="13453" xr:uid="{67288A35-3775-40EB-AF9A-BF0A35813810}"/>
    <cellStyle name="Normal 2 2 2 2 2 28 13 2 6" xfId="13454" xr:uid="{5403A61A-3DD8-44A0-BB50-586C60546940}"/>
    <cellStyle name="Normal 2 2 2 2 2 28 13 2 7" xfId="13455" xr:uid="{8ACB85B8-3DBC-4EF2-92E9-F372FB91BEAF}"/>
    <cellStyle name="Normal 2 2 2 2 2 28 13 2 8" xfId="13456" xr:uid="{A8D27E2A-E6FF-4411-9312-9D38DEA863F8}"/>
    <cellStyle name="Normal 2 2 2 2 2 28 13 2 8 2" xfId="13457" xr:uid="{5A6F4378-B11D-4E0A-8B09-F42503E85702}"/>
    <cellStyle name="Normal 2 2 2 2 2 28 13 2 8 3" xfId="13458" xr:uid="{377FB766-B76E-4058-8276-4250A2857CE7}"/>
    <cellStyle name="Normal 2 2 2 2 2 28 13 2 8 4" xfId="13459" xr:uid="{0F3A0AC3-8C97-479D-8DFC-90F471F9BA5B}"/>
    <cellStyle name="Normal 2 2 2 2 2 28 13 2 9" xfId="13460" xr:uid="{1C0673EB-269D-4D3A-8EC0-5126127DFEEE}"/>
    <cellStyle name="Normal 2 2 2 2 2 28 13 3" xfId="13461" xr:uid="{73F1754C-302D-4714-B535-E71F2CB57D6F}"/>
    <cellStyle name="Normal 2 2 2 2 2 28 13 3 2" xfId="13462" xr:uid="{D6FB04EC-7F12-4E4B-8815-65C6B47E0F42}"/>
    <cellStyle name="Normal 2 2 2 2 2 28 13 3 2 2" xfId="13463" xr:uid="{5E8C2FBD-A8D3-453C-BD41-F67CAAA9BB80}"/>
    <cellStyle name="Normal 2 2 2 2 2 28 13 3 2 3" xfId="13464" xr:uid="{E254ED24-7CAB-4BE5-9CA8-2B044F7F522A}"/>
    <cellStyle name="Normal 2 2 2 2 2 28 13 3 2 4" xfId="13465" xr:uid="{92116F21-DFAF-4A79-B84B-618A1EDC3D40}"/>
    <cellStyle name="Normal 2 2 2 2 2 28 13 3 3" xfId="13466" xr:uid="{FEE8A687-75DE-4A86-AF22-A0FA2960D70E}"/>
    <cellStyle name="Normal 2 2 2 2 2 28 13 3 4" xfId="13467" xr:uid="{4754D0B2-FB52-4DBD-99DC-6F88737522AE}"/>
    <cellStyle name="Normal 2 2 2 2 2 28 13 3 5" xfId="13468" xr:uid="{7857A85D-311F-477C-8C7B-1631C0E293A9}"/>
    <cellStyle name="Normal 2 2 2 2 2 28 13 3 6" xfId="13469" xr:uid="{5CB3A9D0-38A8-48A0-A409-532EFA8A8449}"/>
    <cellStyle name="Normal 2 2 2 2 2 28 13 4" xfId="13470" xr:uid="{DD07C689-18D3-4491-A33B-56041D9DC27B}"/>
    <cellStyle name="Normal 2 2 2 2 2 28 13 5" xfId="13471" xr:uid="{106DED70-34DB-4B5D-99DE-38A6D4D13905}"/>
    <cellStyle name="Normal 2 2 2 2 2 28 13 6" xfId="13472" xr:uid="{459A4EE4-0CFA-4D1B-84F5-66DF6E0596DC}"/>
    <cellStyle name="Normal 2 2 2 2 2 28 13 7" xfId="13473" xr:uid="{7F692FA0-B167-4D3F-9508-C68F3889AEB6}"/>
    <cellStyle name="Normal 2 2 2 2 2 28 13 8" xfId="13474" xr:uid="{B7FC8308-6D37-4E6A-A0BA-5C4717886B22}"/>
    <cellStyle name="Normal 2 2 2 2 2 28 13 8 2" xfId="13475" xr:uid="{6905B780-D82A-48B5-A553-C879B5E772FC}"/>
    <cellStyle name="Normal 2 2 2 2 2 28 13 8 3" xfId="13476" xr:uid="{710E937E-879D-493B-B22C-5CE31E202642}"/>
    <cellStyle name="Normal 2 2 2 2 2 28 13 8 4" xfId="13477" xr:uid="{017DAF63-2438-4FBF-9C09-D6093EDC5D7E}"/>
    <cellStyle name="Normal 2 2 2 2 2 28 13 9" xfId="13478" xr:uid="{6177A340-9F0E-42E7-981C-72A4E8A61B80}"/>
    <cellStyle name="Normal 2 2 2 2 2 28 14" xfId="13479" xr:uid="{624D9909-2DEB-4357-9ECC-CA39118B8675}"/>
    <cellStyle name="Normal 2 2 2 2 2 28 15" xfId="13480" xr:uid="{7FA58B75-BE3F-47DA-94AE-34069679EA06}"/>
    <cellStyle name="Normal 2 2 2 2 2 28 15 2" xfId="13481" xr:uid="{A5379F40-1545-405F-B32B-794C09466C97}"/>
    <cellStyle name="Normal 2 2 2 2 2 28 15 2 2" xfId="13482" xr:uid="{BC9BCF26-0E38-4E9B-9AC1-75AAE8C75542}"/>
    <cellStyle name="Normal 2 2 2 2 2 28 15 2 3" xfId="13483" xr:uid="{3FACA151-8F23-4607-BC25-F2E7AA08FB41}"/>
    <cellStyle name="Normal 2 2 2 2 2 28 15 2 4" xfId="13484" xr:uid="{5EF13686-9978-404A-A0D0-24DEFF7993B2}"/>
    <cellStyle name="Normal 2 2 2 2 2 28 15 3" xfId="13485" xr:uid="{C25E1A3A-B867-43D1-94DC-0CD8846E939B}"/>
    <cellStyle name="Normal 2 2 2 2 2 28 15 4" xfId="13486" xr:uid="{4BF62B31-EC97-4D38-83B6-CAF5DBA96644}"/>
    <cellStyle name="Normal 2 2 2 2 2 28 15 5" xfId="13487" xr:uid="{1EBC6171-F5DF-4DC9-8210-0DBEC8966D2D}"/>
    <cellStyle name="Normal 2 2 2 2 2 28 15 6" xfId="13488" xr:uid="{1BA67C4A-CCB1-4F17-A98F-CCDE87638C53}"/>
    <cellStyle name="Normal 2 2 2 2 2 28 16" xfId="13489" xr:uid="{2CC8437B-5E9D-49E1-B10D-A6FBFFED577B}"/>
    <cellStyle name="Normal 2 2 2 2 2 28 17" xfId="13490" xr:uid="{6C9AC449-CFDD-43A0-AC65-3038D8043FE8}"/>
    <cellStyle name="Normal 2 2 2 2 2 28 18" xfId="13491" xr:uid="{75C88C8E-3137-41D1-BFD1-7E74252397EB}"/>
    <cellStyle name="Normal 2 2 2 2 2 28 19" xfId="13492" xr:uid="{BADF6571-0FD0-4E06-A327-FAD5F9719D22}"/>
    <cellStyle name="Normal 2 2 2 2 2 28 2" xfId="13493" xr:uid="{6DE85745-B8EF-4C6E-A872-98819DD5136B}"/>
    <cellStyle name="Normal 2 2 2 2 2 28 2 10" xfId="13494" xr:uid="{2BA2156C-7B6A-4F07-B776-036CE84DABA3}"/>
    <cellStyle name="Normal 2 2 2 2 2 28 2 11" xfId="13495" xr:uid="{E86CA93E-88A3-49D9-9648-4A8D0F1CC327}"/>
    <cellStyle name="Normal 2 2 2 2 2 28 2 12" xfId="13496" xr:uid="{167CC1CC-EB4B-4B82-8553-E928C33E3367}"/>
    <cellStyle name="Normal 2 2 2 2 2 28 2 13" xfId="13497" xr:uid="{6E9CE7E6-E735-4EC7-A2F1-C1F68922D19F}"/>
    <cellStyle name="Normal 2 2 2 2 2 28 2 13 2" xfId="13498" xr:uid="{0C803CB1-0A13-4E31-B26D-436842B96CCC}"/>
    <cellStyle name="Normal 2 2 2 2 2 28 2 13 3" xfId="13499" xr:uid="{2CA42BE4-C694-418D-AE30-4DC2EC77366C}"/>
    <cellStyle name="Normal 2 2 2 2 2 28 2 13 4" xfId="13500" xr:uid="{EE4B9A1E-79C5-4912-9719-47CF346A76EA}"/>
    <cellStyle name="Normal 2 2 2 2 2 28 2 14" xfId="13501" xr:uid="{0098C546-E571-40E0-A797-39A80255BF4F}"/>
    <cellStyle name="Normal 2 2 2 2 2 28 2 15" xfId="13502" xr:uid="{9F1C2CC9-42EA-4E95-ABD5-6DA521F0469A}"/>
    <cellStyle name="Normal 2 2 2 2 2 28 2 16" xfId="13503" xr:uid="{8D6E13CB-2952-4E5A-911E-A811CADFA76A}"/>
    <cellStyle name="Normal 2 2 2 2 2 28 2 2" xfId="13504" xr:uid="{46B71B46-7E15-4FD3-8FE3-32DD25C23C0D}"/>
    <cellStyle name="Normal 2 2 2 2 2 28 2 2 10" xfId="13505" xr:uid="{E49DA54D-D0DA-4FE0-9E0F-46A2C11DA52B}"/>
    <cellStyle name="Normal 2 2 2 2 2 28 2 2 11" xfId="13506" xr:uid="{E571CE68-7EE2-45D6-80F7-FFD96200D0A7}"/>
    <cellStyle name="Normal 2 2 2 2 2 28 2 2 11 2" xfId="13507" xr:uid="{24D6E810-81E5-4ABE-B59A-93C92F57D6C6}"/>
    <cellStyle name="Normal 2 2 2 2 2 28 2 2 11 3" xfId="13508" xr:uid="{E1FCAC4E-B80C-426C-9B4F-8CD3712D4B94}"/>
    <cellStyle name="Normal 2 2 2 2 2 28 2 2 11 4" xfId="13509" xr:uid="{2699B6FD-E34F-4677-AAFF-21133593D73F}"/>
    <cellStyle name="Normal 2 2 2 2 2 28 2 2 12" xfId="13510" xr:uid="{12E6DE95-40CF-4E21-9EA9-04A54B86E46E}"/>
    <cellStyle name="Normal 2 2 2 2 2 28 2 2 13" xfId="13511" xr:uid="{CBF9E3AB-F043-4923-9DB4-A9A32EE7DB37}"/>
    <cellStyle name="Normal 2 2 2 2 2 28 2 2 14" xfId="13512" xr:uid="{B4ED0988-8456-4FBD-85A6-44097F990657}"/>
    <cellStyle name="Normal 2 2 2 2 2 28 2 2 2" xfId="13513" xr:uid="{E661484C-52D7-4823-9431-BBF1DA7D15ED}"/>
    <cellStyle name="Normal 2 2 2 2 2 28 2 2 2 10" xfId="13514" xr:uid="{B48FE2A4-6B8D-4A2C-8F74-18DA9394A0F0}"/>
    <cellStyle name="Normal 2 2 2 2 2 28 2 2 2 11" xfId="13515" xr:uid="{25790B24-9871-43CA-898E-8508895636BD}"/>
    <cellStyle name="Normal 2 2 2 2 2 28 2 2 2 2" xfId="13516" xr:uid="{E888ADB4-0394-4560-A01A-191D358A9396}"/>
    <cellStyle name="Normal 2 2 2 2 2 28 2 2 2 2 10" xfId="13517" xr:uid="{261C3B35-074D-4652-B4C1-F58FB92405F4}"/>
    <cellStyle name="Normal 2 2 2 2 2 28 2 2 2 2 11" xfId="13518" xr:uid="{9A35AB61-3C19-406A-9AB6-50CFBA060F29}"/>
    <cellStyle name="Normal 2 2 2 2 2 28 2 2 2 2 2" xfId="13519" xr:uid="{5729F210-1006-418F-B518-946C6510DE44}"/>
    <cellStyle name="Normal 2 2 2 2 2 28 2 2 2 2 2 2" xfId="13520" xr:uid="{6DE293B7-B0F3-4C47-B9C7-6B0361FAE954}"/>
    <cellStyle name="Normal 2 2 2 2 2 28 2 2 2 2 2 2 2" xfId="13521" xr:uid="{F3E1C359-7ADB-4452-B5D1-4AD40BAA024E}"/>
    <cellStyle name="Normal 2 2 2 2 2 28 2 2 2 2 2 2 3" xfId="13522" xr:uid="{0D8316FA-7437-4618-954E-123EEBDCECEC}"/>
    <cellStyle name="Normal 2 2 2 2 2 28 2 2 2 2 2 2 4" xfId="13523" xr:uid="{9062FC4E-CC8E-482C-8AE4-9EB98CBA5011}"/>
    <cellStyle name="Normal 2 2 2 2 2 28 2 2 2 2 2 3" xfId="13524" xr:uid="{AB2D17D9-B5CB-4D9A-B6BA-1F1CBA82EED1}"/>
    <cellStyle name="Normal 2 2 2 2 2 28 2 2 2 2 2 4" xfId="13525" xr:uid="{2FA08399-5B9D-4FD1-87E9-01F0685A142B}"/>
    <cellStyle name="Normal 2 2 2 2 2 28 2 2 2 2 2 5" xfId="13526" xr:uid="{141D3882-4AAD-4C43-9A1E-A79E2E0CE0F4}"/>
    <cellStyle name="Normal 2 2 2 2 2 28 2 2 2 2 2 6" xfId="13527" xr:uid="{BD3A41A7-C6F1-4626-BE83-41CF1E5943D8}"/>
    <cellStyle name="Normal 2 2 2 2 2 28 2 2 2 2 3" xfId="13528" xr:uid="{0DA1D126-8AE4-479E-AC2A-45A62CBCFB27}"/>
    <cellStyle name="Normal 2 2 2 2 2 28 2 2 2 2 4" xfId="13529" xr:uid="{D5AE1100-A867-4572-A252-6BE440F96A4B}"/>
    <cellStyle name="Normal 2 2 2 2 2 28 2 2 2 2 5" xfId="13530" xr:uid="{B2B20FE9-20F4-4807-8757-3E0BB0A96E0C}"/>
    <cellStyle name="Normal 2 2 2 2 2 28 2 2 2 2 6" xfId="13531" xr:uid="{574A8381-73C7-4104-B6E4-5E8831E9CDAF}"/>
    <cellStyle name="Normal 2 2 2 2 2 28 2 2 2 2 7" xfId="13532" xr:uid="{CB4C2329-8F85-4A21-B169-B94617572405}"/>
    <cellStyle name="Normal 2 2 2 2 2 28 2 2 2 2 8" xfId="13533" xr:uid="{BC49EF0A-1D22-4A9A-92FE-7520970B5A92}"/>
    <cellStyle name="Normal 2 2 2 2 2 28 2 2 2 2 8 2" xfId="13534" xr:uid="{A9343C95-F309-4CFD-A73F-F34A00F43922}"/>
    <cellStyle name="Normal 2 2 2 2 2 28 2 2 2 2 8 3" xfId="13535" xr:uid="{0AE12460-45F1-4E3E-AEBB-10502C6204FC}"/>
    <cellStyle name="Normal 2 2 2 2 2 28 2 2 2 2 8 4" xfId="13536" xr:uid="{A2D2D128-E5D9-4EF5-BDD2-7BCF188C98DD}"/>
    <cellStyle name="Normal 2 2 2 2 2 28 2 2 2 2 9" xfId="13537" xr:uid="{017EAE86-0069-4C7B-8254-FD00DF00E471}"/>
    <cellStyle name="Normal 2 2 2 2 2 28 2 2 2 3" xfId="13538" xr:uid="{6B5F4D3E-1C7A-43CE-BA67-F8A650379E8E}"/>
    <cellStyle name="Normal 2 2 2 2 2 28 2 2 2 3 2" xfId="13539" xr:uid="{9A1342AA-721A-49B0-A1E0-9B2E57B0F7EC}"/>
    <cellStyle name="Normal 2 2 2 2 2 28 2 2 2 3 2 2" xfId="13540" xr:uid="{24AAAFCC-4C0C-46F9-9062-7B359A114562}"/>
    <cellStyle name="Normal 2 2 2 2 2 28 2 2 2 3 2 3" xfId="13541" xr:uid="{984241B2-121E-4815-8111-D5121A37CAE6}"/>
    <cellStyle name="Normal 2 2 2 2 2 28 2 2 2 3 2 4" xfId="13542" xr:uid="{E26254C2-208D-4A0F-B7F6-98B8E48525EB}"/>
    <cellStyle name="Normal 2 2 2 2 2 28 2 2 2 3 3" xfId="13543" xr:uid="{FD10B21B-D565-4924-AA8C-0D67C940C08F}"/>
    <cellStyle name="Normal 2 2 2 2 2 28 2 2 2 3 4" xfId="13544" xr:uid="{1447D373-6FD3-4AC6-915E-EC1F43C498D6}"/>
    <cellStyle name="Normal 2 2 2 2 2 28 2 2 2 3 5" xfId="13545" xr:uid="{FBF22D1A-8267-4746-9218-5C6E5FF45204}"/>
    <cellStyle name="Normal 2 2 2 2 2 28 2 2 2 3 6" xfId="13546" xr:uid="{65797A57-4FEB-4BC3-89CA-566C570E990F}"/>
    <cellStyle name="Normal 2 2 2 2 2 28 2 2 2 4" xfId="13547" xr:uid="{B04B9972-9198-4336-A219-C1363E0F1C55}"/>
    <cellStyle name="Normal 2 2 2 2 2 28 2 2 2 5" xfId="13548" xr:uid="{9B002A1C-6B43-474E-9515-BF9793E95FE6}"/>
    <cellStyle name="Normal 2 2 2 2 2 28 2 2 2 6" xfId="13549" xr:uid="{652497BF-98DA-41E1-BD4C-3A0604F5C2A8}"/>
    <cellStyle name="Normal 2 2 2 2 2 28 2 2 2 7" xfId="13550" xr:uid="{5A14C401-4841-49BB-B9F1-9986C441D3B2}"/>
    <cellStyle name="Normal 2 2 2 2 2 28 2 2 2 8" xfId="13551" xr:uid="{768E1990-C809-46A9-BB70-75E09754F257}"/>
    <cellStyle name="Normal 2 2 2 2 2 28 2 2 2 8 2" xfId="13552" xr:uid="{69877B2A-BD4E-4DF0-82B1-84D52E8A0083}"/>
    <cellStyle name="Normal 2 2 2 2 2 28 2 2 2 8 3" xfId="13553" xr:uid="{F9EDE3E2-3E6C-466A-A4BE-74403F6E9CCA}"/>
    <cellStyle name="Normal 2 2 2 2 2 28 2 2 2 8 4" xfId="13554" xr:uid="{809A9435-0B52-4F22-AB2E-D6AB5D354E97}"/>
    <cellStyle name="Normal 2 2 2 2 2 28 2 2 2 9" xfId="13555" xr:uid="{B6854344-7543-4F30-B682-660F4EC544A8}"/>
    <cellStyle name="Normal 2 2 2 2 2 28 2 2 3" xfId="13556" xr:uid="{BCA8035D-4857-43B5-A66D-1E6CB9823F24}"/>
    <cellStyle name="Normal 2 2 2 2 2 28 2 2 4" xfId="13557" xr:uid="{8A7673F4-617F-4B5C-AAF6-B0EB4CE82C74}"/>
    <cellStyle name="Normal 2 2 2 2 2 28 2 2 5" xfId="13558" xr:uid="{AA812FD9-D496-40DA-B589-43261D3EBDA4}"/>
    <cellStyle name="Normal 2 2 2 2 2 28 2 2 5 2" xfId="13559" xr:uid="{F1049CF8-401A-4C1B-BE83-373E36AEB188}"/>
    <cellStyle name="Normal 2 2 2 2 2 28 2 2 5 2 2" xfId="13560" xr:uid="{A4622373-9B08-4E24-93A1-BD45C66363E1}"/>
    <cellStyle name="Normal 2 2 2 2 2 28 2 2 5 2 3" xfId="13561" xr:uid="{0CCBFB00-FACE-409B-B134-19C6C74D9130}"/>
    <cellStyle name="Normal 2 2 2 2 2 28 2 2 5 2 4" xfId="13562" xr:uid="{0D450BF6-7716-4A0D-B260-892794E9125A}"/>
    <cellStyle name="Normal 2 2 2 2 2 28 2 2 5 3" xfId="13563" xr:uid="{C37D465E-9282-484A-8475-55F606438E83}"/>
    <cellStyle name="Normal 2 2 2 2 2 28 2 2 5 4" xfId="13564" xr:uid="{9F6B8F6A-AF23-42F8-A4EB-29790C3965D2}"/>
    <cellStyle name="Normal 2 2 2 2 2 28 2 2 5 5" xfId="13565" xr:uid="{D83F11B8-BA40-41AA-A7A7-B46542996E96}"/>
    <cellStyle name="Normal 2 2 2 2 2 28 2 2 5 6" xfId="13566" xr:uid="{7026CE2E-154B-45A7-9348-84D40C5641F7}"/>
    <cellStyle name="Normal 2 2 2 2 2 28 2 2 6" xfId="13567" xr:uid="{1E148C02-7204-4C78-A3E4-16D1C29E0C34}"/>
    <cellStyle name="Normal 2 2 2 2 2 28 2 2 7" xfId="13568" xr:uid="{7DF5918A-ADCD-449A-BA7B-03A1B16F11AE}"/>
    <cellStyle name="Normal 2 2 2 2 2 28 2 2 8" xfId="13569" xr:uid="{4909DCCB-F6EB-4465-84B1-ADCB7E32859F}"/>
    <cellStyle name="Normal 2 2 2 2 2 28 2 2 9" xfId="13570" xr:uid="{015A46EE-9CD5-4350-BEF6-0DFB4E87A632}"/>
    <cellStyle name="Normal 2 2 2 2 2 28 2 3" xfId="13571" xr:uid="{CEA977F1-E0E8-45D8-BBF5-5C95B0F823CA}"/>
    <cellStyle name="Normal 2 2 2 2 2 28 2 4" xfId="13572" xr:uid="{4B2C9E8C-046E-4813-A9AD-CCC1A9F273A7}"/>
    <cellStyle name="Normal 2 2 2 2 2 28 2 5" xfId="13573" xr:uid="{D6FE5F1E-AA88-400E-86FA-7459D7472B24}"/>
    <cellStyle name="Normal 2 2 2 2 2 28 2 5 10" xfId="13574" xr:uid="{0E331BA5-9AD9-40BD-A883-79B139F6D1C1}"/>
    <cellStyle name="Normal 2 2 2 2 2 28 2 5 11" xfId="13575" xr:uid="{E143E7CF-5174-4AE1-B629-A9DD10458535}"/>
    <cellStyle name="Normal 2 2 2 2 2 28 2 5 2" xfId="13576" xr:uid="{B9FA39CE-7EDC-40F3-8E5D-4F2B79E98025}"/>
    <cellStyle name="Normal 2 2 2 2 2 28 2 5 2 10" xfId="13577" xr:uid="{8DBFC616-696D-46EA-A233-AFA5BF754A5E}"/>
    <cellStyle name="Normal 2 2 2 2 2 28 2 5 2 11" xfId="13578" xr:uid="{808AF96D-C51D-4433-8026-025E6C5AAAAC}"/>
    <cellStyle name="Normal 2 2 2 2 2 28 2 5 2 2" xfId="13579" xr:uid="{D6CD2BB1-5157-4BC8-8C16-AFF3D1F0651D}"/>
    <cellStyle name="Normal 2 2 2 2 2 28 2 5 2 2 2" xfId="13580" xr:uid="{5BD40156-A9BE-4AD0-B350-2F5FF67488FF}"/>
    <cellStyle name="Normal 2 2 2 2 2 28 2 5 2 2 2 2" xfId="13581" xr:uid="{4B2EF0E0-395B-452B-98FB-AF8F7DF2DAF5}"/>
    <cellStyle name="Normal 2 2 2 2 2 28 2 5 2 2 2 3" xfId="13582" xr:uid="{F84AE55E-AEF5-4E71-8110-B91C428B2DCE}"/>
    <cellStyle name="Normal 2 2 2 2 2 28 2 5 2 2 2 4" xfId="13583" xr:uid="{7B7AA220-ADCB-4A5B-82BD-1761814F404C}"/>
    <cellStyle name="Normal 2 2 2 2 2 28 2 5 2 2 3" xfId="13584" xr:uid="{2EB7CEF0-3742-4725-A049-9A1FDF001F41}"/>
    <cellStyle name="Normal 2 2 2 2 2 28 2 5 2 2 4" xfId="13585" xr:uid="{F0E12562-E00C-4FFB-A35A-201750A69B7A}"/>
    <cellStyle name="Normal 2 2 2 2 2 28 2 5 2 2 5" xfId="13586" xr:uid="{6405BA05-FF1A-4DA4-96CC-577ED3562542}"/>
    <cellStyle name="Normal 2 2 2 2 2 28 2 5 2 2 6" xfId="13587" xr:uid="{D8943E83-83C0-4346-A0C0-35134260A12D}"/>
    <cellStyle name="Normal 2 2 2 2 2 28 2 5 2 3" xfId="13588" xr:uid="{4035BC70-03DD-4AF1-851A-F1F5DCFE15AB}"/>
    <cellStyle name="Normal 2 2 2 2 2 28 2 5 2 4" xfId="13589" xr:uid="{A621FC4B-D5CB-44F5-994C-A785A7FB0770}"/>
    <cellStyle name="Normal 2 2 2 2 2 28 2 5 2 5" xfId="13590" xr:uid="{F588E8D5-7619-454D-A2C4-B6258C75105B}"/>
    <cellStyle name="Normal 2 2 2 2 2 28 2 5 2 6" xfId="13591" xr:uid="{3E1A81A0-1ABF-4C78-B32F-6FE0AEE01FA4}"/>
    <cellStyle name="Normal 2 2 2 2 2 28 2 5 2 7" xfId="13592" xr:uid="{B8B8E5EB-956E-4A8C-B7FF-87772B7B3993}"/>
    <cellStyle name="Normal 2 2 2 2 2 28 2 5 2 8" xfId="13593" xr:uid="{68FDAECF-A3B1-44ED-BBDA-9EB420D9A717}"/>
    <cellStyle name="Normal 2 2 2 2 2 28 2 5 2 8 2" xfId="13594" xr:uid="{1754402E-833E-4F57-89D6-6472576417B9}"/>
    <cellStyle name="Normal 2 2 2 2 2 28 2 5 2 8 3" xfId="13595" xr:uid="{36B5E51D-2E03-4670-8D71-183F12AD4EC1}"/>
    <cellStyle name="Normal 2 2 2 2 2 28 2 5 2 8 4" xfId="13596" xr:uid="{AE7998C3-7F05-4989-8E58-E0DA079D2059}"/>
    <cellStyle name="Normal 2 2 2 2 2 28 2 5 2 9" xfId="13597" xr:uid="{B970C90B-48C6-4A04-BD73-D682FFBC5211}"/>
    <cellStyle name="Normal 2 2 2 2 2 28 2 5 3" xfId="13598" xr:uid="{17B8481E-218C-4AE7-88AC-E375C1CBE601}"/>
    <cellStyle name="Normal 2 2 2 2 2 28 2 5 3 2" xfId="13599" xr:uid="{8C147F99-6511-4044-898E-1A920317875E}"/>
    <cellStyle name="Normal 2 2 2 2 2 28 2 5 3 2 2" xfId="13600" xr:uid="{F9E3A300-118F-46F9-BDD0-BB4CAC254C69}"/>
    <cellStyle name="Normal 2 2 2 2 2 28 2 5 3 2 3" xfId="13601" xr:uid="{5DAF9079-BEF7-435F-BE96-90582DCC4732}"/>
    <cellStyle name="Normal 2 2 2 2 2 28 2 5 3 2 4" xfId="13602" xr:uid="{45DA0580-552E-4567-BDBF-F5A76A4BA850}"/>
    <cellStyle name="Normal 2 2 2 2 2 28 2 5 3 3" xfId="13603" xr:uid="{588CDF2D-848B-4B35-9E84-91493728A883}"/>
    <cellStyle name="Normal 2 2 2 2 2 28 2 5 3 4" xfId="13604" xr:uid="{95F9030C-AC52-4F5E-ACED-2443C44EA190}"/>
    <cellStyle name="Normal 2 2 2 2 2 28 2 5 3 5" xfId="13605" xr:uid="{E651E0D6-09D3-4895-9890-3CCC05A080A2}"/>
    <cellStyle name="Normal 2 2 2 2 2 28 2 5 3 6" xfId="13606" xr:uid="{244EEE75-2F43-463F-9DE0-8182AB2FEA7F}"/>
    <cellStyle name="Normal 2 2 2 2 2 28 2 5 4" xfId="13607" xr:uid="{47E2F26C-9981-4C3C-A7C7-221B5CB3F467}"/>
    <cellStyle name="Normal 2 2 2 2 2 28 2 5 5" xfId="13608" xr:uid="{87981F96-95CC-42F6-994A-FE0751028BE9}"/>
    <cellStyle name="Normal 2 2 2 2 2 28 2 5 6" xfId="13609" xr:uid="{4227AA5B-8E1D-40BF-9545-13F40B75252D}"/>
    <cellStyle name="Normal 2 2 2 2 2 28 2 5 7" xfId="13610" xr:uid="{5702A64B-A80A-4C84-BD84-410F13448756}"/>
    <cellStyle name="Normal 2 2 2 2 2 28 2 5 8" xfId="13611" xr:uid="{04CC256D-47B7-449C-93F0-70E48B9B0DCE}"/>
    <cellStyle name="Normal 2 2 2 2 2 28 2 5 8 2" xfId="13612" xr:uid="{3BEF1E2E-3DA0-4588-B4E0-448BB83AAF70}"/>
    <cellStyle name="Normal 2 2 2 2 2 28 2 5 8 3" xfId="13613" xr:uid="{46C219B4-5469-4F51-819A-771D54BBA24B}"/>
    <cellStyle name="Normal 2 2 2 2 2 28 2 5 8 4" xfId="13614" xr:uid="{D8E2BAD6-A53C-448B-B658-770D5014AE9B}"/>
    <cellStyle name="Normal 2 2 2 2 2 28 2 5 9" xfId="13615" xr:uid="{0A392DF4-1411-42F6-8498-8E2CFDFB439A}"/>
    <cellStyle name="Normal 2 2 2 2 2 28 2 6" xfId="13616" xr:uid="{BB18FE94-2949-46EB-8DAC-50332EE0CF22}"/>
    <cellStyle name="Normal 2 2 2 2 2 28 2 7" xfId="13617" xr:uid="{275C0E88-EE50-47A7-A3DF-0200EEFB934A}"/>
    <cellStyle name="Normal 2 2 2 2 2 28 2 7 2" xfId="13618" xr:uid="{B64C9B0A-6C31-419F-B289-6FEE9CEB1896}"/>
    <cellStyle name="Normal 2 2 2 2 2 28 2 7 2 2" xfId="13619" xr:uid="{F174D55C-3E45-4130-BE3A-6DA5DA0E7A96}"/>
    <cellStyle name="Normal 2 2 2 2 2 28 2 7 2 3" xfId="13620" xr:uid="{46981E3A-6A8B-45EC-838A-5B9F308D29BB}"/>
    <cellStyle name="Normal 2 2 2 2 2 28 2 7 2 4" xfId="13621" xr:uid="{B56591EF-4A3B-4B55-B40B-9FC7DFAF27E2}"/>
    <cellStyle name="Normal 2 2 2 2 2 28 2 7 3" xfId="13622" xr:uid="{5CC7A68B-81C7-433F-94E4-B89491B15C28}"/>
    <cellStyle name="Normal 2 2 2 2 2 28 2 7 4" xfId="13623" xr:uid="{788B2181-466A-461B-8E38-49F75871352A}"/>
    <cellStyle name="Normal 2 2 2 2 2 28 2 7 5" xfId="13624" xr:uid="{B93F9B3F-D560-41AF-926B-6B62B3F34364}"/>
    <cellStyle name="Normal 2 2 2 2 2 28 2 7 6" xfId="13625" xr:uid="{CF8ED57C-738C-440D-9E97-612F08B764F6}"/>
    <cellStyle name="Normal 2 2 2 2 2 28 2 8" xfId="13626" xr:uid="{D3774554-EEA5-44AB-ADA3-F36CDA29C2E5}"/>
    <cellStyle name="Normal 2 2 2 2 2 28 2 9" xfId="13627" xr:uid="{8EACD97B-2C2F-4154-8794-60446C9E17CB}"/>
    <cellStyle name="Normal 2 2 2 2 2 28 20" xfId="13628" xr:uid="{366B0534-4C59-4132-9DB0-EA0ED1F13E09}"/>
    <cellStyle name="Normal 2 2 2 2 2 28 21" xfId="13629" xr:uid="{B01983DD-9498-4837-B959-DDE29A7E4CD5}"/>
    <cellStyle name="Normal 2 2 2 2 2 28 21 2" xfId="13630" xr:uid="{5C21E9D7-1B10-4532-A0E1-91B2D0851632}"/>
    <cellStyle name="Normal 2 2 2 2 2 28 21 3" xfId="13631" xr:uid="{F445C16F-78B8-4CCB-A283-79A2D4BA6A31}"/>
    <cellStyle name="Normal 2 2 2 2 2 28 21 4" xfId="13632" xr:uid="{4E1D2D89-7884-4618-B0D3-B30D7FC77BEB}"/>
    <cellStyle name="Normal 2 2 2 2 2 28 22" xfId="13633" xr:uid="{3089CFBD-2F8B-4C02-A02E-3583BCE20CE9}"/>
    <cellStyle name="Normal 2 2 2 2 2 28 23" xfId="13634" xr:uid="{E4344B8A-9685-4F20-A2CF-2810E58E5E7C}"/>
    <cellStyle name="Normal 2 2 2 2 2 28 24" xfId="13635" xr:uid="{F886A524-A7EA-44CA-9E2A-ECB14AFA952C}"/>
    <cellStyle name="Normal 2 2 2 2 2 28 3" xfId="13636" xr:uid="{A199890D-1003-4732-BC2E-34B37EFE1B93}"/>
    <cellStyle name="Normal 2 2 2 2 2 28 4" xfId="13637" xr:uid="{7562EB7A-B07B-4D05-850B-A981571CEA55}"/>
    <cellStyle name="Normal 2 2 2 2 2 28 5" xfId="13638" xr:uid="{D62703FD-65C9-49DF-A7BA-3402526E5D6F}"/>
    <cellStyle name="Normal 2 2 2 2 2 28 6" xfId="13639" xr:uid="{4E531907-6EA3-4040-8967-17D3900F199D}"/>
    <cellStyle name="Normal 2 2 2 2 2 28 7" xfId="13640" xr:uid="{C98BB3D5-B404-4E2B-89EC-7944146EEA1A}"/>
    <cellStyle name="Normal 2 2 2 2 2 28 8" xfId="13641" xr:uid="{EE160E14-3043-4259-8D13-53223EE5A663}"/>
    <cellStyle name="Normal 2 2 2 2 2 28 9" xfId="13642" xr:uid="{3ECDF854-A7B3-4615-9DA8-FBCAA87EBC3F}"/>
    <cellStyle name="Normal 2 2 2 2 2 29" xfId="13643" xr:uid="{46A8B86E-E2EA-418B-B4AF-14D9EC3C4BD2}"/>
    <cellStyle name="Normal 2 2 2 2 2 29 10" xfId="13644" xr:uid="{E6EE9BD1-C3CC-47F1-B94D-C421D1C9D1EB}"/>
    <cellStyle name="Normal 2 2 2 2 2 29 11" xfId="13645" xr:uid="{D87957E4-050B-436E-8551-1D58DC8813F4}"/>
    <cellStyle name="Normal 2 2 2 2 2 29 12" xfId="13646" xr:uid="{651B137D-9AAB-4B6E-9A09-613A3FF44DFF}"/>
    <cellStyle name="Normal 2 2 2 2 2 29 13" xfId="13647" xr:uid="{D52FB279-7572-4E21-ACB9-9E764166DB35}"/>
    <cellStyle name="Normal 2 2 2 2 2 29 13 2" xfId="13648" xr:uid="{1A461C43-3522-4375-92F7-715FF91A8ED9}"/>
    <cellStyle name="Normal 2 2 2 2 2 29 13 3" xfId="13649" xr:uid="{743B1B6F-DD60-4061-BD66-C77B5882C65F}"/>
    <cellStyle name="Normal 2 2 2 2 2 29 13 4" xfId="13650" xr:uid="{7D3E9EC8-FE70-44D7-9B2C-0FD28B93F7C2}"/>
    <cellStyle name="Normal 2 2 2 2 2 29 14" xfId="13651" xr:uid="{F8B923F3-7388-4F43-821B-DC17682B1AFB}"/>
    <cellStyle name="Normal 2 2 2 2 2 29 15" xfId="13652" xr:uid="{6CFEADEA-BAC5-476D-8A64-1BE9E4972EBD}"/>
    <cellStyle name="Normal 2 2 2 2 2 29 16" xfId="13653" xr:uid="{C58B28D3-3597-4B18-8E07-4B9FABEEF4BC}"/>
    <cellStyle name="Normal 2 2 2 2 2 29 2" xfId="13654" xr:uid="{64D45035-2132-403F-8612-687128EF72D4}"/>
    <cellStyle name="Normal 2 2 2 2 2 29 2 10" xfId="13655" xr:uid="{7B84D048-F223-41E8-9D9A-54A36079DACC}"/>
    <cellStyle name="Normal 2 2 2 2 2 29 2 11" xfId="13656" xr:uid="{ABD2C6A9-D338-4845-976C-225B87E87CCD}"/>
    <cellStyle name="Normal 2 2 2 2 2 29 2 11 2" xfId="13657" xr:uid="{9A1BE962-3FF0-49D5-A482-2E0EE732B77B}"/>
    <cellStyle name="Normal 2 2 2 2 2 29 2 11 3" xfId="13658" xr:uid="{2CD837C8-3319-4A75-B72A-BA1D90CD1294}"/>
    <cellStyle name="Normal 2 2 2 2 2 29 2 11 4" xfId="13659" xr:uid="{8E376674-8DCD-46A6-BE15-EFBB1B3B079D}"/>
    <cellStyle name="Normal 2 2 2 2 2 29 2 12" xfId="13660" xr:uid="{F487A72C-7036-4368-9364-4D21C4E169FF}"/>
    <cellStyle name="Normal 2 2 2 2 2 29 2 13" xfId="13661" xr:uid="{4902C2FA-6822-4F7F-92EB-5F36F1402549}"/>
    <cellStyle name="Normal 2 2 2 2 2 29 2 14" xfId="13662" xr:uid="{1DC11419-80B8-4E6C-BFAC-F71FFCBE16D7}"/>
    <cellStyle name="Normal 2 2 2 2 2 29 2 2" xfId="13663" xr:uid="{7E053650-5E05-491B-9F5A-198CE4E9A7DE}"/>
    <cellStyle name="Normal 2 2 2 2 2 29 2 2 10" xfId="13664" xr:uid="{E17D8EF5-A6C1-4D4D-A65D-DD860B9E417A}"/>
    <cellStyle name="Normal 2 2 2 2 2 29 2 2 11" xfId="13665" xr:uid="{0C23BB48-E031-40E8-B1F1-AF215C52EBDD}"/>
    <cellStyle name="Normal 2 2 2 2 2 29 2 2 2" xfId="13666" xr:uid="{3835A30E-9C9D-4D52-BDAC-04449628DE9C}"/>
    <cellStyle name="Normal 2 2 2 2 2 29 2 2 2 10" xfId="13667" xr:uid="{7E2055AD-9779-48F4-9CEC-E862D75CF860}"/>
    <cellStyle name="Normal 2 2 2 2 2 29 2 2 2 11" xfId="13668" xr:uid="{D7B673CF-6A4E-4995-80EB-AA6FD08E8E80}"/>
    <cellStyle name="Normal 2 2 2 2 2 29 2 2 2 2" xfId="13669" xr:uid="{9E77BF01-CFAC-46E2-9DF0-C6C2A7F24509}"/>
    <cellStyle name="Normal 2 2 2 2 2 29 2 2 2 2 2" xfId="13670" xr:uid="{AB9C2F0C-A7C7-430D-A018-7379E36B2371}"/>
    <cellStyle name="Normal 2 2 2 2 2 29 2 2 2 2 2 2" xfId="13671" xr:uid="{768B5DA1-6328-4D8D-8179-629A94633E98}"/>
    <cellStyle name="Normal 2 2 2 2 2 29 2 2 2 2 2 3" xfId="13672" xr:uid="{8F50C6FB-63B8-4250-B3A3-462BD0C213B7}"/>
    <cellStyle name="Normal 2 2 2 2 2 29 2 2 2 2 2 4" xfId="13673" xr:uid="{C3AACD47-4078-46F5-90C0-48D76CA2F0A6}"/>
    <cellStyle name="Normal 2 2 2 2 2 29 2 2 2 2 3" xfId="13674" xr:uid="{CC41906B-0F46-43C5-8F82-B42B01697A01}"/>
    <cellStyle name="Normal 2 2 2 2 2 29 2 2 2 2 4" xfId="13675" xr:uid="{47C3CEF8-AC24-491E-99C3-689662F35732}"/>
    <cellStyle name="Normal 2 2 2 2 2 29 2 2 2 2 5" xfId="13676" xr:uid="{BCF0F4FB-B0FD-45F5-9FA3-55E8AF114E3D}"/>
    <cellStyle name="Normal 2 2 2 2 2 29 2 2 2 2 6" xfId="13677" xr:uid="{BD900691-E9A8-4E8B-9ED0-9EFD0E46ECD0}"/>
    <cellStyle name="Normal 2 2 2 2 2 29 2 2 2 3" xfId="13678" xr:uid="{4BF4937D-1B14-46F9-8277-AF9E2E9E0708}"/>
    <cellStyle name="Normal 2 2 2 2 2 29 2 2 2 4" xfId="13679" xr:uid="{E180A3EC-34B4-4D1F-8710-45FDFD08AE02}"/>
    <cellStyle name="Normal 2 2 2 2 2 29 2 2 2 5" xfId="13680" xr:uid="{2434C68C-6CF1-4C75-A538-E15D7D9E34BD}"/>
    <cellStyle name="Normal 2 2 2 2 2 29 2 2 2 6" xfId="13681" xr:uid="{9C4A9175-D72B-4382-97BF-A44F1F9D2733}"/>
    <cellStyle name="Normal 2 2 2 2 2 29 2 2 2 7" xfId="13682" xr:uid="{6FFCD14C-C050-4CC1-8573-AAD04A9E0605}"/>
    <cellStyle name="Normal 2 2 2 2 2 29 2 2 2 8" xfId="13683" xr:uid="{1E9C908D-FF7E-4016-B90B-D952904B2DB5}"/>
    <cellStyle name="Normal 2 2 2 2 2 29 2 2 2 8 2" xfId="13684" xr:uid="{3B2E46AE-64CD-49F7-8FFD-84E2D77B682B}"/>
    <cellStyle name="Normal 2 2 2 2 2 29 2 2 2 8 3" xfId="13685" xr:uid="{3AB38E54-D3DE-4C4C-B502-19D374A95EB1}"/>
    <cellStyle name="Normal 2 2 2 2 2 29 2 2 2 8 4" xfId="13686" xr:uid="{87A4672B-7D9E-403A-8248-C9AB5E51E609}"/>
    <cellStyle name="Normal 2 2 2 2 2 29 2 2 2 9" xfId="13687" xr:uid="{CF87F88C-0B9A-40CA-AD49-F2CD351398B6}"/>
    <cellStyle name="Normal 2 2 2 2 2 29 2 2 3" xfId="13688" xr:uid="{BAAD905A-15CE-4E9C-AB33-E3CBF873B899}"/>
    <cellStyle name="Normal 2 2 2 2 2 29 2 2 3 2" xfId="13689" xr:uid="{FE972D01-1E1E-4142-AC67-FA111F982769}"/>
    <cellStyle name="Normal 2 2 2 2 2 29 2 2 3 2 2" xfId="13690" xr:uid="{B9EC7214-00A2-4118-A717-1A7044BE4466}"/>
    <cellStyle name="Normal 2 2 2 2 2 29 2 2 3 2 3" xfId="13691" xr:uid="{491DB818-1FA1-4508-8E7E-B95272AE578A}"/>
    <cellStyle name="Normal 2 2 2 2 2 29 2 2 3 2 4" xfId="13692" xr:uid="{0E9B6411-15E3-481F-8506-B8D3F792EBFC}"/>
    <cellStyle name="Normal 2 2 2 2 2 29 2 2 3 3" xfId="13693" xr:uid="{1EBF8D0B-06CF-4DD2-8469-D844B4174067}"/>
    <cellStyle name="Normal 2 2 2 2 2 29 2 2 3 4" xfId="13694" xr:uid="{CC88A98F-574D-44B5-968E-8819F4D477AC}"/>
    <cellStyle name="Normal 2 2 2 2 2 29 2 2 3 5" xfId="13695" xr:uid="{89D2C882-1119-4724-9F9C-B07F8264D621}"/>
    <cellStyle name="Normal 2 2 2 2 2 29 2 2 3 6" xfId="13696" xr:uid="{FEE0E630-E4A7-47B8-A2E9-9D96C1789570}"/>
    <cellStyle name="Normal 2 2 2 2 2 29 2 2 4" xfId="13697" xr:uid="{AE64ADE6-4473-4481-862C-F7FBF0DE6590}"/>
    <cellStyle name="Normal 2 2 2 2 2 29 2 2 5" xfId="13698" xr:uid="{48A9DD36-7044-43DB-9D98-182ABB5FECD1}"/>
    <cellStyle name="Normal 2 2 2 2 2 29 2 2 6" xfId="13699" xr:uid="{94EE414C-7B48-4B26-9F5D-031A1AE4EC5A}"/>
    <cellStyle name="Normal 2 2 2 2 2 29 2 2 7" xfId="13700" xr:uid="{589B5C5B-46F8-4E50-B977-F0C4C01C4E4A}"/>
    <cellStyle name="Normal 2 2 2 2 2 29 2 2 8" xfId="13701" xr:uid="{9DEF2B87-3E86-48C0-B481-26770764026E}"/>
    <cellStyle name="Normal 2 2 2 2 2 29 2 2 8 2" xfId="13702" xr:uid="{99EAC3CC-B197-4921-B14A-C22DBDC3739A}"/>
    <cellStyle name="Normal 2 2 2 2 2 29 2 2 8 3" xfId="13703" xr:uid="{3DAAA8AE-BBC3-4EE2-B488-CA086C81066C}"/>
    <cellStyle name="Normal 2 2 2 2 2 29 2 2 8 4" xfId="13704" xr:uid="{F2CA18FD-8422-4268-92A2-377774FCA6D6}"/>
    <cellStyle name="Normal 2 2 2 2 2 29 2 2 9" xfId="13705" xr:uid="{0447CE9C-9296-4CE8-954C-A6A0B3948120}"/>
    <cellStyle name="Normal 2 2 2 2 2 29 2 3" xfId="13706" xr:uid="{7037F84B-5EBF-4817-BB5D-8E1AEE13399C}"/>
    <cellStyle name="Normal 2 2 2 2 2 29 2 4" xfId="13707" xr:uid="{A32177E8-40BD-4A14-8151-7D868836DFC2}"/>
    <cellStyle name="Normal 2 2 2 2 2 29 2 5" xfId="13708" xr:uid="{CD46EB33-6120-4840-9AB0-53E11C6549C1}"/>
    <cellStyle name="Normal 2 2 2 2 2 29 2 5 2" xfId="13709" xr:uid="{1C3AC680-A221-4AB3-AA93-E622A4A5ECB8}"/>
    <cellStyle name="Normal 2 2 2 2 2 29 2 5 2 2" xfId="13710" xr:uid="{1F1B40A0-2B0A-4678-9E03-4859277F142F}"/>
    <cellStyle name="Normal 2 2 2 2 2 29 2 5 2 3" xfId="13711" xr:uid="{058095FD-E449-4414-86C9-B15823CE95F8}"/>
    <cellStyle name="Normal 2 2 2 2 2 29 2 5 2 4" xfId="13712" xr:uid="{D9406A33-601F-44D5-A7EE-2D23944610C9}"/>
    <cellStyle name="Normal 2 2 2 2 2 29 2 5 3" xfId="13713" xr:uid="{FA6B3051-F805-42AC-926D-35ECB0D0AB6E}"/>
    <cellStyle name="Normal 2 2 2 2 2 29 2 5 4" xfId="13714" xr:uid="{635CB369-C7B5-4D1B-8348-297D290AE3DC}"/>
    <cellStyle name="Normal 2 2 2 2 2 29 2 5 5" xfId="13715" xr:uid="{ABE73B34-CC45-46FC-80C0-9C56025765B6}"/>
    <cellStyle name="Normal 2 2 2 2 2 29 2 5 6" xfId="13716" xr:uid="{84C96017-4FB2-4677-A5D4-5C88274506AE}"/>
    <cellStyle name="Normal 2 2 2 2 2 29 2 6" xfId="13717" xr:uid="{0EBABED1-8EFC-4971-AF99-D22E5225D15C}"/>
    <cellStyle name="Normal 2 2 2 2 2 29 2 7" xfId="13718" xr:uid="{C2D4F97C-E315-4E86-91BB-B2F902E1EE83}"/>
    <cellStyle name="Normal 2 2 2 2 2 29 2 8" xfId="13719" xr:uid="{712948DA-8F2C-41DC-93CA-B4F80656939F}"/>
    <cellStyle name="Normal 2 2 2 2 2 29 2 9" xfId="13720" xr:uid="{A1BA9E95-42E8-43D8-8D04-E876B766189E}"/>
    <cellStyle name="Normal 2 2 2 2 2 29 3" xfId="13721" xr:uid="{B6BD1289-054C-416E-A483-332CE2DD0CEA}"/>
    <cellStyle name="Normal 2 2 2 2 2 29 4" xfId="13722" xr:uid="{55DB2312-3BE4-43E4-AC46-CA3511591A49}"/>
    <cellStyle name="Normal 2 2 2 2 2 29 5" xfId="13723" xr:uid="{A9D3316E-A4B0-457A-8D4A-E9A58283CF0A}"/>
    <cellStyle name="Normal 2 2 2 2 2 29 5 10" xfId="13724" xr:uid="{A7E1E99C-E475-4F47-A168-A95291BD7814}"/>
    <cellStyle name="Normal 2 2 2 2 2 29 5 11" xfId="13725" xr:uid="{DF91AADE-F482-4102-B617-61297A938264}"/>
    <cellStyle name="Normal 2 2 2 2 2 29 5 2" xfId="13726" xr:uid="{4A63A8CB-8C52-4281-89A8-024216FF888C}"/>
    <cellStyle name="Normal 2 2 2 2 2 29 5 2 10" xfId="13727" xr:uid="{81C8A371-E39A-4F4A-8813-AC3F8F64BA1E}"/>
    <cellStyle name="Normal 2 2 2 2 2 29 5 2 11" xfId="13728" xr:uid="{0E1CE04C-B23F-4873-9069-0AD9DAEF32EA}"/>
    <cellStyle name="Normal 2 2 2 2 2 29 5 2 2" xfId="13729" xr:uid="{A94DA7EF-C4CA-4D4A-A8FD-C0DBC3D10DCD}"/>
    <cellStyle name="Normal 2 2 2 2 2 29 5 2 2 2" xfId="13730" xr:uid="{CBF84B14-EE69-48DA-BDBF-D8E34DE24F37}"/>
    <cellStyle name="Normal 2 2 2 2 2 29 5 2 2 2 2" xfId="13731" xr:uid="{9AC09B2B-5F39-4D96-B207-4DD0AB10964B}"/>
    <cellStyle name="Normal 2 2 2 2 2 29 5 2 2 2 3" xfId="13732" xr:uid="{295D6449-99F7-4302-8F38-745D7A39CEF6}"/>
    <cellStyle name="Normal 2 2 2 2 2 29 5 2 2 2 4" xfId="13733" xr:uid="{30A98958-C588-42C5-9DBE-AE735A0A9D3B}"/>
    <cellStyle name="Normal 2 2 2 2 2 29 5 2 2 3" xfId="13734" xr:uid="{1FD07DE1-842E-4321-A500-10BBF068610D}"/>
    <cellStyle name="Normal 2 2 2 2 2 29 5 2 2 4" xfId="13735" xr:uid="{CE1FCB3B-0E1F-4057-8F3A-28F8244BCCE7}"/>
    <cellStyle name="Normal 2 2 2 2 2 29 5 2 2 5" xfId="13736" xr:uid="{D6C8845A-71DB-4158-BBFA-C29EB19B86D4}"/>
    <cellStyle name="Normal 2 2 2 2 2 29 5 2 2 6" xfId="13737" xr:uid="{1FE83E3B-0C6C-44BE-9308-7357C3FB5113}"/>
    <cellStyle name="Normal 2 2 2 2 2 29 5 2 3" xfId="13738" xr:uid="{973253FD-8B2F-4F2E-AFE7-6086775B5713}"/>
    <cellStyle name="Normal 2 2 2 2 2 29 5 2 4" xfId="13739" xr:uid="{376FF176-0CF8-44E0-A994-53C37B15E93F}"/>
    <cellStyle name="Normal 2 2 2 2 2 29 5 2 5" xfId="13740" xr:uid="{8FC72E09-519A-4C48-9006-B02E72278EB4}"/>
    <cellStyle name="Normal 2 2 2 2 2 29 5 2 6" xfId="13741" xr:uid="{331AF8F7-B1B1-4240-BFB5-9CCDC8D735F8}"/>
    <cellStyle name="Normal 2 2 2 2 2 29 5 2 7" xfId="13742" xr:uid="{B3604E32-619D-4622-9640-0F3A289B2691}"/>
    <cellStyle name="Normal 2 2 2 2 2 29 5 2 8" xfId="13743" xr:uid="{D56C0043-2BB5-4312-935C-2C7044D9BD00}"/>
    <cellStyle name="Normal 2 2 2 2 2 29 5 2 8 2" xfId="13744" xr:uid="{2768BBAA-E416-4503-82A7-E03DBE39B6A5}"/>
    <cellStyle name="Normal 2 2 2 2 2 29 5 2 8 3" xfId="13745" xr:uid="{D190F0A4-7B58-4AA6-99B7-654344D5B65D}"/>
    <cellStyle name="Normal 2 2 2 2 2 29 5 2 8 4" xfId="13746" xr:uid="{474779A4-3939-478F-9524-85A0426CC973}"/>
    <cellStyle name="Normal 2 2 2 2 2 29 5 2 9" xfId="13747" xr:uid="{B84E0F6C-FBCC-45F3-BF9F-631B3FE0D039}"/>
    <cellStyle name="Normal 2 2 2 2 2 29 5 3" xfId="13748" xr:uid="{86F65BFE-EC99-4EE8-9EA2-FEE913374827}"/>
    <cellStyle name="Normal 2 2 2 2 2 29 5 3 2" xfId="13749" xr:uid="{E7473075-9DA9-460B-AAE0-C14090A82E61}"/>
    <cellStyle name="Normal 2 2 2 2 2 29 5 3 2 2" xfId="13750" xr:uid="{16941319-B307-4621-8DA9-58E2210AEB3C}"/>
    <cellStyle name="Normal 2 2 2 2 2 29 5 3 2 3" xfId="13751" xr:uid="{825AC627-AD0F-473D-B7E5-A4E6D7375031}"/>
    <cellStyle name="Normal 2 2 2 2 2 29 5 3 2 4" xfId="13752" xr:uid="{C9B9780B-3020-4196-9B29-358C5B151ED3}"/>
    <cellStyle name="Normal 2 2 2 2 2 29 5 3 3" xfId="13753" xr:uid="{8112A96D-4C73-4D27-A478-73D8DF0C9529}"/>
    <cellStyle name="Normal 2 2 2 2 2 29 5 3 4" xfId="13754" xr:uid="{CCE436A9-1D35-4522-82B6-E7C663E77CDD}"/>
    <cellStyle name="Normal 2 2 2 2 2 29 5 3 5" xfId="13755" xr:uid="{DC2EB44B-13FA-4DDC-85D9-4F356B929C3A}"/>
    <cellStyle name="Normal 2 2 2 2 2 29 5 3 6" xfId="13756" xr:uid="{E17DAE0D-D2E6-4A2F-8153-A0FB412A95A5}"/>
    <cellStyle name="Normal 2 2 2 2 2 29 5 4" xfId="13757" xr:uid="{57512BBF-DFD6-40C5-8345-362A35734B58}"/>
    <cellStyle name="Normal 2 2 2 2 2 29 5 5" xfId="13758" xr:uid="{6AE18568-4329-4AA8-9D77-70C173566ECB}"/>
    <cellStyle name="Normal 2 2 2 2 2 29 5 6" xfId="13759" xr:uid="{C047F584-AC98-4275-88F8-E5BD6A9E514E}"/>
    <cellStyle name="Normal 2 2 2 2 2 29 5 7" xfId="13760" xr:uid="{060A6F66-5D90-4E08-89E1-411874604FD5}"/>
    <cellStyle name="Normal 2 2 2 2 2 29 5 8" xfId="13761" xr:uid="{948C818F-03B5-4D9B-BF6B-0E792F56DBAD}"/>
    <cellStyle name="Normal 2 2 2 2 2 29 5 8 2" xfId="13762" xr:uid="{74029A47-5320-4675-BB57-54B7672DC50B}"/>
    <cellStyle name="Normal 2 2 2 2 2 29 5 8 3" xfId="13763" xr:uid="{65CBEF5D-9C23-4BF0-9340-4E81161C8617}"/>
    <cellStyle name="Normal 2 2 2 2 2 29 5 8 4" xfId="13764" xr:uid="{1D7185E6-CA56-431B-8285-5BEA957A315B}"/>
    <cellStyle name="Normal 2 2 2 2 2 29 5 9" xfId="13765" xr:uid="{28CF57E7-F70F-4908-99D7-D59AF9E314A0}"/>
    <cellStyle name="Normal 2 2 2 2 2 29 6" xfId="13766" xr:uid="{F4DEADB9-426B-473B-8141-A2ADF00D6FD8}"/>
    <cellStyle name="Normal 2 2 2 2 2 29 7" xfId="13767" xr:uid="{9268E9C0-E15D-49F3-AB8D-2982361CE0F0}"/>
    <cellStyle name="Normal 2 2 2 2 2 29 7 2" xfId="13768" xr:uid="{85E495C3-67A2-4832-847E-9F5868316ADF}"/>
    <cellStyle name="Normal 2 2 2 2 2 29 7 2 2" xfId="13769" xr:uid="{06B978B1-D8C7-40E4-B1A9-9267464A7AD9}"/>
    <cellStyle name="Normal 2 2 2 2 2 29 7 2 3" xfId="13770" xr:uid="{B110DB4E-9BBA-43C5-94EE-D1748C6A5C60}"/>
    <cellStyle name="Normal 2 2 2 2 2 29 7 2 4" xfId="13771" xr:uid="{A481ADAD-B100-4AD2-B300-5F8765B96CAA}"/>
    <cellStyle name="Normal 2 2 2 2 2 29 7 3" xfId="13772" xr:uid="{66BAAC28-C06C-49BC-B903-A2AAEB56843B}"/>
    <cellStyle name="Normal 2 2 2 2 2 29 7 4" xfId="13773" xr:uid="{790764F5-7972-41E1-9C8B-F1F6C812E59F}"/>
    <cellStyle name="Normal 2 2 2 2 2 29 7 5" xfId="13774" xr:uid="{36745971-0600-452E-BDF2-C85BF3CC421A}"/>
    <cellStyle name="Normal 2 2 2 2 2 29 7 6" xfId="13775" xr:uid="{DD1F8090-5FC8-46C8-A091-9CDD0671E6AC}"/>
    <cellStyle name="Normal 2 2 2 2 2 29 8" xfId="13776" xr:uid="{8746567E-D782-492B-9C3B-28A1A5B4C33E}"/>
    <cellStyle name="Normal 2 2 2 2 2 29 9" xfId="13777" xr:uid="{D137463F-E7FF-483D-86C2-DEA61BF984FC}"/>
    <cellStyle name="Normal 2 2 2 2 2 3" xfId="13778" xr:uid="{3DAEAAA7-C4C2-42ED-9ADD-3F0A441845EB}"/>
    <cellStyle name="Normal 2 2 2 2 2 3 10" xfId="13779" xr:uid="{AC101432-4C8B-4AAC-8B60-2C027EE28062}"/>
    <cellStyle name="Normal 2 2 2 2 2 3 2" xfId="13780" xr:uid="{AEE08F27-528D-4F2F-BABB-B72A58E8F010}"/>
    <cellStyle name="Normal 2 2 2 2 2 3 2 2" xfId="13781" xr:uid="{AC2FE4B3-A6B1-4738-A249-B35593C0DC4D}"/>
    <cellStyle name="Normal 2 2 2 2 2 3 2 3" xfId="13782" xr:uid="{DC573F62-D1B7-4A9A-99E1-2CE8D611A344}"/>
    <cellStyle name="Normal 2 2 2 2 2 3 2 4" xfId="13783" xr:uid="{FA066AE3-70BA-46A0-A9DE-3C348140F046}"/>
    <cellStyle name="Normal 2 2 2 2 2 3 2 5" xfId="13784" xr:uid="{B9125A70-199C-4682-9ECC-1A50AA9A631A}"/>
    <cellStyle name="Normal 2 2 2 2 2 3 2 6" xfId="13785" xr:uid="{2445C6FB-2FA1-41AF-8FC6-87869B2EA5FF}"/>
    <cellStyle name="Normal 2 2 2 2 2 3 2 7" xfId="13786" xr:uid="{6EDD26F0-86F2-4929-A8C4-9CFDB9C08ABB}"/>
    <cellStyle name="Normal 2 2 2 2 2 3 2 8" xfId="13787" xr:uid="{96BE45A1-35EB-4E05-900D-129922A1F6D2}"/>
    <cellStyle name="Normal 2 2 2 2 2 3 2 9" xfId="13788" xr:uid="{B2AC1153-C54E-4EBE-8218-9A4D88BE647A}"/>
    <cellStyle name="Normal 2 2 2 2 2 3 3" xfId="13789" xr:uid="{D7AECF3F-3162-428D-85CA-CB845D876B74}"/>
    <cellStyle name="Normal 2 2 2 2 2 3 4" xfId="13790" xr:uid="{FD269646-E12D-4CB5-8BED-C5F57D544715}"/>
    <cellStyle name="Normal 2 2 2 2 2 3 5" xfId="13791" xr:uid="{0DA82D13-E5B6-40E4-A6C3-0A7BBA41BC16}"/>
    <cellStyle name="Normal 2 2 2 2 2 3 6" xfId="13792" xr:uid="{9FC9956D-3DB6-442D-A200-91B3FF244FAD}"/>
    <cellStyle name="Normal 2 2 2 2 2 3 7" xfId="13793" xr:uid="{39AB77DC-49EB-44E3-BE1F-AA23CD9EC51A}"/>
    <cellStyle name="Normal 2 2 2 2 2 3 8" xfId="13794" xr:uid="{721E41D0-0E0C-451F-B597-3E9ADABF306D}"/>
    <cellStyle name="Normal 2 2 2 2 2 3 9" xfId="13795" xr:uid="{4AAB976D-AF42-4980-85B0-CF6595BC1A4F}"/>
    <cellStyle name="Normal 2 2 2 2 2 30" xfId="13796" xr:uid="{5F488642-FEFC-4F63-9DD8-40CFEB065999}"/>
    <cellStyle name="Normal 2 2 2 2 2 31" xfId="13797" xr:uid="{40B879D8-6EAC-4A36-884D-340E579AA9DC}"/>
    <cellStyle name="Normal 2 2 2 2 2 32" xfId="13798" xr:uid="{25E543DB-9E75-4641-8D68-98B42DC45510}"/>
    <cellStyle name="Normal 2 2 2 2 2 33" xfId="13799" xr:uid="{C20A0E3C-F08C-4AF4-A41F-83DA0991AA0B}"/>
    <cellStyle name="Normal 2 2 2 2 2 34" xfId="13800" xr:uid="{F3E4227B-BB7E-430E-A1AB-AB72E7B5673C}"/>
    <cellStyle name="Normal 2 2 2 2 2 35" xfId="13801" xr:uid="{47652D30-A37E-4BE1-802C-76553A330E01}"/>
    <cellStyle name="Normal 2 2 2 2 2 36" xfId="13802" xr:uid="{92B96D7D-B042-49A8-BBFD-40D5DC3C1AFA}"/>
    <cellStyle name="Normal 2 2 2 2 2 37" xfId="13803" xr:uid="{51C31A40-3E76-4BD2-AB8E-71E959A509F0}"/>
    <cellStyle name="Normal 2 2 2 2 2 37 10" xfId="13804" xr:uid="{CDC4D0A6-1759-400E-856D-B9363931EB43}"/>
    <cellStyle name="Normal 2 2 2 2 2 37 11" xfId="13805" xr:uid="{E58891C3-4035-489B-8AEE-392B12113827}"/>
    <cellStyle name="Normal 2 2 2 2 2 37 11 2" xfId="13806" xr:uid="{0A2100B1-E90F-4B41-B743-56DED9AB0A40}"/>
    <cellStyle name="Normal 2 2 2 2 2 37 11 3" xfId="13807" xr:uid="{052E4484-411D-4DA3-B841-9EE89B9BE347}"/>
    <cellStyle name="Normal 2 2 2 2 2 37 11 4" xfId="13808" xr:uid="{7CE86737-E45E-43CE-B765-BC65B9E9A6BC}"/>
    <cellStyle name="Normal 2 2 2 2 2 37 12" xfId="13809" xr:uid="{227954EA-3E93-4462-B8E8-5FCC58DD0957}"/>
    <cellStyle name="Normal 2 2 2 2 2 37 13" xfId="13810" xr:uid="{6878BDB2-11EF-46BB-9FFB-8AB680B0E032}"/>
    <cellStyle name="Normal 2 2 2 2 2 37 14" xfId="13811" xr:uid="{462EE1E4-1E65-41D3-9F49-87250E72CC52}"/>
    <cellStyle name="Normal 2 2 2 2 2 37 2" xfId="13812" xr:uid="{E16C3D11-9950-4B5B-A9E4-F02CAAE6A457}"/>
    <cellStyle name="Normal 2 2 2 2 2 37 2 10" xfId="13813" xr:uid="{2EF5CD64-B4D2-4852-A381-928D84D60EA2}"/>
    <cellStyle name="Normal 2 2 2 2 2 37 2 11" xfId="13814" xr:uid="{67F3DE7A-F83D-4613-9B4A-E6980EDE5275}"/>
    <cellStyle name="Normal 2 2 2 2 2 37 2 2" xfId="13815" xr:uid="{43CA39E1-D1F7-44BD-8934-E3A57B45C50C}"/>
    <cellStyle name="Normal 2 2 2 2 2 37 2 2 10" xfId="13816" xr:uid="{55704F3C-4230-4554-B25A-0CE76E8E17E1}"/>
    <cellStyle name="Normal 2 2 2 2 2 37 2 2 11" xfId="13817" xr:uid="{95DC2D14-D906-40A5-AFFF-E694D6B16BCE}"/>
    <cellStyle name="Normal 2 2 2 2 2 37 2 2 2" xfId="13818" xr:uid="{A94BAB7B-8439-4BE3-9235-8A3F717ECD09}"/>
    <cellStyle name="Normal 2 2 2 2 2 37 2 2 2 2" xfId="13819" xr:uid="{B2A556F5-42AF-4AE2-8326-221A610BE89C}"/>
    <cellStyle name="Normal 2 2 2 2 2 37 2 2 2 2 2" xfId="13820" xr:uid="{400A074E-D013-4326-8EB2-E09400C046BE}"/>
    <cellStyle name="Normal 2 2 2 2 2 37 2 2 2 2 3" xfId="13821" xr:uid="{61B71C4A-C463-451A-B91F-9012E00C228E}"/>
    <cellStyle name="Normal 2 2 2 2 2 37 2 2 2 2 4" xfId="13822" xr:uid="{7380F2B7-DABA-4932-951A-CCF94097375F}"/>
    <cellStyle name="Normal 2 2 2 2 2 37 2 2 2 3" xfId="13823" xr:uid="{C9532915-4566-457C-AF52-AB78EB63C273}"/>
    <cellStyle name="Normal 2 2 2 2 2 37 2 2 2 4" xfId="13824" xr:uid="{1A9518F5-18DF-4510-907A-6E0324013B24}"/>
    <cellStyle name="Normal 2 2 2 2 2 37 2 2 2 5" xfId="13825" xr:uid="{CDAF2217-2906-41F8-BB3B-0964B2343214}"/>
    <cellStyle name="Normal 2 2 2 2 2 37 2 2 2 6" xfId="13826" xr:uid="{5B5EE233-3826-4132-90A6-9F1786569107}"/>
    <cellStyle name="Normal 2 2 2 2 2 37 2 2 3" xfId="13827" xr:uid="{AEA7E934-E4A5-4987-889F-7A5953925787}"/>
    <cellStyle name="Normal 2 2 2 2 2 37 2 2 4" xfId="13828" xr:uid="{3864856A-004D-495A-A68F-3C3485A87C03}"/>
    <cellStyle name="Normal 2 2 2 2 2 37 2 2 5" xfId="13829" xr:uid="{39EF0CF8-E0C2-45EA-A3C8-60E8CA8A45B6}"/>
    <cellStyle name="Normal 2 2 2 2 2 37 2 2 6" xfId="13830" xr:uid="{6958FE23-87A9-4460-9E3F-0E5B6C3E409C}"/>
    <cellStyle name="Normal 2 2 2 2 2 37 2 2 7" xfId="13831" xr:uid="{D2B43328-6729-43E2-9A51-06E2811DBB9E}"/>
    <cellStyle name="Normal 2 2 2 2 2 37 2 2 8" xfId="13832" xr:uid="{1EE8F89F-D0B0-408B-A63B-2B7EB48EC0F3}"/>
    <cellStyle name="Normal 2 2 2 2 2 37 2 2 8 2" xfId="13833" xr:uid="{137FAE3F-E1B6-4AC8-A214-C71AAC1FD129}"/>
    <cellStyle name="Normal 2 2 2 2 2 37 2 2 8 3" xfId="13834" xr:uid="{6590B76D-AC5D-45BE-863E-C5ADCEBC21AC}"/>
    <cellStyle name="Normal 2 2 2 2 2 37 2 2 8 4" xfId="13835" xr:uid="{BBFAF46E-E20E-4021-BD61-651904FD94D8}"/>
    <cellStyle name="Normal 2 2 2 2 2 37 2 2 9" xfId="13836" xr:uid="{D3347C13-57C2-45F9-857D-1F4A7738B77F}"/>
    <cellStyle name="Normal 2 2 2 2 2 37 2 3" xfId="13837" xr:uid="{5C216BF0-5617-406F-9627-DF7DBE4623E2}"/>
    <cellStyle name="Normal 2 2 2 2 2 37 2 3 2" xfId="13838" xr:uid="{D51ABB17-C1AD-4C3F-AA29-F4BEE227CC09}"/>
    <cellStyle name="Normal 2 2 2 2 2 37 2 3 2 2" xfId="13839" xr:uid="{78815354-8B5B-4A96-BEBB-9DB5651AEFF2}"/>
    <cellStyle name="Normal 2 2 2 2 2 37 2 3 2 3" xfId="13840" xr:uid="{79D4E82B-ACE7-4133-BF42-846785DA2105}"/>
    <cellStyle name="Normal 2 2 2 2 2 37 2 3 2 4" xfId="13841" xr:uid="{E7CD3440-FA76-4FB7-9D73-3EDE3C875927}"/>
    <cellStyle name="Normal 2 2 2 2 2 37 2 3 3" xfId="13842" xr:uid="{A0DAC72F-92CB-4553-A269-B165244156CB}"/>
    <cellStyle name="Normal 2 2 2 2 2 37 2 3 4" xfId="13843" xr:uid="{4D46C6DD-7595-49A6-BBDB-DF22F6B09983}"/>
    <cellStyle name="Normal 2 2 2 2 2 37 2 3 5" xfId="13844" xr:uid="{873003DC-6B85-4FAE-A789-C68B5EA4CACA}"/>
    <cellStyle name="Normal 2 2 2 2 2 37 2 3 6" xfId="13845" xr:uid="{7A943716-3BB4-4217-8D3D-15FD8C576A8A}"/>
    <cellStyle name="Normal 2 2 2 2 2 37 2 4" xfId="13846" xr:uid="{ECDB7A4B-8DA0-4B97-A1DF-6B9383314233}"/>
    <cellStyle name="Normal 2 2 2 2 2 37 2 5" xfId="13847" xr:uid="{F06F41B3-6C3D-4CEF-84C9-5A8DB49F0859}"/>
    <cellStyle name="Normal 2 2 2 2 2 37 2 6" xfId="13848" xr:uid="{B86FB70B-EC58-4E0B-83F7-77868CFD68DA}"/>
    <cellStyle name="Normal 2 2 2 2 2 37 2 7" xfId="13849" xr:uid="{83AA38DE-911D-484C-A04F-222A96F12FB9}"/>
    <cellStyle name="Normal 2 2 2 2 2 37 2 8" xfId="13850" xr:uid="{55FF37F7-6229-4F78-8719-EA7F738DFEDE}"/>
    <cellStyle name="Normal 2 2 2 2 2 37 2 8 2" xfId="13851" xr:uid="{2E0E526D-6733-4A2A-8035-8918FB338B61}"/>
    <cellStyle name="Normal 2 2 2 2 2 37 2 8 3" xfId="13852" xr:uid="{90DC7189-2D76-4A37-8B11-D161A9836BCA}"/>
    <cellStyle name="Normal 2 2 2 2 2 37 2 8 4" xfId="13853" xr:uid="{905461D5-8BE0-401B-8E8C-A10994D68932}"/>
    <cellStyle name="Normal 2 2 2 2 2 37 2 9" xfId="13854" xr:uid="{88AA2171-D61A-455B-BA89-189567B1BE56}"/>
    <cellStyle name="Normal 2 2 2 2 2 37 3" xfId="13855" xr:uid="{6F749A13-6F27-4BB7-9604-03F3207323D2}"/>
    <cellStyle name="Normal 2 2 2 2 2 37 4" xfId="13856" xr:uid="{CB0F2A14-98CE-41AB-A756-F91D33B01BFA}"/>
    <cellStyle name="Normal 2 2 2 2 2 37 5" xfId="13857" xr:uid="{6B288954-950B-44AE-A697-A0B13D2A04B5}"/>
    <cellStyle name="Normal 2 2 2 2 2 37 5 2" xfId="13858" xr:uid="{70ABA8DA-74CE-4267-9865-649FDC63BCE0}"/>
    <cellStyle name="Normal 2 2 2 2 2 37 5 2 2" xfId="13859" xr:uid="{96822536-ED6A-4B5C-A6C1-1C1121751A97}"/>
    <cellStyle name="Normal 2 2 2 2 2 37 5 2 3" xfId="13860" xr:uid="{A6F92D4D-012A-4918-9065-AC14E0A1B3C5}"/>
    <cellStyle name="Normal 2 2 2 2 2 37 5 2 4" xfId="13861" xr:uid="{B7F3DC07-4C99-45A9-8C73-3CC40C22CE38}"/>
    <cellStyle name="Normal 2 2 2 2 2 37 5 3" xfId="13862" xr:uid="{C331F0FB-34E3-494D-A870-6D8223CDEFC0}"/>
    <cellStyle name="Normal 2 2 2 2 2 37 5 4" xfId="13863" xr:uid="{C7AF76FA-D22A-4BAE-A3B6-194C1EABB959}"/>
    <cellStyle name="Normal 2 2 2 2 2 37 5 5" xfId="13864" xr:uid="{CE98659E-AE28-4E22-B593-C6036A29F988}"/>
    <cellStyle name="Normal 2 2 2 2 2 37 5 6" xfId="13865" xr:uid="{DFE6D066-84E8-46F3-A0BC-E93F615E7A87}"/>
    <cellStyle name="Normal 2 2 2 2 2 37 6" xfId="13866" xr:uid="{30D1A624-0AE6-4139-AFC4-5B627C13CE39}"/>
    <cellStyle name="Normal 2 2 2 2 2 37 7" xfId="13867" xr:uid="{926447B1-3993-4CC2-92D7-DAD71B1A5175}"/>
    <cellStyle name="Normal 2 2 2 2 2 37 8" xfId="13868" xr:uid="{85354069-0409-4169-90CB-6A0C7D94C243}"/>
    <cellStyle name="Normal 2 2 2 2 2 37 9" xfId="13869" xr:uid="{35E728C7-4B28-4E2C-A5E4-442AF0CB11DB}"/>
    <cellStyle name="Normal 2 2 2 2 2 38" xfId="13870" xr:uid="{E2F2127C-69CD-4067-8736-48E698FE481C}"/>
    <cellStyle name="Normal 2 2 2 2 2 39" xfId="13871" xr:uid="{15A956BC-FA44-4A08-BEF9-2B06C47A9407}"/>
    <cellStyle name="Normal 2 2 2 2 2 39 10" xfId="13872" xr:uid="{06BF7A3D-0382-45D3-9E2C-DBD32EF83479}"/>
    <cellStyle name="Normal 2 2 2 2 2 39 11" xfId="13873" xr:uid="{3911D390-D160-4CE3-80E2-522F13409E6E}"/>
    <cellStyle name="Normal 2 2 2 2 2 39 2" xfId="13874" xr:uid="{D65B4060-0173-4A57-BC54-A83213335935}"/>
    <cellStyle name="Normal 2 2 2 2 2 39 2 10" xfId="13875" xr:uid="{AFC1862A-F426-44B3-B07D-A228CB45CC94}"/>
    <cellStyle name="Normal 2 2 2 2 2 39 2 11" xfId="13876" xr:uid="{FFF9C9CE-0C4B-47CA-B5EF-C729880BD0F5}"/>
    <cellStyle name="Normal 2 2 2 2 2 39 2 2" xfId="13877" xr:uid="{FE0A6711-D789-4086-A01B-6A5C683ECDA1}"/>
    <cellStyle name="Normal 2 2 2 2 2 39 2 2 2" xfId="13878" xr:uid="{7E43D0D9-9311-4191-8946-B097D3A1E3A4}"/>
    <cellStyle name="Normal 2 2 2 2 2 39 2 2 2 2" xfId="13879" xr:uid="{90C14F6B-23F4-49AC-8FFC-47CEF9605AF3}"/>
    <cellStyle name="Normal 2 2 2 2 2 39 2 2 2 3" xfId="13880" xr:uid="{A1B3AEE0-2C7F-48C8-A77B-29D082C49D7F}"/>
    <cellStyle name="Normal 2 2 2 2 2 39 2 2 2 4" xfId="13881" xr:uid="{1C7556C9-A8C6-47F7-9A40-18656CA15646}"/>
    <cellStyle name="Normal 2 2 2 2 2 39 2 2 3" xfId="13882" xr:uid="{D65D4228-CE32-4B9B-B607-510D5AF71270}"/>
    <cellStyle name="Normal 2 2 2 2 2 39 2 2 4" xfId="13883" xr:uid="{72732A98-9465-4410-9B7A-238AAF94D297}"/>
    <cellStyle name="Normal 2 2 2 2 2 39 2 2 5" xfId="13884" xr:uid="{DAD0DE92-7102-4EF4-BB77-8EADB6C8B9F7}"/>
    <cellStyle name="Normal 2 2 2 2 2 39 2 2 6" xfId="13885" xr:uid="{1DEB73CC-795A-4F29-935C-02AB3B79F43E}"/>
    <cellStyle name="Normal 2 2 2 2 2 39 2 3" xfId="13886" xr:uid="{E36B3E6B-FE34-493A-972E-2062EF13CDF6}"/>
    <cellStyle name="Normal 2 2 2 2 2 39 2 4" xfId="13887" xr:uid="{36905ACD-30F5-4BDF-BF4C-E207A77E8628}"/>
    <cellStyle name="Normal 2 2 2 2 2 39 2 5" xfId="13888" xr:uid="{2DD80178-CC64-436B-AC41-51E8892DBECC}"/>
    <cellStyle name="Normal 2 2 2 2 2 39 2 6" xfId="13889" xr:uid="{51F63E75-DD95-47C1-ADA0-31476ECF5DAD}"/>
    <cellStyle name="Normal 2 2 2 2 2 39 2 7" xfId="13890" xr:uid="{B8649D9A-FF6B-4B7C-9F3C-AE391B8E2F08}"/>
    <cellStyle name="Normal 2 2 2 2 2 39 2 8" xfId="13891" xr:uid="{32B8EF60-7B24-4584-9765-292E7375C781}"/>
    <cellStyle name="Normal 2 2 2 2 2 39 2 8 2" xfId="13892" xr:uid="{169EE966-5977-40EB-ADD1-E48E143C30C3}"/>
    <cellStyle name="Normal 2 2 2 2 2 39 2 8 3" xfId="13893" xr:uid="{0ADF937F-9CEC-4DC5-9BCE-499CC14E4A40}"/>
    <cellStyle name="Normal 2 2 2 2 2 39 2 8 4" xfId="13894" xr:uid="{B0B10882-9D6C-4C2A-95D7-2FB9382BE796}"/>
    <cellStyle name="Normal 2 2 2 2 2 39 2 9" xfId="13895" xr:uid="{9606BA63-774E-4C2F-BDDF-373157E8C3FB}"/>
    <cellStyle name="Normal 2 2 2 2 2 39 3" xfId="13896" xr:uid="{328A7BDB-6FA7-46E3-85A8-8E40459E15B9}"/>
    <cellStyle name="Normal 2 2 2 2 2 39 3 2" xfId="13897" xr:uid="{F6D14342-F4EF-4F0B-BE76-40FF5C437EE1}"/>
    <cellStyle name="Normal 2 2 2 2 2 39 3 2 2" xfId="13898" xr:uid="{82D4EF1F-9387-4573-A319-23BC5A189B53}"/>
    <cellStyle name="Normal 2 2 2 2 2 39 3 2 3" xfId="13899" xr:uid="{F894788A-839D-4CDD-83C9-67F2AD980AA9}"/>
    <cellStyle name="Normal 2 2 2 2 2 39 3 2 4" xfId="13900" xr:uid="{00061FC9-1E70-4268-94BF-2D88D1031A47}"/>
    <cellStyle name="Normal 2 2 2 2 2 39 3 3" xfId="13901" xr:uid="{A7E363F7-AD22-4B1A-956D-504E255FFF89}"/>
    <cellStyle name="Normal 2 2 2 2 2 39 3 4" xfId="13902" xr:uid="{D03A29EA-87B1-421A-AC20-A2ED2E7436AD}"/>
    <cellStyle name="Normal 2 2 2 2 2 39 3 5" xfId="13903" xr:uid="{A80B616C-A57E-4E95-857A-C40FBE57AAA8}"/>
    <cellStyle name="Normal 2 2 2 2 2 39 3 6" xfId="13904" xr:uid="{ADDEFA09-A829-4CE9-80A7-9B9AD16BC756}"/>
    <cellStyle name="Normal 2 2 2 2 2 39 4" xfId="13905" xr:uid="{1E6C1CBF-C955-4062-8899-798779761974}"/>
    <cellStyle name="Normal 2 2 2 2 2 39 5" xfId="13906" xr:uid="{C748318D-9952-4E9B-8199-BDF2DAC66C86}"/>
    <cellStyle name="Normal 2 2 2 2 2 39 6" xfId="13907" xr:uid="{C4DFD0DB-7FB6-41DA-AFCD-73DF5233B236}"/>
    <cellStyle name="Normal 2 2 2 2 2 39 7" xfId="13908" xr:uid="{2C5883BD-7284-43DB-A392-E18737D4180F}"/>
    <cellStyle name="Normal 2 2 2 2 2 39 8" xfId="13909" xr:uid="{F9855723-095D-40C5-B24B-7DF02FCC6A4C}"/>
    <cellStyle name="Normal 2 2 2 2 2 39 8 2" xfId="13910" xr:uid="{69BDF57C-6ECA-4610-AC68-56B7268F7D38}"/>
    <cellStyle name="Normal 2 2 2 2 2 39 8 3" xfId="13911" xr:uid="{74328EC3-43B1-4153-AEAB-761D3732EAFB}"/>
    <cellStyle name="Normal 2 2 2 2 2 39 8 4" xfId="13912" xr:uid="{7D346370-FC45-4A03-891B-BE21E2ED0AE0}"/>
    <cellStyle name="Normal 2 2 2 2 2 39 9" xfId="13913" xr:uid="{76437980-7FBD-4D74-A0E1-4FEF5A2E6A48}"/>
    <cellStyle name="Normal 2 2 2 2 2 4" xfId="13914" xr:uid="{61886A8E-01DA-4D25-B85A-9018A2159517}"/>
    <cellStyle name="Normal 2 2 2 2 2 40" xfId="13915" xr:uid="{3F8AC745-BB45-4B4D-9538-1B5A1987EF95}"/>
    <cellStyle name="Normal 2 2 2 2 2 41" xfId="13916" xr:uid="{B3C8F8BB-7BF7-403F-9D6B-391DDB837D4E}"/>
    <cellStyle name="Normal 2 2 2 2 2 41 2" xfId="13917" xr:uid="{E7DC21AE-495D-4229-900D-74CEE292CA7A}"/>
    <cellStyle name="Normal 2 2 2 2 2 41 2 2" xfId="13918" xr:uid="{F2D0F2DA-89D1-467B-9A48-1E26B9C02785}"/>
    <cellStyle name="Normal 2 2 2 2 2 41 2 3" xfId="13919" xr:uid="{198E4A34-CD8F-4FBA-A753-7E29DE67D2F4}"/>
    <cellStyle name="Normal 2 2 2 2 2 41 2 4" xfId="13920" xr:uid="{64F4C45F-5578-42F4-B387-9F11D0A218DD}"/>
    <cellStyle name="Normal 2 2 2 2 2 41 3" xfId="13921" xr:uid="{D90934BB-66B0-4F6D-B96E-E6CE580F6312}"/>
    <cellStyle name="Normal 2 2 2 2 2 41 4" xfId="13922" xr:uid="{C5374EE1-0DA5-40BA-AFF3-3389433945C0}"/>
    <cellStyle name="Normal 2 2 2 2 2 41 5" xfId="13923" xr:uid="{506532CA-57A2-408E-A526-8429521DCCF6}"/>
    <cellStyle name="Normal 2 2 2 2 2 41 6" xfId="13924" xr:uid="{C0EBC111-3FAA-40EE-86D9-E664F67EFB81}"/>
    <cellStyle name="Normal 2 2 2 2 2 42" xfId="13925" xr:uid="{2A927C8D-1A98-41E0-B0E9-7FEA21F7B606}"/>
    <cellStyle name="Normal 2 2 2 2 2 43" xfId="13926" xr:uid="{4FDD969A-B943-4AF9-A1AD-9F2EFDF1B1EF}"/>
    <cellStyle name="Normal 2 2 2 2 2 44" xfId="13927" xr:uid="{1393E6A1-1BE0-412B-9BB2-3517652A5D36}"/>
    <cellStyle name="Normal 2 2 2 2 2 45" xfId="13928" xr:uid="{4971F6FE-C4D7-4637-8D55-76A619599F5B}"/>
    <cellStyle name="Normal 2 2 2 2 2 46" xfId="13929" xr:uid="{EF80D73A-07AD-419E-83FF-B43BF99EF181}"/>
    <cellStyle name="Normal 2 2 2 2 2 47" xfId="13930" xr:uid="{67D50649-A999-4A16-89B5-AC2DE61316E3}"/>
    <cellStyle name="Normal 2 2 2 2 2 47 2" xfId="13931" xr:uid="{3AEB1241-A6A3-47BB-BFC1-D7F87C615C37}"/>
    <cellStyle name="Normal 2 2 2 2 2 47 3" xfId="13932" xr:uid="{5FB27C3A-6049-4147-A2C4-C8AB5B17234C}"/>
    <cellStyle name="Normal 2 2 2 2 2 47 4" xfId="13933" xr:uid="{303B5EDC-65CD-4599-A6F3-42CE699DE492}"/>
    <cellStyle name="Normal 2 2 2 2 2 48" xfId="13934" xr:uid="{58994382-80CB-4FCE-8BE6-107E00C01D50}"/>
    <cellStyle name="Normal 2 2 2 2 2 49" xfId="13935" xr:uid="{48147239-EF6F-4383-A25C-BBB5501686C6}"/>
    <cellStyle name="Normal 2 2 2 2 2 5" xfId="13936" xr:uid="{B86AB8B4-6E76-44CB-BCDC-0813C8EE862C}"/>
    <cellStyle name="Normal 2 2 2 2 2 50" xfId="13937" xr:uid="{02E12A27-BC78-437A-BC51-1213DB4E18E0}"/>
    <cellStyle name="Normal 2 2 2 2 2 51" xfId="13938" xr:uid="{71EF0EDE-E5BD-4E71-A37D-D932223C19AA}"/>
    <cellStyle name="Normal 2 2 2 2 2 52" xfId="13939" xr:uid="{634A7B91-1FF9-4852-8E8E-0EACB19B2484}"/>
    <cellStyle name="Normal 2 2 2 2 2 53" xfId="13940" xr:uid="{7CEBDB9E-47EF-486B-8A66-B98152513279}"/>
    <cellStyle name="Normal 2 2 2 2 2 54" xfId="13941" xr:uid="{4831C821-F172-4EC1-BAD1-5CF0FF325DFB}"/>
    <cellStyle name="Normal 2 2 2 2 2 55" xfId="13942" xr:uid="{C2D7AE97-CAD4-4FD1-8CCA-CC6CD0C67232}"/>
    <cellStyle name="Normal 2 2 2 2 2 56" xfId="13943" xr:uid="{A1EA095F-99C9-410C-AEC4-F36167AD8F25}"/>
    <cellStyle name="Normal 2 2 2 2 2 57" xfId="13944" xr:uid="{A5F17EE5-9AC2-44B1-97F7-B48DC6CD87CE}"/>
    <cellStyle name="Normal 2 2 2 2 2 58" xfId="13945" xr:uid="{0192BD08-59D5-4746-BFE5-6E230C607140}"/>
    <cellStyle name="Normal 2 2 2 2 2 59" xfId="13946" xr:uid="{D28B6EDD-6C08-4BDB-9A0A-3D14E46F3EF3}"/>
    <cellStyle name="Normal 2 2 2 2 2 6" xfId="13947" xr:uid="{A7EDF794-D524-43F7-AABD-D8F441E5A9EE}"/>
    <cellStyle name="Normal 2 2 2 2 2 60" xfId="13948" xr:uid="{83D772B4-75EB-417C-A1D7-8B9543E97F6C}"/>
    <cellStyle name="Normal 2 2 2 2 2 61" xfId="13949" xr:uid="{F24FACAE-1CF2-44AE-B3B9-7718074A71EF}"/>
    <cellStyle name="Normal 2 2 2 2 2 62" xfId="13950" xr:uid="{B2399D6B-1DF4-4D59-B7E8-950B2E03507A}"/>
    <cellStyle name="Normal 2 2 2 2 2 62 2" xfId="13951" xr:uid="{134C2501-C72D-4CC2-B409-588DC8A79F37}"/>
    <cellStyle name="Normal 2 2 2 2 2 62 3" xfId="13952" xr:uid="{DA7C13AD-0380-4DA6-89F8-9C85B551631D}"/>
    <cellStyle name="Normal 2 2 2 2 2 62 4" xfId="13953" xr:uid="{0FA29D33-96A8-4578-8F5F-161D7A0B6097}"/>
    <cellStyle name="Normal 2 2 2 2 2 62 5" xfId="13954" xr:uid="{1C22F603-6D78-4F7F-BD35-D955578680C3}"/>
    <cellStyle name="Normal 2 2 2 2 2 62 6" xfId="13955" xr:uid="{DD25EC71-0F22-410B-9480-4F4CD063EA23}"/>
    <cellStyle name="Normal 2 2 2 2 2 62 7" xfId="13956" xr:uid="{458557E1-6001-4BE1-A80B-59393A719E58}"/>
    <cellStyle name="Normal 2 2 2 2 2 63" xfId="13957" xr:uid="{507A3AB5-DE97-4031-BCAE-36282D83433A}"/>
    <cellStyle name="Normal 2 2 2 2 2 64" xfId="13958" xr:uid="{DF084D1E-45D2-4CC0-9EB8-88E9FB1B1239}"/>
    <cellStyle name="Normal 2 2 2 2 2 65" xfId="13959" xr:uid="{11C69607-FA90-4C8E-BBF8-6336DF88983A}"/>
    <cellStyle name="Normal 2 2 2 2 2 66" xfId="13960" xr:uid="{D287BF77-69D8-4E6B-A19D-6575B0885E88}"/>
    <cellStyle name="Normal 2 2 2 2 2 67" xfId="13961" xr:uid="{B860F578-A548-4FD7-8FC0-E2CCF9D7E856}"/>
    <cellStyle name="Normal 2 2 2 2 2 68" xfId="13962" xr:uid="{81F8D364-1EDD-4837-B343-A61CDAA9DB99}"/>
    <cellStyle name="Normal 2 2 2 2 2 69" xfId="13963" xr:uid="{16EF5E70-AB6A-4449-A696-3AB1D7BDD580}"/>
    <cellStyle name="Normal 2 2 2 2 2 7" xfId="13964" xr:uid="{F8A02007-FA9A-45A4-BD05-38E0A49CF075}"/>
    <cellStyle name="Normal 2 2 2 2 2 70" xfId="13965" xr:uid="{22703A28-6CD9-40E9-9D9E-5C6F2BD87BDE}"/>
    <cellStyle name="Normal 2 2 2 2 2 71" xfId="13966" xr:uid="{3A169D8F-F054-4334-A5F2-E6DF0A887058}"/>
    <cellStyle name="Normal 2 2 2 2 2 72" xfId="13967" xr:uid="{98487F94-B83C-4738-9E1B-BDBA5C807FA6}"/>
    <cellStyle name="Normal 2 2 2 2 2 73" xfId="13968" xr:uid="{C18F5E2D-BD14-4375-A25F-1313902D56DA}"/>
    <cellStyle name="Normal 2 2 2 2 2 74" xfId="13969" xr:uid="{8EF670D3-A9C3-405D-9989-CD8065C88319}"/>
    <cellStyle name="Normal 2 2 2 2 2 75" xfId="13970" xr:uid="{D754352C-EF58-4EE3-8232-7A059812E268}"/>
    <cellStyle name="Normal 2 2 2 2 2 76" xfId="13971" xr:uid="{D670193C-8367-4052-8EDA-DC6ED8E5ACCF}"/>
    <cellStyle name="Normal 2 2 2 2 2 77" xfId="13972" xr:uid="{F78B6CD1-1CE1-4171-93CF-A62A874A7BB5}"/>
    <cellStyle name="Normal 2 2 2 2 2 78" xfId="13973" xr:uid="{817D7711-1CCE-4CD7-8EF8-C44FD254188D}"/>
    <cellStyle name="Normal 2 2 2 2 2 79" xfId="13974" xr:uid="{2438490F-FD42-46D4-A90E-C80046A5B7AB}"/>
    <cellStyle name="Normal 2 2 2 2 2 8" xfId="13975" xr:uid="{2C69C2C9-6D61-459C-9E5D-62B628C33C0B}"/>
    <cellStyle name="Normal 2 2 2 2 2 80" xfId="13976" xr:uid="{F8DAB670-3C80-48E4-A972-65CF25DC49C9}"/>
    <cellStyle name="Normal 2 2 2 2 2 81" xfId="13977" xr:uid="{64FD38F6-8535-493A-A15E-75253B3E4C38}"/>
    <cellStyle name="Normal 2 2 2 2 2 82" xfId="13978" xr:uid="{808D7DB3-8F87-4043-8932-E41C9DF3A809}"/>
    <cellStyle name="Normal 2 2 2 2 2 83" xfId="13979" xr:uid="{F23F29FF-4D6C-48ED-9F0D-6320A88B5B00}"/>
    <cellStyle name="Normal 2 2 2 2 2 84" xfId="13980" xr:uid="{4A74C361-1DFE-4FB0-8B6C-4E8223540C55}"/>
    <cellStyle name="Normal 2 2 2 2 2 85" xfId="13981" xr:uid="{EBC56739-A9D4-422D-BE9A-1342DC5505C3}"/>
    <cellStyle name="Normal 2 2 2 2 2 86" xfId="13982" xr:uid="{DA8DF47A-ECE2-44C0-84DA-235EABA2943D}"/>
    <cellStyle name="Normal 2 2 2 2 2 87" xfId="13983" xr:uid="{1C6DC4F1-D413-4B15-A71D-8F918DF6BACD}"/>
    <cellStyle name="Normal 2 2 2 2 2 88" xfId="13984" xr:uid="{CE9F5342-F3D1-4013-85F9-AF7D7DDCE1EA}"/>
    <cellStyle name="Normal 2 2 2 2 2 89" xfId="13985" xr:uid="{CCE72BEA-63A4-4DD8-9819-8BFF6ED9D6F1}"/>
    <cellStyle name="Normal 2 2 2 2 2 9" xfId="13986" xr:uid="{3AA64EAC-74B3-4B95-9DF5-D70A110EA022}"/>
    <cellStyle name="Normal 2 2 2 2 2 90" xfId="13987" xr:uid="{F3526CEB-0147-4C5E-BC13-18153A80BFD7}"/>
    <cellStyle name="Normal 2 2 2 2 2 91" xfId="13988" xr:uid="{964114C3-F72C-4FCA-A630-B2DC18355337}"/>
    <cellStyle name="Normal 2 2 2 2 2 92" xfId="13989" xr:uid="{FD4BDBBD-3A11-4D59-A740-414A8F46B18F}"/>
    <cellStyle name="Normal 2 2 2 2 2 93" xfId="13990" xr:uid="{D9F739A6-F8B2-4AEE-9FCC-3F01C4A2C329}"/>
    <cellStyle name="Normal 2 2 2 2 2 94" xfId="13991" xr:uid="{A5D112D9-D765-4377-A847-9B31A4551E19}"/>
    <cellStyle name="Normal 2 2 2 2 2 95" xfId="13992" xr:uid="{37867942-3C83-4A98-8CF7-7B600C9B16D9}"/>
    <cellStyle name="Normal 2 2 2 2 2 96" xfId="13993" xr:uid="{B6456435-DC30-40A4-89F3-DB5B7E21148C}"/>
    <cellStyle name="Normal 2 2 2 2 2 97" xfId="13994" xr:uid="{910097EC-35BC-42CF-817B-E4699F65AA81}"/>
    <cellStyle name="Normal 2 2 2 2 2 98" xfId="13995" xr:uid="{B6E712E0-CA90-4378-91A4-199FD3480970}"/>
    <cellStyle name="Normal 2 2 2 2 2 99" xfId="13996" xr:uid="{7C1C975C-3BA3-4664-8057-67D67DBED0D1}"/>
    <cellStyle name="Normal 2 2 2 2 20" xfId="13997" xr:uid="{391DA25E-5B7A-4106-8242-70519A0C9CF9}"/>
    <cellStyle name="Normal 2 2 2 2 20 2" xfId="13998" xr:uid="{B747B7DE-175D-45B0-83A7-38CE93A2AD9F}"/>
    <cellStyle name="Normal 2 2 2 2 21" xfId="13999" xr:uid="{9DD6857C-BC03-43AB-BA76-9982C771012D}"/>
    <cellStyle name="Normal 2 2 2 2 21 2" xfId="14000" xr:uid="{5D2279B7-99EA-467C-A3D9-041E9142C11C}"/>
    <cellStyle name="Normal 2 2 2 2 22" xfId="14001" xr:uid="{DA48401D-B992-4315-BEBD-2D513BB46009}"/>
    <cellStyle name="Normal 2 2 2 2 22 2" xfId="14002" xr:uid="{2AAE4041-E30C-46D1-AC15-A3F69F9F432E}"/>
    <cellStyle name="Normal 2 2 2 2 23" xfId="14003" xr:uid="{1D57CF3A-9131-45DF-8AA6-F1E532850300}"/>
    <cellStyle name="Normal 2 2 2 2 23 2" xfId="14004" xr:uid="{B0867FCD-C8DC-4104-9188-9E1EB8BB02DF}"/>
    <cellStyle name="Normal 2 2 2 2 24" xfId="14005" xr:uid="{8C7E2753-DAD6-4393-B8A3-783AF08BF2AC}"/>
    <cellStyle name="Normal 2 2 2 2 24 2" xfId="14006" xr:uid="{737F5770-170A-4163-971D-F485C3E966DE}"/>
    <cellStyle name="Normal 2 2 2 2 25" xfId="14007" xr:uid="{C00DA679-A7EA-45A8-86D1-50D151FAF62F}"/>
    <cellStyle name="Normal 2 2 2 2 25 2" xfId="14008" xr:uid="{215274AD-EE86-4732-B4CF-9127E7873FEC}"/>
    <cellStyle name="Normal 2 2 2 2 26" xfId="14009" xr:uid="{01DD3026-45B7-4813-89BC-D17E3CFF4838}"/>
    <cellStyle name="Normal 2 2 2 2 26 2" xfId="14010" xr:uid="{33912283-6B11-4532-8118-0B333F765378}"/>
    <cellStyle name="Normal 2 2 2 2 27" xfId="14011" xr:uid="{39D0753B-F1C0-4BC4-8344-A5A7ABCD004C}"/>
    <cellStyle name="Normal 2 2 2 2 27 2" xfId="14012" xr:uid="{02028528-A426-4E69-8CE9-3782772CA890}"/>
    <cellStyle name="Normal 2 2 2 2 28" xfId="14013" xr:uid="{BEF56A6B-00B0-41C6-A92F-58A99B355914}"/>
    <cellStyle name="Normal 2 2 2 2 28 2" xfId="14014" xr:uid="{3877B651-78AC-4F13-9AF4-3E78B90AD6F3}"/>
    <cellStyle name="Normal 2 2 2 2 28 2 2" xfId="14015" xr:uid="{CC6FCE4D-1F5B-4C56-B6C0-D88FF8EFA737}"/>
    <cellStyle name="Normal 2 2 2 2 28 2 2 2" xfId="14016" xr:uid="{64813F1E-CB82-4CA0-8FEB-9877FB5E1309}"/>
    <cellStyle name="Normal 2 2 2 2 28 2 3" xfId="14017" xr:uid="{53AF12BD-DE81-4EDF-AF26-56987795176A}"/>
    <cellStyle name="Normal 2 2 2 2 28 3" xfId="14018" xr:uid="{F013665D-0EA3-45E0-9906-073E76B80299}"/>
    <cellStyle name="Normal 2 2 2 2 28 4" xfId="14019" xr:uid="{E855846D-58FA-46A1-9DB9-C2F0E866B756}"/>
    <cellStyle name="Normal 2 2 2 2 28 5" xfId="14020" xr:uid="{6F916ED4-A536-466A-B8DD-73F000D94F90}"/>
    <cellStyle name="Normal 2 2 2 2 28 6" xfId="14021" xr:uid="{39207517-D5D4-4629-A08C-236C1AAE44A2}"/>
    <cellStyle name="Normal 2 2 2 2 28 7" xfId="14022" xr:uid="{C06C719B-4F69-41AA-9338-B63F93514BD7}"/>
    <cellStyle name="Normal 2 2 2 2 29" xfId="14023" xr:uid="{57C37510-1F58-4C5A-A32D-A384C79C532F}"/>
    <cellStyle name="Normal 2 2 2 2 29 2" xfId="14024" xr:uid="{7E29FC73-1580-41F2-B4C1-15B5F75CCA80}"/>
    <cellStyle name="Normal 2 2 2 2 29 2 2" xfId="14025" xr:uid="{C10C0F45-54AA-4F81-84B3-F001F5E0D0CF}"/>
    <cellStyle name="Normal 2 2 2 2 29 3" xfId="14026" xr:uid="{3726B35E-10D5-4C0C-A2F5-A5770B32F426}"/>
    <cellStyle name="Normal 2 2 2 2 3" xfId="14027" xr:uid="{6DD7ABBD-3C1C-4B76-856C-73D04BE1E32A}"/>
    <cellStyle name="Normal 2 2 2 2 3 2" xfId="14028" xr:uid="{12DDE794-D982-445A-868C-690B9D1B8E26}"/>
    <cellStyle name="Normal 2 2 2 2 30" xfId="14029" xr:uid="{668967C4-0D81-410C-ADE3-4B2D75DBE23A}"/>
    <cellStyle name="Normal 2 2 2 2 30 2" xfId="14030" xr:uid="{2453E5C0-D1AB-49A4-8A39-D29FCAF1E056}"/>
    <cellStyle name="Normal 2 2 2 2 31" xfId="14031" xr:uid="{83B911FA-3107-4472-B3CC-26D7E9B4BC02}"/>
    <cellStyle name="Normal 2 2 2 2 32" xfId="14032" xr:uid="{393DDB15-5988-497E-B1F3-401ED6F632D9}"/>
    <cellStyle name="Normal 2 2 2 2 33" xfId="14033" xr:uid="{F5F5224F-D487-4189-BB1A-7BCA491363D1}"/>
    <cellStyle name="Normal 2 2 2 2 34" xfId="14034" xr:uid="{1D30C5EE-D0F1-4237-8CA7-B28F37124785}"/>
    <cellStyle name="Normal 2 2 2 2 35" xfId="14035" xr:uid="{5607BB5F-AF6C-4E5F-853D-DA5B564D665C}"/>
    <cellStyle name="Normal 2 2 2 2 36" xfId="14036" xr:uid="{A7F3DCFF-8830-40F4-97F9-1E008584A129}"/>
    <cellStyle name="Normal 2 2 2 2 37" xfId="14037" xr:uid="{9F6087E0-67A0-410C-9FA3-0BE8A03BA369}"/>
    <cellStyle name="Normal 2 2 2 2 38" xfId="14038" xr:uid="{949BFFA9-5BDC-40F4-AB9D-5D13AE6F42FF}"/>
    <cellStyle name="Normal 2 2 2 2 38 10" xfId="14039" xr:uid="{3E04C392-E3FC-40AB-92FC-98845E632877}"/>
    <cellStyle name="Normal 2 2 2 2 38 11" xfId="14040" xr:uid="{6A1C3AD7-8A60-45A0-A43B-1FF0EB52A89C}"/>
    <cellStyle name="Normal 2 2 2 2 38 11 10" xfId="14041" xr:uid="{C231F317-5F44-4A3C-8CE2-CD73D2768CB0}"/>
    <cellStyle name="Normal 2 2 2 2 38 11 11" xfId="14042" xr:uid="{370BD8D4-915B-4ADA-B957-4DCD927F6A9D}"/>
    <cellStyle name="Normal 2 2 2 2 38 11 11 2" xfId="14043" xr:uid="{AED11B79-B5E3-45D0-AD01-1D00F900E396}"/>
    <cellStyle name="Normal 2 2 2 2 38 11 11 3" xfId="14044" xr:uid="{0B628508-9F51-4C13-AC02-94309CE1CBEA}"/>
    <cellStyle name="Normal 2 2 2 2 38 11 11 4" xfId="14045" xr:uid="{861E492B-A489-40EF-B234-1E39CDC07F74}"/>
    <cellStyle name="Normal 2 2 2 2 38 11 12" xfId="14046" xr:uid="{722AB936-518E-423E-8C0D-40A952318D68}"/>
    <cellStyle name="Normal 2 2 2 2 38 11 13" xfId="14047" xr:uid="{1F28940A-4E9B-4AF6-9ACE-CDADD9D4CBDD}"/>
    <cellStyle name="Normal 2 2 2 2 38 11 14" xfId="14048" xr:uid="{875E88D4-D0FA-403F-90E6-46266904D4A5}"/>
    <cellStyle name="Normal 2 2 2 2 38 11 2" xfId="14049" xr:uid="{3AA9F249-5E1C-4377-B59B-7E551E9D59DF}"/>
    <cellStyle name="Normal 2 2 2 2 38 11 2 10" xfId="14050" xr:uid="{3D2AB2F0-3080-4C21-BACE-DBA01DD81E5E}"/>
    <cellStyle name="Normal 2 2 2 2 38 11 2 11" xfId="14051" xr:uid="{960EEE15-A3CB-40BC-B6D2-EA8C57A441D7}"/>
    <cellStyle name="Normal 2 2 2 2 38 11 2 2" xfId="14052" xr:uid="{28A6DD0F-9710-4C73-B89C-8FCADA12C6ED}"/>
    <cellStyle name="Normal 2 2 2 2 38 11 2 2 10" xfId="14053" xr:uid="{013D2BDD-FBE7-467F-82A0-3FF21C099612}"/>
    <cellStyle name="Normal 2 2 2 2 38 11 2 2 11" xfId="14054" xr:uid="{6ECF6089-16A4-4B63-8A3A-8FE51528FFBC}"/>
    <cellStyle name="Normal 2 2 2 2 38 11 2 2 2" xfId="14055" xr:uid="{0F9F71A8-445C-4EA1-A863-5026F3F4C272}"/>
    <cellStyle name="Normal 2 2 2 2 38 11 2 2 2 2" xfId="14056" xr:uid="{BFBA478A-9C08-460D-B359-C9BD5A999548}"/>
    <cellStyle name="Normal 2 2 2 2 38 11 2 2 2 2 2" xfId="14057" xr:uid="{9546AE56-A712-419A-B9AB-136C1C792E81}"/>
    <cellStyle name="Normal 2 2 2 2 38 11 2 2 2 2 3" xfId="14058" xr:uid="{7503EEA0-F6AB-4997-A07D-430FAE287BBA}"/>
    <cellStyle name="Normal 2 2 2 2 38 11 2 2 2 2 4" xfId="14059" xr:uid="{9CDACC1F-28B3-4105-91C0-19373BD8DFF5}"/>
    <cellStyle name="Normal 2 2 2 2 38 11 2 2 2 3" xfId="14060" xr:uid="{5967B5FC-75B3-4593-BFD5-13F6FF4CF34D}"/>
    <cellStyle name="Normal 2 2 2 2 38 11 2 2 2 4" xfId="14061" xr:uid="{C8A871B9-3E60-44E5-BFE6-D6BEECBA3A55}"/>
    <cellStyle name="Normal 2 2 2 2 38 11 2 2 2 5" xfId="14062" xr:uid="{3CAEFB55-7A71-4981-AFAF-B2FAF14DDDAF}"/>
    <cellStyle name="Normal 2 2 2 2 38 11 2 2 2 6" xfId="14063" xr:uid="{50848061-9B6F-4243-9212-5B42C42C7612}"/>
    <cellStyle name="Normal 2 2 2 2 38 11 2 2 3" xfId="14064" xr:uid="{2378298F-8887-43FF-9EA8-630229F44A25}"/>
    <cellStyle name="Normal 2 2 2 2 38 11 2 2 4" xfId="14065" xr:uid="{7EDE4170-733B-4C50-967E-7FBBADB91618}"/>
    <cellStyle name="Normal 2 2 2 2 38 11 2 2 5" xfId="14066" xr:uid="{AD2D37B2-7491-4F50-B4A0-5D898871803A}"/>
    <cellStyle name="Normal 2 2 2 2 38 11 2 2 6" xfId="14067" xr:uid="{BD600C49-0495-4ED6-BB8B-20EF08D227A3}"/>
    <cellStyle name="Normal 2 2 2 2 38 11 2 2 7" xfId="14068" xr:uid="{0E00CB27-7B81-4F76-8FCD-243E17764E7A}"/>
    <cellStyle name="Normal 2 2 2 2 38 11 2 2 8" xfId="14069" xr:uid="{8057F3B9-A51E-47D4-A99B-B7F542DD9F85}"/>
    <cellStyle name="Normal 2 2 2 2 38 11 2 2 8 2" xfId="14070" xr:uid="{E8C43515-6312-4F45-B101-23CFD0CEBDC4}"/>
    <cellStyle name="Normal 2 2 2 2 38 11 2 2 8 3" xfId="14071" xr:uid="{1E398F47-6FC6-4344-B8EE-F307D7CBEDD2}"/>
    <cellStyle name="Normal 2 2 2 2 38 11 2 2 8 4" xfId="14072" xr:uid="{CF9A4659-E6BF-4376-AE01-1DA7903F5661}"/>
    <cellStyle name="Normal 2 2 2 2 38 11 2 2 9" xfId="14073" xr:uid="{F2A11C9F-061C-4AD1-8E93-23A529C262CB}"/>
    <cellStyle name="Normal 2 2 2 2 38 11 2 3" xfId="14074" xr:uid="{F2A6D865-B12B-41AA-A44A-4F971E9609B0}"/>
    <cellStyle name="Normal 2 2 2 2 38 11 2 3 2" xfId="14075" xr:uid="{587D7FCA-DD5A-4A3A-B019-0227D69442A1}"/>
    <cellStyle name="Normal 2 2 2 2 38 11 2 3 2 2" xfId="14076" xr:uid="{2CC71D53-97C9-4B6E-955D-9BAE147A9BD8}"/>
    <cellStyle name="Normal 2 2 2 2 38 11 2 3 2 3" xfId="14077" xr:uid="{6CAED8D5-5486-4F4C-A6FE-B24479BE0616}"/>
    <cellStyle name="Normal 2 2 2 2 38 11 2 3 2 4" xfId="14078" xr:uid="{A1E28220-F92B-4A7E-B1BD-FF88AC48BC88}"/>
    <cellStyle name="Normal 2 2 2 2 38 11 2 3 3" xfId="14079" xr:uid="{9DD1B806-74BE-4AD3-8840-259B8F99A2A9}"/>
    <cellStyle name="Normal 2 2 2 2 38 11 2 3 4" xfId="14080" xr:uid="{8321B269-8E03-495E-A9C9-F8521841CA4F}"/>
    <cellStyle name="Normal 2 2 2 2 38 11 2 3 5" xfId="14081" xr:uid="{0C71376A-B7D8-484D-81D8-3F69E4113D67}"/>
    <cellStyle name="Normal 2 2 2 2 38 11 2 3 6" xfId="14082" xr:uid="{9E5EFF5D-0F66-4088-841D-5841E77A0A7D}"/>
    <cellStyle name="Normal 2 2 2 2 38 11 2 4" xfId="14083" xr:uid="{CB1468F3-665D-4B32-916D-F87CDB73F3B6}"/>
    <cellStyle name="Normal 2 2 2 2 38 11 2 5" xfId="14084" xr:uid="{AC2B7A2A-4240-4E4D-A259-5AE93A8AA97C}"/>
    <cellStyle name="Normal 2 2 2 2 38 11 2 6" xfId="14085" xr:uid="{1B815A17-2DFC-4C0A-B167-53D750D00329}"/>
    <cellStyle name="Normal 2 2 2 2 38 11 2 7" xfId="14086" xr:uid="{0CC862F7-CCF2-4E29-8C75-4AD3C5F9E28D}"/>
    <cellStyle name="Normal 2 2 2 2 38 11 2 8" xfId="14087" xr:uid="{6AA082CB-9A43-41AF-AAC8-B0B791D0B4A7}"/>
    <cellStyle name="Normal 2 2 2 2 38 11 2 8 2" xfId="14088" xr:uid="{A59B551F-6E92-4FB9-A6A1-59524B931957}"/>
    <cellStyle name="Normal 2 2 2 2 38 11 2 8 3" xfId="14089" xr:uid="{AF1BBA86-34BE-4920-97BF-7094FFE1DD49}"/>
    <cellStyle name="Normal 2 2 2 2 38 11 2 8 4" xfId="14090" xr:uid="{D7BE3A5C-B79C-461B-981E-5F2B81AED501}"/>
    <cellStyle name="Normal 2 2 2 2 38 11 2 9" xfId="14091" xr:uid="{0395863F-1694-4E0B-9F75-46743CB3F3B8}"/>
    <cellStyle name="Normal 2 2 2 2 38 11 3" xfId="14092" xr:uid="{55161333-7961-49E1-AFE8-ED3F76B8460B}"/>
    <cellStyle name="Normal 2 2 2 2 38 11 4" xfId="14093" xr:uid="{54601FBD-3DBF-409E-BDE0-F5EA28BE27BD}"/>
    <cellStyle name="Normal 2 2 2 2 38 11 5" xfId="14094" xr:uid="{B48DBCB5-CCB8-4DC9-B4C7-6ABF8F3C18D5}"/>
    <cellStyle name="Normal 2 2 2 2 38 11 5 2" xfId="14095" xr:uid="{1DC0A8F1-AEEA-47A3-AF74-7EF4D55F5753}"/>
    <cellStyle name="Normal 2 2 2 2 38 11 5 2 2" xfId="14096" xr:uid="{EDCE30E1-FB6A-4C5A-89A9-D9CE876EC1E9}"/>
    <cellStyle name="Normal 2 2 2 2 38 11 5 2 3" xfId="14097" xr:uid="{A91A84C1-1E1E-4F36-A322-E5800C86648F}"/>
    <cellStyle name="Normal 2 2 2 2 38 11 5 2 4" xfId="14098" xr:uid="{571990E4-48FA-4453-BFDE-33EB2AADA5BC}"/>
    <cellStyle name="Normal 2 2 2 2 38 11 5 3" xfId="14099" xr:uid="{9CFA31A4-D634-410C-96A5-9D7B2D26DCED}"/>
    <cellStyle name="Normal 2 2 2 2 38 11 5 4" xfId="14100" xr:uid="{89822453-DB5E-4272-9B79-155AA23A9C2B}"/>
    <cellStyle name="Normal 2 2 2 2 38 11 5 5" xfId="14101" xr:uid="{2052B336-6965-4FBA-95E5-8A70152E8D54}"/>
    <cellStyle name="Normal 2 2 2 2 38 11 5 6" xfId="14102" xr:uid="{7B1C0322-5EB2-4B57-BE56-066AC92CD109}"/>
    <cellStyle name="Normal 2 2 2 2 38 11 6" xfId="14103" xr:uid="{AE24792B-4ADC-4EBE-B6AB-AA853069FCC5}"/>
    <cellStyle name="Normal 2 2 2 2 38 11 7" xfId="14104" xr:uid="{5B9FE4C2-0DD6-47A1-98E0-C350416EC75A}"/>
    <cellStyle name="Normal 2 2 2 2 38 11 8" xfId="14105" xr:uid="{DEB60957-525B-4564-B3DC-71EF73283333}"/>
    <cellStyle name="Normal 2 2 2 2 38 11 9" xfId="14106" xr:uid="{9883E11A-2872-4A71-8175-11B2CDA9D3E2}"/>
    <cellStyle name="Normal 2 2 2 2 38 12" xfId="14107" xr:uid="{F8FDA808-2DA3-4442-A829-351997632C87}"/>
    <cellStyle name="Normal 2 2 2 2 38 13" xfId="14108" xr:uid="{BAD69BEE-12B6-431C-88BF-CC174A47523C}"/>
    <cellStyle name="Normal 2 2 2 2 38 13 10" xfId="14109" xr:uid="{2303BC9C-BB6D-4573-9BDB-678F31185F40}"/>
    <cellStyle name="Normal 2 2 2 2 38 13 11" xfId="14110" xr:uid="{47FFA420-81A2-43A0-95D3-2EBDB1FFFD30}"/>
    <cellStyle name="Normal 2 2 2 2 38 13 2" xfId="14111" xr:uid="{CCDF5697-BE0D-405C-9A28-4CC30F4AF179}"/>
    <cellStyle name="Normal 2 2 2 2 38 13 2 10" xfId="14112" xr:uid="{912C6123-98CA-4C81-9BAD-D814975BD4FC}"/>
    <cellStyle name="Normal 2 2 2 2 38 13 2 11" xfId="14113" xr:uid="{C749AE5C-10E4-4410-814F-30CF92B97D1D}"/>
    <cellStyle name="Normal 2 2 2 2 38 13 2 2" xfId="14114" xr:uid="{F2DF9E51-1D76-4193-B4F7-92E30F335C4E}"/>
    <cellStyle name="Normal 2 2 2 2 38 13 2 2 2" xfId="14115" xr:uid="{ECF86E9A-B42C-47D2-B09C-E09A624165A6}"/>
    <cellStyle name="Normal 2 2 2 2 38 13 2 2 2 2" xfId="14116" xr:uid="{149B730E-D897-4690-AD1B-030B658A7BBC}"/>
    <cellStyle name="Normal 2 2 2 2 38 13 2 2 2 3" xfId="14117" xr:uid="{2C08AA41-476D-4A59-8C17-AC2479FD6D5C}"/>
    <cellStyle name="Normal 2 2 2 2 38 13 2 2 2 4" xfId="14118" xr:uid="{D538EF39-ED2B-4ED3-AA9A-708EB4F9E594}"/>
    <cellStyle name="Normal 2 2 2 2 38 13 2 2 3" xfId="14119" xr:uid="{EC6A4E1A-F84D-436A-8AC9-C9002583B3F9}"/>
    <cellStyle name="Normal 2 2 2 2 38 13 2 2 4" xfId="14120" xr:uid="{7DB3B253-1EA9-4CE6-A128-EA1E3768CF9D}"/>
    <cellStyle name="Normal 2 2 2 2 38 13 2 2 5" xfId="14121" xr:uid="{F8B61A1E-EE7F-4F1A-A210-5D0DBB273B11}"/>
    <cellStyle name="Normal 2 2 2 2 38 13 2 2 6" xfId="14122" xr:uid="{9D3FAE97-38C1-4573-B8A7-6976EDB71FFB}"/>
    <cellStyle name="Normal 2 2 2 2 38 13 2 3" xfId="14123" xr:uid="{EAA0A41F-E913-4303-8754-66E14D98646A}"/>
    <cellStyle name="Normal 2 2 2 2 38 13 2 4" xfId="14124" xr:uid="{E711A90C-CDD9-4906-9B04-EFA6DC6977A4}"/>
    <cellStyle name="Normal 2 2 2 2 38 13 2 5" xfId="14125" xr:uid="{76B4FABC-75AF-4B04-8BF9-A7AEF71D4F80}"/>
    <cellStyle name="Normal 2 2 2 2 38 13 2 6" xfId="14126" xr:uid="{30E57C1A-532F-479F-AE2C-59AE5D0B6195}"/>
    <cellStyle name="Normal 2 2 2 2 38 13 2 7" xfId="14127" xr:uid="{C45F0250-421E-454B-85AD-2240FE1AAA92}"/>
    <cellStyle name="Normal 2 2 2 2 38 13 2 8" xfId="14128" xr:uid="{6D12852F-B798-4D67-AF24-2CF54E902D6E}"/>
    <cellStyle name="Normal 2 2 2 2 38 13 2 8 2" xfId="14129" xr:uid="{0F53D3E3-8D37-4FED-B7DF-FD0C762A5FD9}"/>
    <cellStyle name="Normal 2 2 2 2 38 13 2 8 3" xfId="14130" xr:uid="{BA8B98D8-4203-40C4-BC27-456CA2AB3C7D}"/>
    <cellStyle name="Normal 2 2 2 2 38 13 2 8 4" xfId="14131" xr:uid="{7D1F8E87-0AD8-4415-9854-6A8797DD6690}"/>
    <cellStyle name="Normal 2 2 2 2 38 13 2 9" xfId="14132" xr:uid="{9E22982B-140C-4C7E-8284-EF652B3DB2DB}"/>
    <cellStyle name="Normal 2 2 2 2 38 13 3" xfId="14133" xr:uid="{C8566655-E6CA-4157-9ED0-9B0E32F5D58A}"/>
    <cellStyle name="Normal 2 2 2 2 38 13 3 2" xfId="14134" xr:uid="{C64B06ED-1F83-4B71-B599-65E62BEF711B}"/>
    <cellStyle name="Normal 2 2 2 2 38 13 3 2 2" xfId="14135" xr:uid="{FDF670D5-8D0A-4F3F-9B06-D360F5F61C08}"/>
    <cellStyle name="Normal 2 2 2 2 38 13 3 2 3" xfId="14136" xr:uid="{B7B1F1A7-AEC0-4BC0-BFED-B3094920AD1A}"/>
    <cellStyle name="Normal 2 2 2 2 38 13 3 2 4" xfId="14137" xr:uid="{DF2F46B2-7AB4-41F6-8B7C-980431941CA6}"/>
    <cellStyle name="Normal 2 2 2 2 38 13 3 3" xfId="14138" xr:uid="{0DEBF4B7-8F00-45A5-854F-0ADEED0218FE}"/>
    <cellStyle name="Normal 2 2 2 2 38 13 3 4" xfId="14139" xr:uid="{41B48010-5D94-4FB7-AEEC-35A46AD480D5}"/>
    <cellStyle name="Normal 2 2 2 2 38 13 3 5" xfId="14140" xr:uid="{8B9683D1-BCD0-4B58-9E68-A5A757732ECA}"/>
    <cellStyle name="Normal 2 2 2 2 38 13 3 6" xfId="14141" xr:uid="{CF1D1F9F-0237-43C2-85A8-8CC6A7425DFC}"/>
    <cellStyle name="Normal 2 2 2 2 38 13 4" xfId="14142" xr:uid="{A40DBEB6-F59D-4514-9954-6240DEA2DE3A}"/>
    <cellStyle name="Normal 2 2 2 2 38 13 5" xfId="14143" xr:uid="{BDBAF0B4-CCAF-46EC-ACB9-DD0237502364}"/>
    <cellStyle name="Normal 2 2 2 2 38 13 6" xfId="14144" xr:uid="{E7AC45C1-A026-4717-9225-B54EAC07A4C8}"/>
    <cellStyle name="Normal 2 2 2 2 38 13 7" xfId="14145" xr:uid="{6CC832B0-5909-4451-AB47-CABDF27B096F}"/>
    <cellStyle name="Normal 2 2 2 2 38 13 8" xfId="14146" xr:uid="{2F5C57BC-AE87-48B0-9E53-B871B5848647}"/>
    <cellStyle name="Normal 2 2 2 2 38 13 8 2" xfId="14147" xr:uid="{624A1640-B303-4A65-9369-B55D8A77F45C}"/>
    <cellStyle name="Normal 2 2 2 2 38 13 8 3" xfId="14148" xr:uid="{1E5D07A1-8911-4CC3-951D-5E7F6F6BDF0C}"/>
    <cellStyle name="Normal 2 2 2 2 38 13 8 4" xfId="14149" xr:uid="{E159C6E7-B3F6-47F1-ACC9-974E5152FE75}"/>
    <cellStyle name="Normal 2 2 2 2 38 13 9" xfId="14150" xr:uid="{73AC6C8C-C6B8-46C0-815E-8C41F42006A3}"/>
    <cellStyle name="Normal 2 2 2 2 38 14" xfId="14151" xr:uid="{513FFD0B-BEBA-4916-8E48-2B6A0839666D}"/>
    <cellStyle name="Normal 2 2 2 2 38 15" xfId="14152" xr:uid="{781D0164-D4D5-4182-8B55-3DAF1943C1F8}"/>
    <cellStyle name="Normal 2 2 2 2 38 15 2" xfId="14153" xr:uid="{5534A770-4045-421A-B4B8-D9DF83912DC8}"/>
    <cellStyle name="Normal 2 2 2 2 38 15 2 2" xfId="14154" xr:uid="{49B30F68-69B5-49E9-8605-466B10615ED5}"/>
    <cellStyle name="Normal 2 2 2 2 38 15 2 3" xfId="14155" xr:uid="{BD2606B8-64EC-44C6-8104-FC6AA0326C4F}"/>
    <cellStyle name="Normal 2 2 2 2 38 15 2 4" xfId="14156" xr:uid="{668A20C0-92E2-4093-86DA-B9D5F1C417C3}"/>
    <cellStyle name="Normal 2 2 2 2 38 15 3" xfId="14157" xr:uid="{DCB05E61-199B-4636-A724-47A55795B7A0}"/>
    <cellStyle name="Normal 2 2 2 2 38 15 4" xfId="14158" xr:uid="{DE78A81A-DF9E-4B2A-97FA-B591EE9E2572}"/>
    <cellStyle name="Normal 2 2 2 2 38 15 5" xfId="14159" xr:uid="{A382D1F1-5A5D-4338-AAD0-BE748FFDDE3C}"/>
    <cellStyle name="Normal 2 2 2 2 38 15 6" xfId="14160" xr:uid="{19EA7465-E4B1-486A-AA15-CEB6C5E23083}"/>
    <cellStyle name="Normal 2 2 2 2 38 16" xfId="14161" xr:uid="{9EA0071E-59BA-43D2-960F-97B0093C6EB3}"/>
    <cellStyle name="Normal 2 2 2 2 38 17" xfId="14162" xr:uid="{978F7313-4C25-4E4A-97A8-263A406523C3}"/>
    <cellStyle name="Normal 2 2 2 2 38 18" xfId="14163" xr:uid="{72ED1376-6EB2-4D4E-B79D-E800A8D67CF7}"/>
    <cellStyle name="Normal 2 2 2 2 38 19" xfId="14164" xr:uid="{3C192A85-335A-4294-A784-FF69B5FC784E}"/>
    <cellStyle name="Normal 2 2 2 2 38 2" xfId="14165" xr:uid="{177E09A5-DC6D-4620-9BC7-B5B3FF0597F1}"/>
    <cellStyle name="Normal 2 2 2 2 38 2 10" xfId="14166" xr:uid="{7F7E90C8-30E6-4CB1-BE11-AC727BC33D86}"/>
    <cellStyle name="Normal 2 2 2 2 38 2 11" xfId="14167" xr:uid="{333684F3-76CD-4BEB-AFFE-DFE075D239AF}"/>
    <cellStyle name="Normal 2 2 2 2 38 2 12" xfId="14168" xr:uid="{F90535CF-F454-4CAC-85C2-721AB7F379AF}"/>
    <cellStyle name="Normal 2 2 2 2 38 2 13" xfId="14169" xr:uid="{F710CE10-56A7-4E46-A538-A832F1527A3D}"/>
    <cellStyle name="Normal 2 2 2 2 38 2 13 2" xfId="14170" xr:uid="{41548414-C4E1-41F2-A5A4-EFB38B268D37}"/>
    <cellStyle name="Normal 2 2 2 2 38 2 13 3" xfId="14171" xr:uid="{F9E70229-4476-4A52-91C7-1B5DB9F37D18}"/>
    <cellStyle name="Normal 2 2 2 2 38 2 13 4" xfId="14172" xr:uid="{6ADABE52-BD1C-4721-85E6-89DC54669446}"/>
    <cellStyle name="Normal 2 2 2 2 38 2 14" xfId="14173" xr:uid="{CA3CF91B-1AA1-4938-BB8C-E1F89DF3B893}"/>
    <cellStyle name="Normal 2 2 2 2 38 2 15" xfId="14174" xr:uid="{82AEF64D-E567-4931-A57A-4B2DCBEE5114}"/>
    <cellStyle name="Normal 2 2 2 2 38 2 16" xfId="14175" xr:uid="{5A29B67F-57B8-499C-A094-29DD5027FFB8}"/>
    <cellStyle name="Normal 2 2 2 2 38 2 2" xfId="14176" xr:uid="{50A8DCBE-389E-497E-B700-638CF22C1BB6}"/>
    <cellStyle name="Normal 2 2 2 2 38 2 2 10" xfId="14177" xr:uid="{22CB1EC4-7FD5-4429-9669-4977BE9F4CDD}"/>
    <cellStyle name="Normal 2 2 2 2 38 2 2 11" xfId="14178" xr:uid="{01E7673B-2E07-4740-BF2B-FF7E81746075}"/>
    <cellStyle name="Normal 2 2 2 2 38 2 2 11 2" xfId="14179" xr:uid="{8A006113-15D3-4B23-9BF3-34098BCE8FE5}"/>
    <cellStyle name="Normal 2 2 2 2 38 2 2 11 3" xfId="14180" xr:uid="{B785A5A0-75B9-4B84-9945-8FF4F86FAE2A}"/>
    <cellStyle name="Normal 2 2 2 2 38 2 2 11 4" xfId="14181" xr:uid="{637BD7B7-F6CA-4A10-928E-90FE80AC3BA7}"/>
    <cellStyle name="Normal 2 2 2 2 38 2 2 12" xfId="14182" xr:uid="{30E10D87-D8A4-4E0D-BA17-2BEFB4266BB0}"/>
    <cellStyle name="Normal 2 2 2 2 38 2 2 13" xfId="14183" xr:uid="{874D63D6-D549-4A7C-90D8-A5830202E900}"/>
    <cellStyle name="Normal 2 2 2 2 38 2 2 14" xfId="14184" xr:uid="{2C6F9626-C113-4DCD-A071-5CDE1B46182A}"/>
    <cellStyle name="Normal 2 2 2 2 38 2 2 2" xfId="14185" xr:uid="{0C855829-8D6A-4073-95CF-EFB6C9D42C01}"/>
    <cellStyle name="Normal 2 2 2 2 38 2 2 2 10" xfId="14186" xr:uid="{6CB5E9E9-EA8D-4711-928B-D377C9AF53A8}"/>
    <cellStyle name="Normal 2 2 2 2 38 2 2 2 11" xfId="14187" xr:uid="{AA0C6F0B-6377-4243-8F44-91CBAA62E13B}"/>
    <cellStyle name="Normal 2 2 2 2 38 2 2 2 2" xfId="14188" xr:uid="{C7D98FB1-5F8F-4299-8349-D581262C58A9}"/>
    <cellStyle name="Normal 2 2 2 2 38 2 2 2 2 10" xfId="14189" xr:uid="{F156A04E-0AB6-4D54-9D34-06E160E5D7A8}"/>
    <cellStyle name="Normal 2 2 2 2 38 2 2 2 2 11" xfId="14190" xr:uid="{C8E0E488-5259-4B23-A83E-B0B44E1BA769}"/>
    <cellStyle name="Normal 2 2 2 2 38 2 2 2 2 2" xfId="14191" xr:uid="{6403411D-71A1-47D3-A2F4-B3D204E9A313}"/>
    <cellStyle name="Normal 2 2 2 2 38 2 2 2 2 2 2" xfId="14192" xr:uid="{31263218-5094-4DC9-B26F-814B29D6180C}"/>
    <cellStyle name="Normal 2 2 2 2 38 2 2 2 2 2 2 2" xfId="14193" xr:uid="{7464451B-9BCC-4ADF-A934-5D94A94C7DA7}"/>
    <cellStyle name="Normal 2 2 2 2 38 2 2 2 2 2 2 3" xfId="14194" xr:uid="{7FCBA288-2269-45ED-9FF8-6EED735AF929}"/>
    <cellStyle name="Normal 2 2 2 2 38 2 2 2 2 2 2 4" xfId="14195" xr:uid="{40B841F4-A3CD-4B79-A1F1-B57271AEFEC0}"/>
    <cellStyle name="Normal 2 2 2 2 38 2 2 2 2 2 3" xfId="14196" xr:uid="{02B3E9F7-A533-4836-B6EC-929AFFD3EB70}"/>
    <cellStyle name="Normal 2 2 2 2 38 2 2 2 2 2 4" xfId="14197" xr:uid="{E5D5F5AC-5B06-47C5-B1BC-992F6FB0B082}"/>
    <cellStyle name="Normal 2 2 2 2 38 2 2 2 2 2 5" xfId="14198" xr:uid="{14E0D2CA-B767-495A-92A5-80548026E61C}"/>
    <cellStyle name="Normal 2 2 2 2 38 2 2 2 2 2 6" xfId="14199" xr:uid="{AA493AC5-F377-40E5-AE55-7AAED56FA503}"/>
    <cellStyle name="Normal 2 2 2 2 38 2 2 2 2 3" xfId="14200" xr:uid="{31F6FF67-51E2-4A8D-943F-795FA6A1DA55}"/>
    <cellStyle name="Normal 2 2 2 2 38 2 2 2 2 4" xfId="14201" xr:uid="{B2ABF0EA-B42D-4393-A01F-F0720331AA08}"/>
    <cellStyle name="Normal 2 2 2 2 38 2 2 2 2 5" xfId="14202" xr:uid="{E922B5B5-205F-4C15-8ABB-2A5AE7361E0F}"/>
    <cellStyle name="Normal 2 2 2 2 38 2 2 2 2 6" xfId="14203" xr:uid="{EF15E487-4AD5-4B30-9EE3-4F1E96F027F4}"/>
    <cellStyle name="Normal 2 2 2 2 38 2 2 2 2 7" xfId="14204" xr:uid="{BDF58412-E241-4578-BFE1-59E390D0B9D1}"/>
    <cellStyle name="Normal 2 2 2 2 38 2 2 2 2 8" xfId="14205" xr:uid="{F7FFA588-BBC6-475C-B432-32192172CE76}"/>
    <cellStyle name="Normal 2 2 2 2 38 2 2 2 2 8 2" xfId="14206" xr:uid="{387E3861-AD10-4793-9E69-2F999842C851}"/>
    <cellStyle name="Normal 2 2 2 2 38 2 2 2 2 8 3" xfId="14207" xr:uid="{4AC8AB14-A563-4B29-939E-29901EBBB632}"/>
    <cellStyle name="Normal 2 2 2 2 38 2 2 2 2 8 4" xfId="14208" xr:uid="{28B1BF8D-0C76-4838-8A8D-19F4899E5661}"/>
    <cellStyle name="Normal 2 2 2 2 38 2 2 2 2 9" xfId="14209" xr:uid="{457A9EDA-991B-4DA2-A7D5-763DB72C8265}"/>
    <cellStyle name="Normal 2 2 2 2 38 2 2 2 3" xfId="14210" xr:uid="{943F74EF-FB15-4163-A175-FEF426B2A5F2}"/>
    <cellStyle name="Normal 2 2 2 2 38 2 2 2 3 2" xfId="14211" xr:uid="{5BF653AB-F820-454A-9DCE-A575306503D1}"/>
    <cellStyle name="Normal 2 2 2 2 38 2 2 2 3 2 2" xfId="14212" xr:uid="{52F386AD-DC74-44A2-B132-88DAFC5FAF3E}"/>
    <cellStyle name="Normal 2 2 2 2 38 2 2 2 3 2 3" xfId="14213" xr:uid="{F47172AF-A232-4499-8D0B-FE324670FD03}"/>
    <cellStyle name="Normal 2 2 2 2 38 2 2 2 3 2 4" xfId="14214" xr:uid="{540416F0-95AE-4AA7-82A0-A8778A97FAC5}"/>
    <cellStyle name="Normal 2 2 2 2 38 2 2 2 3 3" xfId="14215" xr:uid="{A18D0EB8-6A86-478F-AE81-F4B741DC4C16}"/>
    <cellStyle name="Normal 2 2 2 2 38 2 2 2 3 4" xfId="14216" xr:uid="{2C4B14B6-44B1-4F92-8516-C2B36B00CF5D}"/>
    <cellStyle name="Normal 2 2 2 2 38 2 2 2 3 5" xfId="14217" xr:uid="{CE687FBD-45B3-427A-8D45-2CE6C96C16DA}"/>
    <cellStyle name="Normal 2 2 2 2 38 2 2 2 3 6" xfId="14218" xr:uid="{1D8DD7F3-B926-4E45-B060-5559F0750051}"/>
    <cellStyle name="Normal 2 2 2 2 38 2 2 2 4" xfId="14219" xr:uid="{AE38A706-21AF-4B25-A67E-EF2760A37879}"/>
    <cellStyle name="Normal 2 2 2 2 38 2 2 2 5" xfId="14220" xr:uid="{93B93614-E585-4031-9880-330A3BDEC3DF}"/>
    <cellStyle name="Normal 2 2 2 2 38 2 2 2 6" xfId="14221" xr:uid="{E31F1705-FD6F-4F73-9502-01BA7F1F70BB}"/>
    <cellStyle name="Normal 2 2 2 2 38 2 2 2 7" xfId="14222" xr:uid="{3A350867-A8F2-4177-909C-4147BB16E883}"/>
    <cellStyle name="Normal 2 2 2 2 38 2 2 2 8" xfId="14223" xr:uid="{D2CD7F3C-C870-41B3-9139-CCB1DD11B38E}"/>
    <cellStyle name="Normal 2 2 2 2 38 2 2 2 8 2" xfId="14224" xr:uid="{DE220037-5428-4A97-94E0-7FF04576AEE8}"/>
    <cellStyle name="Normal 2 2 2 2 38 2 2 2 8 3" xfId="14225" xr:uid="{B8805580-36B2-423D-B8BE-7D106DF27731}"/>
    <cellStyle name="Normal 2 2 2 2 38 2 2 2 8 4" xfId="14226" xr:uid="{801C0B7B-A363-45FF-9D3E-554F5880E919}"/>
    <cellStyle name="Normal 2 2 2 2 38 2 2 2 9" xfId="14227" xr:uid="{9C5FE77F-4AC7-4185-B9D2-07FEAB2B40A2}"/>
    <cellStyle name="Normal 2 2 2 2 38 2 2 3" xfId="14228" xr:uid="{E51DEFE9-D37A-466F-BDB2-174E360F5A90}"/>
    <cellStyle name="Normal 2 2 2 2 38 2 2 4" xfId="14229" xr:uid="{C8F36DDC-A867-43CB-85F4-547692C9A66E}"/>
    <cellStyle name="Normal 2 2 2 2 38 2 2 5" xfId="14230" xr:uid="{40BC6EF7-4F7F-4E02-A89F-3F19AE61BD8D}"/>
    <cellStyle name="Normal 2 2 2 2 38 2 2 5 2" xfId="14231" xr:uid="{A4CE54D0-8ABA-4D9F-B540-9A477FCE5225}"/>
    <cellStyle name="Normal 2 2 2 2 38 2 2 5 2 2" xfId="14232" xr:uid="{B9193EC4-DEE0-40E6-9F8D-ECAC9E32FEE5}"/>
    <cellStyle name="Normal 2 2 2 2 38 2 2 5 2 3" xfId="14233" xr:uid="{5706A61E-5C09-4A32-8D53-775C8070984D}"/>
    <cellStyle name="Normal 2 2 2 2 38 2 2 5 2 4" xfId="14234" xr:uid="{5DAEFBBC-CEB0-410D-8A2C-955B2E6E63DB}"/>
    <cellStyle name="Normal 2 2 2 2 38 2 2 5 3" xfId="14235" xr:uid="{59AC858B-0FDA-444B-9A1F-83D7074A3A82}"/>
    <cellStyle name="Normal 2 2 2 2 38 2 2 5 4" xfId="14236" xr:uid="{B61470E7-4B25-46D8-B43D-605FBA64DC5F}"/>
    <cellStyle name="Normal 2 2 2 2 38 2 2 5 5" xfId="14237" xr:uid="{E2CF9E46-7BEF-4F7C-ACF9-776EAE9C9B7C}"/>
    <cellStyle name="Normal 2 2 2 2 38 2 2 5 6" xfId="14238" xr:uid="{880924B4-BB7A-45CB-8A0E-EEA8070525D8}"/>
    <cellStyle name="Normal 2 2 2 2 38 2 2 6" xfId="14239" xr:uid="{DD4F70DD-5F50-4468-8A36-279F349944A2}"/>
    <cellStyle name="Normal 2 2 2 2 38 2 2 7" xfId="14240" xr:uid="{690C47F3-85EF-4E9F-98D4-16D213DF7478}"/>
    <cellStyle name="Normal 2 2 2 2 38 2 2 8" xfId="14241" xr:uid="{995BACEC-5A9E-45E8-9A35-15C1086764C0}"/>
    <cellStyle name="Normal 2 2 2 2 38 2 2 9" xfId="14242" xr:uid="{A106A79D-259B-4079-BE12-5B8E6C7F7F76}"/>
    <cellStyle name="Normal 2 2 2 2 38 2 3" xfId="14243" xr:uid="{3A43BE90-6026-4169-95D7-14D37C60A473}"/>
    <cellStyle name="Normal 2 2 2 2 38 2 4" xfId="14244" xr:uid="{4D93B60E-08D3-4674-AF11-6E644A7059D6}"/>
    <cellStyle name="Normal 2 2 2 2 38 2 5" xfId="14245" xr:uid="{5A8ED975-CC6B-490F-8A78-437D9482ABC6}"/>
    <cellStyle name="Normal 2 2 2 2 38 2 5 10" xfId="14246" xr:uid="{8545DD71-0FED-4701-AB89-B31C2181D628}"/>
    <cellStyle name="Normal 2 2 2 2 38 2 5 11" xfId="14247" xr:uid="{37FD7FB4-4948-4845-A64C-5B32D593BAC9}"/>
    <cellStyle name="Normal 2 2 2 2 38 2 5 2" xfId="14248" xr:uid="{B4DDD9EF-8102-454E-AC77-6B37B1288F18}"/>
    <cellStyle name="Normal 2 2 2 2 38 2 5 2 10" xfId="14249" xr:uid="{C46F215A-2A03-485D-81F8-6FF8F423C6CC}"/>
    <cellStyle name="Normal 2 2 2 2 38 2 5 2 11" xfId="14250" xr:uid="{D8FA820C-3D52-4A12-A0B8-2D36E340340B}"/>
    <cellStyle name="Normal 2 2 2 2 38 2 5 2 2" xfId="14251" xr:uid="{0FE020A1-85A4-4467-8897-8BAFE3DB0AFB}"/>
    <cellStyle name="Normal 2 2 2 2 38 2 5 2 2 2" xfId="14252" xr:uid="{446EBCBF-5479-4EDD-9F4F-1F5DB4351587}"/>
    <cellStyle name="Normal 2 2 2 2 38 2 5 2 2 2 2" xfId="14253" xr:uid="{6B89BC1D-C7EB-4429-9079-96691709C44F}"/>
    <cellStyle name="Normal 2 2 2 2 38 2 5 2 2 2 3" xfId="14254" xr:uid="{8AA55404-E2A0-49EB-A5B9-A8182684CC15}"/>
    <cellStyle name="Normal 2 2 2 2 38 2 5 2 2 2 4" xfId="14255" xr:uid="{8F77FA29-EB77-44E5-ABD7-356D244A131A}"/>
    <cellStyle name="Normal 2 2 2 2 38 2 5 2 2 3" xfId="14256" xr:uid="{1779967E-400C-4EC0-B6E0-30477A7F761A}"/>
    <cellStyle name="Normal 2 2 2 2 38 2 5 2 2 4" xfId="14257" xr:uid="{CCB18AAA-6CE9-48F0-A58B-E0AAB78DE1D9}"/>
    <cellStyle name="Normal 2 2 2 2 38 2 5 2 2 5" xfId="14258" xr:uid="{5D42C094-D841-4078-9446-CA1F168CDA76}"/>
    <cellStyle name="Normal 2 2 2 2 38 2 5 2 2 6" xfId="14259" xr:uid="{8D2A8585-BA3B-4C95-90B2-A299653E6BF3}"/>
    <cellStyle name="Normal 2 2 2 2 38 2 5 2 3" xfId="14260" xr:uid="{D9DA18A8-1FCB-4E0C-80F4-5B4AF25E42C6}"/>
    <cellStyle name="Normal 2 2 2 2 38 2 5 2 4" xfId="14261" xr:uid="{6C7843A0-C4F2-48D8-9759-3D1FA3F711F3}"/>
    <cellStyle name="Normal 2 2 2 2 38 2 5 2 5" xfId="14262" xr:uid="{85F19CFB-E8B7-45AE-9217-A7164624A55F}"/>
    <cellStyle name="Normal 2 2 2 2 38 2 5 2 6" xfId="14263" xr:uid="{7C7CA92D-414A-48B3-9CF4-C5C8A5FF928D}"/>
    <cellStyle name="Normal 2 2 2 2 38 2 5 2 7" xfId="14264" xr:uid="{ADA17F9C-1FB7-4FC9-9B51-D92FB4289BEE}"/>
    <cellStyle name="Normal 2 2 2 2 38 2 5 2 8" xfId="14265" xr:uid="{D8A62833-D394-40D9-B747-73EC64E0C283}"/>
    <cellStyle name="Normal 2 2 2 2 38 2 5 2 8 2" xfId="14266" xr:uid="{51FEB0FC-603C-4FED-A567-0D23AA27BF3F}"/>
    <cellStyle name="Normal 2 2 2 2 38 2 5 2 8 3" xfId="14267" xr:uid="{900AD855-83BE-4FA5-A150-6D87150CCB1F}"/>
    <cellStyle name="Normal 2 2 2 2 38 2 5 2 8 4" xfId="14268" xr:uid="{F84EAEB5-D1DB-4229-9231-AD479E771D9D}"/>
    <cellStyle name="Normal 2 2 2 2 38 2 5 2 9" xfId="14269" xr:uid="{0E7538AC-C4E2-4BC3-A1F9-146D54C46378}"/>
    <cellStyle name="Normal 2 2 2 2 38 2 5 3" xfId="14270" xr:uid="{68205583-18FF-4AF0-AA4B-94BED6D8D66D}"/>
    <cellStyle name="Normal 2 2 2 2 38 2 5 3 2" xfId="14271" xr:uid="{1B9470ED-2EE6-45E6-9A2D-D517D3900614}"/>
    <cellStyle name="Normal 2 2 2 2 38 2 5 3 2 2" xfId="14272" xr:uid="{96B6723B-AFA6-484F-9573-D7E6093BED2C}"/>
    <cellStyle name="Normal 2 2 2 2 38 2 5 3 2 3" xfId="14273" xr:uid="{825AA928-E681-45BC-BE5F-DF09C525A43E}"/>
    <cellStyle name="Normal 2 2 2 2 38 2 5 3 2 4" xfId="14274" xr:uid="{D58B886A-2D58-4BD3-AE1E-384B0E4CF6BE}"/>
    <cellStyle name="Normal 2 2 2 2 38 2 5 3 3" xfId="14275" xr:uid="{3C7EEBA0-CE74-4C43-9EF3-60FF6E917015}"/>
    <cellStyle name="Normal 2 2 2 2 38 2 5 3 4" xfId="14276" xr:uid="{A58F3268-D528-4E12-90D9-EBD339486B9A}"/>
    <cellStyle name="Normal 2 2 2 2 38 2 5 3 5" xfId="14277" xr:uid="{F99CC73A-3557-482D-8EED-9CF31AAD1042}"/>
    <cellStyle name="Normal 2 2 2 2 38 2 5 3 6" xfId="14278" xr:uid="{76E7FC61-9F7A-4265-95FC-3BA4134A4E13}"/>
    <cellStyle name="Normal 2 2 2 2 38 2 5 4" xfId="14279" xr:uid="{0D93291B-216F-4E13-B196-5B6D970BBA32}"/>
    <cellStyle name="Normal 2 2 2 2 38 2 5 5" xfId="14280" xr:uid="{E93F4488-BC8B-4090-A9EC-D4A5F87BE045}"/>
    <cellStyle name="Normal 2 2 2 2 38 2 5 6" xfId="14281" xr:uid="{47E70832-F871-4CEF-A21A-8DE12E46AA66}"/>
    <cellStyle name="Normal 2 2 2 2 38 2 5 7" xfId="14282" xr:uid="{047D6001-3BC7-4784-AA4A-383BAB7A09E4}"/>
    <cellStyle name="Normal 2 2 2 2 38 2 5 8" xfId="14283" xr:uid="{C9B8962D-5CF3-4B97-921A-62BEA8AB9377}"/>
    <cellStyle name="Normal 2 2 2 2 38 2 5 8 2" xfId="14284" xr:uid="{77CA19F0-F139-496A-94FD-6FC1B8B11570}"/>
    <cellStyle name="Normal 2 2 2 2 38 2 5 8 3" xfId="14285" xr:uid="{55D73B92-9C7C-4C2C-B1B7-B44497DD0283}"/>
    <cellStyle name="Normal 2 2 2 2 38 2 5 8 4" xfId="14286" xr:uid="{993DDAAA-E0A1-4A51-BCD6-FFD52DFC0703}"/>
    <cellStyle name="Normal 2 2 2 2 38 2 5 9" xfId="14287" xr:uid="{C3FFBF67-0E4D-4D7E-8B5E-6A0128BF815C}"/>
    <cellStyle name="Normal 2 2 2 2 38 2 6" xfId="14288" xr:uid="{3F28D062-C0D1-4C70-AB80-5984E4547DA3}"/>
    <cellStyle name="Normal 2 2 2 2 38 2 7" xfId="14289" xr:uid="{F396F50E-A905-4849-9929-0FDB6CE9B579}"/>
    <cellStyle name="Normal 2 2 2 2 38 2 7 2" xfId="14290" xr:uid="{7DF58F71-8406-4735-AFBF-A8EFEA942E67}"/>
    <cellStyle name="Normal 2 2 2 2 38 2 7 2 2" xfId="14291" xr:uid="{C121FD5C-DACB-4C49-A141-580E99FB8415}"/>
    <cellStyle name="Normal 2 2 2 2 38 2 7 2 3" xfId="14292" xr:uid="{641CDDA0-90AD-41F1-A8B4-8560355D7732}"/>
    <cellStyle name="Normal 2 2 2 2 38 2 7 2 4" xfId="14293" xr:uid="{6C222706-C256-43BC-BE9B-C07EFC7D1D27}"/>
    <cellStyle name="Normal 2 2 2 2 38 2 7 3" xfId="14294" xr:uid="{E0C7FA47-ED69-4DBE-9BE1-18FCFEA225BB}"/>
    <cellStyle name="Normal 2 2 2 2 38 2 7 4" xfId="14295" xr:uid="{5B82709F-97BB-4D32-80EA-F8CC033A43B0}"/>
    <cellStyle name="Normal 2 2 2 2 38 2 7 5" xfId="14296" xr:uid="{2449EC76-49B0-4E32-BFE8-763E67B1F2A3}"/>
    <cellStyle name="Normal 2 2 2 2 38 2 7 6" xfId="14297" xr:uid="{F750CE96-48E9-45E0-941C-EADEE517A6D3}"/>
    <cellStyle name="Normal 2 2 2 2 38 2 8" xfId="14298" xr:uid="{F369C885-C445-4BB7-9BF5-E5D109759963}"/>
    <cellStyle name="Normal 2 2 2 2 38 2 9" xfId="14299" xr:uid="{95B2CB65-D18B-44EA-8615-4FB386686C73}"/>
    <cellStyle name="Normal 2 2 2 2 38 20" xfId="14300" xr:uid="{70C646D9-221C-414D-A5C0-15ED587D1562}"/>
    <cellStyle name="Normal 2 2 2 2 38 21" xfId="14301" xr:uid="{26DCBDBF-2C5D-47AF-9D59-DC32D80B2249}"/>
    <cellStyle name="Normal 2 2 2 2 38 21 2" xfId="14302" xr:uid="{5AA05715-FBA0-47D1-BAA8-B842B1792A93}"/>
    <cellStyle name="Normal 2 2 2 2 38 21 3" xfId="14303" xr:uid="{DEE9A7EC-9535-4814-A587-75675A8131CE}"/>
    <cellStyle name="Normal 2 2 2 2 38 21 4" xfId="14304" xr:uid="{4E0FDD46-565A-4951-A1B4-1F4D01C7DFEB}"/>
    <cellStyle name="Normal 2 2 2 2 38 22" xfId="14305" xr:uid="{064B9360-7DAC-4D34-B07E-9A8C71B90B3A}"/>
    <cellStyle name="Normal 2 2 2 2 38 23" xfId="14306" xr:uid="{F5DC131A-5DB0-4BA4-A1EC-C744FF6520B7}"/>
    <cellStyle name="Normal 2 2 2 2 38 24" xfId="14307" xr:uid="{4EB8C5C5-F72A-4E8B-86D3-FFF7FE2CF017}"/>
    <cellStyle name="Normal 2 2 2 2 38 3" xfId="14308" xr:uid="{114BD042-E1DD-4932-8182-375931644E66}"/>
    <cellStyle name="Normal 2 2 2 2 38 4" xfId="14309" xr:uid="{2545A45B-C6CF-4776-8D6F-EEAC5C4B0C6C}"/>
    <cellStyle name="Normal 2 2 2 2 38 5" xfId="14310" xr:uid="{30F4B730-3C0E-48FB-9674-C906308536C7}"/>
    <cellStyle name="Normal 2 2 2 2 38 6" xfId="14311" xr:uid="{B275334D-E6C0-40C5-B6E5-CC366AFBC19D}"/>
    <cellStyle name="Normal 2 2 2 2 38 7" xfId="14312" xr:uid="{A97BF378-1499-4419-8D41-CC31EE19DD14}"/>
    <cellStyle name="Normal 2 2 2 2 38 8" xfId="14313" xr:uid="{1882507B-3A14-4FD2-B109-66F0BEEA42D5}"/>
    <cellStyle name="Normal 2 2 2 2 38 9" xfId="14314" xr:uid="{2F1DA26A-CC14-450B-8690-82FB63937C6D}"/>
    <cellStyle name="Normal 2 2 2 2 39" xfId="14315" xr:uid="{769D15A3-15DA-4AB9-8DC1-88662DB8C738}"/>
    <cellStyle name="Normal 2 2 2 2 39 10" xfId="14316" xr:uid="{AF5030E3-05A0-4975-8567-5643425E4371}"/>
    <cellStyle name="Normal 2 2 2 2 39 11" xfId="14317" xr:uid="{D7F480C0-C36F-41ED-9ABF-5789EC2EC612}"/>
    <cellStyle name="Normal 2 2 2 2 39 12" xfId="14318" xr:uid="{5E956344-7806-4FFB-8547-118C2A33FFA8}"/>
    <cellStyle name="Normal 2 2 2 2 39 13" xfId="14319" xr:uid="{4D74CABA-6D4B-45FE-AB10-BDD76639B3B5}"/>
    <cellStyle name="Normal 2 2 2 2 39 13 2" xfId="14320" xr:uid="{1B1D96B6-259B-4E06-A11B-02AE6C9C4AB8}"/>
    <cellStyle name="Normal 2 2 2 2 39 13 3" xfId="14321" xr:uid="{5C7795BF-D30D-4E70-81B4-8F8CC96F0354}"/>
    <cellStyle name="Normal 2 2 2 2 39 13 4" xfId="14322" xr:uid="{DFEF8890-5ACE-4800-9126-337F87A52090}"/>
    <cellStyle name="Normal 2 2 2 2 39 14" xfId="14323" xr:uid="{2E3A5581-7D03-4948-B98D-2FBACF9BD223}"/>
    <cellStyle name="Normal 2 2 2 2 39 15" xfId="14324" xr:uid="{E8F5F750-733C-4780-B11A-9A2CA0DF7389}"/>
    <cellStyle name="Normal 2 2 2 2 39 16" xfId="14325" xr:uid="{1585EC1B-9D57-404E-97CE-4865AB298C68}"/>
    <cellStyle name="Normal 2 2 2 2 39 2" xfId="14326" xr:uid="{C26A9A2A-CB63-4F53-A281-B931825446D9}"/>
    <cellStyle name="Normal 2 2 2 2 39 2 10" xfId="14327" xr:uid="{30FF941F-46EC-4FC8-BC39-535FD84604E6}"/>
    <cellStyle name="Normal 2 2 2 2 39 2 11" xfId="14328" xr:uid="{F5E15A66-8EAC-4D27-B18C-ED75148A5962}"/>
    <cellStyle name="Normal 2 2 2 2 39 2 11 2" xfId="14329" xr:uid="{ACA40F39-6952-4794-A16C-EDF180E87890}"/>
    <cellStyle name="Normal 2 2 2 2 39 2 11 3" xfId="14330" xr:uid="{EB78884C-7560-47CC-BF6A-CB1BF538C11B}"/>
    <cellStyle name="Normal 2 2 2 2 39 2 11 4" xfId="14331" xr:uid="{9EC9107F-9D5A-4591-80E4-9AF70C8B2905}"/>
    <cellStyle name="Normal 2 2 2 2 39 2 12" xfId="14332" xr:uid="{C7ACD820-5993-44BE-9D9C-486571CA0C4B}"/>
    <cellStyle name="Normal 2 2 2 2 39 2 13" xfId="14333" xr:uid="{253606B7-5C90-4BCC-8317-E3EF183501F8}"/>
    <cellStyle name="Normal 2 2 2 2 39 2 14" xfId="14334" xr:uid="{97E2C51A-1306-4569-8E99-900A1D0F5E10}"/>
    <cellStyle name="Normal 2 2 2 2 39 2 2" xfId="14335" xr:uid="{69F9AC22-EB45-48DD-99F6-EE4367FCC5FF}"/>
    <cellStyle name="Normal 2 2 2 2 39 2 2 10" xfId="14336" xr:uid="{783E7738-A061-4C91-BE17-10EF15181AB2}"/>
    <cellStyle name="Normal 2 2 2 2 39 2 2 11" xfId="14337" xr:uid="{908482AA-3D2D-4AB1-9342-4A8E744D41D0}"/>
    <cellStyle name="Normal 2 2 2 2 39 2 2 2" xfId="14338" xr:uid="{51428A8F-EA16-4CEE-85D9-1CB765FDBB8B}"/>
    <cellStyle name="Normal 2 2 2 2 39 2 2 2 10" xfId="14339" xr:uid="{1930E673-B0F0-43F6-9FB6-C65F6B9E9BB4}"/>
    <cellStyle name="Normal 2 2 2 2 39 2 2 2 11" xfId="14340" xr:uid="{C950FBAB-49CC-4655-95FD-E4170587DF3E}"/>
    <cellStyle name="Normal 2 2 2 2 39 2 2 2 2" xfId="14341" xr:uid="{DD65DFF1-F62C-4BAA-BC53-074598C98881}"/>
    <cellStyle name="Normal 2 2 2 2 39 2 2 2 2 2" xfId="14342" xr:uid="{83AE1917-02FF-486E-890B-99DCF676B254}"/>
    <cellStyle name="Normal 2 2 2 2 39 2 2 2 2 2 2" xfId="14343" xr:uid="{3B0F90B4-888E-47D7-BFA3-E071FBDCF665}"/>
    <cellStyle name="Normal 2 2 2 2 39 2 2 2 2 2 3" xfId="14344" xr:uid="{E8825A94-6432-4DBE-A65B-96D4DAA71608}"/>
    <cellStyle name="Normal 2 2 2 2 39 2 2 2 2 2 4" xfId="14345" xr:uid="{C084EE14-AC84-4C39-839D-247ABC407617}"/>
    <cellStyle name="Normal 2 2 2 2 39 2 2 2 2 3" xfId="14346" xr:uid="{3287D687-3178-4B66-91D9-ACFAFB5E6EDE}"/>
    <cellStyle name="Normal 2 2 2 2 39 2 2 2 2 4" xfId="14347" xr:uid="{A0370115-724E-4E26-9612-C6A7FB777798}"/>
    <cellStyle name="Normal 2 2 2 2 39 2 2 2 2 5" xfId="14348" xr:uid="{2757125B-5A09-48D2-B977-DE43EED06D38}"/>
    <cellStyle name="Normal 2 2 2 2 39 2 2 2 2 6" xfId="14349" xr:uid="{5597FEF6-0ED8-49F5-9454-EB4900F61F6E}"/>
    <cellStyle name="Normal 2 2 2 2 39 2 2 2 3" xfId="14350" xr:uid="{E9928C92-1A98-418F-A015-2CBC64A936C8}"/>
    <cellStyle name="Normal 2 2 2 2 39 2 2 2 4" xfId="14351" xr:uid="{1FF5BC36-069B-4600-8BD7-3ECB211F2102}"/>
    <cellStyle name="Normal 2 2 2 2 39 2 2 2 5" xfId="14352" xr:uid="{384E2D5A-3EEF-4297-BEB6-789BFBBB1AE3}"/>
    <cellStyle name="Normal 2 2 2 2 39 2 2 2 6" xfId="14353" xr:uid="{11E5AF04-67A1-4F75-A21A-2222EB30958A}"/>
    <cellStyle name="Normal 2 2 2 2 39 2 2 2 7" xfId="14354" xr:uid="{B6D33EA1-D306-4A91-9EEE-CAB64B08506C}"/>
    <cellStyle name="Normal 2 2 2 2 39 2 2 2 8" xfId="14355" xr:uid="{E9EC060D-C6F7-4140-B1CB-3DB520D79AF5}"/>
    <cellStyle name="Normal 2 2 2 2 39 2 2 2 8 2" xfId="14356" xr:uid="{A087C765-C7EC-4915-9B2D-6A38414F0306}"/>
    <cellStyle name="Normal 2 2 2 2 39 2 2 2 8 3" xfId="14357" xr:uid="{2DF720A7-5675-4282-B3AB-B0E4A1361295}"/>
    <cellStyle name="Normal 2 2 2 2 39 2 2 2 8 4" xfId="14358" xr:uid="{6D053AE7-7A3C-4543-BB36-960616ACB14D}"/>
    <cellStyle name="Normal 2 2 2 2 39 2 2 2 9" xfId="14359" xr:uid="{044B6BC7-B1F4-45D8-9A62-1BF7BB8C1D12}"/>
    <cellStyle name="Normal 2 2 2 2 39 2 2 3" xfId="14360" xr:uid="{460D9030-05CA-45A8-97B5-413103BE2885}"/>
    <cellStyle name="Normal 2 2 2 2 39 2 2 3 2" xfId="14361" xr:uid="{C4A767C4-4538-4C7E-8B8F-385907EA20A6}"/>
    <cellStyle name="Normal 2 2 2 2 39 2 2 3 2 2" xfId="14362" xr:uid="{85DF75AF-1ED4-427B-9B2C-4BC3DAF18A7F}"/>
    <cellStyle name="Normal 2 2 2 2 39 2 2 3 2 3" xfId="14363" xr:uid="{28EB4822-FE07-491C-9274-FE634A02C7E9}"/>
    <cellStyle name="Normal 2 2 2 2 39 2 2 3 2 4" xfId="14364" xr:uid="{E4157A9C-52D0-4071-8EB2-53E2248961A2}"/>
    <cellStyle name="Normal 2 2 2 2 39 2 2 3 3" xfId="14365" xr:uid="{D9F7DB75-E28D-4AE6-BC78-3095D0E677A5}"/>
    <cellStyle name="Normal 2 2 2 2 39 2 2 3 4" xfId="14366" xr:uid="{4130B880-10B9-4095-BCEC-8B5416D8CD61}"/>
    <cellStyle name="Normal 2 2 2 2 39 2 2 3 5" xfId="14367" xr:uid="{5952CC2A-F6F1-4A4B-A44F-2934C81EB811}"/>
    <cellStyle name="Normal 2 2 2 2 39 2 2 3 6" xfId="14368" xr:uid="{EBF2535A-6F2D-4C8C-8FE4-C25523D3BDFF}"/>
    <cellStyle name="Normal 2 2 2 2 39 2 2 4" xfId="14369" xr:uid="{15D39F16-8C55-4F05-92A7-E37A92436819}"/>
    <cellStyle name="Normal 2 2 2 2 39 2 2 5" xfId="14370" xr:uid="{04BD0905-23E5-4288-A030-505EC71CD6B1}"/>
    <cellStyle name="Normal 2 2 2 2 39 2 2 6" xfId="14371" xr:uid="{CD639651-E33F-4EE8-9A0B-8FD225EB11FC}"/>
    <cellStyle name="Normal 2 2 2 2 39 2 2 7" xfId="14372" xr:uid="{0731CB50-0AE1-49B3-99E5-D2E94C98A906}"/>
    <cellStyle name="Normal 2 2 2 2 39 2 2 8" xfId="14373" xr:uid="{DDABE230-4FE1-436F-9D9C-98E0B7726D68}"/>
    <cellStyle name="Normal 2 2 2 2 39 2 2 8 2" xfId="14374" xr:uid="{6F11B6AA-5769-4075-B2D4-51BD9099C1BF}"/>
    <cellStyle name="Normal 2 2 2 2 39 2 2 8 3" xfId="14375" xr:uid="{2FD1B6B6-291A-423D-8187-72435C930ABC}"/>
    <cellStyle name="Normal 2 2 2 2 39 2 2 8 4" xfId="14376" xr:uid="{774310DB-0FD4-4B40-AFB6-BD03063DA653}"/>
    <cellStyle name="Normal 2 2 2 2 39 2 2 9" xfId="14377" xr:uid="{33C507CD-AD0A-46D5-8524-CA07A9CD54DB}"/>
    <cellStyle name="Normal 2 2 2 2 39 2 3" xfId="14378" xr:uid="{ECE0EA4B-D2A9-4235-9946-743E44BEDDC2}"/>
    <cellStyle name="Normal 2 2 2 2 39 2 4" xfId="14379" xr:uid="{93EB2FAE-015B-4C62-8BEB-AC1428AEFA92}"/>
    <cellStyle name="Normal 2 2 2 2 39 2 5" xfId="14380" xr:uid="{47ACFA9C-A280-41CF-B3F7-E6390DA27FF8}"/>
    <cellStyle name="Normal 2 2 2 2 39 2 5 2" xfId="14381" xr:uid="{DEE29C76-8402-48CB-B514-3D17B36D2F04}"/>
    <cellStyle name="Normal 2 2 2 2 39 2 5 2 2" xfId="14382" xr:uid="{36D71F19-AA38-40F7-BF83-3E5255C9D5AE}"/>
    <cellStyle name="Normal 2 2 2 2 39 2 5 2 3" xfId="14383" xr:uid="{B2B7ED52-83E2-4905-9758-42D782F933FF}"/>
    <cellStyle name="Normal 2 2 2 2 39 2 5 2 4" xfId="14384" xr:uid="{69490CDB-F19D-492A-B307-783DD5E79939}"/>
    <cellStyle name="Normal 2 2 2 2 39 2 5 3" xfId="14385" xr:uid="{1A2392E9-6E0D-4CD7-833B-E4B965CD682E}"/>
    <cellStyle name="Normal 2 2 2 2 39 2 5 4" xfId="14386" xr:uid="{B39DCF6E-74C7-4B60-8A90-B4BD73EABC23}"/>
    <cellStyle name="Normal 2 2 2 2 39 2 5 5" xfId="14387" xr:uid="{E489F928-ABE1-4E47-A84D-D097FB114A62}"/>
    <cellStyle name="Normal 2 2 2 2 39 2 5 6" xfId="14388" xr:uid="{01F4B26F-6928-4105-845E-05473FA46421}"/>
    <cellStyle name="Normal 2 2 2 2 39 2 6" xfId="14389" xr:uid="{BA8216A1-1009-4FEE-88CE-7B8F8469F8E0}"/>
    <cellStyle name="Normal 2 2 2 2 39 2 7" xfId="14390" xr:uid="{3B3B0C6B-4EF5-40D3-8435-BDC98DBB36B7}"/>
    <cellStyle name="Normal 2 2 2 2 39 2 8" xfId="14391" xr:uid="{D54F3A13-E1C7-406B-9332-36E0DD07B23C}"/>
    <cellStyle name="Normal 2 2 2 2 39 2 9" xfId="14392" xr:uid="{B4603F1F-03DB-42C8-B94A-EDD27E75C9F9}"/>
    <cellStyle name="Normal 2 2 2 2 39 3" xfId="14393" xr:uid="{4E841F14-E712-48BC-B075-279BC74AA8E0}"/>
    <cellStyle name="Normal 2 2 2 2 39 4" xfId="14394" xr:uid="{190FB709-573D-434F-AAAF-191A629A4491}"/>
    <cellStyle name="Normal 2 2 2 2 39 5" xfId="14395" xr:uid="{52D73455-766B-404A-956F-0065D050C364}"/>
    <cellStyle name="Normal 2 2 2 2 39 5 10" xfId="14396" xr:uid="{4CE59FE2-A5E3-4808-9630-048E38965269}"/>
    <cellStyle name="Normal 2 2 2 2 39 5 11" xfId="14397" xr:uid="{4FCDFB63-A203-425B-836B-1C081D169585}"/>
    <cellStyle name="Normal 2 2 2 2 39 5 2" xfId="14398" xr:uid="{B6688851-1EC7-40BC-98BC-5F6B82E45ECC}"/>
    <cellStyle name="Normal 2 2 2 2 39 5 2 10" xfId="14399" xr:uid="{25537040-E060-44A6-8FA8-D6681DD1AFEE}"/>
    <cellStyle name="Normal 2 2 2 2 39 5 2 11" xfId="14400" xr:uid="{230EA7B6-BE6E-4CA4-BE32-FD2D0704B755}"/>
    <cellStyle name="Normal 2 2 2 2 39 5 2 2" xfId="14401" xr:uid="{A0326426-1676-4164-9C95-82649B138320}"/>
    <cellStyle name="Normal 2 2 2 2 39 5 2 2 2" xfId="14402" xr:uid="{218FB814-4314-4E6A-A4FA-CE7A66B999DC}"/>
    <cellStyle name="Normal 2 2 2 2 39 5 2 2 2 2" xfId="14403" xr:uid="{7AF20750-BA3C-4F68-BA9E-20F0BE8034D0}"/>
    <cellStyle name="Normal 2 2 2 2 39 5 2 2 2 3" xfId="14404" xr:uid="{6D50F815-B613-4B12-9362-A8B83BE5CD11}"/>
    <cellStyle name="Normal 2 2 2 2 39 5 2 2 2 4" xfId="14405" xr:uid="{BEA0260C-874A-4664-A680-C6D7956A449F}"/>
    <cellStyle name="Normal 2 2 2 2 39 5 2 2 3" xfId="14406" xr:uid="{F4528D3B-6647-435B-8852-75A2579BBB54}"/>
    <cellStyle name="Normal 2 2 2 2 39 5 2 2 4" xfId="14407" xr:uid="{D389BB86-7B20-4F96-9846-2929A657202F}"/>
    <cellStyle name="Normal 2 2 2 2 39 5 2 2 5" xfId="14408" xr:uid="{2B72DEDE-11D2-4EED-9F84-4F9EED450F97}"/>
    <cellStyle name="Normal 2 2 2 2 39 5 2 2 6" xfId="14409" xr:uid="{94096E5C-849D-4775-A20A-FEBA452F5F5C}"/>
    <cellStyle name="Normal 2 2 2 2 39 5 2 3" xfId="14410" xr:uid="{785CCE3A-53B2-4351-8986-A789CC16C55A}"/>
    <cellStyle name="Normal 2 2 2 2 39 5 2 4" xfId="14411" xr:uid="{4B711A1B-51D8-4B12-A11A-B65C3B2499CB}"/>
    <cellStyle name="Normal 2 2 2 2 39 5 2 5" xfId="14412" xr:uid="{BC24E11A-0317-41CA-9511-892C7A3F5AEF}"/>
    <cellStyle name="Normal 2 2 2 2 39 5 2 6" xfId="14413" xr:uid="{FF47F07A-FCBE-4397-9538-CC8A0F714B60}"/>
    <cellStyle name="Normal 2 2 2 2 39 5 2 7" xfId="14414" xr:uid="{DCC2DBAE-E1EE-4547-95F3-D3B86250753D}"/>
    <cellStyle name="Normal 2 2 2 2 39 5 2 8" xfId="14415" xr:uid="{8A3194F9-7FCD-48EB-8EC7-53C73B25CF55}"/>
    <cellStyle name="Normal 2 2 2 2 39 5 2 8 2" xfId="14416" xr:uid="{E691CCB7-FE54-457F-8079-CC339E4686CA}"/>
    <cellStyle name="Normal 2 2 2 2 39 5 2 8 3" xfId="14417" xr:uid="{7F377057-1D9F-4578-9410-A4526AC553CA}"/>
    <cellStyle name="Normal 2 2 2 2 39 5 2 8 4" xfId="14418" xr:uid="{CE4A097E-3C1D-4AEB-A401-C9B7D8D99B62}"/>
    <cellStyle name="Normal 2 2 2 2 39 5 2 9" xfId="14419" xr:uid="{BC1800DD-00DE-4955-9465-1EB0BF865A34}"/>
    <cellStyle name="Normal 2 2 2 2 39 5 3" xfId="14420" xr:uid="{5DA0C1B1-AA8F-4D22-B022-6ACC701791E1}"/>
    <cellStyle name="Normal 2 2 2 2 39 5 3 2" xfId="14421" xr:uid="{6307C3A7-9A67-4F63-975E-67C477008D5C}"/>
    <cellStyle name="Normal 2 2 2 2 39 5 3 2 2" xfId="14422" xr:uid="{AD0A6949-D973-4C9E-A8E2-59C586D8B59C}"/>
    <cellStyle name="Normal 2 2 2 2 39 5 3 2 3" xfId="14423" xr:uid="{EEA9DF8A-BE4E-400D-AA87-955E58D92002}"/>
    <cellStyle name="Normal 2 2 2 2 39 5 3 2 4" xfId="14424" xr:uid="{0B243F51-2F27-4B09-8159-C99047088D4A}"/>
    <cellStyle name="Normal 2 2 2 2 39 5 3 3" xfId="14425" xr:uid="{547BD4BE-D338-4C5B-AB5F-A38AA563E4F9}"/>
    <cellStyle name="Normal 2 2 2 2 39 5 3 4" xfId="14426" xr:uid="{6F4F84D5-43FF-420A-82AA-CF0DA0FBAF53}"/>
    <cellStyle name="Normal 2 2 2 2 39 5 3 5" xfId="14427" xr:uid="{4FF98EF0-3942-4F8C-94FF-B778320C87E0}"/>
    <cellStyle name="Normal 2 2 2 2 39 5 3 6" xfId="14428" xr:uid="{E8B2A3F9-E07E-4F2A-A72A-5EF72A332462}"/>
    <cellStyle name="Normal 2 2 2 2 39 5 4" xfId="14429" xr:uid="{B215928D-BD69-473D-82F4-53C8B4BA2F9F}"/>
    <cellStyle name="Normal 2 2 2 2 39 5 5" xfId="14430" xr:uid="{3749CDF8-16B8-4943-9774-C738CCC61123}"/>
    <cellStyle name="Normal 2 2 2 2 39 5 6" xfId="14431" xr:uid="{9614028A-87C4-4107-93F0-64F1C46D1170}"/>
    <cellStyle name="Normal 2 2 2 2 39 5 7" xfId="14432" xr:uid="{4125E9BD-A52E-44C5-B34A-C4F501F836E7}"/>
    <cellStyle name="Normal 2 2 2 2 39 5 8" xfId="14433" xr:uid="{2C6A8FC5-9782-49F2-99CD-3C2E0184600E}"/>
    <cellStyle name="Normal 2 2 2 2 39 5 8 2" xfId="14434" xr:uid="{48582144-F01A-4157-B16D-9AD864FA909E}"/>
    <cellStyle name="Normal 2 2 2 2 39 5 8 3" xfId="14435" xr:uid="{D011B63D-F6F4-494A-A582-5769D92C46B4}"/>
    <cellStyle name="Normal 2 2 2 2 39 5 8 4" xfId="14436" xr:uid="{A2993FF5-5D48-446D-B1D3-148030CE55AF}"/>
    <cellStyle name="Normal 2 2 2 2 39 5 9" xfId="14437" xr:uid="{9BA048A6-FA8B-405C-A82F-9453A691B638}"/>
    <cellStyle name="Normal 2 2 2 2 39 6" xfId="14438" xr:uid="{04B04AA5-11D6-44F1-B332-E91905F2B1BC}"/>
    <cellStyle name="Normal 2 2 2 2 39 7" xfId="14439" xr:uid="{B3FAFED3-F527-42D2-8F73-93E7395C5574}"/>
    <cellStyle name="Normal 2 2 2 2 39 7 2" xfId="14440" xr:uid="{8DB00BAA-5005-4824-91C5-B7E803D626D2}"/>
    <cellStyle name="Normal 2 2 2 2 39 7 2 2" xfId="14441" xr:uid="{A57E1CE3-C9D6-4408-8505-CEDF0EC1A3DD}"/>
    <cellStyle name="Normal 2 2 2 2 39 7 2 3" xfId="14442" xr:uid="{35A064B3-529C-4558-A097-0F6986A92DD4}"/>
    <cellStyle name="Normal 2 2 2 2 39 7 2 4" xfId="14443" xr:uid="{9962799A-C9F3-4084-89EC-21AD717E1B12}"/>
    <cellStyle name="Normal 2 2 2 2 39 7 3" xfId="14444" xr:uid="{9844F7B0-54BB-4EEE-BB67-75850D2D1DDF}"/>
    <cellStyle name="Normal 2 2 2 2 39 7 4" xfId="14445" xr:uid="{1BB29619-6AB9-4B33-870D-3D079C94E03B}"/>
    <cellStyle name="Normal 2 2 2 2 39 7 5" xfId="14446" xr:uid="{E2BF4BD6-80D4-4638-B5C1-D2B64A87DE05}"/>
    <cellStyle name="Normal 2 2 2 2 39 7 6" xfId="14447" xr:uid="{1EEB912C-0A59-4876-8C89-9D6257474680}"/>
    <cellStyle name="Normal 2 2 2 2 39 8" xfId="14448" xr:uid="{54043F91-BCAA-47F1-BF51-28892041A8DA}"/>
    <cellStyle name="Normal 2 2 2 2 39 9" xfId="14449" xr:uid="{891122C3-3EAC-45AA-8D22-BA36FD7BADC1}"/>
    <cellStyle name="Normal 2 2 2 2 4" xfId="14450" xr:uid="{8E9D3728-DE26-4B90-A2BB-6AE96DEAA3F2}"/>
    <cellStyle name="Normal 2 2 2 2 4 2" xfId="14451" xr:uid="{37DB797D-5274-4B16-9A4D-780EBA4F8977}"/>
    <cellStyle name="Normal 2 2 2 2 40" xfId="14452" xr:uid="{2D1C62BE-A9AD-4D25-AA63-D330D1D17D3F}"/>
    <cellStyle name="Normal 2 2 2 2 41" xfId="14453" xr:uid="{1466B6FE-2C46-4AFD-9C32-6E136EFD2AE9}"/>
    <cellStyle name="Normal 2 2 2 2 42" xfId="14454" xr:uid="{BFCE4D32-3C1D-4955-B54F-29688D6B0CBA}"/>
    <cellStyle name="Normal 2 2 2 2 43" xfId="14455" xr:uid="{A9E02E91-84E9-438A-A9BC-92E9EA08A8EF}"/>
    <cellStyle name="Normal 2 2 2 2 44" xfId="14456" xr:uid="{131179D6-1FD9-4C59-9141-E45BE2375C0E}"/>
    <cellStyle name="Normal 2 2 2 2 45" xfId="14457" xr:uid="{C5CD3940-0ACA-4C3F-8E70-0588D50490EE}"/>
    <cellStyle name="Normal 2 2 2 2 46" xfId="14458" xr:uid="{640F8FCA-C32F-4BBD-BDBC-A89E2405BFAD}"/>
    <cellStyle name="Normal 2 2 2 2 47" xfId="14459" xr:uid="{B73F3050-5091-4211-AF8E-60739583D244}"/>
    <cellStyle name="Normal 2 2 2 2 47 10" xfId="14460" xr:uid="{B911952D-E191-406B-96CC-BA2EBE62D61A}"/>
    <cellStyle name="Normal 2 2 2 2 47 11" xfId="14461" xr:uid="{9517D282-E59D-4994-8ED9-015ADB8C05FC}"/>
    <cellStyle name="Normal 2 2 2 2 47 11 2" xfId="14462" xr:uid="{7867C55D-5E6A-4FCD-B94A-B03E14FA54F5}"/>
    <cellStyle name="Normal 2 2 2 2 47 11 3" xfId="14463" xr:uid="{E07B1883-26B7-48E6-9EFC-3E5E83251B3C}"/>
    <cellStyle name="Normal 2 2 2 2 47 11 4" xfId="14464" xr:uid="{B490B301-E88E-4CF5-9098-54950748BC01}"/>
    <cellStyle name="Normal 2 2 2 2 47 12" xfId="14465" xr:uid="{ED3E6050-E905-4659-B19D-5BC38AD4A9E8}"/>
    <cellStyle name="Normal 2 2 2 2 47 13" xfId="14466" xr:uid="{4C9FE3D7-F453-4760-A315-E11BC96AB61C}"/>
    <cellStyle name="Normal 2 2 2 2 47 14" xfId="14467" xr:uid="{3987A38F-D781-4B93-87B3-9E1768D3B189}"/>
    <cellStyle name="Normal 2 2 2 2 47 2" xfId="14468" xr:uid="{6DCA483B-177D-4F60-9907-64F1DF1883EE}"/>
    <cellStyle name="Normal 2 2 2 2 47 2 10" xfId="14469" xr:uid="{49269047-31FA-43C2-9008-06EAF1EFCF6D}"/>
    <cellStyle name="Normal 2 2 2 2 47 2 11" xfId="14470" xr:uid="{287FA608-4965-41C7-98BE-EACA8E4C2948}"/>
    <cellStyle name="Normal 2 2 2 2 47 2 2" xfId="14471" xr:uid="{A4F36643-927E-40DE-9A9B-BFE6A95F69DD}"/>
    <cellStyle name="Normal 2 2 2 2 47 2 2 10" xfId="14472" xr:uid="{6306D972-3CF6-427E-9B47-52FC576F07B7}"/>
    <cellStyle name="Normal 2 2 2 2 47 2 2 11" xfId="14473" xr:uid="{EBC46539-3266-4C48-BF63-40385A524910}"/>
    <cellStyle name="Normal 2 2 2 2 47 2 2 2" xfId="14474" xr:uid="{7BF54654-A331-412D-B6DC-457309B3D81F}"/>
    <cellStyle name="Normal 2 2 2 2 47 2 2 2 2" xfId="14475" xr:uid="{4B3D6977-0953-4D93-9C67-F27799D8BD0C}"/>
    <cellStyle name="Normal 2 2 2 2 47 2 2 2 2 2" xfId="14476" xr:uid="{FC7ED34B-8563-4145-92FF-6AD8214AAD72}"/>
    <cellStyle name="Normal 2 2 2 2 47 2 2 2 2 3" xfId="14477" xr:uid="{CD3C3501-0BAA-4EDA-9A28-1C22C276DF2C}"/>
    <cellStyle name="Normal 2 2 2 2 47 2 2 2 2 4" xfId="14478" xr:uid="{170C74B9-53FB-4E4A-9098-8D6AA4AEBBE7}"/>
    <cellStyle name="Normal 2 2 2 2 47 2 2 2 3" xfId="14479" xr:uid="{FE0E4673-1C92-4021-918A-6CA8460ECE3E}"/>
    <cellStyle name="Normal 2 2 2 2 47 2 2 2 4" xfId="14480" xr:uid="{DFED2EED-0510-447C-A51C-A52621BEEBFF}"/>
    <cellStyle name="Normal 2 2 2 2 47 2 2 2 5" xfId="14481" xr:uid="{B27A3965-A0D9-42C1-8623-346002DAA390}"/>
    <cellStyle name="Normal 2 2 2 2 47 2 2 2 6" xfId="14482" xr:uid="{BEBE70D2-B486-474E-85DB-5228BC3FCB9C}"/>
    <cellStyle name="Normal 2 2 2 2 47 2 2 3" xfId="14483" xr:uid="{D9E71A59-F565-4663-9592-E4500F6B8B1F}"/>
    <cellStyle name="Normal 2 2 2 2 47 2 2 4" xfId="14484" xr:uid="{020B0548-72B5-4395-B989-9906B64E64F3}"/>
    <cellStyle name="Normal 2 2 2 2 47 2 2 5" xfId="14485" xr:uid="{0FA9E12F-DC28-4F9F-BA13-19FEBA0F43CB}"/>
    <cellStyle name="Normal 2 2 2 2 47 2 2 6" xfId="14486" xr:uid="{A6DCD67E-F6F0-4DCC-8F86-6DFC2361D48D}"/>
    <cellStyle name="Normal 2 2 2 2 47 2 2 7" xfId="14487" xr:uid="{826D2C41-F089-4851-8D32-A7B564926EDD}"/>
    <cellStyle name="Normal 2 2 2 2 47 2 2 8" xfId="14488" xr:uid="{62B9B89A-146F-4666-A175-4F6B2DAC7F1A}"/>
    <cellStyle name="Normal 2 2 2 2 47 2 2 8 2" xfId="14489" xr:uid="{B4B3F476-C631-4176-8976-85280E606854}"/>
    <cellStyle name="Normal 2 2 2 2 47 2 2 8 3" xfId="14490" xr:uid="{5399C3A0-E391-4D98-BEC6-39491F3A0C05}"/>
    <cellStyle name="Normal 2 2 2 2 47 2 2 8 4" xfId="14491" xr:uid="{091FD4EA-87A9-4F61-8F8D-848E8E53EF93}"/>
    <cellStyle name="Normal 2 2 2 2 47 2 2 9" xfId="14492" xr:uid="{612C4585-5B10-4ED3-8F98-0F0993EF5549}"/>
    <cellStyle name="Normal 2 2 2 2 47 2 3" xfId="14493" xr:uid="{F21E6909-317D-4876-BC07-FF3D97B4422F}"/>
    <cellStyle name="Normal 2 2 2 2 47 2 3 2" xfId="14494" xr:uid="{E17670AD-E192-4BF7-9189-E69BD8BA351A}"/>
    <cellStyle name="Normal 2 2 2 2 47 2 3 2 2" xfId="14495" xr:uid="{88361462-0275-4E69-B474-CD2275C6C04B}"/>
    <cellStyle name="Normal 2 2 2 2 47 2 3 2 3" xfId="14496" xr:uid="{AFEA465A-5582-45B2-B5C5-05EEFD18720C}"/>
    <cellStyle name="Normal 2 2 2 2 47 2 3 2 4" xfId="14497" xr:uid="{1FCC5669-751F-45CC-87CF-49B85D23579D}"/>
    <cellStyle name="Normal 2 2 2 2 47 2 3 3" xfId="14498" xr:uid="{890A4392-D901-4717-AE94-9634E2DEAD7C}"/>
    <cellStyle name="Normal 2 2 2 2 47 2 3 4" xfId="14499" xr:uid="{9EE69006-31B4-4F0F-A5DC-A24F40D062D6}"/>
    <cellStyle name="Normal 2 2 2 2 47 2 3 5" xfId="14500" xr:uid="{A58996B9-F1E5-4F0E-AE7B-AE13786B3DE8}"/>
    <cellStyle name="Normal 2 2 2 2 47 2 3 6" xfId="14501" xr:uid="{865B4849-0652-49F7-B6A8-0BE9FA726721}"/>
    <cellStyle name="Normal 2 2 2 2 47 2 4" xfId="14502" xr:uid="{792B2336-BEFE-4CBD-B087-E791E725F35F}"/>
    <cellStyle name="Normal 2 2 2 2 47 2 5" xfId="14503" xr:uid="{862499C7-BF31-4EB0-A94B-42269B2F5EF3}"/>
    <cellStyle name="Normal 2 2 2 2 47 2 6" xfId="14504" xr:uid="{B92D02E0-9000-47CB-8017-545AB50F855C}"/>
    <cellStyle name="Normal 2 2 2 2 47 2 7" xfId="14505" xr:uid="{95A01314-9BCB-404C-9422-09BB3F62DFFE}"/>
    <cellStyle name="Normal 2 2 2 2 47 2 8" xfId="14506" xr:uid="{7548E238-2B00-4F1A-B2D4-74EBCFDDBAD8}"/>
    <cellStyle name="Normal 2 2 2 2 47 2 8 2" xfId="14507" xr:uid="{DD74081D-313D-4DBA-9B17-C78EE5B4C827}"/>
    <cellStyle name="Normal 2 2 2 2 47 2 8 3" xfId="14508" xr:uid="{4A594D20-BE33-4C89-A0A6-0053EFB93BE5}"/>
    <cellStyle name="Normal 2 2 2 2 47 2 8 4" xfId="14509" xr:uid="{C5DAC526-233E-4019-96C3-CCBA180FD041}"/>
    <cellStyle name="Normal 2 2 2 2 47 2 9" xfId="14510" xr:uid="{28FAB4FB-0D5E-4CFF-B1EC-CBD99664A714}"/>
    <cellStyle name="Normal 2 2 2 2 47 3" xfId="14511" xr:uid="{827DE24E-9516-49ED-B3F9-D2D074BAB290}"/>
    <cellStyle name="Normal 2 2 2 2 47 4" xfId="14512" xr:uid="{6D4DFE37-9229-4FF4-B141-1B0D3E716ED6}"/>
    <cellStyle name="Normal 2 2 2 2 47 5" xfId="14513" xr:uid="{F4CC9C94-86A3-433C-9A06-D76B06CCD118}"/>
    <cellStyle name="Normal 2 2 2 2 47 5 2" xfId="14514" xr:uid="{E337C892-442B-4CE1-8E41-92DD090C44BD}"/>
    <cellStyle name="Normal 2 2 2 2 47 5 2 2" xfId="14515" xr:uid="{982BB10B-0454-4945-A76F-70BE9CBB20EB}"/>
    <cellStyle name="Normal 2 2 2 2 47 5 2 3" xfId="14516" xr:uid="{5CD0B93B-C25C-4AA9-9A5F-81C01F6DD789}"/>
    <cellStyle name="Normal 2 2 2 2 47 5 2 4" xfId="14517" xr:uid="{5730E030-2E90-432B-9779-9890A58BF486}"/>
    <cellStyle name="Normal 2 2 2 2 47 5 3" xfId="14518" xr:uid="{C514E7A1-0B08-4068-86FC-97DCDBC45875}"/>
    <cellStyle name="Normal 2 2 2 2 47 5 4" xfId="14519" xr:uid="{122E5CE1-5B67-429E-A311-BDDF1C1EC49E}"/>
    <cellStyle name="Normal 2 2 2 2 47 5 5" xfId="14520" xr:uid="{26AFF02C-047E-4D71-8561-84D456B2668F}"/>
    <cellStyle name="Normal 2 2 2 2 47 5 6" xfId="14521" xr:uid="{A04910B1-56EB-41E9-95EB-F53C1012D421}"/>
    <cellStyle name="Normal 2 2 2 2 47 6" xfId="14522" xr:uid="{49B941E6-FF01-4A22-BAE8-DDE84537E7B3}"/>
    <cellStyle name="Normal 2 2 2 2 47 7" xfId="14523" xr:uid="{A0A90C68-CAE8-4177-83BE-5673EA322C5C}"/>
    <cellStyle name="Normal 2 2 2 2 47 8" xfId="14524" xr:uid="{001E9BFD-A5E9-483F-8EE8-922B6D571A90}"/>
    <cellStyle name="Normal 2 2 2 2 47 9" xfId="14525" xr:uid="{89FF6FD5-409D-4349-A957-B32E10D7CF2C}"/>
    <cellStyle name="Normal 2 2 2 2 48" xfId="14526" xr:uid="{C2AE9821-F327-44FD-B24E-BFA98CE37658}"/>
    <cellStyle name="Normal 2 2 2 2 49" xfId="14527" xr:uid="{C118838F-DA22-4D5B-AC88-F4791A5AD861}"/>
    <cellStyle name="Normal 2 2 2 2 49 10" xfId="14528" xr:uid="{257D08D4-A493-4ED5-A2E9-6A33ADC24865}"/>
    <cellStyle name="Normal 2 2 2 2 49 11" xfId="14529" xr:uid="{290A8B5E-8A52-4E00-9AB4-FD1206AE64FF}"/>
    <cellStyle name="Normal 2 2 2 2 49 2" xfId="14530" xr:uid="{C0548BAF-7B7D-407C-86DD-AAFA8BE9962B}"/>
    <cellStyle name="Normal 2 2 2 2 49 2 10" xfId="14531" xr:uid="{637F4EE1-154A-4238-8982-55C8C2D0F4C3}"/>
    <cellStyle name="Normal 2 2 2 2 49 2 11" xfId="14532" xr:uid="{2EE8BE7E-A118-40B2-A078-6C8EE3D5674A}"/>
    <cellStyle name="Normal 2 2 2 2 49 2 2" xfId="14533" xr:uid="{33C35818-3225-41B6-BDB3-32E95136A029}"/>
    <cellStyle name="Normal 2 2 2 2 49 2 2 2" xfId="14534" xr:uid="{F5D26A30-1F02-4636-8D30-08ACC0564861}"/>
    <cellStyle name="Normal 2 2 2 2 49 2 2 2 2" xfId="14535" xr:uid="{B380ECB1-5E46-430D-8EB4-C30BB6F9311E}"/>
    <cellStyle name="Normal 2 2 2 2 49 2 2 2 3" xfId="14536" xr:uid="{7F2F8C87-87C4-4B25-8A9C-06614CDD29BF}"/>
    <cellStyle name="Normal 2 2 2 2 49 2 2 2 4" xfId="14537" xr:uid="{C71B332A-B9C8-4BE1-B204-852128E0BD89}"/>
    <cellStyle name="Normal 2 2 2 2 49 2 2 3" xfId="14538" xr:uid="{12D517AC-FF7D-4262-8640-932C6C28CD05}"/>
    <cellStyle name="Normal 2 2 2 2 49 2 2 4" xfId="14539" xr:uid="{1303F941-1752-43F5-9032-A2B91E600D5E}"/>
    <cellStyle name="Normal 2 2 2 2 49 2 2 5" xfId="14540" xr:uid="{1DFCC806-43BF-41C8-B1F7-050042619783}"/>
    <cellStyle name="Normal 2 2 2 2 49 2 2 6" xfId="14541" xr:uid="{C0FCCDAB-A4AF-48E7-AF6B-02B33BB4114A}"/>
    <cellStyle name="Normal 2 2 2 2 49 2 3" xfId="14542" xr:uid="{9C2F888D-0D46-4B45-B67D-B9955E42359C}"/>
    <cellStyle name="Normal 2 2 2 2 49 2 4" xfId="14543" xr:uid="{F4940075-0211-4D08-A370-302627141C1A}"/>
    <cellStyle name="Normal 2 2 2 2 49 2 5" xfId="14544" xr:uid="{65D7BFB4-AD47-4054-B873-342B25A598A9}"/>
    <cellStyle name="Normal 2 2 2 2 49 2 6" xfId="14545" xr:uid="{1500B012-FC47-4AEF-AE06-EBF55483FCD3}"/>
    <cellStyle name="Normal 2 2 2 2 49 2 7" xfId="14546" xr:uid="{C7522BC9-D020-4065-8486-3AD4D66E9FDB}"/>
    <cellStyle name="Normal 2 2 2 2 49 2 8" xfId="14547" xr:uid="{8C760694-7B94-4E74-93BC-136C518A9785}"/>
    <cellStyle name="Normal 2 2 2 2 49 2 8 2" xfId="14548" xr:uid="{697FF8E5-B640-46F1-A14B-953CAC5FD326}"/>
    <cellStyle name="Normal 2 2 2 2 49 2 8 3" xfId="14549" xr:uid="{EE75F6F3-65CA-40C2-9691-23206CCFEFF0}"/>
    <cellStyle name="Normal 2 2 2 2 49 2 8 4" xfId="14550" xr:uid="{34933A49-7174-4F8A-9EAC-868A8237D1CC}"/>
    <cellStyle name="Normal 2 2 2 2 49 2 9" xfId="14551" xr:uid="{9336D839-18F6-4F82-970D-74AECBB41737}"/>
    <cellStyle name="Normal 2 2 2 2 49 3" xfId="14552" xr:uid="{2223FCF2-B08C-43BE-97AE-F76EBC00FF96}"/>
    <cellStyle name="Normal 2 2 2 2 49 3 2" xfId="14553" xr:uid="{3BFEB8B3-D33F-4C3C-A35E-F7A63C020577}"/>
    <cellStyle name="Normal 2 2 2 2 49 3 2 2" xfId="14554" xr:uid="{9C0AE523-CC05-4C25-AB95-6B7CD3E6193B}"/>
    <cellStyle name="Normal 2 2 2 2 49 3 2 3" xfId="14555" xr:uid="{BAC56F47-7A97-45F1-B5AD-2EEF529E5E30}"/>
    <cellStyle name="Normal 2 2 2 2 49 3 2 4" xfId="14556" xr:uid="{3A759A1A-91EE-40B2-807C-6D65AE3A384C}"/>
    <cellStyle name="Normal 2 2 2 2 49 3 3" xfId="14557" xr:uid="{75DD76F1-F07C-49B0-8AAF-46C99BC3919C}"/>
    <cellStyle name="Normal 2 2 2 2 49 3 4" xfId="14558" xr:uid="{C1902415-D691-4F51-B091-E217266151F1}"/>
    <cellStyle name="Normal 2 2 2 2 49 3 5" xfId="14559" xr:uid="{8200B58F-E35B-4BFE-939B-5F7559B28592}"/>
    <cellStyle name="Normal 2 2 2 2 49 3 6" xfId="14560" xr:uid="{0AE8AB02-373A-4C87-B19E-41D00224D6B7}"/>
    <cellStyle name="Normal 2 2 2 2 49 4" xfId="14561" xr:uid="{4DAE746C-B141-4F12-92F5-E928EBF8B075}"/>
    <cellStyle name="Normal 2 2 2 2 49 5" xfId="14562" xr:uid="{32563344-462C-4A1A-B364-A63EB05F8FCD}"/>
    <cellStyle name="Normal 2 2 2 2 49 6" xfId="14563" xr:uid="{A03C99EC-DB64-4CC4-A17B-B52E5BCC7077}"/>
    <cellStyle name="Normal 2 2 2 2 49 7" xfId="14564" xr:uid="{38E2C18B-0C1C-4F2E-B6F3-FF599B23013A}"/>
    <cellStyle name="Normal 2 2 2 2 49 8" xfId="14565" xr:uid="{DF51052C-4063-42B5-BD3D-06A4B8DEB2E2}"/>
    <cellStyle name="Normal 2 2 2 2 49 8 2" xfId="14566" xr:uid="{372E41C1-476D-46FE-94E4-0792ED3CE503}"/>
    <cellStyle name="Normal 2 2 2 2 49 8 3" xfId="14567" xr:uid="{ACFEAB71-09BA-43C9-9FA9-302FC0D34F0E}"/>
    <cellStyle name="Normal 2 2 2 2 49 8 4" xfId="14568" xr:uid="{E4A2B709-4815-497D-A4E0-DF209865829C}"/>
    <cellStyle name="Normal 2 2 2 2 49 9" xfId="14569" xr:uid="{E8D1A8F5-7471-487F-9C78-43F2C0561080}"/>
    <cellStyle name="Normal 2 2 2 2 5" xfId="14570" xr:uid="{F8E1FC72-0A9E-44CE-B9C9-14658367CF07}"/>
    <cellStyle name="Normal 2 2 2 2 5 2" xfId="14571" xr:uid="{0288FDC1-4464-4096-B0D5-C9613EA87084}"/>
    <cellStyle name="Normal 2 2 2 2 50" xfId="14572" xr:uid="{22CD3D00-D182-48B0-BCA8-87A6D4A1A48F}"/>
    <cellStyle name="Normal 2 2 2 2 51" xfId="14573" xr:uid="{514B6373-8CB3-4C2B-ACEB-E76B17316A7D}"/>
    <cellStyle name="Normal 2 2 2 2 51 2" xfId="14574" xr:uid="{1692DED5-8679-4F98-ADB8-EF8BAB2403B8}"/>
    <cellStyle name="Normal 2 2 2 2 51 2 2" xfId="14575" xr:uid="{536CB7B3-3E9A-4D5D-8403-2EE6527BFCAC}"/>
    <cellStyle name="Normal 2 2 2 2 51 2 3" xfId="14576" xr:uid="{42C83169-FD33-4372-A17B-04BF52CC7EE0}"/>
    <cellStyle name="Normal 2 2 2 2 51 2 4" xfId="14577" xr:uid="{429A2CBA-2DEA-464B-A31F-08DA5FDB1748}"/>
    <cellStyle name="Normal 2 2 2 2 51 3" xfId="14578" xr:uid="{F5997F26-F552-4509-A8B4-C4D68C38DF9D}"/>
    <cellStyle name="Normal 2 2 2 2 51 4" xfId="14579" xr:uid="{B36668A0-BE16-4399-B2CC-8DDFBE323C1D}"/>
    <cellStyle name="Normal 2 2 2 2 51 5" xfId="14580" xr:uid="{B4EDEE32-ECB4-469B-9549-7A8647836A7D}"/>
    <cellStyle name="Normal 2 2 2 2 51 6" xfId="14581" xr:uid="{CA4DDA29-9A09-4CE2-8B6C-CE4086BD3F8A}"/>
    <cellStyle name="Normal 2 2 2 2 52" xfId="14582" xr:uid="{7CEB6819-31B4-4433-AAE7-20916488CAB7}"/>
    <cellStyle name="Normal 2 2 2 2 53" xfId="14583" xr:uid="{FF694CEA-1675-45F4-8F82-A15AB5AA38A0}"/>
    <cellStyle name="Normal 2 2 2 2 54" xfId="14584" xr:uid="{311233DA-EC33-42ED-B4D7-D50127A1DC96}"/>
    <cellStyle name="Normal 2 2 2 2 55" xfId="14585" xr:uid="{26E2058D-955C-40B6-ABF1-E86731673354}"/>
    <cellStyle name="Normal 2 2 2 2 56" xfId="14586" xr:uid="{23F5300B-76F6-4640-B1A8-BB93A6587948}"/>
    <cellStyle name="Normal 2 2 2 2 57" xfId="14587" xr:uid="{9DC6E4BD-45AC-43BC-9485-80CD6EF6E832}"/>
    <cellStyle name="Normal 2 2 2 2 57 2" xfId="14588" xr:uid="{B3F8692B-A794-4020-9DAC-71F1E51DC30B}"/>
    <cellStyle name="Normal 2 2 2 2 57 3" xfId="14589" xr:uid="{20806C5D-097A-4E1A-B446-34CB41B07511}"/>
    <cellStyle name="Normal 2 2 2 2 57 4" xfId="14590" xr:uid="{2F1AEC3E-88D7-4B28-82E7-922317F32E5A}"/>
    <cellStyle name="Normal 2 2 2 2 58" xfId="14591" xr:uid="{FCE695FA-365D-47B8-A5A4-8B86728D1254}"/>
    <cellStyle name="Normal 2 2 2 2 59" xfId="14592" xr:uid="{15975D08-D16C-4A0B-83B9-17CD23546DB5}"/>
    <cellStyle name="Normal 2 2 2 2 6" xfId="14593" xr:uid="{C3201E91-3C40-4667-A982-3DA78B5B1F3F}"/>
    <cellStyle name="Normal 2 2 2 2 6 2" xfId="14594" xr:uid="{7BF0BB61-0324-49B2-9827-31F85ED6AA70}"/>
    <cellStyle name="Normal 2 2 2 2 60" xfId="14595" xr:uid="{E67D4645-462A-4D3D-BBF1-420F6630D181}"/>
    <cellStyle name="Normal 2 2 2 2 61" xfId="14596" xr:uid="{C5C1D2BA-B20A-4F84-8060-F3C3235E8A25}"/>
    <cellStyle name="Normal 2 2 2 2 62" xfId="14597" xr:uid="{7166736B-283B-469F-A4FE-CE21CC7CCB14}"/>
    <cellStyle name="Normal 2 2 2 2 63" xfId="14598" xr:uid="{FC122209-7742-4592-AEA5-BB1275C8F1FC}"/>
    <cellStyle name="Normal 2 2 2 2 64" xfId="14599" xr:uid="{3D9D284D-13C3-4597-A069-67B8FC96D28D}"/>
    <cellStyle name="Normal 2 2 2 2 65" xfId="14600" xr:uid="{48B198D9-8B83-4EDB-BF42-5746A78ADFC6}"/>
    <cellStyle name="Normal 2 2 2 2 66" xfId="14601" xr:uid="{0D1F77C7-EC4E-47E8-9B97-4E633DEBAB5F}"/>
    <cellStyle name="Normal 2 2 2 2 67" xfId="14602" xr:uid="{BFA57DFE-E7E1-45CE-A2D1-5B4E173FEB4D}"/>
    <cellStyle name="Normal 2 2 2 2 68" xfId="14603" xr:uid="{53B43D15-4A81-412A-9990-954CAC1AEEBA}"/>
    <cellStyle name="Normal 2 2 2 2 69" xfId="14604" xr:uid="{D80D1C19-DDB2-47D4-A7BB-0E6A539B551E}"/>
    <cellStyle name="Normal 2 2 2 2 7" xfId="14605" xr:uid="{BD8046B8-01A8-4392-88B0-5CBE0D313F21}"/>
    <cellStyle name="Normal 2 2 2 2 7 2" xfId="14606" xr:uid="{06F5AE54-A5CA-424E-A358-F07CE6192E13}"/>
    <cellStyle name="Normal 2 2 2 2 70" xfId="14607" xr:uid="{82FAAE35-57C3-4712-BA09-4703B3C04B32}"/>
    <cellStyle name="Normal 2 2 2 2 71" xfId="14608" xr:uid="{A59E4AB5-5D97-48A0-B9E4-8673320F0DC4}"/>
    <cellStyle name="Normal 2 2 2 2 72" xfId="14609" xr:uid="{94C17DB0-8903-4EBC-81A6-8DA916471FA4}"/>
    <cellStyle name="Normal 2 2 2 2 72 2" xfId="14610" xr:uid="{F8F965C9-D1B0-41C1-B130-77B4C475ADE3}"/>
    <cellStyle name="Normal 2 2 2 2 72 3" xfId="14611" xr:uid="{4B24C081-3F85-47AC-B16B-B136C055D386}"/>
    <cellStyle name="Normal 2 2 2 2 72 4" xfId="14612" xr:uid="{307450D3-028D-4CFF-B34F-920401020B13}"/>
    <cellStyle name="Normal 2 2 2 2 72 5" xfId="14613" xr:uid="{537AC6B1-8D2C-4FB6-BD54-7889F4C218B1}"/>
    <cellStyle name="Normal 2 2 2 2 72 6" xfId="14614" xr:uid="{9B50C13D-5904-4D6E-9738-51375D9B9B22}"/>
    <cellStyle name="Normal 2 2 2 2 72 7" xfId="14615" xr:uid="{F3F2EFD7-9FE0-49BD-ADA4-CFB3F84CFD44}"/>
    <cellStyle name="Normal 2 2 2 2 73" xfId="14616" xr:uid="{7E358CD6-C122-467A-8E16-CAE2364656A0}"/>
    <cellStyle name="Normal 2 2 2 2 74" xfId="14617" xr:uid="{5F8D3993-2EA2-40E2-AD29-E440C7287665}"/>
    <cellStyle name="Normal 2 2 2 2 75" xfId="14618" xr:uid="{4F684937-4E3E-4619-8237-E66D3D4D7989}"/>
    <cellStyle name="Normal 2 2 2 2 76" xfId="14619" xr:uid="{ACB77C27-70A3-4C7A-9CBC-B39187538837}"/>
    <cellStyle name="Normal 2 2 2 2 77" xfId="14620" xr:uid="{9FC60AC8-5767-40B8-9E5C-AA1D21CCF671}"/>
    <cellStyle name="Normal 2 2 2 2 78" xfId="14621" xr:uid="{72287FD0-E2A8-4CAB-980C-8ACD0616952F}"/>
    <cellStyle name="Normal 2 2 2 2 79" xfId="14622" xr:uid="{A919106E-75E2-44F7-AD32-5BC1FDD788D9}"/>
    <cellStyle name="Normal 2 2 2 2 8" xfId="14623" xr:uid="{F377F2F0-DB01-47F4-8406-D8B92758B419}"/>
    <cellStyle name="Normal 2 2 2 2 8 2" xfId="14624" xr:uid="{A9119C72-7282-437D-A8FB-176238194064}"/>
    <cellStyle name="Normal 2 2 2 2 80" xfId="14625" xr:uid="{3FBB9239-8775-44BA-9332-D76E6EE45FA8}"/>
    <cellStyle name="Normal 2 2 2 2 81" xfId="14626" xr:uid="{9B818D64-579A-4593-A827-AC607C8A5055}"/>
    <cellStyle name="Normal 2 2 2 2 82" xfId="14627" xr:uid="{FD308FAD-23AB-44DB-A281-E7327CE368EB}"/>
    <cellStyle name="Normal 2 2 2 2 83" xfId="14628" xr:uid="{C8E89980-92CA-42B1-AFF1-3A89EA1C2CFE}"/>
    <cellStyle name="Normal 2 2 2 2 84" xfId="14629" xr:uid="{B4BF567B-D72F-45FC-BBC2-A20C9CE0C0DE}"/>
    <cellStyle name="Normal 2 2 2 2 85" xfId="14630" xr:uid="{56F8D923-D5EA-469B-9351-2991DDF1F311}"/>
    <cellStyle name="Normal 2 2 2 2 86" xfId="14631" xr:uid="{D8B7EE83-CCC7-49C0-B27A-44A950036A46}"/>
    <cellStyle name="Normal 2 2 2 2 87" xfId="14632" xr:uid="{D01C1C51-9243-4B25-8C0E-A8533FA1ACB0}"/>
    <cellStyle name="Normal 2 2 2 2 88" xfId="14633" xr:uid="{B4B743F5-31A1-48B2-AF02-9A8FCD80BF80}"/>
    <cellStyle name="Normal 2 2 2 2 89" xfId="14634" xr:uid="{9447D15E-8C8E-4BEB-AA64-A492C9C48CC3}"/>
    <cellStyle name="Normal 2 2 2 2 9" xfId="14635" xr:uid="{AA340D84-FC29-4FF2-9D28-E69D35847437}"/>
    <cellStyle name="Normal 2 2 2 2 9 2" xfId="14636" xr:uid="{B2001A0B-DAF6-4861-A947-9BF7F1A8BC4D}"/>
    <cellStyle name="Normal 2 2 2 2 90" xfId="14637" xr:uid="{2D70A52E-FB20-403D-8C91-BA92E1C79E43}"/>
    <cellStyle name="Normal 2 2 2 2 91" xfId="14638" xr:uid="{E0772975-6162-48B8-89F2-AF0517425AB2}"/>
    <cellStyle name="Normal 2 2 2 2 92" xfId="14639" xr:uid="{8A4D556D-AD5E-4BFA-88E4-0DF2C6A2CB5F}"/>
    <cellStyle name="Normal 2 2 2 2 93" xfId="14640" xr:uid="{A9FBE674-0CBE-490E-8F9F-CA4882657139}"/>
    <cellStyle name="Normal 2 2 2 2 94" xfId="14641" xr:uid="{534C12DE-6EC3-4194-91C0-8CFE849FE4A0}"/>
    <cellStyle name="Normal 2 2 2 2 95" xfId="14642" xr:uid="{D7E7FECC-9DF6-429F-8A0C-6B153C648180}"/>
    <cellStyle name="Normal 2 2 2 2 96" xfId="14643" xr:uid="{9313D46E-8204-4360-8565-B76FD9BAAAE4}"/>
    <cellStyle name="Normal 2 2 2 2 97" xfId="14644" xr:uid="{F12F471A-EA2D-442F-BAF4-6DAD03935B83}"/>
    <cellStyle name="Normal 2 2 2 2 98" xfId="14645" xr:uid="{792BC621-CEF2-4620-BB85-67B7D24281A5}"/>
    <cellStyle name="Normal 2 2 2 2 99" xfId="14646" xr:uid="{EAA7F571-3823-4138-8FB3-71CCDF69D4A4}"/>
    <cellStyle name="Normal 2 2 2 20" xfId="14647" xr:uid="{1D9B4D67-2152-4A4F-9D32-B0B842967B8A}"/>
    <cellStyle name="Normal 2 2 2 20 2" xfId="14648" xr:uid="{62642228-5AFA-4923-8D4B-5BD84088FDF8}"/>
    <cellStyle name="Normal 2 2 2 21" xfId="14649" xr:uid="{57729BFC-3E0E-4757-9597-B66DA7579F80}"/>
    <cellStyle name="Normal 2 2 2 21 2" xfId="14650" xr:uid="{2EAD5C43-FAA6-4D6D-8947-680AE7D655DA}"/>
    <cellStyle name="Normal 2 2 2 22" xfId="14651" xr:uid="{97D1B95D-3AA6-4A33-B2B5-31DF859AB100}"/>
    <cellStyle name="Normal 2 2 2 22 2" xfId="14652" xr:uid="{232208DC-F8A5-4EF0-BD06-7C9A9060F8DD}"/>
    <cellStyle name="Normal 2 2 2 23" xfId="14653" xr:uid="{B78E1663-9147-4355-A941-580F55F122A5}"/>
    <cellStyle name="Normal 2 2 2 23 2" xfId="14654" xr:uid="{B557D717-2722-492D-9A8E-AEF3C254A3F3}"/>
    <cellStyle name="Normal 2 2 2 24" xfId="14655" xr:uid="{AF1CCE1F-1420-4EE0-A7B5-644E8300A4BE}"/>
    <cellStyle name="Normal 2 2 2 24 2" xfId="14656" xr:uid="{880C7439-86ED-4730-B7B0-699761BD972D}"/>
    <cellStyle name="Normal 2 2 2 25" xfId="14657" xr:uid="{72F5DDC6-0ECE-4436-85D6-C41714A9C69E}"/>
    <cellStyle name="Normal 2 2 2 25 2" xfId="14658" xr:uid="{14BB34EE-4859-44A8-BCE4-EDABBB56D34B}"/>
    <cellStyle name="Normal 2 2 2 26" xfId="14659" xr:uid="{B4BA223C-54CE-4784-8683-CC6F5EED0197}"/>
    <cellStyle name="Normal 2 2 2 26 2" xfId="14660" xr:uid="{4041D023-D998-4F5B-9C76-AAF46E8B98C8}"/>
    <cellStyle name="Normal 2 2 2 27" xfId="14661" xr:uid="{4D6AC7A8-B368-45D9-AAFD-E64B8EA4F554}"/>
    <cellStyle name="Normal 2 2 2 27 2" xfId="14662" xr:uid="{31DB7DC5-D576-44FA-8F20-E3483B45ACF2}"/>
    <cellStyle name="Normal 2 2 2 28" xfId="14663" xr:uid="{FB6DBB44-2134-4172-AA78-48B56E510FFF}"/>
    <cellStyle name="Normal 2 2 2 28 2" xfId="14664" xr:uid="{88DA60AA-FF1C-4E4F-8E0E-4842FAFC2054}"/>
    <cellStyle name="Normal 2 2 2 28 2 2" xfId="14665" xr:uid="{E9C4EE6B-6A0C-41C3-8F49-D31CB62ECFDB}"/>
    <cellStyle name="Normal 2 2 2 28 2 2 2" xfId="14666" xr:uid="{4F731F40-3C1F-4A44-AD36-47904E343E1F}"/>
    <cellStyle name="Normal 2 2 2 28 3" xfId="14667" xr:uid="{F2DFE5A4-BB70-4CD3-9392-8CDFB9909B61}"/>
    <cellStyle name="Normal 2 2 2 28 4" xfId="14668" xr:uid="{DA0F7017-3AB1-45D4-A2BB-43DE62E9F889}"/>
    <cellStyle name="Normal 2 2 2 28 5" xfId="14669" xr:uid="{D43DD5CD-35BD-40E8-B64C-5805D940C6D4}"/>
    <cellStyle name="Normal 2 2 2 28 6" xfId="14670" xr:uid="{20B7FE37-3E40-4D46-9E1D-59F03E5E7199}"/>
    <cellStyle name="Normal 2 2 2 28 7" xfId="14671" xr:uid="{C41FED8E-9915-48EF-B046-1690DED12E28}"/>
    <cellStyle name="Normal 2 2 2 29" xfId="14672" xr:uid="{147F9EC0-DF37-46F0-8B41-A58888D3C729}"/>
    <cellStyle name="Normal 2 2 2 29 2" xfId="14673" xr:uid="{4C9C11D3-6D6A-412C-B86D-F9F51E843514}"/>
    <cellStyle name="Normal 2 2 2 29 2 2" xfId="14674" xr:uid="{22A2D04F-674C-4DA6-9E15-C1393F926643}"/>
    <cellStyle name="Normal 2 2 2 29 2 3" xfId="14675" xr:uid="{CE542109-3EA7-4BCB-A6B2-897D05C80A29}"/>
    <cellStyle name="Normal 2 2 2 29 3" xfId="14676" xr:uid="{D5CCE51E-9A8E-4350-999C-C267F9100235}"/>
    <cellStyle name="Normal 2 2 2 3" xfId="14677" xr:uid="{E792809C-303C-4BE9-B0A8-00D9D294C004}"/>
    <cellStyle name="Normal 2 2 2 3 10" xfId="14678" xr:uid="{C264C49F-4834-4E03-863A-5EC76404A24D}"/>
    <cellStyle name="Normal 2 2 2 3 11" xfId="14679" xr:uid="{B775110B-4D26-4CB3-995B-8B74F1E34160}"/>
    <cellStyle name="Normal 2 2 2 3 12" xfId="14680" xr:uid="{47C6B4C3-537B-42D9-B8BA-3038704287B6}"/>
    <cellStyle name="Normal 2 2 2 3 13" xfId="14681" xr:uid="{98DF4FEB-1C38-4531-AB75-33D1A4C4E6D0}"/>
    <cellStyle name="Normal 2 2 2 3 14" xfId="14682" xr:uid="{B65A04B7-F1DF-4538-94ED-4BF6D2DDDAA9}"/>
    <cellStyle name="Normal 2 2 2 3 15" xfId="14683" xr:uid="{76A0970C-447E-4BA7-B5FC-5A484410D783}"/>
    <cellStyle name="Normal 2 2 2 3 16" xfId="14684" xr:uid="{D829799E-4215-4850-ACEF-9523B7BC4DCD}"/>
    <cellStyle name="Normal 2 2 2 3 17" xfId="14685" xr:uid="{CBB9F664-50EB-49A4-B4A4-E91055D14C8D}"/>
    <cellStyle name="Normal 2 2 2 3 18" xfId="14686" xr:uid="{E923F088-5DE9-463B-BAC1-D81848A75520}"/>
    <cellStyle name="Normal 2 2 2 3 2" xfId="14687" xr:uid="{F08A5492-F984-4214-A8C2-EB5A618B29A7}"/>
    <cellStyle name="Normal 2 2 2 3 2 10" xfId="14688" xr:uid="{D472CB1F-0EE4-4558-859F-8D407DD73B90}"/>
    <cellStyle name="Normal 2 2 2 3 2 11" xfId="14689" xr:uid="{85B4CA8F-C311-4067-BBA0-5860C10AA7C9}"/>
    <cellStyle name="Normal 2 2 2 3 2 12" xfId="14690" xr:uid="{99E2F0F9-A145-4824-836F-1D68101CD952}"/>
    <cellStyle name="Normal 2 2 2 3 2 13" xfId="14691" xr:uid="{5EEC437D-EDBC-4A15-B24A-109C0AD1367D}"/>
    <cellStyle name="Normal 2 2 2 3 2 14" xfId="14692" xr:uid="{AC975E89-819D-47C7-974B-6409422E6DF7}"/>
    <cellStyle name="Normal 2 2 2 3 2 15" xfId="14693" xr:uid="{00A0961E-B73D-4A96-942C-99DA2C93774E}"/>
    <cellStyle name="Normal 2 2 2 3 2 16" xfId="14694" xr:uid="{914A370F-156E-4F58-8EC5-A24DA13AD7D8}"/>
    <cellStyle name="Normal 2 2 2 3 2 17" xfId="14695" xr:uid="{0720AFA9-0497-4F2F-ADEA-44D6F3609E60}"/>
    <cellStyle name="Normal 2 2 2 3 2 2" xfId="14696" xr:uid="{791FCDF2-52E8-43F6-99D8-16C9D86B203F}"/>
    <cellStyle name="Normal 2 2 2 3 2 2 2" xfId="14697" xr:uid="{B0A0BAF9-A4CC-4F3C-9A8C-A63959AB791A}"/>
    <cellStyle name="Normal 2 2 2 3 2 2 2 2" xfId="14698" xr:uid="{61023650-F9CB-4230-847D-9CE3278F265B}"/>
    <cellStyle name="Normal 2 2 2 3 2 2 2 3" xfId="14699" xr:uid="{2DCC7B89-8FE9-4FE3-AC56-04F2C9CED419}"/>
    <cellStyle name="Normal 2 2 2 3 2 2 2 4" xfId="14700" xr:uid="{2CB3E83B-4FE3-4C42-A57B-7DCC377AF2BB}"/>
    <cellStyle name="Normal 2 2 2 3 2 2 2 5" xfId="14701" xr:uid="{220352B4-C8D3-4110-BE3E-DC6553B02C9D}"/>
    <cellStyle name="Normal 2 2 2 3 2 2 2 6" xfId="14702" xr:uid="{085CE474-1084-4D28-AD63-E69ADC57DBA9}"/>
    <cellStyle name="Normal 2 2 2 3 2 2 2 7" xfId="14703" xr:uid="{40C14AE0-62BB-4A52-AB79-7F1FAF9FA6CB}"/>
    <cellStyle name="Normal 2 2 2 3 2 2 2 8" xfId="14704" xr:uid="{EB579B0A-B850-437A-A355-299FAB17BE2B}"/>
    <cellStyle name="Normal 2 2 2 3 2 2 2 9" xfId="14705" xr:uid="{59BD1112-2AC9-4D52-815D-516986493CC9}"/>
    <cellStyle name="Normal 2 2 2 3 2 2 3" xfId="14706" xr:uid="{0E1538A1-02B8-4F05-9B3C-CA970372BD61}"/>
    <cellStyle name="Normal 2 2 2 3 2 2 4" xfId="14707" xr:uid="{2D411647-C645-4CF1-9D04-A8B841B6DE5D}"/>
    <cellStyle name="Normal 2 2 2 3 2 2 5" xfId="14708" xr:uid="{5167CB15-2604-4688-8EE1-6A53E579044A}"/>
    <cellStyle name="Normal 2 2 2 3 2 2 6" xfId="14709" xr:uid="{20308B41-A650-4C0F-B6B7-4ADC01E1A343}"/>
    <cellStyle name="Normal 2 2 2 3 2 2 7" xfId="14710" xr:uid="{56604217-8518-45B3-8F29-BA6B63924933}"/>
    <cellStyle name="Normal 2 2 2 3 2 2 8" xfId="14711" xr:uid="{663A5652-30A9-4DC2-8702-2AE9CE2A769E}"/>
    <cellStyle name="Normal 2 2 2 3 2 2 9" xfId="14712" xr:uid="{0A603114-DF6C-448D-A8B0-952A9896CD39}"/>
    <cellStyle name="Normal 2 2 2 3 2 3" xfId="14713" xr:uid="{AF6D8BF6-4B1A-42CE-B203-5F42F370DFD3}"/>
    <cellStyle name="Normal 2 2 2 3 2 4" xfId="14714" xr:uid="{D112B4D2-D1F4-4605-B76C-F50CE8A78012}"/>
    <cellStyle name="Normal 2 2 2 3 2 5" xfId="14715" xr:uid="{AD1A9E37-FA46-4DCE-8BFC-22BBCC17FC3E}"/>
    <cellStyle name="Normal 2 2 2 3 2 6" xfId="14716" xr:uid="{B0358E91-85AA-41AA-995C-037EBD6BB43D}"/>
    <cellStyle name="Normal 2 2 2 3 2 7" xfId="14717" xr:uid="{C0503259-87A9-4DC4-8B8D-9402A67CC567}"/>
    <cellStyle name="Normal 2 2 2 3 2 8" xfId="14718" xr:uid="{96990199-DC02-4020-987A-AE391C9FE99A}"/>
    <cellStyle name="Normal 2 2 2 3 2 9" xfId="14719" xr:uid="{5A642612-E36D-4BFE-82F9-B7C633AB3260}"/>
    <cellStyle name="Normal 2 2 2 3 3" xfId="14720" xr:uid="{88A05027-BF59-4171-A261-FCE6AB830C20}"/>
    <cellStyle name="Normal 2 2 2 3 3 2" xfId="14721" xr:uid="{23474F93-EDC6-40EF-8BA3-5223AF4A1EFD}"/>
    <cellStyle name="Normal 2 2 2 3 3 2 2" xfId="14722" xr:uid="{630095CF-63F7-4AF9-8404-E8B1B7F8A99C}"/>
    <cellStyle name="Normal 2 2 2 3 3 2 3" xfId="14723" xr:uid="{D5DFCACA-4FA6-45CA-9E09-87A4F06B5525}"/>
    <cellStyle name="Normal 2 2 2 3 3 2 4" xfId="14724" xr:uid="{4DBDCC73-FC57-4D2F-BA38-9B0569C034D1}"/>
    <cellStyle name="Normal 2 2 2 3 3 2 5" xfId="14725" xr:uid="{8941C110-0723-4BE2-A302-D338584A0298}"/>
    <cellStyle name="Normal 2 2 2 3 3 2 6" xfId="14726" xr:uid="{64C66137-0F2C-4DCF-8E8D-CEDAF3481C47}"/>
    <cellStyle name="Normal 2 2 2 3 3 2 7" xfId="14727" xr:uid="{7AEB07D4-0E94-4D50-870D-EFA9DC009294}"/>
    <cellStyle name="Normal 2 2 2 3 3 2 8" xfId="14728" xr:uid="{8B0D1D3D-451C-43F9-A371-7DC64978344C}"/>
    <cellStyle name="Normal 2 2 2 3 3 2 9" xfId="14729" xr:uid="{80C3AF53-7604-4855-85CE-E4A5706061AA}"/>
    <cellStyle name="Normal 2 2 2 3 3 3" xfId="14730" xr:uid="{62AB0C88-8062-4657-A2EF-7E61EE6F76CF}"/>
    <cellStyle name="Normal 2 2 2 3 3 4" xfId="14731" xr:uid="{0C38EACC-8F34-4A6C-9A13-C05F885D9074}"/>
    <cellStyle name="Normal 2 2 2 3 3 5" xfId="14732" xr:uid="{D907400B-8D21-4785-8C15-2524642F506F}"/>
    <cellStyle name="Normal 2 2 2 3 3 6" xfId="14733" xr:uid="{ED0A124E-85B8-419F-B8B7-10D4869A04B9}"/>
    <cellStyle name="Normal 2 2 2 3 3 7" xfId="14734" xr:uid="{DE0DE435-690C-42F0-B209-DB99261B2347}"/>
    <cellStyle name="Normal 2 2 2 3 3 8" xfId="14735" xr:uid="{8D70CA88-A247-4511-A5F0-55B1A033A8B7}"/>
    <cellStyle name="Normal 2 2 2 3 3 9" xfId="14736" xr:uid="{ADF81D54-6D58-4AA2-8D33-A90AFF8659EB}"/>
    <cellStyle name="Normal 2 2 2 3 4" xfId="14737" xr:uid="{2802734E-48FE-49BA-9374-841B6AACF0DA}"/>
    <cellStyle name="Normal 2 2 2 3 5" xfId="14738" xr:uid="{B622B337-A42A-4F8D-95BB-0B409B71381F}"/>
    <cellStyle name="Normal 2 2 2 3 6" xfId="14739" xr:uid="{B59E4D5F-BE88-400C-BD36-F68173BD22DA}"/>
    <cellStyle name="Normal 2 2 2 3 7" xfId="14740" xr:uid="{9AB8A176-0E8B-46E6-ACB6-C158105A9E01}"/>
    <cellStyle name="Normal 2 2 2 3 8" xfId="14741" xr:uid="{17C2E4E5-504C-4F67-824C-1E28E8E66A6A}"/>
    <cellStyle name="Normal 2 2 2 3 9" xfId="14742" xr:uid="{006749FA-12EE-46C6-9980-2D16F83F73CA}"/>
    <cellStyle name="Normal 2 2 2 30" xfId="14743" xr:uid="{56179A7D-2DAB-408D-84F7-2F17C570AB84}"/>
    <cellStyle name="Normal 2 2 2 30 2" xfId="14744" xr:uid="{97874E1B-EA52-4ED2-AF06-2B3E42705520}"/>
    <cellStyle name="Normal 2 2 2 31" xfId="14745" xr:uid="{43253FBD-053F-4C2B-B7E4-D0278E6DA222}"/>
    <cellStyle name="Normal 2 2 2 31 2" xfId="14746" xr:uid="{D667C785-D555-496F-A06F-AF3F77EFAF82}"/>
    <cellStyle name="Normal 2 2 2 32" xfId="14747" xr:uid="{8C38A996-FB5A-410E-A2C5-B66CCC1C401D}"/>
    <cellStyle name="Normal 2 2 2 32 2" xfId="14748" xr:uid="{8FFCBE2D-BB64-4CCB-911F-A2D3D9C5B0D1}"/>
    <cellStyle name="Normal 2 2 2 33" xfId="14749" xr:uid="{42CE4855-6177-464A-BB47-8BD5D9055C63}"/>
    <cellStyle name="Normal 2 2 2 34" xfId="14750" xr:uid="{3C9E164D-993F-48D4-994E-C274768CC11E}"/>
    <cellStyle name="Normal 2 2 2 35" xfId="14751" xr:uid="{FFC0E6D1-19EA-49F1-A00D-7CB0625732E8}"/>
    <cellStyle name="Normal 2 2 2 36" xfId="14752" xr:uid="{CBA8C6FE-2B61-4F4E-8945-97820729D777}"/>
    <cellStyle name="Normal 2 2 2 37" xfId="14753" xr:uid="{DDD941CE-5E37-4185-8DF6-3A5E18583781}"/>
    <cellStyle name="Normal 2 2 2 38" xfId="14754" xr:uid="{B081ABAD-2C9A-4684-AED7-2306D306A5ED}"/>
    <cellStyle name="Normal 2 2 2 38 10" xfId="14755" xr:uid="{02E5C8E4-5265-4852-B1F2-75DD0612D7BE}"/>
    <cellStyle name="Normal 2 2 2 38 11" xfId="14756" xr:uid="{434A354B-6384-4239-A08C-44F29BAF10E9}"/>
    <cellStyle name="Normal 2 2 2 38 11 10" xfId="14757" xr:uid="{15A22086-D429-482A-9FCC-D7FB5AE753A3}"/>
    <cellStyle name="Normal 2 2 2 38 11 11" xfId="14758" xr:uid="{2A43B7BE-F839-489E-A221-BFF48FECD42D}"/>
    <cellStyle name="Normal 2 2 2 38 11 11 2" xfId="14759" xr:uid="{472C29C1-BDC1-47E4-B2D4-3E90648187AB}"/>
    <cellStyle name="Normal 2 2 2 38 11 11 3" xfId="14760" xr:uid="{739E637D-4CF3-40E1-9FE6-8A26D651E236}"/>
    <cellStyle name="Normal 2 2 2 38 11 11 4" xfId="14761" xr:uid="{CCB8DD91-9643-40A6-9629-39EA88F4C8C0}"/>
    <cellStyle name="Normal 2 2 2 38 11 12" xfId="14762" xr:uid="{9DDCB0D6-60EE-4930-83A0-9B9E55CBFC6A}"/>
    <cellStyle name="Normal 2 2 2 38 11 13" xfId="14763" xr:uid="{FF3F834C-A7D7-42E3-BB10-B5D210F0B26F}"/>
    <cellStyle name="Normal 2 2 2 38 11 14" xfId="14764" xr:uid="{F4C4C836-C526-4DE3-B0FF-0DBD095BB3AB}"/>
    <cellStyle name="Normal 2 2 2 38 11 2" xfId="14765" xr:uid="{670AC230-7D08-4EF7-8AA0-935997377A4A}"/>
    <cellStyle name="Normal 2 2 2 38 11 2 10" xfId="14766" xr:uid="{A2BCDE71-CD53-4CE0-8213-1762488E3781}"/>
    <cellStyle name="Normal 2 2 2 38 11 2 11" xfId="14767" xr:uid="{602BE58A-44DE-4FDC-A729-AAE6F1FFBE1B}"/>
    <cellStyle name="Normal 2 2 2 38 11 2 2" xfId="14768" xr:uid="{A2F6D0DD-742B-4D9E-9992-DCE4210C78BF}"/>
    <cellStyle name="Normal 2 2 2 38 11 2 2 10" xfId="14769" xr:uid="{103363B8-9520-4282-9BCC-8FDDF8195DEB}"/>
    <cellStyle name="Normal 2 2 2 38 11 2 2 11" xfId="14770" xr:uid="{2917C8EF-EEC3-4C51-9A0B-A4F2391559C0}"/>
    <cellStyle name="Normal 2 2 2 38 11 2 2 2" xfId="14771" xr:uid="{C3E0FBBD-42A1-4485-B58E-E99B8C03E130}"/>
    <cellStyle name="Normal 2 2 2 38 11 2 2 2 2" xfId="14772" xr:uid="{D69789EB-9C96-4F96-8C7D-1793D57EFA44}"/>
    <cellStyle name="Normal 2 2 2 38 11 2 2 2 2 2" xfId="14773" xr:uid="{14D3B921-34E5-4872-98A6-EE262A60C5E7}"/>
    <cellStyle name="Normal 2 2 2 38 11 2 2 2 2 3" xfId="14774" xr:uid="{CBCD0120-17BF-4233-8214-3614CEF86162}"/>
    <cellStyle name="Normal 2 2 2 38 11 2 2 2 2 4" xfId="14775" xr:uid="{9A6B0B68-297E-4B13-ADDE-0DAA860E6B03}"/>
    <cellStyle name="Normal 2 2 2 38 11 2 2 2 3" xfId="14776" xr:uid="{32203F10-45CC-4E66-A574-3FB8AC4946F0}"/>
    <cellStyle name="Normal 2 2 2 38 11 2 2 2 4" xfId="14777" xr:uid="{463E970A-4317-440D-B14B-72A25A3F8598}"/>
    <cellStyle name="Normal 2 2 2 38 11 2 2 2 5" xfId="14778" xr:uid="{21AB0D2C-CA3E-4906-B414-4D8AA1C29C28}"/>
    <cellStyle name="Normal 2 2 2 38 11 2 2 2 6" xfId="14779" xr:uid="{6B0A53A5-B3A7-4EFB-BC15-BC6B1C473BE4}"/>
    <cellStyle name="Normal 2 2 2 38 11 2 2 3" xfId="14780" xr:uid="{076D92B5-5D36-4A0C-8BE7-1537B2A0CA8C}"/>
    <cellStyle name="Normal 2 2 2 38 11 2 2 4" xfId="14781" xr:uid="{64314264-9F6A-46C9-A603-92C09FFDF515}"/>
    <cellStyle name="Normal 2 2 2 38 11 2 2 5" xfId="14782" xr:uid="{6ADE7D75-3E87-4367-83AD-4216B8861805}"/>
    <cellStyle name="Normal 2 2 2 38 11 2 2 6" xfId="14783" xr:uid="{F3AE8AA3-344D-4984-9020-26F3AAEAB023}"/>
    <cellStyle name="Normal 2 2 2 38 11 2 2 7" xfId="14784" xr:uid="{B1888E19-641D-4F4E-A206-506484A5BA59}"/>
    <cellStyle name="Normal 2 2 2 38 11 2 2 8" xfId="14785" xr:uid="{BC979AD9-8EAD-407A-BD9E-84CD6861F96D}"/>
    <cellStyle name="Normal 2 2 2 38 11 2 2 8 2" xfId="14786" xr:uid="{F4D09B8E-F346-425C-8C6E-3B84D9C83A02}"/>
    <cellStyle name="Normal 2 2 2 38 11 2 2 8 3" xfId="14787" xr:uid="{0A27DF6B-EF77-406F-B207-84D45BB7C756}"/>
    <cellStyle name="Normal 2 2 2 38 11 2 2 8 4" xfId="14788" xr:uid="{452B58EC-4179-4306-8A32-EF40348E2BC0}"/>
    <cellStyle name="Normal 2 2 2 38 11 2 2 9" xfId="14789" xr:uid="{0C5DE90E-30D9-4FA2-AFAD-EA6E5F0BB857}"/>
    <cellStyle name="Normal 2 2 2 38 11 2 3" xfId="14790" xr:uid="{4CAE0DB9-8BE8-4D74-A1EE-8C66C3F81941}"/>
    <cellStyle name="Normal 2 2 2 38 11 2 3 2" xfId="14791" xr:uid="{D381338D-5DD4-4F9C-8DFE-7789EC4B0C98}"/>
    <cellStyle name="Normal 2 2 2 38 11 2 3 2 2" xfId="14792" xr:uid="{A1C4A47E-6708-4620-99EC-10F85B5141F5}"/>
    <cellStyle name="Normal 2 2 2 38 11 2 3 2 3" xfId="14793" xr:uid="{176CB300-0EC0-4B9C-AA36-EF6145F61C65}"/>
    <cellStyle name="Normal 2 2 2 38 11 2 3 2 4" xfId="14794" xr:uid="{E50640D4-DCFC-4727-99E2-DF46DCDF0B0C}"/>
    <cellStyle name="Normal 2 2 2 38 11 2 3 3" xfId="14795" xr:uid="{E6398BD3-55EF-44EE-98CF-E9BF38CBCBE1}"/>
    <cellStyle name="Normal 2 2 2 38 11 2 3 4" xfId="14796" xr:uid="{6E65044A-EFC8-4CAC-A08B-3F69BC9572D4}"/>
    <cellStyle name="Normal 2 2 2 38 11 2 3 5" xfId="14797" xr:uid="{7409E6FC-1D0A-43C1-A2FF-67A8B6469387}"/>
    <cellStyle name="Normal 2 2 2 38 11 2 3 6" xfId="14798" xr:uid="{D8D2718D-6779-4193-8279-279A4D85A8A1}"/>
    <cellStyle name="Normal 2 2 2 38 11 2 4" xfId="14799" xr:uid="{CC12CDA7-A8F0-4317-8A08-2A6818311B5F}"/>
    <cellStyle name="Normal 2 2 2 38 11 2 5" xfId="14800" xr:uid="{76CA1946-752D-4410-91FF-FBA2FA777C37}"/>
    <cellStyle name="Normal 2 2 2 38 11 2 6" xfId="14801" xr:uid="{773C2E58-B505-4E66-AD6C-B2211E47E537}"/>
    <cellStyle name="Normal 2 2 2 38 11 2 7" xfId="14802" xr:uid="{C41E6AF4-E9DD-41CE-88DF-12FF3CC8AF54}"/>
    <cellStyle name="Normal 2 2 2 38 11 2 8" xfId="14803" xr:uid="{733E8C9F-63BF-4898-952F-CABA23166F65}"/>
    <cellStyle name="Normal 2 2 2 38 11 2 8 2" xfId="14804" xr:uid="{44F45F6B-5ACE-4167-AD9E-6B083360526F}"/>
    <cellStyle name="Normal 2 2 2 38 11 2 8 3" xfId="14805" xr:uid="{B5CF6723-E543-4CB0-AB17-C93C1913AC69}"/>
    <cellStyle name="Normal 2 2 2 38 11 2 8 4" xfId="14806" xr:uid="{EC2940FC-503D-4CBF-8F22-5B50FE2CE35D}"/>
    <cellStyle name="Normal 2 2 2 38 11 2 9" xfId="14807" xr:uid="{059DB8A5-CC5C-431E-8CC4-3295E0A501D4}"/>
    <cellStyle name="Normal 2 2 2 38 11 3" xfId="14808" xr:uid="{C9D795BE-F773-485A-80F2-BEDC063957C2}"/>
    <cellStyle name="Normal 2 2 2 38 11 4" xfId="14809" xr:uid="{1AF232A1-C9C1-4D5E-BD8B-808925C505DC}"/>
    <cellStyle name="Normal 2 2 2 38 11 5" xfId="14810" xr:uid="{88B723A9-0C67-497A-92E8-5BE4644E114F}"/>
    <cellStyle name="Normal 2 2 2 38 11 5 2" xfId="14811" xr:uid="{F676194B-351C-4F0E-B34A-2297164FFD39}"/>
    <cellStyle name="Normal 2 2 2 38 11 5 2 2" xfId="14812" xr:uid="{32C8E9ED-E968-4526-A6CA-C873C7960021}"/>
    <cellStyle name="Normal 2 2 2 38 11 5 2 3" xfId="14813" xr:uid="{9195B2F0-D36F-48D8-BBC5-75C2CAED72C4}"/>
    <cellStyle name="Normal 2 2 2 38 11 5 2 4" xfId="14814" xr:uid="{9FA49C16-A1CF-4F5F-835C-1656E02AD392}"/>
    <cellStyle name="Normal 2 2 2 38 11 5 3" xfId="14815" xr:uid="{2D41550F-7B76-4BAF-A827-A5A53EB427C0}"/>
    <cellStyle name="Normal 2 2 2 38 11 5 4" xfId="14816" xr:uid="{0A48E270-8B0E-4AF8-964F-B7EA21916E9B}"/>
    <cellStyle name="Normal 2 2 2 38 11 5 5" xfId="14817" xr:uid="{5337AA51-C820-4737-8126-A0EC6E8982EE}"/>
    <cellStyle name="Normal 2 2 2 38 11 5 6" xfId="14818" xr:uid="{0AB14C8F-AD6C-4D1D-B470-1FCE6BEEDBE0}"/>
    <cellStyle name="Normal 2 2 2 38 11 6" xfId="14819" xr:uid="{6D1F812E-180F-4762-B763-9330A7E6D2E9}"/>
    <cellStyle name="Normal 2 2 2 38 11 7" xfId="14820" xr:uid="{A8CA7F91-7494-4939-A905-7BE4FDC3B4FC}"/>
    <cellStyle name="Normal 2 2 2 38 11 8" xfId="14821" xr:uid="{695DD921-B132-4EE6-9C1E-6B4EDF354003}"/>
    <cellStyle name="Normal 2 2 2 38 11 9" xfId="14822" xr:uid="{4EE94745-E293-4D18-8961-DFB76A286F3F}"/>
    <cellStyle name="Normal 2 2 2 38 12" xfId="14823" xr:uid="{47D40E26-9EE0-4705-9AD6-CB45B9EE1428}"/>
    <cellStyle name="Normal 2 2 2 38 13" xfId="14824" xr:uid="{46AECF0E-29EF-4B77-B870-94FBF03685D7}"/>
    <cellStyle name="Normal 2 2 2 38 13 10" xfId="14825" xr:uid="{DF40E135-8EB2-403C-A87F-C5FF4A43F6E7}"/>
    <cellStyle name="Normal 2 2 2 38 13 11" xfId="14826" xr:uid="{24815FC5-13D5-4B26-AF1C-2C0F04A7BB18}"/>
    <cellStyle name="Normal 2 2 2 38 13 2" xfId="14827" xr:uid="{013EA370-6F0D-4DFC-AE7A-BB231C2BF667}"/>
    <cellStyle name="Normal 2 2 2 38 13 2 10" xfId="14828" xr:uid="{716D662E-DF0E-47B2-8F97-D26871D625CA}"/>
    <cellStyle name="Normal 2 2 2 38 13 2 11" xfId="14829" xr:uid="{665889FF-8D2D-4BE1-93FD-650197DB0FD2}"/>
    <cellStyle name="Normal 2 2 2 38 13 2 2" xfId="14830" xr:uid="{5C844FEA-2CE0-498B-A9E0-CD237177F1BA}"/>
    <cellStyle name="Normal 2 2 2 38 13 2 2 2" xfId="14831" xr:uid="{6BE216AB-533D-4226-B222-CF0C56812175}"/>
    <cellStyle name="Normal 2 2 2 38 13 2 2 2 2" xfId="14832" xr:uid="{FCB91B13-7FF7-477A-B347-0742E12335B7}"/>
    <cellStyle name="Normal 2 2 2 38 13 2 2 2 3" xfId="14833" xr:uid="{61F201FF-C33E-4F2A-8387-7C6A98F8215C}"/>
    <cellStyle name="Normal 2 2 2 38 13 2 2 2 4" xfId="14834" xr:uid="{05C8503E-8579-4164-88D8-2A9F5EBC0CC5}"/>
    <cellStyle name="Normal 2 2 2 38 13 2 2 3" xfId="14835" xr:uid="{F7494967-51EC-4B42-B94A-30AD984019BE}"/>
    <cellStyle name="Normal 2 2 2 38 13 2 2 4" xfId="14836" xr:uid="{6E8E7074-A881-466F-A4C3-4BBF09F87B65}"/>
    <cellStyle name="Normal 2 2 2 38 13 2 2 5" xfId="14837" xr:uid="{E5F5CF7C-CD28-47BB-9F0B-BE29F93F7BA3}"/>
    <cellStyle name="Normal 2 2 2 38 13 2 2 6" xfId="14838" xr:uid="{A27A7AF5-56BF-468C-8828-35DE2221DA5B}"/>
    <cellStyle name="Normal 2 2 2 38 13 2 3" xfId="14839" xr:uid="{5987BE8A-69DF-4525-ACD2-4435388C6FFD}"/>
    <cellStyle name="Normal 2 2 2 38 13 2 4" xfId="14840" xr:uid="{CB88788C-AD47-4AB7-92E7-7787AACBC0F8}"/>
    <cellStyle name="Normal 2 2 2 38 13 2 5" xfId="14841" xr:uid="{26D8E2CC-60BD-4DB4-BB32-1D887F6D1DD1}"/>
    <cellStyle name="Normal 2 2 2 38 13 2 6" xfId="14842" xr:uid="{6553B386-0120-41D0-9A48-7031ADDFB0A6}"/>
    <cellStyle name="Normal 2 2 2 38 13 2 7" xfId="14843" xr:uid="{EE144740-46CD-4360-B847-F6285159666A}"/>
    <cellStyle name="Normal 2 2 2 38 13 2 8" xfId="14844" xr:uid="{5791A594-62D9-410B-9A06-95D9D276DD8F}"/>
    <cellStyle name="Normal 2 2 2 38 13 2 8 2" xfId="14845" xr:uid="{C3022287-9350-4193-A82A-6F7A057E4CA5}"/>
    <cellStyle name="Normal 2 2 2 38 13 2 8 3" xfId="14846" xr:uid="{62F4701E-98EE-4A6A-B68F-D91695BB6609}"/>
    <cellStyle name="Normal 2 2 2 38 13 2 8 4" xfId="14847" xr:uid="{5A9574E4-FD7E-4582-8202-31D9DF6D661F}"/>
    <cellStyle name="Normal 2 2 2 38 13 2 9" xfId="14848" xr:uid="{93270D33-3C7D-4211-8799-6B005E4252BF}"/>
    <cellStyle name="Normal 2 2 2 38 13 3" xfId="14849" xr:uid="{E43E09C4-CEFD-4B45-AC42-888046CB0BB4}"/>
    <cellStyle name="Normal 2 2 2 38 13 3 2" xfId="14850" xr:uid="{20679FF4-1974-46DA-AAFD-781B4048086D}"/>
    <cellStyle name="Normal 2 2 2 38 13 3 2 2" xfId="14851" xr:uid="{3B80467B-A701-4AA8-A266-00C72C40D4CA}"/>
    <cellStyle name="Normal 2 2 2 38 13 3 2 3" xfId="14852" xr:uid="{77D6F5D8-9F27-4AE4-B205-AE4C9ABB44EF}"/>
    <cellStyle name="Normal 2 2 2 38 13 3 2 4" xfId="14853" xr:uid="{3A10D90B-B980-4535-B530-17EB01820606}"/>
    <cellStyle name="Normal 2 2 2 38 13 3 3" xfId="14854" xr:uid="{DFB46ECC-C0EE-449F-A2D7-977257CDBB6C}"/>
    <cellStyle name="Normal 2 2 2 38 13 3 4" xfId="14855" xr:uid="{1596CC2E-7511-4EE4-A9C5-3FBA222DAA0C}"/>
    <cellStyle name="Normal 2 2 2 38 13 3 5" xfId="14856" xr:uid="{48628889-78F7-4780-A070-FD21E324E4FD}"/>
    <cellStyle name="Normal 2 2 2 38 13 3 6" xfId="14857" xr:uid="{3FE3AA2E-6076-4405-8641-5273F54A6CFB}"/>
    <cellStyle name="Normal 2 2 2 38 13 4" xfId="14858" xr:uid="{29E63209-AC36-4435-B094-78321BBAAC57}"/>
    <cellStyle name="Normal 2 2 2 38 13 5" xfId="14859" xr:uid="{AAC69EDD-C25F-4C88-97EE-C855D1ACC936}"/>
    <cellStyle name="Normal 2 2 2 38 13 6" xfId="14860" xr:uid="{2373BD94-7BD7-4178-9F80-8231A23AB26A}"/>
    <cellStyle name="Normal 2 2 2 38 13 7" xfId="14861" xr:uid="{9B39B5E5-2B3D-402A-9121-D317C9830874}"/>
    <cellStyle name="Normal 2 2 2 38 13 8" xfId="14862" xr:uid="{8DB8597F-3FF9-474C-8CBD-717480075218}"/>
    <cellStyle name="Normal 2 2 2 38 13 8 2" xfId="14863" xr:uid="{8D7C8F64-F044-4730-BD6E-5A666FB1F5D6}"/>
    <cellStyle name="Normal 2 2 2 38 13 8 3" xfId="14864" xr:uid="{5BAD73A5-0553-4CBB-9FF9-27D4D311069A}"/>
    <cellStyle name="Normal 2 2 2 38 13 8 4" xfId="14865" xr:uid="{8591C2A2-81B4-4DFF-830F-D916EBE47E09}"/>
    <cellStyle name="Normal 2 2 2 38 13 9" xfId="14866" xr:uid="{716EDF27-85D3-4F6B-B4BF-F34A52746A9C}"/>
    <cellStyle name="Normal 2 2 2 38 14" xfId="14867" xr:uid="{94A4AF63-C36E-482A-8E80-2123B7DC6754}"/>
    <cellStyle name="Normal 2 2 2 38 15" xfId="14868" xr:uid="{E67C75A3-C921-4A1D-9402-41B8865AC156}"/>
    <cellStyle name="Normal 2 2 2 38 15 2" xfId="14869" xr:uid="{F11F5979-DCC9-49B2-8B76-23059B00B86C}"/>
    <cellStyle name="Normal 2 2 2 38 15 2 2" xfId="14870" xr:uid="{E13070BD-445F-4AB4-AF0A-17CB44F526B1}"/>
    <cellStyle name="Normal 2 2 2 38 15 2 3" xfId="14871" xr:uid="{D0809486-47B4-4C39-968D-B3C5DCCE0B17}"/>
    <cellStyle name="Normal 2 2 2 38 15 2 4" xfId="14872" xr:uid="{2D10BF0D-E2B4-42E3-97ED-4C19E0E9FFF8}"/>
    <cellStyle name="Normal 2 2 2 38 15 3" xfId="14873" xr:uid="{0F8F4F5E-AA2A-4173-B4D6-7717663D8598}"/>
    <cellStyle name="Normal 2 2 2 38 15 4" xfId="14874" xr:uid="{D8FF8D0C-4FB0-4075-A8E2-607C3295809A}"/>
    <cellStyle name="Normal 2 2 2 38 15 5" xfId="14875" xr:uid="{50D06138-BC2C-4F30-9BBB-9B03DDBEDD8B}"/>
    <cellStyle name="Normal 2 2 2 38 15 6" xfId="14876" xr:uid="{60BC8470-8C92-4B57-AB61-86E061DC9372}"/>
    <cellStyle name="Normal 2 2 2 38 16" xfId="14877" xr:uid="{4DF0F260-570C-46F3-8885-78449F10E42B}"/>
    <cellStyle name="Normal 2 2 2 38 17" xfId="14878" xr:uid="{65CD9CE1-9929-4C10-9F67-63CF3AC0A30F}"/>
    <cellStyle name="Normal 2 2 2 38 18" xfId="14879" xr:uid="{B801B5FA-EB2C-4982-A45A-9B985BE77F9F}"/>
    <cellStyle name="Normal 2 2 2 38 19" xfId="14880" xr:uid="{134CAAF6-33FE-4F93-AADF-6CE3FB549338}"/>
    <cellStyle name="Normal 2 2 2 38 2" xfId="14881" xr:uid="{7C02A9E9-22E9-4397-AD9B-E4FF751ECC5D}"/>
    <cellStyle name="Normal 2 2 2 38 2 10" xfId="14882" xr:uid="{37E09A0E-5DA8-46C5-86CE-3C2A79C7DEA6}"/>
    <cellStyle name="Normal 2 2 2 38 2 11" xfId="14883" xr:uid="{FB11012D-2D86-480B-86DE-0BF59C4B3A75}"/>
    <cellStyle name="Normal 2 2 2 38 2 12" xfId="14884" xr:uid="{D3C01E3A-5CD4-4610-BD1E-3C0490A177DF}"/>
    <cellStyle name="Normal 2 2 2 38 2 13" xfId="14885" xr:uid="{B1F53662-94E4-4390-957A-79FD0D7DD22F}"/>
    <cellStyle name="Normal 2 2 2 38 2 13 2" xfId="14886" xr:uid="{F6060188-8EB1-4627-BB08-F11E77453365}"/>
    <cellStyle name="Normal 2 2 2 38 2 13 3" xfId="14887" xr:uid="{AF931034-9D10-4A95-AF44-8ABDE33F1D86}"/>
    <cellStyle name="Normal 2 2 2 38 2 13 4" xfId="14888" xr:uid="{9E222E90-8E4D-495D-9EBE-8972D53A606C}"/>
    <cellStyle name="Normal 2 2 2 38 2 14" xfId="14889" xr:uid="{F12434F3-0968-4697-BD9E-B8C7482F319E}"/>
    <cellStyle name="Normal 2 2 2 38 2 15" xfId="14890" xr:uid="{1519AADC-FA29-4D5F-A59B-6E54F5137DC3}"/>
    <cellStyle name="Normal 2 2 2 38 2 16" xfId="14891" xr:uid="{8CA13926-31FF-4E56-9F7A-DE2BB9EEEF96}"/>
    <cellStyle name="Normal 2 2 2 38 2 2" xfId="14892" xr:uid="{186D2302-F468-4E87-A17D-97472C2746F3}"/>
    <cellStyle name="Normal 2 2 2 38 2 2 10" xfId="14893" xr:uid="{792BE19D-FBC4-4BD1-BCAA-F4A37F974210}"/>
    <cellStyle name="Normal 2 2 2 38 2 2 11" xfId="14894" xr:uid="{0DCFFFA2-68E4-45B7-998E-5CEAF0527E0B}"/>
    <cellStyle name="Normal 2 2 2 38 2 2 11 2" xfId="14895" xr:uid="{53810BA0-B019-4305-8F92-E427DE775B0A}"/>
    <cellStyle name="Normal 2 2 2 38 2 2 11 3" xfId="14896" xr:uid="{6624E5C4-49C3-43C3-A058-A5694814B387}"/>
    <cellStyle name="Normal 2 2 2 38 2 2 11 4" xfId="14897" xr:uid="{0BF3B800-B772-4010-9C70-B8CE8E9C3E5A}"/>
    <cellStyle name="Normal 2 2 2 38 2 2 12" xfId="14898" xr:uid="{40FD3B13-B940-450D-ADED-9A04B781A736}"/>
    <cellStyle name="Normal 2 2 2 38 2 2 13" xfId="14899" xr:uid="{87FD7537-FE2E-4826-A8E8-8036BBECFB0E}"/>
    <cellStyle name="Normal 2 2 2 38 2 2 14" xfId="14900" xr:uid="{FAE67C8F-35D1-4CCE-B6A1-5A85A2E26E54}"/>
    <cellStyle name="Normal 2 2 2 38 2 2 2" xfId="14901" xr:uid="{3E93D465-7F03-43D4-A7B6-0CF344441280}"/>
    <cellStyle name="Normal 2 2 2 38 2 2 2 10" xfId="14902" xr:uid="{2047F4D8-4670-4864-A353-F0F385679A1F}"/>
    <cellStyle name="Normal 2 2 2 38 2 2 2 11" xfId="14903" xr:uid="{2D0CC152-AAA9-4AD6-A81B-AD2235D0420A}"/>
    <cellStyle name="Normal 2 2 2 38 2 2 2 2" xfId="14904" xr:uid="{68BED13B-C35D-4A70-A460-EFFD9A550501}"/>
    <cellStyle name="Normal 2 2 2 38 2 2 2 2 10" xfId="14905" xr:uid="{408114BC-1EA6-4BA5-AE1D-AF5F341457AA}"/>
    <cellStyle name="Normal 2 2 2 38 2 2 2 2 11" xfId="14906" xr:uid="{85DCC38E-F08A-40E0-AB2A-2BF3C7AFB15E}"/>
    <cellStyle name="Normal 2 2 2 38 2 2 2 2 2" xfId="14907" xr:uid="{FBB15CDA-87C5-4232-99CF-B3B1F99164F6}"/>
    <cellStyle name="Normal 2 2 2 38 2 2 2 2 2 2" xfId="14908" xr:uid="{23A82D28-AB7D-45D8-8374-6AA9304E6165}"/>
    <cellStyle name="Normal 2 2 2 38 2 2 2 2 2 2 2" xfId="14909" xr:uid="{83BB205B-E2CF-43B3-B1E9-0C0645030E91}"/>
    <cellStyle name="Normal 2 2 2 38 2 2 2 2 2 2 3" xfId="14910" xr:uid="{054FCB8C-091F-4CFF-A636-CA31DB146209}"/>
    <cellStyle name="Normal 2 2 2 38 2 2 2 2 2 2 4" xfId="14911" xr:uid="{7784E5CF-C5C0-42C5-8C20-9C4EAF646D8C}"/>
    <cellStyle name="Normal 2 2 2 38 2 2 2 2 2 3" xfId="14912" xr:uid="{4E2B6455-6F2E-4536-901A-F0A06433F089}"/>
    <cellStyle name="Normal 2 2 2 38 2 2 2 2 2 4" xfId="14913" xr:uid="{7862B5D1-94F3-4918-863B-647BD44F86DC}"/>
    <cellStyle name="Normal 2 2 2 38 2 2 2 2 2 5" xfId="14914" xr:uid="{E95A0AA3-ED81-47A9-8C1D-B465DADD4BF8}"/>
    <cellStyle name="Normal 2 2 2 38 2 2 2 2 2 6" xfId="14915" xr:uid="{FFDF048D-CEEB-418C-8C56-4DF70B14B0CA}"/>
    <cellStyle name="Normal 2 2 2 38 2 2 2 2 3" xfId="14916" xr:uid="{E01416BB-BE26-4BD7-9CB5-7C477EB45D5D}"/>
    <cellStyle name="Normal 2 2 2 38 2 2 2 2 4" xfId="14917" xr:uid="{5012AB10-C76F-4660-BF9A-2A805E82CC47}"/>
    <cellStyle name="Normal 2 2 2 38 2 2 2 2 5" xfId="14918" xr:uid="{6750B6D9-D257-43A6-87A2-0B8FA982B797}"/>
    <cellStyle name="Normal 2 2 2 38 2 2 2 2 6" xfId="14919" xr:uid="{78AC0797-3011-46BA-946F-55DAE2F1C0CC}"/>
    <cellStyle name="Normal 2 2 2 38 2 2 2 2 7" xfId="14920" xr:uid="{2BB77A73-6563-4173-829C-174657A4DCBB}"/>
    <cellStyle name="Normal 2 2 2 38 2 2 2 2 8" xfId="14921" xr:uid="{394A075D-41AC-4BAE-972E-C73D90AF1604}"/>
    <cellStyle name="Normal 2 2 2 38 2 2 2 2 8 2" xfId="14922" xr:uid="{7F5AA901-782E-455D-9D61-21B009AA4C73}"/>
    <cellStyle name="Normal 2 2 2 38 2 2 2 2 8 3" xfId="14923" xr:uid="{E6E72AF5-3D8E-4FD2-A300-65C7420E2F1A}"/>
    <cellStyle name="Normal 2 2 2 38 2 2 2 2 8 4" xfId="14924" xr:uid="{531C45A0-ACCF-4094-A34D-17FF0E70A232}"/>
    <cellStyle name="Normal 2 2 2 38 2 2 2 2 9" xfId="14925" xr:uid="{44BA5171-07D8-4568-A5E7-4E1CCA731B2E}"/>
    <cellStyle name="Normal 2 2 2 38 2 2 2 3" xfId="14926" xr:uid="{348AD2B4-BA90-4984-BC38-7E255075F931}"/>
    <cellStyle name="Normal 2 2 2 38 2 2 2 3 2" xfId="14927" xr:uid="{4E6F7AB7-8EA6-4901-ABD5-5184723144B6}"/>
    <cellStyle name="Normal 2 2 2 38 2 2 2 3 2 2" xfId="14928" xr:uid="{7FF1C66B-BA2A-4AB4-9419-0E3B9319A202}"/>
    <cellStyle name="Normal 2 2 2 38 2 2 2 3 2 3" xfId="14929" xr:uid="{5C4FA7A7-DE90-4328-95D9-028275E67BF5}"/>
    <cellStyle name="Normal 2 2 2 38 2 2 2 3 2 4" xfId="14930" xr:uid="{4B92A078-A421-4715-AF27-E7832B7FC2A5}"/>
    <cellStyle name="Normal 2 2 2 38 2 2 2 3 3" xfId="14931" xr:uid="{C37BEA08-8458-42C8-83D6-B87DF0B58067}"/>
    <cellStyle name="Normal 2 2 2 38 2 2 2 3 4" xfId="14932" xr:uid="{5FD92316-94D3-4F85-A0A4-3645908F45A2}"/>
    <cellStyle name="Normal 2 2 2 38 2 2 2 3 5" xfId="14933" xr:uid="{8C03A663-C81E-46B6-A551-CAD4E634DE46}"/>
    <cellStyle name="Normal 2 2 2 38 2 2 2 3 6" xfId="14934" xr:uid="{47AF88EE-1F74-43DE-B461-77B21FA82913}"/>
    <cellStyle name="Normal 2 2 2 38 2 2 2 4" xfId="14935" xr:uid="{ABB2403C-4B08-4ACF-9956-304ABA7E6D5A}"/>
    <cellStyle name="Normal 2 2 2 38 2 2 2 5" xfId="14936" xr:uid="{28F57879-08BC-459E-83D5-2D70059DDA24}"/>
    <cellStyle name="Normal 2 2 2 38 2 2 2 6" xfId="14937" xr:uid="{F4947A24-9D9F-4F13-9313-8D69EBB5A8BE}"/>
    <cellStyle name="Normal 2 2 2 38 2 2 2 7" xfId="14938" xr:uid="{B5DA8C3C-9A90-4BC0-A0F0-333BB1C38BC7}"/>
    <cellStyle name="Normal 2 2 2 38 2 2 2 8" xfId="14939" xr:uid="{E95C1C89-F984-4DB6-B8BF-F72711A39D37}"/>
    <cellStyle name="Normal 2 2 2 38 2 2 2 8 2" xfId="14940" xr:uid="{CDAC751A-7450-4787-B80D-00B40F0BD731}"/>
    <cellStyle name="Normal 2 2 2 38 2 2 2 8 3" xfId="14941" xr:uid="{C801FB8D-4E22-4C32-AF54-0BCE855FEC62}"/>
    <cellStyle name="Normal 2 2 2 38 2 2 2 8 4" xfId="14942" xr:uid="{AB18343A-160F-4EC3-918A-53C46DA460BE}"/>
    <cellStyle name="Normal 2 2 2 38 2 2 2 9" xfId="14943" xr:uid="{733BC0E2-5038-4421-B3B8-A527B9AB1E0E}"/>
    <cellStyle name="Normal 2 2 2 38 2 2 3" xfId="14944" xr:uid="{818489F4-5E8C-40AC-932B-15D2BD66112E}"/>
    <cellStyle name="Normal 2 2 2 38 2 2 4" xfId="14945" xr:uid="{272BADDA-FE7D-4974-A7E4-EE8934525810}"/>
    <cellStyle name="Normal 2 2 2 38 2 2 5" xfId="14946" xr:uid="{B7DA5EE2-8ABE-4562-896C-C2DDF2A7391A}"/>
    <cellStyle name="Normal 2 2 2 38 2 2 5 2" xfId="14947" xr:uid="{CF07A7C0-4FB0-4021-9CE4-31A5C4B1107B}"/>
    <cellStyle name="Normal 2 2 2 38 2 2 5 2 2" xfId="14948" xr:uid="{83F663B0-E71C-47C7-A9FD-06D0FFA0DB44}"/>
    <cellStyle name="Normal 2 2 2 38 2 2 5 2 3" xfId="14949" xr:uid="{27BBEAB8-5C2F-4CC6-BF74-9BCFE677E929}"/>
    <cellStyle name="Normal 2 2 2 38 2 2 5 2 4" xfId="14950" xr:uid="{552459A2-6A7A-41EE-86C6-BF5C4746B9F1}"/>
    <cellStyle name="Normal 2 2 2 38 2 2 5 3" xfId="14951" xr:uid="{73BBFB2B-96D1-44C4-B290-14BE899C6EB5}"/>
    <cellStyle name="Normal 2 2 2 38 2 2 5 4" xfId="14952" xr:uid="{3FEFD610-68CA-4C2E-B475-337495B06675}"/>
    <cellStyle name="Normal 2 2 2 38 2 2 5 5" xfId="14953" xr:uid="{6EBF9FE7-D14B-404F-9DC2-6A7C0CF26FA3}"/>
    <cellStyle name="Normal 2 2 2 38 2 2 5 6" xfId="14954" xr:uid="{3BA6DF78-86C4-4A4E-945B-C29A7B4F7FF1}"/>
    <cellStyle name="Normal 2 2 2 38 2 2 6" xfId="14955" xr:uid="{3C8C39EF-4A6A-42B1-B220-7C7D913DD240}"/>
    <cellStyle name="Normal 2 2 2 38 2 2 7" xfId="14956" xr:uid="{9261DD35-B808-40A5-90EE-79AAAF93DE84}"/>
    <cellStyle name="Normal 2 2 2 38 2 2 8" xfId="14957" xr:uid="{102675BB-DA67-45F1-9067-DC8C9E4B0DA5}"/>
    <cellStyle name="Normal 2 2 2 38 2 2 9" xfId="14958" xr:uid="{FBDA6596-4694-4B4C-837C-FB028C8A0EF3}"/>
    <cellStyle name="Normal 2 2 2 38 2 3" xfId="14959" xr:uid="{9478F3FC-B806-4A5C-AEDF-2DEE86A7EFC8}"/>
    <cellStyle name="Normal 2 2 2 38 2 4" xfId="14960" xr:uid="{612EE683-04D2-4624-94C0-37093D494589}"/>
    <cellStyle name="Normal 2 2 2 38 2 5" xfId="14961" xr:uid="{7231D905-A578-416F-82E9-367E4B0AF131}"/>
    <cellStyle name="Normal 2 2 2 38 2 5 10" xfId="14962" xr:uid="{AFEF47B7-A95B-4BD0-8CC1-1EF10D8AFE7D}"/>
    <cellStyle name="Normal 2 2 2 38 2 5 11" xfId="14963" xr:uid="{5D567174-CED2-4CE3-B1BA-57D9E1CCC043}"/>
    <cellStyle name="Normal 2 2 2 38 2 5 2" xfId="14964" xr:uid="{32335CE6-E003-495A-86A1-1011D84AF022}"/>
    <cellStyle name="Normal 2 2 2 38 2 5 2 10" xfId="14965" xr:uid="{438363B5-D582-461C-9340-7A54326A6D54}"/>
    <cellStyle name="Normal 2 2 2 38 2 5 2 11" xfId="14966" xr:uid="{AA884DF2-B030-4EC8-85E2-8D23DD310C48}"/>
    <cellStyle name="Normal 2 2 2 38 2 5 2 2" xfId="14967" xr:uid="{2EB929BD-53B1-401D-A208-1A4EAAC70E74}"/>
    <cellStyle name="Normal 2 2 2 38 2 5 2 2 2" xfId="14968" xr:uid="{E55DD231-9771-4CE9-842C-A9434C5CEE5E}"/>
    <cellStyle name="Normal 2 2 2 38 2 5 2 2 2 2" xfId="14969" xr:uid="{6C5AE1D2-4E1C-4C20-BBA6-CF5A4F0710C6}"/>
    <cellStyle name="Normal 2 2 2 38 2 5 2 2 2 3" xfId="14970" xr:uid="{85B496FF-9FA7-454F-A763-AC048DA93E61}"/>
    <cellStyle name="Normal 2 2 2 38 2 5 2 2 2 4" xfId="14971" xr:uid="{C484EC21-A0CD-4E0B-96DE-CE556A7E375B}"/>
    <cellStyle name="Normal 2 2 2 38 2 5 2 2 3" xfId="14972" xr:uid="{E9299957-88BF-407A-84F9-4F00AAA27E74}"/>
    <cellStyle name="Normal 2 2 2 38 2 5 2 2 4" xfId="14973" xr:uid="{29A06225-9165-4138-BEF5-2D5B28C32063}"/>
    <cellStyle name="Normal 2 2 2 38 2 5 2 2 5" xfId="14974" xr:uid="{293D4E5F-2569-455C-BFBC-BFF37A3A6318}"/>
    <cellStyle name="Normal 2 2 2 38 2 5 2 2 6" xfId="14975" xr:uid="{718834E5-5FC0-4BE3-87E1-1DB2A7CA7AB6}"/>
    <cellStyle name="Normal 2 2 2 38 2 5 2 3" xfId="14976" xr:uid="{9B2DF741-4650-4555-B1F7-2C2A3AB4D5EF}"/>
    <cellStyle name="Normal 2 2 2 38 2 5 2 4" xfId="14977" xr:uid="{EA669DFF-609C-435C-BF64-AC2CCD79964F}"/>
    <cellStyle name="Normal 2 2 2 38 2 5 2 5" xfId="14978" xr:uid="{03992DDA-9468-44A5-B1FB-38600B001C96}"/>
    <cellStyle name="Normal 2 2 2 38 2 5 2 6" xfId="14979" xr:uid="{48FD3A60-488C-4BBF-AC10-AC6398310736}"/>
    <cellStyle name="Normal 2 2 2 38 2 5 2 7" xfId="14980" xr:uid="{376674EE-B3CB-4394-842E-AE3D88952DDD}"/>
    <cellStyle name="Normal 2 2 2 38 2 5 2 8" xfId="14981" xr:uid="{6CAC9DAD-BED6-48FC-8AD9-08D8F6BDA05B}"/>
    <cellStyle name="Normal 2 2 2 38 2 5 2 8 2" xfId="14982" xr:uid="{5AEF1CB7-ACB7-430E-AFE3-2C48DEDE5BBC}"/>
    <cellStyle name="Normal 2 2 2 38 2 5 2 8 3" xfId="14983" xr:uid="{0DC6ECAF-5706-4036-990A-D88A69F96D7F}"/>
    <cellStyle name="Normal 2 2 2 38 2 5 2 8 4" xfId="14984" xr:uid="{5CCCB0DC-BA91-4891-AD7C-C42F80017144}"/>
    <cellStyle name="Normal 2 2 2 38 2 5 2 9" xfId="14985" xr:uid="{6763529F-4759-4B83-8890-4FB089519DB5}"/>
    <cellStyle name="Normal 2 2 2 38 2 5 3" xfId="14986" xr:uid="{5F35834D-9E6A-432E-9496-9A44DC595B54}"/>
    <cellStyle name="Normal 2 2 2 38 2 5 3 2" xfId="14987" xr:uid="{6D764FA9-CC63-4933-A174-6CA4231376E0}"/>
    <cellStyle name="Normal 2 2 2 38 2 5 3 2 2" xfId="14988" xr:uid="{D9B7CCC3-1E89-44A1-99E2-0F47F2320E36}"/>
    <cellStyle name="Normal 2 2 2 38 2 5 3 2 3" xfId="14989" xr:uid="{F6E5124D-D41B-4F4E-BC9D-02CE906A2998}"/>
    <cellStyle name="Normal 2 2 2 38 2 5 3 2 4" xfId="14990" xr:uid="{06EB829E-C959-4786-A658-CF6DB24FB757}"/>
    <cellStyle name="Normal 2 2 2 38 2 5 3 3" xfId="14991" xr:uid="{AA29DA94-13DC-4000-9905-5C53BB4F2852}"/>
    <cellStyle name="Normal 2 2 2 38 2 5 3 4" xfId="14992" xr:uid="{F55E7180-F29A-4057-A011-F1011C931EF3}"/>
    <cellStyle name="Normal 2 2 2 38 2 5 3 5" xfId="14993" xr:uid="{7EA24CAC-8232-4C7A-9BCB-9B164730AE01}"/>
    <cellStyle name="Normal 2 2 2 38 2 5 3 6" xfId="14994" xr:uid="{D64E705A-2A30-408A-8795-57B0FBBB91BD}"/>
    <cellStyle name="Normal 2 2 2 38 2 5 4" xfId="14995" xr:uid="{FB315267-6042-48D9-9CCF-E5A0C8A4986B}"/>
    <cellStyle name="Normal 2 2 2 38 2 5 5" xfId="14996" xr:uid="{A6A1A864-0044-488B-A5BE-DC6390CBEAA7}"/>
    <cellStyle name="Normal 2 2 2 38 2 5 6" xfId="14997" xr:uid="{A67F8F2D-0F7F-45DD-AEFC-146E3095AB51}"/>
    <cellStyle name="Normal 2 2 2 38 2 5 7" xfId="14998" xr:uid="{E075E7C2-9990-40E0-A318-57831B18A1D0}"/>
    <cellStyle name="Normal 2 2 2 38 2 5 8" xfId="14999" xr:uid="{4C850B86-1CF4-469F-9DB5-F436DC896602}"/>
    <cellStyle name="Normal 2 2 2 38 2 5 8 2" xfId="15000" xr:uid="{DD91A01D-EB78-46AF-ADDE-94C2263DB1DA}"/>
    <cellStyle name="Normal 2 2 2 38 2 5 8 3" xfId="15001" xr:uid="{DA78E72F-521E-4BB0-8779-F0E9F453EE3B}"/>
    <cellStyle name="Normal 2 2 2 38 2 5 8 4" xfId="15002" xr:uid="{401653AE-198B-42B6-B3A7-44978D4C4C7E}"/>
    <cellStyle name="Normal 2 2 2 38 2 5 9" xfId="15003" xr:uid="{9FF988EF-CB8B-4960-9441-556EF77E35B0}"/>
    <cellStyle name="Normal 2 2 2 38 2 6" xfId="15004" xr:uid="{E10AEF09-1DAC-4BD3-A8F3-00934CE0A0CB}"/>
    <cellStyle name="Normal 2 2 2 38 2 7" xfId="15005" xr:uid="{E9118BCD-630F-4903-B7C3-4D3E15F390C5}"/>
    <cellStyle name="Normal 2 2 2 38 2 7 2" xfId="15006" xr:uid="{94F4FA05-6EC5-4D0A-8E85-DF1FFDF091D2}"/>
    <cellStyle name="Normal 2 2 2 38 2 7 2 2" xfId="15007" xr:uid="{4D887E72-CF17-43DD-90B3-D7121A1C9C06}"/>
    <cellStyle name="Normal 2 2 2 38 2 7 2 3" xfId="15008" xr:uid="{0EB690D9-0A37-4270-BA4A-F0F2F4DE1FE1}"/>
    <cellStyle name="Normal 2 2 2 38 2 7 2 4" xfId="15009" xr:uid="{4F8B4AE7-1211-4532-A604-9EBFC0541C9E}"/>
    <cellStyle name="Normal 2 2 2 38 2 7 3" xfId="15010" xr:uid="{CCD28AA4-13B2-4C3A-93A7-EAFF9CF74FCA}"/>
    <cellStyle name="Normal 2 2 2 38 2 7 4" xfId="15011" xr:uid="{CB1DB259-AD1E-4F29-9CA2-5229398A8EF5}"/>
    <cellStyle name="Normal 2 2 2 38 2 7 5" xfId="15012" xr:uid="{6DEA7D5A-9E6D-4CBC-9E67-DB583736E2EB}"/>
    <cellStyle name="Normal 2 2 2 38 2 7 6" xfId="15013" xr:uid="{ACCF5237-8BFF-48C9-8CA3-040D5B5545E3}"/>
    <cellStyle name="Normal 2 2 2 38 2 8" xfId="15014" xr:uid="{E86E08C7-B6B8-4CB5-9E6E-89E9C4D00100}"/>
    <cellStyle name="Normal 2 2 2 38 2 9" xfId="15015" xr:uid="{9D3288C4-308C-4451-9AF9-F7CCBF732D74}"/>
    <cellStyle name="Normal 2 2 2 38 20" xfId="15016" xr:uid="{B518F07A-86BB-4B51-8C94-6EA315237C1F}"/>
    <cellStyle name="Normal 2 2 2 38 21" xfId="15017" xr:uid="{FDE2F9CA-5C8B-427C-84C7-281BE0F89FB1}"/>
    <cellStyle name="Normal 2 2 2 38 21 2" xfId="15018" xr:uid="{5635D75B-9EBA-44E0-A62C-AACE9189BEB5}"/>
    <cellStyle name="Normal 2 2 2 38 21 3" xfId="15019" xr:uid="{C90A64A9-F6B1-439D-82BB-CEED3884DA9C}"/>
    <cellStyle name="Normal 2 2 2 38 21 4" xfId="15020" xr:uid="{58231229-0D1E-4D2D-88EB-C737E7A25ABF}"/>
    <cellStyle name="Normal 2 2 2 38 22" xfId="15021" xr:uid="{A92A6B93-E7C6-4502-9E83-39404E303C32}"/>
    <cellStyle name="Normal 2 2 2 38 23" xfId="15022" xr:uid="{D44403E8-89FA-4601-8614-740AFA953656}"/>
    <cellStyle name="Normal 2 2 2 38 24" xfId="15023" xr:uid="{ABD4F6DB-02DD-4167-99AF-AFAE08499378}"/>
    <cellStyle name="Normal 2 2 2 38 3" xfId="15024" xr:uid="{121AFEA3-5D56-48EA-B036-699D89E46566}"/>
    <cellStyle name="Normal 2 2 2 38 4" xfId="15025" xr:uid="{C3D5D59C-16B4-484D-981D-1501B4037B34}"/>
    <cellStyle name="Normal 2 2 2 38 5" xfId="15026" xr:uid="{F703441A-DD08-424A-BCE2-1306F8C754A6}"/>
    <cellStyle name="Normal 2 2 2 38 6" xfId="15027" xr:uid="{7B9748E0-4A4E-4B16-B81B-2B60A6E3F1C1}"/>
    <cellStyle name="Normal 2 2 2 38 7" xfId="15028" xr:uid="{EA65B4FB-3E2F-4641-A74F-380E51ADC76D}"/>
    <cellStyle name="Normal 2 2 2 38 8" xfId="15029" xr:uid="{98026337-1C28-48B7-9EB4-5C37C6024AF4}"/>
    <cellStyle name="Normal 2 2 2 38 9" xfId="15030" xr:uid="{7D37075A-32C8-4E32-A5D3-CAE6BEC9E8A7}"/>
    <cellStyle name="Normal 2 2 2 39" xfId="15031" xr:uid="{83D6BA75-6BDB-42FA-B0EE-1D5E354CF9DD}"/>
    <cellStyle name="Normal 2 2 2 39 10" xfId="15032" xr:uid="{6E0FDFB9-5129-4770-B29F-27E013B3D358}"/>
    <cellStyle name="Normal 2 2 2 39 11" xfId="15033" xr:uid="{36A251FE-3CA4-4F66-B6B3-9B044C1206C9}"/>
    <cellStyle name="Normal 2 2 2 39 12" xfId="15034" xr:uid="{8F52D806-6DF1-4290-95F0-FB9EE88863C8}"/>
    <cellStyle name="Normal 2 2 2 39 13" xfId="15035" xr:uid="{E222A0D4-AB63-4506-866A-17602BB1E978}"/>
    <cellStyle name="Normal 2 2 2 39 13 2" xfId="15036" xr:uid="{3876AAA7-F3E9-43C4-AEC0-41EFF39BD46C}"/>
    <cellStyle name="Normal 2 2 2 39 13 3" xfId="15037" xr:uid="{CF476ABA-F008-424C-B710-2637BD8C77E8}"/>
    <cellStyle name="Normal 2 2 2 39 13 4" xfId="15038" xr:uid="{B90E2616-075E-4ACA-9C00-86EACC5A32CB}"/>
    <cellStyle name="Normal 2 2 2 39 14" xfId="15039" xr:uid="{DC21A605-F8D2-4FC2-A9F6-B76E354AA0D9}"/>
    <cellStyle name="Normal 2 2 2 39 15" xfId="15040" xr:uid="{C6841E9D-E1CC-4450-8733-0E3502424321}"/>
    <cellStyle name="Normal 2 2 2 39 16" xfId="15041" xr:uid="{233F242D-8599-4744-A2B5-3544B4F90F15}"/>
    <cellStyle name="Normal 2 2 2 39 2" xfId="15042" xr:uid="{A1767C47-C517-446B-8D21-442F869A0EA3}"/>
    <cellStyle name="Normal 2 2 2 39 2 10" xfId="15043" xr:uid="{637EE025-78DC-4849-B825-01C86E9D55D4}"/>
    <cellStyle name="Normal 2 2 2 39 2 11" xfId="15044" xr:uid="{C0D7BEB6-2D1E-4562-8257-95004065309F}"/>
    <cellStyle name="Normal 2 2 2 39 2 11 2" xfId="15045" xr:uid="{9EE4AB99-E362-4892-9D89-23AAE58C9B2F}"/>
    <cellStyle name="Normal 2 2 2 39 2 11 3" xfId="15046" xr:uid="{9D0DB94D-E7A6-43EC-91D6-072BFDB0D837}"/>
    <cellStyle name="Normal 2 2 2 39 2 11 4" xfId="15047" xr:uid="{092DA5EC-141D-49B6-A003-48D0D0173DB6}"/>
    <cellStyle name="Normal 2 2 2 39 2 12" xfId="15048" xr:uid="{75F372E9-B409-460A-8EFC-15E79590BCEB}"/>
    <cellStyle name="Normal 2 2 2 39 2 13" xfId="15049" xr:uid="{65F07357-2E92-45F2-B683-59FFBE98C057}"/>
    <cellStyle name="Normal 2 2 2 39 2 14" xfId="15050" xr:uid="{828DAA67-0AEF-4720-B740-DAC29E73AEDF}"/>
    <cellStyle name="Normal 2 2 2 39 2 2" xfId="15051" xr:uid="{543FF161-3079-4E8B-9B00-8B649467CFA5}"/>
    <cellStyle name="Normal 2 2 2 39 2 2 10" xfId="15052" xr:uid="{0D66A5B0-AC36-4639-9CBF-B97B694939A9}"/>
    <cellStyle name="Normal 2 2 2 39 2 2 11" xfId="15053" xr:uid="{2FF7DD6B-C9B7-4001-8620-E2B391F7FD96}"/>
    <cellStyle name="Normal 2 2 2 39 2 2 2" xfId="15054" xr:uid="{E7BA87CA-2A6E-408F-AB11-4A1F47ED62EB}"/>
    <cellStyle name="Normal 2 2 2 39 2 2 2 10" xfId="15055" xr:uid="{D1C56EF7-7BBE-451B-A7DC-411810DA1E07}"/>
    <cellStyle name="Normal 2 2 2 39 2 2 2 11" xfId="15056" xr:uid="{883C647F-1F9B-44B8-8272-85E624752817}"/>
    <cellStyle name="Normal 2 2 2 39 2 2 2 2" xfId="15057" xr:uid="{0019624D-7FBB-460D-BF79-D53CF2F5ED8A}"/>
    <cellStyle name="Normal 2 2 2 39 2 2 2 2 2" xfId="15058" xr:uid="{973A5A24-A92B-4AF9-B100-3BA184757D5B}"/>
    <cellStyle name="Normal 2 2 2 39 2 2 2 2 2 2" xfId="15059" xr:uid="{2FA9DBB9-55D9-4686-ACED-0B0656399DAA}"/>
    <cellStyle name="Normal 2 2 2 39 2 2 2 2 2 3" xfId="15060" xr:uid="{09DBEEA4-9FAE-4946-8653-70A1FAA1CC1E}"/>
    <cellStyle name="Normal 2 2 2 39 2 2 2 2 2 4" xfId="15061" xr:uid="{0E01DB26-B085-489B-98CA-BDE4BBCD8212}"/>
    <cellStyle name="Normal 2 2 2 39 2 2 2 2 3" xfId="15062" xr:uid="{978479D6-A9A8-4588-BF11-C702862D7AD0}"/>
    <cellStyle name="Normal 2 2 2 39 2 2 2 2 4" xfId="15063" xr:uid="{0C423869-C774-498D-9FA9-5DD6A0A977C4}"/>
    <cellStyle name="Normal 2 2 2 39 2 2 2 2 5" xfId="15064" xr:uid="{481E3AC4-D696-411E-A905-40AAA3830400}"/>
    <cellStyle name="Normal 2 2 2 39 2 2 2 2 6" xfId="15065" xr:uid="{30A74A7A-E223-4AFC-A2B5-7F1FDBFA706E}"/>
    <cellStyle name="Normal 2 2 2 39 2 2 2 3" xfId="15066" xr:uid="{4AFF2E30-CD28-4BA8-854E-AC9477F94479}"/>
    <cellStyle name="Normal 2 2 2 39 2 2 2 4" xfId="15067" xr:uid="{D5C47CDD-5DD3-4F55-B3B4-9ABBC55936A9}"/>
    <cellStyle name="Normal 2 2 2 39 2 2 2 5" xfId="15068" xr:uid="{0AD942F7-3F76-4B01-AEC7-297BE2666284}"/>
    <cellStyle name="Normal 2 2 2 39 2 2 2 6" xfId="15069" xr:uid="{203C4D29-6A12-4C63-9EC3-CC2423630708}"/>
    <cellStyle name="Normal 2 2 2 39 2 2 2 7" xfId="15070" xr:uid="{23AE1F35-A3DA-401A-8E74-D241DD47B46B}"/>
    <cellStyle name="Normal 2 2 2 39 2 2 2 8" xfId="15071" xr:uid="{534CA190-DF6E-4457-BF9E-1167645D3A53}"/>
    <cellStyle name="Normal 2 2 2 39 2 2 2 8 2" xfId="15072" xr:uid="{1DB733A3-FC88-4842-B8C9-013307F63A7C}"/>
    <cellStyle name="Normal 2 2 2 39 2 2 2 8 3" xfId="15073" xr:uid="{10852925-4122-48AC-8FA8-B9E96C68EEC9}"/>
    <cellStyle name="Normal 2 2 2 39 2 2 2 8 4" xfId="15074" xr:uid="{EF218F06-7A9B-4834-B4BB-64D0E1026EF1}"/>
    <cellStyle name="Normal 2 2 2 39 2 2 2 9" xfId="15075" xr:uid="{EC0F6B43-44F3-4DF5-AAAE-A610B11D7EA4}"/>
    <cellStyle name="Normal 2 2 2 39 2 2 3" xfId="15076" xr:uid="{5013C69F-0698-43BF-A110-E37616CBE5E0}"/>
    <cellStyle name="Normal 2 2 2 39 2 2 3 2" xfId="15077" xr:uid="{6AF326A5-8184-4FCA-87B6-0B0AE85A61A6}"/>
    <cellStyle name="Normal 2 2 2 39 2 2 3 2 2" xfId="15078" xr:uid="{9D2B7B8B-DB6C-406F-B831-8F22A0C21B83}"/>
    <cellStyle name="Normal 2 2 2 39 2 2 3 2 3" xfId="15079" xr:uid="{C50A787A-1633-4D02-817D-0D941230BBCA}"/>
    <cellStyle name="Normal 2 2 2 39 2 2 3 2 4" xfId="15080" xr:uid="{FDA23130-47A6-4A4F-B8D3-89D06A31AF70}"/>
    <cellStyle name="Normal 2 2 2 39 2 2 3 3" xfId="15081" xr:uid="{6946A2FC-313E-4C71-83F3-487749777BC7}"/>
    <cellStyle name="Normal 2 2 2 39 2 2 3 4" xfId="15082" xr:uid="{3C0110FE-76C1-42D8-BE02-9C7A78952947}"/>
    <cellStyle name="Normal 2 2 2 39 2 2 3 5" xfId="15083" xr:uid="{A7B5C05E-8D24-4B87-A2F0-6C8C0A3F320D}"/>
    <cellStyle name="Normal 2 2 2 39 2 2 3 6" xfId="15084" xr:uid="{BC0595D4-44F3-45F8-94A1-B1089A6C7A41}"/>
    <cellStyle name="Normal 2 2 2 39 2 2 4" xfId="15085" xr:uid="{B16C6E08-5488-4186-B3DF-169AD5CE92B5}"/>
    <cellStyle name="Normal 2 2 2 39 2 2 5" xfId="15086" xr:uid="{A7331664-9CA7-4960-A2A1-8E8CE2178A08}"/>
    <cellStyle name="Normal 2 2 2 39 2 2 6" xfId="15087" xr:uid="{5F029541-C598-4C47-A4F2-7F268F2F57CA}"/>
    <cellStyle name="Normal 2 2 2 39 2 2 7" xfId="15088" xr:uid="{F1032259-5CDC-4585-A486-5053CB6A0FEC}"/>
    <cellStyle name="Normal 2 2 2 39 2 2 8" xfId="15089" xr:uid="{A0715B9C-7815-4308-A15C-FEBA84A63284}"/>
    <cellStyle name="Normal 2 2 2 39 2 2 8 2" xfId="15090" xr:uid="{2A71AF2D-1B4A-4BBB-A8B6-AFD62754AEDC}"/>
    <cellStyle name="Normal 2 2 2 39 2 2 8 3" xfId="15091" xr:uid="{884FFD5D-B793-4E06-9BDD-4CC958F98333}"/>
    <cellStyle name="Normal 2 2 2 39 2 2 8 4" xfId="15092" xr:uid="{66E8FF66-CA6D-4AD1-BBBA-FC688EA02B3B}"/>
    <cellStyle name="Normal 2 2 2 39 2 2 9" xfId="15093" xr:uid="{EF31947F-0AAD-4314-AFAF-A6D84DEB302B}"/>
    <cellStyle name="Normal 2 2 2 39 2 3" xfId="15094" xr:uid="{A1940D14-88FF-41EA-BF60-68160BEA8291}"/>
    <cellStyle name="Normal 2 2 2 39 2 4" xfId="15095" xr:uid="{26C403CC-60A5-458E-8F41-A4F7486E3F77}"/>
    <cellStyle name="Normal 2 2 2 39 2 5" xfId="15096" xr:uid="{C4B4E83D-2ECF-4AC8-96EC-AE6B28A7CB19}"/>
    <cellStyle name="Normal 2 2 2 39 2 5 2" xfId="15097" xr:uid="{40FFA640-21CC-42EE-9B5D-BA5A08805077}"/>
    <cellStyle name="Normal 2 2 2 39 2 5 2 2" xfId="15098" xr:uid="{E0F993ED-D6C2-4F68-A34C-18C409C8106C}"/>
    <cellStyle name="Normal 2 2 2 39 2 5 2 3" xfId="15099" xr:uid="{BBD73590-3A3A-4436-A0A9-4C29650EDB68}"/>
    <cellStyle name="Normal 2 2 2 39 2 5 2 4" xfId="15100" xr:uid="{29C03E4E-F9BE-4380-AB49-8E24C7A692E1}"/>
    <cellStyle name="Normal 2 2 2 39 2 5 3" xfId="15101" xr:uid="{A4EDA7E1-7E94-4DB0-BADA-9B75CF52440C}"/>
    <cellStyle name="Normal 2 2 2 39 2 5 4" xfId="15102" xr:uid="{C1E94231-235A-4743-BC15-33E04D5D21B8}"/>
    <cellStyle name="Normal 2 2 2 39 2 5 5" xfId="15103" xr:uid="{5D955109-C37C-4DB8-A896-2E99B9EBA371}"/>
    <cellStyle name="Normal 2 2 2 39 2 5 6" xfId="15104" xr:uid="{14F93FC3-4C32-4848-A074-77446225F679}"/>
    <cellStyle name="Normal 2 2 2 39 2 6" xfId="15105" xr:uid="{2A0F92B0-0594-4383-9693-872C546A3E45}"/>
    <cellStyle name="Normal 2 2 2 39 2 7" xfId="15106" xr:uid="{09C30D47-626C-4AED-859D-AA90B9E981E7}"/>
    <cellStyle name="Normal 2 2 2 39 2 8" xfId="15107" xr:uid="{33B2195A-738F-4C59-8720-F053AF85A2DC}"/>
    <cellStyle name="Normal 2 2 2 39 2 9" xfId="15108" xr:uid="{6884C504-F0C6-47AD-BC84-A6244D69F185}"/>
    <cellStyle name="Normal 2 2 2 39 3" xfId="15109" xr:uid="{025314FA-0D7F-488B-8449-C2CAD7C7CC35}"/>
    <cellStyle name="Normal 2 2 2 39 4" xfId="15110" xr:uid="{74C3BAD3-FD42-4061-A955-27A0F02834F1}"/>
    <cellStyle name="Normal 2 2 2 39 5" xfId="15111" xr:uid="{CA18EDE0-D7FE-4578-9427-76E5A809C798}"/>
    <cellStyle name="Normal 2 2 2 39 5 10" xfId="15112" xr:uid="{67AC4798-08EE-41F3-B022-6D8F819988BD}"/>
    <cellStyle name="Normal 2 2 2 39 5 11" xfId="15113" xr:uid="{4BFE5A2C-5731-4C86-9614-535A99B8B255}"/>
    <cellStyle name="Normal 2 2 2 39 5 2" xfId="15114" xr:uid="{1EAAF84C-E738-4A9C-B995-6C1F6E1A6699}"/>
    <cellStyle name="Normal 2 2 2 39 5 2 10" xfId="15115" xr:uid="{56B5AF1A-D9AB-4119-ACAD-5E807A178C21}"/>
    <cellStyle name="Normal 2 2 2 39 5 2 11" xfId="15116" xr:uid="{920946B9-C375-45D2-AB18-26CAF33BA1D5}"/>
    <cellStyle name="Normal 2 2 2 39 5 2 2" xfId="15117" xr:uid="{201C307F-2D9A-4003-A1CD-5B73DB529C78}"/>
    <cellStyle name="Normal 2 2 2 39 5 2 2 2" xfId="15118" xr:uid="{D3F79193-295E-4687-8028-7B588784A603}"/>
    <cellStyle name="Normal 2 2 2 39 5 2 2 2 2" xfId="15119" xr:uid="{3B4B274E-CE48-4BB4-8C8B-812F8411EEC6}"/>
    <cellStyle name="Normal 2 2 2 39 5 2 2 2 3" xfId="15120" xr:uid="{C8E92809-5CA7-4F8A-9E5C-EBB4B7E0169A}"/>
    <cellStyle name="Normal 2 2 2 39 5 2 2 2 4" xfId="15121" xr:uid="{4E4023CC-8D8D-433F-A304-23B5B1998B07}"/>
    <cellStyle name="Normal 2 2 2 39 5 2 2 3" xfId="15122" xr:uid="{8629C71F-9F59-4D5F-A0BA-5746DEA1D764}"/>
    <cellStyle name="Normal 2 2 2 39 5 2 2 4" xfId="15123" xr:uid="{43D7706A-3C82-4D5C-A6BE-38AD150E18B1}"/>
    <cellStyle name="Normal 2 2 2 39 5 2 2 5" xfId="15124" xr:uid="{246BB05F-13A6-4D16-A78B-B4B2B998EDD2}"/>
    <cellStyle name="Normal 2 2 2 39 5 2 2 6" xfId="15125" xr:uid="{8DDAC228-F57E-48DF-8447-3020DCED870D}"/>
    <cellStyle name="Normal 2 2 2 39 5 2 3" xfId="15126" xr:uid="{BFB921EF-9A2D-45FE-86FB-6ABF2018F126}"/>
    <cellStyle name="Normal 2 2 2 39 5 2 4" xfId="15127" xr:uid="{3CFF61E6-C22D-4DD1-87A1-CB5628ECF3F8}"/>
    <cellStyle name="Normal 2 2 2 39 5 2 5" xfId="15128" xr:uid="{7BE58606-F2DA-438D-B0F5-1B477588FEE3}"/>
    <cellStyle name="Normal 2 2 2 39 5 2 6" xfId="15129" xr:uid="{6EC1E48E-A943-497D-8867-B3AD7638A8D1}"/>
    <cellStyle name="Normal 2 2 2 39 5 2 7" xfId="15130" xr:uid="{F1C1D510-1961-4DA5-81E2-D9D2A047FDFB}"/>
    <cellStyle name="Normal 2 2 2 39 5 2 8" xfId="15131" xr:uid="{ECD34474-85E4-4CB3-AFAB-BC5591FE6A0C}"/>
    <cellStyle name="Normal 2 2 2 39 5 2 8 2" xfId="15132" xr:uid="{9403A288-77B6-4C01-B155-B1D67C18CF6D}"/>
    <cellStyle name="Normal 2 2 2 39 5 2 8 3" xfId="15133" xr:uid="{ED098E06-BB13-4C4E-A923-829C51FBAFA1}"/>
    <cellStyle name="Normal 2 2 2 39 5 2 8 4" xfId="15134" xr:uid="{944D7FEF-702B-4402-8C46-FB4BA4F17F6F}"/>
    <cellStyle name="Normal 2 2 2 39 5 2 9" xfId="15135" xr:uid="{A7110188-6CB5-433A-9FD3-8FB59B5607B6}"/>
    <cellStyle name="Normal 2 2 2 39 5 3" xfId="15136" xr:uid="{3FE27770-2097-42AA-B52A-EFC8E4FD548F}"/>
    <cellStyle name="Normal 2 2 2 39 5 3 2" xfId="15137" xr:uid="{2D4F7A9C-4955-4F91-8985-DD8A48AA2BEB}"/>
    <cellStyle name="Normal 2 2 2 39 5 3 2 2" xfId="15138" xr:uid="{FA781DD9-3865-408B-9525-3CF94E192F25}"/>
    <cellStyle name="Normal 2 2 2 39 5 3 2 3" xfId="15139" xr:uid="{9358F818-FFA9-4414-8555-160C40EEDBD2}"/>
    <cellStyle name="Normal 2 2 2 39 5 3 2 4" xfId="15140" xr:uid="{945C2999-5E75-4060-B7D9-E18453ECEFEA}"/>
    <cellStyle name="Normal 2 2 2 39 5 3 3" xfId="15141" xr:uid="{919A0A9C-4097-496B-A88F-04BA2C8C2499}"/>
    <cellStyle name="Normal 2 2 2 39 5 3 4" xfId="15142" xr:uid="{B031AC46-0FCC-4137-A025-2445F87A15F9}"/>
    <cellStyle name="Normal 2 2 2 39 5 3 5" xfId="15143" xr:uid="{57C6A84A-1AA1-4496-AF70-2183E2B073E5}"/>
    <cellStyle name="Normal 2 2 2 39 5 3 6" xfId="15144" xr:uid="{0A894CD6-B358-4142-9A84-74856E1F9E67}"/>
    <cellStyle name="Normal 2 2 2 39 5 4" xfId="15145" xr:uid="{213A66D4-7EC0-409E-A894-1B328432ACA1}"/>
    <cellStyle name="Normal 2 2 2 39 5 5" xfId="15146" xr:uid="{5100902A-3863-4B09-8469-DAB28CD9CF91}"/>
    <cellStyle name="Normal 2 2 2 39 5 6" xfId="15147" xr:uid="{BE0B5415-3475-4C9F-94DE-62E3ED443A68}"/>
    <cellStyle name="Normal 2 2 2 39 5 7" xfId="15148" xr:uid="{71080DE6-A114-419D-81D2-6BA3CE486D58}"/>
    <cellStyle name="Normal 2 2 2 39 5 8" xfId="15149" xr:uid="{34076991-34A2-4CD3-A5E2-18A8152BDE42}"/>
    <cellStyle name="Normal 2 2 2 39 5 8 2" xfId="15150" xr:uid="{3B8922F5-0CC9-4195-B346-A05927A588F5}"/>
    <cellStyle name="Normal 2 2 2 39 5 8 3" xfId="15151" xr:uid="{38B0033C-8292-4106-940C-071AFDB4E8EF}"/>
    <cellStyle name="Normal 2 2 2 39 5 8 4" xfId="15152" xr:uid="{A0D59BBF-C02B-4F5D-A881-682438C10D3E}"/>
    <cellStyle name="Normal 2 2 2 39 5 9" xfId="15153" xr:uid="{289F7649-5E0F-48A4-BF28-499D3F28AA1A}"/>
    <cellStyle name="Normal 2 2 2 39 6" xfId="15154" xr:uid="{1EB36076-AD08-4BDF-A86C-783551FF3FFF}"/>
    <cellStyle name="Normal 2 2 2 39 7" xfId="15155" xr:uid="{4BAE5989-ED1B-48C7-98D3-5C7722BD3A0C}"/>
    <cellStyle name="Normal 2 2 2 39 7 2" xfId="15156" xr:uid="{92A45DE7-09AA-4EC9-A874-0A4F56F2F9E3}"/>
    <cellStyle name="Normal 2 2 2 39 7 2 2" xfId="15157" xr:uid="{8C5338B8-6F90-45A1-BFC4-3330E9509FE2}"/>
    <cellStyle name="Normal 2 2 2 39 7 2 3" xfId="15158" xr:uid="{E970DF81-0A07-4928-831A-7649551A0DAF}"/>
    <cellStyle name="Normal 2 2 2 39 7 2 4" xfId="15159" xr:uid="{C948E544-C651-4D7F-AC6F-334C0F61604E}"/>
    <cellStyle name="Normal 2 2 2 39 7 3" xfId="15160" xr:uid="{64DE1055-2B67-4DE4-8213-C6D3B7DDAC78}"/>
    <cellStyle name="Normal 2 2 2 39 7 4" xfId="15161" xr:uid="{2735329E-6D1F-4B6E-9562-F6AF026F6F51}"/>
    <cellStyle name="Normal 2 2 2 39 7 5" xfId="15162" xr:uid="{3C381C94-C7AD-436B-9A5D-0B09087AE0A8}"/>
    <cellStyle name="Normal 2 2 2 39 7 6" xfId="15163" xr:uid="{82A9EF1A-EA45-4AC5-9E50-E722250FFB9B}"/>
    <cellStyle name="Normal 2 2 2 39 8" xfId="15164" xr:uid="{077C0CC5-60A9-4F47-8FE1-A876CBF5CABA}"/>
    <cellStyle name="Normal 2 2 2 39 9" xfId="15165" xr:uid="{5FBFF392-5387-4214-BCCE-D7369FA4B899}"/>
    <cellStyle name="Normal 2 2 2 4" xfId="15166" xr:uid="{84C9396B-F81B-4279-AF0A-78CB9E9CA6E1}"/>
    <cellStyle name="Normal 2 2 2 4 2" xfId="15167" xr:uid="{50DB0ECA-1B35-4787-95EB-AA652B326988}"/>
    <cellStyle name="Normal 2 2 2 4 2 2" xfId="15168" xr:uid="{A777CB85-E58F-43C3-8A2D-882DCD523FB4}"/>
    <cellStyle name="Normal 2 2 2 4 2 2 2" xfId="15169" xr:uid="{9FCDB222-6182-4E13-A130-B55F90DA4A79}"/>
    <cellStyle name="Normal 2 2 2 4 3" xfId="15170" xr:uid="{4B79F4CB-083E-4F39-8BC3-2A05DA7BC3CE}"/>
    <cellStyle name="Normal 2 2 2 4 4" xfId="15171" xr:uid="{54FAC16B-58BE-48E1-B404-63396DDB376B}"/>
    <cellStyle name="Normal 2 2 2 40" xfId="15172" xr:uid="{C5EC901E-2DF2-40AE-82FB-EF21758ED97F}"/>
    <cellStyle name="Normal 2 2 2 41" xfId="15173" xr:uid="{521E5196-AD3E-47C7-B3CB-6CBFAAB7D6B2}"/>
    <cellStyle name="Normal 2 2 2 42" xfId="15174" xr:uid="{852B0109-F70A-4552-8343-A1B0E2C9A50D}"/>
    <cellStyle name="Normal 2 2 2 43" xfId="15175" xr:uid="{CC29878D-B252-43FB-AAC2-984C8354B994}"/>
    <cellStyle name="Normal 2 2 2 44" xfId="15176" xr:uid="{A6312C22-C20C-4EE1-85D6-0BC66FEC50E5}"/>
    <cellStyle name="Normal 2 2 2 45" xfId="15177" xr:uid="{B13E52CD-652C-40C8-8052-C8652FC7B44C}"/>
    <cellStyle name="Normal 2 2 2 46" xfId="15178" xr:uid="{771626EE-99A4-441C-B23D-1B558C6FD535}"/>
    <cellStyle name="Normal 2 2 2 47" xfId="15179" xr:uid="{59CBA1A6-191B-449B-9766-3369B2298CD8}"/>
    <cellStyle name="Normal 2 2 2 47 10" xfId="15180" xr:uid="{88FEFB29-2835-4D04-929D-F88E723F10EA}"/>
    <cellStyle name="Normal 2 2 2 47 11" xfId="15181" xr:uid="{A41F0F31-A869-4FB6-9F32-BFD4B4131266}"/>
    <cellStyle name="Normal 2 2 2 47 11 2" xfId="15182" xr:uid="{BFD6375B-7C41-4267-9CEE-6AE6469E4784}"/>
    <cellStyle name="Normal 2 2 2 47 11 3" xfId="15183" xr:uid="{6DD1DA1E-43F3-42F9-8D9D-92926471AEF8}"/>
    <cellStyle name="Normal 2 2 2 47 11 4" xfId="15184" xr:uid="{4B4E479C-2F22-4282-9D48-8D1307091485}"/>
    <cellStyle name="Normal 2 2 2 47 12" xfId="15185" xr:uid="{4BA86271-33BE-4824-A6C3-1531A58FA544}"/>
    <cellStyle name="Normal 2 2 2 47 13" xfId="15186" xr:uid="{3C2CC4AF-1CA0-4FB8-B3C4-AD7AB74AEA8F}"/>
    <cellStyle name="Normal 2 2 2 47 14" xfId="15187" xr:uid="{B50043D1-C3F9-4783-8F53-20B8BEFDA1DB}"/>
    <cellStyle name="Normal 2 2 2 47 2" xfId="15188" xr:uid="{EEBC251A-2215-43BA-9608-03C0B6279AB9}"/>
    <cellStyle name="Normal 2 2 2 47 2 10" xfId="15189" xr:uid="{1CB34E82-BDBB-4A45-B714-5C228072B7EF}"/>
    <cellStyle name="Normal 2 2 2 47 2 11" xfId="15190" xr:uid="{98B53425-E647-443F-82BC-A2734ABD34EE}"/>
    <cellStyle name="Normal 2 2 2 47 2 2" xfId="15191" xr:uid="{BFB79B06-8BD3-4EC6-8568-81D006394A94}"/>
    <cellStyle name="Normal 2 2 2 47 2 2 10" xfId="15192" xr:uid="{A878BEBD-6CC1-4D17-BDB8-049A5EA4E99F}"/>
    <cellStyle name="Normal 2 2 2 47 2 2 11" xfId="15193" xr:uid="{812B61E3-F2A2-42B9-8998-B5A7D8CA9BBF}"/>
    <cellStyle name="Normal 2 2 2 47 2 2 2" xfId="15194" xr:uid="{4699679A-32C0-4849-AC96-7DE51D2E0E93}"/>
    <cellStyle name="Normal 2 2 2 47 2 2 2 2" xfId="15195" xr:uid="{C2DF2FCA-61EF-4371-A438-35308544559B}"/>
    <cellStyle name="Normal 2 2 2 47 2 2 2 2 2" xfId="15196" xr:uid="{228FE138-743E-448B-A445-8FAA4A42FA84}"/>
    <cellStyle name="Normal 2 2 2 47 2 2 2 2 3" xfId="15197" xr:uid="{6483C791-CF6F-4735-BA61-8FF470C9C1C0}"/>
    <cellStyle name="Normal 2 2 2 47 2 2 2 2 4" xfId="15198" xr:uid="{6CB012B0-E598-485C-95B1-409953E5F127}"/>
    <cellStyle name="Normal 2 2 2 47 2 2 2 3" xfId="15199" xr:uid="{A6A1121A-AD19-4997-B5B9-3A41E43AE247}"/>
    <cellStyle name="Normal 2 2 2 47 2 2 2 4" xfId="15200" xr:uid="{077BC5B1-3629-4162-8BA8-F2A56CCB9944}"/>
    <cellStyle name="Normal 2 2 2 47 2 2 2 5" xfId="15201" xr:uid="{54B94EFC-0804-40B0-A4C9-829ED5F90930}"/>
    <cellStyle name="Normal 2 2 2 47 2 2 2 6" xfId="15202" xr:uid="{FBD99FB2-38F8-4406-BC71-D288114DF5A3}"/>
    <cellStyle name="Normal 2 2 2 47 2 2 3" xfId="15203" xr:uid="{09C535CD-B75E-4E98-BBC8-E68A19619A6B}"/>
    <cellStyle name="Normal 2 2 2 47 2 2 4" xfId="15204" xr:uid="{E2C6D15A-7AB6-46FB-BDD2-D64474807BBB}"/>
    <cellStyle name="Normal 2 2 2 47 2 2 5" xfId="15205" xr:uid="{4A55D987-8604-4FF1-8C7B-3224DFAE1AB3}"/>
    <cellStyle name="Normal 2 2 2 47 2 2 6" xfId="15206" xr:uid="{65A9230F-5427-4416-B946-FAB7839B4F89}"/>
    <cellStyle name="Normal 2 2 2 47 2 2 7" xfId="15207" xr:uid="{B344BFA2-1471-46B5-9D28-BB33FE70A874}"/>
    <cellStyle name="Normal 2 2 2 47 2 2 8" xfId="15208" xr:uid="{4EFF484F-BD0C-4338-A8A2-CC87808A1CC4}"/>
    <cellStyle name="Normal 2 2 2 47 2 2 8 2" xfId="15209" xr:uid="{799C12FD-2FD4-4334-9996-7CC21B9A1054}"/>
    <cellStyle name="Normal 2 2 2 47 2 2 8 3" xfId="15210" xr:uid="{1A1A0E02-BEAD-42E6-8C0E-FD314D88168C}"/>
    <cellStyle name="Normal 2 2 2 47 2 2 8 4" xfId="15211" xr:uid="{A1B1CC8F-D79A-44BC-A6E8-8EC7ACDB3CB3}"/>
    <cellStyle name="Normal 2 2 2 47 2 2 9" xfId="15212" xr:uid="{252EE7A2-32BA-4AAA-BCBE-89C7BFCD9473}"/>
    <cellStyle name="Normal 2 2 2 47 2 3" xfId="15213" xr:uid="{0E90ABD6-29A4-488B-ACF5-2499274B1CED}"/>
    <cellStyle name="Normal 2 2 2 47 2 3 2" xfId="15214" xr:uid="{D9022D94-00A5-48C3-AFD4-11EBD320BBF0}"/>
    <cellStyle name="Normal 2 2 2 47 2 3 2 2" xfId="15215" xr:uid="{3099CC7E-D3BB-4A57-A39D-5CB3D153EB86}"/>
    <cellStyle name="Normal 2 2 2 47 2 3 2 3" xfId="15216" xr:uid="{1E9D0087-3656-40ED-AC8D-7A2AA5E6844F}"/>
    <cellStyle name="Normal 2 2 2 47 2 3 2 4" xfId="15217" xr:uid="{6B87B94B-7256-4F2B-A604-7269C21C513D}"/>
    <cellStyle name="Normal 2 2 2 47 2 3 3" xfId="15218" xr:uid="{1D7E8EA3-8326-4DF2-8060-C300AB6B5102}"/>
    <cellStyle name="Normal 2 2 2 47 2 3 4" xfId="15219" xr:uid="{23DA7AA0-5428-4E32-81AA-6F316F23DD91}"/>
    <cellStyle name="Normal 2 2 2 47 2 3 5" xfId="15220" xr:uid="{F177F942-C2C0-42AC-8569-6BBC747AB138}"/>
    <cellStyle name="Normal 2 2 2 47 2 3 6" xfId="15221" xr:uid="{CF5F6608-EE5B-469C-9144-05322953BD8B}"/>
    <cellStyle name="Normal 2 2 2 47 2 4" xfId="15222" xr:uid="{20097772-6431-4E3A-81ED-BA3B4238B287}"/>
    <cellStyle name="Normal 2 2 2 47 2 5" xfId="15223" xr:uid="{62B72808-ABFD-4153-9E81-E0E64F559400}"/>
    <cellStyle name="Normal 2 2 2 47 2 6" xfId="15224" xr:uid="{30852DD6-6C8D-48B7-A68C-9E232B701C93}"/>
    <cellStyle name="Normal 2 2 2 47 2 7" xfId="15225" xr:uid="{073719E9-8303-4504-85D9-B45FB768B0BE}"/>
    <cellStyle name="Normal 2 2 2 47 2 8" xfId="15226" xr:uid="{AA6E332A-5003-4951-A847-08A6E0FA4790}"/>
    <cellStyle name="Normal 2 2 2 47 2 8 2" xfId="15227" xr:uid="{0C77BE2B-4B52-4CF8-9929-28A958145AF3}"/>
    <cellStyle name="Normal 2 2 2 47 2 8 3" xfId="15228" xr:uid="{5D85AEDD-3944-4E96-957B-38522D28F4EE}"/>
    <cellStyle name="Normal 2 2 2 47 2 8 4" xfId="15229" xr:uid="{81977ADC-AF3C-44C0-8BC0-40836BFE020E}"/>
    <cellStyle name="Normal 2 2 2 47 2 9" xfId="15230" xr:uid="{172E2F07-7209-4772-9CA5-0D49B1794FA1}"/>
    <cellStyle name="Normal 2 2 2 47 3" xfId="15231" xr:uid="{1166EEE3-933B-4F76-A09D-9F2AD8E32F1A}"/>
    <cellStyle name="Normal 2 2 2 47 4" xfId="15232" xr:uid="{68116C55-46C7-4994-888A-19034E059BA2}"/>
    <cellStyle name="Normal 2 2 2 47 5" xfId="15233" xr:uid="{391CF5F2-4BC3-445E-BC8B-0D071133C4C6}"/>
    <cellStyle name="Normal 2 2 2 47 5 2" xfId="15234" xr:uid="{E2F54D18-811C-43AD-B1E7-4AB8A9C8F50B}"/>
    <cellStyle name="Normal 2 2 2 47 5 2 2" xfId="15235" xr:uid="{9C2F1F42-D482-4DC9-9CBD-3B938B1FC8D7}"/>
    <cellStyle name="Normal 2 2 2 47 5 2 3" xfId="15236" xr:uid="{2F067295-4CB9-409D-81F9-7BF79B3E9DCC}"/>
    <cellStyle name="Normal 2 2 2 47 5 2 4" xfId="15237" xr:uid="{56C48AB8-DD6B-4AFD-B6B5-69272123FC78}"/>
    <cellStyle name="Normal 2 2 2 47 5 3" xfId="15238" xr:uid="{3CA1409A-84CF-47B8-8A1F-C280D2F37314}"/>
    <cellStyle name="Normal 2 2 2 47 5 4" xfId="15239" xr:uid="{373840B6-6362-4FEC-BAD8-9507BFA03023}"/>
    <cellStyle name="Normal 2 2 2 47 5 5" xfId="15240" xr:uid="{6F961B1F-8CC8-4B5A-BC3E-D0C30347F20E}"/>
    <cellStyle name="Normal 2 2 2 47 5 6" xfId="15241" xr:uid="{CD7AE1CE-74BB-46F5-BD8D-0E0804C12154}"/>
    <cellStyle name="Normal 2 2 2 47 6" xfId="15242" xr:uid="{69BFA288-CCB0-492B-931A-75DBD8FF65C7}"/>
    <cellStyle name="Normal 2 2 2 47 7" xfId="15243" xr:uid="{2761A454-53C6-453F-8C9A-38DA049FBEFD}"/>
    <cellStyle name="Normal 2 2 2 47 8" xfId="15244" xr:uid="{79854F7B-A13C-45F1-93EB-59CA185D2946}"/>
    <cellStyle name="Normal 2 2 2 47 9" xfId="15245" xr:uid="{C159D909-D7B9-4F20-9304-A8D817893DF5}"/>
    <cellStyle name="Normal 2 2 2 48" xfId="15246" xr:uid="{31745CAE-E2A4-4353-B01C-090CAEC1A1B9}"/>
    <cellStyle name="Normal 2 2 2 49" xfId="15247" xr:uid="{584C1CF5-EE56-4CCD-87F1-722433BE1B84}"/>
    <cellStyle name="Normal 2 2 2 49 10" xfId="15248" xr:uid="{FD26B191-FACB-4DA5-A2C5-DBC92684D57F}"/>
    <cellStyle name="Normal 2 2 2 49 11" xfId="15249" xr:uid="{CC1A06A1-E8A4-43FF-B5BD-001007A3DFB6}"/>
    <cellStyle name="Normal 2 2 2 49 2" xfId="15250" xr:uid="{CC9D36B1-17E3-4B28-B38F-865FDFAAA78C}"/>
    <cellStyle name="Normal 2 2 2 49 2 10" xfId="15251" xr:uid="{CDE18F48-EDC4-4CBD-914E-0551B7606F05}"/>
    <cellStyle name="Normal 2 2 2 49 2 11" xfId="15252" xr:uid="{43145D16-9C66-41A0-B0CC-50D8E5FAEE1B}"/>
    <cellStyle name="Normal 2 2 2 49 2 2" xfId="15253" xr:uid="{698B15DE-4C52-4B71-BE82-69A152EDA12B}"/>
    <cellStyle name="Normal 2 2 2 49 2 2 2" xfId="15254" xr:uid="{AA36FA6D-F3CE-48AA-8FC2-464063595511}"/>
    <cellStyle name="Normal 2 2 2 49 2 2 2 2" xfId="15255" xr:uid="{548338C8-A17E-4BC7-9E13-9CDF33929A4B}"/>
    <cellStyle name="Normal 2 2 2 49 2 2 2 3" xfId="15256" xr:uid="{632E32F1-AF5C-4593-94FF-B2625B455894}"/>
    <cellStyle name="Normal 2 2 2 49 2 2 2 4" xfId="15257" xr:uid="{7B891F4C-9BB7-4B64-B6C2-57EFE77B76AB}"/>
    <cellStyle name="Normal 2 2 2 49 2 2 3" xfId="15258" xr:uid="{4C6E9E05-A704-4B2E-8FEE-034B9B43964F}"/>
    <cellStyle name="Normal 2 2 2 49 2 2 4" xfId="15259" xr:uid="{369887D5-F559-41E3-8179-D296009A5A78}"/>
    <cellStyle name="Normal 2 2 2 49 2 2 5" xfId="15260" xr:uid="{2F7A3CD2-E15E-4DEE-A76B-96DA02058886}"/>
    <cellStyle name="Normal 2 2 2 49 2 2 6" xfId="15261" xr:uid="{F72ECDE4-E04E-4C6D-A381-4C9E91CAE927}"/>
    <cellStyle name="Normal 2 2 2 49 2 3" xfId="15262" xr:uid="{E546ED8C-B43C-4021-93E4-AF783D1D488B}"/>
    <cellStyle name="Normal 2 2 2 49 2 4" xfId="15263" xr:uid="{5C472D3E-7E0C-462B-80A4-8BB178E133C8}"/>
    <cellStyle name="Normal 2 2 2 49 2 5" xfId="15264" xr:uid="{ADFDABF8-106C-4C1F-A1CA-F5DE4A38418B}"/>
    <cellStyle name="Normal 2 2 2 49 2 6" xfId="15265" xr:uid="{E3EDE758-DAAD-4303-B41A-5336003D6D0F}"/>
    <cellStyle name="Normal 2 2 2 49 2 7" xfId="15266" xr:uid="{2C35FECF-D6B3-4F27-BAC6-6BBC27ADC82C}"/>
    <cellStyle name="Normal 2 2 2 49 2 8" xfId="15267" xr:uid="{030749CA-6845-40B1-A98F-8DEBEBD93899}"/>
    <cellStyle name="Normal 2 2 2 49 2 8 2" xfId="15268" xr:uid="{202A0318-84E1-4796-B821-EE2596E650E9}"/>
    <cellStyle name="Normal 2 2 2 49 2 8 3" xfId="15269" xr:uid="{C5EB45E4-69C7-4397-96EC-04270299ED1D}"/>
    <cellStyle name="Normal 2 2 2 49 2 8 4" xfId="15270" xr:uid="{64E81B2C-3FD5-448E-88D8-D0588C9EC4BA}"/>
    <cellStyle name="Normal 2 2 2 49 2 9" xfId="15271" xr:uid="{FDC0990B-4CE1-41CC-AC1E-A015CFFD2394}"/>
    <cellStyle name="Normal 2 2 2 49 3" xfId="15272" xr:uid="{5B930725-521F-43B6-A277-F2061C1B9A02}"/>
    <cellStyle name="Normal 2 2 2 49 3 2" xfId="15273" xr:uid="{75F717D7-9224-45BC-8972-F551F5112069}"/>
    <cellStyle name="Normal 2 2 2 49 3 2 2" xfId="15274" xr:uid="{C49DE492-44CA-44E1-A817-3E36D317585B}"/>
    <cellStyle name="Normal 2 2 2 49 3 2 3" xfId="15275" xr:uid="{DA040FE6-5D3B-4879-8FCE-92F0D67CC1F1}"/>
    <cellStyle name="Normal 2 2 2 49 3 2 4" xfId="15276" xr:uid="{B6D30401-6EFE-4BDB-A55A-8D351F537E88}"/>
    <cellStyle name="Normal 2 2 2 49 3 3" xfId="15277" xr:uid="{984CE574-F547-44A1-9937-EDF85592F08A}"/>
    <cellStyle name="Normal 2 2 2 49 3 4" xfId="15278" xr:uid="{69DBEC6A-69FA-49E2-A2EC-35C5878F53B7}"/>
    <cellStyle name="Normal 2 2 2 49 3 5" xfId="15279" xr:uid="{C5813376-0CF9-450D-B7CB-670BA0550DA3}"/>
    <cellStyle name="Normal 2 2 2 49 3 6" xfId="15280" xr:uid="{EBF11321-F04E-4F0F-A514-2B347452ABE5}"/>
    <cellStyle name="Normal 2 2 2 49 4" xfId="15281" xr:uid="{D070804D-C13D-4960-978F-6040FF93691C}"/>
    <cellStyle name="Normal 2 2 2 49 5" xfId="15282" xr:uid="{B1D47AD3-CBFD-4B60-AD16-C233AED36D06}"/>
    <cellStyle name="Normal 2 2 2 49 6" xfId="15283" xr:uid="{CDD51E6F-C4AB-4861-9176-025C3DC04638}"/>
    <cellStyle name="Normal 2 2 2 49 7" xfId="15284" xr:uid="{98C7E1EE-26BC-434C-8DA3-10A1B6E68D56}"/>
    <cellStyle name="Normal 2 2 2 49 8" xfId="15285" xr:uid="{0D5DC8B5-B4EC-4C2C-97CD-C9F44CEB6FD3}"/>
    <cellStyle name="Normal 2 2 2 49 8 2" xfId="15286" xr:uid="{2C1238F1-52CE-47A6-9960-669238D32CC1}"/>
    <cellStyle name="Normal 2 2 2 49 8 3" xfId="15287" xr:uid="{1F852F1D-B5DC-4BAE-848F-938C911847EA}"/>
    <cellStyle name="Normal 2 2 2 49 8 4" xfId="15288" xr:uid="{18368F99-758B-489A-AACC-D7A8D7485BA7}"/>
    <cellStyle name="Normal 2 2 2 49 9" xfId="15289" xr:uid="{8D5F2DC4-2C05-409A-8E17-D7A06E2DEB21}"/>
    <cellStyle name="Normal 2 2 2 5" xfId="15290" xr:uid="{0F9DF293-3022-478F-8665-156EF786256F}"/>
    <cellStyle name="Normal 2 2 2 5 2" xfId="15291" xr:uid="{49B24704-5E4C-462F-A4DF-359BBA80B477}"/>
    <cellStyle name="Normal 2 2 2 50" xfId="15292" xr:uid="{BF922A98-3445-4E9D-9158-0BC7D27C5A63}"/>
    <cellStyle name="Normal 2 2 2 51" xfId="15293" xr:uid="{35DD0CAB-7B8C-42A8-ACEF-205ADC32D967}"/>
    <cellStyle name="Normal 2 2 2 51 2" xfId="15294" xr:uid="{7C6B9197-29FA-491C-9AB4-B18C5B01DC25}"/>
    <cellStyle name="Normal 2 2 2 51 2 2" xfId="15295" xr:uid="{1102ABE4-D34E-46B2-A443-1072357ED323}"/>
    <cellStyle name="Normal 2 2 2 51 2 3" xfId="15296" xr:uid="{767641BC-7C9A-420A-8697-37001C009D3C}"/>
    <cellStyle name="Normal 2 2 2 51 2 4" xfId="15297" xr:uid="{84110A67-D6E6-4257-9046-0ED0A180BC9B}"/>
    <cellStyle name="Normal 2 2 2 51 3" xfId="15298" xr:uid="{9CA46D42-94FB-4A96-8A56-1DD971FD4455}"/>
    <cellStyle name="Normal 2 2 2 51 4" xfId="15299" xr:uid="{8ACA76E0-A7EF-47AB-A84F-509317BB882D}"/>
    <cellStyle name="Normal 2 2 2 51 5" xfId="15300" xr:uid="{FB6C29C1-AE68-48F8-8E11-6C5802E55E7D}"/>
    <cellStyle name="Normal 2 2 2 51 6" xfId="15301" xr:uid="{3D6D4E48-F3C8-4F35-BBFC-B3DD3704C6A1}"/>
    <cellStyle name="Normal 2 2 2 52" xfId="15302" xr:uid="{EF97DBCC-B133-40F8-BC7E-E03A8386C547}"/>
    <cellStyle name="Normal 2 2 2 53" xfId="15303" xr:uid="{AA896ED0-5F62-4458-AB90-89128634DB8A}"/>
    <cellStyle name="Normal 2 2 2 54" xfId="15304" xr:uid="{22F26884-4497-4015-AEE0-329A63295DA2}"/>
    <cellStyle name="Normal 2 2 2 55" xfId="15305" xr:uid="{3B6E948B-4AAD-40A3-A3F0-101775891739}"/>
    <cellStyle name="Normal 2 2 2 56" xfId="15306" xr:uid="{DF79163F-0355-4AF1-857E-074A194EAE3A}"/>
    <cellStyle name="Normal 2 2 2 57" xfId="15307" xr:uid="{BE4F824A-F0C3-4FB4-A79C-7C459634A863}"/>
    <cellStyle name="Normal 2 2 2 57 2" xfId="15308" xr:uid="{0A73D7B3-0A23-4FF5-BD29-F60BC45FA7F9}"/>
    <cellStyle name="Normal 2 2 2 57 3" xfId="15309" xr:uid="{B3C776DF-335F-4B6C-BAE7-AA09B64D8A0E}"/>
    <cellStyle name="Normal 2 2 2 57 4" xfId="15310" xr:uid="{D7402D3F-9D82-4BE2-851A-92D12BEC32BF}"/>
    <cellStyle name="Normal 2 2 2 58" xfId="15311" xr:uid="{9133E4A0-5DAB-41DA-8174-9D86B349AD4E}"/>
    <cellStyle name="Normal 2 2 2 59" xfId="15312" xr:uid="{EF40D647-7ED2-4865-8665-BBD90B3C399D}"/>
    <cellStyle name="Normal 2 2 2 6" xfId="15313" xr:uid="{65CE287F-C1A9-4896-8565-9A79B19FC5CC}"/>
    <cellStyle name="Normal 2 2 2 6 2" xfId="15314" xr:uid="{644743E2-4026-4859-A712-39476B1D6899}"/>
    <cellStyle name="Normal 2 2 2 60" xfId="15315" xr:uid="{D46840B7-0958-4CCF-A7A0-77BA4D7039FB}"/>
    <cellStyle name="Normal 2 2 2 61" xfId="15316" xr:uid="{272C92DC-C6E1-4175-B3BE-6BC7B2CE78F2}"/>
    <cellStyle name="Normal 2 2 2 62" xfId="15317" xr:uid="{CF5F5F9F-A35E-4AB9-904F-6F726288E517}"/>
    <cellStyle name="Normal 2 2 2 63" xfId="15318" xr:uid="{7F2AFCBF-FE65-4563-9101-E4895BF9B78C}"/>
    <cellStyle name="Normal 2 2 2 64" xfId="15319" xr:uid="{A5B4B683-E526-4BF0-BE1C-1FBEF412C118}"/>
    <cellStyle name="Normal 2 2 2 65" xfId="15320" xr:uid="{EC9ABC41-ACBD-4E46-8C13-30E7354D2873}"/>
    <cellStyle name="Normal 2 2 2 66" xfId="15321" xr:uid="{10BC5C4D-DA62-4B8A-A7B7-C7FEEFAC0230}"/>
    <cellStyle name="Normal 2 2 2 67" xfId="15322" xr:uid="{8B4AC9ED-0A9C-4696-8A71-AC2C41225B0F}"/>
    <cellStyle name="Normal 2 2 2 68" xfId="15323" xr:uid="{30E52CB2-C541-48E6-8DBF-6D3AA670AAC9}"/>
    <cellStyle name="Normal 2 2 2 69" xfId="15324" xr:uid="{8D8F709B-CE06-4F65-823E-8AAA59A47543}"/>
    <cellStyle name="Normal 2 2 2 7" xfId="15325" xr:uid="{C616C8DA-C224-434A-9078-A4C4EBF9649E}"/>
    <cellStyle name="Normal 2 2 2 7 2" xfId="15326" xr:uid="{1672EAB6-680A-41B1-8496-5B94578F05AF}"/>
    <cellStyle name="Normal 2 2 2 70" xfId="15327" xr:uid="{994F64DD-BC02-4671-B6CA-A29ECC0DE1C3}"/>
    <cellStyle name="Normal 2 2 2 71" xfId="15328" xr:uid="{9CDC6C58-1B28-4DFF-A70A-FEAEDEE81B03}"/>
    <cellStyle name="Normal 2 2 2 72" xfId="15329" xr:uid="{DD16260F-A0B6-45A0-B299-A82C7029B43F}"/>
    <cellStyle name="Normal 2 2 2 72 2" xfId="15330" xr:uid="{E44844E8-0560-425D-B83F-FE0B64ED7B21}"/>
    <cellStyle name="Normal 2 2 2 72 3" xfId="15331" xr:uid="{C66E8FD8-8AC9-4E65-A30A-F689F7D659ED}"/>
    <cellStyle name="Normal 2 2 2 72 4" xfId="15332" xr:uid="{E29DB26E-6FD0-49CD-A62A-C1A60C59EBF9}"/>
    <cellStyle name="Normal 2 2 2 72 5" xfId="15333" xr:uid="{1F71E62B-C0B0-4919-B64C-5B3B1C5F6010}"/>
    <cellStyle name="Normal 2 2 2 72 6" xfId="15334" xr:uid="{CF164284-7E5A-46D1-97BE-CF55F10A449F}"/>
    <cellStyle name="Normal 2 2 2 72 7" xfId="15335" xr:uid="{927E10B7-DA7F-44D8-8F4E-57DABF5E2FEE}"/>
    <cellStyle name="Normal 2 2 2 73" xfId="15336" xr:uid="{CF524DA6-4802-4E65-BFCC-9E241DC0047D}"/>
    <cellStyle name="Normal 2 2 2 74" xfId="15337" xr:uid="{494CFCA9-AB26-43A6-9628-2FB71FB87D4B}"/>
    <cellStyle name="Normal 2 2 2 75" xfId="15338" xr:uid="{1D880714-9E75-486C-A70E-811A03F81814}"/>
    <cellStyle name="Normal 2 2 2 76" xfId="15339" xr:uid="{0ECF0E7D-BED5-4E55-81C9-766264020BE6}"/>
    <cellStyle name="Normal 2 2 2 77" xfId="15340" xr:uid="{51CE96BF-E8B6-4729-836E-390205AE563D}"/>
    <cellStyle name="Normal 2 2 2 78" xfId="15341" xr:uid="{53C7CB56-C451-46C2-AAC6-10F4CFA2E8DA}"/>
    <cellStyle name="Normal 2 2 2 79" xfId="15342" xr:uid="{B358E765-2E54-49C3-9018-3B83BA27E4A0}"/>
    <cellStyle name="Normal 2 2 2 8" xfId="15343" xr:uid="{F06553E7-EFD5-4B50-A2B0-CD4BC4B5232C}"/>
    <cellStyle name="Normal 2 2 2 8 2" xfId="15344" xr:uid="{353E4898-778D-4609-B5D8-65DC6C99ACEE}"/>
    <cellStyle name="Normal 2 2 2 80" xfId="15345" xr:uid="{FD147F62-6FB0-46A9-BA75-B88CFE00EE1B}"/>
    <cellStyle name="Normal 2 2 2 81" xfId="15346" xr:uid="{5BBC9DC8-DCE0-4A3A-A037-4E6A82F0C740}"/>
    <cellStyle name="Normal 2 2 2 82" xfId="15347" xr:uid="{6A9B6C47-F9AB-4F5D-890C-E4005FC9A3F4}"/>
    <cellStyle name="Normal 2 2 2 83" xfId="15348" xr:uid="{11729D14-F4C7-47D4-992D-83F59493EF21}"/>
    <cellStyle name="Normal 2 2 2 84" xfId="15349" xr:uid="{F9EE97EC-5C3B-456A-9168-CA66819BDA90}"/>
    <cellStyle name="Normal 2 2 2 85" xfId="15350" xr:uid="{2504E1D4-A9BD-4C5A-B67E-131BEF234B46}"/>
    <cellStyle name="Normal 2 2 2 86" xfId="15351" xr:uid="{40CC6DB2-C055-4A58-AC1A-EE8707DACB9F}"/>
    <cellStyle name="Normal 2 2 2 87" xfId="15352" xr:uid="{E22BDC62-FA9D-418E-B689-CFF6639A02A5}"/>
    <cellStyle name="Normal 2 2 2 88" xfId="15353" xr:uid="{551294F1-7981-4DAD-8AAF-AE0C483C1232}"/>
    <cellStyle name="Normal 2 2 2 89" xfId="15354" xr:uid="{FB7C2EDD-1B96-4FE6-8126-42DBF9EFAB99}"/>
    <cellStyle name="Normal 2 2 2 9" xfId="15355" xr:uid="{E644178F-4385-49D7-A848-A2845F5FA1A5}"/>
    <cellStyle name="Normal 2 2 2 9 2" xfId="15356" xr:uid="{61E856C5-7D79-41BA-AA8B-4F74EF086BCB}"/>
    <cellStyle name="Normal 2 2 2 90" xfId="15357" xr:uid="{3254B2E9-F7F5-46E8-A046-A547BA337C37}"/>
    <cellStyle name="Normal 2 2 2 91" xfId="15358" xr:uid="{63BFF881-0AA3-4BAB-9D89-14C2DBC0074D}"/>
    <cellStyle name="Normal 2 2 2 92" xfId="15359" xr:uid="{1F4A63B0-DFF7-43E0-8E72-8F4ECDAEEADA}"/>
    <cellStyle name="Normal 2 2 2 93" xfId="15360" xr:uid="{D115D6C1-1F48-4113-9CD5-364DADEC1CDD}"/>
    <cellStyle name="Normal 2 2 2 94" xfId="15361" xr:uid="{46258D87-A368-42BB-9468-4D63C4B52196}"/>
    <cellStyle name="Normal 2 2 2 95" xfId="15362" xr:uid="{83F73BF6-C87F-4C3E-9DF9-81E16E4C2187}"/>
    <cellStyle name="Normal 2 2 2 96" xfId="15363" xr:uid="{92943727-4810-4592-83A8-5CC078B21734}"/>
    <cellStyle name="Normal 2 2 2 97" xfId="15364" xr:uid="{F0F6564B-5040-4098-AD3F-688DD10D343D}"/>
    <cellStyle name="Normal 2 2 2 98" xfId="15365" xr:uid="{514B4F8A-86B4-41F7-9912-95FD4831FE03}"/>
    <cellStyle name="Normal 2 2 2 99" xfId="15366" xr:uid="{6A18DFE9-A22B-4B2C-BDF5-3EE0BF872A0B}"/>
    <cellStyle name="Normal 2 2 20" xfId="15367" xr:uid="{EA25A472-2481-472A-A951-5C6017143CFD}"/>
    <cellStyle name="Normal 2 2 20 2" xfId="15368" xr:uid="{D182BFC9-2166-435C-9F7B-AA6703A7359E}"/>
    <cellStyle name="Normal 2 2 200" xfId="15369" xr:uid="{C5FAB897-3C1B-4FF3-B88C-D4E7DD1A65F8}"/>
    <cellStyle name="Normal 2 2 201" xfId="15370" xr:uid="{B72B5571-9450-4C07-898E-35FD38A3114D}"/>
    <cellStyle name="Normal 2 2 202" xfId="15371" xr:uid="{DB28404A-57F7-47FF-ABCF-DCD91D84937D}"/>
    <cellStyle name="Normal 2 2 203" xfId="15372" xr:uid="{AD07659F-3895-4305-A27C-6058CA4DC75A}"/>
    <cellStyle name="Normal 2 2 204" xfId="15373" xr:uid="{FC501B2D-007E-45BD-8BC4-529D8D53BAC7}"/>
    <cellStyle name="Normal 2 2 205" xfId="15374" xr:uid="{79430F0D-EBF8-4BA0-B24B-75B7818CD337}"/>
    <cellStyle name="Normal 2 2 206" xfId="15375" xr:uid="{6232876E-2A2C-4DA7-8371-4FA09EED8DED}"/>
    <cellStyle name="Normal 2 2 207" xfId="15376" xr:uid="{28D4BEA1-FED5-456C-97E6-84D382BA694B}"/>
    <cellStyle name="Normal 2 2 208" xfId="15377" xr:uid="{399E1DBD-E8F7-4235-996C-FDC9EDF15784}"/>
    <cellStyle name="Normal 2 2 209" xfId="15378" xr:uid="{0F0438A1-71ED-4E7C-ACF0-4D3466A94A86}"/>
    <cellStyle name="Normal 2 2 21" xfId="15379" xr:uid="{441F3075-1229-430F-9313-5367DA5E0D86}"/>
    <cellStyle name="Normal 2 2 21 2" xfId="15380" xr:uid="{A380A1F9-A56D-4901-9733-8300515379A5}"/>
    <cellStyle name="Normal 2 2 210" xfId="15381" xr:uid="{D6CE24A5-92FF-4F6E-BEE0-2441D0D6744F}"/>
    <cellStyle name="Normal 2 2 211" xfId="15382" xr:uid="{880ABCDD-F8CB-401D-A5E6-D0C0D9F0CB35}"/>
    <cellStyle name="Normal 2 2 212" xfId="15383" xr:uid="{0CF49A48-7E62-4E57-ADBF-4940C7485CB8}"/>
    <cellStyle name="Normal 2 2 213" xfId="15384" xr:uid="{6392303D-CC78-48CC-91CA-FDC6FA117505}"/>
    <cellStyle name="Normal 2 2 214" xfId="15385" xr:uid="{AA64EBEE-FBBF-44AE-BB61-9545FBDA3647}"/>
    <cellStyle name="Normal 2 2 215" xfId="15386" xr:uid="{4E96055A-8DBA-4877-AAC0-5AC75F191A96}"/>
    <cellStyle name="Normal 2 2 22" xfId="15387" xr:uid="{96120830-42D4-4696-9A77-EFECE253D852}"/>
    <cellStyle name="Normal 2 2 22 2" xfId="15388" xr:uid="{F58B12D3-09FD-4F75-B055-1C109928A9C0}"/>
    <cellStyle name="Normal 2 2 23" xfId="15389" xr:uid="{6C719860-BDC5-41D7-8227-F120E06A46BB}"/>
    <cellStyle name="Normal 2 2 23 2" xfId="15390" xr:uid="{CAE98D49-3A36-4CD3-BBD2-9DACBD43845E}"/>
    <cellStyle name="Normal 2 2 24" xfId="15391" xr:uid="{D8AC8E0B-60BA-4012-BC7D-68549915D9C0}"/>
    <cellStyle name="Normal 2 2 24 2" xfId="15392" xr:uid="{9C634C2F-800F-4BAB-847C-03D5877453E7}"/>
    <cellStyle name="Normal 2 2 25" xfId="15393" xr:uid="{12EF90EA-556E-4365-B586-01D69960B1F6}"/>
    <cellStyle name="Normal 2 2 25 2" xfId="15394" xr:uid="{AEEF392A-9145-4859-8E08-E4FD70A12310}"/>
    <cellStyle name="Normal 2 2 26" xfId="15395" xr:uid="{02E4D21B-0357-4C54-9322-0C002B5ECBCD}"/>
    <cellStyle name="Normal 2 2 26 2" xfId="15396" xr:uid="{DDAC3792-1C79-4A8E-BD08-764CDF78DEB9}"/>
    <cellStyle name="Normal 2 2 27" xfId="15397" xr:uid="{00F3E62C-5F9E-41C9-951F-4C2EE1366A20}"/>
    <cellStyle name="Normal 2 2 27 2" xfId="15398" xr:uid="{D4F3F477-E2E0-4BFA-B604-BCE11CF158F9}"/>
    <cellStyle name="Normal 2 2 28" xfId="15399" xr:uid="{7C473109-67D4-43CC-A0A5-91577AFF742A}"/>
    <cellStyle name="Normal 2 2 28 2" xfId="15400" xr:uid="{A180381C-FE07-4F3F-999E-48C26A26C151}"/>
    <cellStyle name="Normal 2 2 29" xfId="15401" xr:uid="{36125225-0A4D-4BCE-AA4C-1E88A5277529}"/>
    <cellStyle name="Normal 2 2 29 2" xfId="15402" xr:uid="{FD2051E6-FBFE-42BB-BB26-AABE0F7BBADE}"/>
    <cellStyle name="Normal 2 2 3" xfId="163" xr:uid="{70658B53-CAEE-4375-BE19-AED2DCADCA8C}"/>
    <cellStyle name="Normal 2 2 3 2" xfId="15404" xr:uid="{18D9C400-E81D-455E-B09D-BDD5A4296F71}"/>
    <cellStyle name="Normal 2 2 3 3" xfId="15405" xr:uid="{5D5E7EB8-7DAB-4476-A5D4-11F51FD85B48}"/>
    <cellStyle name="Normal 2 2 3 4" xfId="15406" xr:uid="{B4CB211A-FFFE-447C-BB00-F862DEEE9BB7}"/>
    <cellStyle name="Normal 2 2 3 5" xfId="15403" xr:uid="{8EAD4B08-A34E-4D96-8501-59FC00FABFB5}"/>
    <cellStyle name="Normal 2 2 30" xfId="15407" xr:uid="{6CF867F9-A1EB-423A-BFC0-F67712149F07}"/>
    <cellStyle name="Normal 2 2 30 2" xfId="15408" xr:uid="{14D4481E-E389-4176-B24C-1EE9F69B2C7C}"/>
    <cellStyle name="Normal 2 2 31" xfId="15409" xr:uid="{4C268E52-38BC-4C45-9890-29AF063E8929}"/>
    <cellStyle name="Normal 2 2 31 2" xfId="15410" xr:uid="{88AFCAD1-0889-4E20-B217-7617316A76C6}"/>
    <cellStyle name="Normal 2 2 32" xfId="15411" xr:uid="{BC56EBD9-894F-44D1-A4EE-32440655F0B5}"/>
    <cellStyle name="Normal 2 2 32 2" xfId="15412" xr:uid="{CE4774F0-043D-48E3-A784-2FF1905E0DCB}"/>
    <cellStyle name="Normal 2 2 33" xfId="15413" xr:uid="{8AD0A4AB-5B3E-48EC-ACC6-005899720548}"/>
    <cellStyle name="Normal 2 2 33 2" xfId="15414" xr:uid="{3C256480-5217-4C19-AE07-86DC900D5267}"/>
    <cellStyle name="Normal 2 2 34" xfId="15415" xr:uid="{27018937-EF4C-49D3-BE09-758928F2E3A2}"/>
    <cellStyle name="Normal 2 2 34 2" xfId="15416" xr:uid="{BD28BD79-5900-4E7A-B338-29DDD449EF87}"/>
    <cellStyle name="Normal 2 2 35" xfId="15417" xr:uid="{75E9FCA9-1B33-4A0A-B26A-31CD4DA7FC51}"/>
    <cellStyle name="Normal 2 2 35 2" xfId="15418" xr:uid="{295F6F3A-FE86-4531-B83C-2334684129AF}"/>
    <cellStyle name="Normal 2 2 36" xfId="15419" xr:uid="{C0A52455-E8D0-4B78-AD01-CB85924CB89F}"/>
    <cellStyle name="Normal 2 2 36 2" xfId="15420" xr:uid="{D1C98BC6-B16C-4F07-A7F3-5EE54DBFACB4}"/>
    <cellStyle name="Normal 2 2 37" xfId="15421" xr:uid="{AC570883-F70D-4C4F-B840-E918F15F6CE7}"/>
    <cellStyle name="Normal 2 2 37 2" xfId="15422" xr:uid="{C685F586-9F33-494C-ADB9-810AE1864E25}"/>
    <cellStyle name="Normal 2 2 37 2 2" xfId="15423" xr:uid="{EC7754D7-15C8-4713-9F75-D8D3CBDC0577}"/>
    <cellStyle name="Normal 2 2 37 2 2 2" xfId="15424" xr:uid="{B52AA195-95E4-498C-8B07-072D4914E250}"/>
    <cellStyle name="Normal 2 2 37 3" xfId="15425" xr:uid="{F50E693B-DCAD-4521-8D2A-E34876D0667C}"/>
    <cellStyle name="Normal 2 2 37 4" xfId="15426" xr:uid="{081CE87E-5A04-4052-A427-249710872F05}"/>
    <cellStyle name="Normal 2 2 38" xfId="15427" xr:uid="{561F2650-1E5F-4237-A502-A00CEE1CDC8F}"/>
    <cellStyle name="Normal 2 2 38 2" xfId="15428" xr:uid="{4879C3E1-0E32-4F37-B73B-BC60152FD99C}"/>
    <cellStyle name="Normal 2 2 39" xfId="15429" xr:uid="{79AACB70-7B8E-4496-A06E-0672BEB21960}"/>
    <cellStyle name="Normal 2 2 39 10" xfId="15430" xr:uid="{857FA8E2-0882-4116-B596-89FFFC69440E}"/>
    <cellStyle name="Normal 2 2 39 11" xfId="15431" xr:uid="{8373D613-94FE-45CA-9390-867C0BCB3CE5}"/>
    <cellStyle name="Normal 2 2 39 12" xfId="15432" xr:uid="{7789DAC3-46FC-42BA-9EB9-68DD8D109446}"/>
    <cellStyle name="Normal 2 2 39 13" xfId="15433" xr:uid="{461E6389-7A69-4370-90FF-DF081954AA74}"/>
    <cellStyle name="Normal 2 2 39 14" xfId="15434" xr:uid="{6DD867A9-A338-41DE-BB2C-8FE8DC2E4197}"/>
    <cellStyle name="Normal 2 2 39 15" xfId="15435" xr:uid="{7E045018-1676-4DC5-BF8D-C145A6D17E50}"/>
    <cellStyle name="Normal 2 2 39 16" xfId="15436" xr:uid="{6ABDAA53-0EFF-4393-B334-EE17ECA37C06}"/>
    <cellStyle name="Normal 2 2 39 17" xfId="15437" xr:uid="{8327B5D2-07D1-4B1D-B346-E6FF2F55810F}"/>
    <cellStyle name="Normal 2 2 39 18" xfId="15438" xr:uid="{BF12D637-881A-4845-BD8D-6BFFCB77C22D}"/>
    <cellStyle name="Normal 2 2 39 2" xfId="15439" xr:uid="{2C50CE88-3F49-4881-BE6C-FB7B9180A577}"/>
    <cellStyle name="Normal 2 2 39 2 10" xfId="15440" xr:uid="{0B382ADC-117B-41B2-9989-3CADE67C6635}"/>
    <cellStyle name="Normal 2 2 39 2 11" xfId="15441" xr:uid="{61D17ED7-ECEC-4661-8AB5-819B0B648B1A}"/>
    <cellStyle name="Normal 2 2 39 2 12" xfId="15442" xr:uid="{FC0B2CB6-10D4-45B9-9853-1018F8361864}"/>
    <cellStyle name="Normal 2 2 39 2 13" xfId="15443" xr:uid="{743C70D4-FBE5-4C63-BE8D-52790678CA0C}"/>
    <cellStyle name="Normal 2 2 39 2 14" xfId="15444" xr:uid="{F2838358-6410-41ED-8DF1-2CD083C949F5}"/>
    <cellStyle name="Normal 2 2 39 2 15" xfId="15445" xr:uid="{D047F79E-6E13-4D6D-AB8D-926897C45A65}"/>
    <cellStyle name="Normal 2 2 39 2 16" xfId="15446" xr:uid="{2CF4C911-7EBB-43DF-AD64-3B6970995CE6}"/>
    <cellStyle name="Normal 2 2 39 2 17" xfId="15447" xr:uid="{D7BC7DE6-50FC-4DC4-9FA2-1740A3CE9471}"/>
    <cellStyle name="Normal 2 2 39 2 2" xfId="15448" xr:uid="{9FEADB68-22F4-4F14-A1FD-F4FC4E48DDE8}"/>
    <cellStyle name="Normal 2 2 39 2 2 2" xfId="15449" xr:uid="{9C7F10C4-47AD-4678-8DD4-216C66E892E1}"/>
    <cellStyle name="Normal 2 2 39 2 2 2 2" xfId="15450" xr:uid="{93C3A9FF-2E33-4624-888C-34F81A5D27C1}"/>
    <cellStyle name="Normal 2 2 39 2 2 2 3" xfId="15451" xr:uid="{71EE849B-8775-4648-9A2C-576AC4BFF11D}"/>
    <cellStyle name="Normal 2 2 39 2 2 2 4" xfId="15452" xr:uid="{B5EE1CD6-9DE5-4E0E-A1ED-627BF3EC63B6}"/>
    <cellStyle name="Normal 2 2 39 2 2 2 5" xfId="15453" xr:uid="{31F5C19E-B5E8-4FCE-8C42-6C606B484786}"/>
    <cellStyle name="Normal 2 2 39 2 2 2 6" xfId="15454" xr:uid="{04B414C1-38E5-420E-8419-0D3AEDF74A92}"/>
    <cellStyle name="Normal 2 2 39 2 2 2 7" xfId="15455" xr:uid="{943CC8F1-4577-4260-A679-E1A2770F085E}"/>
    <cellStyle name="Normal 2 2 39 2 2 2 8" xfId="15456" xr:uid="{2BEE30D9-51D6-40A0-969D-0530F763F7A6}"/>
    <cellStyle name="Normal 2 2 39 2 2 2 9" xfId="15457" xr:uid="{F15ABB36-DE7C-40F6-A68C-686EFDC9D0AC}"/>
    <cellStyle name="Normal 2 2 39 2 2 3" xfId="15458" xr:uid="{3E85D7E2-D03D-48B6-BD17-30661931BFF4}"/>
    <cellStyle name="Normal 2 2 39 2 2 4" xfId="15459" xr:uid="{C19BB3D2-58CF-4557-ADE0-29A6E942AE44}"/>
    <cellStyle name="Normal 2 2 39 2 2 5" xfId="15460" xr:uid="{D6CCD16B-E22E-4B85-BD9F-3A05826F7015}"/>
    <cellStyle name="Normal 2 2 39 2 2 6" xfId="15461" xr:uid="{CA918901-43EE-431D-BA58-54B1C3E906DE}"/>
    <cellStyle name="Normal 2 2 39 2 2 7" xfId="15462" xr:uid="{269AD09D-4E99-40C6-AC07-EE37C7EA5F9A}"/>
    <cellStyle name="Normal 2 2 39 2 2 8" xfId="15463" xr:uid="{29E4952F-B2F2-4384-B635-8B1AFFB65C10}"/>
    <cellStyle name="Normal 2 2 39 2 2 9" xfId="15464" xr:uid="{72F572AD-0EBF-448B-9178-31A73E7DA34D}"/>
    <cellStyle name="Normal 2 2 39 2 3" xfId="15465" xr:uid="{4B7A0B15-CD2A-4698-9890-608D8C2AC4C2}"/>
    <cellStyle name="Normal 2 2 39 2 4" xfId="15466" xr:uid="{6876B739-EA30-4D95-A340-BAF953A0CD42}"/>
    <cellStyle name="Normal 2 2 39 2 5" xfId="15467" xr:uid="{E74FAD41-6F8C-42AA-BAC8-1EA73433E0C7}"/>
    <cellStyle name="Normal 2 2 39 2 6" xfId="15468" xr:uid="{F3E3BB16-DD31-4A97-BD55-8989C7FB90C3}"/>
    <cellStyle name="Normal 2 2 39 2 7" xfId="15469" xr:uid="{D0CFAEE2-45B8-426B-8979-C9CDC2CE629B}"/>
    <cellStyle name="Normal 2 2 39 2 8" xfId="15470" xr:uid="{04BD1F40-5223-4368-950D-FFF41D86CD9E}"/>
    <cellStyle name="Normal 2 2 39 2 9" xfId="15471" xr:uid="{9C8C51E4-40DD-4608-AB17-3FF6E1D6570F}"/>
    <cellStyle name="Normal 2 2 39 3" xfId="15472" xr:uid="{9861161E-CA33-4DA0-8F4D-67FF45997DCE}"/>
    <cellStyle name="Normal 2 2 39 3 2" xfId="15473" xr:uid="{2221B695-F3D1-47B3-9ED8-84CA2E2953AB}"/>
    <cellStyle name="Normal 2 2 39 3 2 2" xfId="15474" xr:uid="{0FE0CF8C-C5CE-4283-A2E5-930A98330A2D}"/>
    <cellStyle name="Normal 2 2 39 3 2 3" xfId="15475" xr:uid="{EACAF08A-C0B8-4A05-8FB4-D7046C362C16}"/>
    <cellStyle name="Normal 2 2 39 3 2 4" xfId="15476" xr:uid="{5A5C4469-CAF0-4B49-A250-9D6521012BA8}"/>
    <cellStyle name="Normal 2 2 39 3 2 5" xfId="15477" xr:uid="{ADBB54E8-5286-4BC4-901D-DFD3B7BF4799}"/>
    <cellStyle name="Normal 2 2 39 3 2 6" xfId="15478" xr:uid="{5F1F61CC-B2B8-45AC-B908-D72E13097233}"/>
    <cellStyle name="Normal 2 2 39 3 2 7" xfId="15479" xr:uid="{D1CCD06E-0B55-45F1-A64B-05F28829D583}"/>
    <cellStyle name="Normal 2 2 39 3 2 8" xfId="15480" xr:uid="{3BE558DB-5FAD-4498-991F-308653073B96}"/>
    <cellStyle name="Normal 2 2 39 3 2 9" xfId="15481" xr:uid="{F3485915-D223-4C50-90C0-73DAE60B53F6}"/>
    <cellStyle name="Normal 2 2 39 3 3" xfId="15482" xr:uid="{8111A083-BC51-4CE7-87F7-056C277EE2A5}"/>
    <cellStyle name="Normal 2 2 39 3 4" xfId="15483" xr:uid="{AF10E51B-6F2F-4B57-A245-6D88BBE7544D}"/>
    <cellStyle name="Normal 2 2 39 3 5" xfId="15484" xr:uid="{A81E277B-4603-46B0-A5E4-05A467F1229A}"/>
    <cellStyle name="Normal 2 2 39 3 6" xfId="15485" xr:uid="{94A8DE4F-083A-44B9-BF08-8B2F68C0F874}"/>
    <cellStyle name="Normal 2 2 39 3 7" xfId="15486" xr:uid="{08ED4E80-6A53-466B-A1A2-090A4B2703AB}"/>
    <cellStyle name="Normal 2 2 39 3 8" xfId="15487" xr:uid="{1602C84F-BF1E-4EBE-8DFB-05B49CFD1C6A}"/>
    <cellStyle name="Normal 2 2 39 3 9" xfId="15488" xr:uid="{0F4EFC72-F351-4D7D-82BB-82F9B70E8CEE}"/>
    <cellStyle name="Normal 2 2 39 4" xfId="15489" xr:uid="{D072BE03-E26E-427C-93EC-FB87C21E0A23}"/>
    <cellStyle name="Normal 2 2 39 5" xfId="15490" xr:uid="{2FEB7606-82F7-4C0A-A626-01B078707EF7}"/>
    <cellStyle name="Normal 2 2 39 6" xfId="15491" xr:uid="{0DDBCA3D-B465-47EA-B855-9EAE19A112FD}"/>
    <cellStyle name="Normal 2 2 39 7" xfId="15492" xr:uid="{DCAA8998-3042-477D-B5B2-B78AF0B8CFBD}"/>
    <cellStyle name="Normal 2 2 39 8" xfId="15493" xr:uid="{9F370EFE-053F-4817-883F-B432062734C7}"/>
    <cellStyle name="Normal 2 2 39 9" xfId="15494" xr:uid="{EB123201-CC0D-49D6-93D1-A32899764614}"/>
    <cellStyle name="Normal 2 2 4" xfId="15495" xr:uid="{48F41B27-C673-4AD7-9362-FA66386BB1E6}"/>
    <cellStyle name="Normal 2 2 4 2" xfId="15496" xr:uid="{F9AA1431-98E3-48F8-92AF-0FDB3826AFBC}"/>
    <cellStyle name="Normal 2 2 40" xfId="15497" xr:uid="{A64F2411-F4D5-443C-9CB5-A48957BD9B99}"/>
    <cellStyle name="Normal 2 2 40 2" xfId="15498" xr:uid="{C7BD0B4B-7C99-4267-9387-659F25361FCC}"/>
    <cellStyle name="Normal 2 2 41" xfId="15499" xr:uid="{13108AAA-2038-4AAF-9389-E468FB662483}"/>
    <cellStyle name="Normal 2 2 41 2" xfId="15500" xr:uid="{F41F4EAA-8F9F-42B0-B52B-3A959DD2ADC2}"/>
    <cellStyle name="Normal 2 2 42" xfId="15501" xr:uid="{BA1151DC-E1FF-420A-B61B-F18B0885C848}"/>
    <cellStyle name="Normal 2 2 42 2" xfId="15502" xr:uid="{362FF736-BF81-4C7B-B85A-5687681083D7}"/>
    <cellStyle name="Normal 2 2 43" xfId="15503" xr:uid="{388BD085-5EEE-4143-9B14-B1A3650A1BB9}"/>
    <cellStyle name="Normal 2 2 43 2" xfId="15504" xr:uid="{6CAF26AD-7EAD-441B-A0EA-356A72719B40}"/>
    <cellStyle name="Normal 2 2 44" xfId="15505" xr:uid="{C5C9A358-5AD7-4907-B684-B26A0E3A88D0}"/>
    <cellStyle name="Normal 2 2 44 2" xfId="15506" xr:uid="{01B1C41F-9A32-4EAA-AAF8-B55B083421DF}"/>
    <cellStyle name="Normal 2 2 45" xfId="15507" xr:uid="{EAD252B5-A9B7-45E6-8611-20C5D863426E}"/>
    <cellStyle name="Normal 2 2 45 2" xfId="15508" xr:uid="{BE340927-C23E-4937-BB7F-8DD52A34025C}"/>
    <cellStyle name="Normal 2 2 46" xfId="15509" xr:uid="{2FF48760-CD6F-4D70-95D0-10295FB66E0C}"/>
    <cellStyle name="Normal 2 2 46 2" xfId="15510" xr:uid="{1CDA2484-BE0B-4908-B877-F9C6D20B490A}"/>
    <cellStyle name="Normal 2 2 47" xfId="15511" xr:uid="{38107A92-8993-4FBD-A082-F5BA1DC56633}"/>
    <cellStyle name="Normal 2 2 47 2" xfId="15512" xr:uid="{3F50AC6A-09CA-4D52-AF17-E013AEA223E9}"/>
    <cellStyle name="Normal 2 2 48" xfId="15513" xr:uid="{ED1AA016-B908-4FB8-955C-F62893BEF7B7}"/>
    <cellStyle name="Normal 2 2 48 2" xfId="15514" xr:uid="{D3BC7CB3-EAE3-459F-9EE2-B9AA32BE5FC3}"/>
    <cellStyle name="Normal 2 2 49" xfId="15515" xr:uid="{831FD420-EB83-4C3D-B272-4EB4E0628411}"/>
    <cellStyle name="Normal 2 2 49 10" xfId="15516" xr:uid="{ABBE9505-2261-45A4-A698-5D3005BA9D19}"/>
    <cellStyle name="Normal 2 2 49 2" xfId="15517" xr:uid="{7FC3D6F0-731F-493B-84A4-21825AD8980C}"/>
    <cellStyle name="Normal 2 2 49 2 2" xfId="15518" xr:uid="{6997672E-9D46-4E1F-AE19-4F6EEB8E97D0}"/>
    <cellStyle name="Normal 2 2 49 2 3" xfId="15519" xr:uid="{6B555105-BCD4-4A90-9A08-32BCED71EA95}"/>
    <cellStyle name="Normal 2 2 49 2 4" xfId="15520" xr:uid="{D1AB7FBC-F353-439E-B672-C44AB12CF10A}"/>
    <cellStyle name="Normal 2 2 49 2 5" xfId="15521" xr:uid="{B1270FB7-96E2-4C53-9273-B101398F6A12}"/>
    <cellStyle name="Normal 2 2 49 2 6" xfId="15522" xr:uid="{220B4739-69BC-4CB0-ADDE-D5BB1308C984}"/>
    <cellStyle name="Normal 2 2 49 2 7" xfId="15523" xr:uid="{332DF15B-38F7-47E6-83C4-9486C2B9A691}"/>
    <cellStyle name="Normal 2 2 49 2 8" xfId="15524" xr:uid="{07F102F1-5CD3-4A4A-AC5E-4FD6B5E40C39}"/>
    <cellStyle name="Normal 2 2 49 2 9" xfId="15525" xr:uid="{9E2654A9-2433-446B-A11F-5FCFD236724A}"/>
    <cellStyle name="Normal 2 2 49 3" xfId="15526" xr:uid="{13C00D67-08E3-4AB8-AF93-B0440BB57A0F}"/>
    <cellStyle name="Normal 2 2 49 4" xfId="15527" xr:uid="{AEB47881-1E1C-451A-B514-3153FB2107FA}"/>
    <cellStyle name="Normal 2 2 49 5" xfId="15528" xr:uid="{AA321C64-82AB-4CB8-8D4C-7B53D30E08BB}"/>
    <cellStyle name="Normal 2 2 49 6" xfId="15529" xr:uid="{CEECBC25-EA90-4D50-9728-96D1C04183CA}"/>
    <cellStyle name="Normal 2 2 49 7" xfId="15530" xr:uid="{EAD425D5-A819-4811-9528-4F6E0617774F}"/>
    <cellStyle name="Normal 2 2 49 8" xfId="15531" xr:uid="{B1E13D21-53EA-493E-A6A0-C843094D2982}"/>
    <cellStyle name="Normal 2 2 49 9" xfId="15532" xr:uid="{6FE2D3E3-01A6-49CA-87D2-B2702DFB4604}"/>
    <cellStyle name="Normal 2 2 5" xfId="15533" xr:uid="{14CC4E7D-9AF9-4F17-AA35-C515829E8DA3}"/>
    <cellStyle name="Normal 2 2 5 2" xfId="15534" xr:uid="{B5CC3F72-A8C9-4976-B0D6-E27E00A3C787}"/>
    <cellStyle name="Normal 2 2 50" xfId="15535" xr:uid="{858F5953-EEEA-486C-8578-2D53301EE413}"/>
    <cellStyle name="Normal 2 2 50 2" xfId="15536" xr:uid="{5CA091DA-9DBB-4825-AC76-31217C1CD7CD}"/>
    <cellStyle name="Normal 2 2 51" xfId="15537" xr:uid="{1496DA37-7C08-48AD-8CCA-57B64343B23E}"/>
    <cellStyle name="Normal 2 2 51 2" xfId="15538" xr:uid="{1C1E8951-D4E0-4D72-80F9-0E94BD3734D4}"/>
    <cellStyle name="Normal 2 2 52" xfId="15539" xr:uid="{3A8EF024-3C54-4337-9A69-FCDC5A1C0C92}"/>
    <cellStyle name="Normal 2 2 52 2" xfId="15540" xr:uid="{688F96BF-FB27-4D59-BC39-EC9A065F2F60}"/>
    <cellStyle name="Normal 2 2 53" xfId="15541" xr:uid="{1941BE00-F305-466F-9551-114873B036DD}"/>
    <cellStyle name="Normal 2 2 53 2" xfId="15542" xr:uid="{687D2DD8-E31D-4082-B1D0-C0FBB116D083}"/>
    <cellStyle name="Normal 2 2 54" xfId="15543" xr:uid="{77C1C27A-A334-4582-8C1A-FCC4BD11E9A0}"/>
    <cellStyle name="Normal 2 2 54 2" xfId="15544" xr:uid="{D750E86C-2F62-4E9B-8219-29A33B3AF16A}"/>
    <cellStyle name="Normal 2 2 55" xfId="15545" xr:uid="{598A410C-80C3-48E4-8A0F-45575C112FB6}"/>
    <cellStyle name="Normal 2 2 55 2" xfId="15546" xr:uid="{2B5BC2E3-EDF2-4C11-B25B-59BBCECEBADD}"/>
    <cellStyle name="Normal 2 2 56" xfId="15547" xr:uid="{36FE35F3-B5E7-42AE-A0B5-C3111F8DEB9F}"/>
    <cellStyle name="Normal 2 2 56 2" xfId="15548" xr:uid="{CD397D51-1AD0-4FFE-BE3A-6D635014BB58}"/>
    <cellStyle name="Normal 2 2 57" xfId="15549" xr:uid="{2842BF2B-B170-46A3-AF84-B81CC095F6B5}"/>
    <cellStyle name="Normal 2 2 57 2" xfId="15550" xr:uid="{BFEE10A5-108F-409B-A837-F7D3BC05A973}"/>
    <cellStyle name="Normal 2 2 58" xfId="15551" xr:uid="{39494D34-1C82-4FD3-8C18-5772E12892A8}"/>
    <cellStyle name="Normal 2 2 58 2" xfId="15552" xr:uid="{DC19A809-EA95-40D8-B074-774FCEAEE6EA}"/>
    <cellStyle name="Normal 2 2 59" xfId="15553" xr:uid="{99C22080-E174-4921-8EAD-54A0489A786E}"/>
    <cellStyle name="Normal 2 2 59 2" xfId="15554" xr:uid="{EA9F5D7D-F18B-46DB-AB87-26617D45D4C1}"/>
    <cellStyle name="Normal 2 2 6" xfId="15555" xr:uid="{96DF830D-1E7D-43DF-8F30-7F629595FEFD}"/>
    <cellStyle name="Normal 2 2 6 2" xfId="15556" xr:uid="{B1CF142F-C7BE-47B2-A641-39BFCBF568D0}"/>
    <cellStyle name="Normal 2 2 60" xfId="15557" xr:uid="{B4DD291D-6C4B-4577-9617-1C5B3878F279}"/>
    <cellStyle name="Normal 2 2 60 2" xfId="15558" xr:uid="{82882ADF-FAB6-49C1-8DD2-D3D0B89128F3}"/>
    <cellStyle name="Normal 2 2 61" xfId="15559" xr:uid="{8F27ACA9-51C5-4682-B3A7-20F4531A66D7}"/>
    <cellStyle name="Normal 2 2 61 2" xfId="15560" xr:uid="{583F268F-02F1-42DE-8EE7-4CD29129FD18}"/>
    <cellStyle name="Normal 2 2 62" xfId="15561" xr:uid="{C27057BD-6E2D-4691-A161-C47A14D66D42}"/>
    <cellStyle name="Normal 2 2 62 2" xfId="15562" xr:uid="{C49177FE-25C2-49BC-8357-58E80E6AB081}"/>
    <cellStyle name="Normal 2 2 62 3" xfId="15563" xr:uid="{A3576E59-7F3B-4CFE-86CB-F4B6BA73FA63}"/>
    <cellStyle name="Normal 2 2 63" xfId="15564" xr:uid="{E870BA17-2EAF-44A3-A5C4-C82E4BFCF6D6}"/>
    <cellStyle name="Normal 2 2 63 2" xfId="15565" xr:uid="{49603BF9-3AB2-49CC-B1EC-C4DCC500E7D2}"/>
    <cellStyle name="Normal 2 2 64" xfId="15566" xr:uid="{0B728C51-A7F5-4DC1-957A-0ECCFE89EBBD}"/>
    <cellStyle name="Normal 2 2 64 2" xfId="15567" xr:uid="{E7A9D347-36EC-4EF9-BF97-ED4C3E339EFB}"/>
    <cellStyle name="Normal 2 2 65" xfId="15568" xr:uid="{59267BF7-FA6D-4CA2-A20A-642E2DC5DD0D}"/>
    <cellStyle name="Normal 2 2 65 2" xfId="15569" xr:uid="{C0EB1CA0-8010-42DF-A127-145C54C62D53}"/>
    <cellStyle name="Normal 2 2 65 2 2" xfId="15570" xr:uid="{2BEB5218-07B6-496C-B46C-88CB0AA6126C}"/>
    <cellStyle name="Normal 2 2 65 2 2 2" xfId="15571" xr:uid="{0632398D-1511-4C94-A3A3-7C7C051BD0F6}"/>
    <cellStyle name="Normal 2 2 65 3" xfId="15572" xr:uid="{D859E253-AA58-45EE-9FA9-E8559F2C2955}"/>
    <cellStyle name="Normal 2 2 65 4" xfId="15573" xr:uid="{8F216FD7-3203-4AD0-82EE-8A982C242E64}"/>
    <cellStyle name="Normal 2 2 65 5" xfId="15574" xr:uid="{A1F5C19E-11E0-43A4-973A-5947ACEF2987}"/>
    <cellStyle name="Normal 2 2 65 6" xfId="15575" xr:uid="{D4B082D4-1A71-4AAF-82F3-B3DF82049034}"/>
    <cellStyle name="Normal 2 2 66" xfId="15576" xr:uid="{3A173C3C-DB0B-423F-AA4E-D7CC6C913DFE}"/>
    <cellStyle name="Normal 2 2 66 2" xfId="15577" xr:uid="{94BF649E-2377-4944-A59C-88CCDA95C3EA}"/>
    <cellStyle name="Normal 2 2 66 2 2" xfId="15578" xr:uid="{2BA5826C-991E-42C4-926B-CD0ECE4E0588}"/>
    <cellStyle name="Normal 2 2 67" xfId="15579" xr:uid="{E39AF43C-53C9-46D7-8467-79A1E919DDBC}"/>
    <cellStyle name="Normal 2 2 68" xfId="15580" xr:uid="{EE3A2A32-A778-4CF3-BAA4-D2D5E78AFF7C}"/>
    <cellStyle name="Normal 2 2 69" xfId="15581" xr:uid="{548AA1CE-E67C-4759-97E1-9E57AE8A738D}"/>
    <cellStyle name="Normal 2 2 7" xfId="15582" xr:uid="{F7787EDE-8C0C-4F0F-BC4E-8C035CC1850D}"/>
    <cellStyle name="Normal 2 2 7 2" xfId="15583" xr:uid="{E0D5843D-5B76-4F44-BA93-D2E2696DE4EB}"/>
    <cellStyle name="Normal 2 2 70" xfId="15584" xr:uid="{C348853D-08E2-48C1-8CFF-2AEC3DDDD236}"/>
    <cellStyle name="Normal 2 2 71" xfId="15585" xr:uid="{6D039427-15C8-496F-9C91-A0F9F664D077}"/>
    <cellStyle name="Normal 2 2 72" xfId="15586" xr:uid="{A4ADBC61-91B9-4399-B29B-548EC0AF1578}"/>
    <cellStyle name="Normal 2 2 73" xfId="15587" xr:uid="{32955F06-87A2-4A2F-8A90-7630FA6FBF06}"/>
    <cellStyle name="Normal 2 2 74" xfId="15588" xr:uid="{57670A59-7362-4BE2-985B-006E63BF8809}"/>
    <cellStyle name="Normal 2 2 75" xfId="15589" xr:uid="{ABDB752D-4753-47FF-96AE-0D22E49B145F}"/>
    <cellStyle name="Normal 2 2 76" xfId="15590" xr:uid="{613C160E-40F2-427D-86EE-7BCF7D110A3B}"/>
    <cellStyle name="Normal 2 2 77" xfId="15591" xr:uid="{3DAA3B93-8077-44ED-BE34-DB18A57CC76A}"/>
    <cellStyle name="Normal 2 2 77 10" xfId="15592" xr:uid="{5A024A99-D9ED-4D47-B45D-6D67AC7A1E5A}"/>
    <cellStyle name="Normal 2 2 77 11" xfId="15593" xr:uid="{D1E491D0-D689-4DFA-804D-EC2D2B8330B2}"/>
    <cellStyle name="Normal 2 2 77 11 10" xfId="15594" xr:uid="{9113A0C2-E311-4484-BC49-002227ACA24E}"/>
    <cellStyle name="Normal 2 2 77 11 11" xfId="15595" xr:uid="{C3BE02A7-E1A6-416A-88BF-57BFA1771685}"/>
    <cellStyle name="Normal 2 2 77 11 11 2" xfId="15596" xr:uid="{C73660A9-0B25-4F73-803F-29C7908264F5}"/>
    <cellStyle name="Normal 2 2 77 11 11 3" xfId="15597" xr:uid="{A6A132A1-C93B-47E8-9184-A79630DFF840}"/>
    <cellStyle name="Normal 2 2 77 11 11 4" xfId="15598" xr:uid="{23FC25B3-26CD-4EA4-A79B-D5A53C216372}"/>
    <cellStyle name="Normal 2 2 77 11 12" xfId="15599" xr:uid="{20FDD424-ECB7-4DCE-A2DD-A17D467B269C}"/>
    <cellStyle name="Normal 2 2 77 11 13" xfId="15600" xr:uid="{31E95DD6-B648-45DD-9899-67FA6280AB05}"/>
    <cellStyle name="Normal 2 2 77 11 14" xfId="15601" xr:uid="{702DAB93-C34A-4BEE-A84A-9D6BF6D54A17}"/>
    <cellStyle name="Normal 2 2 77 11 2" xfId="15602" xr:uid="{F5D913CD-632E-47C3-B564-4AA9D316E4EB}"/>
    <cellStyle name="Normal 2 2 77 11 2 10" xfId="15603" xr:uid="{876C24D3-1EC8-49A6-B95E-388D7A7A131C}"/>
    <cellStyle name="Normal 2 2 77 11 2 11" xfId="15604" xr:uid="{26932162-1541-4683-BF2C-F43FB6EB34FB}"/>
    <cellStyle name="Normal 2 2 77 11 2 2" xfId="15605" xr:uid="{A63506A3-F817-4E6F-AC90-59EBB996D266}"/>
    <cellStyle name="Normal 2 2 77 11 2 2 10" xfId="15606" xr:uid="{E02107BC-50BB-439A-9A36-4A059B93B96E}"/>
    <cellStyle name="Normal 2 2 77 11 2 2 11" xfId="15607" xr:uid="{6C95ABBA-643A-42B3-807A-BDBA42B1BEAC}"/>
    <cellStyle name="Normal 2 2 77 11 2 2 2" xfId="15608" xr:uid="{E4808B9A-49E0-421B-B268-3FCE369E5C26}"/>
    <cellStyle name="Normal 2 2 77 11 2 2 2 2" xfId="15609" xr:uid="{6DF923C9-7F6E-4F13-97BF-BCFC3413CB4E}"/>
    <cellStyle name="Normal 2 2 77 11 2 2 2 2 2" xfId="15610" xr:uid="{63B0DBCC-8E73-43BF-A00F-51EAA833F463}"/>
    <cellStyle name="Normal 2 2 77 11 2 2 2 2 3" xfId="15611" xr:uid="{DDF56D72-8499-4FAE-B16F-D1B692A14D92}"/>
    <cellStyle name="Normal 2 2 77 11 2 2 2 2 4" xfId="15612" xr:uid="{86BDAFF6-7B74-42CB-A60B-B0EE0A923B72}"/>
    <cellStyle name="Normal 2 2 77 11 2 2 2 3" xfId="15613" xr:uid="{29A60660-38B8-4D97-82AF-8A6DC6E14AD5}"/>
    <cellStyle name="Normal 2 2 77 11 2 2 2 4" xfId="15614" xr:uid="{D8CBB974-3C31-4F79-9673-90C2EC420ECE}"/>
    <cellStyle name="Normal 2 2 77 11 2 2 2 5" xfId="15615" xr:uid="{5D3E3F41-8C49-4EF6-BDB4-9305619BCDA6}"/>
    <cellStyle name="Normal 2 2 77 11 2 2 2 6" xfId="15616" xr:uid="{D0FAACE5-84BF-4E95-801C-98B5066FD6BD}"/>
    <cellStyle name="Normal 2 2 77 11 2 2 3" xfId="15617" xr:uid="{A6115A33-FDC2-41BF-BEDC-C4B4E4B13E7C}"/>
    <cellStyle name="Normal 2 2 77 11 2 2 4" xfId="15618" xr:uid="{4E37E2E3-9971-468B-945D-FB014C70C6F7}"/>
    <cellStyle name="Normal 2 2 77 11 2 2 5" xfId="15619" xr:uid="{D6BAC4BE-D394-4C6E-B0E1-F6A2C98670EF}"/>
    <cellStyle name="Normal 2 2 77 11 2 2 6" xfId="15620" xr:uid="{8386FB51-8EAE-4DEC-84C4-832E85B8672C}"/>
    <cellStyle name="Normal 2 2 77 11 2 2 7" xfId="15621" xr:uid="{CCCAF95B-796C-4622-8610-16DBE8EDADD9}"/>
    <cellStyle name="Normal 2 2 77 11 2 2 8" xfId="15622" xr:uid="{C8EB87F8-F904-48B8-81AB-60BC44DD5A05}"/>
    <cellStyle name="Normal 2 2 77 11 2 2 8 2" xfId="15623" xr:uid="{9425DF9D-B884-4B5E-9073-4C9E842D6BAF}"/>
    <cellStyle name="Normal 2 2 77 11 2 2 8 3" xfId="15624" xr:uid="{F24B99F5-307A-46F6-9D95-A9F5E3570A4F}"/>
    <cellStyle name="Normal 2 2 77 11 2 2 8 4" xfId="15625" xr:uid="{9A0D603F-7320-4F84-8705-32D1F56E09EC}"/>
    <cellStyle name="Normal 2 2 77 11 2 2 9" xfId="15626" xr:uid="{8DC3556A-B9A2-42A1-B023-E30C47A82E63}"/>
    <cellStyle name="Normal 2 2 77 11 2 3" xfId="15627" xr:uid="{BE6EF539-A0F4-443F-96A2-15BDB8DFA1AE}"/>
    <cellStyle name="Normal 2 2 77 11 2 3 2" xfId="15628" xr:uid="{68FD90AA-A5FD-4881-833D-8F346B34A940}"/>
    <cellStyle name="Normal 2 2 77 11 2 3 2 2" xfId="15629" xr:uid="{E392769B-80B9-4A3F-8D4E-091E28650DFF}"/>
    <cellStyle name="Normal 2 2 77 11 2 3 2 3" xfId="15630" xr:uid="{C2658E8B-8DDC-4B3D-A500-EB2F790B7225}"/>
    <cellStyle name="Normal 2 2 77 11 2 3 2 4" xfId="15631" xr:uid="{E00C9C5C-D241-40CF-B26F-4A6F122A541E}"/>
    <cellStyle name="Normal 2 2 77 11 2 3 3" xfId="15632" xr:uid="{06D98828-5D9F-4D00-A42A-D25DB2C06C02}"/>
    <cellStyle name="Normal 2 2 77 11 2 3 4" xfId="15633" xr:uid="{C79C29A6-C717-4E14-AFEE-C0FD210836CC}"/>
    <cellStyle name="Normal 2 2 77 11 2 3 5" xfId="15634" xr:uid="{5BEADC1E-24E3-4020-B6B6-F57809ED5038}"/>
    <cellStyle name="Normal 2 2 77 11 2 3 6" xfId="15635" xr:uid="{4B0E6041-B58C-4BED-89DB-E32696B56890}"/>
    <cellStyle name="Normal 2 2 77 11 2 4" xfId="15636" xr:uid="{D9F2ACD3-8F5D-49C2-8820-0240ED2095FB}"/>
    <cellStyle name="Normal 2 2 77 11 2 5" xfId="15637" xr:uid="{DC5C82AA-084A-4AD5-94E2-914EC76EC3B7}"/>
    <cellStyle name="Normal 2 2 77 11 2 6" xfId="15638" xr:uid="{C575423B-3CD7-4EF5-AF69-A687DF170D35}"/>
    <cellStyle name="Normal 2 2 77 11 2 7" xfId="15639" xr:uid="{C3B4936E-78DE-4E0B-BE9E-B632C4DB2759}"/>
    <cellStyle name="Normal 2 2 77 11 2 8" xfId="15640" xr:uid="{C984555A-79B7-4029-B8D1-6F062B28E23E}"/>
    <cellStyle name="Normal 2 2 77 11 2 8 2" xfId="15641" xr:uid="{02CEC276-F25E-44BB-8CB3-F4CF530571A1}"/>
    <cellStyle name="Normal 2 2 77 11 2 8 3" xfId="15642" xr:uid="{17B08A1E-F6C7-4A95-B033-552198505473}"/>
    <cellStyle name="Normal 2 2 77 11 2 8 4" xfId="15643" xr:uid="{D1A02386-65CF-41E7-841E-FBBB7A46F560}"/>
    <cellStyle name="Normal 2 2 77 11 2 9" xfId="15644" xr:uid="{0626A070-16F0-409B-A327-273B85081119}"/>
    <cellStyle name="Normal 2 2 77 11 3" xfId="15645" xr:uid="{891D4F49-0AB8-44B4-8697-FBFF0DF29C78}"/>
    <cellStyle name="Normal 2 2 77 11 4" xfId="15646" xr:uid="{8D22ED87-4A80-43C1-B249-F4CADBD0A23B}"/>
    <cellStyle name="Normal 2 2 77 11 5" xfId="15647" xr:uid="{78C0E8FD-E3D6-4601-9B46-1CF99A254745}"/>
    <cellStyle name="Normal 2 2 77 11 5 2" xfId="15648" xr:uid="{9A0066F8-918C-42F1-AD6B-28B1017FE562}"/>
    <cellStyle name="Normal 2 2 77 11 5 2 2" xfId="15649" xr:uid="{503C6B89-5CE6-4E55-8BC5-160000AEE931}"/>
    <cellStyle name="Normal 2 2 77 11 5 2 3" xfId="15650" xr:uid="{F3A6B2D3-64EF-4E06-AE34-5AF8DF90FBE2}"/>
    <cellStyle name="Normal 2 2 77 11 5 2 4" xfId="15651" xr:uid="{C1874E65-ED91-44C6-8C78-D326D0991DB6}"/>
    <cellStyle name="Normal 2 2 77 11 5 3" xfId="15652" xr:uid="{B928679B-168D-4BAC-A48B-75DF77F0C520}"/>
    <cellStyle name="Normal 2 2 77 11 5 4" xfId="15653" xr:uid="{DF5CE122-FB5C-4EDA-88CB-554FD1F97771}"/>
    <cellStyle name="Normal 2 2 77 11 5 5" xfId="15654" xr:uid="{1F2FBEDF-E325-418A-8747-5A96CC54270E}"/>
    <cellStyle name="Normal 2 2 77 11 5 6" xfId="15655" xr:uid="{7D58EE55-AA5E-4091-B885-0C0DDAE1141B}"/>
    <cellStyle name="Normal 2 2 77 11 6" xfId="15656" xr:uid="{30D7B6EA-CAA9-4801-986F-05BA135582A1}"/>
    <cellStyle name="Normal 2 2 77 11 7" xfId="15657" xr:uid="{A2EF456B-22ED-45BD-AB23-A1B0716DE229}"/>
    <cellStyle name="Normal 2 2 77 11 8" xfId="15658" xr:uid="{871F1E86-895E-48BA-8762-A099A74477AC}"/>
    <cellStyle name="Normal 2 2 77 11 9" xfId="15659" xr:uid="{3119E075-C100-42EC-9529-6E1515000CA1}"/>
    <cellStyle name="Normal 2 2 77 12" xfId="15660" xr:uid="{8342EC2B-CCF6-460E-9539-7422A7C116DF}"/>
    <cellStyle name="Normal 2 2 77 13" xfId="15661" xr:uid="{97C13D4D-A013-49F1-8F04-4B92519518E0}"/>
    <cellStyle name="Normal 2 2 77 13 10" xfId="15662" xr:uid="{9D2A731C-A14E-4A73-B28A-558A07877921}"/>
    <cellStyle name="Normal 2 2 77 13 11" xfId="15663" xr:uid="{519D3C63-A9EA-4F35-897D-FC03AD942D70}"/>
    <cellStyle name="Normal 2 2 77 13 2" xfId="15664" xr:uid="{79B60BE0-D980-48F0-9F69-698A3E78C954}"/>
    <cellStyle name="Normal 2 2 77 13 2 10" xfId="15665" xr:uid="{98A290B7-0D6A-4D7E-ABCC-4DFF0EE847FD}"/>
    <cellStyle name="Normal 2 2 77 13 2 11" xfId="15666" xr:uid="{BA36BFF7-8E97-4DD8-B30F-7CF27986D0BA}"/>
    <cellStyle name="Normal 2 2 77 13 2 2" xfId="15667" xr:uid="{C1436700-1ECE-4588-85F2-05644CB7A19F}"/>
    <cellStyle name="Normal 2 2 77 13 2 2 2" xfId="15668" xr:uid="{785F701B-B059-468B-A845-7CB11F7368E9}"/>
    <cellStyle name="Normal 2 2 77 13 2 2 2 2" xfId="15669" xr:uid="{5D5672AA-F15B-4F0D-868E-6DC21F9CCAB3}"/>
    <cellStyle name="Normal 2 2 77 13 2 2 2 3" xfId="15670" xr:uid="{9EA52BF7-F18C-4907-914F-21865B7BFF53}"/>
    <cellStyle name="Normal 2 2 77 13 2 2 2 4" xfId="15671" xr:uid="{D8539E2B-4458-4E72-91C7-B054B43FE20B}"/>
    <cellStyle name="Normal 2 2 77 13 2 2 3" xfId="15672" xr:uid="{F88252E8-48F4-4D6E-A560-DEC2E68CD271}"/>
    <cellStyle name="Normal 2 2 77 13 2 2 4" xfId="15673" xr:uid="{A469BBB1-60B6-4A4B-A5CA-2F2031ACC41D}"/>
    <cellStyle name="Normal 2 2 77 13 2 2 5" xfId="15674" xr:uid="{DA04CBF1-C434-47BA-93DF-2CAECA9B70AF}"/>
    <cellStyle name="Normal 2 2 77 13 2 2 6" xfId="15675" xr:uid="{505C6D15-1B4D-40FD-A723-F1CF8D2606F5}"/>
    <cellStyle name="Normal 2 2 77 13 2 3" xfId="15676" xr:uid="{A84A8609-2D2C-439E-BC48-6557B3D11992}"/>
    <cellStyle name="Normal 2 2 77 13 2 4" xfId="15677" xr:uid="{5DC6E964-7E49-4FA6-B9F1-04D512081EB7}"/>
    <cellStyle name="Normal 2 2 77 13 2 5" xfId="15678" xr:uid="{8009E7A4-C33B-40E0-A83B-3F01766CE874}"/>
    <cellStyle name="Normal 2 2 77 13 2 6" xfId="15679" xr:uid="{4D257EDB-5972-44B7-8C0E-8C7B5394ACF1}"/>
    <cellStyle name="Normal 2 2 77 13 2 7" xfId="15680" xr:uid="{907D90F8-948A-492D-8017-6DC490B33E37}"/>
    <cellStyle name="Normal 2 2 77 13 2 8" xfId="15681" xr:uid="{E8E2BE67-50C4-42F2-BB4F-CA3E04B18A74}"/>
    <cellStyle name="Normal 2 2 77 13 2 8 2" xfId="15682" xr:uid="{CEB6A676-2781-43A3-B4E5-29A10A485B95}"/>
    <cellStyle name="Normal 2 2 77 13 2 8 3" xfId="15683" xr:uid="{F6B37E4F-A3EF-436D-81BE-2121469BB14D}"/>
    <cellStyle name="Normal 2 2 77 13 2 8 4" xfId="15684" xr:uid="{83E94D9F-3352-49DF-A5EF-4FABD75FD2B2}"/>
    <cellStyle name="Normal 2 2 77 13 2 9" xfId="15685" xr:uid="{EFAA0D64-BE79-4EE5-8641-A375683B5D06}"/>
    <cellStyle name="Normal 2 2 77 13 3" xfId="15686" xr:uid="{5DAB9707-3019-4499-91E9-57E45C08A887}"/>
    <cellStyle name="Normal 2 2 77 13 3 2" xfId="15687" xr:uid="{5EE4F533-06EA-4FEB-8F80-0CF895BC3CF8}"/>
    <cellStyle name="Normal 2 2 77 13 3 2 2" xfId="15688" xr:uid="{84DBA7C1-78DC-48EE-8566-1CA780824715}"/>
    <cellStyle name="Normal 2 2 77 13 3 2 3" xfId="15689" xr:uid="{940F8D7E-7B69-4D1D-AE7D-2608460E4D54}"/>
    <cellStyle name="Normal 2 2 77 13 3 2 4" xfId="15690" xr:uid="{B5269CCC-43F5-4A6F-A405-5B7988C39D3C}"/>
    <cellStyle name="Normal 2 2 77 13 3 3" xfId="15691" xr:uid="{C18893E3-3B93-42DB-ABB9-8AC04440A352}"/>
    <cellStyle name="Normal 2 2 77 13 3 4" xfId="15692" xr:uid="{7334ED84-4384-4FF7-98C2-07C1595781DC}"/>
    <cellStyle name="Normal 2 2 77 13 3 5" xfId="15693" xr:uid="{7FA91549-D052-4567-916E-0DA21CA1069F}"/>
    <cellStyle name="Normal 2 2 77 13 3 6" xfId="15694" xr:uid="{3E3A3C77-E3CD-4D85-864B-897FE5CB0EEE}"/>
    <cellStyle name="Normal 2 2 77 13 4" xfId="15695" xr:uid="{8412F4A3-CAED-4E42-B217-D989B90073EC}"/>
    <cellStyle name="Normal 2 2 77 13 5" xfId="15696" xr:uid="{F0EFA6B3-7B24-4E04-A0CF-A56A467D00D7}"/>
    <cellStyle name="Normal 2 2 77 13 6" xfId="15697" xr:uid="{D54A53E4-41CD-43D7-966A-92B2E78BD337}"/>
    <cellStyle name="Normal 2 2 77 13 7" xfId="15698" xr:uid="{0043E9EE-5F28-4E4A-B13F-54606D41DC3D}"/>
    <cellStyle name="Normal 2 2 77 13 8" xfId="15699" xr:uid="{E98A5818-D56B-4196-9E2D-A0D71AFBFB18}"/>
    <cellStyle name="Normal 2 2 77 13 8 2" xfId="15700" xr:uid="{F4042366-3598-4FA5-9268-BD9E794F9A4D}"/>
    <cellStyle name="Normal 2 2 77 13 8 3" xfId="15701" xr:uid="{130FAFAD-FA0C-4078-8C3C-5E1F8F812087}"/>
    <cellStyle name="Normal 2 2 77 13 8 4" xfId="15702" xr:uid="{8B5D6193-35AE-4BA3-9FF4-936BE946459D}"/>
    <cellStyle name="Normal 2 2 77 13 9" xfId="15703" xr:uid="{8C384DEE-06EB-4BB0-814A-858178AFA798}"/>
    <cellStyle name="Normal 2 2 77 14" xfId="15704" xr:uid="{DB198003-266C-4FFB-84B7-22F16DED48B3}"/>
    <cellStyle name="Normal 2 2 77 15" xfId="15705" xr:uid="{26248094-42A8-4D52-A0E9-91F7FE9B15DC}"/>
    <cellStyle name="Normal 2 2 77 15 2" xfId="15706" xr:uid="{0F5B05B2-6F75-4289-849D-BA78A7C12ECF}"/>
    <cellStyle name="Normal 2 2 77 15 2 2" xfId="15707" xr:uid="{6DAAAD66-69A3-4DCE-949A-80EB07680663}"/>
    <cellStyle name="Normal 2 2 77 15 2 3" xfId="15708" xr:uid="{C557934A-C3AC-4714-B410-D2058DDC9299}"/>
    <cellStyle name="Normal 2 2 77 15 2 4" xfId="15709" xr:uid="{A073ABA1-137E-4C3C-8DEF-3AA18B7E699D}"/>
    <cellStyle name="Normal 2 2 77 15 3" xfId="15710" xr:uid="{6997504D-FF74-4494-96D9-A25F566CEE72}"/>
    <cellStyle name="Normal 2 2 77 15 4" xfId="15711" xr:uid="{8D5F4C9E-630B-4879-8977-D281AD6AD7FC}"/>
    <cellStyle name="Normal 2 2 77 15 5" xfId="15712" xr:uid="{08AB4418-0AB6-42B4-904C-CBCFC1047336}"/>
    <cellStyle name="Normal 2 2 77 15 6" xfId="15713" xr:uid="{27A87D82-E647-4C17-B505-BCF8A544B519}"/>
    <cellStyle name="Normal 2 2 77 16" xfId="15714" xr:uid="{7C5DAE06-2188-464A-8DA4-68AEEBD9F539}"/>
    <cellStyle name="Normal 2 2 77 17" xfId="15715" xr:uid="{2E3742E1-F14D-4766-942A-E0E54E939F5C}"/>
    <cellStyle name="Normal 2 2 77 18" xfId="15716" xr:uid="{99215000-660D-4667-A07B-BE50C029A522}"/>
    <cellStyle name="Normal 2 2 77 19" xfId="15717" xr:uid="{F71280EC-1853-44C2-A578-AECEA53F5362}"/>
    <cellStyle name="Normal 2 2 77 2" xfId="15718" xr:uid="{94E46E33-60D4-4DE4-A87D-4371B2DCD99E}"/>
    <cellStyle name="Normal 2 2 77 2 10" xfId="15719" xr:uid="{5294B493-63DF-44FB-89C1-A809ACDE9D74}"/>
    <cellStyle name="Normal 2 2 77 2 11" xfId="15720" xr:uid="{F06958C1-9684-4215-BDFA-5A40667E49B0}"/>
    <cellStyle name="Normal 2 2 77 2 12" xfId="15721" xr:uid="{7F80599D-B7A4-4090-A14A-2819F03DE3E5}"/>
    <cellStyle name="Normal 2 2 77 2 13" xfId="15722" xr:uid="{0F9F8955-F071-4485-896D-1A85BCAE544A}"/>
    <cellStyle name="Normal 2 2 77 2 13 2" xfId="15723" xr:uid="{9BBAEF61-98D2-4BC1-B582-9514C0217B21}"/>
    <cellStyle name="Normal 2 2 77 2 13 3" xfId="15724" xr:uid="{37011997-14B0-4B1F-8D5B-019880BFDA31}"/>
    <cellStyle name="Normal 2 2 77 2 13 4" xfId="15725" xr:uid="{981297C9-D0BF-482D-B831-66DFE6E41DAF}"/>
    <cellStyle name="Normal 2 2 77 2 14" xfId="15726" xr:uid="{63DE1E4C-F058-4894-BCD6-32F7A1D788DB}"/>
    <cellStyle name="Normal 2 2 77 2 15" xfId="15727" xr:uid="{C1880D6C-254E-4A48-9853-0598FDBD106B}"/>
    <cellStyle name="Normal 2 2 77 2 16" xfId="15728" xr:uid="{FB89AF1A-998C-4132-AA2B-C48FBDDA8911}"/>
    <cellStyle name="Normal 2 2 77 2 2" xfId="15729" xr:uid="{E5A608FD-E16B-496B-9A8B-CE49C35530E8}"/>
    <cellStyle name="Normal 2 2 77 2 2 10" xfId="15730" xr:uid="{81444A3A-C72B-4E27-958F-A64F90DD8222}"/>
    <cellStyle name="Normal 2 2 77 2 2 11" xfId="15731" xr:uid="{1B46DC49-9284-4CA7-A9A1-97BC7290FCED}"/>
    <cellStyle name="Normal 2 2 77 2 2 11 2" xfId="15732" xr:uid="{DFB132C3-03B0-4F37-AA8E-48B0C7445F4E}"/>
    <cellStyle name="Normal 2 2 77 2 2 11 3" xfId="15733" xr:uid="{CC32B9D5-59C8-4F8E-BBB0-237FF84FE6A2}"/>
    <cellStyle name="Normal 2 2 77 2 2 11 4" xfId="15734" xr:uid="{E8718C17-93E4-4479-A143-8A55C6D2A0FD}"/>
    <cellStyle name="Normal 2 2 77 2 2 12" xfId="15735" xr:uid="{17504AAF-84AA-4C1E-8711-568A51BED732}"/>
    <cellStyle name="Normal 2 2 77 2 2 13" xfId="15736" xr:uid="{C0ED6062-1458-400F-89FF-FCEE14A834C3}"/>
    <cellStyle name="Normal 2 2 77 2 2 14" xfId="15737" xr:uid="{B38282CE-F45A-469A-9AF6-957DFC7DEFCA}"/>
    <cellStyle name="Normal 2 2 77 2 2 2" xfId="15738" xr:uid="{8D4FB9B3-58A6-4060-8ACA-5359E3DC9122}"/>
    <cellStyle name="Normal 2 2 77 2 2 2 10" xfId="15739" xr:uid="{AFCCCBA6-46E2-41A2-AFAA-EDEFC10A8ED6}"/>
    <cellStyle name="Normal 2 2 77 2 2 2 11" xfId="15740" xr:uid="{2F1D830E-F9DC-4D50-9027-02954B005CD0}"/>
    <cellStyle name="Normal 2 2 77 2 2 2 2" xfId="15741" xr:uid="{BB3CE5AC-E12D-4DC5-BB3E-7A12F93E9ADD}"/>
    <cellStyle name="Normal 2 2 77 2 2 2 2 10" xfId="15742" xr:uid="{7FE3A34D-F8EB-43EA-B768-10BFF769D636}"/>
    <cellStyle name="Normal 2 2 77 2 2 2 2 11" xfId="15743" xr:uid="{9258B112-81C5-4D39-B16A-14C916B3E5D5}"/>
    <cellStyle name="Normal 2 2 77 2 2 2 2 2" xfId="15744" xr:uid="{25D1114C-F4B0-4E2C-8444-3039DE126883}"/>
    <cellStyle name="Normal 2 2 77 2 2 2 2 2 2" xfId="15745" xr:uid="{B57C60D5-7F4E-4068-92BD-F3011B311C60}"/>
    <cellStyle name="Normal 2 2 77 2 2 2 2 2 2 2" xfId="15746" xr:uid="{2C5B76B5-34A3-4266-AE26-9892D9815F0F}"/>
    <cellStyle name="Normal 2 2 77 2 2 2 2 2 2 3" xfId="15747" xr:uid="{C3EDE15D-F43B-4824-A727-7B83E7945047}"/>
    <cellStyle name="Normal 2 2 77 2 2 2 2 2 2 4" xfId="15748" xr:uid="{5857E137-8AA5-43DF-829A-F1B4576D3EE4}"/>
    <cellStyle name="Normal 2 2 77 2 2 2 2 2 3" xfId="15749" xr:uid="{8B8B27F1-1AE1-47D0-BCF9-86CC0BCB6840}"/>
    <cellStyle name="Normal 2 2 77 2 2 2 2 2 4" xfId="15750" xr:uid="{E4A221BD-9927-415F-A86E-EDB51D39E109}"/>
    <cellStyle name="Normal 2 2 77 2 2 2 2 2 5" xfId="15751" xr:uid="{22734995-ACE5-449E-885E-146F868E4BDF}"/>
    <cellStyle name="Normal 2 2 77 2 2 2 2 2 6" xfId="15752" xr:uid="{CF3D2567-DDB0-497D-A14D-E8B300E2FC6E}"/>
    <cellStyle name="Normal 2 2 77 2 2 2 2 3" xfId="15753" xr:uid="{3AFB6CF5-F3E7-419A-B472-DC4FA02DB42E}"/>
    <cellStyle name="Normal 2 2 77 2 2 2 2 4" xfId="15754" xr:uid="{330AE65D-99B4-467B-BC46-9DD7F3A99D3E}"/>
    <cellStyle name="Normal 2 2 77 2 2 2 2 5" xfId="15755" xr:uid="{9FA94A26-474A-41B6-80C1-B69F81DD2DA5}"/>
    <cellStyle name="Normal 2 2 77 2 2 2 2 6" xfId="15756" xr:uid="{BA10B92C-F5F1-4532-A6F2-8C65EEA21949}"/>
    <cellStyle name="Normal 2 2 77 2 2 2 2 7" xfId="15757" xr:uid="{8C891D28-8D40-4F79-95B9-F271D198123A}"/>
    <cellStyle name="Normal 2 2 77 2 2 2 2 8" xfId="15758" xr:uid="{8B0DF10E-A700-4A52-BFD9-AEA1E72A7E7C}"/>
    <cellStyle name="Normal 2 2 77 2 2 2 2 8 2" xfId="15759" xr:uid="{D8EC1283-5FD9-4FBF-8E25-757972595BCE}"/>
    <cellStyle name="Normal 2 2 77 2 2 2 2 8 3" xfId="15760" xr:uid="{C52E4688-CF05-4989-BDE0-F64699CA4406}"/>
    <cellStyle name="Normal 2 2 77 2 2 2 2 8 4" xfId="15761" xr:uid="{F5178ADE-B83E-425B-A2E3-E23C54D92166}"/>
    <cellStyle name="Normal 2 2 77 2 2 2 2 9" xfId="15762" xr:uid="{BFA1F749-F643-4B6F-A565-4C22AEFDDBE8}"/>
    <cellStyle name="Normal 2 2 77 2 2 2 3" xfId="15763" xr:uid="{1188E6B1-E854-4190-B308-A696AD4783E2}"/>
    <cellStyle name="Normal 2 2 77 2 2 2 3 2" xfId="15764" xr:uid="{5918B488-0780-496A-8FD7-3A98203C4021}"/>
    <cellStyle name="Normal 2 2 77 2 2 2 3 2 2" xfId="15765" xr:uid="{507E5E44-CCFF-481B-9249-A64EB9CC27B8}"/>
    <cellStyle name="Normal 2 2 77 2 2 2 3 2 3" xfId="15766" xr:uid="{C8CD41E6-3AD7-4774-81D7-19CB0498DFDF}"/>
    <cellStyle name="Normal 2 2 77 2 2 2 3 2 4" xfId="15767" xr:uid="{CAA0EA10-19A8-4427-9DE6-33CA06ECD3D2}"/>
    <cellStyle name="Normal 2 2 77 2 2 2 3 3" xfId="15768" xr:uid="{4EF74D46-453B-460C-80C5-B42D682C0B9A}"/>
    <cellStyle name="Normal 2 2 77 2 2 2 3 4" xfId="15769" xr:uid="{AF2B16CA-9E1F-40ED-AD65-8F4FF1D70173}"/>
    <cellStyle name="Normal 2 2 77 2 2 2 3 5" xfId="15770" xr:uid="{13F5A36E-7621-4BE2-A342-148246C6AC4E}"/>
    <cellStyle name="Normal 2 2 77 2 2 2 3 6" xfId="15771" xr:uid="{87CCAEB8-9B3D-49D6-9BCA-68AE22632766}"/>
    <cellStyle name="Normal 2 2 77 2 2 2 4" xfId="15772" xr:uid="{B603A812-BDDF-4D41-8946-ED0D7BBB1F02}"/>
    <cellStyle name="Normal 2 2 77 2 2 2 5" xfId="15773" xr:uid="{FD08A80A-5A91-4056-AD17-0DCDA3524E77}"/>
    <cellStyle name="Normal 2 2 77 2 2 2 6" xfId="15774" xr:uid="{8492991C-E856-426E-8A38-C50A9691C40C}"/>
    <cellStyle name="Normal 2 2 77 2 2 2 7" xfId="15775" xr:uid="{482471AC-5741-4C2D-A8B1-6F2EAE20168A}"/>
    <cellStyle name="Normal 2 2 77 2 2 2 8" xfId="15776" xr:uid="{3F2E432C-1777-4B65-8945-881349DE1591}"/>
    <cellStyle name="Normal 2 2 77 2 2 2 8 2" xfId="15777" xr:uid="{9FC64C86-3FD4-4AB3-B040-FB75BC3D6D24}"/>
    <cellStyle name="Normal 2 2 77 2 2 2 8 3" xfId="15778" xr:uid="{6D8E06F5-8E0D-4C1D-8175-72FD08D1BF13}"/>
    <cellStyle name="Normal 2 2 77 2 2 2 8 4" xfId="15779" xr:uid="{734224DC-D5D8-4C37-9A13-9562611477AB}"/>
    <cellStyle name="Normal 2 2 77 2 2 2 9" xfId="15780" xr:uid="{714DB598-D3D3-4C46-AC68-D41C2100201E}"/>
    <cellStyle name="Normal 2 2 77 2 2 3" xfId="15781" xr:uid="{C4BF8E6A-BCAA-4929-B358-C27F4946DF84}"/>
    <cellStyle name="Normal 2 2 77 2 2 4" xfId="15782" xr:uid="{CDF4E72D-91CA-4EDE-A47D-38C427D8C437}"/>
    <cellStyle name="Normal 2 2 77 2 2 5" xfId="15783" xr:uid="{E7BF967D-95C8-4B9B-BFD7-16D65BF209B4}"/>
    <cellStyle name="Normal 2 2 77 2 2 5 2" xfId="15784" xr:uid="{33C3BD1F-FD86-4703-85E6-EDB24DBC91E5}"/>
    <cellStyle name="Normal 2 2 77 2 2 5 2 2" xfId="15785" xr:uid="{2BC20D65-52FF-47E1-8C69-AE14EBC6FB25}"/>
    <cellStyle name="Normal 2 2 77 2 2 5 2 3" xfId="15786" xr:uid="{913C6FA4-D676-42B5-B9EA-5B8AACBCD46D}"/>
    <cellStyle name="Normal 2 2 77 2 2 5 2 4" xfId="15787" xr:uid="{6D20420B-3532-4F9D-AAA8-C7CE504FFE5D}"/>
    <cellStyle name="Normal 2 2 77 2 2 5 3" xfId="15788" xr:uid="{50AEAF18-9B7B-4479-A752-B50CE136D837}"/>
    <cellStyle name="Normal 2 2 77 2 2 5 4" xfId="15789" xr:uid="{3705D6A7-BE91-433B-A6CD-7A81CDD6E3C2}"/>
    <cellStyle name="Normal 2 2 77 2 2 5 5" xfId="15790" xr:uid="{AD4128D1-50CE-491A-96F1-5356CDC105E6}"/>
    <cellStyle name="Normal 2 2 77 2 2 5 6" xfId="15791" xr:uid="{2AD698B2-4420-486B-B0D0-EC10CDB89368}"/>
    <cellStyle name="Normal 2 2 77 2 2 6" xfId="15792" xr:uid="{56FB93C4-EFEB-44D7-9271-7DDEA86809D9}"/>
    <cellStyle name="Normal 2 2 77 2 2 7" xfId="15793" xr:uid="{7582F586-6306-4CC8-81E4-6AC7BE5690BC}"/>
    <cellStyle name="Normal 2 2 77 2 2 8" xfId="15794" xr:uid="{BA2DA393-4C56-4AA4-BF5C-C9F5DEDDBD02}"/>
    <cellStyle name="Normal 2 2 77 2 2 9" xfId="15795" xr:uid="{DA0978A9-B485-4FFD-849F-04902FB1BF0D}"/>
    <cellStyle name="Normal 2 2 77 2 3" xfId="15796" xr:uid="{8734C892-81CB-4214-9DB5-E60664740492}"/>
    <cellStyle name="Normal 2 2 77 2 4" xfId="15797" xr:uid="{F7BB5371-3B68-4339-A831-726A3F1503EC}"/>
    <cellStyle name="Normal 2 2 77 2 5" xfId="15798" xr:uid="{B147FC20-2F5E-487C-ACF9-56FBFD5A4AA5}"/>
    <cellStyle name="Normal 2 2 77 2 5 10" xfId="15799" xr:uid="{E0B3A228-19FF-4491-BF70-736F1EDD713A}"/>
    <cellStyle name="Normal 2 2 77 2 5 11" xfId="15800" xr:uid="{41489722-43F7-402F-90D5-87EE3398E99E}"/>
    <cellStyle name="Normal 2 2 77 2 5 2" xfId="15801" xr:uid="{04ACB8B0-CB34-47A4-A673-15A726CE2E0C}"/>
    <cellStyle name="Normal 2 2 77 2 5 2 10" xfId="15802" xr:uid="{62ACB4DA-F0D3-4D54-A905-122942A3C269}"/>
    <cellStyle name="Normal 2 2 77 2 5 2 11" xfId="15803" xr:uid="{F59611AB-3785-4EC6-8365-8F2FEFC3C424}"/>
    <cellStyle name="Normal 2 2 77 2 5 2 2" xfId="15804" xr:uid="{065B1E68-967D-4850-AB0F-8717381C4759}"/>
    <cellStyle name="Normal 2 2 77 2 5 2 2 2" xfId="15805" xr:uid="{1345FF23-22D7-4AA8-A8D1-0DFF794ED17E}"/>
    <cellStyle name="Normal 2 2 77 2 5 2 2 2 2" xfId="15806" xr:uid="{237918C7-E04B-4CF7-BDAA-D02BF2251026}"/>
    <cellStyle name="Normal 2 2 77 2 5 2 2 2 3" xfId="15807" xr:uid="{575A9171-84A4-4BE7-85A6-EE94C1458C43}"/>
    <cellStyle name="Normal 2 2 77 2 5 2 2 2 4" xfId="15808" xr:uid="{605FBF84-60D5-43CE-8084-E9C1829285F3}"/>
    <cellStyle name="Normal 2 2 77 2 5 2 2 3" xfId="15809" xr:uid="{409FD638-711C-42AF-871E-B1476FD961B5}"/>
    <cellStyle name="Normal 2 2 77 2 5 2 2 4" xfId="15810" xr:uid="{EBFA1F23-4D4C-4EC1-A8EF-0508A5862980}"/>
    <cellStyle name="Normal 2 2 77 2 5 2 2 5" xfId="15811" xr:uid="{F8BACEF5-CD1D-41CE-90AD-EB3019C94B01}"/>
    <cellStyle name="Normal 2 2 77 2 5 2 2 6" xfId="15812" xr:uid="{25320FBD-0423-40F6-A0AC-2162F2CD1CC2}"/>
    <cellStyle name="Normal 2 2 77 2 5 2 3" xfId="15813" xr:uid="{B466256B-8F71-4762-A414-0AAA5EF5E032}"/>
    <cellStyle name="Normal 2 2 77 2 5 2 4" xfId="15814" xr:uid="{44009309-5F7C-45FF-8E66-1CDFCA9BFBE5}"/>
    <cellStyle name="Normal 2 2 77 2 5 2 5" xfId="15815" xr:uid="{92A39009-6A72-4AF1-A47D-F9F891374553}"/>
    <cellStyle name="Normal 2 2 77 2 5 2 6" xfId="15816" xr:uid="{529CA44B-209B-459D-82CB-1FAD14B9AF02}"/>
    <cellStyle name="Normal 2 2 77 2 5 2 7" xfId="15817" xr:uid="{A209A650-B2C2-4C3C-B196-06E7A4CEE8FB}"/>
    <cellStyle name="Normal 2 2 77 2 5 2 8" xfId="15818" xr:uid="{D6F40441-B8D7-481A-BBA3-359252B51C5E}"/>
    <cellStyle name="Normal 2 2 77 2 5 2 8 2" xfId="15819" xr:uid="{19F73B50-3504-454E-AEE4-8D4D52F448FA}"/>
    <cellStyle name="Normal 2 2 77 2 5 2 8 3" xfId="15820" xr:uid="{3B3A29D6-B086-462E-B778-BDD1C9ECFAD5}"/>
    <cellStyle name="Normal 2 2 77 2 5 2 8 4" xfId="15821" xr:uid="{88E3B9BE-BA4B-4C36-8899-DD65C7E3FACF}"/>
    <cellStyle name="Normal 2 2 77 2 5 2 9" xfId="15822" xr:uid="{9A1528A1-60C0-40DF-B9CD-E27D06CBF393}"/>
    <cellStyle name="Normal 2 2 77 2 5 3" xfId="15823" xr:uid="{924AE374-1ACF-44FC-9688-4846C18D5E93}"/>
    <cellStyle name="Normal 2 2 77 2 5 3 2" xfId="15824" xr:uid="{74C27C4E-BA36-4128-AD9A-545AE49DAE07}"/>
    <cellStyle name="Normal 2 2 77 2 5 3 2 2" xfId="15825" xr:uid="{066F281D-53C1-471B-84FE-E0A594F49AB1}"/>
    <cellStyle name="Normal 2 2 77 2 5 3 2 3" xfId="15826" xr:uid="{0FD08E91-88E0-4899-BA5C-E11FCEC64395}"/>
    <cellStyle name="Normal 2 2 77 2 5 3 2 4" xfId="15827" xr:uid="{B0118D23-C148-4298-9BDE-6391D49727CC}"/>
    <cellStyle name="Normal 2 2 77 2 5 3 3" xfId="15828" xr:uid="{83D044D2-8A3A-4FBF-B317-23D2298968BB}"/>
    <cellStyle name="Normal 2 2 77 2 5 3 4" xfId="15829" xr:uid="{ACD304FB-48AD-4BE6-BD9D-F0FECFAAE3EE}"/>
    <cellStyle name="Normal 2 2 77 2 5 3 5" xfId="15830" xr:uid="{245F2792-3A21-4419-9168-C1D6274305B2}"/>
    <cellStyle name="Normal 2 2 77 2 5 3 6" xfId="15831" xr:uid="{B6B4D49A-EDA1-476D-9E00-F9E0327CF312}"/>
    <cellStyle name="Normal 2 2 77 2 5 4" xfId="15832" xr:uid="{83572A3A-AE7F-425D-A692-1A5B96B66FE3}"/>
    <cellStyle name="Normal 2 2 77 2 5 5" xfId="15833" xr:uid="{8FBD4637-4536-4683-A52E-CDF1C67B6F58}"/>
    <cellStyle name="Normal 2 2 77 2 5 6" xfId="15834" xr:uid="{FE61C0BC-31E2-401F-AA9E-7F2ACACA075F}"/>
    <cellStyle name="Normal 2 2 77 2 5 7" xfId="15835" xr:uid="{12C00BC9-6F06-47C3-A203-F2B712B73FAF}"/>
    <cellStyle name="Normal 2 2 77 2 5 8" xfId="15836" xr:uid="{F8E2B0E6-BFA9-46A4-B46B-0B5C75A7B6C0}"/>
    <cellStyle name="Normal 2 2 77 2 5 8 2" xfId="15837" xr:uid="{93F3A1AC-42DD-485F-98D9-5F33FC658BD7}"/>
    <cellStyle name="Normal 2 2 77 2 5 8 3" xfId="15838" xr:uid="{D9DBF6D5-6398-419A-82A0-065C4A626BB4}"/>
    <cellStyle name="Normal 2 2 77 2 5 8 4" xfId="15839" xr:uid="{79D754EF-17E7-4FDA-BE5E-7E41A38782FD}"/>
    <cellStyle name="Normal 2 2 77 2 5 9" xfId="15840" xr:uid="{9E937E8E-7458-4839-954E-1626C15EB392}"/>
    <cellStyle name="Normal 2 2 77 2 6" xfId="15841" xr:uid="{E6AE674A-2BBE-401C-9DFB-971C95685EDE}"/>
    <cellStyle name="Normal 2 2 77 2 7" xfId="15842" xr:uid="{312A0620-D718-4608-9B86-C0A3E9CB7B0F}"/>
    <cellStyle name="Normal 2 2 77 2 7 2" xfId="15843" xr:uid="{D5942151-502B-4178-8285-82D50228171C}"/>
    <cellStyle name="Normal 2 2 77 2 7 2 2" xfId="15844" xr:uid="{920C5E4E-BD53-48C3-85D9-3906566DF589}"/>
    <cellStyle name="Normal 2 2 77 2 7 2 3" xfId="15845" xr:uid="{4B0545E2-B6D4-4CC0-862E-534A1DB69FF6}"/>
    <cellStyle name="Normal 2 2 77 2 7 2 4" xfId="15846" xr:uid="{5C22E8D3-0698-4371-9006-9A36CD5ADC37}"/>
    <cellStyle name="Normal 2 2 77 2 7 3" xfId="15847" xr:uid="{4140A268-9573-4558-BDA3-8B23C8301894}"/>
    <cellStyle name="Normal 2 2 77 2 7 4" xfId="15848" xr:uid="{FAEBE4FD-E11B-466E-B3F0-59CB419BFDB9}"/>
    <cellStyle name="Normal 2 2 77 2 7 5" xfId="15849" xr:uid="{62E31D04-9E4B-4681-893C-F169F62CC175}"/>
    <cellStyle name="Normal 2 2 77 2 7 6" xfId="15850" xr:uid="{A07FB93C-6A0E-44AF-ABE1-68DC4E2A02B4}"/>
    <cellStyle name="Normal 2 2 77 2 8" xfId="15851" xr:uid="{03AACA38-9FBA-40DE-A427-A68D459CBE1A}"/>
    <cellStyle name="Normal 2 2 77 2 9" xfId="15852" xr:uid="{57A23C4E-70EC-49FE-B387-B022A6DB66EB}"/>
    <cellStyle name="Normal 2 2 77 20" xfId="15853" xr:uid="{AA4E7483-796D-439B-B7FA-13894229361F}"/>
    <cellStyle name="Normal 2 2 77 21" xfId="15854" xr:uid="{6B1E8AAF-2D6A-4517-BB76-DD6E9E14BA9D}"/>
    <cellStyle name="Normal 2 2 77 21 2" xfId="15855" xr:uid="{38F4FEC6-E8AD-4685-AC6B-EEC0CAD8C49B}"/>
    <cellStyle name="Normal 2 2 77 21 3" xfId="15856" xr:uid="{97CEF55C-BCC2-4EC4-BFBB-F68E83B4738B}"/>
    <cellStyle name="Normal 2 2 77 21 4" xfId="15857" xr:uid="{FB540FFA-2A82-4702-9652-C462AF0F8930}"/>
    <cellStyle name="Normal 2 2 77 22" xfId="15858" xr:uid="{52F56B17-D276-4973-B0FA-9C19B7A5FA34}"/>
    <cellStyle name="Normal 2 2 77 23" xfId="15859" xr:uid="{A89A7D44-8696-4BA9-B1B1-7E3CCF15546E}"/>
    <cellStyle name="Normal 2 2 77 24" xfId="15860" xr:uid="{D1B04311-B586-4648-8911-3265FD70ADF9}"/>
    <cellStyle name="Normal 2 2 77 3" xfId="15861" xr:uid="{A47B1C1F-3CB9-4FC0-A5CE-3DC14295A2C2}"/>
    <cellStyle name="Normal 2 2 77 4" xfId="15862" xr:uid="{EBE506A5-9A5A-4834-9F37-3AF703CE0A78}"/>
    <cellStyle name="Normal 2 2 77 5" xfId="15863" xr:uid="{90320674-8E5A-4F16-88D3-0F0D91AFD116}"/>
    <cellStyle name="Normal 2 2 77 6" xfId="15864" xr:uid="{3CACA3DC-56F9-4948-B494-9E1C16FA4947}"/>
    <cellStyle name="Normal 2 2 77 7" xfId="15865" xr:uid="{D8063763-0215-4899-8D24-58C8010FFF25}"/>
    <cellStyle name="Normal 2 2 77 8" xfId="15866" xr:uid="{2BC1A97A-23BD-4D4B-8822-ED37499ABF58}"/>
    <cellStyle name="Normal 2 2 77 9" xfId="15867" xr:uid="{9773AE16-92C8-433F-A8D5-B5DD117F6D2D}"/>
    <cellStyle name="Normal 2 2 78" xfId="15868" xr:uid="{4D3AA156-2A94-4742-9216-416A8ADBAF04}"/>
    <cellStyle name="Normal 2 2 78 10" xfId="15869" xr:uid="{5629C09F-F51B-4E3B-96E1-938A48202B54}"/>
    <cellStyle name="Normal 2 2 78 11" xfId="15870" xr:uid="{B5F7E714-83EE-40E6-8AF6-53F88BBB57C6}"/>
    <cellStyle name="Normal 2 2 78 12" xfId="15871" xr:uid="{C1751053-7054-4210-BA07-C010C2247BFA}"/>
    <cellStyle name="Normal 2 2 78 13" xfId="15872" xr:uid="{5F383286-10DF-445B-B343-AC67281300FE}"/>
    <cellStyle name="Normal 2 2 78 13 2" xfId="15873" xr:uid="{212818E7-21D6-4F32-BA68-15AA04308F65}"/>
    <cellStyle name="Normal 2 2 78 13 3" xfId="15874" xr:uid="{CB26869A-2BD4-4066-B70E-E1A49C318B0F}"/>
    <cellStyle name="Normal 2 2 78 13 4" xfId="15875" xr:uid="{9D2BE28C-DCD9-44DE-969E-B96F1537BAD3}"/>
    <cellStyle name="Normal 2 2 78 14" xfId="15876" xr:uid="{411FFCBE-583F-4D1B-BFD0-23F6A46CD9BE}"/>
    <cellStyle name="Normal 2 2 78 15" xfId="15877" xr:uid="{A5E197D0-AB22-47BC-BFBB-B844ED410A75}"/>
    <cellStyle name="Normal 2 2 78 16" xfId="15878" xr:uid="{060D7C1D-45FA-47F4-902A-7A4AC1F64063}"/>
    <cellStyle name="Normal 2 2 78 2" xfId="15879" xr:uid="{8610E299-1D9F-478A-954E-3E62C44223B0}"/>
    <cellStyle name="Normal 2 2 78 2 10" xfId="15880" xr:uid="{49ED4163-AFB0-4BD9-9AC3-70183AF453F0}"/>
    <cellStyle name="Normal 2 2 78 2 11" xfId="15881" xr:uid="{DD100117-0F15-4D47-8559-A0DE627C7757}"/>
    <cellStyle name="Normal 2 2 78 2 11 2" xfId="15882" xr:uid="{748B7039-1EA9-4B23-83BB-DBF402F7D7D2}"/>
    <cellStyle name="Normal 2 2 78 2 11 3" xfId="15883" xr:uid="{B8EEFCD9-BB60-4973-BE62-3BF8FC4972B2}"/>
    <cellStyle name="Normal 2 2 78 2 11 4" xfId="15884" xr:uid="{C85757FD-BF13-4367-ACD4-868980E3E9E6}"/>
    <cellStyle name="Normal 2 2 78 2 12" xfId="15885" xr:uid="{E3A35926-06D3-44CB-9A46-724D9801C1F0}"/>
    <cellStyle name="Normal 2 2 78 2 13" xfId="15886" xr:uid="{549ED84F-21C4-4B34-8AB6-5E93713E0BC7}"/>
    <cellStyle name="Normal 2 2 78 2 14" xfId="15887" xr:uid="{563C77D5-059A-4C48-8EE4-292E633D787E}"/>
    <cellStyle name="Normal 2 2 78 2 2" xfId="15888" xr:uid="{C7A8CC93-41A9-49F6-A009-A4F35B7C862C}"/>
    <cellStyle name="Normal 2 2 78 2 2 10" xfId="15889" xr:uid="{38C5F398-6253-498A-8DEC-B405ABE7D1AF}"/>
    <cellStyle name="Normal 2 2 78 2 2 11" xfId="15890" xr:uid="{FD0BAB8E-CFF8-4D31-85E2-0C62DEFCB9BF}"/>
    <cellStyle name="Normal 2 2 78 2 2 2" xfId="15891" xr:uid="{C16B952A-165B-4494-AE96-3A84C647163C}"/>
    <cellStyle name="Normal 2 2 78 2 2 2 10" xfId="15892" xr:uid="{A2702AFD-0F10-4BF3-9712-5C734EB9D3F0}"/>
    <cellStyle name="Normal 2 2 78 2 2 2 11" xfId="15893" xr:uid="{3C975695-89D6-447E-AABA-B77825995A90}"/>
    <cellStyle name="Normal 2 2 78 2 2 2 2" xfId="15894" xr:uid="{1FF180E2-0AAE-4131-803B-331D3BC39624}"/>
    <cellStyle name="Normal 2 2 78 2 2 2 2 2" xfId="15895" xr:uid="{0932183A-BCF3-47C3-A4D7-333602D09E5C}"/>
    <cellStyle name="Normal 2 2 78 2 2 2 2 2 2" xfId="15896" xr:uid="{648D96CC-0396-41A9-90F3-9C45BA8B317B}"/>
    <cellStyle name="Normal 2 2 78 2 2 2 2 2 3" xfId="15897" xr:uid="{BDDDF2F3-2F88-44A7-9CA1-B64834741167}"/>
    <cellStyle name="Normal 2 2 78 2 2 2 2 2 4" xfId="15898" xr:uid="{25F95FAF-7A77-4E62-A174-3F362133CC82}"/>
    <cellStyle name="Normal 2 2 78 2 2 2 2 3" xfId="15899" xr:uid="{1A20508A-25F9-4573-B7CB-C45C33F5A3C3}"/>
    <cellStyle name="Normal 2 2 78 2 2 2 2 4" xfId="15900" xr:uid="{BB96DF15-35C4-48CF-AE57-4A870A767975}"/>
    <cellStyle name="Normal 2 2 78 2 2 2 2 5" xfId="15901" xr:uid="{AB75DAE2-69EE-41BA-A87C-59BE8B90B89C}"/>
    <cellStyle name="Normal 2 2 78 2 2 2 2 6" xfId="15902" xr:uid="{159BBE87-CEEC-4746-89A8-FCE4EB313194}"/>
    <cellStyle name="Normal 2 2 78 2 2 2 3" xfId="15903" xr:uid="{60C8BA06-03B5-468F-A23A-D57DE3977F2C}"/>
    <cellStyle name="Normal 2 2 78 2 2 2 4" xfId="15904" xr:uid="{F9CC9D45-2E2B-4AC1-9BCC-C9BD4F08DA3E}"/>
    <cellStyle name="Normal 2 2 78 2 2 2 5" xfId="15905" xr:uid="{53381754-F26E-458B-ACED-6B3FA4EDCAFF}"/>
    <cellStyle name="Normal 2 2 78 2 2 2 6" xfId="15906" xr:uid="{501D545E-DFD1-4DC1-A714-12331C86ED98}"/>
    <cellStyle name="Normal 2 2 78 2 2 2 7" xfId="15907" xr:uid="{D041670D-0B3B-4A23-86C6-1CB37B7A46CC}"/>
    <cellStyle name="Normal 2 2 78 2 2 2 8" xfId="15908" xr:uid="{A5ED44FD-EF7B-4C1B-A47E-63AE29447D81}"/>
    <cellStyle name="Normal 2 2 78 2 2 2 8 2" xfId="15909" xr:uid="{4B8E730E-23CA-494D-A5E0-E3BEB4F9A948}"/>
    <cellStyle name="Normal 2 2 78 2 2 2 8 3" xfId="15910" xr:uid="{1E33C009-B1F4-4CF1-988B-574AEB8D39CA}"/>
    <cellStyle name="Normal 2 2 78 2 2 2 8 4" xfId="15911" xr:uid="{24455542-AECC-45D2-A8E7-4EE80ED76030}"/>
    <cellStyle name="Normal 2 2 78 2 2 2 9" xfId="15912" xr:uid="{3E0709A7-2824-4665-A8EB-0AEE7A47849F}"/>
    <cellStyle name="Normal 2 2 78 2 2 3" xfId="15913" xr:uid="{C2209D22-72A9-4693-B59D-4B06692B5D8E}"/>
    <cellStyle name="Normal 2 2 78 2 2 3 2" xfId="15914" xr:uid="{DE79BD44-4F7E-42D5-B125-242E73A17FBB}"/>
    <cellStyle name="Normal 2 2 78 2 2 3 2 2" xfId="15915" xr:uid="{A87DD222-3683-4886-86AF-AE0B4803976F}"/>
    <cellStyle name="Normal 2 2 78 2 2 3 2 3" xfId="15916" xr:uid="{6DEECCAE-66B7-4502-8E11-8D805B56FA23}"/>
    <cellStyle name="Normal 2 2 78 2 2 3 2 4" xfId="15917" xr:uid="{BF575FBA-7AA0-4EDC-BE94-04ED49FBBFBF}"/>
    <cellStyle name="Normal 2 2 78 2 2 3 3" xfId="15918" xr:uid="{68DD08F2-81AF-4E5E-9977-E3E90A50A93F}"/>
    <cellStyle name="Normal 2 2 78 2 2 3 4" xfId="15919" xr:uid="{707A278A-49A7-4FFA-A31A-6A9921E74401}"/>
    <cellStyle name="Normal 2 2 78 2 2 3 5" xfId="15920" xr:uid="{7767E33F-6C28-4E13-87BE-D0434A602520}"/>
    <cellStyle name="Normal 2 2 78 2 2 3 6" xfId="15921" xr:uid="{6D6E921D-AB24-48CA-800B-D86660DF0A02}"/>
    <cellStyle name="Normal 2 2 78 2 2 4" xfId="15922" xr:uid="{CF93E2D0-D2E1-44CE-B725-1804EB1A6199}"/>
    <cellStyle name="Normal 2 2 78 2 2 5" xfId="15923" xr:uid="{20C0BA4E-D2E5-4876-BFEB-340797E31FE9}"/>
    <cellStyle name="Normal 2 2 78 2 2 6" xfId="15924" xr:uid="{68A1C7CA-663B-4A05-B9BA-BDB2233E6D53}"/>
    <cellStyle name="Normal 2 2 78 2 2 7" xfId="15925" xr:uid="{88BBB9BF-E076-4835-B997-D09B2658CF9F}"/>
    <cellStyle name="Normal 2 2 78 2 2 8" xfId="15926" xr:uid="{A6BDAC18-2F8C-49DE-8390-745264BB9D38}"/>
    <cellStyle name="Normal 2 2 78 2 2 8 2" xfId="15927" xr:uid="{FB48E5A1-853B-4AD2-B24D-A58999827353}"/>
    <cellStyle name="Normal 2 2 78 2 2 8 3" xfId="15928" xr:uid="{6A2D3614-34BD-44F6-9FC6-D585136CC70D}"/>
    <cellStyle name="Normal 2 2 78 2 2 8 4" xfId="15929" xr:uid="{7A624EDF-BA89-4F7C-9ACD-11EDC6205B49}"/>
    <cellStyle name="Normal 2 2 78 2 2 9" xfId="15930" xr:uid="{5FC4357C-0815-48EF-A5B1-7D3E7AB1FAF7}"/>
    <cellStyle name="Normal 2 2 78 2 3" xfId="15931" xr:uid="{F98C1D2D-EC7F-45F0-8F3B-4F6BF64AD753}"/>
    <cellStyle name="Normal 2 2 78 2 4" xfId="15932" xr:uid="{50773BBE-8504-46A5-A49F-F0E6BA8C5D5D}"/>
    <cellStyle name="Normal 2 2 78 2 5" xfId="15933" xr:uid="{5DCC47F5-EA95-4238-B313-168D2DDFCCEB}"/>
    <cellStyle name="Normal 2 2 78 2 5 2" xfId="15934" xr:uid="{63468CF7-FD3D-48ED-A331-7115DD57709D}"/>
    <cellStyle name="Normal 2 2 78 2 5 2 2" xfId="15935" xr:uid="{350EDAB4-4678-4C72-B375-07651E103D70}"/>
    <cellStyle name="Normal 2 2 78 2 5 2 3" xfId="15936" xr:uid="{57112A05-EAAF-4A8A-B4E8-FF778E188041}"/>
    <cellStyle name="Normal 2 2 78 2 5 2 4" xfId="15937" xr:uid="{225ADD04-63CC-4BEF-81EC-32E972478712}"/>
    <cellStyle name="Normal 2 2 78 2 5 3" xfId="15938" xr:uid="{8430B8F4-0A43-4E15-915B-7912E8B85F6F}"/>
    <cellStyle name="Normal 2 2 78 2 5 4" xfId="15939" xr:uid="{2821C9D4-FBF5-4289-9243-FBD69E289168}"/>
    <cellStyle name="Normal 2 2 78 2 5 5" xfId="15940" xr:uid="{AFC007E8-CB0A-41EF-8A26-0ABCC65AE1F6}"/>
    <cellStyle name="Normal 2 2 78 2 5 6" xfId="15941" xr:uid="{4E14615D-B475-4D37-918B-3FD70A9BD87D}"/>
    <cellStyle name="Normal 2 2 78 2 6" xfId="15942" xr:uid="{43EBD4C5-EF59-442D-BE1F-B4629CB5C3DE}"/>
    <cellStyle name="Normal 2 2 78 2 7" xfId="15943" xr:uid="{176EC011-84E4-49B8-A764-D712ED639041}"/>
    <cellStyle name="Normal 2 2 78 2 8" xfId="15944" xr:uid="{3C8A4867-1578-4716-8A3B-0D8F2E8C0451}"/>
    <cellStyle name="Normal 2 2 78 2 9" xfId="15945" xr:uid="{E0BEEAE2-2F1F-4668-9F14-AF325511F0AF}"/>
    <cellStyle name="Normal 2 2 78 3" xfId="15946" xr:uid="{78504E36-45F9-4994-A695-B058065484E4}"/>
    <cellStyle name="Normal 2 2 78 4" xfId="15947" xr:uid="{3600AEBE-7D47-4C5A-AFC3-68D9D9720236}"/>
    <cellStyle name="Normal 2 2 78 5" xfId="15948" xr:uid="{6C35F2A1-AED7-4B53-B23F-75D2B3BE9F3C}"/>
    <cellStyle name="Normal 2 2 78 5 10" xfId="15949" xr:uid="{CAA56F80-44D3-4528-A792-8131EE803414}"/>
    <cellStyle name="Normal 2 2 78 5 11" xfId="15950" xr:uid="{632E504C-6E1C-4A2F-96CC-9C7CF6ACCAC5}"/>
    <cellStyle name="Normal 2 2 78 5 2" xfId="15951" xr:uid="{1C902816-9A53-403A-BD88-32BDD31BB99B}"/>
    <cellStyle name="Normal 2 2 78 5 2 10" xfId="15952" xr:uid="{F880EDBE-EC69-466F-AA2F-013A967FDDBE}"/>
    <cellStyle name="Normal 2 2 78 5 2 11" xfId="15953" xr:uid="{D8172EB0-BC87-46F3-A0E0-51C549CDFDA6}"/>
    <cellStyle name="Normal 2 2 78 5 2 2" xfId="15954" xr:uid="{044BDE8F-F0A6-454A-ACE3-5C365DEA2977}"/>
    <cellStyle name="Normal 2 2 78 5 2 2 2" xfId="15955" xr:uid="{FB2C5D24-3295-4562-BB91-CEF51AA6BF8E}"/>
    <cellStyle name="Normal 2 2 78 5 2 2 2 2" xfId="15956" xr:uid="{B1EA922D-0167-4EDB-8F64-EDB8C9CAB358}"/>
    <cellStyle name="Normal 2 2 78 5 2 2 2 3" xfId="15957" xr:uid="{3AD338A1-4AC1-4DBB-88BE-236B51C1BDEB}"/>
    <cellStyle name="Normal 2 2 78 5 2 2 2 4" xfId="15958" xr:uid="{9D6DA3A3-55E8-4901-9E9A-BFC29713BD10}"/>
    <cellStyle name="Normal 2 2 78 5 2 2 3" xfId="15959" xr:uid="{34F797CC-2618-495E-AADF-EC3FDCDED29B}"/>
    <cellStyle name="Normal 2 2 78 5 2 2 4" xfId="15960" xr:uid="{623A81F3-F8DD-4712-9AD3-C503AB90275A}"/>
    <cellStyle name="Normal 2 2 78 5 2 2 5" xfId="15961" xr:uid="{2083EC31-1702-45CA-9EF7-ED512233C725}"/>
    <cellStyle name="Normal 2 2 78 5 2 2 6" xfId="15962" xr:uid="{F4CFE9F6-91F0-419D-AF91-409130EC3F90}"/>
    <cellStyle name="Normal 2 2 78 5 2 3" xfId="15963" xr:uid="{A38A40BE-4E18-4670-8E44-CF836238ECB8}"/>
    <cellStyle name="Normal 2 2 78 5 2 4" xfId="15964" xr:uid="{94577A8B-CB06-4A1C-9B4A-5C6272ECEC23}"/>
    <cellStyle name="Normal 2 2 78 5 2 5" xfId="15965" xr:uid="{4711C37F-381C-4B4D-888C-DC541AD94583}"/>
    <cellStyle name="Normal 2 2 78 5 2 6" xfId="15966" xr:uid="{870D110D-2FAF-479C-AD32-41CC3C3BCB2B}"/>
    <cellStyle name="Normal 2 2 78 5 2 7" xfId="15967" xr:uid="{724833C7-EC8E-4067-BC1C-E092FD4B2E47}"/>
    <cellStyle name="Normal 2 2 78 5 2 8" xfId="15968" xr:uid="{87D42964-EE5A-4E44-B4C1-24E171E8CE69}"/>
    <cellStyle name="Normal 2 2 78 5 2 8 2" xfId="15969" xr:uid="{0AC11841-1157-4D00-A84B-483D6BE4D185}"/>
    <cellStyle name="Normal 2 2 78 5 2 8 3" xfId="15970" xr:uid="{5D8F2B14-A44D-4024-ABD4-3E9A3BAD9E3C}"/>
    <cellStyle name="Normal 2 2 78 5 2 8 4" xfId="15971" xr:uid="{F14AF3D4-BEFF-4BB2-A50A-5EBD775C87A8}"/>
    <cellStyle name="Normal 2 2 78 5 2 9" xfId="15972" xr:uid="{D9371199-62C1-4303-94C0-C194AF830660}"/>
    <cellStyle name="Normal 2 2 78 5 3" xfId="15973" xr:uid="{3DB906DE-183B-4D9D-83AA-69658D4D9435}"/>
    <cellStyle name="Normal 2 2 78 5 3 2" xfId="15974" xr:uid="{4E52F0E1-5577-4151-95FE-C26236AC6CC2}"/>
    <cellStyle name="Normal 2 2 78 5 3 2 2" xfId="15975" xr:uid="{FE64D6D1-284F-4198-B329-E9F217B7A9A1}"/>
    <cellStyle name="Normal 2 2 78 5 3 2 3" xfId="15976" xr:uid="{9685FEAD-014A-4602-8589-E321BBE9F57F}"/>
    <cellStyle name="Normal 2 2 78 5 3 2 4" xfId="15977" xr:uid="{E5A330FE-C66C-4A8A-90AF-22BAFB2989FE}"/>
    <cellStyle name="Normal 2 2 78 5 3 3" xfId="15978" xr:uid="{1DB98ADC-A76F-4E42-A024-535E8C408032}"/>
    <cellStyle name="Normal 2 2 78 5 3 4" xfId="15979" xr:uid="{C2F95518-ED3F-4468-9C4D-34716A2509CC}"/>
    <cellStyle name="Normal 2 2 78 5 3 5" xfId="15980" xr:uid="{3E45CDAE-E623-4A17-9A8D-D32127289EA0}"/>
    <cellStyle name="Normal 2 2 78 5 3 6" xfId="15981" xr:uid="{C1D9D8D7-F9F7-454C-A7D0-735C1840CB14}"/>
    <cellStyle name="Normal 2 2 78 5 4" xfId="15982" xr:uid="{01AB841B-1A6F-4999-903D-5A981BDEFFCD}"/>
    <cellStyle name="Normal 2 2 78 5 5" xfId="15983" xr:uid="{968FC51A-9AC8-4015-97A2-E8E0FA42A3EB}"/>
    <cellStyle name="Normal 2 2 78 5 6" xfId="15984" xr:uid="{863806CC-A607-4288-823C-2A673E8E04D4}"/>
    <cellStyle name="Normal 2 2 78 5 7" xfId="15985" xr:uid="{5B289B16-4282-4882-8DD8-2D44159BF979}"/>
    <cellStyle name="Normal 2 2 78 5 8" xfId="15986" xr:uid="{76490ED7-7309-486E-8F49-1B791985BA57}"/>
    <cellStyle name="Normal 2 2 78 5 8 2" xfId="15987" xr:uid="{66DDFDC4-708A-4480-B9C2-9748AAC32AD4}"/>
    <cellStyle name="Normal 2 2 78 5 8 3" xfId="15988" xr:uid="{43C4FBEF-BEC0-4389-BA75-3C3E69EF52B8}"/>
    <cellStyle name="Normal 2 2 78 5 8 4" xfId="15989" xr:uid="{D6A58949-AED0-40A3-9484-B854C4B371E0}"/>
    <cellStyle name="Normal 2 2 78 5 9" xfId="15990" xr:uid="{17FB4364-807D-4FB6-B1C2-12601B640649}"/>
    <cellStyle name="Normal 2 2 78 6" xfId="15991" xr:uid="{CC090B64-0EC4-4895-B522-28557BC42B70}"/>
    <cellStyle name="Normal 2 2 78 7" xfId="15992" xr:uid="{A7C2DA7F-AF11-480B-BC39-239FA7EC52FC}"/>
    <cellStyle name="Normal 2 2 78 7 2" xfId="15993" xr:uid="{172D0017-0A14-477D-8B1C-DDDC22ED4D3A}"/>
    <cellStyle name="Normal 2 2 78 7 2 2" xfId="15994" xr:uid="{ED360824-40C1-41AE-BD62-D919E79D643B}"/>
    <cellStyle name="Normal 2 2 78 7 2 3" xfId="15995" xr:uid="{3E74361D-A867-495E-8C07-21677E80460A}"/>
    <cellStyle name="Normal 2 2 78 7 2 4" xfId="15996" xr:uid="{C0DC2246-A0E6-4724-B00D-C05AF6ADB516}"/>
    <cellStyle name="Normal 2 2 78 7 3" xfId="15997" xr:uid="{0175066D-E585-408F-852B-03922CB22870}"/>
    <cellStyle name="Normal 2 2 78 7 4" xfId="15998" xr:uid="{7F1DB3A3-9EBF-4631-B0DD-12BD0A5A71C7}"/>
    <cellStyle name="Normal 2 2 78 7 5" xfId="15999" xr:uid="{D456A82B-86B6-4DE7-9889-3132C984428E}"/>
    <cellStyle name="Normal 2 2 78 7 6" xfId="16000" xr:uid="{36AFC37E-781A-45DA-9146-122594DA0F9E}"/>
    <cellStyle name="Normal 2 2 78 8" xfId="16001" xr:uid="{A2080B21-AF15-44B7-991A-2FCB65C78FA1}"/>
    <cellStyle name="Normal 2 2 78 9" xfId="16002" xr:uid="{E49DAB69-31DE-45BC-9101-A6C423D9D5AE}"/>
    <cellStyle name="Normal 2 2 79" xfId="16003" xr:uid="{E50E134F-0EDB-419A-B8F7-8F253480E78E}"/>
    <cellStyle name="Normal 2 2 8" xfId="16004" xr:uid="{6111BE82-653E-4228-835C-2012C4036621}"/>
    <cellStyle name="Normal 2 2 8 2" xfId="16005" xr:uid="{A8F57ABE-36D2-4318-9E3A-5C50758313AE}"/>
    <cellStyle name="Normal 2 2 80" xfId="16006" xr:uid="{0DE46B11-6F30-4BB0-900A-1D0DBA21742D}"/>
    <cellStyle name="Normal 2 2 81" xfId="16007" xr:uid="{63D9E375-B84A-4F14-B59F-7BC30B35634B}"/>
    <cellStyle name="Normal 2 2 82" xfId="16008" xr:uid="{2CD4627C-EC33-4B4A-91E8-9C656120FC6C}"/>
    <cellStyle name="Normal 2 2 83" xfId="16009" xr:uid="{72A2100E-2B04-4C13-9A3D-2C76E3C7F411}"/>
    <cellStyle name="Normal 2 2 84" xfId="16010" xr:uid="{0C8C7A0F-C71C-45D9-9AF4-0C4C548ACBBC}"/>
    <cellStyle name="Normal 2 2 85" xfId="16011" xr:uid="{69C0D47C-528B-43D8-A1E0-CA45FDD692CC}"/>
    <cellStyle name="Normal 2 2 86" xfId="16012" xr:uid="{3142EF2E-6753-450E-AAA2-2369B92BD32C}"/>
    <cellStyle name="Normal 2 2 86 10" xfId="16013" xr:uid="{E5B5F4A4-BD0B-4CF2-9EBA-BC4BA9810C61}"/>
    <cellStyle name="Normal 2 2 86 11" xfId="16014" xr:uid="{FE6A2372-E070-45BA-9184-2241D09C74DF}"/>
    <cellStyle name="Normal 2 2 86 11 2" xfId="16015" xr:uid="{6019144E-D153-45F7-8271-F8917E4A8500}"/>
    <cellStyle name="Normal 2 2 86 11 3" xfId="16016" xr:uid="{78CED982-428B-4730-B47E-27D96EA0AA49}"/>
    <cellStyle name="Normal 2 2 86 11 4" xfId="16017" xr:uid="{60AE619B-7B6B-4C7E-98DF-618DB66266A8}"/>
    <cellStyle name="Normal 2 2 86 12" xfId="16018" xr:uid="{DCFDD684-2FE4-4A7A-94D3-3D854E318E00}"/>
    <cellStyle name="Normal 2 2 86 13" xfId="16019" xr:uid="{F730E337-AF3B-4AC1-9D9D-BE31A3D1BB58}"/>
    <cellStyle name="Normal 2 2 86 14" xfId="16020" xr:uid="{E7533B53-2A89-4D8A-81AC-1EDD71E90908}"/>
    <cellStyle name="Normal 2 2 86 2" xfId="16021" xr:uid="{382DB49D-3994-4269-BD14-F2D009F0FAD5}"/>
    <cellStyle name="Normal 2 2 86 2 10" xfId="16022" xr:uid="{EA64DEF4-0C69-46F2-ADB2-34FA297D6310}"/>
    <cellStyle name="Normal 2 2 86 2 11" xfId="16023" xr:uid="{E74714D7-B91E-4849-870E-47692BE7E14F}"/>
    <cellStyle name="Normal 2 2 86 2 2" xfId="16024" xr:uid="{1EA9FE28-1136-46D6-A3CA-C4DF4B695CB3}"/>
    <cellStyle name="Normal 2 2 86 2 2 10" xfId="16025" xr:uid="{DA77BC3E-9C86-4C81-A498-83B44C0C003E}"/>
    <cellStyle name="Normal 2 2 86 2 2 11" xfId="16026" xr:uid="{7E9238AE-9535-43A3-B944-D6B5E8C81F58}"/>
    <cellStyle name="Normal 2 2 86 2 2 2" xfId="16027" xr:uid="{B0A8C94B-498C-4D60-911C-2B646A68895F}"/>
    <cellStyle name="Normal 2 2 86 2 2 2 2" xfId="16028" xr:uid="{B52D74E3-6A6E-400D-AB5E-2699071E401B}"/>
    <cellStyle name="Normal 2 2 86 2 2 2 2 2" xfId="16029" xr:uid="{EB938F0F-B206-41CF-9323-8387C68B4B64}"/>
    <cellStyle name="Normal 2 2 86 2 2 2 2 3" xfId="16030" xr:uid="{8E7E8138-A39E-4A60-AADE-C04F0E57B1F6}"/>
    <cellStyle name="Normal 2 2 86 2 2 2 2 4" xfId="16031" xr:uid="{7B09291E-05D7-4A43-BB58-E30914E62609}"/>
    <cellStyle name="Normal 2 2 86 2 2 2 3" xfId="16032" xr:uid="{3F7061C1-6346-4251-96D1-10F91D0CBFBF}"/>
    <cellStyle name="Normal 2 2 86 2 2 2 4" xfId="16033" xr:uid="{29F1A05A-2B8D-4149-8CB2-10506B0798F5}"/>
    <cellStyle name="Normal 2 2 86 2 2 2 5" xfId="16034" xr:uid="{BB6E1E33-A803-445D-B4BB-2B19F85F5A61}"/>
    <cellStyle name="Normal 2 2 86 2 2 2 6" xfId="16035" xr:uid="{7C1E42DA-7AF8-4CB0-A7B7-FB1BA6B4007E}"/>
    <cellStyle name="Normal 2 2 86 2 2 3" xfId="16036" xr:uid="{DE007DF1-A043-4EA3-8B1F-01EB4A5E5CB3}"/>
    <cellStyle name="Normal 2 2 86 2 2 4" xfId="16037" xr:uid="{EF31E384-D62D-44FD-9ED4-BA33AEC95481}"/>
    <cellStyle name="Normal 2 2 86 2 2 5" xfId="16038" xr:uid="{62035EF2-D65B-476B-A6D0-A0C0D40BF875}"/>
    <cellStyle name="Normal 2 2 86 2 2 6" xfId="16039" xr:uid="{F0B4D5DD-06F7-45CE-A7ED-9F6FB0EB30BF}"/>
    <cellStyle name="Normal 2 2 86 2 2 7" xfId="16040" xr:uid="{EB3D1838-959E-4210-9EF3-1C4BB5DC1788}"/>
    <cellStyle name="Normal 2 2 86 2 2 8" xfId="16041" xr:uid="{5F316E6C-E98D-47C3-9A5A-183F6E08E644}"/>
    <cellStyle name="Normal 2 2 86 2 2 8 2" xfId="16042" xr:uid="{03FBC233-0EC7-499C-9FA0-0281B0BE01A8}"/>
    <cellStyle name="Normal 2 2 86 2 2 8 3" xfId="16043" xr:uid="{12B55B0C-9817-4EDB-B1AB-07E84673EF64}"/>
    <cellStyle name="Normal 2 2 86 2 2 8 4" xfId="16044" xr:uid="{6866E9AB-59FE-4E45-A341-1FB27675BA79}"/>
    <cellStyle name="Normal 2 2 86 2 2 9" xfId="16045" xr:uid="{B46D6798-4AC5-4A64-B172-AB5569F2A9F7}"/>
    <cellStyle name="Normal 2 2 86 2 3" xfId="16046" xr:uid="{1BCB12AB-3E05-44E6-BCCA-1CB819DDA7BD}"/>
    <cellStyle name="Normal 2 2 86 2 3 2" xfId="16047" xr:uid="{FFA54BE5-F808-4399-B5DE-ADB4405FE99F}"/>
    <cellStyle name="Normal 2 2 86 2 3 2 2" xfId="16048" xr:uid="{86AA4BAC-6135-4A57-863A-3488EE9985D7}"/>
    <cellStyle name="Normal 2 2 86 2 3 2 3" xfId="16049" xr:uid="{37567DB0-4887-48C9-A9A0-6B30DD903159}"/>
    <cellStyle name="Normal 2 2 86 2 3 2 4" xfId="16050" xr:uid="{E691B2B8-95C6-4101-9146-5A002F428764}"/>
    <cellStyle name="Normal 2 2 86 2 3 3" xfId="16051" xr:uid="{660084FC-681E-4506-A3D4-AE754EE1CCDF}"/>
    <cellStyle name="Normal 2 2 86 2 3 4" xfId="16052" xr:uid="{466930F1-F400-49CC-BB8B-E48BBF6E881B}"/>
    <cellStyle name="Normal 2 2 86 2 3 5" xfId="16053" xr:uid="{F1E79A90-4F2A-4407-8B8F-345E566ADD11}"/>
    <cellStyle name="Normal 2 2 86 2 3 6" xfId="16054" xr:uid="{AFF22E73-F3E7-4E05-B1F2-312773D243BB}"/>
    <cellStyle name="Normal 2 2 86 2 4" xfId="16055" xr:uid="{E2829A32-DCE2-4B11-A311-A5002118940F}"/>
    <cellStyle name="Normal 2 2 86 2 5" xfId="16056" xr:uid="{BA7758F2-917E-4F89-B5B3-7CE88F257080}"/>
    <cellStyle name="Normal 2 2 86 2 6" xfId="16057" xr:uid="{063C7840-5317-426C-8597-CFA28522F562}"/>
    <cellStyle name="Normal 2 2 86 2 7" xfId="16058" xr:uid="{D57B17CB-5877-45AC-97B8-D411EF69C444}"/>
    <cellStyle name="Normal 2 2 86 2 8" xfId="16059" xr:uid="{C62B96A3-CA98-4923-B262-1C327C968CD2}"/>
    <cellStyle name="Normal 2 2 86 2 8 2" xfId="16060" xr:uid="{CF1EBC96-FC89-41BF-BAC5-0E43CEE3240E}"/>
    <cellStyle name="Normal 2 2 86 2 8 3" xfId="16061" xr:uid="{27FD2A35-39E2-49A3-8E9D-DEAD7855E330}"/>
    <cellStyle name="Normal 2 2 86 2 8 4" xfId="16062" xr:uid="{92BCD783-1C88-43EF-8E4B-BC709444AFFB}"/>
    <cellStyle name="Normal 2 2 86 2 9" xfId="16063" xr:uid="{587C43BE-56AD-4E8B-B4D3-886AB9F2919E}"/>
    <cellStyle name="Normal 2 2 86 3" xfId="16064" xr:uid="{A66A9AE9-435F-40EE-A976-2207D8618C70}"/>
    <cellStyle name="Normal 2 2 86 4" xfId="16065" xr:uid="{9FF9A969-0664-4F4C-A6CD-228C68947501}"/>
    <cellStyle name="Normal 2 2 86 5" xfId="16066" xr:uid="{9F0524FD-F3D2-4C33-BC67-C2B32F60FADD}"/>
    <cellStyle name="Normal 2 2 86 5 2" xfId="16067" xr:uid="{C2A30217-2180-492A-B507-23975758D52B}"/>
    <cellStyle name="Normal 2 2 86 5 2 2" xfId="16068" xr:uid="{8AC9D8DA-24BA-4F89-B5A6-69CCF0AC35D2}"/>
    <cellStyle name="Normal 2 2 86 5 2 3" xfId="16069" xr:uid="{E9DCDB8F-9ACF-417F-A173-849A84F44802}"/>
    <cellStyle name="Normal 2 2 86 5 2 4" xfId="16070" xr:uid="{01FB754B-E40E-4BC4-9A6C-4075E3E3ECF3}"/>
    <cellStyle name="Normal 2 2 86 5 3" xfId="16071" xr:uid="{B3F711FC-D451-467D-A9A7-C95D5C33D999}"/>
    <cellStyle name="Normal 2 2 86 5 4" xfId="16072" xr:uid="{18C45888-8772-48B5-8EC7-3495A6D353D0}"/>
    <cellStyle name="Normal 2 2 86 5 5" xfId="16073" xr:uid="{C2D635F0-81B9-4E9A-8C18-32A0A0764F15}"/>
    <cellStyle name="Normal 2 2 86 5 6" xfId="16074" xr:uid="{C91A1141-260E-476D-BB9D-5002CA7C0D4B}"/>
    <cellStyle name="Normal 2 2 86 6" xfId="16075" xr:uid="{FB8271EB-D85B-450A-AE50-9ED80EFE3EF3}"/>
    <cellStyle name="Normal 2 2 86 7" xfId="16076" xr:uid="{1836CFBF-ECEC-473E-AB0E-6449E886BA63}"/>
    <cellStyle name="Normal 2 2 86 8" xfId="16077" xr:uid="{A3D85680-403D-4970-9D36-F8B27AF717BF}"/>
    <cellStyle name="Normal 2 2 86 9" xfId="16078" xr:uid="{B01B83C8-2FB4-47DC-B951-EC592EE6DEE4}"/>
    <cellStyle name="Normal 2 2 87" xfId="16079" xr:uid="{B8A1D746-8262-4437-B85D-44CF5353DF04}"/>
    <cellStyle name="Normal 2 2 88" xfId="16080" xr:uid="{AAE8AE01-45E2-4EE0-930C-DBE68C27B867}"/>
    <cellStyle name="Normal 2 2 88 10" xfId="16081" xr:uid="{003FDC03-D175-4B16-A57F-7FC6C389C70F}"/>
    <cellStyle name="Normal 2 2 88 11" xfId="16082" xr:uid="{A2BDE570-0EB0-447A-8E74-15200FE6A3EA}"/>
    <cellStyle name="Normal 2 2 88 2" xfId="16083" xr:uid="{711FDFE2-8F3F-4726-A2BC-3E688A9C2A69}"/>
    <cellStyle name="Normal 2 2 88 2 10" xfId="16084" xr:uid="{1B8FD21E-C755-4229-8353-1DFB18E5515B}"/>
    <cellStyle name="Normal 2 2 88 2 11" xfId="16085" xr:uid="{DA1F0BE6-17A6-4476-8821-30828A07796B}"/>
    <cellStyle name="Normal 2 2 88 2 2" xfId="16086" xr:uid="{1D6E1210-4B96-4826-8477-DDDEBC615C8A}"/>
    <cellStyle name="Normal 2 2 88 2 2 2" xfId="16087" xr:uid="{05F422FC-61B2-403A-AC44-B90F54584FF2}"/>
    <cellStyle name="Normal 2 2 88 2 2 2 2" xfId="16088" xr:uid="{0D3D51E0-E679-41A0-955C-1C74CD2E3FC0}"/>
    <cellStyle name="Normal 2 2 88 2 2 2 3" xfId="16089" xr:uid="{F0A71EE1-227A-4F60-9EEE-1A1E23783E3A}"/>
    <cellStyle name="Normal 2 2 88 2 2 2 4" xfId="16090" xr:uid="{284A8171-4054-4D8F-A1F2-BB21A9E2E9A2}"/>
    <cellStyle name="Normal 2 2 88 2 2 3" xfId="16091" xr:uid="{BD3F9A9D-548E-43F8-9A21-390D497D7E1F}"/>
    <cellStyle name="Normal 2 2 88 2 2 4" xfId="16092" xr:uid="{5A334647-110B-4879-BE9B-6E5CF04B05BA}"/>
    <cellStyle name="Normal 2 2 88 2 2 5" xfId="16093" xr:uid="{C021032F-C003-42C4-A185-5C757B79906A}"/>
    <cellStyle name="Normal 2 2 88 2 2 6" xfId="16094" xr:uid="{9198F857-9979-4AAE-97D2-859BD5A43613}"/>
    <cellStyle name="Normal 2 2 88 2 3" xfId="16095" xr:uid="{2E88C1C0-6923-407E-8DB3-653FF8284BB4}"/>
    <cellStyle name="Normal 2 2 88 2 4" xfId="16096" xr:uid="{A1CA0A7B-D605-46D6-9EF9-890EF51A4F9F}"/>
    <cellStyle name="Normal 2 2 88 2 5" xfId="16097" xr:uid="{F8334348-E15C-44D9-AE44-FCF109E180FD}"/>
    <cellStyle name="Normal 2 2 88 2 6" xfId="16098" xr:uid="{73E94EA8-4746-4355-ACA1-0789DA2C7ACD}"/>
    <cellStyle name="Normal 2 2 88 2 7" xfId="16099" xr:uid="{44F963C3-0A87-4E3F-8187-FD0A4274FFE3}"/>
    <cellStyle name="Normal 2 2 88 2 8" xfId="16100" xr:uid="{D89E9A1F-AF56-4640-AD28-CDDF0650C652}"/>
    <cellStyle name="Normal 2 2 88 2 8 2" xfId="16101" xr:uid="{4F1FE41A-0BC6-45C9-B1F2-E7E1165FD133}"/>
    <cellStyle name="Normal 2 2 88 2 8 3" xfId="16102" xr:uid="{43F658F1-0091-4FBC-B035-70FA66DD931F}"/>
    <cellStyle name="Normal 2 2 88 2 8 4" xfId="16103" xr:uid="{4C30E357-DB10-400D-810A-488A1DB8F510}"/>
    <cellStyle name="Normal 2 2 88 2 9" xfId="16104" xr:uid="{940E88B9-D665-4B03-A056-0EEEE404BE21}"/>
    <cellStyle name="Normal 2 2 88 3" xfId="16105" xr:uid="{96F0A957-DA3A-4544-A864-843D460CC9CE}"/>
    <cellStyle name="Normal 2 2 88 3 2" xfId="16106" xr:uid="{AA0000E7-2988-4D2C-934E-A95914A1E84D}"/>
    <cellStyle name="Normal 2 2 88 3 2 2" xfId="16107" xr:uid="{EB062E4E-B220-4F01-907C-916726483E0B}"/>
    <cellStyle name="Normal 2 2 88 3 2 3" xfId="16108" xr:uid="{EB53B5EC-C423-4A54-9729-5EC893963DD5}"/>
    <cellStyle name="Normal 2 2 88 3 2 4" xfId="16109" xr:uid="{FE1F79C4-9A08-4A14-8609-C6F80AF3328D}"/>
    <cellStyle name="Normal 2 2 88 3 3" xfId="16110" xr:uid="{B35CFB2F-57E4-48C1-9655-2F2877556EB4}"/>
    <cellStyle name="Normal 2 2 88 3 4" xfId="16111" xr:uid="{E3F41D2C-DDFC-49AC-BB79-C9C274C061A4}"/>
    <cellStyle name="Normal 2 2 88 3 5" xfId="16112" xr:uid="{4846AB8F-E799-4456-B6CB-10BEF1576D26}"/>
    <cellStyle name="Normal 2 2 88 3 6" xfId="16113" xr:uid="{816CB4B6-0A49-47B3-9332-4C23112332C4}"/>
    <cellStyle name="Normal 2 2 88 4" xfId="16114" xr:uid="{6EAB5BB4-A048-49C1-A67A-41C2A87AB3A4}"/>
    <cellStyle name="Normal 2 2 88 5" xfId="16115" xr:uid="{1615CDBD-4B73-4156-933A-7EE36A1EF930}"/>
    <cellStyle name="Normal 2 2 88 6" xfId="16116" xr:uid="{C04F3C95-3BD1-40A4-AD1A-AF5E68C102F1}"/>
    <cellStyle name="Normal 2 2 88 7" xfId="16117" xr:uid="{0F352E3A-2250-4345-BE71-EF7DC770D8D2}"/>
    <cellStyle name="Normal 2 2 88 8" xfId="16118" xr:uid="{EC7A16C1-066B-45F5-944E-1244E288EF87}"/>
    <cellStyle name="Normal 2 2 88 8 2" xfId="16119" xr:uid="{2B4606F4-5C57-4282-9A0D-B667B7956A45}"/>
    <cellStyle name="Normal 2 2 88 8 3" xfId="16120" xr:uid="{4EA0373F-C9CE-4991-962B-D37B81DD2708}"/>
    <cellStyle name="Normal 2 2 88 8 4" xfId="16121" xr:uid="{90F16ADA-23D2-4755-8719-290FDB574158}"/>
    <cellStyle name="Normal 2 2 88 9" xfId="16122" xr:uid="{67F2E36E-E3A9-4717-9ED9-63796E57417A}"/>
    <cellStyle name="Normal 2 2 89" xfId="16123" xr:uid="{38A1CD08-1429-498F-8E58-101C6F25AF88}"/>
    <cellStyle name="Normal 2 2 9" xfId="16124" xr:uid="{BD41A6B9-275D-410E-9FC5-380FF8F7AE8F}"/>
    <cellStyle name="Normal 2 2 9 2" xfId="16125" xr:uid="{43A02575-3C8D-4339-9792-07E13247A351}"/>
    <cellStyle name="Normal 2 2 90" xfId="16126" xr:uid="{71B8FF1B-9ED5-43DD-83C3-52664E8B1A41}"/>
    <cellStyle name="Normal 2 2 90 2" xfId="16127" xr:uid="{ED0AE571-7101-43CB-B314-526E83996C09}"/>
    <cellStyle name="Normal 2 2 90 2 2" xfId="16128" xr:uid="{F46D1565-5E2D-4940-B14E-FB524A7DEAD8}"/>
    <cellStyle name="Normal 2 2 90 2 3" xfId="16129" xr:uid="{927A3B50-BA8F-4A0D-9DF7-DD3B53A609EC}"/>
    <cellStyle name="Normal 2 2 90 2 4" xfId="16130" xr:uid="{4119CBB8-17CD-43F2-AF4A-5B1733BA7E05}"/>
    <cellStyle name="Normal 2 2 90 3" xfId="16131" xr:uid="{3BD40212-B565-4845-BC56-B3D23C38E895}"/>
    <cellStyle name="Normal 2 2 90 4" xfId="16132" xr:uid="{5C2B2850-84E6-4DB9-82AE-E2DC0832ECBA}"/>
    <cellStyle name="Normal 2 2 90 5" xfId="16133" xr:uid="{C8EBA1A9-29E1-4063-836C-E4680958B3EF}"/>
    <cellStyle name="Normal 2 2 90 6" xfId="16134" xr:uid="{8A4D527D-485D-42AD-A5F1-66F4D96B66AA}"/>
    <cellStyle name="Normal 2 2 91" xfId="16135" xr:uid="{96EFC723-F5C4-4DCB-855E-D9982B0FEF99}"/>
    <cellStyle name="Normal 2 2 92" xfId="16136" xr:uid="{4299A584-0CE5-4181-A259-25F310A64F3D}"/>
    <cellStyle name="Normal 2 2 93" xfId="16137" xr:uid="{F7F28D9B-B982-4D1B-8FAE-14BF37FEEB3F}"/>
    <cellStyle name="Normal 2 2 94" xfId="16138" xr:uid="{5F67CA66-63C5-4108-81AD-D55A04C83A9E}"/>
    <cellStyle name="Normal 2 2 95" xfId="16139" xr:uid="{7FFE1B7F-BF42-4894-9F43-C7AEB2BCA70C}"/>
    <cellStyle name="Normal 2 2 96" xfId="16140" xr:uid="{BBA5D3F1-038D-4A02-9C3D-D7FE27310496}"/>
    <cellStyle name="Normal 2 2 96 2" xfId="16141" xr:uid="{724B83AE-7DE7-4E95-9605-59779286EB5B}"/>
    <cellStyle name="Normal 2 2 96 3" xfId="16142" xr:uid="{56837B2D-4ADB-4673-A5F5-4A740B055A34}"/>
    <cellStyle name="Normal 2 2 96 4" xfId="16143" xr:uid="{D953EE26-B5E9-4EE3-B199-A99AC16D7E24}"/>
    <cellStyle name="Normal 2 2 97" xfId="16144" xr:uid="{EC56A9D7-89BF-4442-8E8C-CEFF46E048A4}"/>
    <cellStyle name="Normal 2 2 98" xfId="16145" xr:uid="{E66970FE-83FE-4F4D-807B-98E6156F35F0}"/>
    <cellStyle name="Normal 2 2 99" xfId="16146" xr:uid="{490D6315-0EA6-45D1-B846-05666561B0D7}"/>
    <cellStyle name="Normal 2 2_Ch4 v2" xfId="16147" xr:uid="{D8460194-1ECB-45C4-9F90-040C8E17786D}"/>
    <cellStyle name="Normal 2 20" xfId="16148" xr:uid="{562779D9-9CFB-46E6-A117-2C822981BB3A}"/>
    <cellStyle name="Normal 2 20 2" xfId="16149" xr:uid="{4CD8053A-7EDF-4E48-8D67-574F4CA29955}"/>
    <cellStyle name="Normal 2 20 3" xfId="16150" xr:uid="{60918274-82B5-4C6C-845B-CA724AE25840}"/>
    <cellStyle name="Normal 2 20 4" xfId="16151" xr:uid="{00D4B7C0-C24E-41A9-B60E-B0C443CFC16C}"/>
    <cellStyle name="Normal 2 200" xfId="16152" xr:uid="{0DD5A375-7794-43F4-9C0A-656705EA96BB}"/>
    <cellStyle name="Normal 2 201" xfId="16153" xr:uid="{02D6D8E5-1F7C-42BE-8FFC-3AEDC54C528B}"/>
    <cellStyle name="Normal 2 202" xfId="16154" xr:uid="{1DE971C1-FE03-4352-8A94-663726D61A21}"/>
    <cellStyle name="Normal 2 203" xfId="16155" xr:uid="{31425E93-1D06-4580-AB73-5F38892ED176}"/>
    <cellStyle name="Normal 2 204" xfId="16156" xr:uid="{76FB93E2-CE8B-4953-B0B8-AC260D2D7BCB}"/>
    <cellStyle name="Normal 2 205" xfId="16157" xr:uid="{09E1C91A-606E-4082-9C00-9719B016AA4F}"/>
    <cellStyle name="Normal 2 206" xfId="16158" xr:uid="{BCCD4C71-9B7F-475B-923E-3F57F9C5F020}"/>
    <cellStyle name="Normal 2 207" xfId="16159" xr:uid="{91CBE526-E98A-4BEC-8FED-F61B6DBADA55}"/>
    <cellStyle name="Normal 2 208" xfId="16160" xr:uid="{77F5F8BE-B49F-4500-BBC7-19A611084A6A}"/>
    <cellStyle name="Normal 2 209" xfId="16161" xr:uid="{1BDBA435-25A3-40A7-B7A7-2E5D55B8AFC4}"/>
    <cellStyle name="Normal 2 21" xfId="16162" xr:uid="{878BE37F-3D95-44F3-BD10-17E9129FCF56}"/>
    <cellStyle name="Normal 2 21 2" xfId="16163" xr:uid="{C8114089-050F-42FE-AB06-3181F7BC068D}"/>
    <cellStyle name="Normal 2 21 3" xfId="16164" xr:uid="{FD02D422-2E52-43EF-B447-0528C049B29B}"/>
    <cellStyle name="Normal 2 21 4" xfId="16165" xr:uid="{0B3BB402-6446-4462-B81C-3ECF2B4006EB}"/>
    <cellStyle name="Normal 2 210" xfId="16166" xr:uid="{2A5B91BB-94C3-4294-AC7F-E287475E40C1}"/>
    <cellStyle name="Normal 2 211" xfId="16167" xr:uid="{09C955A4-4C54-4787-AAA0-E5DA55B9ED55}"/>
    <cellStyle name="Normal 2 212" xfId="16168" xr:uid="{49827865-06AE-4E0D-B6B6-3F35DBE188F5}"/>
    <cellStyle name="Normal 2 213" xfId="16169" xr:uid="{32C82748-8DDD-42DA-8F75-13263EA88D1E}"/>
    <cellStyle name="Normal 2 214" xfId="16170" xr:uid="{A9BEE28B-1D67-4007-9141-B2577E1A1B44}"/>
    <cellStyle name="Normal 2 215" xfId="16171" xr:uid="{99E36277-530B-4225-8014-2C5E84967AA1}"/>
    <cellStyle name="Normal 2 216" xfId="16172" xr:uid="{E99101E7-1AA3-44A3-8841-D0736EAB3E70}"/>
    <cellStyle name="Normal 2 217" xfId="16173" xr:uid="{02C9E3C9-0D6F-409F-B242-F37A3DE4E795}"/>
    <cellStyle name="Normal 2 218" xfId="16174" xr:uid="{D4F7887B-9F5E-48FF-9961-D0965FFECD61}"/>
    <cellStyle name="Normal 2 219" xfId="16175" xr:uid="{FCC910BF-E927-4061-835C-E17F34AAC991}"/>
    <cellStyle name="Normal 2 22" xfId="16176" xr:uid="{C1B04F34-3DFB-4D60-A0B3-4DD8D720306D}"/>
    <cellStyle name="Normal 2 22 2" xfId="16177" xr:uid="{DC5D2DB6-D069-44CC-9637-02FF40759A91}"/>
    <cellStyle name="Normal 2 22 3" xfId="16178" xr:uid="{F2C3DB75-BD56-4D16-956D-702801D8C94A}"/>
    <cellStyle name="Normal 2 22 4" xfId="16179" xr:uid="{64AFC265-8E55-434E-856E-2F3F27DE5425}"/>
    <cellStyle name="Normal 2 220" xfId="16180" xr:uid="{EC458488-0771-4DAB-AA00-17C1815371E8}"/>
    <cellStyle name="Normal 2 221" xfId="16181" xr:uid="{85511F41-35E6-452F-A484-F69C9654FF2F}"/>
    <cellStyle name="Normal 2 222" xfId="16182" xr:uid="{EA817F62-40DB-4FB9-8B88-845C0D3ADCA8}"/>
    <cellStyle name="Normal 2 223" xfId="16183" xr:uid="{C3608139-47AF-46EE-821B-190D58590ABA}"/>
    <cellStyle name="Normal 2 224" xfId="16184" xr:uid="{9667FAEA-5C54-4996-92B8-EC313429BE1B}"/>
    <cellStyle name="Normal 2 225" xfId="16185" xr:uid="{AE97A431-D211-4876-A02D-0808E6D7BB01}"/>
    <cellStyle name="Normal 2 226" xfId="16186" xr:uid="{699AA495-D9FA-4846-B483-E8346E0BC330}"/>
    <cellStyle name="Normal 2 227" xfId="16187" xr:uid="{9C86066F-4852-44B0-AA09-30AF565028D7}"/>
    <cellStyle name="Normal 2 228" xfId="16188" xr:uid="{B355BDB4-083F-43C8-B7CE-1BD9079623CD}"/>
    <cellStyle name="Normal 2 229" xfId="16189" xr:uid="{E6B43BF9-8FF5-417A-9177-5A3FAF21FB58}"/>
    <cellStyle name="Normal 2 23" xfId="16190" xr:uid="{6A590FCA-0787-4C5F-BC80-3B42EC859042}"/>
    <cellStyle name="Normal 2 23 2" xfId="16191" xr:uid="{BCEFA105-AD59-4EC1-A82E-634E815D43FD}"/>
    <cellStyle name="Normal 2 23 3" xfId="16192" xr:uid="{2E6DE723-F035-4385-88D2-2BBAA6D99BF2}"/>
    <cellStyle name="Normal 2 23 4" xfId="16193" xr:uid="{CA2D18A3-058E-46B9-8CFD-1B7047D03BA6}"/>
    <cellStyle name="Normal 2 230" xfId="16194" xr:uid="{5909ED87-91C0-4C08-9202-D718DF28607D}"/>
    <cellStyle name="Normal 2 231" xfId="16195" xr:uid="{061BB22B-5AF4-4641-971A-240176614F4F}"/>
    <cellStyle name="Normal 2 232" xfId="16196" xr:uid="{A12799D4-7567-47B4-A6CD-77F7FF90A321}"/>
    <cellStyle name="Normal 2 233" xfId="16197" xr:uid="{E105D791-FCC8-4885-AFF2-B3E814B13328}"/>
    <cellStyle name="Normal 2 234" xfId="16198" xr:uid="{D182D2BA-4BE2-45A3-A76C-56F057A9C934}"/>
    <cellStyle name="Normal 2 235" xfId="16199" xr:uid="{8323DCE8-853B-4ACA-8DCF-AFA5CD1FE014}"/>
    <cellStyle name="Normal 2 236" xfId="16200" xr:uid="{71C7034D-FA84-4508-99BB-B0A57993D867}"/>
    <cellStyle name="Normal 2 237" xfId="16201" xr:uid="{2DE62469-A1F5-4E0A-9071-07B38FC00D69}"/>
    <cellStyle name="Normal 2 238" xfId="16202" xr:uid="{630AF69D-F01E-4C0F-A06B-ED36F9E0E9A6}"/>
    <cellStyle name="Normal 2 239" xfId="16203" xr:uid="{F182AC74-B633-4C26-8473-AE87B3AD1C27}"/>
    <cellStyle name="Normal 2 24" xfId="16204" xr:uid="{34804176-CD4C-44D6-8532-1A599768DEF0}"/>
    <cellStyle name="Normal 2 24 2" xfId="16205" xr:uid="{745D16CD-1E94-4D90-8019-CE83081CDFE6}"/>
    <cellStyle name="Normal 2 24 3" xfId="16206" xr:uid="{905FC4C1-CED7-4B07-8358-2F2A6A05AF02}"/>
    <cellStyle name="Normal 2 240" xfId="16207" xr:uid="{0F02D09B-29E5-4B75-901F-BB7382690328}"/>
    <cellStyle name="Normal 2 241" xfId="16208" xr:uid="{A4D10EBE-60CF-4236-89FB-37CA80B891F7}"/>
    <cellStyle name="Normal 2 242" xfId="16209" xr:uid="{983438C2-25C5-4319-B9F9-28BBF8EDF108}"/>
    <cellStyle name="Normal 2 243" xfId="16210" xr:uid="{9215DC66-6109-49BA-8750-85D15206C3EC}"/>
    <cellStyle name="Normal 2 244" xfId="16211" xr:uid="{D1BB8724-8D9B-423D-B2A7-41A565DC0896}"/>
    <cellStyle name="Normal 2 245" xfId="16212" xr:uid="{E17CA02E-07D2-42FA-ABBE-1E86F4D6DD03}"/>
    <cellStyle name="Normal 2 246" xfId="5491" xr:uid="{039E103D-1F53-4405-A96E-325840A4E4C4}"/>
    <cellStyle name="Normal 2 247" xfId="415" xr:uid="{6CF511B4-B4D9-4344-B41C-6DB0A55D6D9B}"/>
    <cellStyle name="Normal 2 25" xfId="16213" xr:uid="{570759AE-AF79-43C8-94B9-3328692944C2}"/>
    <cellStyle name="Normal 2 25 2" xfId="16214" xr:uid="{E9783F2E-6F91-4FA9-98C7-490AE6A5F44F}"/>
    <cellStyle name="Normal 2 25 3" xfId="16215" xr:uid="{08954DBC-293E-46B2-BC82-44482B67723A}"/>
    <cellStyle name="Normal 2 26" xfId="16216" xr:uid="{85A8488D-4327-4EDA-B7B9-258356115C22}"/>
    <cellStyle name="Normal 2 26 2" xfId="16217" xr:uid="{B8C7C2CF-36D2-4A6C-A6AE-AB6CBFD60EBE}"/>
    <cellStyle name="Normal 2 26 3" xfId="16218" xr:uid="{FA40BD12-44CF-497E-852E-A0D20FC966B2}"/>
    <cellStyle name="Normal 2 27" xfId="16219" xr:uid="{F982BBAF-497F-44F4-9EB1-32F218A11977}"/>
    <cellStyle name="Normal 2 27 2" xfId="16220" xr:uid="{7D44C310-4B5C-4182-ABA2-DD4EE6550DAB}"/>
    <cellStyle name="Normal 2 27 3" xfId="16221" xr:uid="{13B0262D-7CC9-444B-91F4-39582806D979}"/>
    <cellStyle name="Normal 2 27 4" xfId="16222" xr:uid="{E5400668-2ECF-4BE9-B8CA-5E36C5B3C3D7}"/>
    <cellStyle name="Normal 2 28" xfId="16223" xr:uid="{F32B78A1-2243-4BD8-845A-CFE9EB5DE1E7}"/>
    <cellStyle name="Normal 2 28 2" xfId="16224" xr:uid="{8E03632A-532C-48B5-A26B-B4C81A355D7D}"/>
    <cellStyle name="Normal 2 28 3" xfId="16225" xr:uid="{42164229-26D3-4C80-94F5-9383915C75B6}"/>
    <cellStyle name="Normal 2 28 4" xfId="16226" xr:uid="{3EAE7E68-0943-4D8C-A4BC-C8E4E96A8F15}"/>
    <cellStyle name="Normal 2 29" xfId="16227" xr:uid="{ABE687DE-95D5-42F7-828B-E164C1352744}"/>
    <cellStyle name="Normal 2 29 2" xfId="16228" xr:uid="{A9020622-218E-4251-9A03-F066C60B80E9}"/>
    <cellStyle name="Normal 2 29 3" xfId="16229" xr:uid="{65CDF321-AB53-4C47-A30F-2D7DDFC12F43}"/>
    <cellStyle name="Normal 2 29 4" xfId="16230" xr:uid="{C2B0AED5-385D-4490-BD0B-F297A9723238}"/>
    <cellStyle name="Normal 2 3" xfId="165" xr:uid="{A68746FA-6391-4F2F-A48F-1EA806FB69E4}"/>
    <cellStyle name="Normal 2 3 10" xfId="16231" xr:uid="{C70AC576-9C35-4A76-9A4C-5441877D4267}"/>
    <cellStyle name="Normal 2 3 10 2" xfId="16232" xr:uid="{51C06D02-D0D0-4FAF-ACC4-E54E26877DEC}"/>
    <cellStyle name="Normal 2 3 10 3" xfId="16233" xr:uid="{5108D6EE-5A0E-4F84-BFC5-14E22C49A873}"/>
    <cellStyle name="Normal 2 3 10 3 2" xfId="16234" xr:uid="{A0ED2F4E-FD2F-4D7F-A2CE-4AB18F7BE348}"/>
    <cellStyle name="Normal 2 3 10 4" xfId="16235" xr:uid="{C5DCCE7F-E00C-40BA-B127-E5DE202B89F3}"/>
    <cellStyle name="Normal 2 3 10 5" xfId="356" xr:uid="{00359F6D-E214-4BF1-A6AD-A6DC4A266BB8}"/>
    <cellStyle name="Normal 2 3 10 5 2" xfId="16236" xr:uid="{39E573C3-D251-4834-9F6B-3A4C5282C115}"/>
    <cellStyle name="Normal 2 3 10 6" xfId="16237" xr:uid="{99D7A187-B45E-4605-93FB-4A1C742DCD32}"/>
    <cellStyle name="Normal 2 3 11" xfId="16238" xr:uid="{32DB6295-071B-4B0B-AB29-2A06AD75DBCC}"/>
    <cellStyle name="Normal 2 3 11 10" xfId="16239" xr:uid="{3C3C087F-21FC-4678-B0A5-FAE215CB351F}"/>
    <cellStyle name="Normal 2 3 11 11" xfId="16240" xr:uid="{98DD45C2-6C3D-4EDD-A9EC-0C46BF632EA0}"/>
    <cellStyle name="Normal 2 3 11 12" xfId="16241" xr:uid="{D77351F8-EC61-45D6-B081-38E704C4E30C}"/>
    <cellStyle name="Normal 2 3 11 13" xfId="16242" xr:uid="{F72A2155-3E8A-4FF0-AD0B-346BFFD7C3F9}"/>
    <cellStyle name="Normal 2 3 11 14" xfId="16243" xr:uid="{48AE21EB-B110-40E1-AD44-8E0963E69CF4}"/>
    <cellStyle name="Normal 2 3 11 2" xfId="16244" xr:uid="{E23E7E6F-6939-493C-BC6F-75E42F071418}"/>
    <cellStyle name="Normal 2 3 11 2 2" xfId="16245" xr:uid="{5FD2164F-3D8F-448C-B9C6-E5A5D8A6BE05}"/>
    <cellStyle name="Normal 2 3 11 2 2 2" xfId="16246" xr:uid="{9426CD2D-3896-46ED-A450-3E407B26ADE6}"/>
    <cellStyle name="Normal 2 3 11 2 2 2 2" xfId="16247" xr:uid="{D95BBDFC-AB36-40F0-A2D9-0F09410CCE9E}"/>
    <cellStyle name="Normal 2 3 11 2 2 2 3" xfId="16248" xr:uid="{C6A49CFC-A5F7-4F72-AAFB-58BF4AF8292E}"/>
    <cellStyle name="Normal 2 3 11 2 2 2 4" xfId="16249" xr:uid="{65C77BEA-A787-49E3-A95E-D984AAA72548}"/>
    <cellStyle name="Normal 2 3 11 2 2 2 5" xfId="16250" xr:uid="{B3854024-7CE4-4E07-B350-9A55045FA933}"/>
    <cellStyle name="Normal 2 3 11 2 2 2 6" xfId="16251" xr:uid="{0C18C1AC-6C00-441E-99CF-AB26A4E7FC31}"/>
    <cellStyle name="Normal 2 3 11 2 2 3" xfId="16252" xr:uid="{FEDDAB50-C5D0-46F5-A782-BFDE7FE8C26F}"/>
    <cellStyle name="Normal 2 3 11 2 2 4" xfId="16253" xr:uid="{B0FFB217-4897-4CFD-A58C-F03BE9530DD9}"/>
    <cellStyle name="Normal 2 3 11 2 2 5" xfId="16254" xr:uid="{882FD3CE-AC0C-4817-9F6E-2E305DE7550A}"/>
    <cellStyle name="Normal 2 3 11 2 2 6" xfId="16255" xr:uid="{020EDF74-EBDA-484D-A090-C4B50BF6C347}"/>
    <cellStyle name="Normal 2 3 11 2 3" xfId="16256" xr:uid="{E6807D33-5025-4B02-B173-1DF4C73C9E5C}"/>
    <cellStyle name="Normal 2 3 11 2 4" xfId="16257" xr:uid="{4C1FD03E-0B53-4EE3-A7C3-637A993C2FCF}"/>
    <cellStyle name="Normal 2 3 11 2 5" xfId="16258" xr:uid="{CD8EE805-5317-47E4-B76E-339AE8523D57}"/>
    <cellStyle name="Normal 2 3 11 2 6" xfId="16259" xr:uid="{FABC3694-8976-4F4B-B9BF-F4E981FD0641}"/>
    <cellStyle name="Normal 2 3 11 2 7" xfId="16260" xr:uid="{3F0603C4-8AA4-41F6-8B87-D1FA04FB8D9A}"/>
    <cellStyle name="Normal 2 3 11 2 8" xfId="16261" xr:uid="{7B80D8EF-5D5E-48B7-9F15-EC06CD6C7E58}"/>
    <cellStyle name="Normal 2 3 11 2 9" xfId="16262" xr:uid="{150BDCF4-F6A7-4A78-86D9-7389924AC6A9}"/>
    <cellStyle name="Normal 2 3 11 3" xfId="16263" xr:uid="{43529588-06EC-4D26-A797-A65B62E97EB3}"/>
    <cellStyle name="Normal 2 3 11 3 2" xfId="16264" xr:uid="{1A53778D-5778-4514-BB21-D11D743DAD5E}"/>
    <cellStyle name="Normal 2 3 11 3 2 2" xfId="16265" xr:uid="{13F8027E-FD0A-43F4-A660-4F6E303A1E32}"/>
    <cellStyle name="Normal 2 3 11 3 2 3" xfId="16266" xr:uid="{95F7D57C-CEDD-46D6-BD40-15558F8DFC44}"/>
    <cellStyle name="Normal 2 3 11 3 2 4" xfId="16267" xr:uid="{069E33D2-B10D-435C-A7B2-7E3CDE52D7A5}"/>
    <cellStyle name="Normal 2 3 11 3 2 5" xfId="16268" xr:uid="{78776681-EC3B-4116-BCB1-D1F348F07962}"/>
    <cellStyle name="Normal 2 3 11 3 2 6" xfId="16269" xr:uid="{83DEAF2B-D501-4B22-8655-74792BB4BFB0}"/>
    <cellStyle name="Normal 2 3 11 3 3" xfId="16270" xr:uid="{AE1BF8A2-9835-4727-9F8B-C3D322FD1CCA}"/>
    <cellStyle name="Normal 2 3 11 3 4" xfId="16271" xr:uid="{44B75D53-482B-4815-83AD-88D003DF732D}"/>
    <cellStyle name="Normal 2 3 11 3 5" xfId="16272" xr:uid="{2E0C0C6A-EB84-463C-B65D-CEEE353F4A8E}"/>
    <cellStyle name="Normal 2 3 11 3 6" xfId="16273" xr:uid="{91FFEA63-0B81-44E3-BE18-961E215BC9BB}"/>
    <cellStyle name="Normal 2 3 11 4" xfId="16274" xr:uid="{EA9612C6-E88B-4381-B2A4-F004397AC0D5}"/>
    <cellStyle name="Normal 2 3 11 5" xfId="16275" xr:uid="{6083973A-30ED-40A7-8258-CD7B5DDD8746}"/>
    <cellStyle name="Normal 2 3 11 6" xfId="16276" xr:uid="{72280F2D-8338-4874-B6FE-DA4298BCE914}"/>
    <cellStyle name="Normal 2 3 11 7" xfId="16277" xr:uid="{68561415-85EA-46E3-BD5D-D704AA54F6E3}"/>
    <cellStyle name="Normal 2 3 11 8" xfId="16278" xr:uid="{33267A5B-E1A5-450E-9940-993E7E3964FB}"/>
    <cellStyle name="Normal 2 3 11 9" xfId="16279" xr:uid="{3C731023-B315-4A76-88EF-2FA633683EDB}"/>
    <cellStyle name="Normal 2 3 12" xfId="16280" xr:uid="{7BD85A8D-BC1C-4D4F-9D5C-13E49AE7ECE4}"/>
    <cellStyle name="Normal 2 3 12 10" xfId="16281" xr:uid="{D624BEF6-E2C0-4456-9F6C-C8DE6DB2D2F2}"/>
    <cellStyle name="Normal 2 3 12 11" xfId="16282" xr:uid="{4C06BB88-91A4-4355-9420-780152FB63B4}"/>
    <cellStyle name="Normal 2 3 12 12" xfId="16283" xr:uid="{A4E6E709-DB85-417A-AE95-0F822DE4250F}"/>
    <cellStyle name="Normal 2 3 12 13" xfId="16284" xr:uid="{C5290B35-A157-4734-9B99-53EDDBC02FE9}"/>
    <cellStyle name="Normal 2 3 12 2" xfId="16285" xr:uid="{BB872551-CAFD-429A-B88D-46F17184AFA5}"/>
    <cellStyle name="Normal 2 3 12 2 2" xfId="16286" xr:uid="{60D8DD7F-AEA3-494A-844A-6E1D1C48F374}"/>
    <cellStyle name="Normal 2 3 12 2 3" xfId="16287" xr:uid="{8732085B-33B8-47D9-A4B7-F0651F2E9A55}"/>
    <cellStyle name="Normal 2 3 12 2 4" xfId="16288" xr:uid="{D5D7067A-709A-4B01-BA35-2F7209786F55}"/>
    <cellStyle name="Normal 2 3 12 2 5" xfId="16289" xr:uid="{D864AF5E-459D-4E73-8E0A-01EE76925C48}"/>
    <cellStyle name="Normal 2 3 12 3" xfId="16290" xr:uid="{01F7AAEE-DCCB-4639-8A1D-7C8F2DB54167}"/>
    <cellStyle name="Normal 2 3 12 3 2" xfId="16291" xr:uid="{F7B6D436-681D-4055-9B7C-FC570F3C8ECE}"/>
    <cellStyle name="Normal 2 3 12 3 3" xfId="16292" xr:uid="{ECF9E689-1488-492A-8509-A0A62773BC08}"/>
    <cellStyle name="Normal 2 3 12 3 4" xfId="16293" xr:uid="{5FD6C39F-7232-47A8-89A4-7266BD7156B6}"/>
    <cellStyle name="Normal 2 3 12 3 5" xfId="16294" xr:uid="{DF801BD3-5801-4346-8197-9E1C2BE20748}"/>
    <cellStyle name="Normal 2 3 12 4" xfId="16295" xr:uid="{60F2E83D-DF2B-4AEB-B6DE-2917A127E78D}"/>
    <cellStyle name="Normal 2 3 12 5" xfId="16296" xr:uid="{DF6C3C65-4BB9-4857-B828-BD493A32C203}"/>
    <cellStyle name="Normal 2 3 12 6" xfId="16297" xr:uid="{1685D198-D57D-4707-9466-3C394FE08B04}"/>
    <cellStyle name="Normal 2 3 12 7" xfId="16298" xr:uid="{4DAB1C4D-8830-4032-82D9-F535C863D0AF}"/>
    <cellStyle name="Normal 2 3 12 8" xfId="16299" xr:uid="{441B88F8-E80F-4F35-964B-B8C71B787773}"/>
    <cellStyle name="Normal 2 3 12 9" xfId="16300" xr:uid="{EABF3126-6BC2-4903-8180-E2189FFD218C}"/>
    <cellStyle name="Normal 2 3 13" xfId="16301" xr:uid="{8892C8EA-4D8C-4A1B-AA1D-C6DA393D7F9C}"/>
    <cellStyle name="Normal 2 3 13 2" xfId="16302" xr:uid="{9EA9E9E9-E5FA-4A42-8B84-42DD680FD96A}"/>
    <cellStyle name="Normal 2 3 13 3" xfId="16303" xr:uid="{29FB5F76-77DA-4F62-B92A-3812BBEE833E}"/>
    <cellStyle name="Normal 2 3 13 4" xfId="16304" xr:uid="{166714F7-3D84-4E48-B6F4-ED79598AEC3E}"/>
    <cellStyle name="Normal 2 3 13 5" xfId="16305" xr:uid="{B2ADC66F-CC1F-429A-BF81-B6EBCE0B7FC9}"/>
    <cellStyle name="Normal 2 3 13 6" xfId="16306" xr:uid="{23725087-0225-4078-8A8A-AD92D32BF08B}"/>
    <cellStyle name="Normal 2 3 14" xfId="16307" xr:uid="{EC95468E-5259-40A1-B6EB-2A0F25A6FB1E}"/>
    <cellStyle name="Normal 2 3 14 10" xfId="16308" xr:uid="{C1C4B695-41E9-41A5-A3D1-C236C7648701}"/>
    <cellStyle name="Normal 2 3 14 11" xfId="16309" xr:uid="{618F8C15-7F22-4828-B4E5-0F5A6F246CF3}"/>
    <cellStyle name="Normal 2 3 14 2" xfId="16310" xr:uid="{C0C46739-61A9-4FCF-B8BD-C4D071CC5AB0}"/>
    <cellStyle name="Normal 2 3 14 2 2" xfId="16311" xr:uid="{70A1FE3C-5734-4465-B56C-93A1EE2E7924}"/>
    <cellStyle name="Normal 2 3 14 2 3" xfId="16312" xr:uid="{FDF3E536-B473-4BFF-9538-3B8CA8EDF78C}"/>
    <cellStyle name="Normal 2 3 14 2 4" xfId="16313" xr:uid="{260E87AE-4141-4B14-978D-54E99B4EC294}"/>
    <cellStyle name="Normal 2 3 14 2 5" xfId="16314" xr:uid="{A22F39E3-B75B-4858-903C-744304C6A8B3}"/>
    <cellStyle name="Normal 2 3 14 2 6" xfId="16315" xr:uid="{234F7CF2-00AE-4ECC-857C-A6364E1BD71A}"/>
    <cellStyle name="Normal 2 3 14 3" xfId="16316" xr:uid="{B000F7C2-280B-4C73-84C7-7B133D5BA872}"/>
    <cellStyle name="Normal 2 3 14 4" xfId="16317" xr:uid="{53F3C962-28C5-403D-B50F-2CA97AABC0D5}"/>
    <cellStyle name="Normal 2 3 14 5" xfId="16318" xr:uid="{23EAC286-EC59-44E5-9351-8B59031C6C85}"/>
    <cellStyle name="Normal 2 3 14 6" xfId="16319" xr:uid="{E62F66AE-538C-471C-894F-93BC0DC65D95}"/>
    <cellStyle name="Normal 2 3 14 7" xfId="16320" xr:uid="{3812C20F-68CD-445E-90A1-6BFDB3B00CCA}"/>
    <cellStyle name="Normal 2 3 14 8" xfId="16321" xr:uid="{55C249BE-D6DB-4217-A4C3-EECC2A599C66}"/>
    <cellStyle name="Normal 2 3 14 9" xfId="16322" xr:uid="{23D81E20-DBF3-4AC0-B0B0-91B484D8C9CB}"/>
    <cellStyle name="Normal 2 3 15" xfId="16323" xr:uid="{B34ED176-FBB1-43AF-ACFD-CD995B8EEF72}"/>
    <cellStyle name="Normal 2 3 15 2" xfId="16324" xr:uid="{20AA51A9-2221-4C39-8A99-015DD118F312}"/>
    <cellStyle name="Normal 2 3 15 3" xfId="16325" xr:uid="{9D42A005-0FF8-4CBC-AB85-BDD9D8F41A60}"/>
    <cellStyle name="Normal 2 3 15 4" xfId="16326" xr:uid="{FB19633F-D59E-4AD5-9A87-7FFD5ECEA411}"/>
    <cellStyle name="Normal 2 3 15 5" xfId="16327" xr:uid="{FA2C6B0B-F6D3-4826-9952-BC05A602C4DD}"/>
    <cellStyle name="Normal 2 3 15 6" xfId="16328" xr:uid="{8B90A5AE-2A67-4374-A586-012105DD89D3}"/>
    <cellStyle name="Normal 2 3 16" xfId="16329" xr:uid="{9EFD0E0A-394C-4A90-B47A-A4D6B042F17F}"/>
    <cellStyle name="Normal 2 3 16 2" xfId="16330" xr:uid="{CF5B89E8-C53D-4669-A28E-510EE77330A6}"/>
    <cellStyle name="Normal 2 3 16 3" xfId="16331" xr:uid="{5EDF6BFB-E284-425D-A123-4FF02ADD8940}"/>
    <cellStyle name="Normal 2 3 16 4" xfId="16332" xr:uid="{BB9C65BB-4880-4E73-9B84-DC9BF5950036}"/>
    <cellStyle name="Normal 2 3 16 5" xfId="16333" xr:uid="{DA27A21F-32BE-4863-942F-543485A1D64C}"/>
    <cellStyle name="Normal 2 3 16 6" xfId="16334" xr:uid="{1075B2D9-38CB-4ADA-B664-0A9ADCA3D114}"/>
    <cellStyle name="Normal 2 3 17" xfId="16335" xr:uid="{EAF0D8F8-7568-4B12-9EB8-43920C45608F}"/>
    <cellStyle name="Normal 2 3 17 2" xfId="16336" xr:uid="{95F3BCEF-A62D-4A45-A616-F7FD67C2CFE4}"/>
    <cellStyle name="Normal 2 3 17 3" xfId="16337" xr:uid="{819D6BCE-2D60-4415-903C-1DC156E97A8B}"/>
    <cellStyle name="Normal 2 3 17 4" xfId="16338" xr:uid="{BEA4C2D5-E7AC-4985-909D-DD922AF19A60}"/>
    <cellStyle name="Normal 2 3 17 5" xfId="16339" xr:uid="{88614730-9246-4EFD-9C3A-D07E8258BAFF}"/>
    <cellStyle name="Normal 2 3 17 6" xfId="16340" xr:uid="{4B207AB7-5896-4486-94CB-5B0E40F5A9C4}"/>
    <cellStyle name="Normal 2 3 18" xfId="16341" xr:uid="{8672309F-B167-403D-B3E2-E46CF7773659}"/>
    <cellStyle name="Normal 2 3 18 2" xfId="16342" xr:uid="{5C3879F0-FC39-44D3-81C7-3F0B57B9D687}"/>
    <cellStyle name="Normal 2 3 18 3" xfId="16343" xr:uid="{FA71EAE6-73D0-489A-8726-481F79E1E6EB}"/>
    <cellStyle name="Normal 2 3 18 4" xfId="16344" xr:uid="{2046A4BF-6124-44DD-8D80-B4B03BC3FBA5}"/>
    <cellStyle name="Normal 2 3 18 5" xfId="16345" xr:uid="{AB4C02F2-C383-402E-9091-D00C51D5CD53}"/>
    <cellStyle name="Normal 2 3 18 6" xfId="16346" xr:uid="{500F9BE2-AA89-4B5B-82BF-4C1079630D69}"/>
    <cellStyle name="Normal 2 3 19" xfId="16347" xr:uid="{858B8EFA-0D01-4448-850C-90BA842FA3C4}"/>
    <cellStyle name="Normal 2 3 19 2" xfId="16348" xr:uid="{52F5817C-2819-4E43-8105-3CC12AFBDB07}"/>
    <cellStyle name="Normal 2 3 19 3" xfId="16349" xr:uid="{1E204104-35E0-4F65-BD83-42C274EAF716}"/>
    <cellStyle name="Normal 2 3 19 4" xfId="16350" xr:uid="{D1FA8B73-3C53-4548-9013-A2E9FFFD1E4D}"/>
    <cellStyle name="Normal 2 3 19 5" xfId="16351" xr:uid="{17E1ED84-1D40-497E-BA75-59F898E1D500}"/>
    <cellStyle name="Normal 2 3 19 6" xfId="16352" xr:uid="{E53F3BBD-0DC4-4FD1-8B48-D0CC33871CF7}"/>
    <cellStyle name="Normal 2 3 2" xfId="358" xr:uid="{2B7A7BEF-9A71-4D4C-AEDF-649D4C3DD920}"/>
    <cellStyle name="Normal 2 3 2 10" xfId="16354" xr:uid="{76D1C206-3000-4CA7-84AE-3219932C23E8}"/>
    <cellStyle name="Normal 2 3 2 10 2" xfId="16355" xr:uid="{8226762F-E85B-440E-B0C7-B1BEF7217200}"/>
    <cellStyle name="Normal 2 3 2 10 3" xfId="16356" xr:uid="{3DB2B771-05FE-4989-BB56-3A731DB425E6}"/>
    <cellStyle name="Normal 2 3 2 10 4" xfId="16357" xr:uid="{DA4115E2-DB3C-4750-8452-CEC12392A354}"/>
    <cellStyle name="Normal 2 3 2 10 5" xfId="16358" xr:uid="{22F86233-C0D1-42A5-A411-7E0B4E67F207}"/>
    <cellStyle name="Normal 2 3 2 10 6" xfId="16359" xr:uid="{9ADBA487-8284-472C-B025-05DAFCF48E0A}"/>
    <cellStyle name="Normal 2 3 2 11" xfId="16360" xr:uid="{0E9B5862-2640-4C2D-A869-9D821AE04FD5}"/>
    <cellStyle name="Normal 2 3 2 11 10" xfId="16361" xr:uid="{F0A720AF-59D8-4952-8F59-563A8EB6E004}"/>
    <cellStyle name="Normal 2 3 2 11 11" xfId="16362" xr:uid="{0D8AD8BF-29C2-4BAC-A001-36CB3830F51F}"/>
    <cellStyle name="Normal 2 3 2 11 12" xfId="16363" xr:uid="{EA9E1E01-3089-4941-A872-83F879D61CD1}"/>
    <cellStyle name="Normal 2 3 2 11 13" xfId="16364" xr:uid="{F4854C11-9D7D-45C1-846D-9737B91CEDF1}"/>
    <cellStyle name="Normal 2 3 2 11 14" xfId="16365" xr:uid="{2419713F-9BA7-4384-82C5-55243D7BF6C6}"/>
    <cellStyle name="Normal 2 3 2 11 2" xfId="16366" xr:uid="{A742F5BF-F0F3-4C81-BDA1-707ADE1C09FF}"/>
    <cellStyle name="Normal 2 3 2 11 2 2" xfId="16367" xr:uid="{73C06355-CE2D-44DD-86D7-2CB62105F2CF}"/>
    <cellStyle name="Normal 2 3 2 11 2 2 2" xfId="16368" xr:uid="{48EB1D29-1B4F-412F-B5CF-F71724621A18}"/>
    <cellStyle name="Normal 2 3 2 11 2 2 2 2" xfId="16369" xr:uid="{3EF5EF80-E5E7-4422-AF57-757FF9B88284}"/>
    <cellStyle name="Normal 2 3 2 11 2 2 2 3" xfId="16370" xr:uid="{614B0498-46B9-490D-BA85-DD83A9E295F1}"/>
    <cellStyle name="Normal 2 3 2 11 2 2 2 4" xfId="16371" xr:uid="{FD072B73-1C6E-4FDE-8D98-B66CAF355AE0}"/>
    <cellStyle name="Normal 2 3 2 11 2 2 2 5" xfId="16372" xr:uid="{0CC773A0-BAE1-4DCC-A3C9-3A8CDD199A1C}"/>
    <cellStyle name="Normal 2 3 2 11 2 2 2 6" xfId="16373" xr:uid="{56F4D018-D860-4D01-B262-5EAEC119793B}"/>
    <cellStyle name="Normal 2 3 2 11 2 2 3" xfId="16374" xr:uid="{975D982A-281F-4CD3-90E8-A94702CF146F}"/>
    <cellStyle name="Normal 2 3 2 11 2 2 4" xfId="16375" xr:uid="{9C458A08-1219-4275-9B52-244932BD3E0B}"/>
    <cellStyle name="Normal 2 3 2 11 2 2 5" xfId="16376" xr:uid="{BCEBC132-CAED-4812-9D92-E4A4E900D3D0}"/>
    <cellStyle name="Normal 2 3 2 11 2 2 6" xfId="16377" xr:uid="{C00906A6-F51D-45EB-8FEB-C19695E3DD77}"/>
    <cellStyle name="Normal 2 3 2 11 2 3" xfId="16378" xr:uid="{36D814D2-137B-4839-842D-99E192C51798}"/>
    <cellStyle name="Normal 2 3 2 11 2 4" xfId="16379" xr:uid="{7113E792-F301-43C4-BDB6-77E9FA68FFFA}"/>
    <cellStyle name="Normal 2 3 2 11 2 5" xfId="16380" xr:uid="{D8E38A29-94CB-452F-80E7-B7DA842B7826}"/>
    <cellStyle name="Normal 2 3 2 11 2 6" xfId="16381" xr:uid="{F1ADD122-4813-4B3A-852E-8DD34AA270A5}"/>
    <cellStyle name="Normal 2 3 2 11 2 7" xfId="16382" xr:uid="{12506BFF-D9ED-4C36-9275-51238AF1B1DB}"/>
    <cellStyle name="Normal 2 3 2 11 2 8" xfId="16383" xr:uid="{0AC3C508-D618-4AEB-9870-946C4090996A}"/>
    <cellStyle name="Normal 2 3 2 11 2 9" xfId="16384" xr:uid="{6C841CCC-3BC5-4A5C-AB93-2AB8951DB76E}"/>
    <cellStyle name="Normal 2 3 2 11 3" xfId="16385" xr:uid="{64828BF9-EB32-4A1D-A260-6202EC912BB6}"/>
    <cellStyle name="Normal 2 3 2 11 3 2" xfId="16386" xr:uid="{A4ECC267-1B6B-4DE3-AE0E-2312C2CCFBEE}"/>
    <cellStyle name="Normal 2 3 2 11 3 2 2" xfId="16387" xr:uid="{45F82130-B7D3-48ED-9508-40E821B8AC90}"/>
    <cellStyle name="Normal 2 3 2 11 3 2 3" xfId="16388" xr:uid="{A28D1AA1-359B-4948-9136-E67B7D523E9B}"/>
    <cellStyle name="Normal 2 3 2 11 3 2 4" xfId="16389" xr:uid="{4F0B9486-9D4A-46BB-BF79-9764DFC80290}"/>
    <cellStyle name="Normal 2 3 2 11 3 2 5" xfId="16390" xr:uid="{7063F84D-31E3-45F2-B339-A9DD901CDE58}"/>
    <cellStyle name="Normal 2 3 2 11 3 2 6" xfId="16391" xr:uid="{6D7EE7E3-3908-45C6-9444-DFAB1A82A7CD}"/>
    <cellStyle name="Normal 2 3 2 11 3 3" xfId="16392" xr:uid="{B5433793-B7E0-45A3-9057-753C1B44EFD7}"/>
    <cellStyle name="Normal 2 3 2 11 3 4" xfId="16393" xr:uid="{6961F9C7-79F2-426F-B4A7-575C0050F73B}"/>
    <cellStyle name="Normal 2 3 2 11 3 5" xfId="16394" xr:uid="{AE8A24D0-1ABB-4CCE-8C7E-D70AE0696373}"/>
    <cellStyle name="Normal 2 3 2 11 3 6" xfId="16395" xr:uid="{24BCB145-4B39-404D-862C-F832D12EB9E3}"/>
    <cellStyle name="Normal 2 3 2 11 4" xfId="16396" xr:uid="{DB124C2A-E214-440A-BD84-C5F3CCDE7EE3}"/>
    <cellStyle name="Normal 2 3 2 11 5" xfId="16397" xr:uid="{9BEEC16A-562B-4523-AF3F-75E9B929BFCB}"/>
    <cellStyle name="Normal 2 3 2 11 6" xfId="16398" xr:uid="{B51444C1-4668-4353-A9D2-E52AB560C92D}"/>
    <cellStyle name="Normal 2 3 2 11 7" xfId="16399" xr:uid="{9EE4AE38-2226-4957-91C5-B1DC1FDFBFBE}"/>
    <cellStyle name="Normal 2 3 2 11 8" xfId="16400" xr:uid="{E5C19433-E19C-48AE-8CD4-50909458AB11}"/>
    <cellStyle name="Normal 2 3 2 11 9" xfId="16401" xr:uid="{54C2E80F-C993-4772-8825-39AE44FE2928}"/>
    <cellStyle name="Normal 2 3 2 12" xfId="16402" xr:uid="{DF4F7D16-158A-4161-A203-F9AA1A62653B}"/>
    <cellStyle name="Normal 2 3 2 12 10" xfId="16403" xr:uid="{20790035-CD3E-424A-A2F4-EBDB076F46F3}"/>
    <cellStyle name="Normal 2 3 2 12 11" xfId="16404" xr:uid="{4125AECE-C524-4ED8-A59A-569ABB0C7CC4}"/>
    <cellStyle name="Normal 2 3 2 12 12" xfId="16405" xr:uid="{C7C4E8E4-FEFA-418C-8FB9-BD3CB2EAF85D}"/>
    <cellStyle name="Normal 2 3 2 12 13" xfId="16406" xr:uid="{3B33E815-FFBC-428C-86B3-9C98EC2B778B}"/>
    <cellStyle name="Normal 2 3 2 12 14" xfId="16407" xr:uid="{EECEEC20-1B6C-4F19-AFEB-E644B9036A74}"/>
    <cellStyle name="Normal 2 3 2 12 2" xfId="16408" xr:uid="{5F5AE077-934A-4901-9E92-640D21916251}"/>
    <cellStyle name="Normal 2 3 2 12 2 10" xfId="16409" xr:uid="{782A01F4-2AC9-4EDB-8516-EEA6F7141033}"/>
    <cellStyle name="Normal 2 3 2 12 2 11" xfId="16410" xr:uid="{27CDD12A-8DD7-49BC-B8AE-FBCA1929E816}"/>
    <cellStyle name="Normal 2 3 2 12 2 12" xfId="16411" xr:uid="{8E7B20F4-9BC4-439A-B616-4ABF722862AB}"/>
    <cellStyle name="Normal 2 3 2 12 2 13" xfId="16412" xr:uid="{588F88A8-9641-494D-8784-6497964F7F3F}"/>
    <cellStyle name="Normal 2 3 2 12 2 2" xfId="16413" xr:uid="{CA958BF3-8B10-4304-8CB4-1F8D81754FF9}"/>
    <cellStyle name="Normal 2 3 2 12 2 3" xfId="16414" xr:uid="{07A81B63-B128-4FC0-8AD4-42A280A95E16}"/>
    <cellStyle name="Normal 2 3 2 12 2 4" xfId="16415" xr:uid="{D8992A6F-F316-4C6B-BDCE-4882B9866F60}"/>
    <cellStyle name="Normal 2 3 2 12 2 5" xfId="16416" xr:uid="{C44C0956-ACB1-443D-A8F4-FD63E94160B0}"/>
    <cellStyle name="Normal 2 3 2 12 2 6" xfId="16417" xr:uid="{C6F1DDE6-BEF3-408A-816F-5E2582B182F6}"/>
    <cellStyle name="Normal 2 3 2 12 2 7" xfId="16418" xr:uid="{168E6D9E-2AF3-4AC6-99C2-474A8E32F6C7}"/>
    <cellStyle name="Normal 2 3 2 12 2 8" xfId="16419" xr:uid="{E00C9808-24DB-4D13-9542-2349CC9DBD7C}"/>
    <cellStyle name="Normal 2 3 2 12 2 9" xfId="16420" xr:uid="{A0C281E9-896B-4C53-8E9F-F39DAF9DCC8A}"/>
    <cellStyle name="Normal 2 3 2 12 3" xfId="16421" xr:uid="{60485BF5-6743-4661-B0AB-C47E1EED60BD}"/>
    <cellStyle name="Normal 2 3 2 12 3 2" xfId="16422" xr:uid="{20010B20-D0FF-46A2-A3C0-2A50527E095C}"/>
    <cellStyle name="Normal 2 3 2 12 3 3" xfId="16423" xr:uid="{062D29D2-5490-48E7-82F9-C1DD90C37D3E}"/>
    <cellStyle name="Normal 2 3 2 12 3 4" xfId="16424" xr:uid="{6A047B2A-4B3C-4B35-A494-111E62515D4B}"/>
    <cellStyle name="Normal 2 3 2 12 3 5" xfId="16425" xr:uid="{BD8A3FD0-F407-4274-AAAD-E4BABB759F43}"/>
    <cellStyle name="Normal 2 3 2 12 4" xfId="16426" xr:uid="{10CADCAE-7ED5-41A8-A56C-6521DAFD4759}"/>
    <cellStyle name="Normal 2 3 2 12 4 2" xfId="16427" xr:uid="{58715424-F128-4571-82F8-EB3F4E93DC23}"/>
    <cellStyle name="Normal 2 3 2 12 4 3" xfId="16428" xr:uid="{0BA7E6E4-7A24-47D2-9713-FCC941E5925C}"/>
    <cellStyle name="Normal 2 3 2 12 4 4" xfId="16429" xr:uid="{215ACF03-72CF-4AF7-9FBD-AD8B877DB1B0}"/>
    <cellStyle name="Normal 2 3 2 12 4 5" xfId="16430" xr:uid="{825BA3E6-E2DA-41E0-94FB-ED0445AECCE4}"/>
    <cellStyle name="Normal 2 3 2 12 5" xfId="16431" xr:uid="{E6323F75-4121-4796-A422-472D6C2BF0AD}"/>
    <cellStyle name="Normal 2 3 2 12 5 2" xfId="16432" xr:uid="{1F72F182-B5AA-409C-8348-4297098E45B7}"/>
    <cellStyle name="Normal 2 3 2 12 5 3" xfId="16433" xr:uid="{88BCF6CF-FAF2-4FE1-AE3D-53C98601E19C}"/>
    <cellStyle name="Normal 2 3 2 12 5 4" xfId="16434" xr:uid="{FF76CB61-8872-443F-8A84-42E4888D99F4}"/>
    <cellStyle name="Normal 2 3 2 12 5 5" xfId="16435" xr:uid="{C3AC8351-5D0B-41A8-AD93-6CD627CB6181}"/>
    <cellStyle name="Normal 2 3 2 12 6" xfId="16436" xr:uid="{6DA26682-F629-4D22-BDD3-EA0F5595D63A}"/>
    <cellStyle name="Normal 2 3 2 12 6 2" xfId="16437" xr:uid="{9BD5EC69-3552-41F7-B808-E424189A6150}"/>
    <cellStyle name="Normal 2 3 2 12 6 3" xfId="16438" xr:uid="{5EA1D808-3585-42C7-95E8-81ED20531D8F}"/>
    <cellStyle name="Normal 2 3 2 12 6 4" xfId="16439" xr:uid="{71B9BE33-0437-45EA-ABFE-81263E2C24D2}"/>
    <cellStyle name="Normal 2 3 2 12 6 5" xfId="16440" xr:uid="{F55EAE9D-F070-4857-9F2A-6D454CB375B2}"/>
    <cellStyle name="Normal 2 3 2 12 7" xfId="16441" xr:uid="{1AB390DB-7E99-4F00-B0EA-9FFFC7D26817}"/>
    <cellStyle name="Normal 2 3 2 12 7 2" xfId="16442" xr:uid="{B554D841-E4D7-4AAA-944E-520E25DBFBB3}"/>
    <cellStyle name="Normal 2 3 2 12 7 3" xfId="16443" xr:uid="{CFEA7FC5-45D6-406A-AF43-5490BAF6D308}"/>
    <cellStyle name="Normal 2 3 2 12 7 4" xfId="16444" xr:uid="{BD296037-8A41-491E-8472-7656DACC29CD}"/>
    <cellStyle name="Normal 2 3 2 12 7 5" xfId="16445" xr:uid="{BAE88C70-8590-4265-81B5-3C89143C3520}"/>
    <cellStyle name="Normal 2 3 2 12 8" xfId="16446" xr:uid="{C96234C1-855B-458D-9DA2-5FBE803435C9}"/>
    <cellStyle name="Normal 2 3 2 12 8 2" xfId="16447" xr:uid="{AAF9246F-8A01-4EB2-BAF5-4C926D71F487}"/>
    <cellStyle name="Normal 2 3 2 12 8 3" xfId="16448" xr:uid="{E1C51A34-FF73-4D68-9925-2B0B3A4E564B}"/>
    <cellStyle name="Normal 2 3 2 12 8 4" xfId="16449" xr:uid="{DACB7A4D-FECE-46F3-91ED-3B48C7A28513}"/>
    <cellStyle name="Normal 2 3 2 12 8 5" xfId="16450" xr:uid="{865C269F-6B20-4624-8E6B-C394EDCC81BF}"/>
    <cellStyle name="Normal 2 3 2 12 9" xfId="16451" xr:uid="{99D75409-DF15-42EE-A7D2-F00944516122}"/>
    <cellStyle name="Normal 2 3 2 12 9 2" xfId="16452" xr:uid="{9773ABE8-A8C6-4EFB-8675-E74F961E7C79}"/>
    <cellStyle name="Normal 2 3 2 12 9 3" xfId="16453" xr:uid="{F6D11DBB-5726-4C0A-9DFC-9327E1CF8762}"/>
    <cellStyle name="Normal 2 3 2 12 9 4" xfId="16454" xr:uid="{3DA1B0DE-ED81-4BB9-9308-A3D0B7300F6A}"/>
    <cellStyle name="Normal 2 3 2 12 9 5" xfId="16455" xr:uid="{63063F7D-C19D-48FE-BF4B-912234C76A9B}"/>
    <cellStyle name="Normal 2 3 2 13" xfId="16456" xr:uid="{81C9BACA-29F3-408D-90DC-159E15EB403E}"/>
    <cellStyle name="Normal 2 3 2 13 2" xfId="16457" xr:uid="{B1D7C0FD-937A-4A22-8CD3-1BAD01C79A4D}"/>
    <cellStyle name="Normal 2 3 2 13 3" xfId="16458" xr:uid="{68D232E0-AFCD-438A-A02C-290E47B1306E}"/>
    <cellStyle name="Normal 2 3 2 13 4" xfId="16459" xr:uid="{2F7E3729-D634-4AD8-94ED-D90F6E5B5C3C}"/>
    <cellStyle name="Normal 2 3 2 13 5" xfId="16460" xr:uid="{BEF888F6-9394-46C0-8866-E191F3AAE230}"/>
    <cellStyle name="Normal 2 3 2 13 6" xfId="16461" xr:uid="{566D8CDA-4EB1-448F-8BEE-81F21A2AFD4C}"/>
    <cellStyle name="Normal 2 3 2 14" xfId="16462" xr:uid="{3A19B8DC-A3DB-40EF-9E1F-525530BFED23}"/>
    <cellStyle name="Normal 2 3 2 14 10" xfId="16463" xr:uid="{E5B70B6A-3BF3-43CF-85D9-C5253BA7A8EF}"/>
    <cellStyle name="Normal 2 3 2 14 11" xfId="16464" xr:uid="{FE65FF14-21A2-4EBC-BD02-955F48C63873}"/>
    <cellStyle name="Normal 2 3 2 14 2" xfId="16465" xr:uid="{E243A852-33F6-4A06-A0BA-34B1333DDDB3}"/>
    <cellStyle name="Normal 2 3 2 14 2 2" xfId="16466" xr:uid="{BD21C050-D2E4-4CFC-AED0-C5CD5AF4D48F}"/>
    <cellStyle name="Normal 2 3 2 14 2 3" xfId="16467" xr:uid="{1F8FC87C-4461-42A1-B2A1-84218CC1E7AB}"/>
    <cellStyle name="Normal 2 3 2 14 2 4" xfId="16468" xr:uid="{94967092-4071-4EC7-A094-E8DFF396A1AA}"/>
    <cellStyle name="Normal 2 3 2 14 2 5" xfId="16469" xr:uid="{A10ACF6A-48D0-4851-8A47-5DEF594F601A}"/>
    <cellStyle name="Normal 2 3 2 14 2 6" xfId="16470" xr:uid="{24562999-8FBC-47EA-AEDD-70E07F7F4F7E}"/>
    <cellStyle name="Normal 2 3 2 14 3" xfId="16471" xr:uid="{FCDD881A-775C-47B6-885D-D0F5937922F8}"/>
    <cellStyle name="Normal 2 3 2 14 4" xfId="16472" xr:uid="{C736D7CB-029C-4DBF-8ECD-473CDB303E0B}"/>
    <cellStyle name="Normal 2 3 2 14 5" xfId="16473" xr:uid="{D7BA568B-9E77-4DEF-815A-9579DEE6802C}"/>
    <cellStyle name="Normal 2 3 2 14 6" xfId="16474" xr:uid="{F36C1F27-A368-40E0-9094-3037326343E3}"/>
    <cellStyle name="Normal 2 3 2 14 7" xfId="16475" xr:uid="{757EE640-272E-447A-9BFD-FACBB993FB3D}"/>
    <cellStyle name="Normal 2 3 2 14 8" xfId="16476" xr:uid="{84395128-CC71-4377-9273-337F116AC958}"/>
    <cellStyle name="Normal 2 3 2 14 9" xfId="16477" xr:uid="{67D73803-D441-4085-9826-80A615CBC844}"/>
    <cellStyle name="Normal 2 3 2 15" xfId="16478" xr:uid="{82D6F21F-317A-4025-B2F1-4A10A3EDDE8E}"/>
    <cellStyle name="Normal 2 3 2 15 2" xfId="16479" xr:uid="{1423EE80-50DE-47BE-AAB3-3DE5FB7908F0}"/>
    <cellStyle name="Normal 2 3 2 15 3" xfId="16480" xr:uid="{87776494-AACC-442A-A37F-D4B424567FB9}"/>
    <cellStyle name="Normal 2 3 2 15 4" xfId="16481" xr:uid="{E8407691-38F2-4161-A4A3-E82BA8B57941}"/>
    <cellStyle name="Normal 2 3 2 15 5" xfId="16482" xr:uid="{46D8C4E4-A17D-4B0E-A161-5CC43ACCE996}"/>
    <cellStyle name="Normal 2 3 2 15 6" xfId="16483" xr:uid="{3D7EB359-45F0-42B4-8F65-89EC918ED3CE}"/>
    <cellStyle name="Normal 2 3 2 16" xfId="16484" xr:uid="{A8BDB1CE-B9B1-4C1D-B48E-4500BDBF1BC6}"/>
    <cellStyle name="Normal 2 3 2 16 2" xfId="16485" xr:uid="{A76BC46B-ECFC-49F4-9A89-13E0C8B6A098}"/>
    <cellStyle name="Normal 2 3 2 16 3" xfId="16486" xr:uid="{0D47339F-EBB0-4246-AA94-68BC79618423}"/>
    <cellStyle name="Normal 2 3 2 16 4" xfId="16487" xr:uid="{3F72C57E-863A-49B8-A9B6-AF0D8FA1698C}"/>
    <cellStyle name="Normal 2 3 2 16 5" xfId="16488" xr:uid="{870CE1D2-E806-4D80-8C32-4A261F62C817}"/>
    <cellStyle name="Normal 2 3 2 16 6" xfId="16489" xr:uid="{CD2F9762-824A-4BB0-9E94-C7F2F7EA2FC3}"/>
    <cellStyle name="Normal 2 3 2 17" xfId="16490" xr:uid="{C6DDF3FF-DEF5-4D7D-86FE-372BCEF636FD}"/>
    <cellStyle name="Normal 2 3 2 17 2" xfId="16491" xr:uid="{EEE2827D-C7EF-48EF-AE81-2253F6438277}"/>
    <cellStyle name="Normal 2 3 2 17 3" xfId="16492" xr:uid="{85C0A082-2B3A-4193-ACDE-D1FE002EF6AF}"/>
    <cellStyle name="Normal 2 3 2 17 4" xfId="16493" xr:uid="{7C819982-E118-49D5-9337-7791667F8334}"/>
    <cellStyle name="Normal 2 3 2 17 5" xfId="16494" xr:uid="{B8124AC7-F00C-4F8B-B0EF-A7E2DFC39BA3}"/>
    <cellStyle name="Normal 2 3 2 17 6" xfId="16495" xr:uid="{1E04B4A4-EABA-496C-B5CF-B604CA3B7028}"/>
    <cellStyle name="Normal 2 3 2 18" xfId="16496" xr:uid="{2B81632E-CB5A-49A0-84A1-8AE3EFB930B3}"/>
    <cellStyle name="Normal 2 3 2 18 2" xfId="16497" xr:uid="{3B1E00B7-DADB-4FC4-A3EA-05145C4E1EDC}"/>
    <cellStyle name="Normal 2 3 2 18 3" xfId="16498" xr:uid="{C6895FB0-5369-4DAA-B0E8-D4F260DF1253}"/>
    <cellStyle name="Normal 2 3 2 18 4" xfId="16499" xr:uid="{87FDDFBE-6CD1-482D-AEA7-4F243469A282}"/>
    <cellStyle name="Normal 2 3 2 18 5" xfId="16500" xr:uid="{A591D101-B708-47FE-97AD-DA00B5D014F2}"/>
    <cellStyle name="Normal 2 3 2 18 6" xfId="16501" xr:uid="{5C401696-7E9C-454A-B239-310951D6DF15}"/>
    <cellStyle name="Normal 2 3 2 19" xfId="16502" xr:uid="{B0A2277C-C6C4-4B1D-A4AF-727D5151D6B8}"/>
    <cellStyle name="Normal 2 3 2 19 2" xfId="16503" xr:uid="{A697CC45-400E-4902-9322-54A3659CC62A}"/>
    <cellStyle name="Normal 2 3 2 19 3" xfId="16504" xr:uid="{240EA02C-BFC2-434D-B1D0-EA0A25DE8C7C}"/>
    <cellStyle name="Normal 2 3 2 19 4" xfId="16505" xr:uid="{1EFAEDCF-3DD3-49F5-A5A7-FFDBFBFCAB91}"/>
    <cellStyle name="Normal 2 3 2 19 5" xfId="16506" xr:uid="{3F644DE3-137A-4EC8-8461-4E531A17F0D3}"/>
    <cellStyle name="Normal 2 3 2 19 6" xfId="16507" xr:uid="{448C691C-FA84-421A-A68E-D2B8A273755B}"/>
    <cellStyle name="Normal 2 3 2 2" xfId="16508" xr:uid="{5DE9A6CC-9928-4B7C-A9C8-7CCE9E40C523}"/>
    <cellStyle name="Normal 2 3 2 2 10" xfId="16509" xr:uid="{C318F393-905C-4D62-B4FB-43D97415F0FF}"/>
    <cellStyle name="Normal 2 3 2 2 10 2" xfId="16510" xr:uid="{1B6AC37D-2179-4FFF-9396-7E14B0D1A418}"/>
    <cellStyle name="Normal 2 3 2 2 10 3" xfId="16511" xr:uid="{B7A645F1-057C-499E-9DFE-078CDE67FF2F}"/>
    <cellStyle name="Normal 2 3 2 2 10 4" xfId="16512" xr:uid="{BAC5C28B-2797-49F9-9A80-EFDDA945249F}"/>
    <cellStyle name="Normal 2 3 2 2 10 5" xfId="16513" xr:uid="{4A76E66A-D9BB-4F2A-94F8-0428CF71117A}"/>
    <cellStyle name="Normal 2 3 2 2 10 6" xfId="16514" xr:uid="{E4DFAFE0-0794-40B2-A03D-CE07D1DF95DD}"/>
    <cellStyle name="Normal 2 3 2 2 11" xfId="16515" xr:uid="{9578379B-EE6E-43FC-992A-CC0C4BBDF055}"/>
    <cellStyle name="Normal 2 3 2 2 11 2" xfId="16516" xr:uid="{C595FC3B-A41C-4A14-AD96-DB41B67872F4}"/>
    <cellStyle name="Normal 2 3 2 2 11 2 2" xfId="16517" xr:uid="{92E749D8-3C46-4BA4-8B2B-DA866A0F458C}"/>
    <cellStyle name="Normal 2 3 2 2 11 2 3" xfId="16518" xr:uid="{9C1EEE4D-38F5-455A-BA9A-C89AEA4C23E5}"/>
    <cellStyle name="Normal 2 3 2 2 11 2 4" xfId="16519" xr:uid="{507DC9D4-4F97-45D2-A82D-CB18E6C8C4C5}"/>
    <cellStyle name="Normal 2 3 2 2 11 2 5" xfId="16520" xr:uid="{AAA4339C-0CDE-4702-877A-A2F045695AB1}"/>
    <cellStyle name="Normal 2 3 2 2 11 2 6" xfId="16521" xr:uid="{8BFA21D8-D0ED-49FB-9434-564323069ACB}"/>
    <cellStyle name="Normal 2 3 2 2 11 3" xfId="16522" xr:uid="{8412CE87-DDE5-4DF7-A667-0DE4CF15E8C0}"/>
    <cellStyle name="Normal 2 3 2 2 11 4" xfId="16523" xr:uid="{21BBEE80-8E9C-4491-90A8-3190F6696467}"/>
    <cellStyle name="Normal 2 3 2 2 11 5" xfId="16524" xr:uid="{E906F174-6E38-4412-AC37-0C34F7E3E028}"/>
    <cellStyle name="Normal 2 3 2 2 11 6" xfId="16525" xr:uid="{537DC7A0-76D3-43B6-B5F5-98CAE11A46EF}"/>
    <cellStyle name="Normal 2 3 2 2 11 7" xfId="16526" xr:uid="{2EB78B80-070C-4F6A-9019-C0ABC8D2AB8E}"/>
    <cellStyle name="Normal 2 3 2 2 12" xfId="16527" xr:uid="{E3C21AD3-92E9-4A84-805F-BBA050F2C36F}"/>
    <cellStyle name="Normal 2 3 2 2 12 10" xfId="16528" xr:uid="{F4D9D0A2-5D43-4C45-B0E9-44990D74708A}"/>
    <cellStyle name="Normal 2 3 2 2 12 2" xfId="16529" xr:uid="{4ECFBD31-7787-4D36-8D97-319382E95BB9}"/>
    <cellStyle name="Normal 2 3 2 2 12 2 2" xfId="16530" xr:uid="{BC5B01DB-FEED-4BB5-91A0-65A581BCA97B}"/>
    <cellStyle name="Normal 2 3 2 2 12 2 3" xfId="16531" xr:uid="{39CC21B3-95AD-451E-BD5B-A87D50CE8A16}"/>
    <cellStyle name="Normal 2 3 2 2 12 2 4" xfId="16532" xr:uid="{AC909E17-9D9A-40DA-94AE-FCD9C0CA2DDF}"/>
    <cellStyle name="Normal 2 3 2 2 12 2 5" xfId="16533" xr:uid="{8B706759-D197-468B-BA77-652A4DDFA712}"/>
    <cellStyle name="Normal 2 3 2 2 12 2 6" xfId="16534" xr:uid="{505BC0FA-C6FE-4EE7-A83C-E1231482F5A9}"/>
    <cellStyle name="Normal 2 3 2 2 12 2 7" xfId="16535" xr:uid="{95134FCC-A50E-4AD3-BDBF-EF68C4016DD4}"/>
    <cellStyle name="Normal 2 3 2 2 12 2 8" xfId="16536" xr:uid="{1A677DE7-81AD-4F5D-B5BB-2271D5CB7F14}"/>
    <cellStyle name="Normal 2 3 2 2 12 2 9" xfId="16537" xr:uid="{52F8E2BE-9984-4084-A076-3C04C781F313}"/>
    <cellStyle name="Normal 2 3 2 2 12 3" xfId="16538" xr:uid="{B62387FB-6591-4B7F-9E37-9B7A492F1B93}"/>
    <cellStyle name="Normal 2 3 2 2 12 4" xfId="16539" xr:uid="{00BDCAFF-A1A0-4A41-9DE0-8872CB15B93D}"/>
    <cellStyle name="Normal 2 3 2 2 12 5" xfId="16540" xr:uid="{06606C70-2F28-4011-8E2C-7A861A65640F}"/>
    <cellStyle name="Normal 2 3 2 2 12 6" xfId="16541" xr:uid="{8FBD9C73-2BE7-4AE8-BE14-BA0D2CAB9249}"/>
    <cellStyle name="Normal 2 3 2 2 12 7" xfId="16542" xr:uid="{196E1613-6505-40AD-8DD8-3088D6EB76B2}"/>
    <cellStyle name="Normal 2 3 2 2 12 8" xfId="16543" xr:uid="{05735943-5832-4F2F-B102-45700E93EB3D}"/>
    <cellStyle name="Normal 2 3 2 2 12 9" xfId="16544" xr:uid="{FA4533DE-B7B9-484D-AAF8-DDF4F29E6792}"/>
    <cellStyle name="Normal 2 3 2 2 13" xfId="16545" xr:uid="{0B78D268-1667-4947-BC9E-87070F13D8EA}"/>
    <cellStyle name="Normal 2 3 2 2 13 2" xfId="16546" xr:uid="{E324EFC6-4335-4B84-98EF-FBE3DCB9D5D1}"/>
    <cellStyle name="Normal 2 3 2 2 14" xfId="16547" xr:uid="{B7C84F01-20C8-41EF-8248-3551285A17A6}"/>
    <cellStyle name="Normal 2 3 2 2 14 2" xfId="16548" xr:uid="{1DCB5C14-99AE-4D98-A8EE-8B2CFBD30EDA}"/>
    <cellStyle name="Normal 2 3 2 2 15" xfId="16549" xr:uid="{AFBA0EA8-1BBA-4C9E-A4B8-217FFE590BE3}"/>
    <cellStyle name="Normal 2 3 2 2 15 2" xfId="16550" xr:uid="{D4414DEE-6C9C-41AA-882A-4E69650B3D27}"/>
    <cellStyle name="Normal 2 3 2 2 16" xfId="16551" xr:uid="{96648C4F-6F5E-4B88-BDE6-CFD667EB6996}"/>
    <cellStyle name="Normal 2 3 2 2 16 2" xfId="16552" xr:uid="{FAF4A808-BF52-4DDB-8BE6-9550E0096840}"/>
    <cellStyle name="Normal 2 3 2 2 17" xfId="16553" xr:uid="{103B4BFE-2971-454E-A61A-6051A38E2C0D}"/>
    <cellStyle name="Normal 2 3 2 2 17 2" xfId="16554" xr:uid="{0A2A463A-7554-4A54-9F8C-069A6BA67734}"/>
    <cellStyle name="Normal 2 3 2 2 18" xfId="16555" xr:uid="{DA1494AC-DB01-41E6-829D-3A42E1331F49}"/>
    <cellStyle name="Normal 2 3 2 2 18 2" xfId="16556" xr:uid="{29DEE364-2A35-4988-800E-C1DF4ED69E5C}"/>
    <cellStyle name="Normal 2 3 2 2 19" xfId="16557" xr:uid="{996144E7-802D-4631-831F-89413B6214CF}"/>
    <cellStyle name="Normal 2 3 2 2 2" xfId="16558" xr:uid="{1ABABCD4-DCD0-47C2-AEA4-E6FBD2C8551A}"/>
    <cellStyle name="Normal 2 3 2 2 2 10" xfId="16559" xr:uid="{DB521A5D-A02C-43A6-99CD-B3DC76A957D2}"/>
    <cellStyle name="Normal 2 3 2 2 2 10 2" xfId="16560" xr:uid="{6634EFFA-D01E-4488-9F85-CB30B27209BB}"/>
    <cellStyle name="Normal 2 3 2 2 2 11" xfId="16561" xr:uid="{0AA7AA8E-537D-4425-B040-0885399D62DD}"/>
    <cellStyle name="Normal 2 3 2 2 2 11 2" xfId="16562" xr:uid="{5854908B-4D67-4B23-8341-C76AEC956BC4}"/>
    <cellStyle name="Normal 2 3 2 2 2 11 2 2" xfId="16563" xr:uid="{912AA3DC-F552-4836-A9CE-B5FC8DFDB4AB}"/>
    <cellStyle name="Normal 2 3 2 2 2 11 2 3" xfId="16564" xr:uid="{8D901EF4-F8CD-43A5-A7AA-36E65DCDFBE5}"/>
    <cellStyle name="Normal 2 3 2 2 2 11 2 4" xfId="16565" xr:uid="{55A5C206-4304-4388-AA0C-BF797E978D1E}"/>
    <cellStyle name="Normal 2 3 2 2 2 11 2 5" xfId="16566" xr:uid="{6F66EBCC-35DD-4DC7-9359-B1ADEE46E679}"/>
    <cellStyle name="Normal 2 3 2 2 2 11 2 6" xfId="16567" xr:uid="{A17EFC1A-4BD0-4955-889A-42FEB2EA802C}"/>
    <cellStyle name="Normal 2 3 2 2 2 11 3" xfId="16568" xr:uid="{48C01777-26A5-474B-8E6D-505DFFF3170B}"/>
    <cellStyle name="Normal 2 3 2 2 2 11 4" xfId="16569" xr:uid="{F76563A7-8BAE-4CAB-A37B-51AB2379039F}"/>
    <cellStyle name="Normal 2 3 2 2 2 11 5" xfId="16570" xr:uid="{2CAC4EA3-1FA4-4611-96FE-EB8DCD5E995C}"/>
    <cellStyle name="Normal 2 3 2 2 2 11 6" xfId="16571" xr:uid="{D9D9D728-13D0-4365-B8E4-9D84BE341437}"/>
    <cellStyle name="Normal 2 3 2 2 2 11 7" xfId="16572" xr:uid="{7B18528E-94C5-4307-8A09-E187E64E4AED}"/>
    <cellStyle name="Normal 2 3 2 2 2 12" xfId="16573" xr:uid="{F56514D2-CC5B-428C-9E66-0CDC420BF234}"/>
    <cellStyle name="Normal 2 3 2 2 2 12 2" xfId="16574" xr:uid="{5105E492-87DE-4510-B93B-EE41C7805F3D}"/>
    <cellStyle name="Normal 2 3 2 2 2 13" xfId="16575" xr:uid="{E4EEC359-561F-4B88-BD7D-E5A5C861E0BE}"/>
    <cellStyle name="Normal 2 3 2 2 2 13 2" xfId="16576" xr:uid="{47261483-DCF7-4CCC-9F65-986CE9F32F3F}"/>
    <cellStyle name="Normal 2 3 2 2 2 14" xfId="16577" xr:uid="{4C228C5F-260B-4190-AB9E-A4DB7A711CC1}"/>
    <cellStyle name="Normal 2 3 2 2 2 14 2" xfId="16578" xr:uid="{DE9C10B6-3033-44CC-B06C-CEB3EFA066BD}"/>
    <cellStyle name="Normal 2 3 2 2 2 15" xfId="16579" xr:uid="{E2F37DFB-58B7-4D24-8B50-404AFD02380C}"/>
    <cellStyle name="Normal 2 3 2 2 2 15 2" xfId="16580" xr:uid="{8282F43C-AB45-4BDD-A4C8-DC18B084AAE7}"/>
    <cellStyle name="Normal 2 3 2 2 2 16" xfId="16581" xr:uid="{7E658EF0-FD95-457E-A978-31F3DB372C41}"/>
    <cellStyle name="Normal 2 3 2 2 2 16 2" xfId="16582" xr:uid="{2A30DBA9-23B8-4891-832A-EE346A49CD23}"/>
    <cellStyle name="Normal 2 3 2 2 2 17" xfId="16583" xr:uid="{B908E5EF-70C5-4C45-B5E7-8EC995487758}"/>
    <cellStyle name="Normal 2 3 2 2 2 17 2" xfId="16584" xr:uid="{7E413F75-9ACC-40EA-A975-8D038358F2F7}"/>
    <cellStyle name="Normal 2 3 2 2 2 18" xfId="16585" xr:uid="{6A6482AB-F57E-4122-9A0C-12550577F159}"/>
    <cellStyle name="Normal 2 3 2 2 2 18 2" xfId="16586" xr:uid="{0DA8B32A-3C2B-4DE4-98B8-CAB01F51BB2F}"/>
    <cellStyle name="Normal 2 3 2 2 2 18 2 2" xfId="16587" xr:uid="{E7C0D1E2-38CD-4C85-93B3-36E693D11434}"/>
    <cellStyle name="Normal 2 3 2 2 2 18 2 2 2" xfId="16588" xr:uid="{D8035F0E-FBBE-46C1-90E0-817755C2C99E}"/>
    <cellStyle name="Normal 2 3 2 2 2 18 3" xfId="16589" xr:uid="{1B222E09-59FE-4BF2-93F5-6359845B1DF2}"/>
    <cellStyle name="Normal 2 3 2 2 2 18 4" xfId="16590" xr:uid="{A6467895-C8C1-4F07-A76C-A4D1720BAA62}"/>
    <cellStyle name="Normal 2 3 2 2 2 18 5" xfId="16591" xr:uid="{03AA8D13-5818-4D68-AF09-9FC19EA148BE}"/>
    <cellStyle name="Normal 2 3 2 2 2 18 6" xfId="16592" xr:uid="{E4620A36-977E-411B-B7B1-E9EC65EC448F}"/>
    <cellStyle name="Normal 2 3 2 2 2 18 7" xfId="16593" xr:uid="{9D1AE061-BC75-4CB8-AD0C-1437C531EE88}"/>
    <cellStyle name="Normal 2 3 2 2 2 19" xfId="16594" xr:uid="{9AA914F6-394F-43E2-A175-1385062214B2}"/>
    <cellStyle name="Normal 2 3 2 2 2 19 2" xfId="16595" xr:uid="{2C081B59-3D31-40BB-97CE-0C64048B583B}"/>
    <cellStyle name="Normal 2 3 2 2 2 19 2 2" xfId="16596" xr:uid="{3AB4E400-68DC-4B06-BDEC-29528EF07018}"/>
    <cellStyle name="Normal 2 3 2 2 2 2" xfId="16597" xr:uid="{8D059EA0-233D-4C0D-9F12-F6A32B2D5237}"/>
    <cellStyle name="Normal 2 3 2 2 2 2 10" xfId="16598" xr:uid="{D495A091-131A-4713-A325-37534E28E4BC}"/>
    <cellStyle name="Normal 2 3 2 2 2 2 10 2" xfId="16599" xr:uid="{1EF94D47-A569-48F9-AC8D-C3127E25B255}"/>
    <cellStyle name="Normal 2 3 2 2 2 2 11" xfId="16600" xr:uid="{67BAB6E7-BC61-47F6-BBCE-36C1D28716E2}"/>
    <cellStyle name="Normal 2 3 2 2 2 2 11 2" xfId="16601" xr:uid="{B887E470-5106-4AAE-ABE6-D6B672A59C67}"/>
    <cellStyle name="Normal 2 3 2 2 2 2 12" xfId="16602" xr:uid="{D3AB07C6-9C3C-4AF6-A92A-F41B2A098160}"/>
    <cellStyle name="Normal 2 3 2 2 2 2 12 2" xfId="16603" xr:uid="{36D8F362-799F-4D70-9D3A-262FA41E1B65}"/>
    <cellStyle name="Normal 2 3 2 2 2 2 13" xfId="16604" xr:uid="{35AD39FE-E292-4B7D-A3B5-5FD5E7A2A476}"/>
    <cellStyle name="Normal 2 3 2 2 2 2 13 2" xfId="16605" xr:uid="{F7B5BB6E-14A8-4F63-B723-BFBA65F4CCF3}"/>
    <cellStyle name="Normal 2 3 2 2 2 2 14" xfId="16606" xr:uid="{4A39EB6E-36A1-4D54-B430-0BABCEFD3C3E}"/>
    <cellStyle name="Normal 2 3 2 2 2 2 14 2" xfId="16607" xr:uid="{C2E34C73-3177-47FF-85E1-6FDE71590A3E}"/>
    <cellStyle name="Normal 2 3 2 2 2 2 15" xfId="16608" xr:uid="{3D5DB5DD-0B59-4723-8D47-381162E658E2}"/>
    <cellStyle name="Normal 2 3 2 2 2 2 15 2" xfId="16609" xr:uid="{4DAEFDFE-5A12-44E6-AC6C-30A355208505}"/>
    <cellStyle name="Normal 2 3 2 2 2 2 16" xfId="16610" xr:uid="{3D7CFF5D-F872-4CCB-9E3C-06E4ED52D0BC}"/>
    <cellStyle name="Normal 2 3 2 2 2 2 17" xfId="16611" xr:uid="{BA3DA511-0E1A-4E14-B46A-8171D70E4347}"/>
    <cellStyle name="Normal 2 3 2 2 2 2 18" xfId="16612" xr:uid="{D1250381-6A75-4CB9-8C97-05E288E932BB}"/>
    <cellStyle name="Normal 2 3 2 2 2 2 18 2" xfId="16613" xr:uid="{905148BB-5ABA-41CC-BCFB-3058356EA3D9}"/>
    <cellStyle name="Normal 2 3 2 2 2 2 18 2 2" xfId="16614" xr:uid="{7C5B4064-2848-459A-8AC4-ECF37D3D17A7}"/>
    <cellStyle name="Normal 2 3 2 2 2 2 18 2 2 2" xfId="16615" xr:uid="{6E7DFD9D-640E-4BAF-9C8E-6D88D5FBD347}"/>
    <cellStyle name="Normal 2 3 2 2 2 2 18 3" xfId="16616" xr:uid="{E439118A-9978-4C08-ADE0-456EE4D4EC36}"/>
    <cellStyle name="Normal 2 3 2 2 2 2 18 4" xfId="16617" xr:uid="{75B14C5D-A5DF-4368-ADC2-20129B82F1F0}"/>
    <cellStyle name="Normal 2 3 2 2 2 2 18 5" xfId="16618" xr:uid="{91E4C091-9594-4BFA-890E-25D4EED766B4}"/>
    <cellStyle name="Normal 2 3 2 2 2 2 18 6" xfId="16619" xr:uid="{BA61578B-568A-44D6-8A8F-961E217275A7}"/>
    <cellStyle name="Normal 2 3 2 2 2 2 19" xfId="16620" xr:uid="{F9717974-B69E-470B-9E2C-963CEAA2C17D}"/>
    <cellStyle name="Normal 2 3 2 2 2 2 19 2" xfId="16621" xr:uid="{3699D782-A69E-4D7D-B082-140F0851B27C}"/>
    <cellStyle name="Normal 2 3 2 2 2 2 19 2 2" xfId="16622" xr:uid="{4397BCAD-764F-48B1-B144-62AA1245F396}"/>
    <cellStyle name="Normal 2 3 2 2 2 2 2" xfId="16623" xr:uid="{8D7A859E-0EDE-49A8-87E9-382FE5312F98}"/>
    <cellStyle name="Normal 2 3 2 2 2 2 2 10" xfId="16624" xr:uid="{F72EA403-56B4-400B-9EF6-5A8C06736579}"/>
    <cellStyle name="Normal 2 3 2 2 2 2 2 10 2" xfId="16625" xr:uid="{DC41390E-D9FF-42DA-AA1C-A382D1785D46}"/>
    <cellStyle name="Normal 2 3 2 2 2 2 2 10 2 2" xfId="16626" xr:uid="{B42EA24D-4352-4BB0-8106-F7172F4E66FA}"/>
    <cellStyle name="Normal 2 3 2 2 2 2 2 10 2 2 2" xfId="16627" xr:uid="{79BA705A-4C6D-406D-B064-9285988E5173}"/>
    <cellStyle name="Normal 2 3 2 2 2 2 2 10 3" xfId="16628" xr:uid="{CBA62332-9A41-432E-ADD1-FFEAEC2EDA01}"/>
    <cellStyle name="Normal 2 3 2 2 2 2 2 10 4" xfId="16629" xr:uid="{E2D71075-A28C-4089-931C-ED8AFF26E449}"/>
    <cellStyle name="Normal 2 3 2 2 2 2 2 10 5" xfId="16630" xr:uid="{8906408F-F854-4D08-B12A-1A64FE1C3CF3}"/>
    <cellStyle name="Normal 2 3 2 2 2 2 2 10 6" xfId="16631" xr:uid="{AA5F46A1-D5C0-4289-BA0E-B7EB2200FBEB}"/>
    <cellStyle name="Normal 2 3 2 2 2 2 2 10 7" xfId="16632" xr:uid="{FF0961BF-CD0C-451F-B128-5DC5DF955B99}"/>
    <cellStyle name="Normal 2 3 2 2 2 2 2 11" xfId="16633" xr:uid="{0FAF363C-B083-4607-9DE3-1C8A50703CC5}"/>
    <cellStyle name="Normal 2 3 2 2 2 2 2 11 2" xfId="16634" xr:uid="{C5157B95-1FC6-4F22-BB3C-C471B8E45F54}"/>
    <cellStyle name="Normal 2 3 2 2 2 2 2 11 2 2" xfId="16635" xr:uid="{A95616DD-EB7B-4F06-8E2A-6B45CF9BB797}"/>
    <cellStyle name="Normal 2 3 2 2 2 2 2 11 3" xfId="16636" xr:uid="{ACDBC450-6BCD-43BE-AE23-EC9BD963A39D}"/>
    <cellStyle name="Normal 2 3 2 2 2 2 2 12" xfId="16637" xr:uid="{CE91658A-F022-4CA7-AC05-D40A1401396F}"/>
    <cellStyle name="Normal 2 3 2 2 2 2 2 12 2" xfId="16638" xr:uid="{05BAB11F-0C0F-43C8-9FFF-68EEE779262A}"/>
    <cellStyle name="Normal 2 3 2 2 2 2 2 13" xfId="16639" xr:uid="{FC8D1325-7960-4748-A309-30F85CB26608}"/>
    <cellStyle name="Normal 2 3 2 2 2 2 2 13 2" xfId="16640" xr:uid="{35C8F7F4-F4BC-4805-ADD8-E5EE99E570DA}"/>
    <cellStyle name="Normal 2 3 2 2 2 2 2 14" xfId="16641" xr:uid="{22066D1D-A8D8-40A1-B2CA-E93A44514FEB}"/>
    <cellStyle name="Normal 2 3 2 2 2 2 2 14 2" xfId="16642" xr:uid="{68798168-E84E-4080-9020-2122EB1D11E0}"/>
    <cellStyle name="Normal 2 3 2 2 2 2 2 15" xfId="16643" xr:uid="{D7A9E8BC-911B-49B7-93C0-A181F3799A21}"/>
    <cellStyle name="Normal 2 3 2 2 2 2 2 15 2" xfId="16644" xr:uid="{D62C26E4-D117-47AA-A5E4-55C93BA1A6E9}"/>
    <cellStyle name="Normal 2 3 2 2 2 2 2 16" xfId="16645" xr:uid="{A11342D2-E4A0-440C-B3BF-44A55755AFA8}"/>
    <cellStyle name="Normal 2 3 2 2 2 2 2 17" xfId="16646" xr:uid="{4DCB5048-ECD5-4D85-B1C2-7DE98500D191}"/>
    <cellStyle name="Normal 2 3 2 2 2 2 2 18" xfId="16647" xr:uid="{8CB76141-CEEF-4113-8B48-8F2E3D21D28E}"/>
    <cellStyle name="Normal 2 3 2 2 2 2 2 19" xfId="16648" xr:uid="{F22B8453-AF23-4E52-808F-E0459052B487}"/>
    <cellStyle name="Normal 2 3 2 2 2 2 2 2" xfId="16649" xr:uid="{709D1914-FE25-404D-A3EE-CF9112E4592C}"/>
    <cellStyle name="Normal 2 3 2 2 2 2 2 2 10" xfId="16650" xr:uid="{59E38642-A52A-4303-91F2-2C410747EECA}"/>
    <cellStyle name="Normal 2 3 2 2 2 2 2 2 10 2" xfId="16651" xr:uid="{562FF704-C78A-47FB-B62E-75982BD4FC61}"/>
    <cellStyle name="Normal 2 3 2 2 2 2 2 2 10 2 2" xfId="16652" xr:uid="{46FD9F2F-4087-481A-9DA8-1E2378278E84}"/>
    <cellStyle name="Normal 2 3 2 2 2 2 2 2 10 2 2 2" xfId="16653" xr:uid="{29B33B2F-C300-431D-B043-B5031561DE14}"/>
    <cellStyle name="Normal 2 3 2 2 2 2 2 2 10 3" xfId="16654" xr:uid="{BDCEB5AE-1487-492C-B330-EA2A22E60FB6}"/>
    <cellStyle name="Normal 2 3 2 2 2 2 2 2 10 4" xfId="16655" xr:uid="{99B79B2A-05CE-47BD-875D-03EEF510D343}"/>
    <cellStyle name="Normal 2 3 2 2 2 2 2 2 10 5" xfId="16656" xr:uid="{0C9826BF-00AE-45FE-9669-E71C5FAE1248}"/>
    <cellStyle name="Normal 2 3 2 2 2 2 2 2 10 6" xfId="16657" xr:uid="{2BE0175C-48B7-4731-9C55-CAB7F898508F}"/>
    <cellStyle name="Normal 2 3 2 2 2 2 2 2 10 7" xfId="16658" xr:uid="{73F111E0-07C3-4D49-8C2B-EA6E14D938CE}"/>
    <cellStyle name="Normal 2 3 2 2 2 2 2 2 11" xfId="16659" xr:uid="{81E1B43A-5E9F-40A1-BE53-F41878BE3641}"/>
    <cellStyle name="Normal 2 3 2 2 2 2 2 2 11 2" xfId="16660" xr:uid="{6D186F3D-8792-4939-A5FA-F8D276A5A7BC}"/>
    <cellStyle name="Normal 2 3 2 2 2 2 2 2 11 2 2" xfId="16661" xr:uid="{7B4D64D0-9519-47F3-BBBA-96EC84D9ECFF}"/>
    <cellStyle name="Normal 2 3 2 2 2 2 2 2 11 3" xfId="16662" xr:uid="{FAA4C7A9-395C-427E-BE49-CEA6F8DBC202}"/>
    <cellStyle name="Normal 2 3 2 2 2 2 2 2 12" xfId="16663" xr:uid="{13659D3B-7EF1-45C7-9A18-87732A7497AA}"/>
    <cellStyle name="Normal 2 3 2 2 2 2 2 2 12 2" xfId="16664" xr:uid="{4524510A-5799-40C4-AECB-5CF96E5AD04A}"/>
    <cellStyle name="Normal 2 3 2 2 2 2 2 2 13" xfId="16665" xr:uid="{32F0A09A-A692-48CA-A2D3-DEFE7755F06E}"/>
    <cellStyle name="Normal 2 3 2 2 2 2 2 2 14" xfId="16666" xr:uid="{890D1467-14D0-42ED-A2BE-06BB4F26D73D}"/>
    <cellStyle name="Normal 2 3 2 2 2 2 2 2 15" xfId="16667" xr:uid="{0452E8F8-7507-4DDC-BB85-14F057192853}"/>
    <cellStyle name="Normal 2 3 2 2 2 2 2 2 16" xfId="16668" xr:uid="{599B450B-5D62-4117-8181-30DE33DEFF25}"/>
    <cellStyle name="Normal 2 3 2 2 2 2 2 2 17" xfId="16669" xr:uid="{F2552531-AA97-4187-A0FD-B25B93E24DCA}"/>
    <cellStyle name="Normal 2 3 2 2 2 2 2 2 18" xfId="16670" xr:uid="{9D59892F-11F4-48DE-B6E9-513D7BBB77BD}"/>
    <cellStyle name="Normal 2 3 2 2 2 2 2 2 19" xfId="16671" xr:uid="{E8B6521E-249D-468F-9C02-91D297C411BE}"/>
    <cellStyle name="Normal 2 3 2 2 2 2 2 2 2" xfId="16672" xr:uid="{3A635303-6B1D-4B9D-A1D9-290D4ABFEFEB}"/>
    <cellStyle name="Normal 2 3 2 2 2 2 2 2 2 10" xfId="16673" xr:uid="{46C09B83-2189-4878-B6A2-D543C09349C5}"/>
    <cellStyle name="Normal 2 3 2 2 2 2 2 2 2 10 2" xfId="16674" xr:uid="{B4512830-AA83-4042-ADD5-DB722CEAE90E}"/>
    <cellStyle name="Normal 2 3 2 2 2 2 2 2 2 11" xfId="16675" xr:uid="{DE88E371-B989-42A0-BB50-CCFC1336A1D9}"/>
    <cellStyle name="Normal 2 3 2 2 2 2 2 2 2 11 2" xfId="16676" xr:uid="{EAF98DE7-CA29-4BCA-8B5E-8BD2E58A40DE}"/>
    <cellStyle name="Normal 2 3 2 2 2 2 2 2 2 12" xfId="16677" xr:uid="{001E5697-29A1-4A0D-97A6-FB2D7B8EAE6A}"/>
    <cellStyle name="Normal 2 3 2 2 2 2 2 2 2 12 2" xfId="16678" xr:uid="{C1326523-EF5B-4F87-A5F0-080C4F61BD19}"/>
    <cellStyle name="Normal 2 3 2 2 2 2 2 2 2 13" xfId="16679" xr:uid="{A2406162-9E5F-4B60-8E89-28FFC63C52C0}"/>
    <cellStyle name="Normal 2 3 2 2 2 2 2 2 2 13 10" xfId="16680" xr:uid="{59184741-D2BA-4787-8ECE-FAB963D6A8FA}"/>
    <cellStyle name="Normal 2 3 2 2 2 2 2 2 2 13 11" xfId="16681" xr:uid="{D99AF4C7-1ABC-4AD8-B238-9D45FA46289A}"/>
    <cellStyle name="Normal 2 3 2 2 2 2 2 2 2 13 12" xfId="16682" xr:uid="{EE424902-E6D8-4C30-87D3-35D7927ACA50}"/>
    <cellStyle name="Normal 2 3 2 2 2 2 2 2 2 13 13" xfId="16683" xr:uid="{5CFE7719-CBD7-4280-B303-1912041FFFFD}"/>
    <cellStyle name="Normal 2 3 2 2 2 2 2 2 2 13 14" xfId="16684" xr:uid="{B19C2436-375E-46B2-A49A-8027665196D0}"/>
    <cellStyle name="Normal 2 3 2 2 2 2 2 2 2 13 15" xfId="16685" xr:uid="{848A4D30-4482-410D-A076-96E1C251C699}"/>
    <cellStyle name="Normal 2 3 2 2 2 2 2 2 2 13 16" xfId="16686" xr:uid="{35DC24C4-A251-45FC-90BC-5A23CEDCF991}"/>
    <cellStyle name="Normal 2 3 2 2 2 2 2 2 2 13 2" xfId="16687" xr:uid="{F03B51F3-D999-4985-BBA1-1B7102585F31}"/>
    <cellStyle name="Normal 2 3 2 2 2 2 2 2 2 13 3" xfId="16688" xr:uid="{A2813CBE-45E2-4E8B-BB7E-D7512FEFF7A0}"/>
    <cellStyle name="Normal 2 3 2 2 2 2 2 2 2 13 4" xfId="16689" xr:uid="{95CF2111-AF1D-4E2F-A1E5-86A56ACFEB56}"/>
    <cellStyle name="Normal 2 3 2 2 2 2 2 2 2 13 5" xfId="16690" xr:uid="{1E1B9917-68BE-4F78-9F71-F590DEAD1913}"/>
    <cellStyle name="Normal 2 3 2 2 2 2 2 2 2 13 6" xfId="16691" xr:uid="{ACAC1742-8558-4A7C-B296-278F21FE0E94}"/>
    <cellStyle name="Normal 2 3 2 2 2 2 2 2 2 13 7" xfId="16692" xr:uid="{8993F25C-9640-47D4-B2BB-27E349001284}"/>
    <cellStyle name="Normal 2 3 2 2 2 2 2 2 2 13 8" xfId="16693" xr:uid="{A47D09B0-CF53-41FB-BF2E-4FA80CFF77EB}"/>
    <cellStyle name="Normal 2 3 2 2 2 2 2 2 2 13 9" xfId="16694" xr:uid="{404C4CA8-5743-437B-8024-A79A90286F51}"/>
    <cellStyle name="Normal 2 3 2 2 2 2 2 2 2 14" xfId="16695" xr:uid="{6B713597-792B-4E31-8F15-F41EE7300DEF}"/>
    <cellStyle name="Normal 2 3 2 2 2 2 2 2 2 15" xfId="16696" xr:uid="{CC5FF19D-D7E7-4F26-84FC-CBA94BF26266}"/>
    <cellStyle name="Normal 2 3 2 2 2 2 2 2 2 16" xfId="16697" xr:uid="{97A113FE-E9AB-4EE0-A18C-49F7E3D2DF6A}"/>
    <cellStyle name="Normal 2 3 2 2 2 2 2 2 2 17" xfId="16698" xr:uid="{2D5A6301-B9CE-4D44-9416-CE8EFE82192E}"/>
    <cellStyle name="Normal 2 3 2 2 2 2 2 2 2 18" xfId="16699" xr:uid="{D9DCB2D4-6FA3-473C-B276-642C957AE315}"/>
    <cellStyle name="Normal 2 3 2 2 2 2 2 2 2 19" xfId="16700" xr:uid="{C02067FD-BEE0-479F-8543-4F369FC967B9}"/>
    <cellStyle name="Normal 2 3 2 2 2 2 2 2 2 2" xfId="16701" xr:uid="{D64B020A-4924-4C05-92F8-F05E72088FB7}"/>
    <cellStyle name="Normal 2 3 2 2 2 2 2 2 2 2 10" xfId="16702" xr:uid="{91142960-A91D-499D-99A9-7C92888B0E9C}"/>
    <cellStyle name="Normal 2 3 2 2 2 2 2 2 2 2 11" xfId="16703" xr:uid="{6DF79743-0F60-4F71-8A92-449793C91D20}"/>
    <cellStyle name="Normal 2 3 2 2 2 2 2 2 2 2 12" xfId="16704" xr:uid="{9B99A719-C1B1-4711-B3CC-D68E6B0E4CF7}"/>
    <cellStyle name="Normal 2 3 2 2 2 2 2 2 2 2 12 10" xfId="16705" xr:uid="{79EAAE5C-3D18-4743-B2E4-F8BDFC06631A}"/>
    <cellStyle name="Normal 2 3 2 2 2 2 2 2 2 2 12 11" xfId="16706" xr:uid="{E289970B-9BEA-46EF-9EE3-AF926C00075F}"/>
    <cellStyle name="Normal 2 3 2 2 2 2 2 2 2 2 12 12" xfId="16707" xr:uid="{01FCAE00-AEF3-4C80-BCBF-869EBD836DAD}"/>
    <cellStyle name="Normal 2 3 2 2 2 2 2 2 2 2 12 13" xfId="16708" xr:uid="{73C5781A-F6EF-48D7-A2EC-F165A0120BA9}"/>
    <cellStyle name="Normal 2 3 2 2 2 2 2 2 2 2 12 14" xfId="16709" xr:uid="{2B31C196-7703-470E-9A88-A5128E9FDCAB}"/>
    <cellStyle name="Normal 2 3 2 2 2 2 2 2 2 2 12 15" xfId="16710" xr:uid="{B3F891A3-85FA-45F6-B900-5074306FAEC3}"/>
    <cellStyle name="Normal 2 3 2 2 2 2 2 2 2 2 12 16" xfId="16711" xr:uid="{B6111809-F397-46B7-8AF3-01E40723F874}"/>
    <cellStyle name="Normal 2 3 2 2 2 2 2 2 2 2 12 2" xfId="16712" xr:uid="{9150FCAA-3170-419A-B660-DD3273F66217}"/>
    <cellStyle name="Normal 2 3 2 2 2 2 2 2 2 2 12 3" xfId="16713" xr:uid="{DAF8510D-84BF-48B2-BE89-EC9B6C287EE5}"/>
    <cellStyle name="Normal 2 3 2 2 2 2 2 2 2 2 12 4" xfId="16714" xr:uid="{59554ED8-7A3F-42AC-A8DA-F9C9DD210AC1}"/>
    <cellStyle name="Normal 2 3 2 2 2 2 2 2 2 2 12 5" xfId="16715" xr:uid="{07E0D9E3-005F-4928-B9B0-A1B94E2EF0CB}"/>
    <cellStyle name="Normal 2 3 2 2 2 2 2 2 2 2 12 6" xfId="16716" xr:uid="{7F4ABB9A-941D-4446-928D-F7C89044D43A}"/>
    <cellStyle name="Normal 2 3 2 2 2 2 2 2 2 2 12 7" xfId="16717" xr:uid="{E55694BB-D752-4746-91F1-E284F7D12BD7}"/>
    <cellStyle name="Normal 2 3 2 2 2 2 2 2 2 2 12 8" xfId="16718" xr:uid="{A5662F25-F4C4-4C50-94CC-322ACC9F2A6D}"/>
    <cellStyle name="Normal 2 3 2 2 2 2 2 2 2 2 12 9" xfId="16719" xr:uid="{1B061EEF-12EB-41E7-B719-8FF82AC9F78B}"/>
    <cellStyle name="Normal 2 3 2 2 2 2 2 2 2 2 13" xfId="16720" xr:uid="{649CEDE7-0B3F-4411-9725-80BB33F861D5}"/>
    <cellStyle name="Normal 2 3 2 2 2 2 2 2 2 2 14" xfId="16721" xr:uid="{8C3D351E-574E-4984-8A37-C1EAFFEF80A4}"/>
    <cellStyle name="Normal 2 3 2 2 2 2 2 2 2 2 15" xfId="16722" xr:uid="{5B9F9B0E-4065-4489-B06B-D9F775FA8624}"/>
    <cellStyle name="Normal 2 3 2 2 2 2 2 2 2 2 16" xfId="16723" xr:uid="{E90C097A-2C3C-4C36-A53B-0C3C5B603750}"/>
    <cellStyle name="Normal 2 3 2 2 2 2 2 2 2 2 17" xfId="16724" xr:uid="{4B6BB426-60D7-49EC-AA06-574B1286C5BF}"/>
    <cellStyle name="Normal 2 3 2 2 2 2 2 2 2 2 18" xfId="16725" xr:uid="{7B06A175-8FEF-4BF6-A127-10E94673E100}"/>
    <cellStyle name="Normal 2 3 2 2 2 2 2 2 2 2 19" xfId="16726" xr:uid="{03EE3DB8-1EAA-4EFD-BAD4-6AC7D83E5E75}"/>
    <cellStyle name="Normal 2 3 2 2 2 2 2 2 2 2 2" xfId="16727" xr:uid="{B4DBF335-E7A0-491C-90EA-4B09D04FD626}"/>
    <cellStyle name="Normal 2 3 2 2 2 2 2 2 2 2 2 10" xfId="16728" xr:uid="{DB451A86-36D8-46F9-BBD9-91BC5FCDB82C}"/>
    <cellStyle name="Normal 2 3 2 2 2 2 2 2 2 2 2 10 10" xfId="16729" xr:uid="{003E40FE-0DAD-4094-B2AB-1A04E0F9F078}"/>
    <cellStyle name="Normal 2 3 2 2 2 2 2 2 2 2 2 10 11" xfId="16730" xr:uid="{D98C5732-5594-4A33-9A00-171FE533762B}"/>
    <cellStyle name="Normal 2 3 2 2 2 2 2 2 2 2 2 10 12" xfId="16731" xr:uid="{F154A253-389E-42E1-B9A0-A9AF88000298}"/>
    <cellStyle name="Normal 2 3 2 2 2 2 2 2 2 2 2 10 13" xfId="16732" xr:uid="{333DECAC-E3B1-46F6-9300-BE04D89509A1}"/>
    <cellStyle name="Normal 2 3 2 2 2 2 2 2 2 2 2 10 14" xfId="16733" xr:uid="{2AD6C721-A395-47EC-AEDC-0B8BE2D17CEA}"/>
    <cellStyle name="Normal 2 3 2 2 2 2 2 2 2 2 2 10 15" xfId="16734" xr:uid="{ADAA519E-4DFB-4CF8-BDC0-69EACA4C08C9}"/>
    <cellStyle name="Normal 2 3 2 2 2 2 2 2 2 2 2 10 16" xfId="16735" xr:uid="{6C99262D-2559-468D-BE46-513C61492F59}"/>
    <cellStyle name="Normal 2 3 2 2 2 2 2 2 2 2 2 10 2" xfId="16736" xr:uid="{86D59B02-EADF-48E6-B5AB-180B21595600}"/>
    <cellStyle name="Normal 2 3 2 2 2 2 2 2 2 2 2 10 3" xfId="16737" xr:uid="{42D4F4A2-865D-49CE-A7EC-35C03765A017}"/>
    <cellStyle name="Normal 2 3 2 2 2 2 2 2 2 2 2 10 4" xfId="16738" xr:uid="{0D280A82-1DCC-4527-B66F-8E9F9A314024}"/>
    <cellStyle name="Normal 2 3 2 2 2 2 2 2 2 2 2 10 5" xfId="16739" xr:uid="{EBBC4A64-58BC-4B68-96C5-F820008DC7EF}"/>
    <cellStyle name="Normal 2 3 2 2 2 2 2 2 2 2 2 10 6" xfId="16740" xr:uid="{4EA1CF81-7E04-4451-B2E6-D722400A4BEE}"/>
    <cellStyle name="Normal 2 3 2 2 2 2 2 2 2 2 2 10 7" xfId="16741" xr:uid="{59387F10-BFCF-414F-92BC-1D4AD47E0317}"/>
    <cellStyle name="Normal 2 3 2 2 2 2 2 2 2 2 2 10 8" xfId="16742" xr:uid="{B913F0A0-B346-4771-AA33-0A4ED2A1E139}"/>
    <cellStyle name="Normal 2 3 2 2 2 2 2 2 2 2 2 10 9" xfId="16743" xr:uid="{06A7FFCC-8BCE-4D09-9176-EB3234B7C164}"/>
    <cellStyle name="Normal 2 3 2 2 2 2 2 2 2 2 2 11" xfId="16744" xr:uid="{F7A44491-4086-4B51-AD65-F8AB183A4FAF}"/>
    <cellStyle name="Normal 2 3 2 2 2 2 2 2 2 2 2 12" xfId="16745" xr:uid="{AFED881A-49DA-43FF-92C6-891F03F1FAAB}"/>
    <cellStyle name="Normal 2 3 2 2 2 2 2 2 2 2 2 13" xfId="16746" xr:uid="{A62153A6-697B-4D92-B380-8A5F705D53F0}"/>
    <cellStyle name="Normal 2 3 2 2 2 2 2 2 2 2 2 14" xfId="16747" xr:uid="{D92CD51F-AE4E-4486-88C1-263BCCE606C1}"/>
    <cellStyle name="Normal 2 3 2 2 2 2 2 2 2 2 2 15" xfId="16748" xr:uid="{B2F88D69-0529-4AFE-812C-ABB461117ED2}"/>
    <cellStyle name="Normal 2 3 2 2 2 2 2 2 2 2 2 16" xfId="16749" xr:uid="{D6EA1324-1EB1-418D-BDEE-2F3A59E8352B}"/>
    <cellStyle name="Normal 2 3 2 2 2 2 2 2 2 2 2 17" xfId="16750" xr:uid="{3334F8FB-F486-4A7B-ACB6-F8645A333C7B}"/>
    <cellStyle name="Normal 2 3 2 2 2 2 2 2 2 2 2 17 2" xfId="16751" xr:uid="{E15618D3-49A4-4B63-ADBE-5E9413D8C9DC}"/>
    <cellStyle name="Normal 2 3 2 2 2 2 2 2 2 2 2 17 3" xfId="16752" xr:uid="{6C1A346E-89B8-497A-91E2-5F886C150D52}"/>
    <cellStyle name="Normal 2 3 2 2 2 2 2 2 2 2 2 17 4" xfId="16753" xr:uid="{157105DD-C825-47A5-8E47-7287D2D5889F}"/>
    <cellStyle name="Normal 2 3 2 2 2 2 2 2 2 2 2 17 5" xfId="16754" xr:uid="{F64B166C-2DEA-4858-BBF3-4B0B261D4A0E}"/>
    <cellStyle name="Normal 2 3 2 2 2 2 2 2 2 2 2 18" xfId="16755" xr:uid="{6DB58FAB-ED61-4B62-AA86-C8B2403DCF79}"/>
    <cellStyle name="Normal 2 3 2 2 2 2 2 2 2 2 2 19" xfId="16756" xr:uid="{3BE087C2-8B21-4F9E-9BBA-DB3F44D0CBEC}"/>
    <cellStyle name="Normal 2 3 2 2 2 2 2 2 2 2 2 2" xfId="16757" xr:uid="{C007464B-40CF-47DF-8769-48226BC93956}"/>
    <cellStyle name="Normal 2 3 2 2 2 2 2 2 2 2 2 2 10" xfId="16758" xr:uid="{15637823-B170-49CC-A631-215364803C0D}"/>
    <cellStyle name="Normal 2 3 2 2 2 2 2 2 2 2 2 2 11" xfId="16759" xr:uid="{7FDDA77E-7EA9-4CC9-8DF7-A8793DBD8936}"/>
    <cellStyle name="Normal 2 3 2 2 2 2 2 2 2 2 2 2 12" xfId="16760" xr:uid="{508B82D0-5103-406E-AE90-1DC4AE7F8817}"/>
    <cellStyle name="Normal 2 3 2 2 2 2 2 2 2 2 2 2 13" xfId="16761" xr:uid="{D6E2EFC2-383F-469A-839D-1C02F21ACBF2}"/>
    <cellStyle name="Normal 2 3 2 2 2 2 2 2 2 2 2 2 14" xfId="16762" xr:uid="{3AC8DFEF-5371-4ACA-9A08-519695DDC0E7}"/>
    <cellStyle name="Normal 2 3 2 2 2 2 2 2 2 2 2 2 15" xfId="16763" xr:uid="{60F3B4EB-381E-4B78-A8DC-680439FCDBE2}"/>
    <cellStyle name="Normal 2 3 2 2 2 2 2 2 2 2 2 2 16" xfId="16764" xr:uid="{703F2FEF-6FAE-42AE-8555-0B748C91A691}"/>
    <cellStyle name="Normal 2 3 2 2 2 2 2 2 2 2 2 2 17" xfId="16765" xr:uid="{F1188F90-CE84-4F84-ACD0-E3C1A0DBA5E7}"/>
    <cellStyle name="Normal 2 3 2 2 2 2 2 2 2 2 2 2 18" xfId="16766" xr:uid="{DCA75580-6181-4613-83F7-D0BE6BC76C63}"/>
    <cellStyle name="Normal 2 3 2 2 2 2 2 2 2 2 2 2 19" xfId="16767" xr:uid="{ECAA4DD4-99E3-4174-8B9F-BE6A20671477}"/>
    <cellStyle name="Normal 2 3 2 2 2 2 2 2 2 2 2 2 2" xfId="16768" xr:uid="{F6FA8F5E-EDA9-42C8-AA12-37A7695E920C}"/>
    <cellStyle name="Normal 2 3 2 2 2 2 2 2 2 2 2 2 2 10" xfId="16769" xr:uid="{04BDCB15-B1D6-41FC-B558-79642D45EF35}"/>
    <cellStyle name="Normal 2 3 2 2 2 2 2 2 2 2 2 2 2 11" xfId="16770" xr:uid="{9ED38460-9DD2-4F05-8BD0-9C0DA5AECE66}"/>
    <cellStyle name="Normal 2 3 2 2 2 2 2 2 2 2 2 2 2 12" xfId="16771" xr:uid="{E585DE48-9628-4D08-80F8-573351A21D30}"/>
    <cellStyle name="Normal 2 3 2 2 2 2 2 2 2 2 2 2 2 13" xfId="16772" xr:uid="{0F331A7F-955E-4F8B-A673-0E9C76CED115}"/>
    <cellStyle name="Normal 2 3 2 2 2 2 2 2 2 2 2 2 2 14" xfId="16773" xr:uid="{DE4B90CA-BBC8-4D02-9694-4367BC41D03B}"/>
    <cellStyle name="Normal 2 3 2 2 2 2 2 2 2 2 2 2 2 14 2" xfId="16774" xr:uid="{0A0FA4F0-63E1-4AC4-906B-52EDBC52D75E}"/>
    <cellStyle name="Normal 2 3 2 2 2 2 2 2 2 2 2 2 2 14 3" xfId="16775" xr:uid="{30ECEDCD-353A-4C7F-89FF-C1902703D15A}"/>
    <cellStyle name="Normal 2 3 2 2 2 2 2 2 2 2 2 2 2 14 4" xfId="16776" xr:uid="{1314B777-D639-4BA3-B257-00033CDD66A9}"/>
    <cellStyle name="Normal 2 3 2 2 2 2 2 2 2 2 2 2 2 14 5" xfId="16777" xr:uid="{E27097F7-B230-41F1-A33A-1F8A87265A5C}"/>
    <cellStyle name="Normal 2 3 2 2 2 2 2 2 2 2 2 2 2 15" xfId="16778" xr:uid="{ECD0C5B7-A5CC-4C70-8C09-3FC4E4E37E8E}"/>
    <cellStyle name="Normal 2 3 2 2 2 2 2 2 2 2 2 2 2 16" xfId="16779" xr:uid="{B39D02CB-9ECD-4918-9906-60717CB865E9}"/>
    <cellStyle name="Normal 2 3 2 2 2 2 2 2 2 2 2 2 2 17" xfId="16780" xr:uid="{4B5500BE-97F1-4B6A-A467-6932CE7A1220}"/>
    <cellStyle name="Normal 2 3 2 2 2 2 2 2 2 2 2 2 2 18" xfId="16781" xr:uid="{FF3C22F5-558B-48DC-8B0A-0DF4D59640FA}"/>
    <cellStyle name="Normal 2 3 2 2 2 2 2 2 2 2 2 2 2 19" xfId="16782" xr:uid="{250A303B-0E65-427F-AD96-402264F5C51A}"/>
    <cellStyle name="Normal 2 3 2 2 2 2 2 2 2 2 2 2 2 2" xfId="16783" xr:uid="{161ADF76-54C2-4063-9401-68D1D6237687}"/>
    <cellStyle name="Normal 2 3 2 2 2 2 2 2 2 2 2 2 2 2 10" xfId="16784" xr:uid="{286C09F3-28F4-4B0F-8F55-97672D3C6AF1}"/>
    <cellStyle name="Normal 2 3 2 2 2 2 2 2 2 2 2 2 2 2 11" xfId="16785" xr:uid="{DA293EC3-6361-49A5-ABF3-9E61ED20CAF0}"/>
    <cellStyle name="Normal 2 3 2 2 2 2 2 2 2 2 2 2 2 2 12" xfId="16786" xr:uid="{F2887F3A-4940-4247-8915-BAF59FA2A267}"/>
    <cellStyle name="Normal 2 3 2 2 2 2 2 2 2 2 2 2 2 2 13" xfId="16787" xr:uid="{8BB0D6D6-CC79-486D-A60F-17B6DC3633D7}"/>
    <cellStyle name="Normal 2 3 2 2 2 2 2 2 2 2 2 2 2 2 14" xfId="16788" xr:uid="{282AF4A9-FE12-4F85-A354-296A44AB810A}"/>
    <cellStyle name="Normal 2 3 2 2 2 2 2 2 2 2 2 2 2 2 15" xfId="16789" xr:uid="{0E96D6FD-10A1-4568-9582-1A6819407F5B}"/>
    <cellStyle name="Normal 2 3 2 2 2 2 2 2 2 2 2 2 2 2 16" xfId="16790" xr:uid="{6E2BEBBC-659A-4D2D-8EFF-1004C1F124C8}"/>
    <cellStyle name="Normal 2 3 2 2 2 2 2 2 2 2 2 2 2 2 17" xfId="16791" xr:uid="{1D7F09B4-97C7-4D5A-8ADB-202A8B14E8E1}"/>
    <cellStyle name="Normal 2 3 2 2 2 2 2 2 2 2 2 2 2 2 18" xfId="16792" xr:uid="{908CD8E2-BC89-4531-A763-BE19AF59BC14}"/>
    <cellStyle name="Normal 2 3 2 2 2 2 2 2 2 2 2 2 2 2 19" xfId="16793" xr:uid="{717E700A-C1F3-43F0-8F45-561A0D5AF04B}"/>
    <cellStyle name="Normal 2 3 2 2 2 2 2 2 2 2 2 2 2 2 2" xfId="16794" xr:uid="{F971F058-DFEE-4C6A-AFBE-50280C78E3F2}"/>
    <cellStyle name="Normal 2 3 2 2 2 2 2 2 2 2 2 2 2 2 2 10" xfId="16795" xr:uid="{40540D8A-A510-42C2-9B34-120C7E14C987}"/>
    <cellStyle name="Normal 2 3 2 2 2 2 2 2 2 2 2 2 2 2 2 11" xfId="16796" xr:uid="{DCBA7F6F-630D-4AF7-8AB9-D33F11349549}"/>
    <cellStyle name="Normal 2 3 2 2 2 2 2 2 2 2 2 2 2 2 2 12" xfId="16797" xr:uid="{F2EE9D71-59F9-4EEA-8135-A12F6BE28FFE}"/>
    <cellStyle name="Normal 2 3 2 2 2 2 2 2 2 2 2 2 2 2 2 13" xfId="16798" xr:uid="{83662193-7EC2-41F5-8FEF-85E81030BF3F}"/>
    <cellStyle name="Normal 2 3 2 2 2 2 2 2 2 2 2 2 2 2 2 14" xfId="16799" xr:uid="{5BB6AFF7-F6E9-4477-B04E-BB8A0C502931}"/>
    <cellStyle name="Normal 2 3 2 2 2 2 2 2 2 2 2 2 2 2 2 15" xfId="16800" xr:uid="{F8AE7E8D-ED24-44DA-9F50-D1F1400A78B2}"/>
    <cellStyle name="Normal 2 3 2 2 2 2 2 2 2 2 2 2 2 2 2 16" xfId="16801" xr:uid="{BE271E7E-ABE2-4B1C-BDE3-0A9F038B3614}"/>
    <cellStyle name="Normal 2 3 2 2 2 2 2 2 2 2 2 2 2 2 2 17" xfId="16802" xr:uid="{2BD6350D-1FAA-4165-A277-742EB257440F}"/>
    <cellStyle name="Normal 2 3 2 2 2 2 2 2 2 2 2 2 2 2 2 18" xfId="16803" xr:uid="{77A9711E-06D9-4CFA-BA3C-3BD7EBFB7E49}"/>
    <cellStyle name="Normal 2 3 2 2 2 2 2 2 2 2 2 2 2 2 2 19" xfId="16804" xr:uid="{DA9E0456-664D-4DAC-9B92-93BC50B37C8A}"/>
    <cellStyle name="Normal 2 3 2 2 2 2 2 2 2 2 2 2 2 2 2 2" xfId="16805" xr:uid="{4481A0D3-DF60-4524-AACF-72F19CC26601}"/>
    <cellStyle name="Normal 2 3 2 2 2 2 2 2 2 2 2 2 2 2 2 2 10" xfId="16806" xr:uid="{0F7E62DB-92EF-4677-A326-E5605FD8E015}"/>
    <cellStyle name="Normal 2 3 2 2 2 2 2 2 2 2 2 2 2 2 2 2 11" xfId="16807" xr:uid="{947DF19E-537F-4C6D-8A51-74EC196FFC74}"/>
    <cellStyle name="Normal 2 3 2 2 2 2 2 2 2 2 2 2 2 2 2 2 12" xfId="16808" xr:uid="{FF750473-3FF1-4F83-87A9-6253D1BCDC66}"/>
    <cellStyle name="Normal 2 3 2 2 2 2 2 2 2 2 2 2 2 2 2 2 13" xfId="16809" xr:uid="{E7FD8A1D-D6A6-4628-8738-C08D9E103EBE}"/>
    <cellStyle name="Normal 2 3 2 2 2 2 2 2 2 2 2 2 2 2 2 2 14" xfId="16810" xr:uid="{E8A11428-4C54-405C-B3AE-47B6C9A78190}"/>
    <cellStyle name="Normal 2 3 2 2 2 2 2 2 2 2 2 2 2 2 2 2 15" xfId="16811" xr:uid="{28A9E288-52AA-408A-836E-71CA2E0EB0CC}"/>
    <cellStyle name="Normal 2 3 2 2 2 2 2 2 2 2 2 2 2 2 2 2 16" xfId="16812" xr:uid="{2F9DB07F-5400-4C10-AA74-988F19D1B541}"/>
    <cellStyle name="Normal 2 3 2 2 2 2 2 2 2 2 2 2 2 2 2 2 2" xfId="16813" xr:uid="{0CDA6B4E-01A8-415C-92B8-16EFB93A00E1}"/>
    <cellStyle name="Normal 2 3 2 2 2 2 2 2 2 2 2 2 2 2 2 2 2 2" xfId="16814" xr:uid="{285748B8-C0D0-4497-B88E-DD59B27DA834}"/>
    <cellStyle name="Normal 2 3 2 2 2 2 2 2 2 2 2 2 2 2 2 2 3" xfId="16815" xr:uid="{06E294DD-7045-40B0-994B-21347FCF6E67}"/>
    <cellStyle name="Normal 2 3 2 2 2 2 2 2 2 2 2 2 2 2 2 2 4" xfId="16816" xr:uid="{70B6FDE1-0FDB-4652-AC0F-3C2BE2F217CC}"/>
    <cellStyle name="Normal 2 3 2 2 2 2 2 2 2 2 2 2 2 2 2 2 5" xfId="16817" xr:uid="{1C611C3F-BBA3-4ED1-AF39-CA9306EDD23B}"/>
    <cellStyle name="Normal 2 3 2 2 2 2 2 2 2 2 2 2 2 2 2 2 6" xfId="16818" xr:uid="{5FC47DC7-8B98-46AB-A4F7-1B8B20A5DFCB}"/>
    <cellStyle name="Normal 2 3 2 2 2 2 2 2 2 2 2 2 2 2 2 2 7" xfId="16819" xr:uid="{8BB70249-B731-4923-88FB-B7A9456CDDAD}"/>
    <cellStyle name="Normal 2 3 2 2 2 2 2 2 2 2 2 2 2 2 2 2 8" xfId="16820" xr:uid="{59B198C1-CE04-4155-AE17-D6B4FC44CA8B}"/>
    <cellStyle name="Normal 2 3 2 2 2 2 2 2 2 2 2 2 2 2 2 2 9" xfId="16821" xr:uid="{3502709B-FCD4-4719-B32F-C6B966EE7AFB}"/>
    <cellStyle name="Normal 2 3 2 2 2 2 2 2 2 2 2 2 2 2 2 20" xfId="16822" xr:uid="{9FC913B2-F419-439B-A5D2-3870A5592EC6}"/>
    <cellStyle name="Normal 2 3 2 2 2 2 2 2 2 2 2 2 2 2 2 21" xfId="16823" xr:uid="{FD4B6CFA-9BD7-4E59-BD98-41521D1C214C}"/>
    <cellStyle name="Normal 2 3 2 2 2 2 2 2 2 2 2 2 2 2 2 22" xfId="16824" xr:uid="{DE45916C-204E-433F-A371-0622E71D582A}"/>
    <cellStyle name="Normal 2 3 2 2 2 2 2 2 2 2 2 2 2 2 2 23" xfId="16825" xr:uid="{FDC80ABE-B73C-4227-9D17-8EEDBE74FEAA}"/>
    <cellStyle name="Normal 2 3 2 2 2 2 2 2 2 2 2 2 2 2 2 3" xfId="16826" xr:uid="{CB0361A9-F78F-4A0C-9014-557E5EEAA0EB}"/>
    <cellStyle name="Normal 2 3 2 2 2 2 2 2 2 2 2 2 2 2 2 4" xfId="16827" xr:uid="{E0FA2479-87BF-4677-BC7E-8A873198B747}"/>
    <cellStyle name="Normal 2 3 2 2 2 2 2 2 2 2 2 2 2 2 2 5" xfId="16828" xr:uid="{000FF6F5-3AAC-4AB9-A5AF-513E6AD4C756}"/>
    <cellStyle name="Normal 2 3 2 2 2 2 2 2 2 2 2 2 2 2 2 6" xfId="16829" xr:uid="{3DC75FF3-5895-4BC3-9C49-E125DE1DC5A7}"/>
    <cellStyle name="Normal 2 3 2 2 2 2 2 2 2 2 2 2 2 2 2 7" xfId="16830" xr:uid="{1DF3F2BF-FB57-45EC-8DB3-E009D4BE02F0}"/>
    <cellStyle name="Normal 2 3 2 2 2 2 2 2 2 2 2 2 2 2 2 8" xfId="16831" xr:uid="{F562B3C8-51B7-462C-BF6F-F98407F7949D}"/>
    <cellStyle name="Normal 2 3 2 2 2 2 2 2 2 2 2 2 2 2 2 9" xfId="16832" xr:uid="{48013F87-53B5-44D3-A4C1-117505833670}"/>
    <cellStyle name="Normal 2 3 2 2 2 2 2 2 2 2 2 2 2 2 20" xfId="16833" xr:uid="{4A8A1999-1945-4709-AE91-C8FB8F1D7FC4}"/>
    <cellStyle name="Normal 2 3 2 2 2 2 2 2 2 2 2 2 2 2 21" xfId="16834" xr:uid="{05921788-B8B6-4EE5-99C8-A4D4D8F96305}"/>
    <cellStyle name="Normal 2 3 2 2 2 2 2 2 2 2 2 2 2 2 22" xfId="16835" xr:uid="{1CF0C90A-A3B7-4EE4-ADF4-90F1770FC9B4}"/>
    <cellStyle name="Normal 2 3 2 2 2 2 2 2 2 2 2 2 2 2 23" xfId="16836" xr:uid="{2DD52598-7D91-4E4A-B9A5-B63E2EEAAC8A}"/>
    <cellStyle name="Normal 2 3 2 2 2 2 2 2 2 2 2 2 2 2 24" xfId="16837" xr:uid="{F8094C0A-10F5-414A-A560-ADCDDD371F31}"/>
    <cellStyle name="Normal 2 3 2 2 2 2 2 2 2 2 2 2 2 2 25" xfId="16838" xr:uid="{90B07003-4ACF-47C7-8BE3-7366EEE3C7B2}"/>
    <cellStyle name="Normal 2 3 2 2 2 2 2 2 2 2 2 2 2 2 26" xfId="16839" xr:uid="{D045C499-FD04-47EE-9ECC-D31110742ADC}"/>
    <cellStyle name="Normal 2 3 2 2 2 2 2 2 2 2 2 2 2 2 27" xfId="16840" xr:uid="{CBCC9645-D6CE-4884-B40D-63B74686270F}"/>
    <cellStyle name="Normal 2 3 2 2 2 2 2 2 2 2 2 2 2 2 3" xfId="16841" xr:uid="{C6979933-F545-4A34-89A4-44FFDBEB5B9C}"/>
    <cellStyle name="Normal 2 3 2 2 2 2 2 2 2 2 2 2 2 2 4" xfId="16842" xr:uid="{6B6E1124-AD6F-41E0-B6EB-1A6F5E2C6D4B}"/>
    <cellStyle name="Normal 2 3 2 2 2 2 2 2 2 2 2 2 2 2 5" xfId="16843" xr:uid="{E02DFC2B-B86E-4E3A-A09E-75381E6E80E6}"/>
    <cellStyle name="Normal 2 3 2 2 2 2 2 2 2 2 2 2 2 2 6" xfId="16844" xr:uid="{68EC26E5-8722-41F2-BD28-64E65B08F08D}"/>
    <cellStyle name="Normal 2 3 2 2 2 2 2 2 2 2 2 2 2 2 7" xfId="16845" xr:uid="{7711A988-3BF8-4532-B923-E5C9B49F4687}"/>
    <cellStyle name="Normal 2 3 2 2 2 2 2 2 2 2 2 2 2 2 7 10" xfId="16846" xr:uid="{AA885E03-CDD6-40E7-859F-645139F6E6F8}"/>
    <cellStyle name="Normal 2 3 2 2 2 2 2 2 2 2 2 2 2 2 7 11" xfId="16847" xr:uid="{47875EA9-3FD6-4AA0-A8AB-01668F8F45D3}"/>
    <cellStyle name="Normal 2 3 2 2 2 2 2 2 2 2 2 2 2 2 7 12" xfId="16848" xr:uid="{9C4F042D-DA52-457F-9DAF-F2BBEF496CA3}"/>
    <cellStyle name="Normal 2 3 2 2 2 2 2 2 2 2 2 2 2 2 7 13" xfId="16849" xr:uid="{35AD9FC2-A054-4CFD-B5D8-F5A405561CE1}"/>
    <cellStyle name="Normal 2 3 2 2 2 2 2 2 2 2 2 2 2 2 7 14" xfId="16850" xr:uid="{081D567D-5ED1-42BA-8C28-A4113B8873E2}"/>
    <cellStyle name="Normal 2 3 2 2 2 2 2 2 2 2 2 2 2 2 7 15" xfId="16851" xr:uid="{EB3C9DE1-A31F-4880-BC76-0035EAC9B202}"/>
    <cellStyle name="Normal 2 3 2 2 2 2 2 2 2 2 2 2 2 2 7 16" xfId="16852" xr:uid="{F65573E9-6B6C-4B38-B196-1CADB61DDB28}"/>
    <cellStyle name="Normal 2 3 2 2 2 2 2 2 2 2 2 2 2 2 7 2" xfId="16853" xr:uid="{3B380EB8-53F7-495B-882E-5E808ECDD6A5}"/>
    <cellStyle name="Normal 2 3 2 2 2 2 2 2 2 2 2 2 2 2 7 3" xfId="16854" xr:uid="{1013B437-A1FC-4FD5-9386-354ED0B5E1BC}"/>
    <cellStyle name="Normal 2 3 2 2 2 2 2 2 2 2 2 2 2 2 7 4" xfId="16855" xr:uid="{C411EB47-61BA-42B5-9662-345987651BA7}"/>
    <cellStyle name="Normal 2 3 2 2 2 2 2 2 2 2 2 2 2 2 7 5" xfId="16856" xr:uid="{26EA0C08-6C8A-4CEF-A52E-A081CF1C7FAB}"/>
    <cellStyle name="Normal 2 3 2 2 2 2 2 2 2 2 2 2 2 2 7 6" xfId="16857" xr:uid="{2917047E-0420-489B-BC54-8DBE8F0E407B}"/>
    <cellStyle name="Normal 2 3 2 2 2 2 2 2 2 2 2 2 2 2 7 7" xfId="16858" xr:uid="{A67BA7D1-76D4-4EA0-9D6E-5BE311C1F92B}"/>
    <cellStyle name="Normal 2 3 2 2 2 2 2 2 2 2 2 2 2 2 7 8" xfId="16859" xr:uid="{13E6A8E2-91B4-4A8D-9807-9957076021BB}"/>
    <cellStyle name="Normal 2 3 2 2 2 2 2 2 2 2 2 2 2 2 7 9" xfId="16860" xr:uid="{EFB178E7-4F24-4CD9-9BE7-2031D7B396D9}"/>
    <cellStyle name="Normal 2 3 2 2 2 2 2 2 2 2 2 2 2 2 8" xfId="16861" xr:uid="{162D6E6A-7AD7-4872-BC46-BF55E50CEED9}"/>
    <cellStyle name="Normal 2 3 2 2 2 2 2 2 2 2 2 2 2 2 9" xfId="16862" xr:uid="{12E177A2-28D1-4573-A061-EC4721A7DBE8}"/>
    <cellStyle name="Normal 2 3 2 2 2 2 2 2 2 2 2 2 2 20" xfId="16863" xr:uid="{198A8A6D-5066-46AB-8627-0CCDF4A98680}"/>
    <cellStyle name="Normal 2 3 2 2 2 2 2 2 2 2 2 2 2 21" xfId="16864" xr:uid="{D6AAA310-7EA8-43A3-BE18-707C9E26B458}"/>
    <cellStyle name="Normal 2 3 2 2 2 2 2 2 2 2 2 2 2 22" xfId="16865" xr:uid="{6127A0BF-01BF-47FD-885E-CC368BBB89A7}"/>
    <cellStyle name="Normal 2 3 2 2 2 2 2 2 2 2 2 2 2 23" xfId="16866" xr:uid="{2BEF626A-F1FF-4C73-91E3-B0A9715CAB7C}"/>
    <cellStyle name="Normal 2 3 2 2 2 2 2 2 2 2 2 2 2 24" xfId="16867" xr:uid="{02471319-724E-44A1-9F3F-C2A5695C18C9}"/>
    <cellStyle name="Normal 2 3 2 2 2 2 2 2 2 2 2 2 2 25" xfId="16868" xr:uid="{2E258C22-EC24-4075-9435-C94B84C53831}"/>
    <cellStyle name="Normal 2 3 2 2 2 2 2 2 2 2 2 2 2 26" xfId="16869" xr:uid="{63440493-935F-4B98-B020-4D32FB6A77B3}"/>
    <cellStyle name="Normal 2 3 2 2 2 2 2 2 2 2 2 2 2 27" xfId="16870" xr:uid="{5D9F4B16-800A-408C-ACB1-37D71DA3649F}"/>
    <cellStyle name="Normal 2 3 2 2 2 2 2 2 2 2 2 2 2 3" xfId="16871" xr:uid="{ED4094A3-A303-4EAA-84D8-21703155960B}"/>
    <cellStyle name="Normal 2 3 2 2 2 2 2 2 2 2 2 2 2 3 2" xfId="16872" xr:uid="{B3E2E19F-4087-4A42-86EC-FE6B9F5F77FF}"/>
    <cellStyle name="Normal 2 3 2 2 2 2 2 2 2 2 2 2 2 4" xfId="16873" xr:uid="{53517630-3FCB-43A7-8258-03329A87CA85}"/>
    <cellStyle name="Normal 2 3 2 2 2 2 2 2 2 2 2 2 2 4 2" xfId="16874" xr:uid="{B709EF70-0598-40F3-90B8-A252E50DA0B0}"/>
    <cellStyle name="Normal 2 3 2 2 2 2 2 2 2 2 2 2 2 5" xfId="16875" xr:uid="{980FDB0F-B2BB-493D-80A6-571F5E24E5BD}"/>
    <cellStyle name="Normal 2 3 2 2 2 2 2 2 2 2 2 2 2 5 2" xfId="16876" xr:uid="{D62385DF-2659-4CA2-9503-BE24581B7DF1}"/>
    <cellStyle name="Normal 2 3 2 2 2 2 2 2 2 2 2 2 2 6" xfId="16877" xr:uid="{D1CDE534-6A20-4310-869C-4F606EFC6514}"/>
    <cellStyle name="Normal 2 3 2 2 2 2 2 2 2 2 2 2 2 6 2" xfId="16878" xr:uid="{6476A3FC-9030-442B-AD29-44D11133DE52}"/>
    <cellStyle name="Normal 2 3 2 2 2 2 2 2 2 2 2 2 2 7" xfId="16879" xr:uid="{165BC2F2-B622-4393-B706-B7E3C6E9C861}"/>
    <cellStyle name="Normal 2 3 2 2 2 2 2 2 2 2 2 2 2 7 10" xfId="16880" xr:uid="{1F18CFAF-550A-45EB-943E-C236001AFC95}"/>
    <cellStyle name="Normal 2 3 2 2 2 2 2 2 2 2 2 2 2 7 11" xfId="16881" xr:uid="{18B2EB75-14D0-49E0-89EB-E35931FF3E98}"/>
    <cellStyle name="Normal 2 3 2 2 2 2 2 2 2 2 2 2 2 7 12" xfId="16882" xr:uid="{F3A903A8-7897-45F8-9FEF-13B0F005CA12}"/>
    <cellStyle name="Normal 2 3 2 2 2 2 2 2 2 2 2 2 2 7 13" xfId="16883" xr:uid="{B1A52FB2-72CD-40DE-819C-3474598AC6FB}"/>
    <cellStyle name="Normal 2 3 2 2 2 2 2 2 2 2 2 2 2 7 14" xfId="16884" xr:uid="{58FA49E0-CC4A-47E6-ADF4-00A08234B291}"/>
    <cellStyle name="Normal 2 3 2 2 2 2 2 2 2 2 2 2 2 7 15" xfId="16885" xr:uid="{C8662C6A-3437-4854-B2A4-613246DC7DFA}"/>
    <cellStyle name="Normal 2 3 2 2 2 2 2 2 2 2 2 2 2 7 16" xfId="16886" xr:uid="{63654B31-E446-44A7-8212-1ECE60C5D7BF}"/>
    <cellStyle name="Normal 2 3 2 2 2 2 2 2 2 2 2 2 2 7 2" xfId="16887" xr:uid="{FD2E5839-080F-45BF-81AA-C83668A4F690}"/>
    <cellStyle name="Normal 2 3 2 2 2 2 2 2 2 2 2 2 2 7 3" xfId="16888" xr:uid="{C0C810B7-C225-4E8E-8794-92D6B35C4541}"/>
    <cellStyle name="Normal 2 3 2 2 2 2 2 2 2 2 2 2 2 7 4" xfId="16889" xr:uid="{D9A1E4BE-DE2D-43C6-BB3D-1DA21EBE1A5B}"/>
    <cellStyle name="Normal 2 3 2 2 2 2 2 2 2 2 2 2 2 7 5" xfId="16890" xr:uid="{2C7EDB73-093F-4018-81AD-4E96310CAB3A}"/>
    <cellStyle name="Normal 2 3 2 2 2 2 2 2 2 2 2 2 2 7 6" xfId="16891" xr:uid="{A48322FE-1C9C-4090-BE98-3E02ECD94DA7}"/>
    <cellStyle name="Normal 2 3 2 2 2 2 2 2 2 2 2 2 2 7 7" xfId="16892" xr:uid="{FAF432BF-9494-4E1F-9AFC-67DF41BFDDE5}"/>
    <cellStyle name="Normal 2 3 2 2 2 2 2 2 2 2 2 2 2 7 8" xfId="16893" xr:uid="{341C1F21-CCD6-457F-A7ED-2827C5CE5EBD}"/>
    <cellStyle name="Normal 2 3 2 2 2 2 2 2 2 2 2 2 2 7 9" xfId="16894" xr:uid="{E953EB9B-41F2-444D-8FDE-E5E72F5FD676}"/>
    <cellStyle name="Normal 2 3 2 2 2 2 2 2 2 2 2 2 2 8" xfId="16895" xr:uid="{F1F9EDF8-B2FE-428C-BC9B-45D502CE1736}"/>
    <cellStyle name="Normal 2 3 2 2 2 2 2 2 2 2 2 2 2 9" xfId="16896" xr:uid="{AE265F68-5837-405B-B720-36D78CDCC96D}"/>
    <cellStyle name="Normal 2 3 2 2 2 2 2 2 2 2 2 2 20" xfId="16897" xr:uid="{24317734-7F4B-415E-AEDD-030BFD7C6A74}"/>
    <cellStyle name="Normal 2 3 2 2 2 2 2 2 2 2 2 2 21" xfId="16898" xr:uid="{89AFA8F2-6178-4A22-80E9-5A34EE01C716}"/>
    <cellStyle name="Normal 2 3 2 2 2 2 2 2 2 2 2 2 22" xfId="16899" xr:uid="{76D99105-2C16-4644-A0A2-76E7877DC2CA}"/>
    <cellStyle name="Normal 2 3 2 2 2 2 2 2 2 2 2 2 23" xfId="16900" xr:uid="{E95EF8D3-2B38-4441-B757-39CD39C62EBA}"/>
    <cellStyle name="Normal 2 3 2 2 2 2 2 2 2 2 2 2 24" xfId="16901" xr:uid="{3BCF30CF-BCF6-4E78-B0E4-44991760B197}"/>
    <cellStyle name="Normal 2 3 2 2 2 2 2 2 2 2 2 2 25" xfId="16902" xr:uid="{753CDFCC-C51A-4E6D-93AC-3B11D80FB21F}"/>
    <cellStyle name="Normal 2 3 2 2 2 2 2 2 2 2 2 2 26" xfId="16903" xr:uid="{3FA76F29-85F4-44FA-A108-7F3AE274DC52}"/>
    <cellStyle name="Normal 2 3 2 2 2 2 2 2 2 2 2 2 27" xfId="16904" xr:uid="{367CCFFC-9C66-49D5-89C8-50E2CC82ACC5}"/>
    <cellStyle name="Normal 2 3 2 2 2 2 2 2 2 2 2 2 28" xfId="16905" xr:uid="{052247CD-8539-47C6-B24F-5FF0E29931D4}"/>
    <cellStyle name="Normal 2 3 2 2 2 2 2 2 2 2 2 2 3" xfId="16906" xr:uid="{56019E32-46E1-4380-98E4-B1CA179CA0A5}"/>
    <cellStyle name="Normal 2 3 2 2 2 2 2 2 2 2 2 2 3 2" xfId="16907" xr:uid="{59B399B3-DE23-4C1D-A3EC-B352F85C024E}"/>
    <cellStyle name="Normal 2 3 2 2 2 2 2 2 2 2 2 2 4" xfId="16908" xr:uid="{2A0C139F-EF1F-4413-84A2-0DCCB93C8226}"/>
    <cellStyle name="Normal 2 3 2 2 2 2 2 2 2 2 2 2 4 2" xfId="16909" xr:uid="{5A01E909-B5A5-41C6-B172-19199ECB0EF7}"/>
    <cellStyle name="Normal 2 3 2 2 2 2 2 2 2 2 2 2 5" xfId="16910" xr:uid="{31638525-4F06-4889-9381-DDCC11570361}"/>
    <cellStyle name="Normal 2 3 2 2 2 2 2 2 2 2 2 2 5 2" xfId="16911" xr:uid="{7E0B6400-2F03-4824-997E-C155914B9617}"/>
    <cellStyle name="Normal 2 3 2 2 2 2 2 2 2 2 2 2 6" xfId="16912" xr:uid="{EF62EDD8-8B1B-4A36-BBAC-D5D64E6C146B}"/>
    <cellStyle name="Normal 2 3 2 2 2 2 2 2 2 2 2 2 6 2" xfId="16913" xr:uid="{CF146583-5928-4623-8F6B-E307E863AF78}"/>
    <cellStyle name="Normal 2 3 2 2 2 2 2 2 2 2 2 2 7" xfId="16914" xr:uid="{449D9351-254D-41CE-9E08-1D3870344588}"/>
    <cellStyle name="Normal 2 3 2 2 2 2 2 2 2 2 2 2 8" xfId="16915" xr:uid="{403D67E0-BC1D-4405-A9DF-5573AFE0055A}"/>
    <cellStyle name="Normal 2 3 2 2 2 2 2 2 2 2 2 2 8 10" xfId="16916" xr:uid="{3702150C-BF4C-4EC1-9726-0D9C5D9527A3}"/>
    <cellStyle name="Normal 2 3 2 2 2 2 2 2 2 2 2 2 8 11" xfId="16917" xr:uid="{F62382F0-6568-4532-81C8-7D65E8B9F054}"/>
    <cellStyle name="Normal 2 3 2 2 2 2 2 2 2 2 2 2 8 12" xfId="16918" xr:uid="{B0D842E2-2B51-4135-8834-3A13F26BF02A}"/>
    <cellStyle name="Normal 2 3 2 2 2 2 2 2 2 2 2 2 8 13" xfId="16919" xr:uid="{3B97C15E-7342-49CE-8A75-4CA86AA95A91}"/>
    <cellStyle name="Normal 2 3 2 2 2 2 2 2 2 2 2 2 8 14" xfId="16920" xr:uid="{5B5F6120-3DAC-4013-AC7B-5EA5180EC3AF}"/>
    <cellStyle name="Normal 2 3 2 2 2 2 2 2 2 2 2 2 8 15" xfId="16921" xr:uid="{C8964972-A230-4AB9-8C1E-3157E7C29C8F}"/>
    <cellStyle name="Normal 2 3 2 2 2 2 2 2 2 2 2 2 8 16" xfId="16922" xr:uid="{3F97FD92-48BC-483F-82F6-E89D4D7BA915}"/>
    <cellStyle name="Normal 2 3 2 2 2 2 2 2 2 2 2 2 8 2" xfId="16923" xr:uid="{4CDEB02E-7C9E-4DBC-A692-80BB9BA30716}"/>
    <cellStyle name="Normal 2 3 2 2 2 2 2 2 2 2 2 2 8 3" xfId="16924" xr:uid="{BD637525-7EB6-4745-B719-6AF96E8F8DAD}"/>
    <cellStyle name="Normal 2 3 2 2 2 2 2 2 2 2 2 2 8 4" xfId="16925" xr:uid="{DF11CE37-BCB0-4E96-B0BC-903DD1CD7615}"/>
    <cellStyle name="Normal 2 3 2 2 2 2 2 2 2 2 2 2 8 5" xfId="16926" xr:uid="{2A848377-332F-4010-885C-6A8F24228CA5}"/>
    <cellStyle name="Normal 2 3 2 2 2 2 2 2 2 2 2 2 8 6" xfId="16927" xr:uid="{B5C0AB67-01C3-4018-8CCC-F34F276E4C04}"/>
    <cellStyle name="Normal 2 3 2 2 2 2 2 2 2 2 2 2 8 7" xfId="16928" xr:uid="{83CECD79-3858-4C2B-B136-1561850DCD6D}"/>
    <cellStyle name="Normal 2 3 2 2 2 2 2 2 2 2 2 2 8 8" xfId="16929" xr:uid="{CF178482-7159-49EA-9EDD-AA22DEF7C65B}"/>
    <cellStyle name="Normal 2 3 2 2 2 2 2 2 2 2 2 2 8 9" xfId="16930" xr:uid="{9301735A-2B75-44CB-9474-6118E1E3F89E}"/>
    <cellStyle name="Normal 2 3 2 2 2 2 2 2 2 2 2 2 9" xfId="16931" xr:uid="{6331D46D-7D7E-45BB-81B7-0D09F1D46A0E}"/>
    <cellStyle name="Normal 2 3 2 2 2 2 2 2 2 2 2 20" xfId="16932" xr:uid="{5CBB5745-2CCE-4A6B-9D47-0938B745B7A3}"/>
    <cellStyle name="Normal 2 3 2 2 2 2 2 2 2 2 2 21" xfId="16933" xr:uid="{2DB42EE7-0426-4E80-813C-C3178DB63286}"/>
    <cellStyle name="Normal 2 3 2 2 2 2 2 2 2 2 2 22" xfId="16934" xr:uid="{A004AAE3-AB75-45BC-BAE1-DB99BA044236}"/>
    <cellStyle name="Normal 2 3 2 2 2 2 2 2 2 2 2 23" xfId="16935" xr:uid="{E2F2DC07-FE31-456D-AEEE-53B11C4EF275}"/>
    <cellStyle name="Normal 2 3 2 2 2 2 2 2 2 2 2 24" xfId="16936" xr:uid="{2B2FA255-7228-4896-8CF9-7B7FD06A8055}"/>
    <cellStyle name="Normal 2 3 2 2 2 2 2 2 2 2 2 25" xfId="16937" xr:uid="{F8C72F14-F9CE-4ABF-AF2C-D069181C4623}"/>
    <cellStyle name="Normal 2 3 2 2 2 2 2 2 2 2 2 26" xfId="16938" xr:uid="{A06A57C0-97E1-47AA-AB14-1A388B99B497}"/>
    <cellStyle name="Normal 2 3 2 2 2 2 2 2 2 2 2 27" xfId="16939" xr:uid="{902FFF78-55A3-4C8A-8F7B-66EC092C6B1B}"/>
    <cellStyle name="Normal 2 3 2 2 2 2 2 2 2 2 2 28" xfId="16940" xr:uid="{C6EB6D6E-2624-4927-965E-2BB0990020BA}"/>
    <cellStyle name="Normal 2 3 2 2 2 2 2 2 2 2 2 29" xfId="16941" xr:uid="{0BFC3A62-8E65-4D68-B7A9-D3A99D6DA077}"/>
    <cellStyle name="Normal 2 3 2 2 2 2 2 2 2 2 2 3" xfId="16942" xr:uid="{F2F9DC8F-51EA-42CA-A0E9-045FD53DC87B}"/>
    <cellStyle name="Normal 2 3 2 2 2 2 2 2 2 2 2 3 2" xfId="16943" xr:uid="{373908EA-BAB2-4A6C-BDEF-FD1B9591794B}"/>
    <cellStyle name="Normal 2 3 2 2 2 2 2 2 2 2 2 30" xfId="16944" xr:uid="{E3053FC9-F42E-478D-ABE5-B0A38DFCBDC4}"/>
    <cellStyle name="Normal 2 3 2 2 2 2 2 2 2 2 2 4" xfId="16945" xr:uid="{65FFEF15-9EDC-4B40-9E26-8E89FB897278}"/>
    <cellStyle name="Normal 2 3 2 2 2 2 2 2 2 2 2 4 2" xfId="16946" xr:uid="{75132179-EA2E-4E2A-9DF5-08AED8F8A951}"/>
    <cellStyle name="Normal 2 3 2 2 2 2 2 2 2 2 2 5" xfId="16947" xr:uid="{D2E44E1D-DBF2-47F2-9464-814F19087AEC}"/>
    <cellStyle name="Normal 2 3 2 2 2 2 2 2 2 2 2 5 2" xfId="16948" xr:uid="{F2DB3F1C-59A1-4834-B4B1-5F96B41C0E81}"/>
    <cellStyle name="Normal 2 3 2 2 2 2 2 2 2 2 2 6" xfId="16949" xr:uid="{5E099DAE-B7A8-4986-8F9E-A5F777CF0573}"/>
    <cellStyle name="Normal 2 3 2 2 2 2 2 2 2 2 2 6 2" xfId="16950" xr:uid="{A77570F3-8A5D-4987-8F5A-DCE49DC29C31}"/>
    <cellStyle name="Normal 2 3 2 2 2 2 2 2 2 2 2 7" xfId="16951" xr:uid="{BF7CB976-7F3B-4732-B30D-2EEDDB0FCFAF}"/>
    <cellStyle name="Normal 2 3 2 2 2 2 2 2 2 2 2 7 2" xfId="16952" xr:uid="{F9E89A37-A2D6-465F-9D09-AEEADBECB6CF}"/>
    <cellStyle name="Normal 2 3 2 2 2 2 2 2 2 2 2 8" xfId="16953" xr:uid="{A2B16904-95AE-4A38-B9C6-DA4E09AA912D}"/>
    <cellStyle name="Normal 2 3 2 2 2 2 2 2 2 2 2 9" xfId="16954" xr:uid="{D0845C5B-2BD3-45A7-AA2A-40DA08593CC3}"/>
    <cellStyle name="Normal 2 3 2 2 2 2 2 2 2 2 20" xfId="16955" xr:uid="{CFA4E76F-1153-494C-86B9-8AB96A982ADC}"/>
    <cellStyle name="Normal 2 3 2 2 2 2 2 2 2 2 21" xfId="16956" xr:uid="{5CB56D4C-7A1D-41AE-9746-69586FC67C1A}"/>
    <cellStyle name="Normal 2 3 2 2 2 2 2 2 2 2 22" xfId="16957" xr:uid="{3EADCB8E-E041-47C3-A69C-97FEEFCB8D98}"/>
    <cellStyle name="Normal 2 3 2 2 2 2 2 2 2 2 23" xfId="16958" xr:uid="{8E55E372-F7C1-4797-89B1-CF24E3280B4B}"/>
    <cellStyle name="Normal 2 3 2 2 2 2 2 2 2 2 24" xfId="16959" xr:uid="{161843F6-55F8-42FB-9A88-33944EB23800}"/>
    <cellStyle name="Normal 2 3 2 2 2 2 2 2 2 2 25" xfId="16960" xr:uid="{30512042-CB0F-4576-A501-5D369269258D}"/>
    <cellStyle name="Normal 2 3 2 2 2 2 2 2 2 2 26" xfId="16961" xr:uid="{B98EEA22-39C9-4989-8B23-34FA0F96C725}"/>
    <cellStyle name="Normal 2 3 2 2 2 2 2 2 2 2 27" xfId="16962" xr:uid="{FCEB8EC9-0CA3-4F34-86AA-DFCCEF3EED19}"/>
    <cellStyle name="Normal 2 3 2 2 2 2 2 2 2 2 28" xfId="16963" xr:uid="{E26DF3D9-9DA6-4267-8AAB-890400716328}"/>
    <cellStyle name="Normal 2 3 2 2 2 2 2 2 2 2 29" xfId="16964" xr:uid="{D7DBC1A8-CBFA-481A-8BC8-EA7F87857012}"/>
    <cellStyle name="Normal 2 3 2 2 2 2 2 2 2 2 3" xfId="16965" xr:uid="{2685D79B-136E-4ADB-B49D-A0B7A8796671}"/>
    <cellStyle name="Normal 2 3 2 2 2 2 2 2 2 2 3 2" xfId="16966" xr:uid="{6E7AC5D7-1CB6-4ED9-9847-73970262BFF3}"/>
    <cellStyle name="Normal 2 3 2 2 2 2 2 2 2 2 3 2 2" xfId="16967" xr:uid="{B450042B-E975-4FE0-B03F-E9F5AE5BA018}"/>
    <cellStyle name="Normal 2 3 2 2 2 2 2 2 2 2 3 2 3" xfId="16968" xr:uid="{1BE4C91D-AAAA-466D-9977-B312808F6365}"/>
    <cellStyle name="Normal 2 3 2 2 2 2 2 2 2 2 3 2 4" xfId="16969" xr:uid="{EEBAFAA0-AD0E-4C6E-9623-3900B4855658}"/>
    <cellStyle name="Normal 2 3 2 2 2 2 2 2 2 2 3 2 5" xfId="16970" xr:uid="{4FF96F61-45C0-489F-B9DB-6CBC1CE7E9AE}"/>
    <cellStyle name="Normal 2 3 2 2 2 2 2 2 2 2 3 2 6" xfId="16971" xr:uid="{A3BB3B76-8366-4E7F-A904-B8E4AED4BF2E}"/>
    <cellStyle name="Normal 2 3 2 2 2 2 2 2 2 2 3 3" xfId="16972" xr:uid="{722C30FB-0ACC-493A-98C1-1BD7215AE69E}"/>
    <cellStyle name="Normal 2 3 2 2 2 2 2 2 2 2 3 4" xfId="16973" xr:uid="{84F84AE4-29F1-45EB-B117-9C2D1B27B16F}"/>
    <cellStyle name="Normal 2 3 2 2 2 2 2 2 2 2 3 5" xfId="16974" xr:uid="{33A51707-0EE9-4D63-B6DE-58FB51EF60F6}"/>
    <cellStyle name="Normal 2 3 2 2 2 2 2 2 2 2 3 6" xfId="16975" xr:uid="{CB976EED-B35E-4FD3-A798-30F737525292}"/>
    <cellStyle name="Normal 2 3 2 2 2 2 2 2 2 2 3 7" xfId="16976" xr:uid="{6626C513-C5E6-4037-8545-1E0EBCBF140D}"/>
    <cellStyle name="Normal 2 3 2 2 2 2 2 2 2 2 30" xfId="16977" xr:uid="{593237E5-FF5D-4EA6-B394-421F5A40ACC0}"/>
    <cellStyle name="Normal 2 3 2 2 2 2 2 2 2 2 31" xfId="16978" xr:uid="{25AC6ABC-0376-41CD-9046-687C9092ADA7}"/>
    <cellStyle name="Normal 2 3 2 2 2 2 2 2 2 2 32" xfId="16979" xr:uid="{7107F363-155A-4B37-9AE9-97032F537555}"/>
    <cellStyle name="Normal 2 3 2 2 2 2 2 2 2 2 4" xfId="16980" xr:uid="{2214ACB5-1EDA-4825-85AE-CE835DC4E03C}"/>
    <cellStyle name="Normal 2 3 2 2 2 2 2 2 2 2 4 2" xfId="16981" xr:uid="{2374FA11-9F77-4200-92E5-EF9F5E4C4F58}"/>
    <cellStyle name="Normal 2 3 2 2 2 2 2 2 2 2 5" xfId="16982" xr:uid="{27125B84-AA71-4AA3-95B8-2CB1A4D34133}"/>
    <cellStyle name="Normal 2 3 2 2 2 2 2 2 2 2 5 2" xfId="16983" xr:uid="{E54DCDB6-DEE9-4A9C-9476-97F6424E5C85}"/>
    <cellStyle name="Normal 2 3 2 2 2 2 2 2 2 2 6" xfId="16984" xr:uid="{A3A51946-C782-4F21-8706-AD6BB7FAAC02}"/>
    <cellStyle name="Normal 2 3 2 2 2 2 2 2 2 2 6 2" xfId="16985" xr:uid="{8846B0A0-EB81-4544-9355-0D7043C8588F}"/>
    <cellStyle name="Normal 2 3 2 2 2 2 2 2 2 2 7" xfId="16986" xr:uid="{3D78741F-878C-4A8D-BD39-0A5C575C1307}"/>
    <cellStyle name="Normal 2 3 2 2 2 2 2 2 2 2 7 2" xfId="16987" xr:uid="{976DC1D5-77F1-4CFF-AB21-905B9A1605A3}"/>
    <cellStyle name="Normal 2 3 2 2 2 2 2 2 2 2 8" xfId="16988" xr:uid="{684CA7B9-55A8-470D-8330-6803DBB87FC2}"/>
    <cellStyle name="Normal 2 3 2 2 2 2 2 2 2 2 8 2" xfId="16989" xr:uid="{E20A5A62-5F15-4946-9E6B-CC55952F6410}"/>
    <cellStyle name="Normal 2 3 2 2 2 2 2 2 2 2 9" xfId="16990" xr:uid="{B77830AA-EBF2-4F1F-AC61-4389FB7AD15B}"/>
    <cellStyle name="Normal 2 3 2 2 2 2 2 2 2 2 9 2" xfId="16991" xr:uid="{E9766299-A3D6-4029-8117-BCF6FB711D07}"/>
    <cellStyle name="Normal 2 3 2 2 2 2 2 2 2 20" xfId="16992" xr:uid="{0DB7C47E-D3C0-48E9-BBFE-B1FC9811C0F7}"/>
    <cellStyle name="Normal 2 3 2 2 2 2 2 2 2 20 2" xfId="16993" xr:uid="{5B4DEF86-54D6-4C82-9C51-B236C6877C35}"/>
    <cellStyle name="Normal 2 3 2 2 2 2 2 2 2 20 3" xfId="16994" xr:uid="{621E58A2-CC4C-4FBB-AB52-6B88387108A2}"/>
    <cellStyle name="Normal 2 3 2 2 2 2 2 2 2 20 4" xfId="16995" xr:uid="{B7700AF8-19C5-455F-8646-DE25DFFA502C}"/>
    <cellStyle name="Normal 2 3 2 2 2 2 2 2 2 20 5" xfId="16996" xr:uid="{DC45E0E1-6A76-4BB3-8DC8-F58D639DED50}"/>
    <cellStyle name="Normal 2 3 2 2 2 2 2 2 2 21" xfId="16997" xr:uid="{77952DE9-4C8E-4E9E-A959-C7EE176D8732}"/>
    <cellStyle name="Normal 2 3 2 2 2 2 2 2 2 22" xfId="16998" xr:uid="{CA68BCA4-C5AF-4409-BCA4-2C06049F3847}"/>
    <cellStyle name="Normal 2 3 2 2 2 2 2 2 2 23" xfId="16999" xr:uid="{45E751F6-47C2-493E-850B-90A8DFE47831}"/>
    <cellStyle name="Normal 2 3 2 2 2 2 2 2 2 24" xfId="17000" xr:uid="{04BD3CD1-CB87-48EA-8C59-522672D4C734}"/>
    <cellStyle name="Normal 2 3 2 2 2 2 2 2 2 25" xfId="17001" xr:uid="{4EAE05C2-85C7-49EB-A4E5-18D55E30362D}"/>
    <cellStyle name="Normal 2 3 2 2 2 2 2 2 2 26" xfId="17002" xr:uid="{357BF1C2-DC2F-44E0-A848-0E124939A9AE}"/>
    <cellStyle name="Normal 2 3 2 2 2 2 2 2 2 27" xfId="17003" xr:uid="{AA935720-5596-4ECD-A1EC-7D96D0E599D8}"/>
    <cellStyle name="Normal 2 3 2 2 2 2 2 2 2 28" xfId="17004" xr:uid="{D8A0B1E9-15B8-4087-994B-A857C828EA8A}"/>
    <cellStyle name="Normal 2 3 2 2 2 2 2 2 2 29" xfId="17005" xr:uid="{3C4E90C5-B875-4E69-A2EA-5C007A2734BC}"/>
    <cellStyle name="Normal 2 3 2 2 2 2 2 2 2 3" xfId="17006" xr:uid="{CA8FD368-FD86-499F-9593-FB328973BCE6}"/>
    <cellStyle name="Normal 2 3 2 2 2 2 2 2 2 30" xfId="17007" xr:uid="{27C354BA-8155-4867-ABC9-24FB1CEE2968}"/>
    <cellStyle name="Normal 2 3 2 2 2 2 2 2 2 31" xfId="17008" xr:uid="{1F64A42F-4021-4C4B-8040-4E73F38C5D07}"/>
    <cellStyle name="Normal 2 3 2 2 2 2 2 2 2 32" xfId="17009" xr:uid="{2B4BE06B-E502-43EC-BA98-0A4C00EFE699}"/>
    <cellStyle name="Normal 2 3 2 2 2 2 2 2 2 33" xfId="17010" xr:uid="{291109E3-20AA-4B57-8145-F8FE04C5E34A}"/>
    <cellStyle name="Normal 2 3 2 2 2 2 2 2 2 4" xfId="17011" xr:uid="{8195DE2A-2C18-4BE9-BC0C-E7325E60BCCE}"/>
    <cellStyle name="Normal 2 3 2 2 2 2 2 2 2 4 2" xfId="17012" xr:uid="{64ADADA3-7974-47B6-89EE-312A9A4010FF}"/>
    <cellStyle name="Normal 2 3 2 2 2 2 2 2 2 4 2 2" xfId="17013" xr:uid="{6E942BE9-83CD-4E5C-AAC5-23501D3A562E}"/>
    <cellStyle name="Normal 2 3 2 2 2 2 2 2 2 4 3" xfId="17014" xr:uid="{65EF1F1C-6AA7-48FF-9EAF-631DDDDD5B8D}"/>
    <cellStyle name="Normal 2 3 2 2 2 2 2 2 2 5" xfId="17015" xr:uid="{D1C77B59-51DA-45E8-B836-EA55B6667EE3}"/>
    <cellStyle name="Normal 2 3 2 2 2 2 2 2 2 5 2" xfId="17016" xr:uid="{9B8EEDFC-C5F0-44F3-B913-0142622A4503}"/>
    <cellStyle name="Normal 2 3 2 2 2 2 2 2 2 5 2 2" xfId="17017" xr:uid="{72F1BC7E-8220-4164-9C7B-DED6BAFE64C9}"/>
    <cellStyle name="Normal 2 3 2 2 2 2 2 2 2 5 2 3" xfId="17018" xr:uid="{E592B055-BC49-4A4D-9E7C-EE20BE20016B}"/>
    <cellStyle name="Normal 2 3 2 2 2 2 2 2 2 5 2 4" xfId="17019" xr:uid="{7F59CEF0-F464-4457-80A8-FB4D48940F13}"/>
    <cellStyle name="Normal 2 3 2 2 2 2 2 2 2 5 2 5" xfId="17020" xr:uid="{07AC5185-1D99-46F4-ACE5-0F7B2B661011}"/>
    <cellStyle name="Normal 2 3 2 2 2 2 2 2 2 5 2 6" xfId="17021" xr:uid="{17D5C7BC-445B-416E-A6D3-96364F264FA5}"/>
    <cellStyle name="Normal 2 3 2 2 2 2 2 2 2 5 3" xfId="17022" xr:uid="{6D2CB282-86E0-449B-88C3-AC4C855177A8}"/>
    <cellStyle name="Normal 2 3 2 2 2 2 2 2 2 5 4" xfId="17023" xr:uid="{6CFA8F89-DDC1-47E5-BAC5-0CCADBB4DA89}"/>
    <cellStyle name="Normal 2 3 2 2 2 2 2 2 2 5 5" xfId="17024" xr:uid="{83F287C4-B463-4B53-968B-6BF472987C44}"/>
    <cellStyle name="Normal 2 3 2 2 2 2 2 2 2 5 6" xfId="17025" xr:uid="{65F1BA6E-BEFF-4341-8FF2-9EB590876AA5}"/>
    <cellStyle name="Normal 2 3 2 2 2 2 2 2 2 5 7" xfId="17026" xr:uid="{3BF92989-F0F1-4C6F-8B62-E217D26C6ED4}"/>
    <cellStyle name="Normal 2 3 2 2 2 2 2 2 2 6" xfId="17027" xr:uid="{2812FC24-38F8-4159-A255-845975B0AC06}"/>
    <cellStyle name="Normal 2 3 2 2 2 2 2 2 2 6 2" xfId="17028" xr:uid="{424F07EC-E2B2-44C7-A21A-386B52A1EBC8}"/>
    <cellStyle name="Normal 2 3 2 2 2 2 2 2 2 7" xfId="17029" xr:uid="{88EA97A0-0F7C-49BC-BA9D-B3B103E761EB}"/>
    <cellStyle name="Normal 2 3 2 2 2 2 2 2 2 7 2" xfId="17030" xr:uid="{4E4998F5-9633-4F6E-969B-5E6164CD02B2}"/>
    <cellStyle name="Normal 2 3 2 2 2 2 2 2 2 8" xfId="17031" xr:uid="{EE38DBB8-AF82-4BE1-BCAF-BBFF43486F5F}"/>
    <cellStyle name="Normal 2 3 2 2 2 2 2 2 2 8 2" xfId="17032" xr:uid="{9C5E6157-0812-4698-8934-D66287B652F9}"/>
    <cellStyle name="Normal 2 3 2 2 2 2 2 2 2 9" xfId="17033" xr:uid="{32607F6A-78FA-4987-BAAA-4BE87816DBAA}"/>
    <cellStyle name="Normal 2 3 2 2 2 2 2 2 2 9 2" xfId="17034" xr:uid="{401D266C-E4A3-4B52-B257-250AEA7E1F73}"/>
    <cellStyle name="Normal 2 3 2 2 2 2 2 2 20" xfId="17035" xr:uid="{889B8A2E-8ECB-44DE-A6D8-0E96619E39C0}"/>
    <cellStyle name="Normal 2 3 2 2 2 2 2 2 20 10" xfId="17036" xr:uid="{F272FA1E-050D-4928-ADD8-7D70B09D964F}"/>
    <cellStyle name="Normal 2 3 2 2 2 2 2 2 20 11" xfId="17037" xr:uid="{7B5BC277-5AEC-405B-AF8C-BABC6F546342}"/>
    <cellStyle name="Normal 2 3 2 2 2 2 2 2 20 12" xfId="17038" xr:uid="{603C6091-B624-4AC6-83D3-C629D6887A5F}"/>
    <cellStyle name="Normal 2 3 2 2 2 2 2 2 20 13" xfId="17039" xr:uid="{70E0FA41-72CA-4FFA-9B62-E49732996754}"/>
    <cellStyle name="Normal 2 3 2 2 2 2 2 2 20 14" xfId="17040" xr:uid="{4A4D519F-CDF3-4CEB-B79B-FCF74DECA17A}"/>
    <cellStyle name="Normal 2 3 2 2 2 2 2 2 20 15" xfId="17041" xr:uid="{A8036C6E-3EE9-4FF3-BF0C-F3488DBDBF1E}"/>
    <cellStyle name="Normal 2 3 2 2 2 2 2 2 20 16" xfId="17042" xr:uid="{A2511F83-FAE8-4EFF-94F3-02F41A6615F3}"/>
    <cellStyle name="Normal 2 3 2 2 2 2 2 2 20 2" xfId="17043" xr:uid="{93E31F9B-5D7E-4A27-AC6F-BECFB2B52566}"/>
    <cellStyle name="Normal 2 3 2 2 2 2 2 2 20 3" xfId="17044" xr:uid="{4681956B-4A11-4EC4-97D5-D3C110FDDFF2}"/>
    <cellStyle name="Normal 2 3 2 2 2 2 2 2 20 4" xfId="17045" xr:uid="{7E38A93D-28C0-4C6F-8521-8A7ABBE10685}"/>
    <cellStyle name="Normal 2 3 2 2 2 2 2 2 20 5" xfId="17046" xr:uid="{21C032DB-E91B-430F-9999-94378D531B9F}"/>
    <cellStyle name="Normal 2 3 2 2 2 2 2 2 20 6" xfId="17047" xr:uid="{5066211B-C591-48C1-A894-863D0506FF39}"/>
    <cellStyle name="Normal 2 3 2 2 2 2 2 2 20 7" xfId="17048" xr:uid="{2693F458-7176-4BB2-9C42-ECB7C3CAA2DC}"/>
    <cellStyle name="Normal 2 3 2 2 2 2 2 2 20 8" xfId="17049" xr:uid="{D9CD3D54-5A08-4EB6-8BFF-88A8153B4FA4}"/>
    <cellStyle name="Normal 2 3 2 2 2 2 2 2 20 9" xfId="17050" xr:uid="{F1D27242-58CE-40BB-B11B-855A9304DAAB}"/>
    <cellStyle name="Normal 2 3 2 2 2 2 2 2 21" xfId="17051" xr:uid="{F523C836-AAF2-481A-9A6A-9FBEDF16E44A}"/>
    <cellStyle name="Normal 2 3 2 2 2 2 2 2 22" xfId="17052" xr:uid="{A626BD17-28CD-48B4-82D6-764276B62D81}"/>
    <cellStyle name="Normal 2 3 2 2 2 2 2 2 23" xfId="17053" xr:uid="{0B7E3111-8CF7-416E-81E6-7F31376363A4}"/>
    <cellStyle name="Normal 2 3 2 2 2 2 2 2 24" xfId="17054" xr:uid="{EF3E4688-55AF-4B39-8246-21ED8AEE8C79}"/>
    <cellStyle name="Normal 2 3 2 2 2 2 2 2 25" xfId="17055" xr:uid="{90755B09-7784-4C3B-AFFD-3C808A199654}"/>
    <cellStyle name="Normal 2 3 2 2 2 2 2 2 26" xfId="17056" xr:uid="{63156733-85DC-4212-A12A-985BDAC5717F}"/>
    <cellStyle name="Normal 2 3 2 2 2 2 2 2 27" xfId="17057" xr:uid="{BA465E23-26F3-4D13-AA43-D9ADF4327B3E}"/>
    <cellStyle name="Normal 2 3 2 2 2 2 2 2 28" xfId="17058" xr:uid="{A72A6E8A-84E7-4B37-B3F4-E1A9ACC70802}"/>
    <cellStyle name="Normal 2 3 2 2 2 2 2 2 29" xfId="17059" xr:uid="{2EAD151D-5F5E-44BF-B788-7919C0DE7710}"/>
    <cellStyle name="Normal 2 3 2 2 2 2 2 2 3" xfId="17060" xr:uid="{1D8520C0-7B06-4C2E-9BE5-E540F0F68355}"/>
    <cellStyle name="Normal 2 3 2 2 2 2 2 2 3 10" xfId="17061" xr:uid="{834D62A7-B362-4DE3-B6C4-ABED338F98FA}"/>
    <cellStyle name="Normal 2 3 2 2 2 2 2 2 3 2" xfId="17062" xr:uid="{66CEE5C2-7B94-4897-B99F-058F93F7739D}"/>
    <cellStyle name="Normal 2 3 2 2 2 2 2 2 3 2 2" xfId="17063" xr:uid="{8CFF957C-6A4F-4744-A34B-D8848275B146}"/>
    <cellStyle name="Normal 2 3 2 2 2 2 2 2 3 2 2 2" xfId="17064" xr:uid="{118D3587-581A-4EB6-80D7-C27D207E7EA6}"/>
    <cellStyle name="Normal 2 3 2 2 2 2 2 2 3 2 2 2 2" xfId="17065" xr:uid="{BB900882-F18F-4364-A65B-AA0A53C44FE1}"/>
    <cellStyle name="Normal 2 3 2 2 2 2 2 2 3 2 2 2 3" xfId="17066" xr:uid="{41550AA3-744A-4E0D-9F95-C4AB26C93B4C}"/>
    <cellStyle name="Normal 2 3 2 2 2 2 2 2 3 2 2 2 4" xfId="17067" xr:uid="{D1C83AE5-E004-4EFE-87C0-7906E5D547BD}"/>
    <cellStyle name="Normal 2 3 2 2 2 2 2 2 3 2 2 2 5" xfId="17068" xr:uid="{114F4102-C746-45C1-AC56-A7AD8C64EEC3}"/>
    <cellStyle name="Normal 2 3 2 2 2 2 2 2 3 2 2 2 6" xfId="17069" xr:uid="{D84A6F43-7C4F-4788-99A9-F133992D97B1}"/>
    <cellStyle name="Normal 2 3 2 2 2 2 2 2 3 2 2 3" xfId="17070" xr:uid="{E27B27C5-8B35-4D08-A9FC-727DADCC01C2}"/>
    <cellStyle name="Normal 2 3 2 2 2 2 2 2 3 2 2 4" xfId="17071" xr:uid="{A6EF6F8E-D7A6-4E24-8AB3-EA9C19DA938E}"/>
    <cellStyle name="Normal 2 3 2 2 2 2 2 2 3 2 2 5" xfId="17072" xr:uid="{35922D7F-896D-4FCE-A64B-688FCE5E4A86}"/>
    <cellStyle name="Normal 2 3 2 2 2 2 2 2 3 2 2 6" xfId="17073" xr:uid="{14677982-33C4-4D0A-BB4B-6AD45BB580C3}"/>
    <cellStyle name="Normal 2 3 2 2 2 2 2 2 3 2 3" xfId="17074" xr:uid="{E7F42B7C-0493-408C-AB54-205C537A68D8}"/>
    <cellStyle name="Normal 2 3 2 2 2 2 2 2 3 2 4" xfId="17075" xr:uid="{C9A6D97B-6228-469D-A2A3-E13B44F5DFE0}"/>
    <cellStyle name="Normal 2 3 2 2 2 2 2 2 3 2 5" xfId="17076" xr:uid="{301F39EA-C984-49BB-8B25-06DBDA08ADDC}"/>
    <cellStyle name="Normal 2 3 2 2 2 2 2 2 3 2 6" xfId="17077" xr:uid="{F6557E6B-3C2D-4EA0-B8BA-FC8A7ED2D933}"/>
    <cellStyle name="Normal 2 3 2 2 2 2 2 2 3 2 7" xfId="17078" xr:uid="{6E6EE247-FEA6-4BEF-BE26-40602B69FE75}"/>
    <cellStyle name="Normal 2 3 2 2 2 2 2 2 3 2 8" xfId="17079" xr:uid="{0B256F8C-B94C-4699-9581-D3764D9EA068}"/>
    <cellStyle name="Normal 2 3 2 2 2 2 2 2 3 2 9" xfId="17080" xr:uid="{562C0C1B-B0FB-43C9-9C01-311C1BACFD96}"/>
    <cellStyle name="Normal 2 3 2 2 2 2 2 2 3 3" xfId="17081" xr:uid="{B6BD8AD6-71B4-419C-A381-8028D4A95AE7}"/>
    <cellStyle name="Normal 2 3 2 2 2 2 2 2 3 3 2" xfId="17082" xr:uid="{78DDF8D6-A052-4F09-BD80-B2612581A469}"/>
    <cellStyle name="Normal 2 3 2 2 2 2 2 2 3 3 2 2" xfId="17083" xr:uid="{4A7FF6EF-125C-44EA-844B-A52C73CB3E5C}"/>
    <cellStyle name="Normal 2 3 2 2 2 2 2 2 3 3 2 3" xfId="17084" xr:uid="{96346FB4-3E5A-424B-8EC9-E1209B75404E}"/>
    <cellStyle name="Normal 2 3 2 2 2 2 2 2 3 3 2 4" xfId="17085" xr:uid="{734B2587-5871-48EB-982A-C1BCB84B943C}"/>
    <cellStyle name="Normal 2 3 2 2 2 2 2 2 3 3 2 5" xfId="17086" xr:uid="{A079E990-A7FA-415C-81A3-0DA4ED3772E2}"/>
    <cellStyle name="Normal 2 3 2 2 2 2 2 2 3 3 2 6" xfId="17087" xr:uid="{ACA92866-B2A2-4586-9236-45B009AD1724}"/>
    <cellStyle name="Normal 2 3 2 2 2 2 2 2 3 3 3" xfId="17088" xr:uid="{533431C2-30CE-4B13-BB90-E1E99D1DB2A5}"/>
    <cellStyle name="Normal 2 3 2 2 2 2 2 2 3 3 4" xfId="17089" xr:uid="{C00FA2D3-E24A-4626-A3BD-DD36F191B380}"/>
    <cellStyle name="Normal 2 3 2 2 2 2 2 2 3 3 5" xfId="17090" xr:uid="{75C32125-A698-406C-AA5F-022516FB7550}"/>
    <cellStyle name="Normal 2 3 2 2 2 2 2 2 3 3 6" xfId="17091" xr:uid="{68D376E0-92BF-4E2C-928B-0967AB1D126C}"/>
    <cellStyle name="Normal 2 3 2 2 2 2 2 2 3 4" xfId="17092" xr:uid="{F55C42CC-DDE4-4F9E-94E5-BA671912917F}"/>
    <cellStyle name="Normal 2 3 2 2 2 2 2 2 3 5" xfId="17093" xr:uid="{7C5F230A-A794-4E48-8DC6-4F8C7C1A2238}"/>
    <cellStyle name="Normal 2 3 2 2 2 2 2 2 3 6" xfId="17094" xr:uid="{39D34443-BF7C-48FE-876C-04AA7D6F2520}"/>
    <cellStyle name="Normal 2 3 2 2 2 2 2 2 3 7" xfId="17095" xr:uid="{20AAA841-FD65-41B6-B74C-78B03381F33D}"/>
    <cellStyle name="Normal 2 3 2 2 2 2 2 2 3 8" xfId="17096" xr:uid="{4F1285F0-2682-4315-9E41-9BC151356A21}"/>
    <cellStyle name="Normal 2 3 2 2 2 2 2 2 3 9" xfId="17097" xr:uid="{E433A685-3412-4642-A7AD-0049D2193CD0}"/>
    <cellStyle name="Normal 2 3 2 2 2 2 2 2 30" xfId="17098" xr:uid="{C842C6F2-C9D5-46B2-9CE3-83C4D706DC54}"/>
    <cellStyle name="Normal 2 3 2 2 2 2 2 2 31" xfId="17099" xr:uid="{AF5B1DBF-FA51-44F7-9B9C-916AE6A12FA1}"/>
    <cellStyle name="Normal 2 3 2 2 2 2 2 2 32" xfId="17100" xr:uid="{485F309E-17CD-4E92-846A-6DED4F88EA5E}"/>
    <cellStyle name="Normal 2 3 2 2 2 2 2 2 33" xfId="17101" xr:uid="{D0D097CC-425B-4F3D-B143-74D4DBBC0DA4}"/>
    <cellStyle name="Normal 2 3 2 2 2 2 2 2 34" xfId="17102" xr:uid="{8CEAEB5D-637E-41EA-8995-BA290E8F6FFC}"/>
    <cellStyle name="Normal 2 3 2 2 2 2 2 2 35" xfId="17103" xr:uid="{051970A7-25A1-4816-BA0D-964F45BC2FA9}"/>
    <cellStyle name="Normal 2 3 2 2 2 2 2 2 36" xfId="17104" xr:uid="{6E4A71A4-1022-44BE-92F2-B20EAACC3E21}"/>
    <cellStyle name="Normal 2 3 2 2 2 2 2 2 37" xfId="17105" xr:uid="{541A24E7-1FBA-401C-8A65-01DE29C1A064}"/>
    <cellStyle name="Normal 2 3 2 2 2 2 2 2 38" xfId="17106" xr:uid="{7ED1F269-93BC-4CA3-8623-4286DD64B3BA}"/>
    <cellStyle name="Normal 2 3 2 2 2 2 2 2 39" xfId="17107" xr:uid="{2CFEEEE4-FBEA-4E1E-8318-EB62DAA4E82A}"/>
    <cellStyle name="Normal 2 3 2 2 2 2 2 2 4" xfId="17108" xr:uid="{539C129D-AAB3-46F8-B59A-A41D82AAD690}"/>
    <cellStyle name="Normal 2 3 2 2 2 2 2 2 4 2" xfId="17109" xr:uid="{88ECE375-2BE8-4D60-8E02-8B352DEB11E6}"/>
    <cellStyle name="Normal 2 3 2 2 2 2 2 2 40" xfId="17110" xr:uid="{D4C979AB-5A22-42AF-BE11-908D3308DEB2}"/>
    <cellStyle name="Normal 2 3 2 2 2 2 2 2 5" xfId="17111" xr:uid="{D2BB48EA-95D8-43D9-9AF7-2FE0DEC44BC9}"/>
    <cellStyle name="Normal 2 3 2 2 2 2 2 2 5 2" xfId="17112" xr:uid="{224144E1-BC15-458F-BC57-FB06EEE53558}"/>
    <cellStyle name="Normal 2 3 2 2 2 2 2 2 5 2 2" xfId="17113" xr:uid="{B92DBAE5-8B8E-4DAA-B884-72771192C651}"/>
    <cellStyle name="Normal 2 3 2 2 2 2 2 2 5 2 3" xfId="17114" xr:uid="{F32F362B-3B9F-4AEB-B2FA-24618A11514E}"/>
    <cellStyle name="Normal 2 3 2 2 2 2 2 2 5 2 4" xfId="17115" xr:uid="{DA7B0E37-EBFF-4033-9110-BBB4C147C2BA}"/>
    <cellStyle name="Normal 2 3 2 2 2 2 2 2 5 2 5" xfId="17116" xr:uid="{127ECF0C-173B-4651-B831-A9284FC8D84D}"/>
    <cellStyle name="Normal 2 3 2 2 2 2 2 2 5 2 6" xfId="17117" xr:uid="{9702BF3A-0AF9-4844-A4B8-92D23F11985B}"/>
    <cellStyle name="Normal 2 3 2 2 2 2 2 2 5 3" xfId="17118" xr:uid="{15E431E6-4686-455F-A7B2-413412BEFDAE}"/>
    <cellStyle name="Normal 2 3 2 2 2 2 2 2 5 4" xfId="17119" xr:uid="{1F761081-8D19-42DB-B8E3-7EB3571060C4}"/>
    <cellStyle name="Normal 2 3 2 2 2 2 2 2 5 5" xfId="17120" xr:uid="{8C03C0E4-DA0A-4D7B-8843-1B2BB1768145}"/>
    <cellStyle name="Normal 2 3 2 2 2 2 2 2 5 6" xfId="17121" xr:uid="{DD845D0B-DD2B-4251-86AD-72AD36697B7B}"/>
    <cellStyle name="Normal 2 3 2 2 2 2 2 2 5 7" xfId="17122" xr:uid="{02B041FC-F0A5-480B-AB50-C0B695445B1F}"/>
    <cellStyle name="Normal 2 3 2 2 2 2 2 2 6" xfId="17123" xr:uid="{778F5E07-587A-4AD9-8128-8AFAA31B43E7}"/>
    <cellStyle name="Normal 2 3 2 2 2 2 2 2 6 2" xfId="17124" xr:uid="{328928A3-1E85-4F6F-B502-2A3F40790CC0}"/>
    <cellStyle name="Normal 2 3 2 2 2 2 2 2 7" xfId="17125" xr:uid="{1722B4AD-9CB9-4F2B-B3C2-454680EA8305}"/>
    <cellStyle name="Normal 2 3 2 2 2 2 2 2 7 2" xfId="17126" xr:uid="{D8B859FF-2C85-4F2B-9A4C-9CBE252F97F0}"/>
    <cellStyle name="Normal 2 3 2 2 2 2 2 2 8" xfId="17127" xr:uid="{39CCB62D-C693-477A-9DC6-1DB75BE215E9}"/>
    <cellStyle name="Normal 2 3 2 2 2 2 2 2 8 2" xfId="17128" xr:uid="{5B885AB0-AB22-473A-AC45-A06532355705}"/>
    <cellStyle name="Normal 2 3 2 2 2 2 2 2 9" xfId="17129" xr:uid="{64A61738-3C4E-4845-92FA-7B26209CC687}"/>
    <cellStyle name="Normal 2 3 2 2 2 2 2 2 9 2" xfId="17130" xr:uid="{C1D1BF04-E82C-43E7-8267-4012C98E54DD}"/>
    <cellStyle name="Normal 2 3 2 2 2 2 2 20" xfId="17131" xr:uid="{E761AFBE-5583-4259-A6D1-E05F2EA83B22}"/>
    <cellStyle name="Normal 2 3 2 2 2 2 2 20 10" xfId="17132" xr:uid="{E76AA0FE-F7D3-45E6-B56D-A9588501FA57}"/>
    <cellStyle name="Normal 2 3 2 2 2 2 2 20 11" xfId="17133" xr:uid="{89405676-C24D-48EC-B1CA-F2F900DF0A2E}"/>
    <cellStyle name="Normal 2 3 2 2 2 2 2 20 12" xfId="17134" xr:uid="{B90B1B46-8798-4A13-B118-4D201E423652}"/>
    <cellStyle name="Normal 2 3 2 2 2 2 2 20 13" xfId="17135" xr:uid="{8C9EE706-D62A-4670-905E-CF1E67A967F1}"/>
    <cellStyle name="Normal 2 3 2 2 2 2 2 20 14" xfId="17136" xr:uid="{0B68DC3C-0797-4252-BB2B-C48D28807512}"/>
    <cellStyle name="Normal 2 3 2 2 2 2 2 20 15" xfId="17137" xr:uid="{DABA9E00-4CF9-4082-ADF4-41B5C7F1B76A}"/>
    <cellStyle name="Normal 2 3 2 2 2 2 2 20 16" xfId="17138" xr:uid="{E041865F-1249-4AC0-A9C0-B552F9BFE541}"/>
    <cellStyle name="Normal 2 3 2 2 2 2 2 20 2" xfId="17139" xr:uid="{1B87CF06-0C47-41CE-9118-0868D76380F9}"/>
    <cellStyle name="Normal 2 3 2 2 2 2 2 20 3" xfId="17140" xr:uid="{E0170D50-546D-40BF-A941-F5C082646512}"/>
    <cellStyle name="Normal 2 3 2 2 2 2 2 20 4" xfId="17141" xr:uid="{02604681-CF5B-46CE-80F8-BFC6653892CE}"/>
    <cellStyle name="Normal 2 3 2 2 2 2 2 20 5" xfId="17142" xr:uid="{8E013390-B860-4EAB-AD14-545CF6DF53B9}"/>
    <cellStyle name="Normal 2 3 2 2 2 2 2 20 6" xfId="17143" xr:uid="{80C0C381-A3E6-4928-B8FF-428FE00254D0}"/>
    <cellStyle name="Normal 2 3 2 2 2 2 2 20 7" xfId="17144" xr:uid="{2D010D42-6077-430F-9807-96D58B5C0891}"/>
    <cellStyle name="Normal 2 3 2 2 2 2 2 20 8" xfId="17145" xr:uid="{5842B83C-E0A2-437C-86C1-FA1C58C3207C}"/>
    <cellStyle name="Normal 2 3 2 2 2 2 2 20 9" xfId="17146" xr:uid="{F49758BC-9D24-43F5-A46B-C97DA3527870}"/>
    <cellStyle name="Normal 2 3 2 2 2 2 2 21" xfId="17147" xr:uid="{6BD9289D-6063-4B49-8BFA-2D64BE465968}"/>
    <cellStyle name="Normal 2 3 2 2 2 2 2 22" xfId="17148" xr:uid="{A0F6C4D3-EF27-4323-B583-567440DFFD8E}"/>
    <cellStyle name="Normal 2 3 2 2 2 2 2 23" xfId="17149" xr:uid="{E1F683C7-EEFA-44F2-B992-748D1C79F098}"/>
    <cellStyle name="Normal 2 3 2 2 2 2 2 24" xfId="17150" xr:uid="{9BE4C549-3DF7-47C4-A653-DB487AB4A281}"/>
    <cellStyle name="Normal 2 3 2 2 2 2 2 25" xfId="17151" xr:uid="{4D3722CB-B3DC-4376-B353-5D83F9582C39}"/>
    <cellStyle name="Normal 2 3 2 2 2 2 2 26" xfId="17152" xr:uid="{8F114ADC-26EA-49EB-9A7C-FC5D18508341}"/>
    <cellStyle name="Normal 2 3 2 2 2 2 2 27" xfId="17153" xr:uid="{D15C9870-E379-4A55-A887-CAD7A3D880C1}"/>
    <cellStyle name="Normal 2 3 2 2 2 2 2 27 2" xfId="17154" xr:uid="{CF68BA14-E06B-407C-8FCD-EB4A89478F60}"/>
    <cellStyle name="Normal 2 3 2 2 2 2 2 27 3" xfId="17155" xr:uid="{1A064EDC-51F1-428F-BFFA-75AA9BB659EC}"/>
    <cellStyle name="Normal 2 3 2 2 2 2 2 27 4" xfId="17156" xr:uid="{410322E9-F2AE-45B0-B511-FCF715C7B208}"/>
    <cellStyle name="Normal 2 3 2 2 2 2 2 27 5" xfId="17157" xr:uid="{C11946D5-4F97-4818-BB90-04EC345C673E}"/>
    <cellStyle name="Normal 2 3 2 2 2 2 2 28" xfId="17158" xr:uid="{CC1244B6-6FDF-4F7A-AFD8-C13AFB32C1A2}"/>
    <cellStyle name="Normal 2 3 2 2 2 2 2 29" xfId="17159" xr:uid="{D8718EDF-B71F-4707-801A-61CF7E29331C}"/>
    <cellStyle name="Normal 2 3 2 2 2 2 2 3" xfId="17160" xr:uid="{17C6B567-E570-41D7-A0D1-D0673EE65DAE}"/>
    <cellStyle name="Normal 2 3 2 2 2 2 2 3 2" xfId="17161" xr:uid="{B29F3753-E8EE-4CC7-A74B-254C18DB6BBC}"/>
    <cellStyle name="Normal 2 3 2 2 2 2 2 30" xfId="17162" xr:uid="{010105FF-F289-4415-A87D-8C9D5A7D7401}"/>
    <cellStyle name="Normal 2 3 2 2 2 2 2 31" xfId="17163" xr:uid="{8C2BE789-2A77-403C-A81E-FD945523498A}"/>
    <cellStyle name="Normal 2 3 2 2 2 2 2 32" xfId="17164" xr:uid="{C2DD0C95-22D0-45DB-83D9-069B4F83B75C}"/>
    <cellStyle name="Normal 2 3 2 2 2 2 2 33" xfId="17165" xr:uid="{797CF9CC-97D4-41B8-B5DC-015CA3ED263F}"/>
    <cellStyle name="Normal 2 3 2 2 2 2 2 34" xfId="17166" xr:uid="{05DA6EE0-A64B-4298-A014-FC1CEAB09B51}"/>
    <cellStyle name="Normal 2 3 2 2 2 2 2 35" xfId="17167" xr:uid="{39EB1EC8-25FD-4713-B5D7-F48BCC137183}"/>
    <cellStyle name="Normal 2 3 2 2 2 2 2 36" xfId="17168" xr:uid="{A3B62347-C8E1-4537-8D02-0A05FE295544}"/>
    <cellStyle name="Normal 2 3 2 2 2 2 2 37" xfId="17169" xr:uid="{78B0C5C4-BC6C-4378-8D40-BA197FC58017}"/>
    <cellStyle name="Normal 2 3 2 2 2 2 2 38" xfId="17170" xr:uid="{4A5A404C-CEA4-4818-9B80-8375BB94F5ED}"/>
    <cellStyle name="Normal 2 3 2 2 2 2 2 39" xfId="17171" xr:uid="{FE33D823-8A09-44F8-BF70-EC9393A05632}"/>
    <cellStyle name="Normal 2 3 2 2 2 2 2 4" xfId="17172" xr:uid="{862575B8-80E5-4872-82A3-67A3DB2EA183}"/>
    <cellStyle name="Normal 2 3 2 2 2 2 2 4 2" xfId="17173" xr:uid="{5CD8EF0F-DF49-4646-B259-9F647DC0E647}"/>
    <cellStyle name="Normal 2 3 2 2 2 2 2 40" xfId="17174" xr:uid="{8CB511D4-906F-42EF-97C0-75175E1B215F}"/>
    <cellStyle name="Normal 2 3 2 2 2 2 2 5" xfId="17175" xr:uid="{60B27CFF-5145-4BD8-89B1-35C0C594C2F2}"/>
    <cellStyle name="Normal 2 3 2 2 2 2 2 5 10" xfId="17176" xr:uid="{87D896A2-F1C3-42B4-B117-A871192F6247}"/>
    <cellStyle name="Normal 2 3 2 2 2 2 2 5 2" xfId="17177" xr:uid="{B3AECBB2-5DD8-4211-AFEB-FD9C7ADF6DE0}"/>
    <cellStyle name="Normal 2 3 2 2 2 2 2 5 2 2" xfId="17178" xr:uid="{6DCEA066-E4CF-4276-A85D-4C452DF8FF54}"/>
    <cellStyle name="Normal 2 3 2 2 2 2 2 5 2 2 2" xfId="17179" xr:uid="{CDFC4814-A889-416F-A656-E00FFFB5E93C}"/>
    <cellStyle name="Normal 2 3 2 2 2 2 2 5 2 2 2 2" xfId="17180" xr:uid="{C9254A58-4D8D-4B6D-8C03-8D218B765A64}"/>
    <cellStyle name="Normal 2 3 2 2 2 2 2 5 2 2 2 3" xfId="17181" xr:uid="{BE9CFF8D-46E0-48A7-B123-56307A8A65AA}"/>
    <cellStyle name="Normal 2 3 2 2 2 2 2 5 2 2 2 4" xfId="17182" xr:uid="{9839748B-9FAC-49A3-921B-64C965DD2CA6}"/>
    <cellStyle name="Normal 2 3 2 2 2 2 2 5 2 2 2 5" xfId="17183" xr:uid="{92BA1BB8-4CEA-4ABD-B36F-8271D9B0AC2E}"/>
    <cellStyle name="Normal 2 3 2 2 2 2 2 5 2 2 2 6" xfId="17184" xr:uid="{41D95662-2F67-47EA-878A-A6486AAF56E8}"/>
    <cellStyle name="Normal 2 3 2 2 2 2 2 5 2 2 3" xfId="17185" xr:uid="{31B54ADB-23B7-4479-B82B-98E1B6A24D3E}"/>
    <cellStyle name="Normal 2 3 2 2 2 2 2 5 2 2 4" xfId="17186" xr:uid="{AD2A5EA2-1145-4ECA-9886-45CD9C5B5E7B}"/>
    <cellStyle name="Normal 2 3 2 2 2 2 2 5 2 2 5" xfId="17187" xr:uid="{DC9F7071-D330-47F2-9CDE-627D9CF4D9AD}"/>
    <cellStyle name="Normal 2 3 2 2 2 2 2 5 2 2 6" xfId="17188" xr:uid="{71D3DCDD-4B7D-4F6B-B137-D931D61C6DE3}"/>
    <cellStyle name="Normal 2 3 2 2 2 2 2 5 2 3" xfId="17189" xr:uid="{06BAC8EB-E7E6-42B7-86E1-1C19E71482E0}"/>
    <cellStyle name="Normal 2 3 2 2 2 2 2 5 2 4" xfId="17190" xr:uid="{3CC419F0-A5CD-490C-8D70-91129210B0D3}"/>
    <cellStyle name="Normal 2 3 2 2 2 2 2 5 2 5" xfId="17191" xr:uid="{8D9CE005-D4F3-4FFD-B9CE-D03E4C45D4C4}"/>
    <cellStyle name="Normal 2 3 2 2 2 2 2 5 2 6" xfId="17192" xr:uid="{FB6B4A86-F9D2-43FE-B20C-1BDEA402625B}"/>
    <cellStyle name="Normal 2 3 2 2 2 2 2 5 2 7" xfId="17193" xr:uid="{E1541B6F-2C61-481C-9D1C-252CD85FFFB3}"/>
    <cellStyle name="Normal 2 3 2 2 2 2 2 5 2 8" xfId="17194" xr:uid="{AF63B492-D89B-4567-AE20-1DB1F7122B5A}"/>
    <cellStyle name="Normal 2 3 2 2 2 2 2 5 2 9" xfId="17195" xr:uid="{DEA75671-5134-4CA7-B71E-E29D01F1C621}"/>
    <cellStyle name="Normal 2 3 2 2 2 2 2 5 3" xfId="17196" xr:uid="{86546692-E6A9-4DA9-A160-E353F358C408}"/>
    <cellStyle name="Normal 2 3 2 2 2 2 2 5 3 2" xfId="17197" xr:uid="{AEF8F4FF-DEFD-4DAC-BF37-D2884A872286}"/>
    <cellStyle name="Normal 2 3 2 2 2 2 2 5 3 2 2" xfId="17198" xr:uid="{5DAA6E93-FAD8-4B12-81C6-350B77B8857E}"/>
    <cellStyle name="Normal 2 3 2 2 2 2 2 5 3 2 3" xfId="17199" xr:uid="{A7B39CC7-6218-4F61-AD22-0CCDDCEA04CE}"/>
    <cellStyle name="Normal 2 3 2 2 2 2 2 5 3 2 4" xfId="17200" xr:uid="{2CFDABC8-725F-431E-BDD5-2110D39940A5}"/>
    <cellStyle name="Normal 2 3 2 2 2 2 2 5 3 2 5" xfId="17201" xr:uid="{72C051DA-0F2B-47C1-BE0E-8D070989160B}"/>
    <cellStyle name="Normal 2 3 2 2 2 2 2 5 3 2 6" xfId="17202" xr:uid="{90ABA03A-2A13-47B1-8942-5F1775CC945B}"/>
    <cellStyle name="Normal 2 3 2 2 2 2 2 5 3 3" xfId="17203" xr:uid="{56CF4DD7-648E-4D6C-ABCD-44F32FB9C033}"/>
    <cellStyle name="Normal 2 3 2 2 2 2 2 5 3 4" xfId="17204" xr:uid="{15218F89-3E5D-4505-831B-51E225B5894F}"/>
    <cellStyle name="Normal 2 3 2 2 2 2 2 5 3 5" xfId="17205" xr:uid="{F8DACE1D-1ECC-4E24-85DD-28F49F3BA184}"/>
    <cellStyle name="Normal 2 3 2 2 2 2 2 5 3 6" xfId="17206" xr:uid="{295E858A-9EAE-4EC0-A6EF-4CB9AF45E508}"/>
    <cellStyle name="Normal 2 3 2 2 2 2 2 5 4" xfId="17207" xr:uid="{41F9F91F-80AD-4936-8EE1-6FA750C041E4}"/>
    <cellStyle name="Normal 2 3 2 2 2 2 2 5 5" xfId="17208" xr:uid="{3F95B004-14CF-4A85-B4B4-B578643B7B1C}"/>
    <cellStyle name="Normal 2 3 2 2 2 2 2 5 6" xfId="17209" xr:uid="{7A12C45B-3B3F-43A0-94DD-F589EE9B5C59}"/>
    <cellStyle name="Normal 2 3 2 2 2 2 2 5 7" xfId="17210" xr:uid="{12625507-74E2-4296-A1AD-24BA470A1991}"/>
    <cellStyle name="Normal 2 3 2 2 2 2 2 5 8" xfId="17211" xr:uid="{38460888-2F49-43D9-8440-F3A639E4E628}"/>
    <cellStyle name="Normal 2 3 2 2 2 2 2 5 9" xfId="17212" xr:uid="{DF52E0A1-E61A-42B9-A1BA-F112126756B1}"/>
    <cellStyle name="Normal 2 3 2 2 2 2 2 6" xfId="17213" xr:uid="{C774DAAB-3F7A-4C0C-B0A7-799CA7991C1E}"/>
    <cellStyle name="Normal 2 3 2 2 2 2 2 6 2" xfId="17214" xr:uid="{DDFCEF0A-BEA3-4CD6-AFD6-84E8A3E4ED9B}"/>
    <cellStyle name="Normal 2 3 2 2 2 2 2 7" xfId="17215" xr:uid="{5794D6E2-6F9D-4391-B933-457008DCB1D0}"/>
    <cellStyle name="Normal 2 3 2 2 2 2 2 7 2" xfId="17216" xr:uid="{DFBBCE62-7471-4401-B44F-DBA473B06AFD}"/>
    <cellStyle name="Normal 2 3 2 2 2 2 2 8" xfId="17217" xr:uid="{E148DB8C-0443-4F27-9137-CF9DDE485A34}"/>
    <cellStyle name="Normal 2 3 2 2 2 2 2 8 2" xfId="17218" xr:uid="{1DCCB01D-0364-4134-9817-9030124B3822}"/>
    <cellStyle name="Normal 2 3 2 2 2 2 2 8 2 2" xfId="17219" xr:uid="{7EC61A22-F2FA-4B3B-9DB7-6F6300055F44}"/>
    <cellStyle name="Normal 2 3 2 2 2 2 2 8 2 3" xfId="17220" xr:uid="{C726B2BD-E574-4EFB-8004-D9AFD21FD314}"/>
    <cellStyle name="Normal 2 3 2 2 2 2 2 8 2 4" xfId="17221" xr:uid="{59F9CDEF-F7D3-4163-B0E7-787354BABFA5}"/>
    <cellStyle name="Normal 2 3 2 2 2 2 2 8 2 5" xfId="17222" xr:uid="{1BB7384A-2F96-4B45-A649-C69DBA4B5955}"/>
    <cellStyle name="Normal 2 3 2 2 2 2 2 8 2 6" xfId="17223" xr:uid="{2BB6B593-60D7-4B56-B053-BE574AAFC5E4}"/>
    <cellStyle name="Normal 2 3 2 2 2 2 2 8 3" xfId="17224" xr:uid="{5BCBFE02-EE0B-4909-9CC2-85D297CAC285}"/>
    <cellStyle name="Normal 2 3 2 2 2 2 2 8 4" xfId="17225" xr:uid="{67E2A307-EF67-4ADC-A1E0-1A13A6A159BC}"/>
    <cellStyle name="Normal 2 3 2 2 2 2 2 8 5" xfId="17226" xr:uid="{505D04E8-E1B0-4848-9D47-16C0C19D1E3B}"/>
    <cellStyle name="Normal 2 3 2 2 2 2 2 8 6" xfId="17227" xr:uid="{C30F4846-0D43-4DEA-9033-52003C49862C}"/>
    <cellStyle name="Normal 2 3 2 2 2 2 2 8 7" xfId="17228" xr:uid="{97A77DD6-F163-48AD-A337-E00D62EE06D4}"/>
    <cellStyle name="Normal 2 3 2 2 2 2 2 9" xfId="17229" xr:uid="{48942626-175C-4903-BA0C-18F8F6B0774F}"/>
    <cellStyle name="Normal 2 3 2 2 2 2 2 9 2" xfId="17230" xr:uid="{5FE7E968-F22F-4181-BCAA-3AA0EA512177}"/>
    <cellStyle name="Normal 2 3 2 2 2 2 20" xfId="17231" xr:uid="{020322EE-0D4B-422F-BC2F-06A9EB4136F6}"/>
    <cellStyle name="Normal 2 3 2 2 2 2 21" xfId="17232" xr:uid="{3A8080BF-4D68-468C-AB39-D501E6F35A5A}"/>
    <cellStyle name="Normal 2 3 2 2 2 2 22" xfId="17233" xr:uid="{EFB7BE7E-2EA5-430F-9B99-62E1ECBCC421}"/>
    <cellStyle name="Normal 2 3 2 2 2 2 23" xfId="17234" xr:uid="{00BE47A8-38D0-4ECD-B908-56465EFE57BD}"/>
    <cellStyle name="Normal 2 3 2 2 2 2 24" xfId="17235" xr:uid="{D0DE3EB6-80EB-4C53-AAB9-48D7B452A0EE}"/>
    <cellStyle name="Normal 2 3 2 2 2 2 25" xfId="17236" xr:uid="{50EF3472-F676-4C56-8EC0-8B4A20453B62}"/>
    <cellStyle name="Normal 2 3 2 2 2 2 26" xfId="17237" xr:uid="{19E1EC9F-DC3F-4C7E-B2D5-77E74417A0EE}"/>
    <cellStyle name="Normal 2 3 2 2 2 2 27" xfId="17238" xr:uid="{DE4EAD26-F464-4227-9CAC-A761AAC7462A}"/>
    <cellStyle name="Normal 2 3 2 2 2 2 28" xfId="17239" xr:uid="{47D100E4-E475-4940-B8DA-27F3AFA74DE2}"/>
    <cellStyle name="Normal 2 3 2 2 2 2 28 10" xfId="17240" xr:uid="{52E564A1-4906-4065-80AB-4A9BD8063298}"/>
    <cellStyle name="Normal 2 3 2 2 2 2 28 11" xfId="17241" xr:uid="{F49325CF-B60A-4A48-9CF3-09953A8B2F5E}"/>
    <cellStyle name="Normal 2 3 2 2 2 2 28 12" xfId="17242" xr:uid="{C94C2290-8602-433F-9BD3-4C76F118F8F1}"/>
    <cellStyle name="Normal 2 3 2 2 2 2 28 13" xfId="17243" xr:uid="{01F47F91-C087-4093-93D8-A33288BC8F5F}"/>
    <cellStyle name="Normal 2 3 2 2 2 2 28 14" xfId="17244" xr:uid="{673349F6-7309-4A93-9BE7-6B8C54E4EC45}"/>
    <cellStyle name="Normal 2 3 2 2 2 2 28 15" xfId="17245" xr:uid="{0339AD25-5754-4796-AB6E-891FFC3F306B}"/>
    <cellStyle name="Normal 2 3 2 2 2 2 28 16" xfId="17246" xr:uid="{85B0DCAC-A8A3-4D2A-B0B5-332F3C675916}"/>
    <cellStyle name="Normal 2 3 2 2 2 2 28 2" xfId="17247" xr:uid="{DD63F47A-8E15-4721-B134-3FE2441CB066}"/>
    <cellStyle name="Normal 2 3 2 2 2 2 28 3" xfId="17248" xr:uid="{54F978CF-93D5-4884-AE90-43A0BFDED60B}"/>
    <cellStyle name="Normal 2 3 2 2 2 2 28 4" xfId="17249" xr:uid="{7CFAC306-C649-469E-9E10-B3DF19EFE9E4}"/>
    <cellStyle name="Normal 2 3 2 2 2 2 28 5" xfId="17250" xr:uid="{175A1447-D166-49E3-84BE-274F8A49F3BC}"/>
    <cellStyle name="Normal 2 3 2 2 2 2 28 6" xfId="17251" xr:uid="{01F00DCF-10DF-42FE-A227-A2AEF232A61B}"/>
    <cellStyle name="Normal 2 3 2 2 2 2 28 7" xfId="17252" xr:uid="{D34A92AD-603C-4EAB-95E4-236CCE666B8D}"/>
    <cellStyle name="Normal 2 3 2 2 2 2 28 8" xfId="17253" xr:uid="{3978B6CA-FB47-4AE0-A907-62C0829C4F00}"/>
    <cellStyle name="Normal 2 3 2 2 2 2 28 9" xfId="17254" xr:uid="{727AA44D-1F08-4EF8-A38D-9F5C41135492}"/>
    <cellStyle name="Normal 2 3 2 2 2 2 29" xfId="17255" xr:uid="{8D5C3344-A832-484B-9F05-C522BC52A7A9}"/>
    <cellStyle name="Normal 2 3 2 2 2 2 3" xfId="17256" xr:uid="{6A0E7C24-1176-434D-92C6-59A4DD17F1BE}"/>
    <cellStyle name="Normal 2 3 2 2 2 2 3 10" xfId="17257" xr:uid="{4ABD0BA9-DFB6-4F61-9996-8529FFF069D0}"/>
    <cellStyle name="Normal 2 3 2 2 2 2 3 11" xfId="17258" xr:uid="{3FBAF5FB-BEDD-481D-8075-4B1B849CB4DA}"/>
    <cellStyle name="Normal 2 3 2 2 2 2 3 12" xfId="17259" xr:uid="{39DC4CE7-D7A0-46AB-A3FC-0FAC8C1B773B}"/>
    <cellStyle name="Normal 2 3 2 2 2 2 3 13" xfId="17260" xr:uid="{C30023D4-A8FA-4E3B-B398-3A94BF090885}"/>
    <cellStyle name="Normal 2 3 2 2 2 2 3 2" xfId="17261" xr:uid="{FB9AE4F6-6EDB-4307-B1B3-DD4B90EC81D3}"/>
    <cellStyle name="Normal 2 3 2 2 2 2 3 2 10" xfId="17262" xr:uid="{F6B4AC16-8819-4FC7-9469-7A285863DDF9}"/>
    <cellStyle name="Normal 2 3 2 2 2 2 3 2 11" xfId="17263" xr:uid="{D94010D1-D6A4-43DD-9912-58E396A0F136}"/>
    <cellStyle name="Normal 2 3 2 2 2 2 3 2 12" xfId="17264" xr:uid="{98EFC2C4-28AB-4138-B178-FD360EEF419E}"/>
    <cellStyle name="Normal 2 3 2 2 2 2 3 2 2" xfId="17265" xr:uid="{0F876512-6821-4256-AC55-890444CE507B}"/>
    <cellStyle name="Normal 2 3 2 2 2 2 3 2 2 2" xfId="17266" xr:uid="{DF8D6223-36D2-402A-8D36-373EE9258883}"/>
    <cellStyle name="Normal 2 3 2 2 2 2 3 2 2 2 2" xfId="17267" xr:uid="{B3884A72-4D8B-48C9-8942-A2A51D20F652}"/>
    <cellStyle name="Normal 2 3 2 2 2 2 3 2 2 2 2 2" xfId="17268" xr:uid="{2BCBC3E5-3376-4B64-AA97-1B5DCF6F413F}"/>
    <cellStyle name="Normal 2 3 2 2 2 2 3 2 2 2 2 2 2" xfId="17269" xr:uid="{5766516E-13C3-4B38-BAD1-C4A5132883B4}"/>
    <cellStyle name="Normal 2 3 2 2 2 2 3 2 2 2 2 2 3" xfId="17270" xr:uid="{A2AD2035-835D-4AD8-B3AC-80A0506E642A}"/>
    <cellStyle name="Normal 2 3 2 2 2 2 3 2 2 2 2 2 4" xfId="17271" xr:uid="{5F362BA4-1979-4710-A080-17525899C479}"/>
    <cellStyle name="Normal 2 3 2 2 2 2 3 2 2 2 2 2 5" xfId="17272" xr:uid="{4151ED77-76B2-4225-A46E-236CEBFE20CA}"/>
    <cellStyle name="Normal 2 3 2 2 2 2 3 2 2 2 2 2 6" xfId="17273" xr:uid="{CEF5EE8D-653B-48C3-8F84-8AF26E261D8B}"/>
    <cellStyle name="Normal 2 3 2 2 2 2 3 2 2 2 2 3" xfId="17274" xr:uid="{89143873-63D6-491E-AF76-8204DE85E5C4}"/>
    <cellStyle name="Normal 2 3 2 2 2 2 3 2 2 2 2 4" xfId="17275" xr:uid="{3E4A1EC8-8EFF-4708-A965-C0CBE03BBA9F}"/>
    <cellStyle name="Normal 2 3 2 2 2 2 3 2 2 2 2 5" xfId="17276" xr:uid="{6A94D351-AB66-4C98-9970-3229CC2836EA}"/>
    <cellStyle name="Normal 2 3 2 2 2 2 3 2 2 2 2 6" xfId="17277" xr:uid="{D0CD6D9C-2DF6-426F-9BEC-B722F379F0CC}"/>
    <cellStyle name="Normal 2 3 2 2 2 2 3 2 2 2 3" xfId="17278" xr:uid="{0BAD088A-7638-48FA-9194-EC9926C14FC6}"/>
    <cellStyle name="Normal 2 3 2 2 2 2 3 2 2 2 4" xfId="17279" xr:uid="{46224688-39D8-4890-A695-E2E2406DF23D}"/>
    <cellStyle name="Normal 2 3 2 2 2 2 3 2 2 2 5" xfId="17280" xr:uid="{7138C048-3AD3-4484-B894-BD3B06C2711F}"/>
    <cellStyle name="Normal 2 3 2 2 2 2 3 2 2 2 6" xfId="17281" xr:uid="{1A524DE4-72C5-42DC-8D74-A7D9FA42CCEB}"/>
    <cellStyle name="Normal 2 3 2 2 2 2 3 2 2 2 7" xfId="17282" xr:uid="{CC210BBA-81C5-4E0F-95C5-4406F2B88D83}"/>
    <cellStyle name="Normal 2 3 2 2 2 2 3 2 2 2 8" xfId="17283" xr:uid="{4E11AD17-A9AD-4DCF-9904-A7BCC0598F50}"/>
    <cellStyle name="Normal 2 3 2 2 2 2 3 2 2 2 9" xfId="17284" xr:uid="{9869F1AF-85E9-4FA6-986B-840F926B4ED7}"/>
    <cellStyle name="Normal 2 3 2 2 2 2 3 2 2 3" xfId="17285" xr:uid="{F2606B70-A076-4397-8A4F-E6831F631EBD}"/>
    <cellStyle name="Normal 2 3 2 2 2 2 3 2 2 3 2" xfId="17286" xr:uid="{60676343-A857-4B40-96A9-7BA4EB0D92DB}"/>
    <cellStyle name="Normal 2 3 2 2 2 2 3 2 2 3 2 2" xfId="17287" xr:uid="{0F93E77C-78F4-4CD8-A3FB-03411D893EE5}"/>
    <cellStyle name="Normal 2 3 2 2 2 2 3 2 2 3 2 3" xfId="17288" xr:uid="{A53C6265-AD0B-4732-9CA4-65B4EE95B4FD}"/>
    <cellStyle name="Normal 2 3 2 2 2 2 3 2 2 3 2 4" xfId="17289" xr:uid="{ADED20C1-6A2B-4A87-982B-A5BEFB14D55C}"/>
    <cellStyle name="Normal 2 3 2 2 2 2 3 2 2 3 2 5" xfId="17290" xr:uid="{12ED9094-1DF3-4B97-93FE-941C1254D96D}"/>
    <cellStyle name="Normal 2 3 2 2 2 2 3 2 2 3 2 6" xfId="17291" xr:uid="{D93A2338-7B87-49A3-B84A-7208DF86AE35}"/>
    <cellStyle name="Normal 2 3 2 2 2 2 3 2 2 3 3" xfId="17292" xr:uid="{90356C4C-A89A-4AD6-B685-B14E1183D221}"/>
    <cellStyle name="Normal 2 3 2 2 2 2 3 2 2 3 4" xfId="17293" xr:uid="{51DEDEBE-76CC-44BF-BA3C-CABDD8D05801}"/>
    <cellStyle name="Normal 2 3 2 2 2 2 3 2 2 3 5" xfId="17294" xr:uid="{BEA1C057-022B-4754-AB0F-73E3000DCD8D}"/>
    <cellStyle name="Normal 2 3 2 2 2 2 3 2 2 3 6" xfId="17295" xr:uid="{606DFD02-671C-424D-A0F9-1491565B2DF9}"/>
    <cellStyle name="Normal 2 3 2 2 2 2 3 2 2 4" xfId="17296" xr:uid="{E2C93D41-DD54-4144-93F5-C601DAC25319}"/>
    <cellStyle name="Normal 2 3 2 2 2 2 3 2 2 5" xfId="17297" xr:uid="{F7E0F0FA-8ABB-4AF4-958F-9ED8299C03F7}"/>
    <cellStyle name="Normal 2 3 2 2 2 2 3 2 2 6" xfId="17298" xr:uid="{95B0D6EF-AD2C-4FE0-A23C-A574EC6E8E83}"/>
    <cellStyle name="Normal 2 3 2 2 2 2 3 2 2 7" xfId="17299" xr:uid="{2F4D8C4E-57E7-41C8-A761-75D08FA760B2}"/>
    <cellStyle name="Normal 2 3 2 2 2 2 3 2 2 8" xfId="17300" xr:uid="{B36349CE-1311-45A7-B65D-F00FDD81C4AE}"/>
    <cellStyle name="Normal 2 3 2 2 2 2 3 2 2 9" xfId="17301" xr:uid="{B5127AE5-19FB-4815-82CB-BEDD41B81F83}"/>
    <cellStyle name="Normal 2 3 2 2 2 2 3 2 3" xfId="17302" xr:uid="{C1071972-D5FD-4AA7-AB27-3F64DFC817F2}"/>
    <cellStyle name="Normal 2 3 2 2 2 2 3 2 4" xfId="17303" xr:uid="{C998C45C-F211-4457-B8A5-3B53801DD76C}"/>
    <cellStyle name="Normal 2 3 2 2 2 2 3 2 5" xfId="17304" xr:uid="{B5C707A9-7DAD-4E41-A295-2F00E709EC50}"/>
    <cellStyle name="Normal 2 3 2 2 2 2 3 2 5 2" xfId="17305" xr:uid="{FFAF3273-FA2B-4A92-9352-221F99359201}"/>
    <cellStyle name="Normal 2 3 2 2 2 2 3 2 5 2 2" xfId="17306" xr:uid="{635863DC-6A9F-478C-8C98-06A104FF272D}"/>
    <cellStyle name="Normal 2 3 2 2 2 2 3 2 5 2 3" xfId="17307" xr:uid="{6EDBA5D3-7385-4CBD-A272-6FB82555D5E8}"/>
    <cellStyle name="Normal 2 3 2 2 2 2 3 2 5 2 4" xfId="17308" xr:uid="{0449A3C1-E90B-443C-9465-1765831405D4}"/>
    <cellStyle name="Normal 2 3 2 2 2 2 3 2 5 2 5" xfId="17309" xr:uid="{44E82CF5-3278-417F-8AA1-D4F1E6FF4350}"/>
    <cellStyle name="Normal 2 3 2 2 2 2 3 2 5 2 6" xfId="17310" xr:uid="{F0F260AF-FAD0-4397-A8A1-325F7F8746CA}"/>
    <cellStyle name="Normal 2 3 2 2 2 2 3 2 5 3" xfId="17311" xr:uid="{E0F26293-F095-409D-850E-DC5BB07F1559}"/>
    <cellStyle name="Normal 2 3 2 2 2 2 3 2 5 4" xfId="17312" xr:uid="{31E985F1-D2FD-4D56-851B-2362BA7D410A}"/>
    <cellStyle name="Normal 2 3 2 2 2 2 3 2 5 5" xfId="17313" xr:uid="{7B9CBFE8-2D8F-4B6A-82BE-03E1AEB32574}"/>
    <cellStyle name="Normal 2 3 2 2 2 2 3 2 5 6" xfId="17314" xr:uid="{626D9B18-45F0-4620-B418-353142BC092E}"/>
    <cellStyle name="Normal 2 3 2 2 2 2 3 2 6" xfId="17315" xr:uid="{3A6984EE-7553-4573-B07D-40336E2ACDA0}"/>
    <cellStyle name="Normal 2 3 2 2 2 2 3 2 7" xfId="17316" xr:uid="{230A27D4-2FF9-4F94-8C77-DC4117CBA885}"/>
    <cellStyle name="Normal 2 3 2 2 2 2 3 2 8" xfId="17317" xr:uid="{245B0C68-2955-429A-825B-819ED5C0A14A}"/>
    <cellStyle name="Normal 2 3 2 2 2 2 3 2 9" xfId="17318" xr:uid="{9EC6BB9F-3929-449E-BC5F-64B36D575B72}"/>
    <cellStyle name="Normal 2 3 2 2 2 2 3 3" xfId="17319" xr:uid="{3A340CB9-4572-4725-8C8E-11CE934E74F4}"/>
    <cellStyle name="Normal 2 3 2 2 2 2 3 3 2" xfId="17320" xr:uid="{1F7232B8-970F-434D-BB3F-399C265E3B2A}"/>
    <cellStyle name="Normal 2 3 2 2 2 2 3 3 2 2" xfId="17321" xr:uid="{C6F56137-7DEF-4A05-9FCD-3542A6956576}"/>
    <cellStyle name="Normal 2 3 2 2 2 2 3 3 2 2 2" xfId="17322" xr:uid="{62AD2795-EBA2-47F3-A7C3-A7ADF8F3291B}"/>
    <cellStyle name="Normal 2 3 2 2 2 2 3 3 2 2 2 2" xfId="17323" xr:uid="{A65060B5-9BD0-4A2A-AA57-95B76B2FEFE1}"/>
    <cellStyle name="Normal 2 3 2 2 2 2 3 3 2 2 2 3" xfId="17324" xr:uid="{E1D591B3-F7C5-4F33-968C-209F92A97A9A}"/>
    <cellStyle name="Normal 2 3 2 2 2 2 3 3 2 2 2 4" xfId="17325" xr:uid="{A7B7FC81-D4E0-4F3E-9872-66B0EE3D19A9}"/>
    <cellStyle name="Normal 2 3 2 2 2 2 3 3 2 2 2 5" xfId="17326" xr:uid="{679AC228-A0A8-405F-AEE4-7843A655CC73}"/>
    <cellStyle name="Normal 2 3 2 2 2 2 3 3 2 2 2 6" xfId="17327" xr:uid="{43B795BC-A800-4EB0-B8E8-3AAEE37C5CFD}"/>
    <cellStyle name="Normal 2 3 2 2 2 2 3 3 2 2 3" xfId="17328" xr:uid="{50BED57D-78C5-44A8-BA5D-9C72BB17D3C8}"/>
    <cellStyle name="Normal 2 3 2 2 2 2 3 3 2 2 4" xfId="17329" xr:uid="{0D66E841-DC29-42D3-948B-74622C45AA1D}"/>
    <cellStyle name="Normal 2 3 2 2 2 2 3 3 2 2 5" xfId="17330" xr:uid="{7D9DAE35-1AD1-4DFC-8911-4983A2E0EDCE}"/>
    <cellStyle name="Normal 2 3 2 2 2 2 3 3 2 2 6" xfId="17331" xr:uid="{60A5E63C-14F6-4A87-8778-15327B42DD75}"/>
    <cellStyle name="Normal 2 3 2 2 2 2 3 3 2 3" xfId="17332" xr:uid="{2FDDABAC-7A37-4E31-BB7A-256DC7112300}"/>
    <cellStyle name="Normal 2 3 2 2 2 2 3 3 2 4" xfId="17333" xr:uid="{BF77D497-91B6-4B45-81EE-740BBFC934D8}"/>
    <cellStyle name="Normal 2 3 2 2 2 2 3 3 2 5" xfId="17334" xr:uid="{800510E1-EB91-4F42-8C16-E37A5FAD9CD0}"/>
    <cellStyle name="Normal 2 3 2 2 2 2 3 3 2 6" xfId="17335" xr:uid="{3B167CA6-EF62-4C48-99D4-A86E18DB2A20}"/>
    <cellStyle name="Normal 2 3 2 2 2 2 3 3 2 7" xfId="17336" xr:uid="{CE1B3C46-F46D-4E50-94AE-0E7E0EBDD9C0}"/>
    <cellStyle name="Normal 2 3 2 2 2 2 3 3 2 8" xfId="17337" xr:uid="{55A56DAB-5115-42FC-AF07-73844E0FB065}"/>
    <cellStyle name="Normal 2 3 2 2 2 2 3 3 2 9" xfId="17338" xr:uid="{9F795741-0E9F-4FFF-9D23-13829E383938}"/>
    <cellStyle name="Normal 2 3 2 2 2 2 3 3 3" xfId="17339" xr:uid="{1DB8D675-FA48-49B2-9BCA-316AF9F68519}"/>
    <cellStyle name="Normal 2 3 2 2 2 2 3 3 3 2" xfId="17340" xr:uid="{B164EA28-912D-4463-A917-A0C1BD6AEB60}"/>
    <cellStyle name="Normal 2 3 2 2 2 2 3 3 3 2 2" xfId="17341" xr:uid="{C7DA5AED-5CF8-4F07-B248-7D77100F379F}"/>
    <cellStyle name="Normal 2 3 2 2 2 2 3 3 3 2 3" xfId="17342" xr:uid="{7A7A12E8-F725-4913-9437-2645E3D48755}"/>
    <cellStyle name="Normal 2 3 2 2 2 2 3 3 3 2 4" xfId="17343" xr:uid="{1E3C2D95-A5BA-4229-8554-090E2E0CD63F}"/>
    <cellStyle name="Normal 2 3 2 2 2 2 3 3 3 2 5" xfId="17344" xr:uid="{6013A4DD-1B76-432E-8B57-D8E3D9B3E7DC}"/>
    <cellStyle name="Normal 2 3 2 2 2 2 3 3 3 2 6" xfId="17345" xr:uid="{6F12F8D8-A041-42E2-8DF2-E95F59894F30}"/>
    <cellStyle name="Normal 2 3 2 2 2 2 3 3 3 3" xfId="17346" xr:uid="{C53B1875-6BE4-4C2D-A4EA-BF1A56409924}"/>
    <cellStyle name="Normal 2 3 2 2 2 2 3 3 3 4" xfId="17347" xr:uid="{DC647457-80EB-43BC-9E60-F8AC1CF5880A}"/>
    <cellStyle name="Normal 2 3 2 2 2 2 3 3 3 5" xfId="17348" xr:uid="{C4F70D1E-6483-474E-BBB8-8D55EA110C74}"/>
    <cellStyle name="Normal 2 3 2 2 2 2 3 3 3 6" xfId="17349" xr:uid="{637A938D-FA40-42E2-8D43-8B461BC607F3}"/>
    <cellStyle name="Normal 2 3 2 2 2 2 3 3 4" xfId="17350" xr:uid="{49E20FD9-DB18-4BB6-8345-64350061F945}"/>
    <cellStyle name="Normal 2 3 2 2 2 2 3 3 5" xfId="17351" xr:uid="{8C2EFEF7-22FA-4410-B067-C783EEF0ACE1}"/>
    <cellStyle name="Normal 2 3 2 2 2 2 3 3 6" xfId="17352" xr:uid="{0FE35CF4-1D29-4344-9D81-970F6F463CA3}"/>
    <cellStyle name="Normal 2 3 2 2 2 2 3 3 7" xfId="17353" xr:uid="{11EB3416-A87F-4E51-8367-FCD987DA1A9B}"/>
    <cellStyle name="Normal 2 3 2 2 2 2 3 3 8" xfId="17354" xr:uid="{443526BC-0314-46EC-88F4-41E61CE02C36}"/>
    <cellStyle name="Normal 2 3 2 2 2 2 3 3 9" xfId="17355" xr:uid="{2EA4B0D7-2A40-4550-83A1-CEC50E58B641}"/>
    <cellStyle name="Normal 2 3 2 2 2 2 3 4" xfId="17356" xr:uid="{D58986C3-9C55-4123-8ABE-E1CAAB754D6E}"/>
    <cellStyle name="Normal 2 3 2 2 2 2 3 5" xfId="17357" xr:uid="{4536A4D5-F995-42CB-93CD-0FD8106C745A}"/>
    <cellStyle name="Normal 2 3 2 2 2 2 3 5 2" xfId="17358" xr:uid="{9FDA3F9C-F648-4FA8-AFA1-D7C15B1E5D9E}"/>
    <cellStyle name="Normal 2 3 2 2 2 2 3 5 2 2" xfId="17359" xr:uid="{33A7F107-04C2-4572-8431-506A0D9F684D}"/>
    <cellStyle name="Normal 2 3 2 2 2 2 3 5 2 3" xfId="17360" xr:uid="{9D551C33-1D28-4BE2-A088-4FBCA8F742C3}"/>
    <cellStyle name="Normal 2 3 2 2 2 2 3 5 2 4" xfId="17361" xr:uid="{73BB317B-4F14-44FF-92C8-69B40AB36C60}"/>
    <cellStyle name="Normal 2 3 2 2 2 2 3 5 2 5" xfId="17362" xr:uid="{710524DA-B849-4CCF-BC0A-9749B25527F8}"/>
    <cellStyle name="Normal 2 3 2 2 2 2 3 5 2 6" xfId="17363" xr:uid="{7199540F-8182-4FD4-BF6F-FA162B7DD029}"/>
    <cellStyle name="Normal 2 3 2 2 2 2 3 5 3" xfId="17364" xr:uid="{1C784769-AC41-408C-A9F0-4457398D8362}"/>
    <cellStyle name="Normal 2 3 2 2 2 2 3 5 4" xfId="17365" xr:uid="{0E459C9C-0DA4-4843-A064-009B81722AA2}"/>
    <cellStyle name="Normal 2 3 2 2 2 2 3 5 5" xfId="17366" xr:uid="{5CCCDAC6-B126-4F05-8E68-3125D48E3152}"/>
    <cellStyle name="Normal 2 3 2 2 2 2 3 5 6" xfId="17367" xr:uid="{EB176678-A5BC-481E-93D5-A06EC44044DB}"/>
    <cellStyle name="Normal 2 3 2 2 2 2 3 6" xfId="17368" xr:uid="{C5097149-5C4B-4183-8503-C56595F00727}"/>
    <cellStyle name="Normal 2 3 2 2 2 2 3 7" xfId="17369" xr:uid="{6F387989-DE10-4112-8A28-CBF60257D2E3}"/>
    <cellStyle name="Normal 2 3 2 2 2 2 3 8" xfId="17370" xr:uid="{87E5DFBC-5DBA-436F-AB96-7E6C6E144B06}"/>
    <cellStyle name="Normal 2 3 2 2 2 2 3 9" xfId="17371" xr:uid="{B529F5DA-A462-46F7-AC7E-C31CD688C038}"/>
    <cellStyle name="Normal 2 3 2 2 2 2 30" xfId="17372" xr:uid="{3E338509-E956-4176-9EB2-558BC1B36213}"/>
    <cellStyle name="Normal 2 3 2 2 2 2 31" xfId="17373" xr:uid="{29BF1984-AEA2-41BF-9CFB-92FE4454D554}"/>
    <cellStyle name="Normal 2 3 2 2 2 2 32" xfId="17374" xr:uid="{4398BEEF-0036-46F0-A5CD-83257DDA71E4}"/>
    <cellStyle name="Normal 2 3 2 2 2 2 33" xfId="17375" xr:uid="{7E58F589-A3B5-4359-84DF-19813DAF8C1B}"/>
    <cellStyle name="Normal 2 3 2 2 2 2 34" xfId="17376" xr:uid="{DE09AFD5-08D6-492D-8073-B95452CE7FC6}"/>
    <cellStyle name="Normal 2 3 2 2 2 2 35" xfId="17377" xr:uid="{1E6DBFA3-A6EB-462B-B857-21F7FC666376}"/>
    <cellStyle name="Normal 2 3 2 2 2 2 36" xfId="17378" xr:uid="{E5A8EC25-9FA0-4D44-9D4B-40D3F7CE3407}"/>
    <cellStyle name="Normal 2 3 2 2 2 2 37" xfId="17379" xr:uid="{34C8DEB9-8C84-4E55-AA4F-74BCEDB0CA9D}"/>
    <cellStyle name="Normal 2 3 2 2 2 2 38" xfId="17380" xr:uid="{DBB80FC6-9B8E-4772-896E-52F1C41FAA14}"/>
    <cellStyle name="Normal 2 3 2 2 2 2 39" xfId="17381" xr:uid="{19C35CF0-EC98-4E3A-A418-782B06880D82}"/>
    <cellStyle name="Normal 2 3 2 2 2 2 4" xfId="17382" xr:uid="{E0A88CB3-3F65-4541-9DE0-2DE16FC802D5}"/>
    <cellStyle name="Normal 2 3 2 2 2 2 4 2" xfId="17383" xr:uid="{E6E5DCB7-2CAD-48E3-8E92-16C0AD4AFDFD}"/>
    <cellStyle name="Normal 2 3 2 2 2 2 40" xfId="17384" xr:uid="{C539A236-ECDE-451C-8157-C6E001EBCCE7}"/>
    <cellStyle name="Normal 2 3 2 2 2 2 41" xfId="17385" xr:uid="{2BEB604B-0B92-4521-868E-956BEF0A3EFA}"/>
    <cellStyle name="Normal 2 3 2 2 2 2 42" xfId="17386" xr:uid="{FFF31034-BD1D-4129-9281-4688DD9E59A4}"/>
    <cellStyle name="Normal 2 3 2 2 2 2 43" xfId="17387" xr:uid="{87C3B6B1-7B1A-49B9-8C1F-95B4233F5FDE}"/>
    <cellStyle name="Normal 2 3 2 2 2 2 44" xfId="17388" xr:uid="{EE557B61-1E1C-45EC-A1B8-54327C05095B}"/>
    <cellStyle name="Normal 2 3 2 2 2 2 45" xfId="17389" xr:uid="{870BDE9F-F9B5-4B49-BE27-7A08AA52F6C5}"/>
    <cellStyle name="Normal 2 3 2 2 2 2 46" xfId="17390" xr:uid="{4F9D91AC-60F5-4260-BE0D-404CE8FCF647}"/>
    <cellStyle name="Normal 2 3 2 2 2 2 47" xfId="17391" xr:uid="{1ECA702B-86CE-4D36-8AF6-06E79D46D847}"/>
    <cellStyle name="Normal 2 3 2 2 2 2 48" xfId="17392" xr:uid="{FE34C1F1-ECC9-4935-8433-69C38D65A5D9}"/>
    <cellStyle name="Normal 2 3 2 2 2 2 49" xfId="17393" xr:uid="{93ACE499-0A85-47F8-87A9-83D49AA64E92}"/>
    <cellStyle name="Normal 2 3 2 2 2 2 5" xfId="17394" xr:uid="{397CF365-2CA6-4096-9BC8-6FE8FEC0AB72}"/>
    <cellStyle name="Normal 2 3 2 2 2 2 5 10" xfId="17395" xr:uid="{352646EC-DFA6-4972-B874-B5A76981CC6C}"/>
    <cellStyle name="Normal 2 3 2 2 2 2 5 2" xfId="17396" xr:uid="{F51A6118-94B3-414E-A66E-52811AA308F6}"/>
    <cellStyle name="Normal 2 3 2 2 2 2 5 2 2" xfId="17397" xr:uid="{529A3FAA-501B-41D2-9787-7087180C2CA3}"/>
    <cellStyle name="Normal 2 3 2 2 2 2 5 2 2 2" xfId="17398" xr:uid="{EEC57DD3-5F1D-4E10-B9F7-69F32BFF4297}"/>
    <cellStyle name="Normal 2 3 2 2 2 2 5 2 2 2 2" xfId="17399" xr:uid="{9431CE74-3CB7-47A5-801C-0D27DD99C5AD}"/>
    <cellStyle name="Normal 2 3 2 2 2 2 5 2 2 2 3" xfId="17400" xr:uid="{414384A5-771B-469A-AA0B-886A989B9D08}"/>
    <cellStyle name="Normal 2 3 2 2 2 2 5 2 2 2 4" xfId="17401" xr:uid="{B4435FE0-A715-42E3-A56C-B6E5F1D45710}"/>
    <cellStyle name="Normal 2 3 2 2 2 2 5 2 2 2 5" xfId="17402" xr:uid="{D3543AE2-8AB1-4E5B-8B8D-AB7BD4F0BF7C}"/>
    <cellStyle name="Normal 2 3 2 2 2 2 5 2 2 2 6" xfId="17403" xr:uid="{9F042D56-317A-417C-B7E5-19D4E6078A14}"/>
    <cellStyle name="Normal 2 3 2 2 2 2 5 2 2 3" xfId="17404" xr:uid="{21188BCA-55CD-46C8-A234-EBD4B589BB89}"/>
    <cellStyle name="Normal 2 3 2 2 2 2 5 2 2 4" xfId="17405" xr:uid="{201AB9FA-A8CA-41EE-A97D-8CA6998D4E99}"/>
    <cellStyle name="Normal 2 3 2 2 2 2 5 2 2 5" xfId="17406" xr:uid="{9859F05F-9536-4F4A-8D4E-85CE80F8441E}"/>
    <cellStyle name="Normal 2 3 2 2 2 2 5 2 2 6" xfId="17407" xr:uid="{E1EFE881-1680-409B-A6E1-15504E430153}"/>
    <cellStyle name="Normal 2 3 2 2 2 2 5 2 3" xfId="17408" xr:uid="{B4EF01CB-EE3E-40AF-A969-70C9628866A9}"/>
    <cellStyle name="Normal 2 3 2 2 2 2 5 2 4" xfId="17409" xr:uid="{A79AAEB0-FA72-40A8-B170-5869419E281F}"/>
    <cellStyle name="Normal 2 3 2 2 2 2 5 2 5" xfId="17410" xr:uid="{6C1EC150-9673-4645-BDAB-032D4FEEF0EE}"/>
    <cellStyle name="Normal 2 3 2 2 2 2 5 2 6" xfId="17411" xr:uid="{D8A4552E-B7B0-480A-956D-5E7FFC6D0F3F}"/>
    <cellStyle name="Normal 2 3 2 2 2 2 5 2 7" xfId="17412" xr:uid="{705F420F-BAED-4304-AB5B-A88D8C1F3B0A}"/>
    <cellStyle name="Normal 2 3 2 2 2 2 5 2 8" xfId="17413" xr:uid="{2E15C62C-BB5A-4FAA-895E-A40E6F930245}"/>
    <cellStyle name="Normal 2 3 2 2 2 2 5 2 9" xfId="17414" xr:uid="{372A0A14-47D8-4710-B5DB-4B2F1DAB0F9D}"/>
    <cellStyle name="Normal 2 3 2 2 2 2 5 3" xfId="17415" xr:uid="{B476F397-7DF7-4837-BCBE-FA39A7301B36}"/>
    <cellStyle name="Normal 2 3 2 2 2 2 5 3 2" xfId="17416" xr:uid="{AA54DE2A-C639-4F50-B45C-C9218A7EC265}"/>
    <cellStyle name="Normal 2 3 2 2 2 2 5 3 2 2" xfId="17417" xr:uid="{C8B61386-183B-4D25-92F7-40A03718412C}"/>
    <cellStyle name="Normal 2 3 2 2 2 2 5 3 2 3" xfId="17418" xr:uid="{F1EA31FB-C537-4BC2-9F3A-46AE21FD2834}"/>
    <cellStyle name="Normal 2 3 2 2 2 2 5 3 2 4" xfId="17419" xr:uid="{1C5FA02E-EF0F-4D54-9DB6-15C8732D9BF9}"/>
    <cellStyle name="Normal 2 3 2 2 2 2 5 3 2 5" xfId="17420" xr:uid="{6EC47262-76CA-4E99-AF63-756D50904EF8}"/>
    <cellStyle name="Normal 2 3 2 2 2 2 5 3 2 6" xfId="17421" xr:uid="{119E9296-558D-4397-8014-D482A9041F97}"/>
    <cellStyle name="Normal 2 3 2 2 2 2 5 3 3" xfId="17422" xr:uid="{28077A7F-26FC-405B-A823-FD867EDD8CBA}"/>
    <cellStyle name="Normal 2 3 2 2 2 2 5 3 4" xfId="17423" xr:uid="{12288E47-921F-4339-AF81-31AF4DEE2CDE}"/>
    <cellStyle name="Normal 2 3 2 2 2 2 5 3 5" xfId="17424" xr:uid="{F04689B8-366C-4015-811E-7239A000F41F}"/>
    <cellStyle name="Normal 2 3 2 2 2 2 5 3 6" xfId="17425" xr:uid="{A3052D43-69E0-4290-BC23-F7BCB9BD4151}"/>
    <cellStyle name="Normal 2 3 2 2 2 2 5 4" xfId="17426" xr:uid="{E6C6CEF3-C21A-4EAB-9D7B-646133094AC5}"/>
    <cellStyle name="Normal 2 3 2 2 2 2 5 5" xfId="17427" xr:uid="{03D634E8-C9C5-44F7-9BF0-F3FCA42C1C6F}"/>
    <cellStyle name="Normal 2 3 2 2 2 2 5 6" xfId="17428" xr:uid="{66D56EDD-00FE-4101-BCE3-03EC99722DA0}"/>
    <cellStyle name="Normal 2 3 2 2 2 2 5 7" xfId="17429" xr:uid="{45539C31-3216-4E7B-817C-BE618B43A5C6}"/>
    <cellStyle name="Normal 2 3 2 2 2 2 5 8" xfId="17430" xr:uid="{DADFAC1C-1557-4E12-9DBF-84470A558101}"/>
    <cellStyle name="Normal 2 3 2 2 2 2 5 9" xfId="17431" xr:uid="{92F1E130-362F-43C5-9ECE-4447962BBE45}"/>
    <cellStyle name="Normal 2 3 2 2 2 2 50" xfId="17432" xr:uid="{95D260BD-0231-4554-8BF1-448EDC84D7B1}"/>
    <cellStyle name="Normal 2 3 2 2 2 2 51" xfId="17433" xr:uid="{4D30BCF3-ACD4-4742-8502-5785723F80B0}"/>
    <cellStyle name="Normal 2 3 2 2 2 2 52" xfId="17434" xr:uid="{4A25984E-F62A-4479-954B-84C09C4B33EE}"/>
    <cellStyle name="Normal 2 3 2 2 2 2 6" xfId="17435" xr:uid="{1B0E7C7A-B7BA-4625-99BD-28ACAA119C24}"/>
    <cellStyle name="Normal 2 3 2 2 2 2 6 2" xfId="17436" xr:uid="{D53EBDAA-1068-4CAA-9378-DDD7B2574602}"/>
    <cellStyle name="Normal 2 3 2 2 2 2 7" xfId="17437" xr:uid="{3CD07BFA-1648-4BA3-AC84-1051DD15A326}"/>
    <cellStyle name="Normal 2 3 2 2 2 2 7 2" xfId="17438" xr:uid="{16A9534D-F8A2-4BEF-83D7-CF5DA7BDA680}"/>
    <cellStyle name="Normal 2 3 2 2 2 2 8" xfId="17439" xr:uid="{04D70ED1-F246-49C2-8642-A6EECB3AAE1C}"/>
    <cellStyle name="Normal 2 3 2 2 2 2 8 2" xfId="17440" xr:uid="{C082BFD3-6218-42E0-9FB6-B662DA8CD02A}"/>
    <cellStyle name="Normal 2 3 2 2 2 2 8 2 2" xfId="17441" xr:uid="{52983C27-F10A-486B-A823-D382103F4C32}"/>
    <cellStyle name="Normal 2 3 2 2 2 2 8 2 3" xfId="17442" xr:uid="{0F18B8D6-11AB-4377-8DD2-53E3B270294A}"/>
    <cellStyle name="Normal 2 3 2 2 2 2 8 2 4" xfId="17443" xr:uid="{2CA24A91-D058-4954-81B9-7AD68C2D135D}"/>
    <cellStyle name="Normal 2 3 2 2 2 2 8 2 5" xfId="17444" xr:uid="{41F29691-8440-4BC3-884C-2B216DBA0D44}"/>
    <cellStyle name="Normal 2 3 2 2 2 2 8 2 6" xfId="17445" xr:uid="{8655A28C-D520-4385-BE60-9745047B482D}"/>
    <cellStyle name="Normal 2 3 2 2 2 2 8 3" xfId="17446" xr:uid="{0FFC880B-B46B-42FE-BBB1-D51C5C5A9EED}"/>
    <cellStyle name="Normal 2 3 2 2 2 2 8 4" xfId="17447" xr:uid="{FE8C22CB-2DF0-44D7-BB8F-46C780F12209}"/>
    <cellStyle name="Normal 2 3 2 2 2 2 8 5" xfId="17448" xr:uid="{3F111D20-E0F8-4B5B-972D-FFE5C862AD5F}"/>
    <cellStyle name="Normal 2 3 2 2 2 2 8 6" xfId="17449" xr:uid="{522C0AE8-C9CA-4A1C-BB23-0B12BDACA4FC}"/>
    <cellStyle name="Normal 2 3 2 2 2 2 8 7" xfId="17450" xr:uid="{46BF2A87-F1C1-4136-A105-C9F11696F7F3}"/>
    <cellStyle name="Normal 2 3 2 2 2 2 9" xfId="17451" xr:uid="{D23AAEAD-485E-4CB9-94A2-9996874BFFDB}"/>
    <cellStyle name="Normal 2 3 2 2 2 2 9 2" xfId="17452" xr:uid="{D5490B19-E36D-47FC-8233-4B57161848F3}"/>
    <cellStyle name="Normal 2 3 2 2 2 20" xfId="17453" xr:uid="{B0AF7A9C-45B0-4150-BEBF-1E0AF90A5F5E}"/>
    <cellStyle name="Normal 2 3 2 2 2 21" xfId="17454" xr:uid="{C8071590-2623-49AA-920E-D1D08A1E23A4}"/>
    <cellStyle name="Normal 2 3 2 2 2 22" xfId="17455" xr:uid="{32F7BD3A-A394-4F8E-A0FA-294DF12917E2}"/>
    <cellStyle name="Normal 2 3 2 2 2 23" xfId="17456" xr:uid="{1A9EBB87-5A1A-4554-B157-7C9BF7D58C75}"/>
    <cellStyle name="Normal 2 3 2 2 2 24" xfId="17457" xr:uid="{0DFD9E21-F737-4142-A6FB-E294E4E17558}"/>
    <cellStyle name="Normal 2 3 2 2 2 25" xfId="17458" xr:uid="{DE7C3419-B140-4324-8AC3-A8AC4A8BCB4A}"/>
    <cellStyle name="Normal 2 3 2 2 2 26" xfId="17459" xr:uid="{5CC0A33C-931E-4704-A3F8-D2B4721990BD}"/>
    <cellStyle name="Normal 2 3 2 2 2 27" xfId="17460" xr:uid="{BFB99972-6D90-4E45-947D-75AD31B82AB1}"/>
    <cellStyle name="Normal 2 3 2 2 2 28" xfId="17461" xr:uid="{50E6D89B-D4AC-48F5-A866-63D3E533948F}"/>
    <cellStyle name="Normal 2 3 2 2 2 28 10" xfId="17462" xr:uid="{11FEA5D7-2461-4CF9-8C44-E062E859D104}"/>
    <cellStyle name="Normal 2 3 2 2 2 28 11" xfId="17463" xr:uid="{29DD1126-E99E-47E5-86D6-F3AC74B05F5D}"/>
    <cellStyle name="Normal 2 3 2 2 2 28 12" xfId="17464" xr:uid="{23E5ED86-6336-4C36-A7C1-F74D7D91797B}"/>
    <cellStyle name="Normal 2 3 2 2 2 28 13" xfId="17465" xr:uid="{60BECB63-3868-41D0-B371-A268A6D4ED06}"/>
    <cellStyle name="Normal 2 3 2 2 2 28 14" xfId="17466" xr:uid="{80149309-E2D0-4D6F-BE41-17C32F4469DA}"/>
    <cellStyle name="Normal 2 3 2 2 2 28 15" xfId="17467" xr:uid="{79D6C840-F39C-4C18-869D-D4EF2B04CE46}"/>
    <cellStyle name="Normal 2 3 2 2 2 28 16" xfId="17468" xr:uid="{E53A35F0-F6F5-4A9C-B830-B4768B488E88}"/>
    <cellStyle name="Normal 2 3 2 2 2 28 2" xfId="17469" xr:uid="{12A7C957-C4DB-4BD1-A017-10C5C53C963C}"/>
    <cellStyle name="Normal 2 3 2 2 2 28 3" xfId="17470" xr:uid="{7A5FCBAC-471C-414B-953D-79971A942061}"/>
    <cellStyle name="Normal 2 3 2 2 2 28 4" xfId="17471" xr:uid="{3CE2B87C-724B-4B7E-A5A4-DF54F5107069}"/>
    <cellStyle name="Normal 2 3 2 2 2 28 5" xfId="17472" xr:uid="{2E1DD480-E875-48FC-89EF-CDB32A00B8BF}"/>
    <cellStyle name="Normal 2 3 2 2 2 28 6" xfId="17473" xr:uid="{BDE121C3-066A-41F1-A699-78AF6DE28120}"/>
    <cellStyle name="Normal 2 3 2 2 2 28 7" xfId="17474" xr:uid="{FB083CE2-333B-4FB5-BE32-88DD9F1C9F3D}"/>
    <cellStyle name="Normal 2 3 2 2 2 28 8" xfId="17475" xr:uid="{0AE6118E-1599-4574-B038-533D827F5F1C}"/>
    <cellStyle name="Normal 2 3 2 2 2 28 9" xfId="17476" xr:uid="{BBA7EC53-CEC3-4F75-B377-B41C1659E602}"/>
    <cellStyle name="Normal 2 3 2 2 2 29" xfId="17477" xr:uid="{B1E96A6D-00CC-4D3A-A599-F287DA57149D}"/>
    <cellStyle name="Normal 2 3 2 2 2 3" xfId="17478" xr:uid="{81B107CC-6590-4B51-B8ED-6E64D320D9E9}"/>
    <cellStyle name="Normal 2 3 2 2 2 3 10" xfId="17479" xr:uid="{8572A3D7-FE71-41F1-A21E-EF928F14225C}"/>
    <cellStyle name="Normal 2 3 2 2 2 3 11" xfId="17480" xr:uid="{936ED565-7DCD-461C-B038-DC05954E4B9C}"/>
    <cellStyle name="Normal 2 3 2 2 2 3 12" xfId="17481" xr:uid="{2F131601-E84F-4393-928E-CCCB5C4670E7}"/>
    <cellStyle name="Normal 2 3 2 2 2 3 13" xfId="17482" xr:uid="{29C21352-EBBF-4E11-BDB7-E46949BACE32}"/>
    <cellStyle name="Normal 2 3 2 2 2 3 14" xfId="17483" xr:uid="{CCD76CAF-CCCF-4C46-A596-D13E6E11269D}"/>
    <cellStyle name="Normal 2 3 2 2 2 3 2" xfId="17484" xr:uid="{7AE0BB1B-BA5B-4928-BE4E-A61B6BE7D8CC}"/>
    <cellStyle name="Normal 2 3 2 2 2 3 2 2" xfId="17485" xr:uid="{E51BD9F2-EABE-4932-8651-98E9F2DE072B}"/>
    <cellStyle name="Normal 2 3 2 2 2 3 2 3" xfId="17486" xr:uid="{80CC58A9-F592-4CDE-B38F-EA5EEF68440E}"/>
    <cellStyle name="Normal 2 3 2 2 2 3 2 4" xfId="17487" xr:uid="{106D867D-C7AE-45D4-9F8B-F1D941FE4A9E}"/>
    <cellStyle name="Normal 2 3 2 2 2 3 2 5" xfId="17488" xr:uid="{16574432-BE51-4D96-B4A3-436F7D1B5F69}"/>
    <cellStyle name="Normal 2 3 2 2 2 3 2 6" xfId="17489" xr:uid="{AA8C07D8-B293-4E0B-AA8F-0D2D4324D4FE}"/>
    <cellStyle name="Normal 2 3 2 2 2 3 2 7" xfId="17490" xr:uid="{13F9FF6F-DCA2-463D-AC85-D357C26B806A}"/>
    <cellStyle name="Normal 2 3 2 2 2 3 2 8" xfId="17491" xr:uid="{F7E14D89-DC87-4625-8BC3-F1EDA2326E3B}"/>
    <cellStyle name="Normal 2 3 2 2 2 3 2 9" xfId="17492" xr:uid="{3A06979D-3D63-4D96-89EB-8A0565896557}"/>
    <cellStyle name="Normal 2 3 2 2 2 3 3" xfId="17493" xr:uid="{60822934-096B-4A02-9E8D-E0780B38580C}"/>
    <cellStyle name="Normal 2 3 2 2 2 3 4" xfId="17494" xr:uid="{4BDB2270-1597-4EDF-A99A-C4872E52426A}"/>
    <cellStyle name="Normal 2 3 2 2 2 3 5" xfId="17495" xr:uid="{E2215E5C-ACD3-4311-9CDC-132984B72636}"/>
    <cellStyle name="Normal 2 3 2 2 2 3 6" xfId="17496" xr:uid="{4608FC2B-D496-432C-877B-2A8D49FB7175}"/>
    <cellStyle name="Normal 2 3 2 2 2 3 7" xfId="17497" xr:uid="{855969C9-6F9A-4A64-9E7C-724CD9A0CB40}"/>
    <cellStyle name="Normal 2 3 2 2 2 3 8" xfId="17498" xr:uid="{513EEF95-A206-4C1C-8177-39712C93196A}"/>
    <cellStyle name="Normal 2 3 2 2 2 3 9" xfId="17499" xr:uid="{413349E5-8984-4DCC-9A2B-1A5F1C7204BD}"/>
    <cellStyle name="Normal 2 3 2 2 2 30" xfId="17500" xr:uid="{FD7819F5-63E8-497C-9FA3-4A9DE673CBAD}"/>
    <cellStyle name="Normal 2 3 2 2 2 31" xfId="17501" xr:uid="{FA9E5AE9-B56A-4C54-B4B5-3565760013E1}"/>
    <cellStyle name="Normal 2 3 2 2 2 32" xfId="17502" xr:uid="{E3EA4252-7415-44F6-A578-3C5B1D8A41C5}"/>
    <cellStyle name="Normal 2 3 2 2 2 33" xfId="17503" xr:uid="{F75BD70A-FF71-4851-BB12-DC31A5ACC4DA}"/>
    <cellStyle name="Normal 2 3 2 2 2 34" xfId="17504" xr:uid="{FC169C56-AA80-44CD-9F3E-B6BB97C6D2B9}"/>
    <cellStyle name="Normal 2 3 2 2 2 35" xfId="17505" xr:uid="{E4763523-9313-4A5F-AF24-6ECF827A9184}"/>
    <cellStyle name="Normal 2 3 2 2 2 35 2" xfId="17506" xr:uid="{AB183E1C-4D77-45BA-BBDB-1028E6D8A3A6}"/>
    <cellStyle name="Normal 2 3 2 2 2 35 3" xfId="17507" xr:uid="{138F7644-EF50-48F1-9007-E2A0FD26072F}"/>
    <cellStyle name="Normal 2 3 2 2 2 35 4" xfId="17508" xr:uid="{C0EF62EF-A906-4F1C-9F4B-2165831E7499}"/>
    <cellStyle name="Normal 2 3 2 2 2 35 5" xfId="17509" xr:uid="{8B8368DF-237F-4375-8AE5-5DAAAC08F26C}"/>
    <cellStyle name="Normal 2 3 2 2 2 36" xfId="17510" xr:uid="{DE7D770A-5285-44BB-99DA-D95559B3CF24}"/>
    <cellStyle name="Normal 2 3 2 2 2 37" xfId="17511" xr:uid="{ACCBA5C2-2A82-4DF0-94D8-C1E2EA9066A1}"/>
    <cellStyle name="Normal 2 3 2 2 2 38" xfId="17512" xr:uid="{2983CA51-70CC-4E8E-8CE2-16E2961D2B38}"/>
    <cellStyle name="Normal 2 3 2 2 2 39" xfId="17513" xr:uid="{AA8CB185-81A5-4C57-9F56-7ABF91BC5F84}"/>
    <cellStyle name="Normal 2 3 2 2 2 4" xfId="17514" xr:uid="{69EA8147-AB35-4CF5-9E0C-6731C04C9A91}"/>
    <cellStyle name="Normal 2 3 2 2 2 4 2" xfId="17515" xr:uid="{DB9C5111-0379-48CE-A39B-220BAF6C247B}"/>
    <cellStyle name="Normal 2 3 2 2 2 4 3" xfId="17516" xr:uid="{E48FC2E8-41A6-41F5-BEFA-B588010D9B60}"/>
    <cellStyle name="Normal 2 3 2 2 2 4 4" xfId="17517" xr:uid="{D9A67F90-3CD2-4975-9469-2791443CCE52}"/>
    <cellStyle name="Normal 2 3 2 2 2 4 5" xfId="17518" xr:uid="{280D8C72-2555-4BC6-9CDB-6D1525A1C65E}"/>
    <cellStyle name="Normal 2 3 2 2 2 4 6" xfId="17519" xr:uid="{5A98BA1E-26B8-4243-B865-8039EA2EF17D}"/>
    <cellStyle name="Normal 2 3 2 2 2 40" xfId="17520" xr:uid="{7252DDCB-2D02-46DD-9B2B-535CEBABF8FB}"/>
    <cellStyle name="Normal 2 3 2 2 2 41" xfId="17521" xr:uid="{9680DE7C-74EB-4D3A-8808-CF500F29153D}"/>
    <cellStyle name="Normal 2 3 2 2 2 42" xfId="17522" xr:uid="{27E7C6B7-D65D-424C-B8DC-7D76C90D75F5}"/>
    <cellStyle name="Normal 2 3 2 2 2 43" xfId="17523" xr:uid="{297399CE-94BC-4BB3-AAB8-BE8FB93D8335}"/>
    <cellStyle name="Normal 2 3 2 2 2 44" xfId="17524" xr:uid="{DBA22468-70DE-4156-B0F7-AB4D8D0A1366}"/>
    <cellStyle name="Normal 2 3 2 2 2 45" xfId="17525" xr:uid="{70DA8947-C46B-45B6-8C8E-F729DAFDAE49}"/>
    <cellStyle name="Normal 2 3 2 2 2 46" xfId="17526" xr:uid="{9CCB11D5-3B48-4965-B413-20209569E957}"/>
    <cellStyle name="Normal 2 3 2 2 2 47" xfId="17527" xr:uid="{53C93C94-EC89-4967-8000-488D29B48838}"/>
    <cellStyle name="Normal 2 3 2 2 2 48" xfId="17528" xr:uid="{2E29F68C-846D-4F0B-AD63-41B06ABDB777}"/>
    <cellStyle name="Normal 2 3 2 2 2 49" xfId="17529" xr:uid="{BF8E95BC-F913-43D9-ACB5-3DFE6AA01663}"/>
    <cellStyle name="Normal 2 3 2 2 2 5" xfId="17530" xr:uid="{FF1E2603-6EE2-429F-97F5-082BE672FF92}"/>
    <cellStyle name="Normal 2 3 2 2 2 5 10" xfId="17531" xr:uid="{F965D2AB-4B97-4590-B74E-33542D0B9B67}"/>
    <cellStyle name="Normal 2 3 2 2 2 5 11" xfId="17532" xr:uid="{FE26C0DE-C71B-4FD8-97C6-6A44522D29C9}"/>
    <cellStyle name="Normal 2 3 2 2 2 5 12" xfId="17533" xr:uid="{29D18847-427C-42C5-9BBE-112172ACC7BA}"/>
    <cellStyle name="Normal 2 3 2 2 2 5 13" xfId="17534" xr:uid="{95B43C6B-FF02-4C53-BC8D-9A02342BB6AF}"/>
    <cellStyle name="Normal 2 3 2 2 2 5 14" xfId="17535" xr:uid="{84E9D199-3D3B-4C3F-9F00-29082F2398A5}"/>
    <cellStyle name="Normal 2 3 2 2 2 5 15" xfId="17536" xr:uid="{5A7295EB-1938-4774-870F-2E3519951D48}"/>
    <cellStyle name="Normal 2 3 2 2 2 5 16" xfId="17537" xr:uid="{D2A5F4B5-6979-4661-A8D1-F62C76592A9F}"/>
    <cellStyle name="Normal 2 3 2 2 2 5 17" xfId="17538" xr:uid="{58E35016-8E68-45B9-8320-A6B57FCD0694}"/>
    <cellStyle name="Normal 2 3 2 2 2 5 2" xfId="17539" xr:uid="{E4475F13-83FF-4134-81D9-42E6672A6B58}"/>
    <cellStyle name="Normal 2 3 2 2 2 5 2 10" xfId="17540" xr:uid="{BF327E8F-A8BB-41B9-BF20-506969049A3C}"/>
    <cellStyle name="Normal 2 3 2 2 2 5 2 11" xfId="17541" xr:uid="{4103C343-CE9C-4786-8979-30BD93D7119F}"/>
    <cellStyle name="Normal 2 3 2 2 2 5 2 12" xfId="17542" xr:uid="{8A6AE17B-E5B7-470E-950B-FEBB454F0F32}"/>
    <cellStyle name="Normal 2 3 2 2 2 5 2 2" xfId="17543" xr:uid="{B0A94B75-8FB5-40C8-AE90-9BEC130FD46C}"/>
    <cellStyle name="Normal 2 3 2 2 2 5 2 2 2" xfId="17544" xr:uid="{E730068D-9D43-44EE-A63D-BE7339D12498}"/>
    <cellStyle name="Normal 2 3 2 2 2 5 2 2 2 2" xfId="17545" xr:uid="{93BACD0F-582A-4246-9D41-768894CC1F97}"/>
    <cellStyle name="Normal 2 3 2 2 2 5 2 2 2 2 2" xfId="17546" xr:uid="{48B2BD3A-1B08-4472-B22D-57B7961FA158}"/>
    <cellStyle name="Normal 2 3 2 2 2 5 2 2 2 2 2 2" xfId="17547" xr:uid="{1FC6A645-F106-446B-871C-FAC654A82EED}"/>
    <cellStyle name="Normal 2 3 2 2 2 5 2 2 2 2 2 3" xfId="17548" xr:uid="{48EA929E-7804-434F-BF8F-6D638AF8C1B3}"/>
    <cellStyle name="Normal 2 3 2 2 2 5 2 2 2 2 2 4" xfId="17549" xr:uid="{2C5D6FD9-C1A5-4022-A706-C464FDA23A24}"/>
    <cellStyle name="Normal 2 3 2 2 2 5 2 2 2 2 2 5" xfId="17550" xr:uid="{1862AC7C-0EEB-414D-9706-0A7A128810E6}"/>
    <cellStyle name="Normal 2 3 2 2 2 5 2 2 2 2 2 6" xfId="17551" xr:uid="{962B55B6-AE64-467F-AFCF-0010829D5C57}"/>
    <cellStyle name="Normal 2 3 2 2 2 5 2 2 2 2 3" xfId="17552" xr:uid="{7D58A727-3F59-4FD8-AA6A-DA4C7ED3C80D}"/>
    <cellStyle name="Normal 2 3 2 2 2 5 2 2 2 2 4" xfId="17553" xr:uid="{95918687-6387-4639-82D5-BF79A98829EE}"/>
    <cellStyle name="Normal 2 3 2 2 2 5 2 2 2 2 5" xfId="17554" xr:uid="{13E13382-ECB8-4CED-B67F-4880DBBE1B70}"/>
    <cellStyle name="Normal 2 3 2 2 2 5 2 2 2 2 6" xfId="17555" xr:uid="{3F7180B0-CBB1-451F-9D95-5CF16A2EF686}"/>
    <cellStyle name="Normal 2 3 2 2 2 5 2 2 2 3" xfId="17556" xr:uid="{69E96F3E-A3A4-4CAB-98CC-043B5C73674E}"/>
    <cellStyle name="Normal 2 3 2 2 2 5 2 2 2 4" xfId="17557" xr:uid="{ED155603-B9A5-4206-8F9A-C4BF7AAA1019}"/>
    <cellStyle name="Normal 2 3 2 2 2 5 2 2 2 5" xfId="17558" xr:uid="{0CF7A12D-3C03-41FF-A75C-055FD031BF94}"/>
    <cellStyle name="Normal 2 3 2 2 2 5 2 2 2 6" xfId="17559" xr:uid="{EB2E855D-A0DE-4135-9249-4A7B6E30B499}"/>
    <cellStyle name="Normal 2 3 2 2 2 5 2 2 2 7" xfId="17560" xr:uid="{01A4800E-F88F-4C7B-A9F1-5A6A2A4923FC}"/>
    <cellStyle name="Normal 2 3 2 2 2 5 2 2 2 8" xfId="17561" xr:uid="{DBB77F1A-B48B-47F3-9A00-6A0C23684232}"/>
    <cellStyle name="Normal 2 3 2 2 2 5 2 2 2 9" xfId="17562" xr:uid="{D09C5D20-01CF-454B-AADF-51889C05BFAE}"/>
    <cellStyle name="Normal 2 3 2 2 2 5 2 2 3" xfId="17563" xr:uid="{645548A4-D852-4481-92B5-5AFE777FC7E1}"/>
    <cellStyle name="Normal 2 3 2 2 2 5 2 2 3 2" xfId="17564" xr:uid="{C2CF8170-1053-40FF-AFF2-C7C32C53A512}"/>
    <cellStyle name="Normal 2 3 2 2 2 5 2 2 3 2 2" xfId="17565" xr:uid="{13AC9474-0646-4279-BAE8-3A58EDEEF3AD}"/>
    <cellStyle name="Normal 2 3 2 2 2 5 2 2 3 2 3" xfId="17566" xr:uid="{F069E895-F79C-43E5-A7EB-C0993F607205}"/>
    <cellStyle name="Normal 2 3 2 2 2 5 2 2 3 2 4" xfId="17567" xr:uid="{1F85B909-9BAD-4CF1-A43D-C769414B9BBA}"/>
    <cellStyle name="Normal 2 3 2 2 2 5 2 2 3 2 5" xfId="17568" xr:uid="{B8C44D76-B83E-461E-9313-5D386A4E707F}"/>
    <cellStyle name="Normal 2 3 2 2 2 5 2 2 3 2 6" xfId="17569" xr:uid="{A44B2610-8F9A-4E94-918D-2CF345BA6A00}"/>
    <cellStyle name="Normal 2 3 2 2 2 5 2 2 3 3" xfId="17570" xr:uid="{3F66507C-1366-4B48-B899-68AB1BE7D02B}"/>
    <cellStyle name="Normal 2 3 2 2 2 5 2 2 3 4" xfId="17571" xr:uid="{9AB06042-56CC-4A1E-B60C-368FD37D37E1}"/>
    <cellStyle name="Normal 2 3 2 2 2 5 2 2 3 5" xfId="17572" xr:uid="{278A95FE-6BA8-4B17-A858-DA42B65952F8}"/>
    <cellStyle name="Normal 2 3 2 2 2 5 2 2 3 6" xfId="17573" xr:uid="{0F54F8AA-7651-48B2-9D2D-33E1027D04E3}"/>
    <cellStyle name="Normal 2 3 2 2 2 5 2 2 4" xfId="17574" xr:uid="{3596F722-7456-412B-8E4D-60AA429C5C4F}"/>
    <cellStyle name="Normal 2 3 2 2 2 5 2 2 5" xfId="17575" xr:uid="{41BC2DCF-D176-4C9B-942C-CFE625886EA0}"/>
    <cellStyle name="Normal 2 3 2 2 2 5 2 2 6" xfId="17576" xr:uid="{C01CA997-6664-4FE4-AFF0-3E43E82CA443}"/>
    <cellStyle name="Normal 2 3 2 2 2 5 2 2 7" xfId="17577" xr:uid="{B6A87A48-0481-4285-931B-54F45F0C9A69}"/>
    <cellStyle name="Normal 2 3 2 2 2 5 2 2 8" xfId="17578" xr:uid="{A164ABCF-0673-46A9-9819-AAEF8666A9D1}"/>
    <cellStyle name="Normal 2 3 2 2 2 5 2 2 9" xfId="17579" xr:uid="{09440FEF-0B2B-4D69-B708-A85A5D1DF3ED}"/>
    <cellStyle name="Normal 2 3 2 2 2 5 2 3" xfId="17580" xr:uid="{998B85A4-0074-4D23-8502-82CA110650BD}"/>
    <cellStyle name="Normal 2 3 2 2 2 5 2 4" xfId="17581" xr:uid="{DA27ADE8-38E0-48CE-9FFB-55D19914533D}"/>
    <cellStyle name="Normal 2 3 2 2 2 5 2 5" xfId="17582" xr:uid="{55E3403D-7C82-48F3-83F8-D58D89BDFDB4}"/>
    <cellStyle name="Normal 2 3 2 2 2 5 2 5 2" xfId="17583" xr:uid="{CEC9F9EB-77D8-4C15-B3B6-F31E8878B115}"/>
    <cellStyle name="Normal 2 3 2 2 2 5 2 5 2 2" xfId="17584" xr:uid="{4F599C4F-5E9C-43D2-8CA3-CA6BF67936A9}"/>
    <cellStyle name="Normal 2 3 2 2 2 5 2 5 2 3" xfId="17585" xr:uid="{135AA0A5-4713-4E05-B18A-BBDF84B13D8F}"/>
    <cellStyle name="Normal 2 3 2 2 2 5 2 5 2 4" xfId="17586" xr:uid="{FE425945-E04B-401B-806F-8953E32EAA1F}"/>
    <cellStyle name="Normal 2 3 2 2 2 5 2 5 2 5" xfId="17587" xr:uid="{9C288ACB-EF8E-49FB-89E8-F4E980F247B5}"/>
    <cellStyle name="Normal 2 3 2 2 2 5 2 5 2 6" xfId="17588" xr:uid="{6952F366-AA71-44CA-9D36-6BDFC137F905}"/>
    <cellStyle name="Normal 2 3 2 2 2 5 2 5 3" xfId="17589" xr:uid="{564F56BA-8902-4D41-87FC-CDFFA0E2B933}"/>
    <cellStyle name="Normal 2 3 2 2 2 5 2 5 4" xfId="17590" xr:uid="{8360CC96-43BC-46F6-9ED4-D146486792F8}"/>
    <cellStyle name="Normal 2 3 2 2 2 5 2 5 5" xfId="17591" xr:uid="{4BEAB704-C61F-4846-9EDB-941B026632F4}"/>
    <cellStyle name="Normal 2 3 2 2 2 5 2 5 6" xfId="17592" xr:uid="{262A0BF0-9D8B-4776-A76D-5B33BF98D54F}"/>
    <cellStyle name="Normal 2 3 2 2 2 5 2 6" xfId="17593" xr:uid="{82BAA065-CF87-4FFF-8252-975424D71F9D}"/>
    <cellStyle name="Normal 2 3 2 2 2 5 2 7" xfId="17594" xr:uid="{1D0CFAC7-2481-433E-9FE1-1F58C28CFB64}"/>
    <cellStyle name="Normal 2 3 2 2 2 5 2 8" xfId="17595" xr:uid="{65297BE7-CE50-4E4E-BDCF-E94DF1C03A47}"/>
    <cellStyle name="Normal 2 3 2 2 2 5 2 9" xfId="17596" xr:uid="{58035936-7BAB-4D0F-A9E7-68E94E627699}"/>
    <cellStyle name="Normal 2 3 2 2 2 5 3" xfId="17597" xr:uid="{2A365A85-ED40-49FF-9776-A225E39F597C}"/>
    <cellStyle name="Normal 2 3 2 2 2 5 3 2" xfId="17598" xr:uid="{FB5781AE-D4F2-4EAA-8A20-857ACE10B650}"/>
    <cellStyle name="Normal 2 3 2 2 2 5 3 2 2" xfId="17599" xr:uid="{236888E9-0C0F-4CD4-A395-43F77D582FEF}"/>
    <cellStyle name="Normal 2 3 2 2 2 5 3 2 2 2" xfId="17600" xr:uid="{0B7AAFB8-BC51-47E0-9080-113A47E7BCD3}"/>
    <cellStyle name="Normal 2 3 2 2 2 5 3 2 2 2 2" xfId="17601" xr:uid="{4252AA24-FFD9-469E-BF4F-2919BED02A8D}"/>
    <cellStyle name="Normal 2 3 2 2 2 5 3 2 2 2 3" xfId="17602" xr:uid="{95D5BE5C-255C-49AA-A741-A8690B33A04A}"/>
    <cellStyle name="Normal 2 3 2 2 2 5 3 2 2 2 4" xfId="17603" xr:uid="{9ECA4627-B41C-4323-87F0-6F23D3709476}"/>
    <cellStyle name="Normal 2 3 2 2 2 5 3 2 2 2 5" xfId="17604" xr:uid="{F75E81CC-31A7-48B1-95A8-5DADBC78456F}"/>
    <cellStyle name="Normal 2 3 2 2 2 5 3 2 2 2 6" xfId="17605" xr:uid="{AA9F2F35-438B-4C5E-A28A-94659FBC4B43}"/>
    <cellStyle name="Normal 2 3 2 2 2 5 3 2 2 3" xfId="17606" xr:uid="{AB4036BA-42FB-45EE-86EF-73B575793D2E}"/>
    <cellStyle name="Normal 2 3 2 2 2 5 3 2 2 4" xfId="17607" xr:uid="{44B9D9B5-B9D4-482A-9395-5EE190F2989C}"/>
    <cellStyle name="Normal 2 3 2 2 2 5 3 2 2 5" xfId="17608" xr:uid="{96F8372C-FC1F-4938-86CD-A9C4C0DE1FE4}"/>
    <cellStyle name="Normal 2 3 2 2 2 5 3 2 2 6" xfId="17609" xr:uid="{6CDF7191-8ED4-4FA0-BE7E-6F008B284223}"/>
    <cellStyle name="Normal 2 3 2 2 2 5 3 2 3" xfId="17610" xr:uid="{1A7BC799-8AA1-45B9-9A38-88AF5ECBAFC1}"/>
    <cellStyle name="Normal 2 3 2 2 2 5 3 2 4" xfId="17611" xr:uid="{79D02AAA-8258-4140-992D-33C32941E5D3}"/>
    <cellStyle name="Normal 2 3 2 2 2 5 3 2 5" xfId="17612" xr:uid="{5098ABB1-84CA-43F3-9796-D01A574CEAC6}"/>
    <cellStyle name="Normal 2 3 2 2 2 5 3 2 6" xfId="17613" xr:uid="{CF5B5094-C1BB-4822-949B-B0F75E0E8D29}"/>
    <cellStyle name="Normal 2 3 2 2 2 5 3 2 7" xfId="17614" xr:uid="{2090AD57-A4D4-420D-A43F-4010D4422D51}"/>
    <cellStyle name="Normal 2 3 2 2 2 5 3 2 8" xfId="17615" xr:uid="{27CCFAAC-B800-4E22-96DF-EB35137ABD21}"/>
    <cellStyle name="Normal 2 3 2 2 2 5 3 2 9" xfId="17616" xr:uid="{B31DA519-3F94-4182-87C5-132614FEC8CB}"/>
    <cellStyle name="Normal 2 3 2 2 2 5 3 3" xfId="17617" xr:uid="{96BF252D-888B-48AF-9B06-FF4054CFAAB4}"/>
    <cellStyle name="Normal 2 3 2 2 2 5 3 3 2" xfId="17618" xr:uid="{87C0A346-1391-4D3B-9478-F0BFE7E30A89}"/>
    <cellStyle name="Normal 2 3 2 2 2 5 3 3 2 2" xfId="17619" xr:uid="{2EF1F2D8-3C55-414D-9C52-D88D548B3C20}"/>
    <cellStyle name="Normal 2 3 2 2 2 5 3 3 2 3" xfId="17620" xr:uid="{AD543DA5-5667-4761-A7CD-D787608B6787}"/>
    <cellStyle name="Normal 2 3 2 2 2 5 3 3 2 4" xfId="17621" xr:uid="{22178519-FF7B-45ED-B6B7-C1F562CEBB16}"/>
    <cellStyle name="Normal 2 3 2 2 2 5 3 3 2 5" xfId="17622" xr:uid="{3C5D7E27-CFC7-4731-A631-8BC57D7FCC3B}"/>
    <cellStyle name="Normal 2 3 2 2 2 5 3 3 2 6" xfId="17623" xr:uid="{16A945DE-8D0E-4A6D-9A43-0B29E2C23166}"/>
    <cellStyle name="Normal 2 3 2 2 2 5 3 3 3" xfId="17624" xr:uid="{2B40AABF-128D-4BC6-8F41-B03AC416460B}"/>
    <cellStyle name="Normal 2 3 2 2 2 5 3 3 4" xfId="17625" xr:uid="{4A878C97-FE04-4047-A72C-668C00A199F9}"/>
    <cellStyle name="Normal 2 3 2 2 2 5 3 3 5" xfId="17626" xr:uid="{7D9EE926-8799-49E0-B691-7F1D29D78EB7}"/>
    <cellStyle name="Normal 2 3 2 2 2 5 3 3 6" xfId="17627" xr:uid="{37B72FC3-156F-47AC-9313-0D1DFAA5EF64}"/>
    <cellStyle name="Normal 2 3 2 2 2 5 3 4" xfId="17628" xr:uid="{69C8F942-702B-43D5-A5A0-B4F2FD088161}"/>
    <cellStyle name="Normal 2 3 2 2 2 5 3 5" xfId="17629" xr:uid="{FAEA4977-97CF-493D-B837-E68524E8D988}"/>
    <cellStyle name="Normal 2 3 2 2 2 5 3 6" xfId="17630" xr:uid="{AFC40A17-2F8E-49FD-B504-DD7E0F6AFCAC}"/>
    <cellStyle name="Normal 2 3 2 2 2 5 3 7" xfId="17631" xr:uid="{2CA81777-4FFD-4195-A9DF-46847023B214}"/>
    <cellStyle name="Normal 2 3 2 2 2 5 3 8" xfId="17632" xr:uid="{F8049860-56DA-461C-850A-771674CF9236}"/>
    <cellStyle name="Normal 2 3 2 2 2 5 3 9" xfId="17633" xr:uid="{30D28F50-F6FC-4E15-BC8A-6973E2DBBDA5}"/>
    <cellStyle name="Normal 2 3 2 2 2 5 4" xfId="17634" xr:uid="{F25C4D6E-4369-40BE-958F-2C59CED2EDB5}"/>
    <cellStyle name="Normal 2 3 2 2 2 5 5" xfId="17635" xr:uid="{9C4D89FD-03C5-4F4D-973A-227C8C8797A4}"/>
    <cellStyle name="Normal 2 3 2 2 2 5 5 2" xfId="17636" xr:uid="{0D4DE57A-EE45-4ADE-831F-5DD1EA70D728}"/>
    <cellStyle name="Normal 2 3 2 2 2 5 5 2 2" xfId="17637" xr:uid="{976E4939-B3BF-4B27-A7FD-E75ADB507739}"/>
    <cellStyle name="Normal 2 3 2 2 2 5 5 2 3" xfId="17638" xr:uid="{BE71C261-BD22-4EE6-832B-E011093B7CBE}"/>
    <cellStyle name="Normal 2 3 2 2 2 5 5 2 4" xfId="17639" xr:uid="{45CF3EE8-61ED-484D-B2D4-D1D9758C9C29}"/>
    <cellStyle name="Normal 2 3 2 2 2 5 5 2 5" xfId="17640" xr:uid="{5D629D1F-EA2D-4E06-B6C5-F62EB64E1CD8}"/>
    <cellStyle name="Normal 2 3 2 2 2 5 5 2 6" xfId="17641" xr:uid="{C6C404DE-4121-4849-AE15-102FAAC2E4B5}"/>
    <cellStyle name="Normal 2 3 2 2 2 5 5 3" xfId="17642" xr:uid="{30787109-FE04-4D94-A60E-C27ABD8C6403}"/>
    <cellStyle name="Normal 2 3 2 2 2 5 5 4" xfId="17643" xr:uid="{A99C0EDC-E0A5-4298-A21B-F6887117EFCD}"/>
    <cellStyle name="Normal 2 3 2 2 2 5 5 5" xfId="17644" xr:uid="{8CE6EAA2-9405-4F30-9F26-63950CC65152}"/>
    <cellStyle name="Normal 2 3 2 2 2 5 5 6" xfId="17645" xr:uid="{0ABF02FD-F3C6-46E1-9249-385030C3DE63}"/>
    <cellStyle name="Normal 2 3 2 2 2 5 6" xfId="17646" xr:uid="{EE226F67-4AFE-425B-8F48-24D87A6D3865}"/>
    <cellStyle name="Normal 2 3 2 2 2 5 7" xfId="17647" xr:uid="{0DE682C6-599E-4C23-995A-217728A63813}"/>
    <cellStyle name="Normal 2 3 2 2 2 5 8" xfId="17648" xr:uid="{0EA3A8CA-DEEC-4D0D-9878-1EC2E7B09889}"/>
    <cellStyle name="Normal 2 3 2 2 2 5 9" xfId="17649" xr:uid="{A60F493C-437C-40DC-AB48-0E0877183BFB}"/>
    <cellStyle name="Normal 2 3 2 2 2 50" xfId="17650" xr:uid="{12F61C38-B3E2-4AAA-B8D4-999EE900222C}"/>
    <cellStyle name="Normal 2 3 2 2 2 51" xfId="17651" xr:uid="{41CB027C-18A6-4E8D-B8DA-17D079B4EAAB}"/>
    <cellStyle name="Normal 2 3 2 2 2 52" xfId="17652" xr:uid="{EF1B4BF5-8DB2-4483-9237-B19E6A49835C}"/>
    <cellStyle name="Normal 2 3 2 2 2 6" xfId="17653" xr:uid="{F5BE22F5-32C6-40EA-A3D8-C987E37E1CB6}"/>
    <cellStyle name="Normal 2 3 2 2 2 6 2" xfId="17654" xr:uid="{4214C254-B613-485B-BA0F-6C668586055A}"/>
    <cellStyle name="Normal 2 3 2 2 2 6 3" xfId="17655" xr:uid="{1B504F26-63E2-47FA-9D93-4C8A7A7F78E4}"/>
    <cellStyle name="Normal 2 3 2 2 2 6 4" xfId="17656" xr:uid="{1B979493-A21E-4EA9-8515-8A36CCF53BC8}"/>
    <cellStyle name="Normal 2 3 2 2 2 6 5" xfId="17657" xr:uid="{161F7116-32AE-48BF-A329-4B133A91C798}"/>
    <cellStyle name="Normal 2 3 2 2 2 6 6" xfId="17658" xr:uid="{19AE479C-10E9-467B-BF04-295328C0F206}"/>
    <cellStyle name="Normal 2 3 2 2 2 7" xfId="17659" xr:uid="{3364163D-DAFF-4334-A035-F9D4AE0E44BB}"/>
    <cellStyle name="Normal 2 3 2 2 2 7 2" xfId="17660" xr:uid="{228870C3-11ED-49BA-AA3A-CB9CC8642804}"/>
    <cellStyle name="Normal 2 3 2 2 2 7 3" xfId="17661" xr:uid="{8699BF88-2EA5-4CFF-8E4B-7A31B51929AA}"/>
    <cellStyle name="Normal 2 3 2 2 2 7 4" xfId="17662" xr:uid="{4AED4B87-3CB6-4B75-B7EF-C9F1DABED9A1}"/>
    <cellStyle name="Normal 2 3 2 2 2 7 5" xfId="17663" xr:uid="{9F6050CE-6A42-4A36-823E-DA902F199BDF}"/>
    <cellStyle name="Normal 2 3 2 2 2 7 6" xfId="17664" xr:uid="{2AF1879D-681B-448A-83A7-549880C55279}"/>
    <cellStyle name="Normal 2 3 2 2 2 8" xfId="17665" xr:uid="{8E54004C-8ECA-4D12-AC9C-3625B46D1335}"/>
    <cellStyle name="Normal 2 3 2 2 2 8 10" xfId="17666" xr:uid="{A03FF7BD-338A-4C1D-A24B-FBF6615F7161}"/>
    <cellStyle name="Normal 2 3 2 2 2 8 11" xfId="17667" xr:uid="{E545AF90-85FB-49EF-A873-685060560D0E}"/>
    <cellStyle name="Normal 2 3 2 2 2 8 12" xfId="17668" xr:uid="{FA380B14-04CB-4E41-82BE-6F44C3E238B9}"/>
    <cellStyle name="Normal 2 3 2 2 2 8 13" xfId="17669" xr:uid="{01DB1FAA-F78D-4C62-A646-D3C20BA0FB11}"/>
    <cellStyle name="Normal 2 3 2 2 2 8 14" xfId="17670" xr:uid="{CF7DBF1C-B54B-4782-B6C1-64361EB41B3C}"/>
    <cellStyle name="Normal 2 3 2 2 2 8 2" xfId="17671" xr:uid="{A29A5EA6-13C6-45EF-BD77-8B59C407FD2B}"/>
    <cellStyle name="Normal 2 3 2 2 2 8 2 2" xfId="17672" xr:uid="{02A33A0C-BEA8-4801-9CFC-0C65D272C3F6}"/>
    <cellStyle name="Normal 2 3 2 2 2 8 2 2 2" xfId="17673" xr:uid="{F9F0E832-E07B-4B16-BE0F-DFD99A698728}"/>
    <cellStyle name="Normal 2 3 2 2 2 8 2 2 2 2" xfId="17674" xr:uid="{9F60DA87-D0C7-4E8B-8884-0A72F13C9262}"/>
    <cellStyle name="Normal 2 3 2 2 2 8 2 2 2 3" xfId="17675" xr:uid="{003BEA06-FB4F-41F4-894D-390B6745BA17}"/>
    <cellStyle name="Normal 2 3 2 2 2 8 2 2 2 4" xfId="17676" xr:uid="{3D851AF2-8828-4DD7-BF48-3368391E4795}"/>
    <cellStyle name="Normal 2 3 2 2 2 8 2 2 2 5" xfId="17677" xr:uid="{177A78E9-C455-428F-9427-7C5DDAF58725}"/>
    <cellStyle name="Normal 2 3 2 2 2 8 2 2 2 6" xfId="17678" xr:uid="{233E14A0-998F-4033-ACF4-F08B26A08865}"/>
    <cellStyle name="Normal 2 3 2 2 2 8 2 2 3" xfId="17679" xr:uid="{0C1FBAF3-28C8-4359-848D-02E8D551907B}"/>
    <cellStyle name="Normal 2 3 2 2 2 8 2 2 4" xfId="17680" xr:uid="{F19D6837-D76D-44BE-9B7F-F261E71B365A}"/>
    <cellStyle name="Normal 2 3 2 2 2 8 2 2 5" xfId="17681" xr:uid="{DC4429F7-12EC-4209-8C55-5188766A2D67}"/>
    <cellStyle name="Normal 2 3 2 2 2 8 2 2 6" xfId="17682" xr:uid="{1D253F96-42BE-4F78-A8DE-61A838804944}"/>
    <cellStyle name="Normal 2 3 2 2 2 8 2 3" xfId="17683" xr:uid="{20CA86A1-C775-41B8-A06E-9F3F8F630023}"/>
    <cellStyle name="Normal 2 3 2 2 2 8 2 4" xfId="17684" xr:uid="{5459B5E2-9937-4098-B349-EB38FF5B1592}"/>
    <cellStyle name="Normal 2 3 2 2 2 8 2 5" xfId="17685" xr:uid="{9D71A989-E752-4F27-A8F9-2BA0EBDD4FD2}"/>
    <cellStyle name="Normal 2 3 2 2 2 8 2 6" xfId="17686" xr:uid="{5B7A86D5-AC42-4A8D-A3C5-D785ECB17BB1}"/>
    <cellStyle name="Normal 2 3 2 2 2 8 2 7" xfId="17687" xr:uid="{E7BB45F0-8F84-4A62-8579-A0F8F84E80CF}"/>
    <cellStyle name="Normal 2 3 2 2 2 8 2 8" xfId="17688" xr:uid="{06B9FFD4-F7D2-4B14-8A3A-B42FA0D5A633}"/>
    <cellStyle name="Normal 2 3 2 2 2 8 2 9" xfId="17689" xr:uid="{D8BE0A11-1039-49EA-A6CE-1D959D1BF88D}"/>
    <cellStyle name="Normal 2 3 2 2 2 8 3" xfId="17690" xr:uid="{60167F83-E5E4-41B6-A7C2-32304D0EE476}"/>
    <cellStyle name="Normal 2 3 2 2 2 8 3 2" xfId="17691" xr:uid="{3D42E427-DE95-4CB1-8775-54490F7DCD2D}"/>
    <cellStyle name="Normal 2 3 2 2 2 8 3 2 2" xfId="17692" xr:uid="{8E3A51CF-FEA3-40D2-96D8-D14A98A45753}"/>
    <cellStyle name="Normal 2 3 2 2 2 8 3 2 3" xfId="17693" xr:uid="{8CE33677-1220-4421-8209-DF1C41F08E5D}"/>
    <cellStyle name="Normal 2 3 2 2 2 8 3 2 4" xfId="17694" xr:uid="{B512601C-BFD7-47C1-BC79-3A59E9D7B36B}"/>
    <cellStyle name="Normal 2 3 2 2 2 8 3 2 5" xfId="17695" xr:uid="{A01B8F6B-CABB-40C6-81F5-508047E83AE7}"/>
    <cellStyle name="Normal 2 3 2 2 2 8 3 2 6" xfId="17696" xr:uid="{405D43E0-62C5-4426-A215-D7937EB915EB}"/>
    <cellStyle name="Normal 2 3 2 2 2 8 3 3" xfId="17697" xr:uid="{F25F060B-EFC4-4EE7-855D-3C6BE8719053}"/>
    <cellStyle name="Normal 2 3 2 2 2 8 3 4" xfId="17698" xr:uid="{197AF472-11BB-4C43-9875-C3DF9CD44DDA}"/>
    <cellStyle name="Normal 2 3 2 2 2 8 3 5" xfId="17699" xr:uid="{362527D3-1D47-4416-84BE-55EB89AE5DEC}"/>
    <cellStyle name="Normal 2 3 2 2 2 8 3 6" xfId="17700" xr:uid="{AE792314-E7F5-4D5F-B0B5-E7397C1CC407}"/>
    <cellStyle name="Normal 2 3 2 2 2 8 4" xfId="17701" xr:uid="{EADFD97B-E61A-41DE-A77D-5BF700FF9BEA}"/>
    <cellStyle name="Normal 2 3 2 2 2 8 5" xfId="17702" xr:uid="{483270BB-125C-4661-8CE2-71766F3EA24F}"/>
    <cellStyle name="Normal 2 3 2 2 2 8 6" xfId="17703" xr:uid="{58304D85-42D8-4528-82CF-029A3EED0110}"/>
    <cellStyle name="Normal 2 3 2 2 2 8 7" xfId="17704" xr:uid="{156DCB80-E07B-46E5-83FC-637022EC404D}"/>
    <cellStyle name="Normal 2 3 2 2 2 8 8" xfId="17705" xr:uid="{504BD28F-F30C-4890-9050-A025F7E1A2C3}"/>
    <cellStyle name="Normal 2 3 2 2 2 8 9" xfId="17706" xr:uid="{C436E730-0C20-455F-8468-B9FDF544B27D}"/>
    <cellStyle name="Normal 2 3 2 2 2 9" xfId="17707" xr:uid="{DDE51B63-44D8-438E-807F-918DF1B1607C}"/>
    <cellStyle name="Normal 2 3 2 2 2 9 2" xfId="17708" xr:uid="{904561BD-4C70-4371-8F19-07AE086A194D}"/>
    <cellStyle name="Normal 2 3 2 2 2 9 3" xfId="17709" xr:uid="{8DCF3408-99E1-4948-A66D-36A1CAD2FA0A}"/>
    <cellStyle name="Normal 2 3 2 2 2 9 4" xfId="17710" xr:uid="{696F334F-3B76-4327-B3AA-6CA1227AD39E}"/>
    <cellStyle name="Normal 2 3 2 2 2 9 5" xfId="17711" xr:uid="{63D1844F-BF75-41E3-BB09-439332981D27}"/>
    <cellStyle name="Normal 2 3 2 2 2 9 6" xfId="17712" xr:uid="{F6B30762-E2D8-4667-8BAE-218D4F89CEC0}"/>
    <cellStyle name="Normal 2 3 2 2 20" xfId="17713" xr:uid="{26ECF615-ADA5-4584-8120-AE5F4F8468CF}"/>
    <cellStyle name="Normal 2 3 2 2 21" xfId="17714" xr:uid="{DA994D8B-94B9-49D3-B567-CB6FF7DD52A3}"/>
    <cellStyle name="Normal 2 3 2 2 22" xfId="17715" xr:uid="{DF0F94C6-F0E2-4C74-A40E-CED14B9EE4D2}"/>
    <cellStyle name="Normal 2 3 2 2 23" xfId="17716" xr:uid="{703176C8-C575-4B94-B0D2-8F19332636B2}"/>
    <cellStyle name="Normal 2 3 2 2 24" xfId="17717" xr:uid="{29CF1B22-2212-4738-837E-3FA13B161200}"/>
    <cellStyle name="Normal 2 3 2 2 25" xfId="17718" xr:uid="{82D259D0-3809-45FB-BC38-1EA59B6DA7FB}"/>
    <cellStyle name="Normal 2 3 2 2 26" xfId="17719" xr:uid="{6B6BD49D-49C4-4F64-BFF2-10837CDEBD66}"/>
    <cellStyle name="Normal 2 3 2 2 27" xfId="17720" xr:uid="{84257400-2F75-47E6-A16A-3361B1DE5242}"/>
    <cellStyle name="Normal 2 3 2 2 28" xfId="17721" xr:uid="{A9C296B3-BA25-4A60-A00C-76EEBE8C9932}"/>
    <cellStyle name="Normal 2 3 2 2 28 2" xfId="17722" xr:uid="{FB794446-23C4-4321-AFC4-70F942C306EF}"/>
    <cellStyle name="Normal 2 3 2 2 28 2 2" xfId="17723" xr:uid="{AA634CF5-D1C4-4666-8778-F639EF04060F}"/>
    <cellStyle name="Normal 2 3 2 2 28 2 2 2" xfId="17724" xr:uid="{D8BBB48E-58FC-4E6E-851B-4F34070BA796}"/>
    <cellStyle name="Normal 2 3 2 2 28 3" xfId="17725" xr:uid="{EF8C2AB9-626C-4C7B-B2B0-D70EBA4F2CA2}"/>
    <cellStyle name="Normal 2 3 2 2 28 4" xfId="17726" xr:uid="{C050D5AA-7CE9-4CD9-80B4-F83CD03F4873}"/>
    <cellStyle name="Normal 2 3 2 2 28 5" xfId="17727" xr:uid="{8B080866-CFD0-4B1E-BD4C-F20D3EB7EBC6}"/>
    <cellStyle name="Normal 2 3 2 2 28 6" xfId="17728" xr:uid="{53BB583A-472B-41ED-AEDA-F90FC7AA0C90}"/>
    <cellStyle name="Normal 2 3 2 2 29" xfId="17729" xr:uid="{9DB774DC-58C5-4011-B306-F2E4BE883521}"/>
    <cellStyle name="Normal 2 3 2 2 29 2" xfId="17730" xr:uid="{7DF912C8-324D-4C26-9042-7459D98325F1}"/>
    <cellStyle name="Normal 2 3 2 2 29 2 2" xfId="17731" xr:uid="{AE1C0680-5065-4711-B22C-93F6387614A8}"/>
    <cellStyle name="Normal 2 3 2 2 3" xfId="17732" xr:uid="{DCDB4E05-EB21-436C-BBE3-BBED14C5D941}"/>
    <cellStyle name="Normal 2 3 2 2 3 10" xfId="17733" xr:uid="{3772D691-704A-4199-848E-9CD5F92324B4}"/>
    <cellStyle name="Normal 2 3 2 2 3 11" xfId="17734" xr:uid="{7089C937-FC07-4E0A-B420-BF2025C09D08}"/>
    <cellStyle name="Normal 2 3 2 2 3 12" xfId="17735" xr:uid="{CE7B177A-2189-4E8E-A959-371A07F054A4}"/>
    <cellStyle name="Normal 2 3 2 2 3 13" xfId="17736" xr:uid="{1C3AA9CA-21FC-4A60-84E4-00019B598BA5}"/>
    <cellStyle name="Normal 2 3 2 2 3 14" xfId="17737" xr:uid="{393F5E50-74CB-48FD-9BA5-51FEE2D84CF5}"/>
    <cellStyle name="Normal 2 3 2 2 3 15" xfId="17738" xr:uid="{06796151-D0DB-466D-8F00-365B6ECA5E0C}"/>
    <cellStyle name="Normal 2 3 2 2 3 16" xfId="17739" xr:uid="{DAEABD99-12C5-4123-9A62-E002C6D53676}"/>
    <cellStyle name="Normal 2 3 2 2 3 2" xfId="17740" xr:uid="{83D5CA3B-1FC0-474B-BCDD-96F3879AB5BC}"/>
    <cellStyle name="Normal 2 3 2 2 3 2 10" xfId="17741" xr:uid="{AE1EBAF8-58FB-4881-B93D-9C2BF4BFCF99}"/>
    <cellStyle name="Normal 2 3 2 2 3 2 11" xfId="17742" xr:uid="{CD752A4E-9095-4E1F-926C-7575C9BDE4E8}"/>
    <cellStyle name="Normal 2 3 2 2 3 2 12" xfId="17743" xr:uid="{FDBA66A6-3B20-4B2A-B8E4-69A5DDE902AD}"/>
    <cellStyle name="Normal 2 3 2 2 3 2 13" xfId="17744" xr:uid="{AC392E40-8356-4BFC-A33E-B06C32A3043B}"/>
    <cellStyle name="Normal 2 3 2 2 3 2 14" xfId="17745" xr:uid="{BB015B4E-7515-41D1-BACE-C2995D7D33CE}"/>
    <cellStyle name="Normal 2 3 2 2 3 2 15" xfId="17746" xr:uid="{478A1135-5DC5-4F58-8BA2-EFE611849F2A}"/>
    <cellStyle name="Normal 2 3 2 2 3 2 2" xfId="17747" xr:uid="{A5BAF387-F67E-4BC2-AD52-1435072B05B5}"/>
    <cellStyle name="Normal 2 3 2 2 3 2 2 10" xfId="17748" xr:uid="{DA679706-28B9-4028-AA3A-5CB6233896C3}"/>
    <cellStyle name="Normal 2 3 2 2 3 2 2 11" xfId="17749" xr:uid="{158115EC-D35C-48EF-9082-5C45760C71E7}"/>
    <cellStyle name="Normal 2 3 2 2 3 2 2 12" xfId="17750" xr:uid="{009AC01E-1DC4-44F7-85EE-2281B08D4C13}"/>
    <cellStyle name="Normal 2 3 2 2 3 2 2 2" xfId="17751" xr:uid="{B185B398-2F96-4F90-A179-987A112734A3}"/>
    <cellStyle name="Normal 2 3 2 2 3 2 2 2 10" xfId="17752" xr:uid="{3D7DB996-A35F-4CF1-BA4E-DD5EF743B9DD}"/>
    <cellStyle name="Normal 2 3 2 2 3 2 2 2 11" xfId="17753" xr:uid="{3C87104B-05E2-42A2-B7E7-219C98DF7155}"/>
    <cellStyle name="Normal 2 3 2 2 3 2 2 2 12" xfId="17754" xr:uid="{FBC47832-49F7-446A-8B8C-09BEF1718C58}"/>
    <cellStyle name="Normal 2 3 2 2 3 2 2 2 2" xfId="17755" xr:uid="{07C78686-E70D-45D1-ABAB-7B9ED737EC54}"/>
    <cellStyle name="Normal 2 3 2 2 3 2 2 2 2 2" xfId="17756" xr:uid="{C6EC2F64-A07C-4AC3-B657-CF0700293451}"/>
    <cellStyle name="Normal 2 3 2 2 3 2 2 2 2 2 2" xfId="17757" xr:uid="{3E4E316A-8EE5-4CA7-B63D-08BE3C6F7B5D}"/>
    <cellStyle name="Normal 2 3 2 2 3 2 2 2 2 2 2 2" xfId="17758" xr:uid="{D6B98FDE-4DF7-4BB4-88EB-142F7822C3C1}"/>
    <cellStyle name="Normal 2 3 2 2 3 2 2 2 2 2 2 2 2" xfId="17759" xr:uid="{60256345-6D82-4A17-B569-C60F132032DC}"/>
    <cellStyle name="Normal 2 3 2 2 3 2 2 2 2 2 2 2 3" xfId="17760" xr:uid="{63DE2273-63E9-4C36-9976-695EB9B3FD45}"/>
    <cellStyle name="Normal 2 3 2 2 3 2 2 2 2 2 2 2 4" xfId="17761" xr:uid="{264B3A62-9E71-46A7-BEFA-3034B034D83D}"/>
    <cellStyle name="Normal 2 3 2 2 3 2 2 2 2 2 2 2 5" xfId="17762" xr:uid="{D76414AB-DE0E-490A-A303-1B2E9AD0D957}"/>
    <cellStyle name="Normal 2 3 2 2 3 2 2 2 2 2 2 2 6" xfId="17763" xr:uid="{A2867486-DC39-4753-9D0B-7154DA62242F}"/>
    <cellStyle name="Normal 2 3 2 2 3 2 2 2 2 2 2 3" xfId="17764" xr:uid="{826D79A5-E0CE-4762-8222-ED189EF7802D}"/>
    <cellStyle name="Normal 2 3 2 2 3 2 2 2 2 2 2 4" xfId="17765" xr:uid="{6AE7B2CB-B5D4-4C9F-BC50-2EA779B6D593}"/>
    <cellStyle name="Normal 2 3 2 2 3 2 2 2 2 2 2 5" xfId="17766" xr:uid="{6E413D9F-7015-45EA-B0E6-8C75E91BC9F8}"/>
    <cellStyle name="Normal 2 3 2 2 3 2 2 2 2 2 2 6" xfId="17767" xr:uid="{4353CF27-1AC7-4BF0-AA83-AC8E6F791934}"/>
    <cellStyle name="Normal 2 3 2 2 3 2 2 2 2 2 3" xfId="17768" xr:uid="{8AAB7E4A-D271-49F4-A194-386AC3DA2995}"/>
    <cellStyle name="Normal 2 3 2 2 3 2 2 2 2 2 4" xfId="17769" xr:uid="{EB3D6CCD-D58D-4080-B558-64800BB7BC0A}"/>
    <cellStyle name="Normal 2 3 2 2 3 2 2 2 2 2 5" xfId="17770" xr:uid="{3062712F-096E-408E-B70F-D83FFDC62BFF}"/>
    <cellStyle name="Normal 2 3 2 2 3 2 2 2 2 2 6" xfId="17771" xr:uid="{84062ADB-A645-4845-916B-1A8FE8B187AE}"/>
    <cellStyle name="Normal 2 3 2 2 3 2 2 2 2 2 7" xfId="17772" xr:uid="{99A3AE15-2411-4647-9DA1-BC6DF27CE29D}"/>
    <cellStyle name="Normal 2 3 2 2 3 2 2 2 2 2 8" xfId="17773" xr:uid="{6ED68476-1F0B-4EB1-812F-E08556E37C9F}"/>
    <cellStyle name="Normal 2 3 2 2 3 2 2 2 2 2 9" xfId="17774" xr:uid="{8661CE60-9DBF-40B5-B30C-4DF436938020}"/>
    <cellStyle name="Normal 2 3 2 2 3 2 2 2 2 3" xfId="17775" xr:uid="{025BD870-528A-42F5-9ECF-45CEC9BCD654}"/>
    <cellStyle name="Normal 2 3 2 2 3 2 2 2 2 3 2" xfId="17776" xr:uid="{6C9B25BA-05E9-4E2F-B2A8-3B94BB793BBF}"/>
    <cellStyle name="Normal 2 3 2 2 3 2 2 2 2 3 2 2" xfId="17777" xr:uid="{EA6B93F9-F043-4AC9-A564-C5A375DF24C5}"/>
    <cellStyle name="Normal 2 3 2 2 3 2 2 2 2 3 2 3" xfId="17778" xr:uid="{2425E7BE-AB17-4479-BAA2-C4A3C09BAF6F}"/>
    <cellStyle name="Normal 2 3 2 2 3 2 2 2 2 3 2 4" xfId="17779" xr:uid="{044AF753-E5F2-4E0F-AB7E-A3BC2B974B05}"/>
    <cellStyle name="Normal 2 3 2 2 3 2 2 2 2 3 2 5" xfId="17780" xr:uid="{26B14F27-A4F8-4C35-B2C4-A4E4AAF6EE38}"/>
    <cellStyle name="Normal 2 3 2 2 3 2 2 2 2 3 2 6" xfId="17781" xr:uid="{909C4B69-5895-4972-B923-61ECF78C8694}"/>
    <cellStyle name="Normal 2 3 2 2 3 2 2 2 2 3 3" xfId="17782" xr:uid="{1AD279F8-DCEB-460E-9232-852495C1612F}"/>
    <cellStyle name="Normal 2 3 2 2 3 2 2 2 2 3 4" xfId="17783" xr:uid="{F29262C7-9195-4816-A954-17E9A4EF447C}"/>
    <cellStyle name="Normal 2 3 2 2 3 2 2 2 2 3 5" xfId="17784" xr:uid="{663E75BD-2B6A-428A-91ED-AF06CA91A359}"/>
    <cellStyle name="Normal 2 3 2 2 3 2 2 2 2 3 6" xfId="17785" xr:uid="{7401A94E-02B1-42E2-B945-F117E6D09551}"/>
    <cellStyle name="Normal 2 3 2 2 3 2 2 2 2 4" xfId="17786" xr:uid="{DBFD4D4B-59C4-4ACC-B59F-E69DBD626F29}"/>
    <cellStyle name="Normal 2 3 2 2 3 2 2 2 2 5" xfId="17787" xr:uid="{9833B360-BA2D-47A7-9D65-6CA72591E700}"/>
    <cellStyle name="Normal 2 3 2 2 3 2 2 2 2 6" xfId="17788" xr:uid="{59E84B38-B602-4908-AF1B-8B0C6FDFAE8E}"/>
    <cellStyle name="Normal 2 3 2 2 3 2 2 2 2 7" xfId="17789" xr:uid="{82949FF7-4AAE-4AC7-B39A-5FF35777538B}"/>
    <cellStyle name="Normal 2 3 2 2 3 2 2 2 2 8" xfId="17790" xr:uid="{02309C50-A348-4F1F-A979-86F0FE1C5CBE}"/>
    <cellStyle name="Normal 2 3 2 2 3 2 2 2 2 9" xfId="17791" xr:uid="{A497F525-41DA-4FB4-A798-D2A6A5ECBBC2}"/>
    <cellStyle name="Normal 2 3 2 2 3 2 2 2 3" xfId="17792" xr:uid="{292332C2-4B0C-4B7C-A2B5-A7E322C5007B}"/>
    <cellStyle name="Normal 2 3 2 2 3 2 2 2 4" xfId="17793" xr:uid="{1F4DB0F4-1F89-4629-9B84-78034C560004}"/>
    <cellStyle name="Normal 2 3 2 2 3 2 2 2 5" xfId="17794" xr:uid="{F4298223-41D8-46E2-82FA-4C39B8AB8A24}"/>
    <cellStyle name="Normal 2 3 2 2 3 2 2 2 5 2" xfId="17795" xr:uid="{4D70DA2F-4F47-455A-BCDF-41A9C12AC9A6}"/>
    <cellStyle name="Normal 2 3 2 2 3 2 2 2 5 2 2" xfId="17796" xr:uid="{58FE9560-6446-402A-A441-B37F58401B57}"/>
    <cellStyle name="Normal 2 3 2 2 3 2 2 2 5 2 3" xfId="17797" xr:uid="{E77181B8-F292-47F1-B735-4371D6C1A401}"/>
    <cellStyle name="Normal 2 3 2 2 3 2 2 2 5 2 4" xfId="17798" xr:uid="{38925CC2-DA0F-4D85-8A7B-FF976D1E4C72}"/>
    <cellStyle name="Normal 2 3 2 2 3 2 2 2 5 2 5" xfId="17799" xr:uid="{F69E4FF1-9967-4E8E-9C9B-59994B880F75}"/>
    <cellStyle name="Normal 2 3 2 2 3 2 2 2 5 2 6" xfId="17800" xr:uid="{5FB320FB-423B-4F89-9DA4-5F2CAA3740CC}"/>
    <cellStyle name="Normal 2 3 2 2 3 2 2 2 5 3" xfId="17801" xr:uid="{8B10F66C-8B46-4A2F-B190-D994915C4EF1}"/>
    <cellStyle name="Normal 2 3 2 2 3 2 2 2 5 4" xfId="17802" xr:uid="{308703C0-4570-43AD-A3A4-0C7E81950DB1}"/>
    <cellStyle name="Normal 2 3 2 2 3 2 2 2 5 5" xfId="17803" xr:uid="{A9234D59-DC8D-4436-9287-D737D56201EF}"/>
    <cellStyle name="Normal 2 3 2 2 3 2 2 2 5 6" xfId="17804" xr:uid="{C705F61F-DC67-4DD3-BBBE-EBDF324078C8}"/>
    <cellStyle name="Normal 2 3 2 2 3 2 2 2 6" xfId="17805" xr:uid="{60F4C7B1-76EC-471F-B81D-5ADAC477E407}"/>
    <cellStyle name="Normal 2 3 2 2 3 2 2 2 7" xfId="17806" xr:uid="{FF3AF097-D7BF-4E0B-8799-406A77B6CB9D}"/>
    <cellStyle name="Normal 2 3 2 2 3 2 2 2 8" xfId="17807" xr:uid="{1B64FC40-101A-4766-846D-DF213988C65B}"/>
    <cellStyle name="Normal 2 3 2 2 3 2 2 2 9" xfId="17808" xr:uid="{B3D399A9-6160-4426-8B5D-AA187AFD1914}"/>
    <cellStyle name="Normal 2 3 2 2 3 2 2 3" xfId="17809" xr:uid="{558D0E07-369A-41D6-9943-16D956CDC88D}"/>
    <cellStyle name="Normal 2 3 2 2 3 2 2 3 2" xfId="17810" xr:uid="{9F32ADA1-4884-4865-9D97-18EF2FDDBEC8}"/>
    <cellStyle name="Normal 2 3 2 2 3 2 2 3 2 2" xfId="17811" xr:uid="{DDD7E426-9D73-4DE0-AEDC-90FA694CD473}"/>
    <cellStyle name="Normal 2 3 2 2 3 2 2 3 2 2 2" xfId="17812" xr:uid="{D35BC9CA-F1C5-413D-8779-2FD8AC0ABB7D}"/>
    <cellStyle name="Normal 2 3 2 2 3 2 2 3 2 2 2 2" xfId="17813" xr:uid="{A35DDF0B-A0F6-433D-9A67-5E4799DEE862}"/>
    <cellStyle name="Normal 2 3 2 2 3 2 2 3 2 2 2 3" xfId="17814" xr:uid="{A35CDFF3-5420-4D47-BADE-C3E7C9D99AE3}"/>
    <cellStyle name="Normal 2 3 2 2 3 2 2 3 2 2 2 4" xfId="17815" xr:uid="{A6FBB834-3C11-4399-AEE5-A41246BD75A9}"/>
    <cellStyle name="Normal 2 3 2 2 3 2 2 3 2 2 2 5" xfId="17816" xr:uid="{65A331B9-D3A1-4C21-88BE-FCE2EFBE7B4C}"/>
    <cellStyle name="Normal 2 3 2 2 3 2 2 3 2 2 2 6" xfId="17817" xr:uid="{86B5184A-E053-4F79-A311-4C5A48E0BC56}"/>
    <cellStyle name="Normal 2 3 2 2 3 2 2 3 2 2 3" xfId="17818" xr:uid="{88D235BB-C039-474C-A9C3-B87BBFD915C8}"/>
    <cellStyle name="Normal 2 3 2 2 3 2 2 3 2 2 4" xfId="17819" xr:uid="{DC25315E-FDBE-4C15-9D15-D02D32B1173E}"/>
    <cellStyle name="Normal 2 3 2 2 3 2 2 3 2 2 5" xfId="17820" xr:uid="{9CEF2626-11FB-496D-9DC5-B9B5A98B773E}"/>
    <cellStyle name="Normal 2 3 2 2 3 2 2 3 2 2 6" xfId="17821" xr:uid="{34423B35-EB07-4E03-AECC-2617258D6C1B}"/>
    <cellStyle name="Normal 2 3 2 2 3 2 2 3 2 3" xfId="17822" xr:uid="{EB9A1A61-1826-413B-A95C-5D43019582A6}"/>
    <cellStyle name="Normal 2 3 2 2 3 2 2 3 2 4" xfId="17823" xr:uid="{6E09183C-C52B-4DC6-B95A-A051271DBD25}"/>
    <cellStyle name="Normal 2 3 2 2 3 2 2 3 2 5" xfId="17824" xr:uid="{F740FA44-7750-43A5-9DAD-395A0ABDD390}"/>
    <cellStyle name="Normal 2 3 2 2 3 2 2 3 2 6" xfId="17825" xr:uid="{86E735AE-9895-46BC-8F5A-9F9C79982EDE}"/>
    <cellStyle name="Normal 2 3 2 2 3 2 2 3 2 7" xfId="17826" xr:uid="{5E5E2CA6-FC92-4287-B1B0-21F221416803}"/>
    <cellStyle name="Normal 2 3 2 2 3 2 2 3 2 8" xfId="17827" xr:uid="{D30BA438-FCEE-4B20-A7CE-C52F286E0606}"/>
    <cellStyle name="Normal 2 3 2 2 3 2 2 3 2 9" xfId="17828" xr:uid="{945DEB92-046D-47FB-8F2F-72F9C28C5E6E}"/>
    <cellStyle name="Normal 2 3 2 2 3 2 2 3 3" xfId="17829" xr:uid="{FBE0EFE3-A252-47FC-AFD8-0FC1CDAEC41F}"/>
    <cellStyle name="Normal 2 3 2 2 3 2 2 3 3 2" xfId="17830" xr:uid="{1594D997-95CE-4F64-86B0-CADA255DA4A2}"/>
    <cellStyle name="Normal 2 3 2 2 3 2 2 3 3 2 2" xfId="17831" xr:uid="{886DF544-F9D0-4831-91E1-45F255464EB6}"/>
    <cellStyle name="Normal 2 3 2 2 3 2 2 3 3 2 3" xfId="17832" xr:uid="{A712634F-CCC0-467F-9A27-201CE91C1976}"/>
    <cellStyle name="Normal 2 3 2 2 3 2 2 3 3 2 4" xfId="17833" xr:uid="{CFF688ED-2CDE-4480-885C-4596BF87BBB2}"/>
    <cellStyle name="Normal 2 3 2 2 3 2 2 3 3 2 5" xfId="17834" xr:uid="{92DF6E25-ECA6-41BF-A131-CBF3B659336F}"/>
    <cellStyle name="Normal 2 3 2 2 3 2 2 3 3 2 6" xfId="17835" xr:uid="{B2FD483A-6C05-47DC-B52E-F6B87CC327E1}"/>
    <cellStyle name="Normal 2 3 2 2 3 2 2 3 3 3" xfId="17836" xr:uid="{28BEC1FC-E793-486B-9226-4912885A3E9D}"/>
    <cellStyle name="Normal 2 3 2 2 3 2 2 3 3 4" xfId="17837" xr:uid="{2793F60B-86C2-437E-AC37-938526CE0FD9}"/>
    <cellStyle name="Normal 2 3 2 2 3 2 2 3 3 5" xfId="17838" xr:uid="{B212CF90-D444-4E9B-9776-1797502B50D6}"/>
    <cellStyle name="Normal 2 3 2 2 3 2 2 3 3 6" xfId="17839" xr:uid="{98B4867A-719E-48C1-9CEB-F0FC337F979B}"/>
    <cellStyle name="Normal 2 3 2 2 3 2 2 3 4" xfId="17840" xr:uid="{88C75527-AFC7-4A03-A235-1DB8DB73D14F}"/>
    <cellStyle name="Normal 2 3 2 2 3 2 2 3 5" xfId="17841" xr:uid="{B4875DD8-3A65-408F-BFB3-030BB1523E99}"/>
    <cellStyle name="Normal 2 3 2 2 3 2 2 3 6" xfId="17842" xr:uid="{2967ECC8-1B46-45EE-8470-7C49AB99BC43}"/>
    <cellStyle name="Normal 2 3 2 2 3 2 2 3 7" xfId="17843" xr:uid="{A9382478-B31F-4657-A036-E3EA2ADA296F}"/>
    <cellStyle name="Normal 2 3 2 2 3 2 2 3 8" xfId="17844" xr:uid="{B187C3A3-E1BD-4EF1-A771-DCD08DC811A6}"/>
    <cellStyle name="Normal 2 3 2 2 3 2 2 3 9" xfId="17845" xr:uid="{CE83EC9B-0370-4867-9A26-7826EE5ABA8D}"/>
    <cellStyle name="Normal 2 3 2 2 3 2 2 4" xfId="17846" xr:uid="{16E6F0DD-A2CE-4F7A-A61D-2EE21A352EAF}"/>
    <cellStyle name="Normal 2 3 2 2 3 2 2 5" xfId="17847" xr:uid="{70D6E3A5-7B5E-4C76-9988-1B102ADF114D}"/>
    <cellStyle name="Normal 2 3 2 2 3 2 2 5 2" xfId="17848" xr:uid="{87D47F4C-96AC-4DD7-AD51-F560D1F04C35}"/>
    <cellStyle name="Normal 2 3 2 2 3 2 2 5 2 2" xfId="17849" xr:uid="{41B73C67-868D-4B22-8F53-B60D5963E4F6}"/>
    <cellStyle name="Normal 2 3 2 2 3 2 2 5 2 3" xfId="17850" xr:uid="{584A4442-393E-493A-B721-684807BBEC90}"/>
    <cellStyle name="Normal 2 3 2 2 3 2 2 5 2 4" xfId="17851" xr:uid="{C1273FEA-1E14-4A81-865F-7E665CEDC019}"/>
    <cellStyle name="Normal 2 3 2 2 3 2 2 5 2 5" xfId="17852" xr:uid="{0D7CCD56-8C01-4FD1-B7D6-81B39B825A5F}"/>
    <cellStyle name="Normal 2 3 2 2 3 2 2 5 2 6" xfId="17853" xr:uid="{33A8D9F1-9A37-4118-A90A-57C2BF526B21}"/>
    <cellStyle name="Normal 2 3 2 2 3 2 2 5 3" xfId="17854" xr:uid="{73A1383F-DEC7-4F23-80D6-5A75C5613C7F}"/>
    <cellStyle name="Normal 2 3 2 2 3 2 2 5 4" xfId="17855" xr:uid="{FB5345FD-E70A-4ED7-A007-029DB9C99B75}"/>
    <cellStyle name="Normal 2 3 2 2 3 2 2 5 5" xfId="17856" xr:uid="{992CFBBF-44F5-499F-8B59-3634972F33AC}"/>
    <cellStyle name="Normal 2 3 2 2 3 2 2 5 6" xfId="17857" xr:uid="{E1B34F0E-DCD0-439E-9EE1-63A9F36952D3}"/>
    <cellStyle name="Normal 2 3 2 2 3 2 2 6" xfId="17858" xr:uid="{0DD8A4DD-0EDC-4444-AF86-A645E2E56877}"/>
    <cellStyle name="Normal 2 3 2 2 3 2 2 7" xfId="17859" xr:uid="{B7E52C27-A06E-4319-A17F-D86007D86C84}"/>
    <cellStyle name="Normal 2 3 2 2 3 2 2 8" xfId="17860" xr:uid="{745EEC0E-DC8D-4E4E-9C34-429DB89FC370}"/>
    <cellStyle name="Normal 2 3 2 2 3 2 2 9" xfId="17861" xr:uid="{AF9B0500-6DDF-4B0B-94BE-F2F623446B5F}"/>
    <cellStyle name="Normal 2 3 2 2 3 2 3" xfId="17862" xr:uid="{869A01D6-864F-42A7-AB4B-4A6B30C718D9}"/>
    <cellStyle name="Normal 2 3 2 2 3 2 4" xfId="17863" xr:uid="{B5BE9E07-FC8A-4F8F-9446-9A981D810131}"/>
    <cellStyle name="Normal 2 3 2 2 3 2 5" xfId="17864" xr:uid="{25464E2A-0E3B-4267-ACAE-1E4BC8DED947}"/>
    <cellStyle name="Normal 2 3 2 2 3 2 5 2" xfId="17865" xr:uid="{F548519A-822C-4580-9BDB-BA3A593A0253}"/>
    <cellStyle name="Normal 2 3 2 2 3 2 5 2 2" xfId="17866" xr:uid="{47C18EBB-6873-4369-BC09-EBF89EF91793}"/>
    <cellStyle name="Normal 2 3 2 2 3 2 5 2 2 2" xfId="17867" xr:uid="{9CAFE672-B16B-40A9-8E3D-295FFFE4E85C}"/>
    <cellStyle name="Normal 2 3 2 2 3 2 5 2 2 2 2" xfId="17868" xr:uid="{593E85ED-A924-4E7F-BA62-AC52E4CAC98C}"/>
    <cellStyle name="Normal 2 3 2 2 3 2 5 2 2 2 3" xfId="17869" xr:uid="{1009C0B2-841F-4830-99C8-32BA844500C1}"/>
    <cellStyle name="Normal 2 3 2 2 3 2 5 2 2 2 4" xfId="17870" xr:uid="{150A7AB5-F7A8-4AAD-8D9C-519550472A0A}"/>
    <cellStyle name="Normal 2 3 2 2 3 2 5 2 2 2 5" xfId="17871" xr:uid="{E955E8FC-B11D-4BA3-992B-63F0CFEDB35D}"/>
    <cellStyle name="Normal 2 3 2 2 3 2 5 2 2 2 6" xfId="17872" xr:uid="{3C710A82-2853-430A-9C26-81B5D0731FE1}"/>
    <cellStyle name="Normal 2 3 2 2 3 2 5 2 2 3" xfId="17873" xr:uid="{33D7FBFB-38BE-4180-99EA-ECBFB91C0973}"/>
    <cellStyle name="Normal 2 3 2 2 3 2 5 2 2 4" xfId="17874" xr:uid="{564DF682-28C7-436A-BAA2-8E222762C6F8}"/>
    <cellStyle name="Normal 2 3 2 2 3 2 5 2 2 5" xfId="17875" xr:uid="{F344E663-AC7C-4C72-BA5A-D5CC8D5A6A63}"/>
    <cellStyle name="Normal 2 3 2 2 3 2 5 2 2 6" xfId="17876" xr:uid="{67D9AAC0-6795-4141-A794-4068DE340E16}"/>
    <cellStyle name="Normal 2 3 2 2 3 2 5 2 3" xfId="17877" xr:uid="{C8D18FB5-2470-4FFA-89FA-0E06827A824B}"/>
    <cellStyle name="Normal 2 3 2 2 3 2 5 2 4" xfId="17878" xr:uid="{DA9612B1-9A85-41B0-B1B4-CE96287AB2C7}"/>
    <cellStyle name="Normal 2 3 2 2 3 2 5 2 5" xfId="17879" xr:uid="{E00940B4-09F2-4190-8806-C60893C46A34}"/>
    <cellStyle name="Normal 2 3 2 2 3 2 5 2 6" xfId="17880" xr:uid="{CB6425B9-9770-4116-BDA0-F78236DD270A}"/>
    <cellStyle name="Normal 2 3 2 2 3 2 5 2 7" xfId="17881" xr:uid="{C562A975-2C67-44D1-96D2-6240F1B57FF7}"/>
    <cellStyle name="Normal 2 3 2 2 3 2 5 2 8" xfId="17882" xr:uid="{D82AAF50-A00A-4556-A306-E7897FDEB8F3}"/>
    <cellStyle name="Normal 2 3 2 2 3 2 5 2 9" xfId="17883" xr:uid="{0CA6182B-D1B4-43D1-8834-251935FD8750}"/>
    <cellStyle name="Normal 2 3 2 2 3 2 5 3" xfId="17884" xr:uid="{987D8792-4DD4-4B98-BB76-59B831CD2303}"/>
    <cellStyle name="Normal 2 3 2 2 3 2 5 3 2" xfId="17885" xr:uid="{F9EC959A-CFAE-41DC-A9DE-4A981883E763}"/>
    <cellStyle name="Normal 2 3 2 2 3 2 5 3 2 2" xfId="17886" xr:uid="{8EC2E81D-6680-46BC-855D-0DE82523B171}"/>
    <cellStyle name="Normal 2 3 2 2 3 2 5 3 2 3" xfId="17887" xr:uid="{AC82D45E-DF7A-4B65-AC3B-F5D9884BCD90}"/>
    <cellStyle name="Normal 2 3 2 2 3 2 5 3 2 4" xfId="17888" xr:uid="{61F8C59F-E52A-4F8E-A035-0F15E6D80C2C}"/>
    <cellStyle name="Normal 2 3 2 2 3 2 5 3 2 5" xfId="17889" xr:uid="{E605B910-DD59-4BAF-B4F7-954C4C3FC6C2}"/>
    <cellStyle name="Normal 2 3 2 2 3 2 5 3 2 6" xfId="17890" xr:uid="{17FFC34F-8A84-41C1-989C-EF30612CE072}"/>
    <cellStyle name="Normal 2 3 2 2 3 2 5 3 3" xfId="17891" xr:uid="{04D3E80D-03B4-48DF-954A-321E9C4E052D}"/>
    <cellStyle name="Normal 2 3 2 2 3 2 5 3 4" xfId="17892" xr:uid="{501CD5A6-CDEC-4162-AF10-630AF61EDAC1}"/>
    <cellStyle name="Normal 2 3 2 2 3 2 5 3 5" xfId="17893" xr:uid="{92278FD5-3424-46BE-84BA-E665A3F8DFC1}"/>
    <cellStyle name="Normal 2 3 2 2 3 2 5 3 6" xfId="17894" xr:uid="{A87DF07A-71E8-43BB-A4F7-7F1708F163AB}"/>
    <cellStyle name="Normal 2 3 2 2 3 2 5 4" xfId="17895" xr:uid="{6FCDD48A-D108-4666-B8FA-6A761F3725CD}"/>
    <cellStyle name="Normal 2 3 2 2 3 2 5 5" xfId="17896" xr:uid="{4C3DF071-81BB-45F7-9894-0A2F69AAD6D3}"/>
    <cellStyle name="Normal 2 3 2 2 3 2 5 6" xfId="17897" xr:uid="{234BD541-59C6-4DF7-88C3-D7B4037DF2A0}"/>
    <cellStyle name="Normal 2 3 2 2 3 2 5 7" xfId="17898" xr:uid="{C3C4A07F-6819-4100-8CA5-2ACBFC064668}"/>
    <cellStyle name="Normal 2 3 2 2 3 2 5 8" xfId="17899" xr:uid="{6B1700A7-4D2B-4D93-83CF-81F991DCFCE8}"/>
    <cellStyle name="Normal 2 3 2 2 3 2 5 9" xfId="17900" xr:uid="{C62EA460-74BF-4983-B907-FEF38D31EF60}"/>
    <cellStyle name="Normal 2 3 2 2 3 2 6" xfId="17901" xr:uid="{715A5C83-9F10-4E6B-9A39-42E4089158DE}"/>
    <cellStyle name="Normal 2 3 2 2 3 2 7" xfId="17902" xr:uid="{7A6B91F1-588D-4379-BAE2-24472FB581C4}"/>
    <cellStyle name="Normal 2 3 2 2 3 2 8" xfId="17903" xr:uid="{D549AE94-E601-41B7-AD28-717D89E7590E}"/>
    <cellStyle name="Normal 2 3 2 2 3 2 8 2" xfId="17904" xr:uid="{04A59985-991C-4950-8B54-2D397B42A664}"/>
    <cellStyle name="Normal 2 3 2 2 3 2 8 2 2" xfId="17905" xr:uid="{C8583099-FEF5-496B-8822-B7C558AE11F4}"/>
    <cellStyle name="Normal 2 3 2 2 3 2 8 2 3" xfId="17906" xr:uid="{8A613E6A-20AA-4F8F-BD40-51F0844BA9C6}"/>
    <cellStyle name="Normal 2 3 2 2 3 2 8 2 4" xfId="17907" xr:uid="{052E8151-4527-462A-8766-A04DA34101B9}"/>
    <cellStyle name="Normal 2 3 2 2 3 2 8 2 5" xfId="17908" xr:uid="{3337B6DD-A35B-4865-A916-92DEB907D90C}"/>
    <cellStyle name="Normal 2 3 2 2 3 2 8 2 6" xfId="17909" xr:uid="{276509BA-34FC-459E-BA91-F9CB5849321F}"/>
    <cellStyle name="Normal 2 3 2 2 3 2 8 3" xfId="17910" xr:uid="{C76ED0C7-E17F-4D87-AB12-6A4C353B271D}"/>
    <cellStyle name="Normal 2 3 2 2 3 2 8 4" xfId="17911" xr:uid="{A2C11B88-A74D-456F-B644-5539294E5E16}"/>
    <cellStyle name="Normal 2 3 2 2 3 2 8 5" xfId="17912" xr:uid="{5FFC4F90-B0BA-44DE-8D8C-B5D04D484FB7}"/>
    <cellStyle name="Normal 2 3 2 2 3 2 8 6" xfId="17913" xr:uid="{E08EDA4C-8920-455F-88B3-15CF17214F00}"/>
    <cellStyle name="Normal 2 3 2 2 3 2 9" xfId="17914" xr:uid="{13C3107F-CC37-4BC5-984A-37C973BFDF9F}"/>
    <cellStyle name="Normal 2 3 2 2 3 3" xfId="17915" xr:uid="{0D3FBE38-22AB-4D28-BDD3-91C63F7FB412}"/>
    <cellStyle name="Normal 2 3 2 2 3 3 10" xfId="17916" xr:uid="{A0D57787-834A-4882-B775-386C24E00C0E}"/>
    <cellStyle name="Normal 2 3 2 2 3 3 11" xfId="17917" xr:uid="{F87CE566-4646-4F3B-84D4-21A14A895BB8}"/>
    <cellStyle name="Normal 2 3 2 2 3 3 12" xfId="17918" xr:uid="{EA507008-4DE8-43DF-BB9E-6A2A32FA9D28}"/>
    <cellStyle name="Normal 2 3 2 2 3 3 2" xfId="17919" xr:uid="{0C24004E-A146-4A63-83B4-19379931E6C6}"/>
    <cellStyle name="Normal 2 3 2 2 3 3 2 10" xfId="17920" xr:uid="{A21037C9-554D-4670-B0E5-AE6A441E7AD1}"/>
    <cellStyle name="Normal 2 3 2 2 3 3 2 11" xfId="17921" xr:uid="{04BE75B8-7478-4BEE-9E57-6800975FAC1A}"/>
    <cellStyle name="Normal 2 3 2 2 3 3 2 12" xfId="17922" xr:uid="{B37EDE6A-9BEF-4088-8B7E-896A7EFC1A58}"/>
    <cellStyle name="Normal 2 3 2 2 3 3 2 2" xfId="17923" xr:uid="{6F8F176C-6ACC-4F5A-AC7E-C0D5EE3D2042}"/>
    <cellStyle name="Normal 2 3 2 2 3 3 2 2 2" xfId="17924" xr:uid="{75CF2014-3F7C-4164-BA65-6EEF2091EFBD}"/>
    <cellStyle name="Normal 2 3 2 2 3 3 2 2 2 2" xfId="17925" xr:uid="{66D27E34-DBB2-469B-BE1C-4FB874D5F33A}"/>
    <cellStyle name="Normal 2 3 2 2 3 3 2 2 2 2 2" xfId="17926" xr:uid="{F51F6504-78BF-417F-A850-C51CFD1EAE22}"/>
    <cellStyle name="Normal 2 3 2 2 3 3 2 2 2 2 2 2" xfId="17927" xr:uid="{1B3BCE64-E23D-47D5-A6BB-22ED4F010615}"/>
    <cellStyle name="Normal 2 3 2 2 3 3 2 2 2 2 2 3" xfId="17928" xr:uid="{08A55BFF-FE2A-455A-A389-D57BE56EFAD0}"/>
    <cellStyle name="Normal 2 3 2 2 3 3 2 2 2 2 2 4" xfId="17929" xr:uid="{894423D5-2E0E-4EA1-B3B1-9034CA210D7D}"/>
    <cellStyle name="Normal 2 3 2 2 3 3 2 2 2 2 2 5" xfId="17930" xr:uid="{246B4D79-2606-45E4-B48B-169F6B9A7C4B}"/>
    <cellStyle name="Normal 2 3 2 2 3 3 2 2 2 2 2 6" xfId="17931" xr:uid="{45DEBB68-D1D1-4C59-A997-C7CCE53D71AC}"/>
    <cellStyle name="Normal 2 3 2 2 3 3 2 2 2 2 3" xfId="17932" xr:uid="{1362DA61-9308-4EFE-8506-2BECA5A6D75F}"/>
    <cellStyle name="Normal 2 3 2 2 3 3 2 2 2 2 4" xfId="17933" xr:uid="{BA1AEBFE-822A-4668-A0C0-2BD918BA5EDA}"/>
    <cellStyle name="Normal 2 3 2 2 3 3 2 2 2 2 5" xfId="17934" xr:uid="{2355672A-26B9-43F1-B588-1B37DDE25E87}"/>
    <cellStyle name="Normal 2 3 2 2 3 3 2 2 2 2 6" xfId="17935" xr:uid="{2F79C826-6722-48FA-817F-3355306D0DDB}"/>
    <cellStyle name="Normal 2 3 2 2 3 3 2 2 2 3" xfId="17936" xr:uid="{8159E390-B8B8-4C2E-99B6-CC52AE8B3857}"/>
    <cellStyle name="Normal 2 3 2 2 3 3 2 2 2 4" xfId="17937" xr:uid="{D7887B7B-F7C7-4FE2-BB01-7F97B318A073}"/>
    <cellStyle name="Normal 2 3 2 2 3 3 2 2 2 5" xfId="17938" xr:uid="{F63D3F82-CEB1-4950-B9F5-5FE46A79F3FA}"/>
    <cellStyle name="Normal 2 3 2 2 3 3 2 2 2 6" xfId="17939" xr:uid="{0A71F215-B90A-4F97-B212-27335D3593C0}"/>
    <cellStyle name="Normal 2 3 2 2 3 3 2 2 2 7" xfId="17940" xr:uid="{09F11950-EA37-4D95-88C2-FBB2B86BD205}"/>
    <cellStyle name="Normal 2 3 2 2 3 3 2 2 2 8" xfId="17941" xr:uid="{14EFA522-4250-4EEE-91DC-FCF3CDE840DA}"/>
    <cellStyle name="Normal 2 3 2 2 3 3 2 2 2 9" xfId="17942" xr:uid="{783D5532-7108-4C5D-90C7-E040119CF9DB}"/>
    <cellStyle name="Normal 2 3 2 2 3 3 2 2 3" xfId="17943" xr:uid="{AEDC2115-FDEC-49DC-B9D4-53AEDCE24A00}"/>
    <cellStyle name="Normal 2 3 2 2 3 3 2 2 3 2" xfId="17944" xr:uid="{C606CA5F-81A9-46B5-9FF5-556384845F8F}"/>
    <cellStyle name="Normal 2 3 2 2 3 3 2 2 3 2 2" xfId="17945" xr:uid="{1F40616F-407B-4DDE-828F-9D6964BC03F3}"/>
    <cellStyle name="Normal 2 3 2 2 3 3 2 2 3 2 3" xfId="17946" xr:uid="{80A485A3-8683-4352-9407-7D5C879FFEF6}"/>
    <cellStyle name="Normal 2 3 2 2 3 3 2 2 3 2 4" xfId="17947" xr:uid="{5ABA5896-04D7-47B5-9561-374B109A5067}"/>
    <cellStyle name="Normal 2 3 2 2 3 3 2 2 3 2 5" xfId="17948" xr:uid="{C27EB6EC-7670-4D9C-8883-1D05DAE441DF}"/>
    <cellStyle name="Normal 2 3 2 2 3 3 2 2 3 2 6" xfId="17949" xr:uid="{F6FB488F-EA58-48F3-B11A-6EB0017C5805}"/>
    <cellStyle name="Normal 2 3 2 2 3 3 2 2 3 3" xfId="17950" xr:uid="{38876640-BDEE-4C06-BD66-6F1A77387893}"/>
    <cellStyle name="Normal 2 3 2 2 3 3 2 2 3 4" xfId="17951" xr:uid="{E5AC1114-F572-4728-A6C3-5207DE05D380}"/>
    <cellStyle name="Normal 2 3 2 2 3 3 2 2 3 5" xfId="17952" xr:uid="{68C0CED2-2E2D-4986-9BBD-94908CBDA8EE}"/>
    <cellStyle name="Normal 2 3 2 2 3 3 2 2 3 6" xfId="17953" xr:uid="{5656E631-1EBB-4C65-B73A-CD561DDDC98F}"/>
    <cellStyle name="Normal 2 3 2 2 3 3 2 2 4" xfId="17954" xr:uid="{6A2B18FF-F840-4263-9812-320A4BC4E8A7}"/>
    <cellStyle name="Normal 2 3 2 2 3 3 2 2 5" xfId="17955" xr:uid="{6BEAD970-7111-4ABF-B94B-BEE875BCC230}"/>
    <cellStyle name="Normal 2 3 2 2 3 3 2 2 6" xfId="17956" xr:uid="{D3F80903-7C85-4E84-8B0A-C49682711DB7}"/>
    <cellStyle name="Normal 2 3 2 2 3 3 2 2 7" xfId="17957" xr:uid="{1B9B4B60-F94A-416F-A012-FC6E9CB602D6}"/>
    <cellStyle name="Normal 2 3 2 2 3 3 2 2 8" xfId="17958" xr:uid="{C7A39C1D-E1F6-410B-A07C-6F548D027BB6}"/>
    <cellStyle name="Normal 2 3 2 2 3 3 2 2 9" xfId="17959" xr:uid="{AA656A7C-B887-4923-BEEC-ACC0EA1FA728}"/>
    <cellStyle name="Normal 2 3 2 2 3 3 2 3" xfId="17960" xr:uid="{24F846D4-745E-4359-8130-AB64184D1B06}"/>
    <cellStyle name="Normal 2 3 2 2 3 3 2 4" xfId="17961" xr:uid="{C3B70A32-4FCA-4BD8-9A41-906C998AFC45}"/>
    <cellStyle name="Normal 2 3 2 2 3 3 2 5" xfId="17962" xr:uid="{E8B39409-6969-4DF8-BC1A-CED06820077B}"/>
    <cellStyle name="Normal 2 3 2 2 3 3 2 5 2" xfId="17963" xr:uid="{7C829E65-7F6D-4A20-B9B1-2C1AA6219600}"/>
    <cellStyle name="Normal 2 3 2 2 3 3 2 5 2 2" xfId="17964" xr:uid="{D534ADC6-16D3-4429-AC3E-4A6ACDB8386B}"/>
    <cellStyle name="Normal 2 3 2 2 3 3 2 5 2 3" xfId="17965" xr:uid="{922D63A1-4593-4C50-AF9B-55CE9BDB9062}"/>
    <cellStyle name="Normal 2 3 2 2 3 3 2 5 2 4" xfId="17966" xr:uid="{8FBD72B8-93E8-41C6-88D8-2417FF89B289}"/>
    <cellStyle name="Normal 2 3 2 2 3 3 2 5 2 5" xfId="17967" xr:uid="{64B46362-52BF-42C4-80B3-3B460DC928B7}"/>
    <cellStyle name="Normal 2 3 2 2 3 3 2 5 2 6" xfId="17968" xr:uid="{52323A63-D7BF-4796-BDF0-C91BF76864BC}"/>
    <cellStyle name="Normal 2 3 2 2 3 3 2 5 3" xfId="17969" xr:uid="{5C00A5B8-6175-4926-A04E-AF9B438845CC}"/>
    <cellStyle name="Normal 2 3 2 2 3 3 2 5 4" xfId="17970" xr:uid="{FF5DE95F-285D-4D0A-960E-6716F56413F0}"/>
    <cellStyle name="Normal 2 3 2 2 3 3 2 5 5" xfId="17971" xr:uid="{E8E2C4D0-B093-42FE-8AF6-716E292414FA}"/>
    <cellStyle name="Normal 2 3 2 2 3 3 2 5 6" xfId="17972" xr:uid="{DC9922CC-4C74-41F3-9FF9-F2D51CB0F089}"/>
    <cellStyle name="Normal 2 3 2 2 3 3 2 6" xfId="17973" xr:uid="{E6B1EF74-F54B-43C4-8FFD-C4A3FA98772E}"/>
    <cellStyle name="Normal 2 3 2 2 3 3 2 7" xfId="17974" xr:uid="{046D5911-4201-4998-963F-57CEBD03FD19}"/>
    <cellStyle name="Normal 2 3 2 2 3 3 2 8" xfId="17975" xr:uid="{0ED1AA8F-79D4-45F6-952F-47442C368040}"/>
    <cellStyle name="Normal 2 3 2 2 3 3 2 9" xfId="17976" xr:uid="{1B1F709C-E03F-44CC-B7BA-833B2246F347}"/>
    <cellStyle name="Normal 2 3 2 2 3 3 3" xfId="17977" xr:uid="{B7D85CEC-A9DB-4FF0-80E5-5F593F70CB93}"/>
    <cellStyle name="Normal 2 3 2 2 3 3 3 2" xfId="17978" xr:uid="{FE8B03CF-1179-4E28-97DF-0653920220FD}"/>
    <cellStyle name="Normal 2 3 2 2 3 3 3 2 2" xfId="17979" xr:uid="{AAD8EC04-9411-4543-A91B-F54D0DBD7563}"/>
    <cellStyle name="Normal 2 3 2 2 3 3 3 2 2 2" xfId="17980" xr:uid="{DA66F74C-4794-423A-A551-4D362C5DE5C4}"/>
    <cellStyle name="Normal 2 3 2 2 3 3 3 2 2 2 2" xfId="17981" xr:uid="{C72EB273-186B-46EF-AE3C-FA89BE0B45B1}"/>
    <cellStyle name="Normal 2 3 2 2 3 3 3 2 2 2 3" xfId="17982" xr:uid="{75818015-F5BA-4C11-A4FA-CED865E6429E}"/>
    <cellStyle name="Normal 2 3 2 2 3 3 3 2 2 2 4" xfId="17983" xr:uid="{A4A4EC2E-4919-4220-AB5C-645578B96ADE}"/>
    <cellStyle name="Normal 2 3 2 2 3 3 3 2 2 2 5" xfId="17984" xr:uid="{8714532F-C452-4A27-BDEB-F3E508E46319}"/>
    <cellStyle name="Normal 2 3 2 2 3 3 3 2 2 2 6" xfId="17985" xr:uid="{80A8EA90-1BAF-42BD-82B1-58084245D156}"/>
    <cellStyle name="Normal 2 3 2 2 3 3 3 2 2 3" xfId="17986" xr:uid="{F3DB7DA6-3480-46E0-8FFC-09B116C7FCE0}"/>
    <cellStyle name="Normal 2 3 2 2 3 3 3 2 2 4" xfId="17987" xr:uid="{4AAE8DF5-8C71-4981-935F-259FD0F55F88}"/>
    <cellStyle name="Normal 2 3 2 2 3 3 3 2 2 5" xfId="17988" xr:uid="{4213B02E-E407-49F7-BF2B-B6EC2C5B8603}"/>
    <cellStyle name="Normal 2 3 2 2 3 3 3 2 2 6" xfId="17989" xr:uid="{291772FA-4D12-4E0E-940A-369790B031D1}"/>
    <cellStyle name="Normal 2 3 2 2 3 3 3 2 3" xfId="17990" xr:uid="{111025C9-AFA8-4B7C-A895-C8EC8B0904B3}"/>
    <cellStyle name="Normal 2 3 2 2 3 3 3 2 4" xfId="17991" xr:uid="{424F1A98-2FA0-47BE-A225-6F03F8B2A6FB}"/>
    <cellStyle name="Normal 2 3 2 2 3 3 3 2 5" xfId="17992" xr:uid="{0A21121B-C18E-44EF-9363-FBC1DEFAF73C}"/>
    <cellStyle name="Normal 2 3 2 2 3 3 3 2 6" xfId="17993" xr:uid="{6FDD0CFC-ACB1-485D-B9B8-3CA7321F0D7E}"/>
    <cellStyle name="Normal 2 3 2 2 3 3 3 2 7" xfId="17994" xr:uid="{1F736197-5004-4FEB-891E-97FECAF3566B}"/>
    <cellStyle name="Normal 2 3 2 2 3 3 3 2 8" xfId="17995" xr:uid="{09EEFCCD-D00F-4985-B54F-72D63D03631C}"/>
    <cellStyle name="Normal 2 3 2 2 3 3 3 2 9" xfId="17996" xr:uid="{9B6B8E99-45AE-4338-A935-A216C05FFFCB}"/>
    <cellStyle name="Normal 2 3 2 2 3 3 3 3" xfId="17997" xr:uid="{DEA36A00-E6E3-4278-8198-245B04EE7DE7}"/>
    <cellStyle name="Normal 2 3 2 2 3 3 3 3 2" xfId="17998" xr:uid="{7C9F6837-4834-42EE-B45C-3F3947D9544B}"/>
    <cellStyle name="Normal 2 3 2 2 3 3 3 3 2 2" xfId="17999" xr:uid="{D8B9A021-172E-456B-A73C-C2C25302C840}"/>
    <cellStyle name="Normal 2 3 2 2 3 3 3 3 2 3" xfId="18000" xr:uid="{4AB3C67E-5678-471C-8B24-792543E904BF}"/>
    <cellStyle name="Normal 2 3 2 2 3 3 3 3 2 4" xfId="18001" xr:uid="{08FCE483-6C65-416F-BCD9-15FF35C9111C}"/>
    <cellStyle name="Normal 2 3 2 2 3 3 3 3 2 5" xfId="18002" xr:uid="{69DDFB66-7C44-49D5-B67B-DD8B65ED6871}"/>
    <cellStyle name="Normal 2 3 2 2 3 3 3 3 2 6" xfId="18003" xr:uid="{4EA1364A-7AB0-49A2-ADA1-79367F87270A}"/>
    <cellStyle name="Normal 2 3 2 2 3 3 3 3 3" xfId="18004" xr:uid="{61D60C5B-3F91-4BC1-88C4-135C90E104EE}"/>
    <cellStyle name="Normal 2 3 2 2 3 3 3 3 4" xfId="18005" xr:uid="{9CE36995-E593-458B-8E83-B4E8591CBE2E}"/>
    <cellStyle name="Normal 2 3 2 2 3 3 3 3 5" xfId="18006" xr:uid="{148ED594-10BD-4CC3-BB2E-2CA5CCB68CFE}"/>
    <cellStyle name="Normal 2 3 2 2 3 3 3 3 6" xfId="18007" xr:uid="{7D4DC080-396A-488D-8F58-EBC35C0F806A}"/>
    <cellStyle name="Normal 2 3 2 2 3 3 3 4" xfId="18008" xr:uid="{80EC7C7B-EB1F-4BE5-A6B4-7BDD44450CD7}"/>
    <cellStyle name="Normal 2 3 2 2 3 3 3 5" xfId="18009" xr:uid="{FF0E0EC7-7D70-4566-B4D1-C0C3E9982DE4}"/>
    <cellStyle name="Normal 2 3 2 2 3 3 3 6" xfId="18010" xr:uid="{85AF9127-FDDF-4531-AF52-02AD0982AB56}"/>
    <cellStyle name="Normal 2 3 2 2 3 3 3 7" xfId="18011" xr:uid="{643863F1-122F-4257-8795-2092108E14DE}"/>
    <cellStyle name="Normal 2 3 2 2 3 3 3 8" xfId="18012" xr:uid="{161B5969-3E38-46D0-8705-7F27F535C8D8}"/>
    <cellStyle name="Normal 2 3 2 2 3 3 3 9" xfId="18013" xr:uid="{249E7EC4-6EBD-48EB-B469-065E966E38AA}"/>
    <cellStyle name="Normal 2 3 2 2 3 3 4" xfId="18014" xr:uid="{444E4B99-62B3-4419-BCB0-532CF42CAABF}"/>
    <cellStyle name="Normal 2 3 2 2 3 3 5" xfId="18015" xr:uid="{F86FCF9B-DF12-4487-AA6D-A546C0EE4A81}"/>
    <cellStyle name="Normal 2 3 2 2 3 3 5 2" xfId="18016" xr:uid="{913054EA-1E6D-4B13-B211-BEB16B2F1C59}"/>
    <cellStyle name="Normal 2 3 2 2 3 3 5 2 2" xfId="18017" xr:uid="{10AD0602-04B4-4857-B881-A8A278799750}"/>
    <cellStyle name="Normal 2 3 2 2 3 3 5 2 3" xfId="18018" xr:uid="{AC625EEF-A27D-4B3C-8721-D6154A501FCB}"/>
    <cellStyle name="Normal 2 3 2 2 3 3 5 2 4" xfId="18019" xr:uid="{02A1175B-0155-4B84-80BE-56D82C2807B7}"/>
    <cellStyle name="Normal 2 3 2 2 3 3 5 2 5" xfId="18020" xr:uid="{01EF04DC-96D9-49B9-8E9B-64C58BF25472}"/>
    <cellStyle name="Normal 2 3 2 2 3 3 5 2 6" xfId="18021" xr:uid="{E38E2B58-AB62-45D3-B802-7EB7ADCF66C1}"/>
    <cellStyle name="Normal 2 3 2 2 3 3 5 3" xfId="18022" xr:uid="{37CE6238-7737-44EB-866C-0C7D367306F9}"/>
    <cellStyle name="Normal 2 3 2 2 3 3 5 4" xfId="18023" xr:uid="{C51A447B-6F9A-446E-9D2C-681FB8C72CAC}"/>
    <cellStyle name="Normal 2 3 2 2 3 3 5 5" xfId="18024" xr:uid="{335825D9-36F5-45D5-AB6D-BAD4CE2F3301}"/>
    <cellStyle name="Normal 2 3 2 2 3 3 5 6" xfId="18025" xr:uid="{0249A466-6292-4A59-BD47-35C3C999E5FB}"/>
    <cellStyle name="Normal 2 3 2 2 3 3 6" xfId="18026" xr:uid="{AED60A81-695B-4C43-B080-FDE9B96FA957}"/>
    <cellStyle name="Normal 2 3 2 2 3 3 7" xfId="18027" xr:uid="{53AAC481-07F2-4965-8144-BAEA362125F6}"/>
    <cellStyle name="Normal 2 3 2 2 3 3 8" xfId="18028" xr:uid="{E8AF42EF-B708-43D5-B229-16C019123B12}"/>
    <cellStyle name="Normal 2 3 2 2 3 3 9" xfId="18029" xr:uid="{796AC38D-C0F5-4D2C-BA4F-CC389D8D68DC}"/>
    <cellStyle name="Normal 2 3 2 2 3 4" xfId="18030" xr:uid="{E452F76E-A11F-4410-9357-BAF3710059D5}"/>
    <cellStyle name="Normal 2 3 2 2 3 5" xfId="18031" xr:uid="{B0494270-4FDD-42E9-B527-ECBFE4FB8F29}"/>
    <cellStyle name="Normal 2 3 2 2 3 5 2" xfId="18032" xr:uid="{982F365B-1F58-4E3B-9684-7DA153E98764}"/>
    <cellStyle name="Normal 2 3 2 2 3 5 2 2" xfId="18033" xr:uid="{32B6BEF5-3F53-44D8-A4AC-A9DFF7BCE8D4}"/>
    <cellStyle name="Normal 2 3 2 2 3 5 2 2 2" xfId="18034" xr:uid="{226F3402-B7CF-4740-86B4-361905588FEA}"/>
    <cellStyle name="Normal 2 3 2 2 3 5 2 2 2 2" xfId="18035" xr:uid="{A1FFA08D-F4A8-4790-9D3E-9100A6788417}"/>
    <cellStyle name="Normal 2 3 2 2 3 5 2 2 2 3" xfId="18036" xr:uid="{078025FB-FC40-4118-BC82-8F8D7C38ED91}"/>
    <cellStyle name="Normal 2 3 2 2 3 5 2 2 2 4" xfId="18037" xr:uid="{F4DF006D-3AF8-4E27-8723-1D315DC6C3AE}"/>
    <cellStyle name="Normal 2 3 2 2 3 5 2 2 2 5" xfId="18038" xr:uid="{8E4D20C9-4EF2-445A-82D7-4E963E15D846}"/>
    <cellStyle name="Normal 2 3 2 2 3 5 2 2 2 6" xfId="18039" xr:uid="{150B5409-62ED-45C3-8597-B3B184D6E110}"/>
    <cellStyle name="Normal 2 3 2 2 3 5 2 2 3" xfId="18040" xr:uid="{CFF2371E-74A0-451F-9286-E911DF94B6E6}"/>
    <cellStyle name="Normal 2 3 2 2 3 5 2 2 4" xfId="18041" xr:uid="{F3A9CBCE-C93F-4CD1-9684-AADFE5AAD0DF}"/>
    <cellStyle name="Normal 2 3 2 2 3 5 2 2 5" xfId="18042" xr:uid="{CFD324CD-C10C-4C55-A3F8-50820A2822DF}"/>
    <cellStyle name="Normal 2 3 2 2 3 5 2 2 6" xfId="18043" xr:uid="{DB789CFF-B764-4C40-8CEB-633FD52B8D26}"/>
    <cellStyle name="Normal 2 3 2 2 3 5 2 3" xfId="18044" xr:uid="{3864AB7F-3D57-40E9-A150-C46A3F038893}"/>
    <cellStyle name="Normal 2 3 2 2 3 5 2 4" xfId="18045" xr:uid="{22A9666E-F5F4-4728-A4B5-9372C26626AD}"/>
    <cellStyle name="Normal 2 3 2 2 3 5 2 5" xfId="18046" xr:uid="{0C1E03B9-03C7-4EE8-B49A-C6D916E0F949}"/>
    <cellStyle name="Normal 2 3 2 2 3 5 2 6" xfId="18047" xr:uid="{2FF1694D-B3DC-4C9D-AFA1-86169C07481D}"/>
    <cellStyle name="Normal 2 3 2 2 3 5 2 7" xfId="18048" xr:uid="{AA441B66-7256-47F9-878A-4CC245FB4C15}"/>
    <cellStyle name="Normal 2 3 2 2 3 5 2 8" xfId="18049" xr:uid="{A02AAB32-45D4-47B6-B2B2-2510CB06B877}"/>
    <cellStyle name="Normal 2 3 2 2 3 5 2 9" xfId="18050" xr:uid="{2EAB750F-B706-4860-9FEA-1BCD0A16753B}"/>
    <cellStyle name="Normal 2 3 2 2 3 5 3" xfId="18051" xr:uid="{E4DBC17B-2D7C-4EF6-BC24-F2B80AEE7845}"/>
    <cellStyle name="Normal 2 3 2 2 3 5 3 2" xfId="18052" xr:uid="{5831D2B1-90DD-4575-BD48-D02776589F4B}"/>
    <cellStyle name="Normal 2 3 2 2 3 5 3 2 2" xfId="18053" xr:uid="{F8844F5C-0769-42EE-8478-E6C3A1112F5D}"/>
    <cellStyle name="Normal 2 3 2 2 3 5 3 2 3" xfId="18054" xr:uid="{D53310DC-48E8-43C2-B303-E4E775F5949F}"/>
    <cellStyle name="Normal 2 3 2 2 3 5 3 2 4" xfId="18055" xr:uid="{3D9D4C52-4261-4DA6-AE99-1F8FE9D6E53A}"/>
    <cellStyle name="Normal 2 3 2 2 3 5 3 2 5" xfId="18056" xr:uid="{E369F7AE-17F7-48F0-B4AF-9E8C3D3D8C74}"/>
    <cellStyle name="Normal 2 3 2 2 3 5 3 2 6" xfId="18057" xr:uid="{80F92327-73BA-4080-84DD-073C9384F972}"/>
    <cellStyle name="Normal 2 3 2 2 3 5 3 3" xfId="18058" xr:uid="{2F1E1457-0914-4065-B553-F5A3BB4293B8}"/>
    <cellStyle name="Normal 2 3 2 2 3 5 3 4" xfId="18059" xr:uid="{5408BD6C-EDB5-42D7-9E91-1FB0CB32CD60}"/>
    <cellStyle name="Normal 2 3 2 2 3 5 3 5" xfId="18060" xr:uid="{28E5B0B3-A942-4939-9DC3-82175FA1DAF6}"/>
    <cellStyle name="Normal 2 3 2 2 3 5 3 6" xfId="18061" xr:uid="{26C8FA0E-FD3E-430A-AF20-1691408737CB}"/>
    <cellStyle name="Normal 2 3 2 2 3 5 4" xfId="18062" xr:uid="{378EA2AF-2BD9-4445-BDB0-416D9E8CB642}"/>
    <cellStyle name="Normal 2 3 2 2 3 5 5" xfId="18063" xr:uid="{43998CBF-1587-44FA-9B56-F4D7167F2179}"/>
    <cellStyle name="Normal 2 3 2 2 3 5 6" xfId="18064" xr:uid="{9ADA70FD-3BE2-4C26-BD0F-0E78E1BC1271}"/>
    <cellStyle name="Normal 2 3 2 2 3 5 7" xfId="18065" xr:uid="{08EDA7E8-E7D5-4E13-932C-F816C167ADCE}"/>
    <cellStyle name="Normal 2 3 2 2 3 5 8" xfId="18066" xr:uid="{BB2C51A9-6636-4D0E-A893-E0F8E9574397}"/>
    <cellStyle name="Normal 2 3 2 2 3 5 9" xfId="18067" xr:uid="{2A9AF5BF-2FEC-4F5C-BD03-EF6B1C86F54A}"/>
    <cellStyle name="Normal 2 3 2 2 3 6" xfId="18068" xr:uid="{DBB63C82-A826-4E7D-BBC0-BC7F6146B20F}"/>
    <cellStyle name="Normal 2 3 2 2 3 7" xfId="18069" xr:uid="{B2E7F575-031D-44E6-B977-126493893385}"/>
    <cellStyle name="Normal 2 3 2 2 3 8" xfId="18070" xr:uid="{396C913D-50BB-4E37-AB7B-C198F045B7D2}"/>
    <cellStyle name="Normal 2 3 2 2 3 8 2" xfId="18071" xr:uid="{41E69BA9-47EB-42A8-B27E-58FBABF82E8A}"/>
    <cellStyle name="Normal 2 3 2 2 3 8 2 2" xfId="18072" xr:uid="{4D5D959D-D669-44A9-88E9-FBE0D7A75B47}"/>
    <cellStyle name="Normal 2 3 2 2 3 8 2 3" xfId="18073" xr:uid="{C793A8A9-DCE5-495C-918F-46BC197E3699}"/>
    <cellStyle name="Normal 2 3 2 2 3 8 2 4" xfId="18074" xr:uid="{13B7D964-325D-4C2A-AC6A-7631D655B562}"/>
    <cellStyle name="Normal 2 3 2 2 3 8 2 5" xfId="18075" xr:uid="{933EE19B-6CD2-4F96-9F76-2AEEB165C603}"/>
    <cellStyle name="Normal 2 3 2 2 3 8 2 6" xfId="18076" xr:uid="{48D00259-FB77-4806-AE7C-78882A0E9A8F}"/>
    <cellStyle name="Normal 2 3 2 2 3 8 3" xfId="18077" xr:uid="{6A5553D3-B742-485B-9776-FBB641B5C0EA}"/>
    <cellStyle name="Normal 2 3 2 2 3 8 4" xfId="18078" xr:uid="{881C979C-8B34-4739-809B-702F5CFA496E}"/>
    <cellStyle name="Normal 2 3 2 2 3 8 5" xfId="18079" xr:uid="{D4CDEAAD-82D1-4299-9C42-F9791012E5F0}"/>
    <cellStyle name="Normal 2 3 2 2 3 8 6" xfId="18080" xr:uid="{95ED5740-71CA-4695-8AC8-869E0699BE36}"/>
    <cellStyle name="Normal 2 3 2 2 3 9" xfId="18081" xr:uid="{D80A3340-AA4D-48E7-82E9-407BE61F9E45}"/>
    <cellStyle name="Normal 2 3 2 2 30" xfId="18082" xr:uid="{2FC9044D-8BBB-4EDA-890A-41EA020D13FF}"/>
    <cellStyle name="Normal 2 3 2 2 31" xfId="18083" xr:uid="{07C67E64-5383-4D86-B665-7B3D307D4F83}"/>
    <cellStyle name="Normal 2 3 2 2 32" xfId="18084" xr:uid="{EAC5079D-2A94-4101-A658-264A678A01C7}"/>
    <cellStyle name="Normal 2 3 2 2 33" xfId="18085" xr:uid="{71571874-A4F9-4E8D-A443-A738B999A0D9}"/>
    <cellStyle name="Normal 2 3 2 2 34" xfId="18086" xr:uid="{3EA075AE-FC2B-44FB-8D9D-C4CE76AAF3D9}"/>
    <cellStyle name="Normal 2 3 2 2 35" xfId="18087" xr:uid="{BA6BD180-DD26-41DA-9883-9413D6694DF1}"/>
    <cellStyle name="Normal 2 3 2 2 36" xfId="18088" xr:uid="{2D6CBD57-F42D-452F-B787-5295DC8EE2EA}"/>
    <cellStyle name="Normal 2 3 2 2 37" xfId="18089" xr:uid="{2EE3F366-20B9-47E2-9FF8-F4F3746B7861}"/>
    <cellStyle name="Normal 2 3 2 2 38" xfId="18090" xr:uid="{52419D9E-3626-47C8-BAA5-1D52C104C16C}"/>
    <cellStyle name="Normal 2 3 2 2 38 10" xfId="18091" xr:uid="{104582BE-F82B-4B2F-9978-5FA9A4040C62}"/>
    <cellStyle name="Normal 2 3 2 2 38 11" xfId="18092" xr:uid="{B5BA4BE1-E430-4C93-8BFE-14EBFD765AAE}"/>
    <cellStyle name="Normal 2 3 2 2 38 12" xfId="18093" xr:uid="{41572801-2FC8-4C78-BC3B-116812557161}"/>
    <cellStyle name="Normal 2 3 2 2 38 13" xfId="18094" xr:uid="{5FFB6AB0-8AB2-4F30-8FDA-3719B9BAB9AD}"/>
    <cellStyle name="Normal 2 3 2 2 38 14" xfId="18095" xr:uid="{9A35DF24-49A2-4215-99B7-77C7A74320F3}"/>
    <cellStyle name="Normal 2 3 2 2 38 15" xfId="18096" xr:uid="{62B00614-7425-45CE-BD4D-36E0FA1E2830}"/>
    <cellStyle name="Normal 2 3 2 2 38 16" xfId="18097" xr:uid="{D0476387-7F49-4AD8-BF49-A618400A96D5}"/>
    <cellStyle name="Normal 2 3 2 2 38 2" xfId="18098" xr:uid="{0005547F-993A-4977-90A0-2A4F8B4CE5C3}"/>
    <cellStyle name="Normal 2 3 2 2 38 3" xfId="18099" xr:uid="{A591B153-5944-4482-8491-233C9DA6B622}"/>
    <cellStyle name="Normal 2 3 2 2 38 4" xfId="18100" xr:uid="{3A99253C-4299-4B3E-990E-EF755A71BA1D}"/>
    <cellStyle name="Normal 2 3 2 2 38 5" xfId="18101" xr:uid="{891E9C32-82BC-4495-BEF0-6834CE4BEDCA}"/>
    <cellStyle name="Normal 2 3 2 2 38 6" xfId="18102" xr:uid="{6DFA08D5-E1BD-4C04-81B5-D4A75EE5E86A}"/>
    <cellStyle name="Normal 2 3 2 2 38 7" xfId="18103" xr:uid="{843FFC19-D86D-4BFA-A0A9-1AB7240CAFD5}"/>
    <cellStyle name="Normal 2 3 2 2 38 8" xfId="18104" xr:uid="{79AB3E49-BC8C-41C5-9410-EAD42D5F4E28}"/>
    <cellStyle name="Normal 2 3 2 2 38 9" xfId="18105" xr:uid="{9E546499-B187-4085-A710-73047AACA9DE}"/>
    <cellStyle name="Normal 2 3 2 2 39" xfId="18106" xr:uid="{6B000F41-44AB-4F3A-A249-2863DCA8A4F9}"/>
    <cellStyle name="Normal 2 3 2 2 4" xfId="18107" xr:uid="{A8F01E47-133A-4B82-85AD-65832E47E402}"/>
    <cellStyle name="Normal 2 3 2 2 4 2" xfId="18108" xr:uid="{67BED8FF-AB38-4C99-A90A-E63BCF5FC32A}"/>
    <cellStyle name="Normal 2 3 2 2 4 3" xfId="18109" xr:uid="{0FD21BEB-7B86-43AC-9117-DBD7EB2CE6D8}"/>
    <cellStyle name="Normal 2 3 2 2 4 4" xfId="18110" xr:uid="{FB8526AD-A09F-4F0C-A664-1B189B59D1EE}"/>
    <cellStyle name="Normal 2 3 2 2 4 5" xfId="18111" xr:uid="{601EFD5B-5653-4E9D-9D2F-7C87A7710857}"/>
    <cellStyle name="Normal 2 3 2 2 4 6" xfId="18112" xr:uid="{9FA20A6F-9C57-4E38-8FCA-E58D4BE39B0C}"/>
    <cellStyle name="Normal 2 3 2 2 40" xfId="18113" xr:uid="{265C9A71-AA31-40BF-AE1D-D16DDE641F3A}"/>
    <cellStyle name="Normal 2 3 2 2 41" xfId="18114" xr:uid="{613B351F-FE92-4A5A-8DBB-C78839B2553C}"/>
    <cellStyle name="Normal 2 3 2 2 42" xfId="18115" xr:uid="{8E5DD6DC-5147-4989-9C18-0498F66C8266}"/>
    <cellStyle name="Normal 2 3 2 2 43" xfId="18116" xr:uid="{D34E6FBF-A410-4FB6-A106-763C83DF6222}"/>
    <cellStyle name="Normal 2 3 2 2 44" xfId="18117" xr:uid="{6628D849-653F-47F1-AD35-0B36A118C623}"/>
    <cellStyle name="Normal 2 3 2 2 45" xfId="18118" xr:uid="{F3BB1F32-CDB0-4BA5-9E4F-66CEB13F922D}"/>
    <cellStyle name="Normal 2 3 2 2 46" xfId="18119" xr:uid="{5DC36E3D-BEAC-4F03-B209-5A9F9EDA7EE8}"/>
    <cellStyle name="Normal 2 3 2 2 47" xfId="18120" xr:uid="{0DB798C6-D11B-4418-AFA6-8E1ABA7F3322}"/>
    <cellStyle name="Normal 2 3 2 2 48" xfId="18121" xr:uid="{5FA82A5D-62BC-427C-8AD2-F93C91EF93F7}"/>
    <cellStyle name="Normal 2 3 2 2 49" xfId="18122" xr:uid="{AB905135-951E-4A7F-8350-55555C290543}"/>
    <cellStyle name="Normal 2 3 2 2 5" xfId="18123" xr:uid="{CBC08C0E-F85D-4931-AE56-8C34A72B0B3E}"/>
    <cellStyle name="Normal 2 3 2 2 5 10" xfId="18124" xr:uid="{A92D66F8-0D84-40A6-A0D2-8B4831060862}"/>
    <cellStyle name="Normal 2 3 2 2 5 11" xfId="18125" xr:uid="{BC9EF84A-1AD8-4447-B51B-BBCF3D97BD51}"/>
    <cellStyle name="Normal 2 3 2 2 5 12" xfId="18126" xr:uid="{B905EF60-F8DF-4EF6-A258-D2D0104DEC96}"/>
    <cellStyle name="Normal 2 3 2 2 5 13" xfId="18127" xr:uid="{968970CD-B638-4231-BA1B-3FA71BBAB917}"/>
    <cellStyle name="Normal 2 3 2 2 5 14" xfId="18128" xr:uid="{A374C6DD-65D5-43C7-8B51-C8D34B296968}"/>
    <cellStyle name="Normal 2 3 2 2 5 15" xfId="18129" xr:uid="{8BBFB9B4-0FEA-4C00-A737-4ACFB56F45CA}"/>
    <cellStyle name="Normal 2 3 2 2 5 16" xfId="18130" xr:uid="{2EDBD3FC-6298-4DB8-97F1-EF5CC3CB9728}"/>
    <cellStyle name="Normal 2 3 2 2 5 17" xfId="18131" xr:uid="{1F22F8E4-15E8-46AA-AF65-DB7C4A4B226F}"/>
    <cellStyle name="Normal 2 3 2 2 5 2" xfId="18132" xr:uid="{D5943C7C-1019-4084-A330-00813659F966}"/>
    <cellStyle name="Normal 2 3 2 2 5 2 10" xfId="18133" xr:uid="{8ABFFFB7-0F2E-42DC-86D3-6051800C7237}"/>
    <cellStyle name="Normal 2 3 2 2 5 2 11" xfId="18134" xr:uid="{2872F089-8137-48E9-9852-97CFC511B2D5}"/>
    <cellStyle name="Normal 2 3 2 2 5 2 12" xfId="18135" xr:uid="{7BD1A6E4-1A58-4D85-B97F-7126BC6316B1}"/>
    <cellStyle name="Normal 2 3 2 2 5 2 2" xfId="18136" xr:uid="{1675C055-A88D-4136-87BF-02BE414D5DB4}"/>
    <cellStyle name="Normal 2 3 2 2 5 2 2 2" xfId="18137" xr:uid="{0AF7C65A-0AAF-4FF7-9D90-E93DCD72C012}"/>
    <cellStyle name="Normal 2 3 2 2 5 2 2 2 2" xfId="18138" xr:uid="{26C42B02-6C7B-4818-90E2-F81FB5EEE540}"/>
    <cellStyle name="Normal 2 3 2 2 5 2 2 2 2 2" xfId="18139" xr:uid="{CB9C9778-DE9C-44C0-88D4-BC23C79D75A2}"/>
    <cellStyle name="Normal 2 3 2 2 5 2 2 2 2 2 2" xfId="18140" xr:uid="{C145F083-3060-480B-B103-BAFF23AB6499}"/>
    <cellStyle name="Normal 2 3 2 2 5 2 2 2 2 2 3" xfId="18141" xr:uid="{5F3FC611-9A84-42BF-99BD-9E9FFC5BA0EA}"/>
    <cellStyle name="Normal 2 3 2 2 5 2 2 2 2 2 4" xfId="18142" xr:uid="{0FB1C5F7-5922-4624-B158-8E86F9535C28}"/>
    <cellStyle name="Normal 2 3 2 2 5 2 2 2 2 2 5" xfId="18143" xr:uid="{EB76675B-768C-4AF3-8983-2A154FB1F2A0}"/>
    <cellStyle name="Normal 2 3 2 2 5 2 2 2 2 2 6" xfId="18144" xr:uid="{BE8A633F-1C64-47F8-8B99-485A9FD6F449}"/>
    <cellStyle name="Normal 2 3 2 2 5 2 2 2 2 3" xfId="18145" xr:uid="{C4CC751B-38B5-46D9-A2BB-0F6AC3715C8D}"/>
    <cellStyle name="Normal 2 3 2 2 5 2 2 2 2 4" xfId="18146" xr:uid="{99B145E0-158A-4FA7-871B-14E4D2C564C1}"/>
    <cellStyle name="Normal 2 3 2 2 5 2 2 2 2 5" xfId="18147" xr:uid="{E19F6086-33F4-433D-9AD5-81D84E5D06A5}"/>
    <cellStyle name="Normal 2 3 2 2 5 2 2 2 2 6" xfId="18148" xr:uid="{F8C564CA-16B6-4B1B-826B-5089CE313E33}"/>
    <cellStyle name="Normal 2 3 2 2 5 2 2 2 3" xfId="18149" xr:uid="{AF38DED9-83A8-49DD-ACA1-8E1377EECACD}"/>
    <cellStyle name="Normal 2 3 2 2 5 2 2 2 4" xfId="18150" xr:uid="{9275510F-244E-4CD0-BE3D-44254ABE5093}"/>
    <cellStyle name="Normal 2 3 2 2 5 2 2 2 5" xfId="18151" xr:uid="{DAE4ECAC-3653-4530-9CA7-5D3F5B4FD18B}"/>
    <cellStyle name="Normal 2 3 2 2 5 2 2 2 6" xfId="18152" xr:uid="{0BA73922-EF9C-402A-AAD4-3120B79FF6C0}"/>
    <cellStyle name="Normal 2 3 2 2 5 2 2 2 7" xfId="18153" xr:uid="{BC564F11-C5E1-46F1-89DF-03D9D1B2CD4A}"/>
    <cellStyle name="Normal 2 3 2 2 5 2 2 2 8" xfId="18154" xr:uid="{EA64022D-045F-4756-856E-F7DABCA8B6BE}"/>
    <cellStyle name="Normal 2 3 2 2 5 2 2 2 9" xfId="18155" xr:uid="{BC691959-4345-4FB5-800C-32281A203B81}"/>
    <cellStyle name="Normal 2 3 2 2 5 2 2 3" xfId="18156" xr:uid="{ECE1A91E-12F6-43FD-9D53-DE87852157C6}"/>
    <cellStyle name="Normal 2 3 2 2 5 2 2 3 2" xfId="18157" xr:uid="{482A94F8-EAB0-4A8F-9E35-75C456751FC4}"/>
    <cellStyle name="Normal 2 3 2 2 5 2 2 3 2 2" xfId="18158" xr:uid="{2DBDEF35-7BD8-49CB-BC92-053C8723BC39}"/>
    <cellStyle name="Normal 2 3 2 2 5 2 2 3 2 3" xfId="18159" xr:uid="{233E5C1D-1D5F-4152-9006-6C44D8917CB9}"/>
    <cellStyle name="Normal 2 3 2 2 5 2 2 3 2 4" xfId="18160" xr:uid="{A6653BA8-0FAD-4737-A069-9BE2D07F4D8C}"/>
    <cellStyle name="Normal 2 3 2 2 5 2 2 3 2 5" xfId="18161" xr:uid="{9674C02C-7C97-4DD6-BBC6-0FBC1A86C664}"/>
    <cellStyle name="Normal 2 3 2 2 5 2 2 3 2 6" xfId="18162" xr:uid="{13FADAEB-CD4B-4E89-9243-EFF1B127B6AB}"/>
    <cellStyle name="Normal 2 3 2 2 5 2 2 3 3" xfId="18163" xr:uid="{8D5FEF64-661D-4169-9E49-8AE028CFA1AE}"/>
    <cellStyle name="Normal 2 3 2 2 5 2 2 3 4" xfId="18164" xr:uid="{62EA8D13-5735-4B50-B637-64E0AB749CD0}"/>
    <cellStyle name="Normal 2 3 2 2 5 2 2 3 5" xfId="18165" xr:uid="{505D6974-2F5E-480E-B18D-C24B99D34AEF}"/>
    <cellStyle name="Normal 2 3 2 2 5 2 2 3 6" xfId="18166" xr:uid="{62DF993F-C585-411A-A11A-2BB217E4B07F}"/>
    <cellStyle name="Normal 2 3 2 2 5 2 2 4" xfId="18167" xr:uid="{C99DDCE7-B70C-43AB-849B-1D8E07DE7AEA}"/>
    <cellStyle name="Normal 2 3 2 2 5 2 2 5" xfId="18168" xr:uid="{99010756-EF20-44AD-9B71-0156909A920C}"/>
    <cellStyle name="Normal 2 3 2 2 5 2 2 6" xfId="18169" xr:uid="{6EA44B6C-30C5-447B-B288-F40E993D4355}"/>
    <cellStyle name="Normal 2 3 2 2 5 2 2 7" xfId="18170" xr:uid="{74F4EEA8-AEE4-434C-BA34-E734E6CB8C48}"/>
    <cellStyle name="Normal 2 3 2 2 5 2 2 8" xfId="18171" xr:uid="{E568C3C5-C4DB-4FF4-8500-6FF27F5A5E16}"/>
    <cellStyle name="Normal 2 3 2 2 5 2 2 9" xfId="18172" xr:uid="{C75A0EB2-6460-4ADD-A15D-579E2CCEB537}"/>
    <cellStyle name="Normal 2 3 2 2 5 2 3" xfId="18173" xr:uid="{D45DCD9F-9A09-4AA5-9F5C-477FB31117CE}"/>
    <cellStyle name="Normal 2 3 2 2 5 2 4" xfId="18174" xr:uid="{DFA587FD-10CE-4F6A-BC9B-34D5ED05ED91}"/>
    <cellStyle name="Normal 2 3 2 2 5 2 5" xfId="18175" xr:uid="{B12BF443-DA57-4B4F-B642-AAE8758126D4}"/>
    <cellStyle name="Normal 2 3 2 2 5 2 5 2" xfId="18176" xr:uid="{11D738B1-5E3C-4ABC-924E-CFBBDB3CFE21}"/>
    <cellStyle name="Normal 2 3 2 2 5 2 5 2 2" xfId="18177" xr:uid="{0A5193B8-D491-4457-A162-8911990CFEE3}"/>
    <cellStyle name="Normal 2 3 2 2 5 2 5 2 3" xfId="18178" xr:uid="{9ADD10E5-6109-4EB2-89F9-2F51AFBED1F0}"/>
    <cellStyle name="Normal 2 3 2 2 5 2 5 2 4" xfId="18179" xr:uid="{6FB34530-4DF2-4A6C-BE08-63C452AF47E6}"/>
    <cellStyle name="Normal 2 3 2 2 5 2 5 2 5" xfId="18180" xr:uid="{AF0A163B-12CB-4FF5-A6B6-1189143E7EAD}"/>
    <cellStyle name="Normal 2 3 2 2 5 2 5 2 6" xfId="18181" xr:uid="{45E75FB3-44F7-4510-834E-AF88166F8602}"/>
    <cellStyle name="Normal 2 3 2 2 5 2 5 3" xfId="18182" xr:uid="{3D6A10B8-B781-43A8-AE66-891AA1818327}"/>
    <cellStyle name="Normal 2 3 2 2 5 2 5 4" xfId="18183" xr:uid="{0F94E2AE-2431-4A46-9A88-753F16E829AD}"/>
    <cellStyle name="Normal 2 3 2 2 5 2 5 5" xfId="18184" xr:uid="{CEF39FCF-3E6D-4820-9CE3-E80E244FF131}"/>
    <cellStyle name="Normal 2 3 2 2 5 2 5 6" xfId="18185" xr:uid="{6BCFAED1-3ABE-48DF-9ED4-EE13F9EA959B}"/>
    <cellStyle name="Normal 2 3 2 2 5 2 6" xfId="18186" xr:uid="{A9030509-51B1-42E8-A9CC-729F866A1D7F}"/>
    <cellStyle name="Normal 2 3 2 2 5 2 7" xfId="18187" xr:uid="{0F210478-4CA1-4818-9AC9-8D1B39C84AAF}"/>
    <cellStyle name="Normal 2 3 2 2 5 2 8" xfId="18188" xr:uid="{22F25C8C-C9D3-4455-97E6-130E9AE7A7DD}"/>
    <cellStyle name="Normal 2 3 2 2 5 2 9" xfId="18189" xr:uid="{47DABF98-414B-4E13-AFE3-C01F984C3014}"/>
    <cellStyle name="Normal 2 3 2 2 5 3" xfId="18190" xr:uid="{CC49D5BF-5113-4EFE-B1DB-E4B507AC1B2F}"/>
    <cellStyle name="Normal 2 3 2 2 5 3 2" xfId="18191" xr:uid="{16D7B787-B99C-4CC4-A5C1-2B4E4303A957}"/>
    <cellStyle name="Normal 2 3 2 2 5 3 2 2" xfId="18192" xr:uid="{27CD33BA-1DF0-48F5-8934-458A44C0478E}"/>
    <cellStyle name="Normal 2 3 2 2 5 3 2 2 2" xfId="18193" xr:uid="{0102F55F-64BA-4784-8CA3-8E74AE01C7BA}"/>
    <cellStyle name="Normal 2 3 2 2 5 3 2 2 2 2" xfId="18194" xr:uid="{7C2F14B9-70A0-4926-B3A1-05C704DDBAB4}"/>
    <cellStyle name="Normal 2 3 2 2 5 3 2 2 2 3" xfId="18195" xr:uid="{53216827-CC40-4AE3-9E24-126E0ED8D831}"/>
    <cellStyle name="Normal 2 3 2 2 5 3 2 2 2 4" xfId="18196" xr:uid="{F396A178-4C81-4935-8FFC-1CC3F3BD1E0F}"/>
    <cellStyle name="Normal 2 3 2 2 5 3 2 2 2 5" xfId="18197" xr:uid="{68F46E1F-6086-4BBC-B68C-74556BAC73C3}"/>
    <cellStyle name="Normal 2 3 2 2 5 3 2 2 2 6" xfId="18198" xr:uid="{EF2BF0E8-0CC5-4110-B522-A0FCD9C92F92}"/>
    <cellStyle name="Normal 2 3 2 2 5 3 2 2 3" xfId="18199" xr:uid="{278AFD20-12CC-4D4A-8DA1-AF39B364F883}"/>
    <cellStyle name="Normal 2 3 2 2 5 3 2 2 4" xfId="18200" xr:uid="{1C710A93-5857-471C-87B1-C4613223DBB1}"/>
    <cellStyle name="Normal 2 3 2 2 5 3 2 2 5" xfId="18201" xr:uid="{EB1B033C-C27A-439A-8D49-814832FEC78B}"/>
    <cellStyle name="Normal 2 3 2 2 5 3 2 2 6" xfId="18202" xr:uid="{6F00D211-CF00-4DA2-964E-B6AB8F713BD4}"/>
    <cellStyle name="Normal 2 3 2 2 5 3 2 3" xfId="18203" xr:uid="{CFF22BC7-25D3-4ECA-AE75-594BC3665C41}"/>
    <cellStyle name="Normal 2 3 2 2 5 3 2 4" xfId="18204" xr:uid="{86032D46-A016-4741-ABC5-A645199C3CB7}"/>
    <cellStyle name="Normal 2 3 2 2 5 3 2 5" xfId="18205" xr:uid="{37029E59-5050-461D-A673-6EF108413C8A}"/>
    <cellStyle name="Normal 2 3 2 2 5 3 2 6" xfId="18206" xr:uid="{D0F05D09-A53A-4B03-ACD0-6AC1C911ADFF}"/>
    <cellStyle name="Normal 2 3 2 2 5 3 2 7" xfId="18207" xr:uid="{C0032B9A-9D79-426C-8436-1368054B7A2B}"/>
    <cellStyle name="Normal 2 3 2 2 5 3 2 8" xfId="18208" xr:uid="{05FC19A5-7B11-4636-B14E-EC1DE3A2B44C}"/>
    <cellStyle name="Normal 2 3 2 2 5 3 2 9" xfId="18209" xr:uid="{EC7BFBCE-C743-4BB5-9BDA-6B99C0B8EE19}"/>
    <cellStyle name="Normal 2 3 2 2 5 3 3" xfId="18210" xr:uid="{5F543335-A8C7-4EE0-8A65-DC35D3D6CCAB}"/>
    <cellStyle name="Normal 2 3 2 2 5 3 3 2" xfId="18211" xr:uid="{3245E639-A085-43C4-AAE4-FC47BF4E6BCF}"/>
    <cellStyle name="Normal 2 3 2 2 5 3 3 2 2" xfId="18212" xr:uid="{484B08D0-1643-4EAB-8291-6061C6EE3BFA}"/>
    <cellStyle name="Normal 2 3 2 2 5 3 3 2 3" xfId="18213" xr:uid="{A9AC5C83-0778-42D8-83A4-7B96B309D1B9}"/>
    <cellStyle name="Normal 2 3 2 2 5 3 3 2 4" xfId="18214" xr:uid="{9B062ED4-F41D-45F3-B223-3CC50E7FD04C}"/>
    <cellStyle name="Normal 2 3 2 2 5 3 3 2 5" xfId="18215" xr:uid="{48EE0C8E-FC0D-4496-B842-49EC312CFA13}"/>
    <cellStyle name="Normal 2 3 2 2 5 3 3 2 6" xfId="18216" xr:uid="{7A469609-3785-44B2-B5CE-DA69B4F1952D}"/>
    <cellStyle name="Normal 2 3 2 2 5 3 3 3" xfId="18217" xr:uid="{8FA09312-14A4-4F91-819C-6CDFA6E5277D}"/>
    <cellStyle name="Normal 2 3 2 2 5 3 3 4" xfId="18218" xr:uid="{35C889DB-B7B1-4425-A832-DFB137762E95}"/>
    <cellStyle name="Normal 2 3 2 2 5 3 3 5" xfId="18219" xr:uid="{871AA8E4-1C2F-4C1F-A043-D9A31F4D3D46}"/>
    <cellStyle name="Normal 2 3 2 2 5 3 3 6" xfId="18220" xr:uid="{84B3D402-C977-4D14-BA78-2DF1D3F8CA75}"/>
    <cellStyle name="Normal 2 3 2 2 5 3 4" xfId="18221" xr:uid="{749E3AC3-0852-4A59-A972-BC30A3CEC2F2}"/>
    <cellStyle name="Normal 2 3 2 2 5 3 5" xfId="18222" xr:uid="{B3AFFE1D-815A-43A8-AFFC-11D86DA6D473}"/>
    <cellStyle name="Normal 2 3 2 2 5 3 6" xfId="18223" xr:uid="{EDC32634-6BB8-40C8-A659-68C88D6F6DE8}"/>
    <cellStyle name="Normal 2 3 2 2 5 3 7" xfId="18224" xr:uid="{AFB46683-7EFE-4BC8-8137-9D936177C3FE}"/>
    <cellStyle name="Normal 2 3 2 2 5 3 8" xfId="18225" xr:uid="{794A661C-8C04-4088-B19A-A6ABF5B231D3}"/>
    <cellStyle name="Normal 2 3 2 2 5 3 9" xfId="18226" xr:uid="{35E633B8-0C6C-49B8-B25F-17B8AAB21EFF}"/>
    <cellStyle name="Normal 2 3 2 2 5 4" xfId="18227" xr:uid="{B5866675-C790-4026-9BC5-603CBD75C2F9}"/>
    <cellStyle name="Normal 2 3 2 2 5 5" xfId="18228" xr:uid="{6E86FB34-D047-4E05-8C14-45852AC62F02}"/>
    <cellStyle name="Normal 2 3 2 2 5 5 2" xfId="18229" xr:uid="{036F91FE-D990-404E-9204-7CD60DF667F8}"/>
    <cellStyle name="Normal 2 3 2 2 5 5 2 2" xfId="18230" xr:uid="{45F5BB55-E89D-49C1-AE91-F47D695B3BB6}"/>
    <cellStyle name="Normal 2 3 2 2 5 5 2 3" xfId="18231" xr:uid="{F73E2BA6-75CB-4A67-A7C5-7D7A3401B593}"/>
    <cellStyle name="Normal 2 3 2 2 5 5 2 4" xfId="18232" xr:uid="{09D3B742-75E1-4920-A777-F06BE922C922}"/>
    <cellStyle name="Normal 2 3 2 2 5 5 2 5" xfId="18233" xr:uid="{52491A2A-2267-4C7F-9ED9-5C9837A573A2}"/>
    <cellStyle name="Normal 2 3 2 2 5 5 2 6" xfId="18234" xr:uid="{2D76B451-9913-403B-A35D-0A7A86061091}"/>
    <cellStyle name="Normal 2 3 2 2 5 5 3" xfId="18235" xr:uid="{68784102-E635-4F87-9BAA-BC83B02FB472}"/>
    <cellStyle name="Normal 2 3 2 2 5 5 4" xfId="18236" xr:uid="{6FAA3529-E246-4A45-AA03-ED6AA00F3509}"/>
    <cellStyle name="Normal 2 3 2 2 5 5 5" xfId="18237" xr:uid="{149FC0E3-2002-432A-91A6-EE074D21B669}"/>
    <cellStyle name="Normal 2 3 2 2 5 5 6" xfId="18238" xr:uid="{C23B4E68-7971-41B7-AE5F-6BDEAD0EB4EA}"/>
    <cellStyle name="Normal 2 3 2 2 5 6" xfId="18239" xr:uid="{70BEC805-18EE-4DB0-96B4-70E4F6975852}"/>
    <cellStyle name="Normal 2 3 2 2 5 7" xfId="18240" xr:uid="{8960D82F-129F-4E95-B908-80FE7F544952}"/>
    <cellStyle name="Normal 2 3 2 2 5 8" xfId="18241" xr:uid="{7E0FBDAD-0C8B-4F29-A33A-FE9009452402}"/>
    <cellStyle name="Normal 2 3 2 2 5 9" xfId="18242" xr:uid="{D776DEAB-4C0A-46E8-9F8A-4C8861F0036A}"/>
    <cellStyle name="Normal 2 3 2 2 50" xfId="18243" xr:uid="{9D59BEB3-70B5-4D17-A3C2-AB16E2F1AD46}"/>
    <cellStyle name="Normal 2 3 2 2 51" xfId="18244" xr:uid="{5661CD6A-F67C-462E-8FD4-E3BC923B0781}"/>
    <cellStyle name="Normal 2 3 2 2 52" xfId="18245" xr:uid="{1E29BAF3-F3F8-44F5-ABFF-3C2EE916A75C}"/>
    <cellStyle name="Normal 2 3 2 2 53" xfId="18246" xr:uid="{208CDBB4-9D3F-472F-88E1-B1E89FD01EE5}"/>
    <cellStyle name="Normal 2 3 2 2 54" xfId="18247" xr:uid="{AA245840-465A-4572-A9F9-844526E020F8}"/>
    <cellStyle name="Normal 2 3 2 2 55" xfId="18248" xr:uid="{E3F7B9E1-71B5-451D-91F5-1891B7AFFBAC}"/>
    <cellStyle name="Normal 2 3 2 2 56" xfId="18249" xr:uid="{092FF5D1-BD06-4E60-9C9F-7B35AF4893B3}"/>
    <cellStyle name="Normal 2 3 2 2 57" xfId="18250" xr:uid="{1CEA8D2F-7C77-4209-8D09-AABA6BB7034B}"/>
    <cellStyle name="Normal 2 3 2 2 58" xfId="18251" xr:uid="{84495731-247B-423E-8DCE-851F5116B4DB}"/>
    <cellStyle name="Normal 2 3 2 2 59" xfId="18252" xr:uid="{E43E0B9B-96A5-4291-9B3D-CF8A2BE039AD}"/>
    <cellStyle name="Normal 2 3 2 2 6" xfId="18253" xr:uid="{AAF4D8C6-4840-4712-8F25-61E21BB9EDC3}"/>
    <cellStyle name="Normal 2 3 2 2 6 2" xfId="18254" xr:uid="{3197982F-0443-4587-9101-5A011F8D48AB}"/>
    <cellStyle name="Normal 2 3 2 2 6 3" xfId="18255" xr:uid="{5AF81C16-24E6-45FA-A5BB-88B648656F34}"/>
    <cellStyle name="Normal 2 3 2 2 6 4" xfId="18256" xr:uid="{2A3FBD28-B4CD-4F1E-9AA2-2DAD92544ACB}"/>
    <cellStyle name="Normal 2 3 2 2 6 5" xfId="18257" xr:uid="{E8BA08CE-56EC-4489-A89E-F388F327D5BE}"/>
    <cellStyle name="Normal 2 3 2 2 6 6" xfId="18258" xr:uid="{DF1D4CF1-4271-4188-8D8B-D25299804CDC}"/>
    <cellStyle name="Normal 2 3 2 2 60" xfId="18259" xr:uid="{05BB0FA7-46AF-4CB3-8735-A831FF1A5D82}"/>
    <cellStyle name="Normal 2 3 2 2 61" xfId="18260" xr:uid="{B6C27C44-B504-4680-9915-2FE6E01E2B30}"/>
    <cellStyle name="Normal 2 3 2 2 62" xfId="18261" xr:uid="{B6DDE3FC-8048-4A64-B292-FB28A91B1421}"/>
    <cellStyle name="Normal 2 3 2 2 7" xfId="18262" xr:uid="{2246FE0E-85C8-48D4-BAAB-03E73F8E2D34}"/>
    <cellStyle name="Normal 2 3 2 2 7 2" xfId="18263" xr:uid="{6B1F7016-FE80-47DC-983A-604B42F6A4C3}"/>
    <cellStyle name="Normal 2 3 2 2 7 3" xfId="18264" xr:uid="{209E3E43-E7C9-4276-B667-0A96D4513976}"/>
    <cellStyle name="Normal 2 3 2 2 7 4" xfId="18265" xr:uid="{280A9FD1-9D4F-48F5-9F53-A2608F7284E3}"/>
    <cellStyle name="Normal 2 3 2 2 7 5" xfId="18266" xr:uid="{00F78665-5A5D-4D32-AD90-CF9D61654280}"/>
    <cellStyle name="Normal 2 3 2 2 7 6" xfId="18267" xr:uid="{02697BFF-E43C-49C6-9D5D-610895F589AB}"/>
    <cellStyle name="Normal 2 3 2 2 8" xfId="18268" xr:uid="{7A86AD29-D50D-49C1-B1F9-489C68CD73B9}"/>
    <cellStyle name="Normal 2 3 2 2 8 10" xfId="18269" xr:uid="{A63EE914-B4F4-4958-87A8-67CC60187CEC}"/>
    <cellStyle name="Normal 2 3 2 2 8 11" xfId="18270" xr:uid="{6E641DC3-43DD-4C94-85E4-40069C8225D0}"/>
    <cellStyle name="Normal 2 3 2 2 8 12" xfId="18271" xr:uid="{4A323C26-1E45-4A60-9048-C51572017D34}"/>
    <cellStyle name="Normal 2 3 2 2 8 13" xfId="18272" xr:uid="{7B480B79-4254-4F95-B1A1-A32DD22B8640}"/>
    <cellStyle name="Normal 2 3 2 2 8 14" xfId="18273" xr:uid="{8DF081F4-C1BC-4A8C-B015-A96262C04D67}"/>
    <cellStyle name="Normal 2 3 2 2 8 2" xfId="18274" xr:uid="{3C11B161-AC27-4CEF-AE42-C03B76B2CCFE}"/>
    <cellStyle name="Normal 2 3 2 2 8 2 2" xfId="18275" xr:uid="{E466951A-257B-44D5-A26B-E079B1D9760F}"/>
    <cellStyle name="Normal 2 3 2 2 8 2 2 2" xfId="18276" xr:uid="{1B26193C-6796-4689-8D3A-057A1B28401D}"/>
    <cellStyle name="Normal 2 3 2 2 8 2 2 2 2" xfId="18277" xr:uid="{66855C91-EA15-4F4D-A7EC-5751E88E7096}"/>
    <cellStyle name="Normal 2 3 2 2 8 2 2 2 3" xfId="18278" xr:uid="{58E91BE2-246E-4054-BE65-687BE52A1AFB}"/>
    <cellStyle name="Normal 2 3 2 2 8 2 2 2 4" xfId="18279" xr:uid="{6E22BE42-14E8-4A3A-A33D-7E21EB105287}"/>
    <cellStyle name="Normal 2 3 2 2 8 2 2 2 5" xfId="18280" xr:uid="{74CF9E64-1B9B-46D1-AF6C-7F3A04EABA64}"/>
    <cellStyle name="Normal 2 3 2 2 8 2 2 2 6" xfId="18281" xr:uid="{01936B74-7A3B-4265-A1A1-7B1E25F34DD2}"/>
    <cellStyle name="Normal 2 3 2 2 8 2 2 3" xfId="18282" xr:uid="{CA5C958F-39AE-4911-93FB-5D196B9B61E1}"/>
    <cellStyle name="Normal 2 3 2 2 8 2 2 4" xfId="18283" xr:uid="{3FF0190D-070B-46A4-A7B3-B2D6680278F1}"/>
    <cellStyle name="Normal 2 3 2 2 8 2 2 5" xfId="18284" xr:uid="{5590B7D6-0135-49BF-92B5-981DB777ECC3}"/>
    <cellStyle name="Normal 2 3 2 2 8 2 2 6" xfId="18285" xr:uid="{A5EF15E5-CEC3-48E4-A7D9-36F1F6DAAA09}"/>
    <cellStyle name="Normal 2 3 2 2 8 2 3" xfId="18286" xr:uid="{4D844BA8-CE4A-4F6B-9C12-B394C59069EA}"/>
    <cellStyle name="Normal 2 3 2 2 8 2 4" xfId="18287" xr:uid="{CE072595-2BE3-4925-992A-0C5CDCD60936}"/>
    <cellStyle name="Normal 2 3 2 2 8 2 5" xfId="18288" xr:uid="{02BD1E24-BD69-4882-A289-616525B7D1B2}"/>
    <cellStyle name="Normal 2 3 2 2 8 2 6" xfId="18289" xr:uid="{B6D2F2DE-6892-4B2D-B4F9-9B2B01DB53A1}"/>
    <cellStyle name="Normal 2 3 2 2 8 2 7" xfId="18290" xr:uid="{18E0E028-AA18-4C36-B870-782107C462F2}"/>
    <cellStyle name="Normal 2 3 2 2 8 2 8" xfId="18291" xr:uid="{7E5702C0-4DDB-47E8-8467-446EA1376DC0}"/>
    <cellStyle name="Normal 2 3 2 2 8 2 9" xfId="18292" xr:uid="{450BB671-1E96-4067-A237-B1B114DFF05C}"/>
    <cellStyle name="Normal 2 3 2 2 8 3" xfId="18293" xr:uid="{7C47B462-24E9-467A-B83E-12FDD59C0995}"/>
    <cellStyle name="Normal 2 3 2 2 8 3 2" xfId="18294" xr:uid="{50240BF3-4EF2-461D-83E1-C3F1C56A3C5D}"/>
    <cellStyle name="Normal 2 3 2 2 8 3 2 2" xfId="18295" xr:uid="{9DBFF307-1329-443B-B71A-EE1C5EB9DB0D}"/>
    <cellStyle name="Normal 2 3 2 2 8 3 2 3" xfId="18296" xr:uid="{62CE2451-2781-4942-BF1D-701A09FC85DC}"/>
    <cellStyle name="Normal 2 3 2 2 8 3 2 4" xfId="18297" xr:uid="{5980573E-1582-44D2-91C3-A86EF28C4EA5}"/>
    <cellStyle name="Normal 2 3 2 2 8 3 2 5" xfId="18298" xr:uid="{3655BE51-AB20-4C43-914A-15F44DD4B76B}"/>
    <cellStyle name="Normal 2 3 2 2 8 3 2 6" xfId="18299" xr:uid="{0116D0A3-5C04-4338-8C2A-71F012393C1B}"/>
    <cellStyle name="Normal 2 3 2 2 8 3 3" xfId="18300" xr:uid="{E6D1DF9F-D4E9-4587-978D-BC626A8505D7}"/>
    <cellStyle name="Normal 2 3 2 2 8 3 4" xfId="18301" xr:uid="{0F248037-8E49-474B-A714-A22CDE74655D}"/>
    <cellStyle name="Normal 2 3 2 2 8 3 5" xfId="18302" xr:uid="{F90F927D-29FD-43D7-BEE8-4B8CD9205351}"/>
    <cellStyle name="Normal 2 3 2 2 8 3 6" xfId="18303" xr:uid="{62C82A26-FDB8-463B-9462-1E27306BCECC}"/>
    <cellStyle name="Normal 2 3 2 2 8 4" xfId="18304" xr:uid="{FC65E508-21D7-446A-A36A-CE2924D027F0}"/>
    <cellStyle name="Normal 2 3 2 2 8 5" xfId="18305" xr:uid="{12C0F23A-6780-47C5-93F5-4C62396DAE67}"/>
    <cellStyle name="Normal 2 3 2 2 8 6" xfId="18306" xr:uid="{DAE46B87-7421-417B-8A43-50B309B0D406}"/>
    <cellStyle name="Normal 2 3 2 2 8 7" xfId="18307" xr:uid="{C348D0D6-8103-49E5-BF24-2753B1EBE3B1}"/>
    <cellStyle name="Normal 2 3 2 2 8 8" xfId="18308" xr:uid="{3FC60CA5-BEA8-4F80-81EC-5421470F269C}"/>
    <cellStyle name="Normal 2 3 2 2 8 9" xfId="18309" xr:uid="{1FFF1711-C4EA-4578-9BAD-BB8FE67FA6ED}"/>
    <cellStyle name="Normal 2 3 2 2 9" xfId="18310" xr:uid="{2E2A346A-EE96-4951-B43E-ABC14059F42C}"/>
    <cellStyle name="Normal 2 3 2 2 9 2" xfId="18311" xr:uid="{018FDAAD-FD63-491F-8E0E-CEEFEB48F450}"/>
    <cellStyle name="Normal 2 3 2 2 9 3" xfId="18312" xr:uid="{4E9575B5-C807-464C-BEAA-1515BC5CF3B2}"/>
    <cellStyle name="Normal 2 3 2 2 9 4" xfId="18313" xr:uid="{E27458AA-6BD2-4854-B185-B9EE153D72E7}"/>
    <cellStyle name="Normal 2 3 2 2 9 5" xfId="18314" xr:uid="{39347677-762E-45F5-9759-D0257691FC9A}"/>
    <cellStyle name="Normal 2 3 2 2 9 6" xfId="18315" xr:uid="{E10B7AB9-32B6-4136-881E-CF498CBB3091}"/>
    <cellStyle name="Normal 2 3 2 20" xfId="18316" xr:uid="{338872E9-08EB-42B6-A0CD-B52D985C6BDB}"/>
    <cellStyle name="Normal 2 3 2 20 2" xfId="18317" xr:uid="{DCDF9A2D-553E-4C70-BA2A-124F4A8D6740}"/>
    <cellStyle name="Normal 2 3 2 21" xfId="18318" xr:uid="{1058FB67-4B15-42A5-887B-B08D4D108E7B}"/>
    <cellStyle name="Normal 2 3 2 21 2" xfId="18319" xr:uid="{7FC42DBB-DB7B-4AF7-ACFA-A43AEF4D82E5}"/>
    <cellStyle name="Normal 2 3 2 22" xfId="18320" xr:uid="{9D1D04B4-4FBD-49D5-BB48-99D2CDFAE7A5}"/>
    <cellStyle name="Normal 2 3 2 23" xfId="18321" xr:uid="{5767496E-E6E7-4E95-AD9F-9EA29E9E2729}"/>
    <cellStyle name="Normal 2 3 2 24" xfId="18322" xr:uid="{DBB8DA3E-D387-4B35-99C9-5DB459BF63B2}"/>
    <cellStyle name="Normal 2 3 2 25" xfId="18323" xr:uid="{7FD55E07-E726-401A-921F-EC82247C9396}"/>
    <cellStyle name="Normal 2 3 2 26" xfId="18324" xr:uid="{C3F5130A-AC77-488A-9763-6D0612627B8A}"/>
    <cellStyle name="Normal 2 3 2 27" xfId="18325" xr:uid="{ADAFBCA2-2BED-4E5F-ABFA-0257453286B0}"/>
    <cellStyle name="Normal 2 3 2 28" xfId="18326" xr:uid="{558FB2DD-CB43-4E0D-983B-1FF33D93BAEC}"/>
    <cellStyle name="Normal 2 3 2 28 2" xfId="18327" xr:uid="{E62F5413-C618-4384-8523-963F486BF39D}"/>
    <cellStyle name="Normal 2 3 2 28 2 2" xfId="18328" xr:uid="{AF211634-C98B-4234-A783-233EF6889766}"/>
    <cellStyle name="Normal 2 3 2 28 2 2 2" xfId="18329" xr:uid="{694687D7-2E35-48FF-8050-033622104E26}"/>
    <cellStyle name="Normal 2 3 2 28 3" xfId="18330" xr:uid="{3F1DC5E4-64D5-4569-89C8-9F16EEA09981}"/>
    <cellStyle name="Normal 2 3 2 28 4" xfId="18331" xr:uid="{76C131DC-4C70-4F04-9C28-7F45B0D6B924}"/>
    <cellStyle name="Normal 2 3 2 28 5" xfId="18332" xr:uid="{1AA0D816-048A-478C-875E-ECF208AFB9A2}"/>
    <cellStyle name="Normal 2 3 2 28 6" xfId="18333" xr:uid="{95F7E62E-8E03-480E-AA2F-90BDFF816E2B}"/>
    <cellStyle name="Normal 2 3 2 29" xfId="18334" xr:uid="{B1F19B6C-5537-418F-AEC5-E61357A6E01E}"/>
    <cellStyle name="Normal 2 3 2 29 2" xfId="18335" xr:uid="{331C3F19-5437-4453-A603-BF3209A34845}"/>
    <cellStyle name="Normal 2 3 2 29 2 2" xfId="18336" xr:uid="{DCA99439-041C-4152-BAB6-195D8C957C13}"/>
    <cellStyle name="Normal 2 3 2 3" xfId="18337" xr:uid="{D518CC10-8B64-4BC1-B55A-82510970DC95}"/>
    <cellStyle name="Normal 2 3 2 3 10" xfId="18338" xr:uid="{E33AD8B1-7762-4864-B083-1D9A628242AA}"/>
    <cellStyle name="Normal 2 3 2 3 11" xfId="18339" xr:uid="{115702DB-1C54-407B-801A-71AFF7833E7C}"/>
    <cellStyle name="Normal 2 3 2 3 12" xfId="18340" xr:uid="{D3CDF9C7-1D96-4806-8E56-77997617411C}"/>
    <cellStyle name="Normal 2 3 2 3 13" xfId="18341" xr:uid="{3BC9288B-41D9-4F37-8E3A-802EEC2D6547}"/>
    <cellStyle name="Normal 2 3 2 3 14" xfId="18342" xr:uid="{6DD359F3-F804-4C55-BB2B-E4B20CBC9134}"/>
    <cellStyle name="Normal 2 3 2 3 15" xfId="18343" xr:uid="{B038A049-DF88-4A01-A572-0169C6821112}"/>
    <cellStyle name="Normal 2 3 2 3 16" xfId="18344" xr:uid="{EFC39294-E7F5-4A9E-B75A-36052337F06E}"/>
    <cellStyle name="Normal 2 3 2 3 17" xfId="18345" xr:uid="{9AD4466B-EBAA-458E-B923-DE4F0B1B0325}"/>
    <cellStyle name="Normal 2 3 2 3 18" xfId="18346" xr:uid="{3CB3611B-E5E4-402A-BAAD-9358D37F495A}"/>
    <cellStyle name="Normal 2 3 2 3 19" xfId="18347" xr:uid="{B4B687F1-5F65-458C-9949-F89D5CBFB80E}"/>
    <cellStyle name="Normal 2 3 2 3 2" xfId="18348" xr:uid="{A4B82C39-60FC-4B5D-9369-58369B3C8C93}"/>
    <cellStyle name="Normal 2 3 2 3 2 10" xfId="18349" xr:uid="{98CDC216-63F5-4E8F-8746-B6320A0B9E17}"/>
    <cellStyle name="Normal 2 3 2 3 2 11" xfId="18350" xr:uid="{67A1AE99-18F3-4D21-9433-1EF57BBE498B}"/>
    <cellStyle name="Normal 2 3 2 3 2 12" xfId="18351" xr:uid="{123FB454-178E-49E3-AB6E-AA8127249354}"/>
    <cellStyle name="Normal 2 3 2 3 2 13" xfId="18352" xr:uid="{9CB69648-0CDF-454D-8198-D60B663CBF42}"/>
    <cellStyle name="Normal 2 3 2 3 2 14" xfId="18353" xr:uid="{FE823948-0C8C-4F54-B890-2BBE831EAC7C}"/>
    <cellStyle name="Normal 2 3 2 3 2 15" xfId="18354" xr:uid="{5892AD11-BDBE-41AB-8426-E92A8AAABBA4}"/>
    <cellStyle name="Normal 2 3 2 3 2 16" xfId="18355" xr:uid="{F41C029E-0369-499D-A095-A0E121CA941B}"/>
    <cellStyle name="Normal 2 3 2 3 2 17" xfId="18356" xr:uid="{7544C463-1041-49CB-B493-77D57CF83CBA}"/>
    <cellStyle name="Normal 2 3 2 3 2 2" xfId="18357" xr:uid="{B43B7F49-7424-40E7-ABB9-5A9952F0C979}"/>
    <cellStyle name="Normal 2 3 2 3 2 2 2" xfId="18358" xr:uid="{2FCD7F21-C14A-4339-B9A0-F43D3520C049}"/>
    <cellStyle name="Normal 2 3 2 3 2 2 2 2" xfId="18359" xr:uid="{61C5EFCB-9A7B-47A7-B7BD-AA163BF0F0E9}"/>
    <cellStyle name="Normal 2 3 2 3 2 2 2 3" xfId="18360" xr:uid="{84EEFDA7-E905-4F67-A16B-0F21D903541C}"/>
    <cellStyle name="Normal 2 3 2 3 2 2 2 4" xfId="18361" xr:uid="{C7635EC4-176A-4F20-A6F5-EA7DA36CDC0B}"/>
    <cellStyle name="Normal 2 3 2 3 2 2 2 5" xfId="18362" xr:uid="{19D23088-D4E5-4E7A-B63A-CCEE2277EADA}"/>
    <cellStyle name="Normal 2 3 2 3 2 2 2 6" xfId="18363" xr:uid="{07217799-372E-4D77-84E3-CE4DA096ADDC}"/>
    <cellStyle name="Normal 2 3 2 3 2 2 2 7" xfId="18364" xr:uid="{70A84118-539E-47F9-A7AA-9022E48EA425}"/>
    <cellStyle name="Normal 2 3 2 3 2 2 2 8" xfId="18365" xr:uid="{B1F8595A-50D6-4DFF-96BC-12EB0B275C0B}"/>
    <cellStyle name="Normal 2 3 2 3 2 2 2 9" xfId="18366" xr:uid="{C50BB286-B5AE-48F7-BCE3-67A123E57F5F}"/>
    <cellStyle name="Normal 2 3 2 3 2 2 3" xfId="18367" xr:uid="{A133A753-B5FF-4C61-BF2D-1A8F380D2073}"/>
    <cellStyle name="Normal 2 3 2 3 2 2 4" xfId="18368" xr:uid="{D861329E-0216-4279-8F0F-9CBD4FF6CA76}"/>
    <cellStyle name="Normal 2 3 2 3 2 2 5" xfId="18369" xr:uid="{1DC25308-8FD0-4D34-8D4D-7BB3D6008BDB}"/>
    <cellStyle name="Normal 2 3 2 3 2 2 6" xfId="18370" xr:uid="{562E016E-13ED-480D-9452-314054A1E27A}"/>
    <cellStyle name="Normal 2 3 2 3 2 2 7" xfId="18371" xr:uid="{43DB9B9B-6D56-4C5D-BCB2-6400944972E9}"/>
    <cellStyle name="Normal 2 3 2 3 2 2 8" xfId="18372" xr:uid="{1D310B69-4AEA-4E5F-AB3B-2B2C0BE22966}"/>
    <cellStyle name="Normal 2 3 2 3 2 2 9" xfId="18373" xr:uid="{C595F4A0-AA57-43F6-9FCE-C57456F1B51C}"/>
    <cellStyle name="Normal 2 3 2 3 2 3" xfId="18374" xr:uid="{58B66148-15F6-4E14-9DD7-87FF18C1FA63}"/>
    <cellStyle name="Normal 2 3 2 3 2 4" xfId="18375" xr:uid="{7B281A4C-4189-46C1-9396-7B812180321B}"/>
    <cellStyle name="Normal 2 3 2 3 2 5" xfId="18376" xr:uid="{C7CAC6E3-302E-4618-A4F0-264D91813C2D}"/>
    <cellStyle name="Normal 2 3 2 3 2 6" xfId="18377" xr:uid="{7E42A34C-D6A8-4F5E-BE1E-5CE89235723B}"/>
    <cellStyle name="Normal 2 3 2 3 2 7" xfId="18378" xr:uid="{3726534D-8523-4C19-A998-CF2300F02305}"/>
    <cellStyle name="Normal 2 3 2 3 2 8" xfId="18379" xr:uid="{6C4983D1-13D4-4B65-9B20-DDFE806569C3}"/>
    <cellStyle name="Normal 2 3 2 3 2 9" xfId="18380" xr:uid="{6A3AE471-E10F-4045-9AA6-E1C06E3012C8}"/>
    <cellStyle name="Normal 2 3 2 3 20" xfId="18381" xr:uid="{5B0EA364-0E2D-4357-9B17-8EE4379219E6}"/>
    <cellStyle name="Normal 2 3 2 3 21" xfId="18382" xr:uid="{021224CC-35D2-4F5E-8B77-CDE21BB24C60}"/>
    <cellStyle name="Normal 2 3 2 3 22" xfId="18383" xr:uid="{CBCAE725-D4B1-4F14-87B9-22C0E42BE32F}"/>
    <cellStyle name="Normal 2 3 2 3 3" xfId="18384" xr:uid="{9A259B0C-5E50-4B77-ACDC-55A77AE3F617}"/>
    <cellStyle name="Normal 2 3 2 3 3 2" xfId="18385" xr:uid="{459E0CF6-5783-4CA8-ACF0-10AE42740532}"/>
    <cellStyle name="Normal 2 3 2 3 3 2 2" xfId="18386" xr:uid="{B0C4A1BA-713F-4262-AC4C-E49CE1DD796F}"/>
    <cellStyle name="Normal 2 3 2 3 3 2 3" xfId="18387" xr:uid="{53E87FB0-FC4E-4BA2-866D-7273D0BB6B99}"/>
    <cellStyle name="Normal 2 3 2 3 3 2 4" xfId="18388" xr:uid="{9EA480D3-B417-40EF-A5AB-4A0A408528BA}"/>
    <cellStyle name="Normal 2 3 2 3 3 2 5" xfId="18389" xr:uid="{2267773F-B091-43D5-927A-5C0A5E973CCD}"/>
    <cellStyle name="Normal 2 3 2 3 3 2 6" xfId="18390" xr:uid="{262BD641-E1D3-4CE2-BCAC-25EC68117AD8}"/>
    <cellStyle name="Normal 2 3 2 3 3 2 7" xfId="18391" xr:uid="{D0258D97-EEB2-4A48-9B7E-7F79BE924198}"/>
    <cellStyle name="Normal 2 3 2 3 3 2 8" xfId="18392" xr:uid="{539E7A87-7F62-41EA-943A-B1D148CF6A98}"/>
    <cellStyle name="Normal 2 3 2 3 3 2 9" xfId="18393" xr:uid="{43419C6A-BFF3-4C26-8CE5-C0DBFE0768AB}"/>
    <cellStyle name="Normal 2 3 2 3 3 3" xfId="18394" xr:uid="{7088F6BF-72B7-49FF-B468-480574632F47}"/>
    <cellStyle name="Normal 2 3 2 3 3 4" xfId="18395" xr:uid="{0701AF25-F6F0-4F4B-AE50-386B06A07039}"/>
    <cellStyle name="Normal 2 3 2 3 3 5" xfId="18396" xr:uid="{FDAC9A2C-50BF-491D-BA91-16FA8A321BB8}"/>
    <cellStyle name="Normal 2 3 2 3 3 6" xfId="18397" xr:uid="{B627863B-53F1-4434-84D3-645F0F76A71B}"/>
    <cellStyle name="Normal 2 3 2 3 3 7" xfId="18398" xr:uid="{68C7FFC8-E267-4B98-B54F-5AB4AA158351}"/>
    <cellStyle name="Normal 2 3 2 3 3 8" xfId="18399" xr:uid="{68203D07-41EA-400C-9A45-541681714897}"/>
    <cellStyle name="Normal 2 3 2 3 3 9" xfId="18400" xr:uid="{D8CC325D-12DA-4E98-BA9F-E0AA9076DB9B}"/>
    <cellStyle name="Normal 2 3 2 3 4" xfId="18401" xr:uid="{9053A847-E5AF-4ED6-BC30-E2D8977E2905}"/>
    <cellStyle name="Normal 2 3 2 3 5" xfId="18402" xr:uid="{205ABA3D-90D0-4222-B307-4C36338A114B}"/>
    <cellStyle name="Normal 2 3 2 3 6" xfId="18403" xr:uid="{B7F91CB8-EA5D-4723-A428-A679C8C38DCA}"/>
    <cellStyle name="Normal 2 3 2 3 7" xfId="18404" xr:uid="{4BE49C1F-D4BE-4F86-B59D-E924FC775A71}"/>
    <cellStyle name="Normal 2 3 2 3 8" xfId="18405" xr:uid="{2FC540AD-B10E-4C6B-97D9-EDFC83DF89D4}"/>
    <cellStyle name="Normal 2 3 2 3 9" xfId="18406" xr:uid="{CF0507DF-D893-4414-84C3-9507CBAC633A}"/>
    <cellStyle name="Normal 2 3 2 30" xfId="18407" xr:uid="{91DD1687-7C6E-4422-819D-50E0EBB0ED66}"/>
    <cellStyle name="Normal 2 3 2 31" xfId="18408" xr:uid="{5414E4C3-FFCE-46EA-A383-116E89C66537}"/>
    <cellStyle name="Normal 2 3 2 32" xfId="18409" xr:uid="{FCC0A849-636A-4A41-B8CE-60BFF59CC5FC}"/>
    <cellStyle name="Normal 2 3 2 33" xfId="18410" xr:uid="{F3369957-A60D-4F1D-999A-040CBABA51E8}"/>
    <cellStyle name="Normal 2 3 2 34" xfId="18411" xr:uid="{E14AF279-0D8D-47DC-BAAF-AFA6A561E11E}"/>
    <cellStyle name="Normal 2 3 2 35" xfId="18412" xr:uid="{B0ABEE44-3B3A-4B76-A2E9-DD0E22808FFD}"/>
    <cellStyle name="Normal 2 3 2 36" xfId="18413" xr:uid="{ED5D8AB7-357A-4F8E-AC30-CA6A56D96088}"/>
    <cellStyle name="Normal 2 3 2 37" xfId="18414" xr:uid="{CC5DB56E-C10A-4D38-B988-F62C4C9A31CE}"/>
    <cellStyle name="Normal 2 3 2 38" xfId="18415" xr:uid="{FB1CF402-E639-455D-8B52-759E6CD9ADB6}"/>
    <cellStyle name="Normal 2 3 2 38 10" xfId="18416" xr:uid="{AC19405B-7BFD-4558-B1D4-DD7A97E4071F}"/>
    <cellStyle name="Normal 2 3 2 38 11" xfId="18417" xr:uid="{DBC194A3-C0CF-4D6A-B7A1-56F26E693FB0}"/>
    <cellStyle name="Normal 2 3 2 38 12" xfId="18418" xr:uid="{C7BAA2A6-AF9D-4299-A7ED-CCF606FA08FE}"/>
    <cellStyle name="Normal 2 3 2 38 13" xfId="18419" xr:uid="{7720221B-F2AC-4D2A-A1F8-AE6C9CE2AA0B}"/>
    <cellStyle name="Normal 2 3 2 38 14" xfId="18420" xr:uid="{293AD670-AD96-4FB4-91E7-74C811A02D79}"/>
    <cellStyle name="Normal 2 3 2 38 15" xfId="18421" xr:uid="{091A041C-C9A0-4721-A8E8-5C096775F4A7}"/>
    <cellStyle name="Normal 2 3 2 38 16" xfId="18422" xr:uid="{6A43BA4C-E356-4F71-BC51-507282E5F584}"/>
    <cellStyle name="Normal 2 3 2 38 2" xfId="18423" xr:uid="{16E9A83F-BA32-4FE4-B2A6-A29508E25B7D}"/>
    <cellStyle name="Normal 2 3 2 38 3" xfId="18424" xr:uid="{949F2786-D664-4B89-8592-8AD1D946DB0B}"/>
    <cellStyle name="Normal 2 3 2 38 4" xfId="18425" xr:uid="{0C67E6EE-6299-491B-BEB4-19CB76DAA250}"/>
    <cellStyle name="Normal 2 3 2 38 5" xfId="18426" xr:uid="{194D62D6-E847-4031-BE6C-E0C113D8B5C3}"/>
    <cellStyle name="Normal 2 3 2 38 6" xfId="18427" xr:uid="{C3CFE981-C3CB-43D5-81F9-4C8472329626}"/>
    <cellStyle name="Normal 2 3 2 38 7" xfId="18428" xr:uid="{1354D55D-BA1E-495E-9B10-B99C3063C174}"/>
    <cellStyle name="Normal 2 3 2 38 8" xfId="18429" xr:uid="{D1873299-2D53-47FC-93D0-C1232560883C}"/>
    <cellStyle name="Normal 2 3 2 38 9" xfId="18430" xr:uid="{C1A2E8F7-7A02-4AAF-B86A-6423B73DBA6E}"/>
    <cellStyle name="Normal 2 3 2 39" xfId="18431" xr:uid="{2618DE20-E16D-4682-952D-956A84566BD3}"/>
    <cellStyle name="Normal 2 3 2 4" xfId="18432" xr:uid="{EC1D3E5F-E70A-4DAE-B632-EAFA48FDA5C6}"/>
    <cellStyle name="Normal 2 3 2 4 2" xfId="18433" xr:uid="{2B953A73-458F-4C00-8694-E39AA54A84A0}"/>
    <cellStyle name="Normal 2 3 2 4 3" xfId="18434" xr:uid="{1DB4433B-2215-4D04-B822-32041D7745A2}"/>
    <cellStyle name="Normal 2 3 2 4 4" xfId="18435" xr:uid="{C567DEB2-BE47-4D8C-9162-E41D39A5E84E}"/>
    <cellStyle name="Normal 2 3 2 4 5" xfId="18436" xr:uid="{5D414716-F562-4A5B-AD1E-070F52EC4E73}"/>
    <cellStyle name="Normal 2 3 2 4 6" xfId="18437" xr:uid="{F8C0DBCA-47B1-4EB1-BF22-D35F60E2B2BC}"/>
    <cellStyle name="Normal 2 3 2 40" xfId="18438" xr:uid="{F182E08A-678E-4FAE-B74C-5460D9275717}"/>
    <cellStyle name="Normal 2 3 2 41" xfId="18439" xr:uid="{3579DE11-375C-4342-8922-6608CC2E162A}"/>
    <cellStyle name="Normal 2 3 2 42" xfId="18440" xr:uid="{63009B7B-B1EC-4CCE-810D-6B85A07778CA}"/>
    <cellStyle name="Normal 2 3 2 43" xfId="18441" xr:uid="{9B024153-7EA6-454C-B728-59BE244A4462}"/>
    <cellStyle name="Normal 2 3 2 44" xfId="18442" xr:uid="{5B3CBC8E-1BAC-4576-968D-C4015EA3AAA7}"/>
    <cellStyle name="Normal 2 3 2 45" xfId="18443" xr:uid="{8FF4E6DE-FBE2-45E2-AAF4-DE146A926844}"/>
    <cellStyle name="Normal 2 3 2 45 2" xfId="18444" xr:uid="{FB01901F-FB5E-430D-8464-8E67F57FAD57}"/>
    <cellStyle name="Normal 2 3 2 45 3" xfId="18445" xr:uid="{8A1971D5-1169-4423-BA45-5C7C52801208}"/>
    <cellStyle name="Normal 2 3 2 45 4" xfId="18446" xr:uid="{6C9454A8-F976-43B1-B238-DBCE536FB806}"/>
    <cellStyle name="Normal 2 3 2 45 5" xfId="18447" xr:uid="{87B694CD-5457-4DDC-8BF0-80F6A30615F7}"/>
    <cellStyle name="Normal 2 3 2 46" xfId="18448" xr:uid="{35F56CB9-8D8C-4C77-8765-961F98F59684}"/>
    <cellStyle name="Normal 2 3 2 47" xfId="18449" xr:uid="{95D94A0A-EC64-453D-BDD0-B654475CA6B4}"/>
    <cellStyle name="Normal 2 3 2 48" xfId="18450" xr:uid="{D2CE0838-B512-4A32-814B-BB2648D28DF2}"/>
    <cellStyle name="Normal 2 3 2 49" xfId="18451" xr:uid="{CB00A290-CFCD-498E-9A10-92D2C790F012}"/>
    <cellStyle name="Normal 2 3 2 5" xfId="18452" xr:uid="{4FBD857C-42ED-4F0E-B605-14EE0276A2EA}"/>
    <cellStyle name="Normal 2 3 2 5 10" xfId="18453" xr:uid="{127A28B3-C069-4DAC-AC5A-D34DD3074768}"/>
    <cellStyle name="Normal 2 3 2 5 11" xfId="18454" xr:uid="{204311D8-73B2-40A6-93DF-E4B1A7722087}"/>
    <cellStyle name="Normal 2 3 2 5 12" xfId="18455" xr:uid="{1826BD6E-BD6F-4F30-8713-EDF265EDF935}"/>
    <cellStyle name="Normal 2 3 2 5 13" xfId="18456" xr:uid="{8913B7E9-800F-4CAC-B8C4-C5A31000DAC2}"/>
    <cellStyle name="Normal 2 3 2 5 14" xfId="18457" xr:uid="{49DA0319-BEAC-461F-97E3-1664C5A8AA1C}"/>
    <cellStyle name="Normal 2 3 2 5 15" xfId="18458" xr:uid="{3ED9C2C6-AC3D-4AD7-AB3E-94A0C001480A}"/>
    <cellStyle name="Normal 2 3 2 5 16" xfId="18459" xr:uid="{F47439FB-C28F-4551-9154-951256FDACF0}"/>
    <cellStyle name="Normal 2 3 2 5 17" xfId="18460" xr:uid="{4B78E83C-CB53-4583-B0A2-06CBDFC2E59C}"/>
    <cellStyle name="Normal 2 3 2 5 18" xfId="18461" xr:uid="{FC48A05A-B64F-495A-A1E0-687E1B417A04}"/>
    <cellStyle name="Normal 2 3 2 5 19" xfId="18462" xr:uid="{EB8ACCD3-F463-4084-8870-D0BC2F17F185}"/>
    <cellStyle name="Normal 2 3 2 5 2" xfId="18463" xr:uid="{8FBC63A1-D78B-45F5-A9A4-C026D9881BD3}"/>
    <cellStyle name="Normal 2 3 2 5 2 10" xfId="18464" xr:uid="{9E2AF2A3-DFA3-4A8D-BB59-81CE5C37C507}"/>
    <cellStyle name="Normal 2 3 2 5 2 11" xfId="18465" xr:uid="{0843BE31-8FA5-46B5-80B6-BCAB50068F06}"/>
    <cellStyle name="Normal 2 3 2 5 2 12" xfId="18466" xr:uid="{008D54F5-738B-4517-AE31-99E4CB7C49A3}"/>
    <cellStyle name="Normal 2 3 2 5 2 13" xfId="18467" xr:uid="{645C3B91-77BF-42FB-A0B4-81FA7212381A}"/>
    <cellStyle name="Normal 2 3 2 5 2 14" xfId="18468" xr:uid="{481D81B7-B738-440F-B707-7A653956393D}"/>
    <cellStyle name="Normal 2 3 2 5 2 15" xfId="18469" xr:uid="{4DF3A21A-893F-4011-88BA-39BC179C586E}"/>
    <cellStyle name="Normal 2 3 2 5 2 2" xfId="18470" xr:uid="{56F49E18-BC26-4857-A551-61B740F6C843}"/>
    <cellStyle name="Normal 2 3 2 5 2 2 10" xfId="18471" xr:uid="{421D00C7-F982-4AB9-9CC0-53F2F80C6F47}"/>
    <cellStyle name="Normal 2 3 2 5 2 2 11" xfId="18472" xr:uid="{1CEAD886-E1BD-4ABE-996C-45DF85C15B6F}"/>
    <cellStyle name="Normal 2 3 2 5 2 2 12" xfId="18473" xr:uid="{1D4DCA89-7D3E-499A-94CE-AF230D6DC3CB}"/>
    <cellStyle name="Normal 2 3 2 5 2 2 2" xfId="18474" xr:uid="{D69D5F5C-474C-46B3-910F-FD7DC66D7D58}"/>
    <cellStyle name="Normal 2 3 2 5 2 2 2 10" xfId="18475" xr:uid="{0AB7360F-F548-49A8-A245-8DA308C93644}"/>
    <cellStyle name="Normal 2 3 2 5 2 2 2 11" xfId="18476" xr:uid="{E5FE731A-E855-4EA1-9664-613391BD3711}"/>
    <cellStyle name="Normal 2 3 2 5 2 2 2 12" xfId="18477" xr:uid="{AF0231FC-8DCC-45C0-9606-2CC5860696B1}"/>
    <cellStyle name="Normal 2 3 2 5 2 2 2 2" xfId="18478" xr:uid="{F4472F07-47FE-4F89-BD4C-0D56FA2F873C}"/>
    <cellStyle name="Normal 2 3 2 5 2 2 2 2 2" xfId="18479" xr:uid="{4D6816E5-68D3-4581-B2BA-AD9C09A711D4}"/>
    <cellStyle name="Normal 2 3 2 5 2 2 2 2 2 2" xfId="18480" xr:uid="{EF127E40-D8CF-4F9B-89F8-6F264D1A8D16}"/>
    <cellStyle name="Normal 2 3 2 5 2 2 2 2 2 2 2" xfId="18481" xr:uid="{F3536C07-04B3-4FB2-8AD2-BB1C2BBC15CF}"/>
    <cellStyle name="Normal 2 3 2 5 2 2 2 2 2 2 2 2" xfId="18482" xr:uid="{2F95C071-BC23-498C-824B-E4FC02CC3E24}"/>
    <cellStyle name="Normal 2 3 2 5 2 2 2 2 2 2 2 3" xfId="18483" xr:uid="{3AE9B559-5364-4EB1-86B9-BC2A68597BD7}"/>
    <cellStyle name="Normal 2 3 2 5 2 2 2 2 2 2 2 4" xfId="18484" xr:uid="{426DC1D8-1BE6-44C7-BB3A-E45E180CC75C}"/>
    <cellStyle name="Normal 2 3 2 5 2 2 2 2 2 2 2 5" xfId="18485" xr:uid="{5F97A45D-0032-45DD-BB57-228DA17A35E6}"/>
    <cellStyle name="Normal 2 3 2 5 2 2 2 2 2 2 2 6" xfId="18486" xr:uid="{C2B1B1AE-C981-40AA-8495-E8CAD7820BF4}"/>
    <cellStyle name="Normal 2 3 2 5 2 2 2 2 2 2 3" xfId="18487" xr:uid="{F2DD6BA8-5DB5-4E02-8DA7-679C1B191BA2}"/>
    <cellStyle name="Normal 2 3 2 5 2 2 2 2 2 2 4" xfId="18488" xr:uid="{BA83644F-4EE8-4C7F-A9B9-60262740742D}"/>
    <cellStyle name="Normal 2 3 2 5 2 2 2 2 2 2 5" xfId="18489" xr:uid="{0A862948-080E-41AB-9652-855C95200A49}"/>
    <cellStyle name="Normal 2 3 2 5 2 2 2 2 2 2 6" xfId="18490" xr:uid="{ECC639EB-52AF-437E-825A-A6C93AC0BB98}"/>
    <cellStyle name="Normal 2 3 2 5 2 2 2 2 2 3" xfId="18491" xr:uid="{F72BB85D-AA61-441B-B4A3-6B6F46D6187A}"/>
    <cellStyle name="Normal 2 3 2 5 2 2 2 2 2 4" xfId="18492" xr:uid="{B56F46DE-5BD2-4B5E-9D4C-D79A1146338A}"/>
    <cellStyle name="Normal 2 3 2 5 2 2 2 2 2 5" xfId="18493" xr:uid="{E841A2AB-A808-43B0-BC47-B80CDC95F0EE}"/>
    <cellStyle name="Normal 2 3 2 5 2 2 2 2 2 6" xfId="18494" xr:uid="{24AA6D4C-2627-4F28-9F41-7C01C8E96A14}"/>
    <cellStyle name="Normal 2 3 2 5 2 2 2 2 2 7" xfId="18495" xr:uid="{0994A8BF-93B4-48F3-A818-EE16A974FBB2}"/>
    <cellStyle name="Normal 2 3 2 5 2 2 2 2 2 8" xfId="18496" xr:uid="{1A451F23-D4FC-45D9-AFD8-F5FDB5BCA3C2}"/>
    <cellStyle name="Normal 2 3 2 5 2 2 2 2 2 9" xfId="18497" xr:uid="{34EC9F3F-EF80-4D84-97B0-695C80AD6B53}"/>
    <cellStyle name="Normal 2 3 2 5 2 2 2 2 3" xfId="18498" xr:uid="{5A39FD72-852F-4160-AAB9-92A6E75AF25B}"/>
    <cellStyle name="Normal 2 3 2 5 2 2 2 2 3 2" xfId="18499" xr:uid="{84F6E669-F69A-4D70-ABD8-BF3D0006B2AF}"/>
    <cellStyle name="Normal 2 3 2 5 2 2 2 2 3 2 2" xfId="18500" xr:uid="{329B4C86-04E5-4297-A5D7-502A80BDC6AF}"/>
    <cellStyle name="Normal 2 3 2 5 2 2 2 2 3 2 3" xfId="18501" xr:uid="{96EA1750-9A7E-4DAD-B1BB-C77D47F7967B}"/>
    <cellStyle name="Normal 2 3 2 5 2 2 2 2 3 2 4" xfId="18502" xr:uid="{3041849B-AAEC-465F-8AAB-794F1D1AED00}"/>
    <cellStyle name="Normal 2 3 2 5 2 2 2 2 3 2 5" xfId="18503" xr:uid="{77F87135-074D-43DE-894C-BA758BF20F95}"/>
    <cellStyle name="Normal 2 3 2 5 2 2 2 2 3 2 6" xfId="18504" xr:uid="{4BB50371-ECB6-4782-9E06-B9AC61974965}"/>
    <cellStyle name="Normal 2 3 2 5 2 2 2 2 3 3" xfId="18505" xr:uid="{638DBD35-C46A-4680-8A70-1D505155AEDB}"/>
    <cellStyle name="Normal 2 3 2 5 2 2 2 2 3 4" xfId="18506" xr:uid="{BED2D268-34B4-42B4-BE81-D312C226F835}"/>
    <cellStyle name="Normal 2 3 2 5 2 2 2 2 3 5" xfId="18507" xr:uid="{12DF70AC-1B3D-4E64-A67A-06A3721F674F}"/>
    <cellStyle name="Normal 2 3 2 5 2 2 2 2 3 6" xfId="18508" xr:uid="{33CCB222-95D4-4FC7-92FF-40B7D7AC4E2D}"/>
    <cellStyle name="Normal 2 3 2 5 2 2 2 2 4" xfId="18509" xr:uid="{1713EE8B-D0E9-474A-80E3-CC6249A71A20}"/>
    <cellStyle name="Normal 2 3 2 5 2 2 2 2 5" xfId="18510" xr:uid="{93C36E58-3CC7-4900-A29C-73CE5136643F}"/>
    <cellStyle name="Normal 2 3 2 5 2 2 2 2 6" xfId="18511" xr:uid="{E899247D-506A-4FD4-95E4-AA8760981BE8}"/>
    <cellStyle name="Normal 2 3 2 5 2 2 2 2 7" xfId="18512" xr:uid="{AB7F0127-93E0-44DC-ACD0-F12F7EA52EE3}"/>
    <cellStyle name="Normal 2 3 2 5 2 2 2 2 8" xfId="18513" xr:uid="{6C857FD0-A54E-4159-B721-2DD93B78EDD9}"/>
    <cellStyle name="Normal 2 3 2 5 2 2 2 2 9" xfId="18514" xr:uid="{9303E8FA-A02B-4B74-ABE0-7A241B1CCFC4}"/>
    <cellStyle name="Normal 2 3 2 5 2 2 2 3" xfId="18515" xr:uid="{1DA4D81A-9153-4619-AB78-B607D517BBA1}"/>
    <cellStyle name="Normal 2 3 2 5 2 2 2 4" xfId="18516" xr:uid="{53C2B9A9-2821-4555-8121-0DCF89A37F42}"/>
    <cellStyle name="Normal 2 3 2 5 2 2 2 5" xfId="18517" xr:uid="{40F008FF-C662-4B89-B330-6A1812CB16ED}"/>
    <cellStyle name="Normal 2 3 2 5 2 2 2 5 2" xfId="18518" xr:uid="{FF727C41-1379-40A3-A2A4-8B199EF1B777}"/>
    <cellStyle name="Normal 2 3 2 5 2 2 2 5 2 2" xfId="18519" xr:uid="{A80B78AF-7791-4C12-ACDC-2248BBE9B60C}"/>
    <cellStyle name="Normal 2 3 2 5 2 2 2 5 2 3" xfId="18520" xr:uid="{E00F5736-3585-4B75-A7DD-AD5B17C30349}"/>
    <cellStyle name="Normal 2 3 2 5 2 2 2 5 2 4" xfId="18521" xr:uid="{E0BBAEE1-0C64-4F9C-9AF5-12426468901B}"/>
    <cellStyle name="Normal 2 3 2 5 2 2 2 5 2 5" xfId="18522" xr:uid="{CF171393-D17C-4478-8281-550D47513973}"/>
    <cellStyle name="Normal 2 3 2 5 2 2 2 5 2 6" xfId="18523" xr:uid="{98082B5C-0F45-4066-943E-7E3C61765A32}"/>
    <cellStyle name="Normal 2 3 2 5 2 2 2 5 3" xfId="18524" xr:uid="{E118AC41-30A7-4870-A242-CF11C7C31550}"/>
    <cellStyle name="Normal 2 3 2 5 2 2 2 5 4" xfId="18525" xr:uid="{52D85BE8-6A60-4E7C-A738-E453B8F76221}"/>
    <cellStyle name="Normal 2 3 2 5 2 2 2 5 5" xfId="18526" xr:uid="{B91A8DAB-369A-4A32-825E-8210EA8C6ED7}"/>
    <cellStyle name="Normal 2 3 2 5 2 2 2 5 6" xfId="18527" xr:uid="{47F10DC7-957D-4F6B-87CE-95F5C2EB9853}"/>
    <cellStyle name="Normal 2 3 2 5 2 2 2 6" xfId="18528" xr:uid="{5031C068-8EBB-4F05-AC9F-73244EF2414D}"/>
    <cellStyle name="Normal 2 3 2 5 2 2 2 7" xfId="18529" xr:uid="{9752B876-2739-45C2-9C41-BF0C31838FD7}"/>
    <cellStyle name="Normal 2 3 2 5 2 2 2 8" xfId="18530" xr:uid="{CB998037-39C4-4229-A93A-5B2AB4C2DD6A}"/>
    <cellStyle name="Normal 2 3 2 5 2 2 2 9" xfId="18531" xr:uid="{0E829B31-77D8-4900-8F54-738097C2F786}"/>
    <cellStyle name="Normal 2 3 2 5 2 2 3" xfId="18532" xr:uid="{B5456231-BBAF-448C-ABFA-14832279DD77}"/>
    <cellStyle name="Normal 2 3 2 5 2 2 3 2" xfId="18533" xr:uid="{2114986A-2B24-4768-A6D8-E4EFCB1F0AD5}"/>
    <cellStyle name="Normal 2 3 2 5 2 2 3 2 2" xfId="18534" xr:uid="{81DA6131-50A5-4C80-A7BE-A5A92254B775}"/>
    <cellStyle name="Normal 2 3 2 5 2 2 3 2 2 2" xfId="18535" xr:uid="{83FD2FF8-A20C-451E-B98E-E448A37902A0}"/>
    <cellStyle name="Normal 2 3 2 5 2 2 3 2 2 2 2" xfId="18536" xr:uid="{8C5AE13D-2C43-435A-943C-79BC30C354F5}"/>
    <cellStyle name="Normal 2 3 2 5 2 2 3 2 2 2 3" xfId="18537" xr:uid="{D1383CD9-CD3B-43A1-8B64-02ACBD0984DE}"/>
    <cellStyle name="Normal 2 3 2 5 2 2 3 2 2 2 4" xfId="18538" xr:uid="{D6551823-D4BA-4BCD-AC60-54916B607CEC}"/>
    <cellStyle name="Normal 2 3 2 5 2 2 3 2 2 2 5" xfId="18539" xr:uid="{86364FA3-4E29-40C4-AE33-358FAE7E59C4}"/>
    <cellStyle name="Normal 2 3 2 5 2 2 3 2 2 2 6" xfId="18540" xr:uid="{7DF252F7-3A0F-4D2F-9685-38A3063A53A6}"/>
    <cellStyle name="Normal 2 3 2 5 2 2 3 2 2 3" xfId="18541" xr:uid="{C2984EB0-F06C-45D6-9650-024D028309CF}"/>
    <cellStyle name="Normal 2 3 2 5 2 2 3 2 2 4" xfId="18542" xr:uid="{410AA061-7811-47DB-968F-A939632726DD}"/>
    <cellStyle name="Normal 2 3 2 5 2 2 3 2 2 5" xfId="18543" xr:uid="{05A92FA5-0C19-4C30-BB60-2094172D9BEA}"/>
    <cellStyle name="Normal 2 3 2 5 2 2 3 2 2 6" xfId="18544" xr:uid="{165E5800-1E68-4CD6-9EF6-FAD0D2668F5E}"/>
    <cellStyle name="Normal 2 3 2 5 2 2 3 2 3" xfId="18545" xr:uid="{698CDB83-A064-45B6-979A-D3BBA4A725E3}"/>
    <cellStyle name="Normal 2 3 2 5 2 2 3 2 4" xfId="18546" xr:uid="{E0FE002C-6807-46F5-A4DA-98E3049301B4}"/>
    <cellStyle name="Normal 2 3 2 5 2 2 3 2 5" xfId="18547" xr:uid="{7DC877F5-B161-418A-B868-3C88656FCBC6}"/>
    <cellStyle name="Normal 2 3 2 5 2 2 3 2 6" xfId="18548" xr:uid="{FE53ED7F-C561-4BB3-8C34-804E72400131}"/>
    <cellStyle name="Normal 2 3 2 5 2 2 3 2 7" xfId="18549" xr:uid="{66FCB891-888B-4055-BFE7-2472F6538CD8}"/>
    <cellStyle name="Normal 2 3 2 5 2 2 3 2 8" xfId="18550" xr:uid="{98F4F4D5-8FF0-4C5C-B07E-43D5074F03F8}"/>
    <cellStyle name="Normal 2 3 2 5 2 2 3 2 9" xfId="18551" xr:uid="{1CAC4034-23BB-4CFE-8862-B7EA0059D480}"/>
    <cellStyle name="Normal 2 3 2 5 2 2 3 3" xfId="18552" xr:uid="{E4A782C6-BDD3-4BF8-92F1-CB8ABF1D868C}"/>
    <cellStyle name="Normal 2 3 2 5 2 2 3 3 2" xfId="18553" xr:uid="{76ED3D7F-596E-44EA-BE30-B3881211DADC}"/>
    <cellStyle name="Normal 2 3 2 5 2 2 3 3 2 2" xfId="18554" xr:uid="{EAD7380A-D2E9-4F77-8A15-F5D0EDE92152}"/>
    <cellStyle name="Normal 2 3 2 5 2 2 3 3 2 3" xfId="18555" xr:uid="{69F499F1-49E1-4D3F-B058-33FDF7957A4C}"/>
    <cellStyle name="Normal 2 3 2 5 2 2 3 3 2 4" xfId="18556" xr:uid="{F9CE8FF8-31AB-4717-89FE-43C4FE8C6EAB}"/>
    <cellStyle name="Normal 2 3 2 5 2 2 3 3 2 5" xfId="18557" xr:uid="{C08FD3BD-1B72-40E2-A82B-7B78AB330F63}"/>
    <cellStyle name="Normal 2 3 2 5 2 2 3 3 2 6" xfId="18558" xr:uid="{4E63A71D-C5D1-4DD1-9ECF-1E33FB558E98}"/>
    <cellStyle name="Normal 2 3 2 5 2 2 3 3 3" xfId="18559" xr:uid="{34AC7A9B-80DA-4DFF-9369-4C36933AE1A6}"/>
    <cellStyle name="Normal 2 3 2 5 2 2 3 3 4" xfId="18560" xr:uid="{A5A905B4-1073-40A8-986E-A3BC9FB9A2A0}"/>
    <cellStyle name="Normal 2 3 2 5 2 2 3 3 5" xfId="18561" xr:uid="{A8F3F117-8C97-47DD-A3D6-3384ECF36419}"/>
    <cellStyle name="Normal 2 3 2 5 2 2 3 3 6" xfId="18562" xr:uid="{6C4589EC-6552-432E-B8C6-D98288C92A5C}"/>
    <cellStyle name="Normal 2 3 2 5 2 2 3 4" xfId="18563" xr:uid="{BC6B927D-A1E1-410D-A1CC-3D8CC1D4FA6F}"/>
    <cellStyle name="Normal 2 3 2 5 2 2 3 5" xfId="18564" xr:uid="{FA6692A6-0A61-4431-B515-C15CCF4340EE}"/>
    <cellStyle name="Normal 2 3 2 5 2 2 3 6" xfId="18565" xr:uid="{F83397E3-190C-429C-92B6-0815BCAD4DF3}"/>
    <cellStyle name="Normal 2 3 2 5 2 2 3 7" xfId="18566" xr:uid="{5545E869-8C1D-419B-AE9C-754B624BD042}"/>
    <cellStyle name="Normal 2 3 2 5 2 2 3 8" xfId="18567" xr:uid="{B8BE1F45-51CE-4C4A-86FE-D24066388179}"/>
    <cellStyle name="Normal 2 3 2 5 2 2 3 9" xfId="18568" xr:uid="{89D6A5EC-06EA-4C36-890F-607B80D08EE4}"/>
    <cellStyle name="Normal 2 3 2 5 2 2 4" xfId="18569" xr:uid="{7EBB445C-2124-45DC-8293-C5BB11B34A4F}"/>
    <cellStyle name="Normal 2 3 2 5 2 2 5" xfId="18570" xr:uid="{0DE5D89D-9E00-4021-A977-DF8948A68344}"/>
    <cellStyle name="Normal 2 3 2 5 2 2 5 2" xfId="18571" xr:uid="{CE0CA9BC-D0B8-4DAD-AF10-DAFE05384AA6}"/>
    <cellStyle name="Normal 2 3 2 5 2 2 5 2 2" xfId="18572" xr:uid="{7D00F6AB-CACD-4A8F-BFC1-6BE2DCA11FD1}"/>
    <cellStyle name="Normal 2 3 2 5 2 2 5 2 3" xfId="18573" xr:uid="{0D172BA7-8EF6-46E0-B510-3B90CE3CBBF8}"/>
    <cellStyle name="Normal 2 3 2 5 2 2 5 2 4" xfId="18574" xr:uid="{5CA54A2C-5B3F-4BE5-ABC7-7657E900E1CA}"/>
    <cellStyle name="Normal 2 3 2 5 2 2 5 2 5" xfId="18575" xr:uid="{BA476A10-5024-4D28-AB7D-05A8C4614B36}"/>
    <cellStyle name="Normal 2 3 2 5 2 2 5 2 6" xfId="18576" xr:uid="{8DC98193-0F76-46D7-A3B5-55F521ED3671}"/>
    <cellStyle name="Normal 2 3 2 5 2 2 5 3" xfId="18577" xr:uid="{B72AF171-F8C0-47C3-A70D-8DF2413FDCB7}"/>
    <cellStyle name="Normal 2 3 2 5 2 2 5 4" xfId="18578" xr:uid="{0E1C9F4D-9022-49A4-86F6-A4F8A09C28D8}"/>
    <cellStyle name="Normal 2 3 2 5 2 2 5 5" xfId="18579" xr:uid="{82C9ECE2-E8CA-4558-85F1-CAEF648422FC}"/>
    <cellStyle name="Normal 2 3 2 5 2 2 5 6" xfId="18580" xr:uid="{3AC8EE37-6A57-442A-B30F-F06C3E540596}"/>
    <cellStyle name="Normal 2 3 2 5 2 2 6" xfId="18581" xr:uid="{696B7331-D579-49AF-9BC4-F01197FA68D4}"/>
    <cellStyle name="Normal 2 3 2 5 2 2 7" xfId="18582" xr:uid="{9472E6C5-0B0E-4D92-A1DF-774DF649A937}"/>
    <cellStyle name="Normal 2 3 2 5 2 2 8" xfId="18583" xr:uid="{05E6A0B3-D01E-40EA-BD31-BBCB5C2A2944}"/>
    <cellStyle name="Normal 2 3 2 5 2 2 9" xfId="18584" xr:uid="{8D2CADB0-247A-4DAE-9D10-63FDFD181ACF}"/>
    <cellStyle name="Normal 2 3 2 5 2 3" xfId="18585" xr:uid="{C3869B3C-E9DD-41E8-A47B-D4455FE25F9C}"/>
    <cellStyle name="Normal 2 3 2 5 2 4" xfId="18586" xr:uid="{1C51D280-B881-4919-BABE-DD1D8B14A8DB}"/>
    <cellStyle name="Normal 2 3 2 5 2 5" xfId="18587" xr:uid="{086F696A-8ED4-43BA-92DA-0B47F47A14C6}"/>
    <cellStyle name="Normal 2 3 2 5 2 5 2" xfId="18588" xr:uid="{3D500273-FF37-4616-AFBC-8BEC096379AE}"/>
    <cellStyle name="Normal 2 3 2 5 2 5 2 2" xfId="18589" xr:uid="{A1007495-E26A-4756-ABBF-F51F6D66750C}"/>
    <cellStyle name="Normal 2 3 2 5 2 5 2 2 2" xfId="18590" xr:uid="{71F7F060-F7FE-472D-B213-D4F995BAD3B6}"/>
    <cellStyle name="Normal 2 3 2 5 2 5 2 2 2 2" xfId="18591" xr:uid="{92263A3B-238E-43A6-AE91-026145A8519D}"/>
    <cellStyle name="Normal 2 3 2 5 2 5 2 2 2 3" xfId="18592" xr:uid="{58DCE4FB-6AF1-4474-B780-DA4A85F5C16F}"/>
    <cellStyle name="Normal 2 3 2 5 2 5 2 2 2 4" xfId="18593" xr:uid="{B41334D4-FE88-4401-A223-242B880D5BEE}"/>
    <cellStyle name="Normal 2 3 2 5 2 5 2 2 2 5" xfId="18594" xr:uid="{9455E032-5EAC-4472-9DB3-10AB98FFBDC4}"/>
    <cellStyle name="Normal 2 3 2 5 2 5 2 2 2 6" xfId="18595" xr:uid="{A95FCAF6-C77C-4A2E-A19B-E3EDBBAF2BE6}"/>
    <cellStyle name="Normal 2 3 2 5 2 5 2 2 3" xfId="18596" xr:uid="{61216291-1883-4335-A7F3-87BDCF872421}"/>
    <cellStyle name="Normal 2 3 2 5 2 5 2 2 4" xfId="18597" xr:uid="{67CC39ED-5CBF-47B6-991F-11C8992A9E43}"/>
    <cellStyle name="Normal 2 3 2 5 2 5 2 2 5" xfId="18598" xr:uid="{096523CB-9690-4C50-9EA9-38F21C34AECD}"/>
    <cellStyle name="Normal 2 3 2 5 2 5 2 2 6" xfId="18599" xr:uid="{A2DE8DDC-3F78-4552-9D6A-065090E872FC}"/>
    <cellStyle name="Normal 2 3 2 5 2 5 2 3" xfId="18600" xr:uid="{FE078243-8097-4B39-A1E6-901098AF74D5}"/>
    <cellStyle name="Normal 2 3 2 5 2 5 2 4" xfId="18601" xr:uid="{A3AE5BA6-C604-402E-9323-C4BCC4337174}"/>
    <cellStyle name="Normal 2 3 2 5 2 5 2 5" xfId="18602" xr:uid="{096D9B2C-006F-4FE8-9DEA-60AFA5A6F8E3}"/>
    <cellStyle name="Normal 2 3 2 5 2 5 2 6" xfId="18603" xr:uid="{5546D643-7F73-483C-983F-D1BE4E6F67B2}"/>
    <cellStyle name="Normal 2 3 2 5 2 5 2 7" xfId="18604" xr:uid="{350F4A9D-2869-4D38-AE6D-C9B4B9586B44}"/>
    <cellStyle name="Normal 2 3 2 5 2 5 2 8" xfId="18605" xr:uid="{163E4F27-2D91-41BB-B1AF-21DEE3DDBCE2}"/>
    <cellStyle name="Normal 2 3 2 5 2 5 2 9" xfId="18606" xr:uid="{CA8ECE4A-8F2E-4E37-8178-7FEF2EF982E6}"/>
    <cellStyle name="Normal 2 3 2 5 2 5 3" xfId="18607" xr:uid="{6EBAC9BF-4117-4C16-A812-E75827AA3E66}"/>
    <cellStyle name="Normal 2 3 2 5 2 5 3 2" xfId="18608" xr:uid="{6A8FEF4A-C2EE-4A62-9B18-A6CFF862FAD1}"/>
    <cellStyle name="Normal 2 3 2 5 2 5 3 2 2" xfId="18609" xr:uid="{32CD2F6A-E9A3-47C7-A836-F4434DAF3EF5}"/>
    <cellStyle name="Normal 2 3 2 5 2 5 3 2 3" xfId="18610" xr:uid="{40AE05FA-59FB-4063-8572-3D8C3C6A0D69}"/>
    <cellStyle name="Normal 2 3 2 5 2 5 3 2 4" xfId="18611" xr:uid="{13284493-56C2-46E8-A760-B1E7C11DDACF}"/>
    <cellStyle name="Normal 2 3 2 5 2 5 3 2 5" xfId="18612" xr:uid="{544F29CE-E0CA-4BD9-8D00-80BE24600965}"/>
    <cellStyle name="Normal 2 3 2 5 2 5 3 2 6" xfId="18613" xr:uid="{9E86C201-DF9D-48FB-AF2A-4CE15AC126CC}"/>
    <cellStyle name="Normal 2 3 2 5 2 5 3 3" xfId="18614" xr:uid="{78171416-33EE-4C76-B682-72ABB7519042}"/>
    <cellStyle name="Normal 2 3 2 5 2 5 3 4" xfId="18615" xr:uid="{94FA18B0-E0B9-4F72-8E65-27261B303B19}"/>
    <cellStyle name="Normal 2 3 2 5 2 5 3 5" xfId="18616" xr:uid="{3E78FCEF-8024-4AFC-8DB8-6A00B71E3987}"/>
    <cellStyle name="Normal 2 3 2 5 2 5 3 6" xfId="18617" xr:uid="{2B3441AC-F334-48C5-A8DE-E9C725B73E3C}"/>
    <cellStyle name="Normal 2 3 2 5 2 5 4" xfId="18618" xr:uid="{5A7AA404-7CD1-4265-B2B2-A45C951DFF87}"/>
    <cellStyle name="Normal 2 3 2 5 2 5 5" xfId="18619" xr:uid="{6693E014-23AF-4769-A083-00203C454B3F}"/>
    <cellStyle name="Normal 2 3 2 5 2 5 6" xfId="18620" xr:uid="{F7526B1D-F896-471E-B699-B35023CA4765}"/>
    <cellStyle name="Normal 2 3 2 5 2 5 7" xfId="18621" xr:uid="{551C34A2-DEB8-48B5-8675-3DFCF54D3F6D}"/>
    <cellStyle name="Normal 2 3 2 5 2 5 8" xfId="18622" xr:uid="{F4F8D3FA-542B-4596-9B5A-CFEE53DCAED0}"/>
    <cellStyle name="Normal 2 3 2 5 2 5 9" xfId="18623" xr:uid="{126DA426-CEDB-4590-9DD9-5FCE8A8DBDC4}"/>
    <cellStyle name="Normal 2 3 2 5 2 6" xfId="18624" xr:uid="{C816884C-5E62-4634-8D7C-63CA379CA8FF}"/>
    <cellStyle name="Normal 2 3 2 5 2 7" xfId="18625" xr:uid="{11387AF4-0DDE-435B-ACB1-428A4A1C082A}"/>
    <cellStyle name="Normal 2 3 2 5 2 8" xfId="18626" xr:uid="{AE88D4A8-9A4A-48DD-B62E-82ADFBB54822}"/>
    <cellStyle name="Normal 2 3 2 5 2 8 2" xfId="18627" xr:uid="{5EA3ADDC-6F1D-451F-A38F-4CCF979E0B05}"/>
    <cellStyle name="Normal 2 3 2 5 2 8 2 2" xfId="18628" xr:uid="{4999B8C2-4D97-4098-B22D-243D328B6531}"/>
    <cellStyle name="Normal 2 3 2 5 2 8 2 3" xfId="18629" xr:uid="{DC1FB422-4693-468C-AC5E-D45E71EBDF82}"/>
    <cellStyle name="Normal 2 3 2 5 2 8 2 4" xfId="18630" xr:uid="{EC9C14BD-F1E3-4DD9-940D-91AA9264A93D}"/>
    <cellStyle name="Normal 2 3 2 5 2 8 2 5" xfId="18631" xr:uid="{C65E5CB2-72BD-40BF-AC74-E72BE5092855}"/>
    <cellStyle name="Normal 2 3 2 5 2 8 2 6" xfId="18632" xr:uid="{A5A92EDD-CC14-4014-8265-AAF37BD9B5EF}"/>
    <cellStyle name="Normal 2 3 2 5 2 8 3" xfId="18633" xr:uid="{B36C5F1D-6190-4171-B942-CCC5D290F5AC}"/>
    <cellStyle name="Normal 2 3 2 5 2 8 4" xfId="18634" xr:uid="{DDBD510C-17D5-4E33-A2BD-1FD039B5141D}"/>
    <cellStyle name="Normal 2 3 2 5 2 8 5" xfId="18635" xr:uid="{5EA0A1D8-5950-43DA-9585-5397D0A60C4D}"/>
    <cellStyle name="Normal 2 3 2 5 2 8 6" xfId="18636" xr:uid="{29ABD5AB-3015-4FF1-AA13-234DA4E0F376}"/>
    <cellStyle name="Normal 2 3 2 5 2 9" xfId="18637" xr:uid="{CC2948B1-392E-4CC3-A9B4-AF80737B0FD6}"/>
    <cellStyle name="Normal 2 3 2 5 20" xfId="18638" xr:uid="{1DD846C7-0121-43AC-B8BA-1E3742F3C584}"/>
    <cellStyle name="Normal 2 3 2 5 3" xfId="18639" xr:uid="{4EF5B6D8-5B14-46C2-B1C6-A4C339C0E588}"/>
    <cellStyle name="Normal 2 3 2 5 3 10" xfId="18640" xr:uid="{DF8A2D2E-C8F5-4BA2-A844-02D37FBBCCEC}"/>
    <cellStyle name="Normal 2 3 2 5 3 11" xfId="18641" xr:uid="{C1DF9F38-737F-4AA4-8018-2158F2332B26}"/>
    <cellStyle name="Normal 2 3 2 5 3 12" xfId="18642" xr:uid="{354DF3EF-6B98-41D0-A55F-2643949E698A}"/>
    <cellStyle name="Normal 2 3 2 5 3 2" xfId="18643" xr:uid="{0BE7B59B-0307-4847-9AC3-79C24E0386CA}"/>
    <cellStyle name="Normal 2 3 2 5 3 2 10" xfId="18644" xr:uid="{2AD69219-D6A6-42DA-B36A-993218B6287D}"/>
    <cellStyle name="Normal 2 3 2 5 3 2 11" xfId="18645" xr:uid="{D22D1B42-ABB5-4538-8CF7-E5D0DED36805}"/>
    <cellStyle name="Normal 2 3 2 5 3 2 12" xfId="18646" xr:uid="{A56E5B44-8F97-4023-A0D2-E67215C80364}"/>
    <cellStyle name="Normal 2 3 2 5 3 2 2" xfId="18647" xr:uid="{A30442A7-2B06-4A54-B995-9768CC0FD291}"/>
    <cellStyle name="Normal 2 3 2 5 3 2 2 2" xfId="18648" xr:uid="{5FDAE38C-1A22-4857-8738-C92504C4E177}"/>
    <cellStyle name="Normal 2 3 2 5 3 2 2 2 2" xfId="18649" xr:uid="{A6D4F96C-273B-4873-8A68-5007569D1D95}"/>
    <cellStyle name="Normal 2 3 2 5 3 2 2 2 2 2" xfId="18650" xr:uid="{E33A04F7-BF27-46EE-AABA-14B5BD1DFD42}"/>
    <cellStyle name="Normal 2 3 2 5 3 2 2 2 2 2 2" xfId="18651" xr:uid="{A5593E61-A82F-48A1-B90A-94594366954B}"/>
    <cellStyle name="Normal 2 3 2 5 3 2 2 2 2 2 3" xfId="18652" xr:uid="{E93BBA1C-B524-4A5E-B4B6-7A1E4DC6EAD0}"/>
    <cellStyle name="Normal 2 3 2 5 3 2 2 2 2 2 4" xfId="18653" xr:uid="{69654C79-CFBB-4027-8D9C-50792C3FC330}"/>
    <cellStyle name="Normal 2 3 2 5 3 2 2 2 2 2 5" xfId="18654" xr:uid="{007CEF96-712B-4D5B-B1B9-19B4CDAAD6D4}"/>
    <cellStyle name="Normal 2 3 2 5 3 2 2 2 2 2 6" xfId="18655" xr:uid="{007C78FB-5B89-42CE-946C-21A672009C87}"/>
    <cellStyle name="Normal 2 3 2 5 3 2 2 2 2 3" xfId="18656" xr:uid="{CE61B922-BD5E-481E-9430-27DA3EE4BA5A}"/>
    <cellStyle name="Normal 2 3 2 5 3 2 2 2 2 4" xfId="18657" xr:uid="{6C907A87-6DF6-4DD4-9DC5-836AED02942E}"/>
    <cellStyle name="Normal 2 3 2 5 3 2 2 2 2 5" xfId="18658" xr:uid="{87E6196A-190B-4737-AF8F-2C91F9471615}"/>
    <cellStyle name="Normal 2 3 2 5 3 2 2 2 2 6" xfId="18659" xr:uid="{ED67A073-91F1-4E12-A195-DF401C3D5ECE}"/>
    <cellStyle name="Normal 2 3 2 5 3 2 2 2 3" xfId="18660" xr:uid="{FE365D50-B125-4A5E-971E-A39785360E89}"/>
    <cellStyle name="Normal 2 3 2 5 3 2 2 2 4" xfId="18661" xr:uid="{65F89E0B-8BC1-4D19-A8C5-1093ABE168E1}"/>
    <cellStyle name="Normal 2 3 2 5 3 2 2 2 5" xfId="18662" xr:uid="{A2627F2B-3B22-4578-8DC6-D26662329AFB}"/>
    <cellStyle name="Normal 2 3 2 5 3 2 2 2 6" xfId="18663" xr:uid="{33BA6203-0A0D-4D22-B5AE-647F12230163}"/>
    <cellStyle name="Normal 2 3 2 5 3 2 2 2 7" xfId="18664" xr:uid="{F9766A7F-B335-4804-8ACD-E0E77AAD3E30}"/>
    <cellStyle name="Normal 2 3 2 5 3 2 2 2 8" xfId="18665" xr:uid="{29C5C818-9207-471D-AB6D-403B768D4F7F}"/>
    <cellStyle name="Normal 2 3 2 5 3 2 2 2 9" xfId="18666" xr:uid="{57B6E11C-86A5-4C6E-B628-6BE388F27E7F}"/>
    <cellStyle name="Normal 2 3 2 5 3 2 2 3" xfId="18667" xr:uid="{AC115120-4B1C-441B-B5C5-83F524CD094E}"/>
    <cellStyle name="Normal 2 3 2 5 3 2 2 3 2" xfId="18668" xr:uid="{4F24C5E7-0CFE-444B-BAC8-EEBB9CB250C3}"/>
    <cellStyle name="Normal 2 3 2 5 3 2 2 3 2 2" xfId="18669" xr:uid="{57472AC0-752F-4F8E-B078-D407AC33C21F}"/>
    <cellStyle name="Normal 2 3 2 5 3 2 2 3 2 3" xfId="18670" xr:uid="{2FB99F92-6395-4849-90A2-9F1BF4664153}"/>
    <cellStyle name="Normal 2 3 2 5 3 2 2 3 2 4" xfId="18671" xr:uid="{2F17B23B-0B42-43A5-8864-5D095B75DC29}"/>
    <cellStyle name="Normal 2 3 2 5 3 2 2 3 2 5" xfId="18672" xr:uid="{8F521EFC-0AAD-497D-A3CF-EF3294ED33E5}"/>
    <cellStyle name="Normal 2 3 2 5 3 2 2 3 2 6" xfId="18673" xr:uid="{02D2450C-FD3B-47BD-918A-F35E7C180BE8}"/>
    <cellStyle name="Normal 2 3 2 5 3 2 2 3 3" xfId="18674" xr:uid="{21354111-1009-4594-8206-0A380379D5BD}"/>
    <cellStyle name="Normal 2 3 2 5 3 2 2 3 4" xfId="18675" xr:uid="{4CE58044-71DB-4FD6-844F-5ECABE8EC0BF}"/>
    <cellStyle name="Normal 2 3 2 5 3 2 2 3 5" xfId="18676" xr:uid="{E3BF6125-6E0D-4EB6-AC76-7A06B4350BAA}"/>
    <cellStyle name="Normal 2 3 2 5 3 2 2 3 6" xfId="18677" xr:uid="{5AFD6089-0665-421F-84D8-B4A9B11C97C5}"/>
    <cellStyle name="Normal 2 3 2 5 3 2 2 4" xfId="18678" xr:uid="{75B24154-A00B-4855-BC60-BD882914B0BB}"/>
    <cellStyle name="Normal 2 3 2 5 3 2 2 5" xfId="18679" xr:uid="{37A97A47-1DA6-47EF-A065-B070D003D258}"/>
    <cellStyle name="Normal 2 3 2 5 3 2 2 6" xfId="18680" xr:uid="{9D499044-FC52-4DE6-A528-66F9FA4A9917}"/>
    <cellStyle name="Normal 2 3 2 5 3 2 2 7" xfId="18681" xr:uid="{89AA8E57-2780-430C-814A-3EC440951602}"/>
    <cellStyle name="Normal 2 3 2 5 3 2 2 8" xfId="18682" xr:uid="{A9DEF462-F96C-4722-BCBA-7F918A9FEB05}"/>
    <cellStyle name="Normal 2 3 2 5 3 2 2 9" xfId="18683" xr:uid="{99E10F54-8F71-4621-A5AC-49C7AF4FB888}"/>
    <cellStyle name="Normal 2 3 2 5 3 2 3" xfId="18684" xr:uid="{8A426EBB-CCA8-415C-B179-1ECB9DE735F2}"/>
    <cellStyle name="Normal 2 3 2 5 3 2 4" xfId="18685" xr:uid="{702B81A5-6B0E-4B99-8B13-46B40FD2861F}"/>
    <cellStyle name="Normal 2 3 2 5 3 2 5" xfId="18686" xr:uid="{37E9FF11-5C06-4076-A989-35D4FF8E3E08}"/>
    <cellStyle name="Normal 2 3 2 5 3 2 5 2" xfId="18687" xr:uid="{598B1395-1F48-4269-810D-B6F0BAA99D83}"/>
    <cellStyle name="Normal 2 3 2 5 3 2 5 2 2" xfId="18688" xr:uid="{DC770AFE-64C9-4CEE-B0B4-1104680E27B6}"/>
    <cellStyle name="Normal 2 3 2 5 3 2 5 2 3" xfId="18689" xr:uid="{B344BAF4-4E66-4913-AB18-EE63697CC12C}"/>
    <cellStyle name="Normal 2 3 2 5 3 2 5 2 4" xfId="18690" xr:uid="{9D66BF27-244C-4819-8329-49CA80BA9F28}"/>
    <cellStyle name="Normal 2 3 2 5 3 2 5 2 5" xfId="18691" xr:uid="{BB579E83-C489-46AC-A29D-FF1D5EDA4521}"/>
    <cellStyle name="Normal 2 3 2 5 3 2 5 2 6" xfId="18692" xr:uid="{54246CC3-AB70-41A1-BC53-C194B2F41E7B}"/>
    <cellStyle name="Normal 2 3 2 5 3 2 5 3" xfId="18693" xr:uid="{A02BA552-0368-4A57-8A6B-78E1B5552B7F}"/>
    <cellStyle name="Normal 2 3 2 5 3 2 5 4" xfId="18694" xr:uid="{2225B830-BC3F-4223-BE5A-83335FB31065}"/>
    <cellStyle name="Normal 2 3 2 5 3 2 5 5" xfId="18695" xr:uid="{834AFD38-FA67-4458-91A6-3F791C04A740}"/>
    <cellStyle name="Normal 2 3 2 5 3 2 5 6" xfId="18696" xr:uid="{407C95A9-FF29-46A0-A0E7-694F548B43B5}"/>
    <cellStyle name="Normal 2 3 2 5 3 2 6" xfId="18697" xr:uid="{D8FB92BD-ABE2-439C-A860-0EB9260778A7}"/>
    <cellStyle name="Normal 2 3 2 5 3 2 7" xfId="18698" xr:uid="{4E5FC994-6103-4A77-9603-52877FDE0BF5}"/>
    <cellStyle name="Normal 2 3 2 5 3 2 8" xfId="18699" xr:uid="{7A6856C0-4B56-4C45-AF46-5184CF6C8121}"/>
    <cellStyle name="Normal 2 3 2 5 3 2 9" xfId="18700" xr:uid="{16032708-0243-466E-83C7-6C12EA341B33}"/>
    <cellStyle name="Normal 2 3 2 5 3 3" xfId="18701" xr:uid="{F5694CCF-22CF-4BEB-A44B-17A6FCC2D82A}"/>
    <cellStyle name="Normal 2 3 2 5 3 3 2" xfId="18702" xr:uid="{6A5CC7FC-1C7C-4901-81FC-19A96BC09D3C}"/>
    <cellStyle name="Normal 2 3 2 5 3 3 2 2" xfId="18703" xr:uid="{BF7801ED-65FE-4D59-8B58-B50448DD3CE6}"/>
    <cellStyle name="Normal 2 3 2 5 3 3 2 2 2" xfId="18704" xr:uid="{498ABFF4-5C02-4F2D-A877-4392464D8B7B}"/>
    <cellStyle name="Normal 2 3 2 5 3 3 2 2 2 2" xfId="18705" xr:uid="{0679FA2B-FF3D-4700-BDA1-1BDF9FCB1719}"/>
    <cellStyle name="Normal 2 3 2 5 3 3 2 2 2 3" xfId="18706" xr:uid="{EB6DE0D2-74E9-4D31-BEA8-0F9A58D8BE09}"/>
    <cellStyle name="Normal 2 3 2 5 3 3 2 2 2 4" xfId="18707" xr:uid="{2735F8D4-D35E-47E1-87D9-4091381DF3E0}"/>
    <cellStyle name="Normal 2 3 2 5 3 3 2 2 2 5" xfId="18708" xr:uid="{FA03F077-2A15-430B-84A8-2C0EB668C8F1}"/>
    <cellStyle name="Normal 2 3 2 5 3 3 2 2 2 6" xfId="18709" xr:uid="{16D4D16C-157B-4EF3-BB50-B2184628FCEB}"/>
    <cellStyle name="Normal 2 3 2 5 3 3 2 2 3" xfId="18710" xr:uid="{DC1EDFB6-13C3-4DA5-A670-A7975F840ADD}"/>
    <cellStyle name="Normal 2 3 2 5 3 3 2 2 4" xfId="18711" xr:uid="{C2BE6670-282A-4D03-B5FB-8274033D4F0D}"/>
    <cellStyle name="Normal 2 3 2 5 3 3 2 2 5" xfId="18712" xr:uid="{BD22E419-F167-45CA-8EAE-F3EEC242C6B1}"/>
    <cellStyle name="Normal 2 3 2 5 3 3 2 2 6" xfId="18713" xr:uid="{E32EBC40-7F84-4BC8-941F-3DB9013B639D}"/>
    <cellStyle name="Normal 2 3 2 5 3 3 2 3" xfId="18714" xr:uid="{71FD1066-3D37-45D7-BD61-1941C027D135}"/>
    <cellStyle name="Normal 2 3 2 5 3 3 2 4" xfId="18715" xr:uid="{8784F2CA-799D-42EA-9E05-FCA6AC9EE222}"/>
    <cellStyle name="Normal 2 3 2 5 3 3 2 5" xfId="18716" xr:uid="{26FA9A74-9824-4272-B003-58E676B261DF}"/>
    <cellStyle name="Normal 2 3 2 5 3 3 2 6" xfId="18717" xr:uid="{7AC10D39-BCCC-435D-9B48-7BA9FD8D533A}"/>
    <cellStyle name="Normal 2 3 2 5 3 3 2 7" xfId="18718" xr:uid="{1393A46B-4E14-4240-8A7A-048879E6DAE6}"/>
    <cellStyle name="Normal 2 3 2 5 3 3 2 8" xfId="18719" xr:uid="{00640113-D567-4DFB-ABBF-043A8C271D0B}"/>
    <cellStyle name="Normal 2 3 2 5 3 3 2 9" xfId="18720" xr:uid="{FF88008C-E74C-40F2-90E9-0580D27015AB}"/>
    <cellStyle name="Normal 2 3 2 5 3 3 3" xfId="18721" xr:uid="{FA4CEFC6-B1B9-4F97-8C0E-9944D93B6B22}"/>
    <cellStyle name="Normal 2 3 2 5 3 3 3 2" xfId="18722" xr:uid="{04170CCF-61A6-452B-88D1-97757B5BD448}"/>
    <cellStyle name="Normal 2 3 2 5 3 3 3 2 2" xfId="18723" xr:uid="{032D0B5A-0A22-4349-8316-00845B853383}"/>
    <cellStyle name="Normal 2 3 2 5 3 3 3 2 3" xfId="18724" xr:uid="{53D8426F-716A-4984-B434-F85B8E27CE44}"/>
    <cellStyle name="Normal 2 3 2 5 3 3 3 2 4" xfId="18725" xr:uid="{AB2ACA41-6ADE-4485-B2A4-CACCA3A66D0B}"/>
    <cellStyle name="Normal 2 3 2 5 3 3 3 2 5" xfId="18726" xr:uid="{1506BC8F-8499-4B03-A329-01EA9A6D6AD9}"/>
    <cellStyle name="Normal 2 3 2 5 3 3 3 2 6" xfId="18727" xr:uid="{2E9B5A8E-BED2-483C-B129-3FD28005A0AB}"/>
    <cellStyle name="Normal 2 3 2 5 3 3 3 3" xfId="18728" xr:uid="{09195EA8-ED89-4196-A823-00F81366C879}"/>
    <cellStyle name="Normal 2 3 2 5 3 3 3 4" xfId="18729" xr:uid="{C74A8781-23AA-44D7-B431-835836886169}"/>
    <cellStyle name="Normal 2 3 2 5 3 3 3 5" xfId="18730" xr:uid="{5DD01DFF-9FC5-42B7-B986-1E9E3DC03BE8}"/>
    <cellStyle name="Normal 2 3 2 5 3 3 3 6" xfId="18731" xr:uid="{496F1663-3CD4-4065-92AC-560FB366A079}"/>
    <cellStyle name="Normal 2 3 2 5 3 3 4" xfId="18732" xr:uid="{1715F485-690E-4C64-80EB-99B1467BF505}"/>
    <cellStyle name="Normal 2 3 2 5 3 3 5" xfId="18733" xr:uid="{F4684697-5B5C-463A-8C65-205AD51358F1}"/>
    <cellStyle name="Normal 2 3 2 5 3 3 6" xfId="18734" xr:uid="{4AA3CA0F-0A19-46CD-AD4A-A256FD2404B6}"/>
    <cellStyle name="Normal 2 3 2 5 3 3 7" xfId="18735" xr:uid="{24AEFFAF-FABB-4B10-86FE-A57A7854E707}"/>
    <cellStyle name="Normal 2 3 2 5 3 3 8" xfId="18736" xr:uid="{BF00D98E-B560-47B8-8801-8D483317ACD1}"/>
    <cellStyle name="Normal 2 3 2 5 3 3 9" xfId="18737" xr:uid="{E15FE616-A9F8-4194-93BD-D752297C75F3}"/>
    <cellStyle name="Normal 2 3 2 5 3 4" xfId="18738" xr:uid="{1227D76C-D7FE-47E7-87F6-70D18004EAA5}"/>
    <cellStyle name="Normal 2 3 2 5 3 5" xfId="18739" xr:uid="{A8863851-D59B-4B4B-8B15-7AFB5CA531E5}"/>
    <cellStyle name="Normal 2 3 2 5 3 5 2" xfId="18740" xr:uid="{AB5335D9-F986-4615-A933-4978B6B4565A}"/>
    <cellStyle name="Normal 2 3 2 5 3 5 2 2" xfId="18741" xr:uid="{6A9607BA-7693-41C8-9707-8B7210016222}"/>
    <cellStyle name="Normal 2 3 2 5 3 5 2 3" xfId="18742" xr:uid="{34152EC6-6423-4722-8DD9-F78E64074D2F}"/>
    <cellStyle name="Normal 2 3 2 5 3 5 2 4" xfId="18743" xr:uid="{F1E1E977-E0EA-4693-AA08-D2584303E5AD}"/>
    <cellStyle name="Normal 2 3 2 5 3 5 2 5" xfId="18744" xr:uid="{30BA27D8-0DB8-4E06-9E78-71CF3D1BD293}"/>
    <cellStyle name="Normal 2 3 2 5 3 5 2 6" xfId="18745" xr:uid="{44938A80-BF05-4E97-8A54-FE98B80190B5}"/>
    <cellStyle name="Normal 2 3 2 5 3 5 3" xfId="18746" xr:uid="{64C5DDBA-3FF9-40A7-A66C-D20426CC3B25}"/>
    <cellStyle name="Normal 2 3 2 5 3 5 4" xfId="18747" xr:uid="{94B80FBD-BC29-4FBE-BAB2-91B0C4936C1B}"/>
    <cellStyle name="Normal 2 3 2 5 3 5 5" xfId="18748" xr:uid="{87A49EBF-218F-41F9-8CE8-AD783346BE1D}"/>
    <cellStyle name="Normal 2 3 2 5 3 5 6" xfId="18749" xr:uid="{1C11A997-2BD4-4F13-8B69-8CC661FE1545}"/>
    <cellStyle name="Normal 2 3 2 5 3 6" xfId="18750" xr:uid="{274133BA-68AF-4B7C-A942-542F0B9925C9}"/>
    <cellStyle name="Normal 2 3 2 5 3 7" xfId="18751" xr:uid="{DE5FB260-F46F-41E3-8B7F-DDC3BE95DB62}"/>
    <cellStyle name="Normal 2 3 2 5 3 8" xfId="18752" xr:uid="{B0524E75-A01C-47B5-8FFE-3F1681818C01}"/>
    <cellStyle name="Normal 2 3 2 5 3 9" xfId="18753" xr:uid="{0D9183B2-27BB-4066-8E13-15B62553C1DE}"/>
    <cellStyle name="Normal 2 3 2 5 4" xfId="18754" xr:uid="{DE690E81-51D5-4001-94FF-DEB3F35FC37D}"/>
    <cellStyle name="Normal 2 3 2 5 5" xfId="18755" xr:uid="{C476EF68-4C74-4AE9-8C77-0BB67BBF3FD3}"/>
    <cellStyle name="Normal 2 3 2 5 5 2" xfId="18756" xr:uid="{4DCDF1FE-9DBB-4888-ADA0-960F2D035921}"/>
    <cellStyle name="Normal 2 3 2 5 5 2 2" xfId="18757" xr:uid="{61B6F450-0171-48FF-BD42-3D518C1FD5B9}"/>
    <cellStyle name="Normal 2 3 2 5 5 2 2 2" xfId="18758" xr:uid="{62AB3F5F-237A-4952-B036-A225B46684F0}"/>
    <cellStyle name="Normal 2 3 2 5 5 2 2 2 2" xfId="18759" xr:uid="{BB4AEFBB-6064-483E-87CD-D712E9D3176A}"/>
    <cellStyle name="Normal 2 3 2 5 5 2 2 2 3" xfId="18760" xr:uid="{68BAF6BE-183F-4198-A03C-8B3F60B062F3}"/>
    <cellStyle name="Normal 2 3 2 5 5 2 2 2 4" xfId="18761" xr:uid="{59776321-8ED6-484C-9CBA-59FDB70F1C2A}"/>
    <cellStyle name="Normal 2 3 2 5 5 2 2 2 5" xfId="18762" xr:uid="{990AB926-E08D-45FB-96C3-4F70D6B525EC}"/>
    <cellStyle name="Normal 2 3 2 5 5 2 2 2 6" xfId="18763" xr:uid="{D9777299-6574-4915-9398-CE881C831EF6}"/>
    <cellStyle name="Normal 2 3 2 5 5 2 2 3" xfId="18764" xr:uid="{94F78B94-8BEC-4C5C-98A5-297F3024EB64}"/>
    <cellStyle name="Normal 2 3 2 5 5 2 2 4" xfId="18765" xr:uid="{B59A2E35-AD85-49BA-95B0-2BCD405E0AAF}"/>
    <cellStyle name="Normal 2 3 2 5 5 2 2 5" xfId="18766" xr:uid="{7B5A3E2E-D8CC-42DC-B0F9-7FDA8AA9BFCF}"/>
    <cellStyle name="Normal 2 3 2 5 5 2 2 6" xfId="18767" xr:uid="{AFC44CE7-FD21-491B-B1E4-A02E91270D95}"/>
    <cellStyle name="Normal 2 3 2 5 5 2 3" xfId="18768" xr:uid="{8BE43115-50A0-4DF2-AF65-CCB282607C28}"/>
    <cellStyle name="Normal 2 3 2 5 5 2 4" xfId="18769" xr:uid="{5373D96D-B171-4836-8902-54A74224B0E4}"/>
    <cellStyle name="Normal 2 3 2 5 5 2 5" xfId="18770" xr:uid="{B1CB807C-A00A-4677-9C1D-6D314AAE35AD}"/>
    <cellStyle name="Normal 2 3 2 5 5 2 6" xfId="18771" xr:uid="{6195B94B-D786-490D-9C70-FFBC28783B18}"/>
    <cellStyle name="Normal 2 3 2 5 5 2 7" xfId="18772" xr:uid="{17BCFB22-75BA-447B-832A-5047CE40E275}"/>
    <cellStyle name="Normal 2 3 2 5 5 2 8" xfId="18773" xr:uid="{8C6795C5-DC47-4464-A966-CE39AB1D6BDE}"/>
    <cellStyle name="Normal 2 3 2 5 5 2 9" xfId="18774" xr:uid="{8973A44F-6A26-49C5-B148-11DDBDE2F262}"/>
    <cellStyle name="Normal 2 3 2 5 5 3" xfId="18775" xr:uid="{E8E0A76B-311B-437F-8A4C-AE03A1304A3E}"/>
    <cellStyle name="Normal 2 3 2 5 5 3 2" xfId="18776" xr:uid="{02673118-39FA-4294-9611-29B6A0F7FB94}"/>
    <cellStyle name="Normal 2 3 2 5 5 3 2 2" xfId="18777" xr:uid="{F5B5463B-4A9A-46C6-922F-60BEA1A83219}"/>
    <cellStyle name="Normal 2 3 2 5 5 3 2 3" xfId="18778" xr:uid="{B4737C57-5182-4CEC-822E-488BF17AAF2D}"/>
    <cellStyle name="Normal 2 3 2 5 5 3 2 4" xfId="18779" xr:uid="{EA7378E4-B7A3-4008-9DFB-FBF21F13F063}"/>
    <cellStyle name="Normal 2 3 2 5 5 3 2 5" xfId="18780" xr:uid="{FADC0558-6204-4F90-960B-5E9026FBBFB0}"/>
    <cellStyle name="Normal 2 3 2 5 5 3 2 6" xfId="18781" xr:uid="{572BDAF4-75FE-482C-BFF8-28E88B3998BF}"/>
    <cellStyle name="Normal 2 3 2 5 5 3 3" xfId="18782" xr:uid="{A0C7DC1C-CD91-4A0C-93E3-5CF041A9C300}"/>
    <cellStyle name="Normal 2 3 2 5 5 3 4" xfId="18783" xr:uid="{70C33A8E-5C51-4F08-9700-9C7A65AE6242}"/>
    <cellStyle name="Normal 2 3 2 5 5 3 5" xfId="18784" xr:uid="{6FB13129-CD8B-433C-AE86-E00798AE89DC}"/>
    <cellStyle name="Normal 2 3 2 5 5 3 6" xfId="18785" xr:uid="{DFDC87CA-838A-4B65-80D4-3FB132F9D5A5}"/>
    <cellStyle name="Normal 2 3 2 5 5 4" xfId="18786" xr:uid="{3864500C-50A6-41CB-BB02-E165F612AEE6}"/>
    <cellStyle name="Normal 2 3 2 5 5 5" xfId="18787" xr:uid="{FF4AC6C5-A4AD-4C38-88D0-8B288230E242}"/>
    <cellStyle name="Normal 2 3 2 5 5 6" xfId="18788" xr:uid="{576DCD3E-5968-40AD-98AB-E9C31491C3BD}"/>
    <cellStyle name="Normal 2 3 2 5 5 7" xfId="18789" xr:uid="{4323872B-EC1C-420E-AA0A-DD0FF1F5F11B}"/>
    <cellStyle name="Normal 2 3 2 5 5 8" xfId="18790" xr:uid="{08BAD8BF-675A-4633-B1B0-2B165C62E26F}"/>
    <cellStyle name="Normal 2 3 2 5 5 9" xfId="18791" xr:uid="{89BC9103-6D88-44CA-9945-D0E25AE981E5}"/>
    <cellStyle name="Normal 2 3 2 5 6" xfId="18792" xr:uid="{B2DE4BA8-4F9D-4603-84A0-82ECAB7B8023}"/>
    <cellStyle name="Normal 2 3 2 5 7" xfId="18793" xr:uid="{578A2413-DA80-45DC-AB95-F6930C62D4DB}"/>
    <cellStyle name="Normal 2 3 2 5 8" xfId="18794" xr:uid="{79D5C81C-A126-411E-A14A-F1B5CD838216}"/>
    <cellStyle name="Normal 2 3 2 5 8 2" xfId="18795" xr:uid="{E82082E5-415C-407D-9A47-775CDA623D87}"/>
    <cellStyle name="Normal 2 3 2 5 8 2 2" xfId="18796" xr:uid="{0DB7632D-B78F-4737-9576-5471C3E3D370}"/>
    <cellStyle name="Normal 2 3 2 5 8 2 3" xfId="18797" xr:uid="{B9CCDA6A-C9D5-4A5C-B0B3-810960D0C818}"/>
    <cellStyle name="Normal 2 3 2 5 8 2 4" xfId="18798" xr:uid="{2E5E2B38-DB60-4293-8789-98A43C5C1F3A}"/>
    <cellStyle name="Normal 2 3 2 5 8 2 5" xfId="18799" xr:uid="{03C80673-9EC8-4FA1-A3F9-801632BFA4BC}"/>
    <cellStyle name="Normal 2 3 2 5 8 2 6" xfId="18800" xr:uid="{4A46359E-0D8C-4930-BC83-C97D50AE9D67}"/>
    <cellStyle name="Normal 2 3 2 5 8 3" xfId="18801" xr:uid="{0AAFA142-DE4C-498C-9311-AC11E3ED528F}"/>
    <cellStyle name="Normal 2 3 2 5 8 4" xfId="18802" xr:uid="{1AFAB128-8686-4948-A82F-D23E4304EB4D}"/>
    <cellStyle name="Normal 2 3 2 5 8 5" xfId="18803" xr:uid="{DBA213AD-8F4F-4517-836D-8D45A62546CB}"/>
    <cellStyle name="Normal 2 3 2 5 8 6" xfId="18804" xr:uid="{D8BE46EE-3784-4419-A792-477DF0DF431C}"/>
    <cellStyle name="Normal 2 3 2 5 9" xfId="18805" xr:uid="{9DEDB6EB-BF60-4D19-8D91-2053384F1882}"/>
    <cellStyle name="Normal 2 3 2 50" xfId="18806" xr:uid="{C912C0DE-1281-455A-AF30-17AB8567398F}"/>
    <cellStyle name="Normal 2 3 2 51" xfId="18807" xr:uid="{5818B37B-A580-4FF5-BAC9-23843E4EF76D}"/>
    <cellStyle name="Normal 2 3 2 52" xfId="18808" xr:uid="{0AA7BD11-23A3-48D3-967D-1098ECDE80D3}"/>
    <cellStyle name="Normal 2 3 2 53" xfId="18809" xr:uid="{2A115A6B-9E10-4147-BBA7-3169853CEAFA}"/>
    <cellStyle name="Normal 2 3 2 54" xfId="18810" xr:uid="{44320F79-3E4A-408A-BA4F-8B835077BEC0}"/>
    <cellStyle name="Normal 2 3 2 55" xfId="18811" xr:uid="{E7FA8BF4-21B6-4F8D-8D0D-5843BFE4345E}"/>
    <cellStyle name="Normal 2 3 2 56" xfId="18812" xr:uid="{A194A083-0811-48F7-9533-A8370A6AE67E}"/>
    <cellStyle name="Normal 2 3 2 57" xfId="18813" xr:uid="{883D8826-734D-4391-97F8-DD715ADE33F7}"/>
    <cellStyle name="Normal 2 3 2 58" xfId="18814" xr:uid="{77E19735-B76E-46A7-B83D-036ED8023CD6}"/>
    <cellStyle name="Normal 2 3 2 59" xfId="18815" xr:uid="{3EF0D9B7-A41D-4D52-A862-10A64100D9C0}"/>
    <cellStyle name="Normal 2 3 2 6" xfId="18816" xr:uid="{AA93C49B-3196-4BAF-BF96-08FBF31D7DAD}"/>
    <cellStyle name="Normal 2 3 2 6 2" xfId="18817" xr:uid="{901FD231-CA2A-429C-8B92-4BCF34E83238}"/>
    <cellStyle name="Normal 2 3 2 6 3" xfId="18818" xr:uid="{EDCD383F-22E1-4519-94F3-01A178E6A102}"/>
    <cellStyle name="Normal 2 3 2 6 4" xfId="18819" xr:uid="{DB3DCE14-6AF6-4BB9-AB74-7321E72B9AFA}"/>
    <cellStyle name="Normal 2 3 2 6 5" xfId="18820" xr:uid="{4565F7F1-8FD8-4169-A7A3-42C852F5A388}"/>
    <cellStyle name="Normal 2 3 2 6 6" xfId="18821" xr:uid="{32D7E5F6-AE15-4C15-AEE9-5BCD36C40566}"/>
    <cellStyle name="Normal 2 3 2 60" xfId="18822" xr:uid="{56241DBD-BCF6-452C-9D8E-DC85ADA293AC}"/>
    <cellStyle name="Normal 2 3 2 61" xfId="18823" xr:uid="{5AE9DDB4-390F-4D9F-B985-E0503F6E8ACD}"/>
    <cellStyle name="Normal 2 3 2 62" xfId="18824" xr:uid="{405CF917-0B03-4ACA-952D-F5A83A67B495}"/>
    <cellStyle name="Normal 2 3 2 63" xfId="18825" xr:uid="{C814BA8E-CEA2-43D1-9ED7-A4D4CBE63162}"/>
    <cellStyle name="Normal 2 3 2 64" xfId="18826" xr:uid="{DC520F24-C75E-412D-9AEE-145FA4CCF740}"/>
    <cellStyle name="Normal 2 3 2 65" xfId="18827" xr:uid="{FE806194-5559-4DF7-9C26-AB2A97323376}"/>
    <cellStyle name="Normal 2 3 2 66" xfId="16353" xr:uid="{C80E8E85-7254-41D0-ABD6-1954E550E663}"/>
    <cellStyle name="Normal 2 3 2 7" xfId="18828" xr:uid="{CB9D739E-CAD2-4077-931E-C7CF0249DFE7}"/>
    <cellStyle name="Normal 2 3 2 7 2" xfId="18829" xr:uid="{7724A3E0-A649-4F03-82D3-B6A03B7A1CDB}"/>
    <cellStyle name="Normal 2 3 2 7 3" xfId="18830" xr:uid="{BB8EF98D-34FB-4108-A912-1573A70C2618}"/>
    <cellStyle name="Normal 2 3 2 7 4" xfId="18831" xr:uid="{E4AB4939-6E70-473C-A62B-9A27519EC540}"/>
    <cellStyle name="Normal 2 3 2 7 5" xfId="18832" xr:uid="{DEA9C946-D9EC-4397-8827-EC3E3DB71464}"/>
    <cellStyle name="Normal 2 3 2 7 6" xfId="18833" xr:uid="{F2794F96-C505-4F41-AD6A-B1F0E7A9B860}"/>
    <cellStyle name="Normal 2 3 2 8" xfId="18834" xr:uid="{2A8BED07-D469-4F97-8369-2697A581EC0F}"/>
    <cellStyle name="Normal 2 3 2 8 10" xfId="18835" xr:uid="{FBB99F7D-0AE7-4D38-B355-ABCB325B7E60}"/>
    <cellStyle name="Normal 2 3 2 8 11" xfId="18836" xr:uid="{D59747BA-6476-42AD-AB9A-465007ED7675}"/>
    <cellStyle name="Normal 2 3 2 8 12" xfId="18837" xr:uid="{1473B55B-04C7-498E-8B50-4C5E238CF4DB}"/>
    <cellStyle name="Normal 2 3 2 8 13" xfId="18838" xr:uid="{E91CF0A6-D017-4B3A-ADED-BD1BE6592767}"/>
    <cellStyle name="Normal 2 3 2 8 14" xfId="18839" xr:uid="{792DFE26-0D69-43B6-B782-66AEF504FBBA}"/>
    <cellStyle name="Normal 2 3 2 8 15" xfId="18840" xr:uid="{8208D24C-F451-46AC-8E9E-770917129B04}"/>
    <cellStyle name="Normal 2 3 2 8 16" xfId="18841" xr:uid="{661D9598-C405-45A1-8583-9DD7BEEF097A}"/>
    <cellStyle name="Normal 2 3 2 8 17" xfId="18842" xr:uid="{45041816-13D1-4D6B-ABFF-C52C94F40639}"/>
    <cellStyle name="Normal 2 3 2 8 2" xfId="18843" xr:uid="{15640DE2-3A04-499C-A24B-C7EDD9E52029}"/>
    <cellStyle name="Normal 2 3 2 8 2 10" xfId="18844" xr:uid="{BB8C8CBE-7750-4142-9635-D4C8D5BCBA76}"/>
    <cellStyle name="Normal 2 3 2 8 2 11" xfId="18845" xr:uid="{A07C5849-9B76-4A9D-B114-ABB6C1B2E5BD}"/>
    <cellStyle name="Normal 2 3 2 8 2 12" xfId="18846" xr:uid="{7320242E-293B-4811-85A0-F7F8F662BEAD}"/>
    <cellStyle name="Normal 2 3 2 8 2 2" xfId="18847" xr:uid="{F426B996-932E-442D-904B-C14BD27512A8}"/>
    <cellStyle name="Normal 2 3 2 8 2 2 2" xfId="18848" xr:uid="{2AB51481-9203-463F-BF86-332FB6AD470D}"/>
    <cellStyle name="Normal 2 3 2 8 2 2 2 2" xfId="18849" xr:uid="{890B63AF-3394-4696-9124-C2CBEBDE10A3}"/>
    <cellStyle name="Normal 2 3 2 8 2 2 2 2 2" xfId="18850" xr:uid="{5A63A202-EDD9-4A4C-B555-7FACA609DADF}"/>
    <cellStyle name="Normal 2 3 2 8 2 2 2 2 2 2" xfId="18851" xr:uid="{DA546A7E-0034-409D-B807-9BBB3ECEBA94}"/>
    <cellStyle name="Normal 2 3 2 8 2 2 2 2 2 3" xfId="18852" xr:uid="{B2EBFE7F-1BF8-4E7F-876B-9232837FCC3F}"/>
    <cellStyle name="Normal 2 3 2 8 2 2 2 2 2 4" xfId="18853" xr:uid="{4535F0A9-7E9A-4F08-9162-DD2CD0F03502}"/>
    <cellStyle name="Normal 2 3 2 8 2 2 2 2 2 5" xfId="18854" xr:uid="{1D5DC70D-F21E-4710-99B7-1BA0DFEC171C}"/>
    <cellStyle name="Normal 2 3 2 8 2 2 2 2 2 6" xfId="18855" xr:uid="{53077860-7ADD-43CA-9C51-A856CF9950E8}"/>
    <cellStyle name="Normal 2 3 2 8 2 2 2 2 3" xfId="18856" xr:uid="{2A088637-58FE-4516-9167-6DC12ACD2F5D}"/>
    <cellStyle name="Normal 2 3 2 8 2 2 2 2 4" xfId="18857" xr:uid="{FD79D787-5A7E-46E6-94AC-1A2CBF3D1174}"/>
    <cellStyle name="Normal 2 3 2 8 2 2 2 2 5" xfId="18858" xr:uid="{7BDD782F-CB21-4347-986D-659D836412A1}"/>
    <cellStyle name="Normal 2 3 2 8 2 2 2 2 6" xfId="18859" xr:uid="{9A2F291B-CA55-45EB-BF40-CCD2E9BF3F7C}"/>
    <cellStyle name="Normal 2 3 2 8 2 2 2 3" xfId="18860" xr:uid="{5B9CE150-7FB7-442D-8329-BCBA280FFC48}"/>
    <cellStyle name="Normal 2 3 2 8 2 2 2 4" xfId="18861" xr:uid="{4E9C7739-5DCA-4E31-B06D-02B3EE2A2244}"/>
    <cellStyle name="Normal 2 3 2 8 2 2 2 5" xfId="18862" xr:uid="{2155746B-DBBB-46DA-AC53-A9CB21A40F20}"/>
    <cellStyle name="Normal 2 3 2 8 2 2 2 6" xfId="18863" xr:uid="{2E9857D1-102C-4258-BD0B-EB20D3B5249C}"/>
    <cellStyle name="Normal 2 3 2 8 2 2 2 7" xfId="18864" xr:uid="{17BF0CE4-2950-45B5-BA61-A56FA0B088B4}"/>
    <cellStyle name="Normal 2 3 2 8 2 2 2 8" xfId="18865" xr:uid="{F44F544B-DE7F-498A-A226-E86EF63E9C95}"/>
    <cellStyle name="Normal 2 3 2 8 2 2 2 9" xfId="18866" xr:uid="{896D34CF-A8C1-4E7E-8174-99201C8F17AC}"/>
    <cellStyle name="Normal 2 3 2 8 2 2 3" xfId="18867" xr:uid="{88A8DB2A-92FF-4CE7-8515-87C1BB803C39}"/>
    <cellStyle name="Normal 2 3 2 8 2 2 3 2" xfId="18868" xr:uid="{F801D9AF-16E2-4E3B-B78D-1D667451F9D1}"/>
    <cellStyle name="Normal 2 3 2 8 2 2 3 2 2" xfId="18869" xr:uid="{CF181325-3A1D-415E-8BC2-BA828DF67472}"/>
    <cellStyle name="Normal 2 3 2 8 2 2 3 2 3" xfId="18870" xr:uid="{4F67C125-4F66-460D-B008-7BAA40957EDD}"/>
    <cellStyle name="Normal 2 3 2 8 2 2 3 2 4" xfId="18871" xr:uid="{55E24070-C6E0-462E-BB4A-4EEFC13D1B01}"/>
    <cellStyle name="Normal 2 3 2 8 2 2 3 2 5" xfId="18872" xr:uid="{F7C569CE-9563-476D-BB15-FD1F14F513DC}"/>
    <cellStyle name="Normal 2 3 2 8 2 2 3 2 6" xfId="18873" xr:uid="{52BD87E1-F701-4C6B-9205-218F9025B1E0}"/>
    <cellStyle name="Normal 2 3 2 8 2 2 3 3" xfId="18874" xr:uid="{3E59D73A-E814-47AE-B0A9-04F1FB428F60}"/>
    <cellStyle name="Normal 2 3 2 8 2 2 3 4" xfId="18875" xr:uid="{1D4505C6-4DBB-4A6D-B5EF-1B80C9AD0335}"/>
    <cellStyle name="Normal 2 3 2 8 2 2 3 5" xfId="18876" xr:uid="{089B01B4-1058-4D05-8944-6D42A2B4C8F0}"/>
    <cellStyle name="Normal 2 3 2 8 2 2 3 6" xfId="18877" xr:uid="{397A6CCA-9B8B-40E0-A1C4-4F08B632D7B9}"/>
    <cellStyle name="Normal 2 3 2 8 2 2 4" xfId="18878" xr:uid="{4226303B-4A52-41AE-82BE-35F8B8399AF5}"/>
    <cellStyle name="Normal 2 3 2 8 2 2 5" xfId="18879" xr:uid="{6FCB2220-6B5C-4382-B7FF-2C1B03730F1B}"/>
    <cellStyle name="Normal 2 3 2 8 2 2 6" xfId="18880" xr:uid="{71BCEC40-3456-4DDD-B0DA-0FF83DE4B881}"/>
    <cellStyle name="Normal 2 3 2 8 2 2 7" xfId="18881" xr:uid="{FCAF2001-EB3E-4F27-A5D9-3E629B6747E0}"/>
    <cellStyle name="Normal 2 3 2 8 2 2 8" xfId="18882" xr:uid="{FEBE5F78-F4D6-44B7-BB29-4A43424425D8}"/>
    <cellStyle name="Normal 2 3 2 8 2 2 9" xfId="18883" xr:uid="{0BF93A66-ABDE-4A68-9B68-2FC59435CB56}"/>
    <cellStyle name="Normal 2 3 2 8 2 3" xfId="18884" xr:uid="{62FD1E0D-76A4-40FA-9515-EEDD854190D1}"/>
    <cellStyle name="Normal 2 3 2 8 2 4" xfId="18885" xr:uid="{9EC02715-F037-4C9E-AF36-64E65A3A0493}"/>
    <cellStyle name="Normal 2 3 2 8 2 5" xfId="18886" xr:uid="{8F379FB7-EAE8-4FA8-8C72-3D5569ABB479}"/>
    <cellStyle name="Normal 2 3 2 8 2 5 2" xfId="18887" xr:uid="{000BF5C2-F387-4C28-AD04-6CC8CE3C7DF5}"/>
    <cellStyle name="Normal 2 3 2 8 2 5 2 2" xfId="18888" xr:uid="{AA983E25-D16F-4450-9B98-0146EEA93B5F}"/>
    <cellStyle name="Normal 2 3 2 8 2 5 2 3" xfId="18889" xr:uid="{DE613E48-DE14-40FC-BC95-739AC9D01624}"/>
    <cellStyle name="Normal 2 3 2 8 2 5 2 4" xfId="18890" xr:uid="{DFFB4F83-E744-40D6-BE5D-A2697E6619AD}"/>
    <cellStyle name="Normal 2 3 2 8 2 5 2 5" xfId="18891" xr:uid="{213120AD-92B3-4381-8653-636BAF5BCC66}"/>
    <cellStyle name="Normal 2 3 2 8 2 5 2 6" xfId="18892" xr:uid="{D0E0EC49-6CFF-4B38-BB3E-DA00756FF96D}"/>
    <cellStyle name="Normal 2 3 2 8 2 5 3" xfId="18893" xr:uid="{2AB3E140-E7A1-49FF-A954-A7A4AE6C1FD8}"/>
    <cellStyle name="Normal 2 3 2 8 2 5 4" xfId="18894" xr:uid="{0C1D803B-3D16-4D21-9AAE-078C6AF124CE}"/>
    <cellStyle name="Normal 2 3 2 8 2 5 5" xfId="18895" xr:uid="{855C467E-5470-4AE8-A5C1-A2FD55D8DEAC}"/>
    <cellStyle name="Normal 2 3 2 8 2 5 6" xfId="18896" xr:uid="{D5445D52-CBE4-4CEE-B2B9-BB7101D06BE6}"/>
    <cellStyle name="Normal 2 3 2 8 2 6" xfId="18897" xr:uid="{61B2FBA5-5B88-4992-8FDC-C5D913E77680}"/>
    <cellStyle name="Normal 2 3 2 8 2 7" xfId="18898" xr:uid="{EF7E0FC0-561D-4BDE-93AE-318A4E40ADFC}"/>
    <cellStyle name="Normal 2 3 2 8 2 8" xfId="18899" xr:uid="{F26EFC27-37A0-4B72-9495-DB31BEE85751}"/>
    <cellStyle name="Normal 2 3 2 8 2 9" xfId="18900" xr:uid="{5ECC0007-D5FD-4E70-9309-9B444A8C89F8}"/>
    <cellStyle name="Normal 2 3 2 8 3" xfId="18901" xr:uid="{88887303-530E-4BE8-9ABB-0F424D4ABC50}"/>
    <cellStyle name="Normal 2 3 2 8 3 2" xfId="18902" xr:uid="{EB93EDD8-2EB9-486D-B0DA-F594AEC7996B}"/>
    <cellStyle name="Normal 2 3 2 8 3 2 2" xfId="18903" xr:uid="{1271994D-4736-4264-BA2B-8E6D749CB2BD}"/>
    <cellStyle name="Normal 2 3 2 8 3 2 2 2" xfId="18904" xr:uid="{F0A35690-C975-44BB-9154-5A64EF191F72}"/>
    <cellStyle name="Normal 2 3 2 8 3 2 2 2 2" xfId="18905" xr:uid="{AFEDA1F0-5FEA-4AD8-878F-B163716396D8}"/>
    <cellStyle name="Normal 2 3 2 8 3 2 2 2 3" xfId="18906" xr:uid="{3AF0F416-44D1-4F41-A663-D9FAC4DE4C67}"/>
    <cellStyle name="Normal 2 3 2 8 3 2 2 2 4" xfId="18907" xr:uid="{230E63A1-2F94-4CA6-BD8E-88AB21B12D89}"/>
    <cellStyle name="Normal 2 3 2 8 3 2 2 2 5" xfId="18908" xr:uid="{FBA90840-4B29-4CEC-B10D-ED5DF9EB9492}"/>
    <cellStyle name="Normal 2 3 2 8 3 2 2 2 6" xfId="18909" xr:uid="{158046A4-C3E5-4E41-A82D-61AE568A83F7}"/>
    <cellStyle name="Normal 2 3 2 8 3 2 2 3" xfId="18910" xr:uid="{D7DB8D5E-D064-4A85-8C3A-5C3FF4C64D7D}"/>
    <cellStyle name="Normal 2 3 2 8 3 2 2 4" xfId="18911" xr:uid="{88D0B192-BC61-4A23-8304-A0C0E677BDA3}"/>
    <cellStyle name="Normal 2 3 2 8 3 2 2 5" xfId="18912" xr:uid="{BF746F23-94D5-4502-A71A-2746AE7081F4}"/>
    <cellStyle name="Normal 2 3 2 8 3 2 2 6" xfId="18913" xr:uid="{A363BFE5-A18F-4F37-9B74-6C8A84C4ED57}"/>
    <cellStyle name="Normal 2 3 2 8 3 2 3" xfId="18914" xr:uid="{2D02C813-1D63-4B31-8D7A-B4012E30EB4C}"/>
    <cellStyle name="Normal 2 3 2 8 3 2 4" xfId="18915" xr:uid="{41D6359E-B61F-4091-BEAB-F73E49392C15}"/>
    <cellStyle name="Normal 2 3 2 8 3 2 5" xfId="18916" xr:uid="{C0260838-2839-49C0-815C-2DAEFCE49020}"/>
    <cellStyle name="Normal 2 3 2 8 3 2 6" xfId="18917" xr:uid="{356821C5-4272-4C0E-9FD8-0CB6F32F1004}"/>
    <cellStyle name="Normal 2 3 2 8 3 2 7" xfId="18918" xr:uid="{27379935-32BF-4D24-A591-BC1E30638D6E}"/>
    <cellStyle name="Normal 2 3 2 8 3 2 8" xfId="18919" xr:uid="{D7A0667F-E16C-40A3-B1A5-9B7EC4DA4EAA}"/>
    <cellStyle name="Normal 2 3 2 8 3 2 9" xfId="18920" xr:uid="{CAA17D4B-A2C8-4881-B1FF-1C484F9C4330}"/>
    <cellStyle name="Normal 2 3 2 8 3 3" xfId="18921" xr:uid="{04799ACB-3EAF-484D-AE8E-ECC0877918AB}"/>
    <cellStyle name="Normal 2 3 2 8 3 3 2" xfId="18922" xr:uid="{061087A2-F518-4274-AAD5-86E58056AEA7}"/>
    <cellStyle name="Normal 2 3 2 8 3 3 2 2" xfId="18923" xr:uid="{F3AE5B01-1039-4CDD-ABA2-F6F1E2507C83}"/>
    <cellStyle name="Normal 2 3 2 8 3 3 2 3" xfId="18924" xr:uid="{73790004-FB5B-4382-9591-581CCFF5B7CC}"/>
    <cellStyle name="Normal 2 3 2 8 3 3 2 4" xfId="18925" xr:uid="{2302736F-A5E1-46E6-A252-EB93EC0CDF3A}"/>
    <cellStyle name="Normal 2 3 2 8 3 3 2 5" xfId="18926" xr:uid="{AFCFDA0D-B7AE-43C5-9E43-1C7EA4D22BD9}"/>
    <cellStyle name="Normal 2 3 2 8 3 3 2 6" xfId="18927" xr:uid="{3F82E91C-ACCD-4AD1-A5B3-7045EBCDC9A2}"/>
    <cellStyle name="Normal 2 3 2 8 3 3 3" xfId="18928" xr:uid="{0D450876-F446-4A6A-8286-FE1F42D5ED34}"/>
    <cellStyle name="Normal 2 3 2 8 3 3 4" xfId="18929" xr:uid="{D7B129BE-3A63-495E-9431-B6E9919AC8DF}"/>
    <cellStyle name="Normal 2 3 2 8 3 3 5" xfId="18930" xr:uid="{243F26A5-F529-4D41-B7D4-51E313787DD4}"/>
    <cellStyle name="Normal 2 3 2 8 3 3 6" xfId="18931" xr:uid="{75B7A80E-37F9-4168-8B99-80CA01051018}"/>
    <cellStyle name="Normal 2 3 2 8 3 4" xfId="18932" xr:uid="{082A1D65-7149-4CBA-8901-C89A1A23CA26}"/>
    <cellStyle name="Normal 2 3 2 8 3 5" xfId="18933" xr:uid="{7736E8DF-4B8B-4948-8B6F-B92A6EA506F8}"/>
    <cellStyle name="Normal 2 3 2 8 3 6" xfId="18934" xr:uid="{C65DCB24-B2C9-4AB0-87B3-38CBACDB5AC8}"/>
    <cellStyle name="Normal 2 3 2 8 3 7" xfId="18935" xr:uid="{F60629D2-AA20-4B97-B6C3-720F5EF32806}"/>
    <cellStyle name="Normal 2 3 2 8 3 8" xfId="18936" xr:uid="{C06C5084-A02A-4C21-AAB4-20279D56F0CE}"/>
    <cellStyle name="Normal 2 3 2 8 3 9" xfId="18937" xr:uid="{AE618B29-F648-4FED-A0C1-4166496B19F2}"/>
    <cellStyle name="Normal 2 3 2 8 4" xfId="18938" xr:uid="{98099FF5-E4D2-437B-99E2-0A466A1CF979}"/>
    <cellStyle name="Normal 2 3 2 8 5" xfId="18939" xr:uid="{3F59539D-19F4-4BD7-BD6E-B1A09CFC8FB4}"/>
    <cellStyle name="Normal 2 3 2 8 5 2" xfId="18940" xr:uid="{D02EDE19-10E8-41AA-9F1D-C5F59B63F758}"/>
    <cellStyle name="Normal 2 3 2 8 5 2 2" xfId="18941" xr:uid="{87B47B0B-BD47-4859-8533-FF0B45E96A70}"/>
    <cellStyle name="Normal 2 3 2 8 5 2 3" xfId="18942" xr:uid="{88030653-AC5C-4CF0-8293-C9799DF88964}"/>
    <cellStyle name="Normal 2 3 2 8 5 2 4" xfId="18943" xr:uid="{814DCD4B-EF5A-4027-9F72-C576816E3749}"/>
    <cellStyle name="Normal 2 3 2 8 5 2 5" xfId="18944" xr:uid="{3BD43ED4-A502-4482-AE92-DE635F07BB94}"/>
    <cellStyle name="Normal 2 3 2 8 5 2 6" xfId="18945" xr:uid="{7551307B-F6CE-45FB-A2B9-4E2C649960FD}"/>
    <cellStyle name="Normal 2 3 2 8 5 3" xfId="18946" xr:uid="{489F71DD-56C3-4DEF-AD41-4A45FB4951AA}"/>
    <cellStyle name="Normal 2 3 2 8 5 4" xfId="18947" xr:uid="{CE3E1E7C-814A-4363-9C4B-BF78D2F617B1}"/>
    <cellStyle name="Normal 2 3 2 8 5 5" xfId="18948" xr:uid="{9E9052EC-52AE-435D-9004-16B92B27EE0F}"/>
    <cellStyle name="Normal 2 3 2 8 5 6" xfId="18949" xr:uid="{5141D9B5-D9E9-4095-B5EB-D10C7E187F38}"/>
    <cellStyle name="Normal 2 3 2 8 6" xfId="18950" xr:uid="{1D3FF2F1-FCF4-4346-96D4-07BF27952734}"/>
    <cellStyle name="Normal 2 3 2 8 7" xfId="18951" xr:uid="{F0A7756A-960C-4BFF-BECA-5893C611D31B}"/>
    <cellStyle name="Normal 2 3 2 8 8" xfId="18952" xr:uid="{32A4C570-2CE2-4CE1-9579-BCA3B11DD299}"/>
    <cellStyle name="Normal 2 3 2 8 9" xfId="18953" xr:uid="{4AC2586C-4E3D-4096-982C-251706A63F57}"/>
    <cellStyle name="Normal 2 3 2 9" xfId="18954" xr:uid="{6884471C-0494-40A2-87DE-68A8B49CFA80}"/>
    <cellStyle name="Normal 2 3 2 9 2" xfId="18955" xr:uid="{1DE166C7-EEF3-4ACC-AE5B-87A64244B921}"/>
    <cellStyle name="Normal 2 3 2 9 3" xfId="18956" xr:uid="{D334D3AF-0C39-4472-96EE-69D26FE2DF16}"/>
    <cellStyle name="Normal 2 3 2 9 4" xfId="18957" xr:uid="{99093F19-6867-43D1-B130-8678A2419FE5}"/>
    <cellStyle name="Normal 2 3 2 9 5" xfId="18958" xr:uid="{1AAE6A72-ECD6-4C31-B5D6-4FC4B688C545}"/>
    <cellStyle name="Normal 2 3 2 9 6" xfId="18959" xr:uid="{200FF5D6-BC15-42A1-9618-4A5BE7DCB244}"/>
    <cellStyle name="Normal 2 3 20" xfId="18960" xr:uid="{09D7BE85-8F06-473F-8BB8-CD893D199B4E}"/>
    <cellStyle name="Normal 2 3 20 2" xfId="18961" xr:uid="{F889F0BE-6C61-4D39-BF55-4F9F7D41CC81}"/>
    <cellStyle name="Normal 2 3 21" xfId="18962" xr:uid="{A0901C79-DB42-4C1C-8FE4-B422BDE1960A}"/>
    <cellStyle name="Normal 2 3 21 2" xfId="18963" xr:uid="{BAB3CF2A-8209-4FFD-A17F-8BC73D4C17A1}"/>
    <cellStyle name="Normal 2 3 22" xfId="18964" xr:uid="{430127DF-4654-4A1B-9E4F-9B170120BAA2}"/>
    <cellStyle name="Normal 2 3 23" xfId="18965" xr:uid="{C2C5085F-EC41-433B-8781-15AFD6730DF5}"/>
    <cellStyle name="Normal 2 3 24" xfId="18966" xr:uid="{C419450C-69DB-4ECB-91EB-063B36058457}"/>
    <cellStyle name="Normal 2 3 25" xfId="18967" xr:uid="{3F79D83D-3340-4EBF-AD8C-07FAFD7D80DE}"/>
    <cellStyle name="Normal 2 3 26" xfId="18968" xr:uid="{0316FAE8-3E6B-4CA0-990D-816ADF8AB915}"/>
    <cellStyle name="Normal 2 3 27" xfId="18969" xr:uid="{9B05D65E-CC13-4721-BD35-F4B015D3EC23}"/>
    <cellStyle name="Normal 2 3 28" xfId="18970" xr:uid="{8F62D41B-857D-4E56-B65F-70862DF5D84E}"/>
    <cellStyle name="Normal 2 3 29" xfId="18971" xr:uid="{E1A1DC60-0B2B-441B-B80D-B0073706C036}"/>
    <cellStyle name="Normal 2 3 3" xfId="18972" xr:uid="{03AAEF29-C0A5-4C74-BC03-945B12383BAB}"/>
    <cellStyle name="Normal 2 3 3 10" xfId="18973" xr:uid="{CB084CDC-06C3-4631-8647-35D6250A910A}"/>
    <cellStyle name="Normal 2 3 3 11" xfId="18974" xr:uid="{2E029D57-E224-4C25-8151-9E76116DE50B}"/>
    <cellStyle name="Normal 2 3 3 11 2" xfId="18975" xr:uid="{FE03B2D7-07BD-4976-9E0C-45B4DC01B3B5}"/>
    <cellStyle name="Normal 2 3 3 11 2 2" xfId="18976" xr:uid="{875A51A0-D622-4649-BCA5-B1250E4A5991}"/>
    <cellStyle name="Normal 2 3 3 11 2 3" xfId="18977" xr:uid="{3D4D0518-6BF3-4B39-BD36-6A96314C4C6B}"/>
    <cellStyle name="Normal 2 3 3 11 2 4" xfId="18978" xr:uid="{31481A5A-86D4-4F26-AA87-5982EAD21C48}"/>
    <cellStyle name="Normal 2 3 3 11 2 5" xfId="18979" xr:uid="{7B54600D-67FC-4CE5-BE21-60CD29C8BAD3}"/>
    <cellStyle name="Normal 2 3 3 11 2 6" xfId="18980" xr:uid="{51791840-BF7E-4C2F-904C-DEAD3ADA1B2E}"/>
    <cellStyle name="Normal 2 3 3 11 3" xfId="18981" xr:uid="{89A5E03D-B43A-4175-8173-8370B7B84D53}"/>
    <cellStyle name="Normal 2 3 3 11 4" xfId="18982" xr:uid="{FA070776-0D5A-4D31-9466-ADE5660667AB}"/>
    <cellStyle name="Normal 2 3 3 11 5" xfId="18983" xr:uid="{78BD56CB-B927-457B-9947-4A9E846BA33A}"/>
    <cellStyle name="Normal 2 3 3 11 6" xfId="18984" xr:uid="{C6C544F7-D1CF-4BCF-9A73-499A43042258}"/>
    <cellStyle name="Normal 2 3 3 12" xfId="18985" xr:uid="{A17DE24C-16A3-4F42-800E-E83D891825A0}"/>
    <cellStyle name="Normal 2 3 3 13" xfId="18986" xr:uid="{08A089E9-504A-431E-9507-8D905A407558}"/>
    <cellStyle name="Normal 2 3 3 14" xfId="18987" xr:uid="{B968E253-4E1A-4225-AA44-71881BF56FEA}"/>
    <cellStyle name="Normal 2 3 3 15" xfId="18988" xr:uid="{6BE42D0E-BD1E-48A9-AB8D-D340EDAEACD9}"/>
    <cellStyle name="Normal 2 3 3 16" xfId="18989" xr:uid="{EF16B9C7-D64B-498F-81F6-E9CA14BF83FF}"/>
    <cellStyle name="Normal 2 3 3 17" xfId="18990" xr:uid="{B03318E6-40E0-46E7-86E1-F19DAFC89919}"/>
    <cellStyle name="Normal 2 3 3 18" xfId="18991" xr:uid="{1ECAE0B5-AF20-4E41-809A-DBC278C5452D}"/>
    <cellStyle name="Normal 2 3 3 19" xfId="18992" xr:uid="{9337707D-E313-4A88-AC20-FB14751957EB}"/>
    <cellStyle name="Normal 2 3 3 2" xfId="18993" xr:uid="{AC093EB4-4168-4768-996F-328ECCC9FD24}"/>
    <cellStyle name="Normal 2 3 3 2 10" xfId="18994" xr:uid="{A4548A48-9496-4809-8447-0A0D32FAF4E5}"/>
    <cellStyle name="Normal 2 3 3 2 11" xfId="18995" xr:uid="{37F3E6B4-6A32-483A-886F-4C7A44DE0415}"/>
    <cellStyle name="Normal 2 3 3 2 11 2" xfId="18996" xr:uid="{BE3FF572-3E4B-418E-B3C7-2A907AA1FCBD}"/>
    <cellStyle name="Normal 2 3 3 2 11 2 2" xfId="18997" xr:uid="{C936FFEC-CB1C-415F-A0F9-D94B16D5B8F3}"/>
    <cellStyle name="Normal 2 3 3 2 11 2 3" xfId="18998" xr:uid="{A472CBF8-3278-4A57-BDE0-C1C71311A1EE}"/>
    <cellStyle name="Normal 2 3 3 2 11 2 4" xfId="18999" xr:uid="{61204A37-DE17-49AB-B27B-F4D554125BA5}"/>
    <cellStyle name="Normal 2 3 3 2 11 2 5" xfId="19000" xr:uid="{4AF2B757-086E-49E5-9EF7-5E97F8CD7BD8}"/>
    <cellStyle name="Normal 2 3 3 2 11 2 6" xfId="19001" xr:uid="{968F23E2-B186-4193-8DEB-82A8B66FB136}"/>
    <cellStyle name="Normal 2 3 3 2 11 3" xfId="19002" xr:uid="{D7EE321B-77BC-4FB7-ABE6-363E9D1E4D73}"/>
    <cellStyle name="Normal 2 3 3 2 11 4" xfId="19003" xr:uid="{90F55DC5-C9FE-4781-BF81-7038936A1F28}"/>
    <cellStyle name="Normal 2 3 3 2 11 5" xfId="19004" xr:uid="{A2C33952-C50E-4E28-9F1B-F0527D743B9B}"/>
    <cellStyle name="Normal 2 3 3 2 11 6" xfId="19005" xr:uid="{8BB4657F-1A42-47EE-8C7B-8043E2FFE2F1}"/>
    <cellStyle name="Normal 2 3 3 2 12" xfId="19006" xr:uid="{004584A9-18AC-4F73-AB39-DFF81C8FB053}"/>
    <cellStyle name="Normal 2 3 3 2 13" xfId="19007" xr:uid="{71E1C850-7031-410F-924F-3D0321E69E5E}"/>
    <cellStyle name="Normal 2 3 3 2 14" xfId="19008" xr:uid="{F9DD26C9-8515-4004-87F4-3AF8A8142ABC}"/>
    <cellStyle name="Normal 2 3 3 2 15" xfId="19009" xr:uid="{34736938-9ACC-41E8-8063-DFB04112F634}"/>
    <cellStyle name="Normal 2 3 3 2 16" xfId="19010" xr:uid="{3F93DA20-645A-4154-9F07-14B29024CABD}"/>
    <cellStyle name="Normal 2 3 3 2 17" xfId="19011" xr:uid="{F34FD977-FE91-4938-9C51-46834C24C2D3}"/>
    <cellStyle name="Normal 2 3 3 2 18" xfId="19012" xr:uid="{8BB23E4D-056E-4AD5-B6F5-C0B693A7F235}"/>
    <cellStyle name="Normal 2 3 3 2 2" xfId="19013" xr:uid="{E23B0A1C-6C26-4D4D-A31B-378504AA0714}"/>
    <cellStyle name="Normal 2 3 3 2 2 10" xfId="19014" xr:uid="{0F366A52-1E9D-4F63-AC7F-7EE3183CB447}"/>
    <cellStyle name="Normal 2 3 3 2 2 11" xfId="19015" xr:uid="{4D57D501-FBCB-44D0-9136-F129C242C83D}"/>
    <cellStyle name="Normal 2 3 3 2 2 12" xfId="19016" xr:uid="{22BAC9C3-D6F1-4968-B3DF-16AA66690048}"/>
    <cellStyle name="Normal 2 3 3 2 2 13" xfId="19017" xr:uid="{1AE48F25-E17D-4AF5-8B9E-FC0372DE640C}"/>
    <cellStyle name="Normal 2 3 3 2 2 14" xfId="19018" xr:uid="{9083B7E7-1608-43D1-AFDC-A79AC986D8C6}"/>
    <cellStyle name="Normal 2 3 3 2 2 15" xfId="19019" xr:uid="{1D91754B-509F-4EDD-8117-8D50CB34349D}"/>
    <cellStyle name="Normal 2 3 3 2 2 2" xfId="19020" xr:uid="{58712FF0-3564-4DC8-9D82-BD0DD7710CCC}"/>
    <cellStyle name="Normal 2 3 3 2 2 2 10" xfId="19021" xr:uid="{019DE693-A62B-44BE-B1CC-0AEB8D7CC1D4}"/>
    <cellStyle name="Normal 2 3 3 2 2 2 11" xfId="19022" xr:uid="{6F503DC2-322D-42AC-BEA4-9E9616AF482F}"/>
    <cellStyle name="Normal 2 3 3 2 2 2 12" xfId="19023" xr:uid="{B73AC26C-EFD2-4A0A-BC9E-02FF5D592294}"/>
    <cellStyle name="Normal 2 3 3 2 2 2 13" xfId="19024" xr:uid="{068EE84A-7B3E-40B2-9B52-CCE19E801049}"/>
    <cellStyle name="Normal 2 3 3 2 2 2 14" xfId="19025" xr:uid="{BCE8A059-8BFD-4D0B-B5C8-5847F973B6AE}"/>
    <cellStyle name="Normal 2 3 3 2 2 2 15" xfId="19026" xr:uid="{43C6FF8B-6BFF-4E6D-A3DB-B6AB46A543AA}"/>
    <cellStyle name="Normal 2 3 3 2 2 2 2" xfId="19027" xr:uid="{2CC0B3C3-50E6-4BC1-AFB8-B77A7145FD8B}"/>
    <cellStyle name="Normal 2 3 3 2 2 2 2 10" xfId="19028" xr:uid="{55569018-6707-4E85-9231-DC227F3D55BF}"/>
    <cellStyle name="Normal 2 3 3 2 2 2 2 11" xfId="19029" xr:uid="{27BB5B0B-2912-4763-B2AB-DBC56FEEEFCE}"/>
    <cellStyle name="Normal 2 3 3 2 2 2 2 12" xfId="19030" xr:uid="{3DCB645C-807F-42FE-B3E4-C631C0E8ABF9}"/>
    <cellStyle name="Normal 2 3 3 2 2 2 2 2" xfId="19031" xr:uid="{E80CCE7B-9CB3-4BD3-B82B-1D8469D62887}"/>
    <cellStyle name="Normal 2 3 3 2 2 2 2 2 10" xfId="19032" xr:uid="{49431372-1ECD-44EB-AEE3-A8998F509A11}"/>
    <cellStyle name="Normal 2 3 3 2 2 2 2 2 11" xfId="19033" xr:uid="{63BCE028-A568-4D19-A8DB-32B5CFAE7148}"/>
    <cellStyle name="Normal 2 3 3 2 2 2 2 2 12" xfId="19034" xr:uid="{6AB49A29-CB9E-4C43-AA4B-73B44B92785E}"/>
    <cellStyle name="Normal 2 3 3 2 2 2 2 2 2" xfId="19035" xr:uid="{7E6C8F53-BAC6-4546-981B-A8A321912139}"/>
    <cellStyle name="Normal 2 3 3 2 2 2 2 2 2 2" xfId="19036" xr:uid="{04F58EA6-D02A-4ACA-9DA1-DBE36A98B209}"/>
    <cellStyle name="Normal 2 3 3 2 2 2 2 2 2 2 2" xfId="19037" xr:uid="{DE07F517-7CB2-4C19-92F2-8BEE703AE750}"/>
    <cellStyle name="Normal 2 3 3 2 2 2 2 2 2 2 2 2" xfId="19038" xr:uid="{E14E18AD-271A-411F-9575-F51CFBDB6E0A}"/>
    <cellStyle name="Normal 2 3 3 2 2 2 2 2 2 2 2 2 2" xfId="19039" xr:uid="{875B2EE5-F9F9-4B80-847A-0580938EBC82}"/>
    <cellStyle name="Normal 2 3 3 2 2 2 2 2 2 2 2 2 3" xfId="19040" xr:uid="{939D46D9-B19A-43C1-8BC3-B8DA0BA5F3E0}"/>
    <cellStyle name="Normal 2 3 3 2 2 2 2 2 2 2 2 2 4" xfId="19041" xr:uid="{9B74E537-D9D1-4D69-BB2E-5178738E4FC6}"/>
    <cellStyle name="Normal 2 3 3 2 2 2 2 2 2 2 2 2 5" xfId="19042" xr:uid="{EAA2A0B1-EA37-4271-858A-B7E06C9B82F2}"/>
    <cellStyle name="Normal 2 3 3 2 2 2 2 2 2 2 2 2 6" xfId="19043" xr:uid="{696BAA63-7493-4CD4-BF1D-966DC715F033}"/>
    <cellStyle name="Normal 2 3 3 2 2 2 2 2 2 2 2 3" xfId="19044" xr:uid="{3660652E-F2DD-4F8C-830C-718BA31BD2F3}"/>
    <cellStyle name="Normal 2 3 3 2 2 2 2 2 2 2 2 4" xfId="19045" xr:uid="{F5B676CC-8050-4938-B15C-A52C4A58F263}"/>
    <cellStyle name="Normal 2 3 3 2 2 2 2 2 2 2 2 5" xfId="19046" xr:uid="{E27DB71D-F1F0-4ED3-B09D-E4539A595361}"/>
    <cellStyle name="Normal 2 3 3 2 2 2 2 2 2 2 2 6" xfId="19047" xr:uid="{E0932774-E995-495F-AAB4-1D50F1B1A096}"/>
    <cellStyle name="Normal 2 3 3 2 2 2 2 2 2 2 3" xfId="19048" xr:uid="{BAAC2DAB-6F3B-48C5-ACA7-5E2E8D46D6BC}"/>
    <cellStyle name="Normal 2 3 3 2 2 2 2 2 2 2 4" xfId="19049" xr:uid="{A14A8401-2BDD-46C5-A029-C0AD1C117972}"/>
    <cellStyle name="Normal 2 3 3 2 2 2 2 2 2 2 5" xfId="19050" xr:uid="{110D55F9-4280-409E-9DE6-1D3E07FDD787}"/>
    <cellStyle name="Normal 2 3 3 2 2 2 2 2 2 2 6" xfId="19051" xr:uid="{CE31AD9C-4A6E-44FF-BEB4-56B1B23C0589}"/>
    <cellStyle name="Normal 2 3 3 2 2 2 2 2 2 2 7" xfId="19052" xr:uid="{792A998D-62EB-4DB5-A447-201A43928538}"/>
    <cellStyle name="Normal 2 3 3 2 2 2 2 2 2 2 8" xfId="19053" xr:uid="{0565229A-2A54-4C1F-8950-42EDE4FF92BC}"/>
    <cellStyle name="Normal 2 3 3 2 2 2 2 2 2 2 9" xfId="19054" xr:uid="{E8A6E28D-5C13-4F5F-9A9D-802A57789E6E}"/>
    <cellStyle name="Normal 2 3 3 2 2 2 2 2 2 3" xfId="19055" xr:uid="{381EEFDD-935F-45F1-A1B0-B571203E6899}"/>
    <cellStyle name="Normal 2 3 3 2 2 2 2 2 2 3 2" xfId="19056" xr:uid="{7BFAB8F0-87B2-4513-B9C4-B467A2465216}"/>
    <cellStyle name="Normal 2 3 3 2 2 2 2 2 2 3 2 2" xfId="19057" xr:uid="{BB54D71B-0A41-4013-B617-0EE6E5B2CA8D}"/>
    <cellStyle name="Normal 2 3 3 2 2 2 2 2 2 3 2 3" xfId="19058" xr:uid="{28339055-19B5-44E4-89C4-0BFBBA98EA91}"/>
    <cellStyle name="Normal 2 3 3 2 2 2 2 2 2 3 2 4" xfId="19059" xr:uid="{EEE5B0B2-F06C-4CE8-A62D-F5D56D925315}"/>
    <cellStyle name="Normal 2 3 3 2 2 2 2 2 2 3 2 5" xfId="19060" xr:uid="{6665759B-705B-42BA-A50B-D33C91CA9FDB}"/>
    <cellStyle name="Normal 2 3 3 2 2 2 2 2 2 3 2 6" xfId="19061" xr:uid="{E9544666-BBA5-46F5-9A0E-851C23665080}"/>
    <cellStyle name="Normal 2 3 3 2 2 2 2 2 2 3 3" xfId="19062" xr:uid="{591EF910-CAA2-4E75-8263-539AC1F108B9}"/>
    <cellStyle name="Normal 2 3 3 2 2 2 2 2 2 3 4" xfId="19063" xr:uid="{DAB6F0AA-7ECB-479A-AAA8-DB202EBD4682}"/>
    <cellStyle name="Normal 2 3 3 2 2 2 2 2 2 3 5" xfId="19064" xr:uid="{FEBDFC66-847B-4CC1-951D-28B8BEBE6079}"/>
    <cellStyle name="Normal 2 3 3 2 2 2 2 2 2 3 6" xfId="19065" xr:uid="{C92DD35D-83B6-4E18-9BFC-A739083261ED}"/>
    <cellStyle name="Normal 2 3 3 2 2 2 2 2 2 4" xfId="19066" xr:uid="{3847B90A-7CCB-4225-9D54-75191F5FE6B1}"/>
    <cellStyle name="Normal 2 3 3 2 2 2 2 2 2 5" xfId="19067" xr:uid="{FF575A12-AAE3-40DD-8B02-72D2F33661B5}"/>
    <cellStyle name="Normal 2 3 3 2 2 2 2 2 2 6" xfId="19068" xr:uid="{3E863F34-77A6-40C7-A100-71DF8A4A05EC}"/>
    <cellStyle name="Normal 2 3 3 2 2 2 2 2 2 7" xfId="19069" xr:uid="{A0CFC8D6-E58B-49A6-AE1D-C98A2E621D68}"/>
    <cellStyle name="Normal 2 3 3 2 2 2 2 2 2 8" xfId="19070" xr:uid="{57F9D9A4-CE65-45F5-96B1-706690CF216E}"/>
    <cellStyle name="Normal 2 3 3 2 2 2 2 2 2 9" xfId="19071" xr:uid="{AC867960-DB1F-4CA9-A96C-ACE4547B46BE}"/>
    <cellStyle name="Normal 2 3 3 2 2 2 2 2 3" xfId="19072" xr:uid="{9A1CE32C-89C1-4EAA-85A3-2063768D6E5C}"/>
    <cellStyle name="Normal 2 3 3 2 2 2 2 2 4" xfId="19073" xr:uid="{008ABC13-DAF2-41F4-A560-523C75C2D68E}"/>
    <cellStyle name="Normal 2 3 3 2 2 2 2 2 5" xfId="19074" xr:uid="{A4DFF4F6-EADC-4C33-AE59-89230F148DF6}"/>
    <cellStyle name="Normal 2 3 3 2 2 2 2 2 5 2" xfId="19075" xr:uid="{35C24D07-D300-4079-8C6F-8110B8B1824D}"/>
    <cellStyle name="Normal 2 3 3 2 2 2 2 2 5 2 2" xfId="19076" xr:uid="{1F9BF3BB-D9D7-4AEC-97D6-4FF1DF2F9227}"/>
    <cellStyle name="Normal 2 3 3 2 2 2 2 2 5 2 3" xfId="19077" xr:uid="{4DA1B437-5227-439F-9B0F-8D289804FE0A}"/>
    <cellStyle name="Normal 2 3 3 2 2 2 2 2 5 2 4" xfId="19078" xr:uid="{A20A3B57-8A15-4579-868A-152E633C1131}"/>
    <cellStyle name="Normal 2 3 3 2 2 2 2 2 5 2 5" xfId="19079" xr:uid="{51B6D524-AB9A-4F7F-8AF1-033C995FA45A}"/>
    <cellStyle name="Normal 2 3 3 2 2 2 2 2 5 2 6" xfId="19080" xr:uid="{CAEBFBD8-BEE4-4E02-A326-353F7E924E4D}"/>
    <cellStyle name="Normal 2 3 3 2 2 2 2 2 5 3" xfId="19081" xr:uid="{A339BB79-3CA8-435D-99A1-A8E93EE1C852}"/>
    <cellStyle name="Normal 2 3 3 2 2 2 2 2 5 4" xfId="19082" xr:uid="{819671E7-84C3-425B-A87B-18AFDDEF847A}"/>
    <cellStyle name="Normal 2 3 3 2 2 2 2 2 5 5" xfId="19083" xr:uid="{7FE76007-3035-4D54-AC91-A11A1DBE9820}"/>
    <cellStyle name="Normal 2 3 3 2 2 2 2 2 5 6" xfId="19084" xr:uid="{8756284D-DC14-4326-9095-83B2E3BA8621}"/>
    <cellStyle name="Normal 2 3 3 2 2 2 2 2 6" xfId="19085" xr:uid="{E2835779-0B5F-4869-A82B-878EDAC7FD78}"/>
    <cellStyle name="Normal 2 3 3 2 2 2 2 2 7" xfId="19086" xr:uid="{C3C5EBB2-49F4-4D9C-8F7E-A16C4C8B4CF8}"/>
    <cellStyle name="Normal 2 3 3 2 2 2 2 2 8" xfId="19087" xr:uid="{D1597A99-0D70-4D76-8EF8-791F752039DD}"/>
    <cellStyle name="Normal 2 3 3 2 2 2 2 2 9" xfId="19088" xr:uid="{B251EC51-FF8D-4D20-92CB-EC4597B96B50}"/>
    <cellStyle name="Normal 2 3 3 2 2 2 2 3" xfId="19089" xr:uid="{485F69BC-18A2-46D0-9699-4D8E42088BD8}"/>
    <cellStyle name="Normal 2 3 3 2 2 2 2 3 2" xfId="19090" xr:uid="{3522B32C-617A-4347-9313-2512B186F806}"/>
    <cellStyle name="Normal 2 3 3 2 2 2 2 3 2 2" xfId="19091" xr:uid="{2B6104EF-516F-4676-B3C8-4B26415904D9}"/>
    <cellStyle name="Normal 2 3 3 2 2 2 2 3 2 2 2" xfId="19092" xr:uid="{F2F73E17-EA39-4D87-91B7-DD09FA57EE60}"/>
    <cellStyle name="Normal 2 3 3 2 2 2 2 3 2 2 2 2" xfId="19093" xr:uid="{FB13BD42-A5EE-4AB9-89B9-8E9781C32020}"/>
    <cellStyle name="Normal 2 3 3 2 2 2 2 3 2 2 2 3" xfId="19094" xr:uid="{6F303D9A-277A-4860-8A0A-30C0628E58B2}"/>
    <cellStyle name="Normal 2 3 3 2 2 2 2 3 2 2 2 4" xfId="19095" xr:uid="{B626A0B9-AEE7-4D7A-BF41-E5F61DAEBDA8}"/>
    <cellStyle name="Normal 2 3 3 2 2 2 2 3 2 2 2 5" xfId="19096" xr:uid="{D3C03661-5801-499B-A5DA-72F8DD7B1DCB}"/>
    <cellStyle name="Normal 2 3 3 2 2 2 2 3 2 2 2 6" xfId="19097" xr:uid="{1D377426-356C-4CBD-965B-18B05D1F37EF}"/>
    <cellStyle name="Normal 2 3 3 2 2 2 2 3 2 2 3" xfId="19098" xr:uid="{CAB67E77-48B7-4301-A64B-4330EBFE44A4}"/>
    <cellStyle name="Normal 2 3 3 2 2 2 2 3 2 2 4" xfId="19099" xr:uid="{E780BE1F-0717-43BF-9C98-15571736CFE4}"/>
    <cellStyle name="Normal 2 3 3 2 2 2 2 3 2 2 5" xfId="19100" xr:uid="{8BE9159C-B0BA-4235-BA7C-973EED795E75}"/>
    <cellStyle name="Normal 2 3 3 2 2 2 2 3 2 2 6" xfId="19101" xr:uid="{E4E405BA-194B-4D54-A9A2-6F2DE93E97A8}"/>
    <cellStyle name="Normal 2 3 3 2 2 2 2 3 2 3" xfId="19102" xr:uid="{5E18B9F3-ADC8-4F79-A682-7B2373B62219}"/>
    <cellStyle name="Normal 2 3 3 2 2 2 2 3 2 4" xfId="19103" xr:uid="{A8F5A995-DD21-42DF-8FE5-C01A9ECBC194}"/>
    <cellStyle name="Normal 2 3 3 2 2 2 2 3 2 5" xfId="19104" xr:uid="{86C837D8-A140-49DE-8241-31F25E95E3A9}"/>
    <cellStyle name="Normal 2 3 3 2 2 2 2 3 2 6" xfId="19105" xr:uid="{B4C8337F-704B-47A9-8742-9C51ADB3F977}"/>
    <cellStyle name="Normal 2 3 3 2 2 2 2 3 2 7" xfId="19106" xr:uid="{0DD7804D-251E-47AD-AD88-A1E70B9D1870}"/>
    <cellStyle name="Normal 2 3 3 2 2 2 2 3 2 8" xfId="19107" xr:uid="{04344B65-6A36-46E9-B2EB-0C39ABFCE8A2}"/>
    <cellStyle name="Normal 2 3 3 2 2 2 2 3 2 9" xfId="19108" xr:uid="{784F6BF3-4BC5-45F0-9229-8BA1D3A11C13}"/>
    <cellStyle name="Normal 2 3 3 2 2 2 2 3 3" xfId="19109" xr:uid="{FA82AB3D-49CA-4A41-A3F7-07EB9E413B96}"/>
    <cellStyle name="Normal 2 3 3 2 2 2 2 3 3 2" xfId="19110" xr:uid="{5DC6FD6E-02ED-4897-9EE4-772262493E23}"/>
    <cellStyle name="Normal 2 3 3 2 2 2 2 3 3 2 2" xfId="19111" xr:uid="{D181E6F8-DC78-440E-B714-AFAD4DA029EE}"/>
    <cellStyle name="Normal 2 3 3 2 2 2 2 3 3 2 3" xfId="19112" xr:uid="{5499364C-46D2-43D9-86CA-06D532A9DCD6}"/>
    <cellStyle name="Normal 2 3 3 2 2 2 2 3 3 2 4" xfId="19113" xr:uid="{49084727-ACE2-4BFA-8E1F-4E55C088FC9C}"/>
    <cellStyle name="Normal 2 3 3 2 2 2 2 3 3 2 5" xfId="19114" xr:uid="{5F3973D8-A867-4F77-8027-E643DB5197B5}"/>
    <cellStyle name="Normal 2 3 3 2 2 2 2 3 3 2 6" xfId="19115" xr:uid="{949FA86F-01D5-4E35-BC33-802F0A733F6B}"/>
    <cellStyle name="Normal 2 3 3 2 2 2 2 3 3 3" xfId="19116" xr:uid="{8AE87ECB-02FD-4700-8B67-677D4817C013}"/>
    <cellStyle name="Normal 2 3 3 2 2 2 2 3 3 4" xfId="19117" xr:uid="{3F448648-4EEC-4AB0-BD9A-E5306AA0E728}"/>
    <cellStyle name="Normal 2 3 3 2 2 2 2 3 3 5" xfId="19118" xr:uid="{D78DBED8-251E-4B21-8D40-83F61BCF5250}"/>
    <cellStyle name="Normal 2 3 3 2 2 2 2 3 3 6" xfId="19119" xr:uid="{1BC1C597-D3CC-4B2D-9A93-2045DB5442AE}"/>
    <cellStyle name="Normal 2 3 3 2 2 2 2 3 4" xfId="19120" xr:uid="{7C2B12EB-0D58-45E8-BFA6-0A979C1FE067}"/>
    <cellStyle name="Normal 2 3 3 2 2 2 2 3 5" xfId="19121" xr:uid="{F2B15226-E6D9-437A-8403-88A7C6238CD4}"/>
    <cellStyle name="Normal 2 3 3 2 2 2 2 3 6" xfId="19122" xr:uid="{9AFD437D-670F-4225-9033-EC8D297B9A81}"/>
    <cellStyle name="Normal 2 3 3 2 2 2 2 3 7" xfId="19123" xr:uid="{9EC3303D-65E4-4745-A8F3-3B77B771485C}"/>
    <cellStyle name="Normal 2 3 3 2 2 2 2 3 8" xfId="19124" xr:uid="{77053EB9-1DEE-4105-A863-DAD0DE0FA2A9}"/>
    <cellStyle name="Normal 2 3 3 2 2 2 2 3 9" xfId="19125" xr:uid="{70A4680E-D4BD-4781-9271-538ED8336871}"/>
    <cellStyle name="Normal 2 3 3 2 2 2 2 4" xfId="19126" xr:uid="{7CB45555-354A-4F44-8B3C-D1108DC42A36}"/>
    <cellStyle name="Normal 2 3 3 2 2 2 2 5" xfId="19127" xr:uid="{154776B8-594F-4A1F-8FE6-3770ED89057F}"/>
    <cellStyle name="Normal 2 3 3 2 2 2 2 5 2" xfId="19128" xr:uid="{BA0DE106-814B-4D64-8BDE-CC613018A5F5}"/>
    <cellStyle name="Normal 2 3 3 2 2 2 2 5 2 2" xfId="19129" xr:uid="{55009CAF-83DA-4DFD-BD18-E83E93FEF979}"/>
    <cellStyle name="Normal 2 3 3 2 2 2 2 5 2 3" xfId="19130" xr:uid="{97A33D37-2F53-4579-A738-2C5C6D944F2C}"/>
    <cellStyle name="Normal 2 3 3 2 2 2 2 5 2 4" xfId="19131" xr:uid="{7F0C7ADA-AF93-4DD6-9E52-2B60EF78B235}"/>
    <cellStyle name="Normal 2 3 3 2 2 2 2 5 2 5" xfId="19132" xr:uid="{35F2FC50-F491-4357-AAE0-F24EEF45E540}"/>
    <cellStyle name="Normal 2 3 3 2 2 2 2 5 2 6" xfId="19133" xr:uid="{AA6F368E-E61C-4559-A378-E139B7DD1B89}"/>
    <cellStyle name="Normal 2 3 3 2 2 2 2 5 3" xfId="19134" xr:uid="{D29F7501-F938-4B88-B003-A272B38BCD55}"/>
    <cellStyle name="Normal 2 3 3 2 2 2 2 5 4" xfId="19135" xr:uid="{9C35C8C2-4941-49C3-9247-F55B34369326}"/>
    <cellStyle name="Normal 2 3 3 2 2 2 2 5 5" xfId="19136" xr:uid="{34BCA679-C5B2-4DA2-B06D-A756A1F5C352}"/>
    <cellStyle name="Normal 2 3 3 2 2 2 2 5 6" xfId="19137" xr:uid="{C398DAC4-26FE-4A57-BE31-B802D703896D}"/>
    <cellStyle name="Normal 2 3 3 2 2 2 2 6" xfId="19138" xr:uid="{36615AF8-02B4-4502-95E6-A0CDF78E4F39}"/>
    <cellStyle name="Normal 2 3 3 2 2 2 2 7" xfId="19139" xr:uid="{724C1385-92FF-4395-8AA3-FBC6C853C9A9}"/>
    <cellStyle name="Normal 2 3 3 2 2 2 2 8" xfId="19140" xr:uid="{FEDC4E3E-CFE4-4E95-95A9-B291D18F1B1C}"/>
    <cellStyle name="Normal 2 3 3 2 2 2 2 9" xfId="19141" xr:uid="{BF2AE3EA-0427-4F16-BE73-D046E966F5CE}"/>
    <cellStyle name="Normal 2 3 3 2 2 2 3" xfId="19142" xr:uid="{E27423B0-6A49-4983-BF7F-B60BE0ED69B5}"/>
    <cellStyle name="Normal 2 3 3 2 2 2 4" xfId="19143" xr:uid="{A8710E16-F10B-4B9A-AB50-E764A4CBE464}"/>
    <cellStyle name="Normal 2 3 3 2 2 2 5" xfId="19144" xr:uid="{3FC3D046-7B80-4711-929C-ABFAF3D43205}"/>
    <cellStyle name="Normal 2 3 3 2 2 2 5 2" xfId="19145" xr:uid="{FE8947C9-F55C-4BD8-A81B-8348FF6A878F}"/>
    <cellStyle name="Normal 2 3 3 2 2 2 5 2 2" xfId="19146" xr:uid="{D3D900C5-96F0-4096-84B7-6E32CFE574CE}"/>
    <cellStyle name="Normal 2 3 3 2 2 2 5 2 2 2" xfId="19147" xr:uid="{4F5AF8BA-8633-40A8-BA60-0AFABF1D8AF4}"/>
    <cellStyle name="Normal 2 3 3 2 2 2 5 2 2 2 2" xfId="19148" xr:uid="{54BF9030-7A65-4BF1-B12E-9CA807B27FED}"/>
    <cellStyle name="Normal 2 3 3 2 2 2 5 2 2 2 3" xfId="19149" xr:uid="{6AB4793D-FB5D-4585-877A-AE2EC97DCA8E}"/>
    <cellStyle name="Normal 2 3 3 2 2 2 5 2 2 2 4" xfId="19150" xr:uid="{52E24935-64DE-47D2-8F73-D4DEAC57188E}"/>
    <cellStyle name="Normal 2 3 3 2 2 2 5 2 2 2 5" xfId="19151" xr:uid="{4BBF59FB-0F1C-41BF-AFE7-70BC479F44BA}"/>
    <cellStyle name="Normal 2 3 3 2 2 2 5 2 2 2 6" xfId="19152" xr:uid="{B9D6500D-FF0B-4051-9742-15B4F31C256E}"/>
    <cellStyle name="Normal 2 3 3 2 2 2 5 2 2 3" xfId="19153" xr:uid="{3A2434E0-FB94-415C-AA95-EE3653836FA4}"/>
    <cellStyle name="Normal 2 3 3 2 2 2 5 2 2 4" xfId="19154" xr:uid="{AE76B12E-A3AC-41F8-8EA8-FDE9BB620F29}"/>
    <cellStyle name="Normal 2 3 3 2 2 2 5 2 2 5" xfId="19155" xr:uid="{E6A90A0D-D033-413D-B562-FD64DA7A4516}"/>
    <cellStyle name="Normal 2 3 3 2 2 2 5 2 2 6" xfId="19156" xr:uid="{5C1F062C-46E4-403E-9DFD-7BA73B1C70F9}"/>
    <cellStyle name="Normal 2 3 3 2 2 2 5 2 3" xfId="19157" xr:uid="{05797DA0-AD0C-40CE-B27F-1E2436E8AB00}"/>
    <cellStyle name="Normal 2 3 3 2 2 2 5 2 4" xfId="19158" xr:uid="{84A5EF51-6C35-4D91-A6DB-120698B262D4}"/>
    <cellStyle name="Normal 2 3 3 2 2 2 5 2 5" xfId="19159" xr:uid="{9F2B0A79-2AED-4127-A317-65497ABEBD41}"/>
    <cellStyle name="Normal 2 3 3 2 2 2 5 2 6" xfId="19160" xr:uid="{FE00B88E-DD6D-479C-9601-1437D33D1F11}"/>
    <cellStyle name="Normal 2 3 3 2 2 2 5 2 7" xfId="19161" xr:uid="{E8D4C94B-EC37-4B11-8782-6DEF65300694}"/>
    <cellStyle name="Normal 2 3 3 2 2 2 5 2 8" xfId="19162" xr:uid="{63F1C97E-7164-4FEF-896D-1676DD4DB8D5}"/>
    <cellStyle name="Normal 2 3 3 2 2 2 5 2 9" xfId="19163" xr:uid="{F932F621-5F82-49C1-A451-1745416091FF}"/>
    <cellStyle name="Normal 2 3 3 2 2 2 5 3" xfId="19164" xr:uid="{B548B954-9A88-42CE-8BA2-4D4EABE1FCC6}"/>
    <cellStyle name="Normal 2 3 3 2 2 2 5 3 2" xfId="19165" xr:uid="{444A5857-338F-4B31-BE09-1700F97A6D82}"/>
    <cellStyle name="Normal 2 3 3 2 2 2 5 3 2 2" xfId="19166" xr:uid="{B472E975-F244-4AB1-A0B4-EFE3EBACDEBF}"/>
    <cellStyle name="Normal 2 3 3 2 2 2 5 3 2 3" xfId="19167" xr:uid="{3ABE453F-268C-4D7E-BC11-2EBAB12A08B3}"/>
    <cellStyle name="Normal 2 3 3 2 2 2 5 3 2 4" xfId="19168" xr:uid="{77B81A48-1421-4274-A1CA-46CF8C2EBD0B}"/>
    <cellStyle name="Normal 2 3 3 2 2 2 5 3 2 5" xfId="19169" xr:uid="{14B532F1-7852-4644-B8E5-126B153FECBA}"/>
    <cellStyle name="Normal 2 3 3 2 2 2 5 3 2 6" xfId="19170" xr:uid="{91C8F3AD-9B86-4265-8D54-7A7496644D3C}"/>
    <cellStyle name="Normal 2 3 3 2 2 2 5 3 3" xfId="19171" xr:uid="{236C61B8-15B0-4C55-912E-4C4D4F4CF646}"/>
    <cellStyle name="Normal 2 3 3 2 2 2 5 3 4" xfId="19172" xr:uid="{53824F17-7B8A-4F44-B929-B1BAD86031F7}"/>
    <cellStyle name="Normal 2 3 3 2 2 2 5 3 5" xfId="19173" xr:uid="{FDE18DC2-0D97-4270-8D05-739C581673A3}"/>
    <cellStyle name="Normal 2 3 3 2 2 2 5 3 6" xfId="19174" xr:uid="{C029A901-ACA2-4F67-97B5-0A059FDE3256}"/>
    <cellStyle name="Normal 2 3 3 2 2 2 5 4" xfId="19175" xr:uid="{FE76AB90-D1AA-48D6-B96A-DF601D0CAD0A}"/>
    <cellStyle name="Normal 2 3 3 2 2 2 5 5" xfId="19176" xr:uid="{724F46A4-0B9F-49A8-B2D2-97D80D04744B}"/>
    <cellStyle name="Normal 2 3 3 2 2 2 5 6" xfId="19177" xr:uid="{DD9A0239-77D0-48FD-A868-CD2B37993A3D}"/>
    <cellStyle name="Normal 2 3 3 2 2 2 5 7" xfId="19178" xr:uid="{C9B1DB81-D2DA-40F2-AD6D-5FFED1884AF7}"/>
    <cellStyle name="Normal 2 3 3 2 2 2 5 8" xfId="19179" xr:uid="{42833071-CC49-4695-BB3E-E20CB48378F7}"/>
    <cellStyle name="Normal 2 3 3 2 2 2 5 9" xfId="19180" xr:uid="{599979A8-5235-4CBF-8BE6-65403757AD03}"/>
    <cellStyle name="Normal 2 3 3 2 2 2 6" xfId="19181" xr:uid="{1B5FE9B4-5021-465F-8BBD-302617AA8F27}"/>
    <cellStyle name="Normal 2 3 3 2 2 2 7" xfId="19182" xr:uid="{A8A9A40C-700E-4EF6-937C-9A3DFB585DCD}"/>
    <cellStyle name="Normal 2 3 3 2 2 2 8" xfId="19183" xr:uid="{E4F837C1-4BC6-4356-AA1F-1028234B8F46}"/>
    <cellStyle name="Normal 2 3 3 2 2 2 8 2" xfId="19184" xr:uid="{2E0E2BD6-8CC3-489C-ACF2-C267192F519D}"/>
    <cellStyle name="Normal 2 3 3 2 2 2 8 2 2" xfId="19185" xr:uid="{25F937BC-9FD7-4828-8561-CF305C2F4904}"/>
    <cellStyle name="Normal 2 3 3 2 2 2 8 2 3" xfId="19186" xr:uid="{3D9CFDF6-8E7D-430A-BC43-9179D3F4FDFA}"/>
    <cellStyle name="Normal 2 3 3 2 2 2 8 2 4" xfId="19187" xr:uid="{D41053E5-937A-4781-B76B-89CCCAEE382B}"/>
    <cellStyle name="Normal 2 3 3 2 2 2 8 2 5" xfId="19188" xr:uid="{B1768F4E-3FD0-4371-9A18-742DCACB359F}"/>
    <cellStyle name="Normal 2 3 3 2 2 2 8 2 6" xfId="19189" xr:uid="{4B2DBD19-2930-4F40-B907-1CAFCAA2F2E1}"/>
    <cellStyle name="Normal 2 3 3 2 2 2 8 3" xfId="19190" xr:uid="{34CCCFC7-AAC5-4BDE-9EA4-600CB7B7B521}"/>
    <cellStyle name="Normal 2 3 3 2 2 2 8 4" xfId="19191" xr:uid="{E2D57BB3-5541-41C1-AA7B-9ADD61BC1BFD}"/>
    <cellStyle name="Normal 2 3 3 2 2 2 8 5" xfId="19192" xr:uid="{8D96C33D-9DDE-4A24-906B-0543BB25FCF6}"/>
    <cellStyle name="Normal 2 3 3 2 2 2 8 6" xfId="19193" xr:uid="{4DB990C2-E6A9-4281-86A0-89318703221E}"/>
    <cellStyle name="Normal 2 3 3 2 2 2 9" xfId="19194" xr:uid="{FF3FC641-DB69-4224-88E7-0E78F651AE4E}"/>
    <cellStyle name="Normal 2 3 3 2 2 3" xfId="19195" xr:uid="{45726A41-0F04-47AA-A9CD-40F2CBD7D208}"/>
    <cellStyle name="Normal 2 3 3 2 2 3 10" xfId="19196" xr:uid="{7022A9FD-3F2B-444F-A9C3-50B82F108751}"/>
    <cellStyle name="Normal 2 3 3 2 2 3 11" xfId="19197" xr:uid="{4FFD0C18-AF4E-4F71-8FF8-ADAAAC4CC875}"/>
    <cellStyle name="Normal 2 3 3 2 2 3 12" xfId="19198" xr:uid="{96C5135A-588B-462B-B510-A697D5BE02B2}"/>
    <cellStyle name="Normal 2 3 3 2 2 3 2" xfId="19199" xr:uid="{C4EB1CC0-F09B-4900-BB29-8C137BC01317}"/>
    <cellStyle name="Normal 2 3 3 2 2 3 2 10" xfId="19200" xr:uid="{1C6757F5-9C60-46FE-AD87-81383F4BACC7}"/>
    <cellStyle name="Normal 2 3 3 2 2 3 2 11" xfId="19201" xr:uid="{46F3AA3C-5C66-4729-AD21-FDD0170F33FE}"/>
    <cellStyle name="Normal 2 3 3 2 2 3 2 12" xfId="19202" xr:uid="{3316C13E-E869-4343-B781-FE379FE6F4B5}"/>
    <cellStyle name="Normal 2 3 3 2 2 3 2 2" xfId="19203" xr:uid="{FF1EA9D3-DF04-429D-8525-E5F19719297C}"/>
    <cellStyle name="Normal 2 3 3 2 2 3 2 2 2" xfId="19204" xr:uid="{5A3BAF23-9883-40C1-8C8A-07817569B440}"/>
    <cellStyle name="Normal 2 3 3 2 2 3 2 2 2 2" xfId="19205" xr:uid="{9777DF61-9DF2-40FB-B33E-4B66427FD677}"/>
    <cellStyle name="Normal 2 3 3 2 2 3 2 2 2 2 2" xfId="19206" xr:uid="{F745EB93-5A01-431E-A03C-66ADB2384884}"/>
    <cellStyle name="Normal 2 3 3 2 2 3 2 2 2 2 2 2" xfId="19207" xr:uid="{E38A995F-7775-405C-B2E6-5085A4452ECB}"/>
    <cellStyle name="Normal 2 3 3 2 2 3 2 2 2 2 2 3" xfId="19208" xr:uid="{85697C68-8993-46BE-B54A-722805A98A17}"/>
    <cellStyle name="Normal 2 3 3 2 2 3 2 2 2 2 2 4" xfId="19209" xr:uid="{04CB8D48-0C41-44CD-B0F3-0FE689B5BE37}"/>
    <cellStyle name="Normal 2 3 3 2 2 3 2 2 2 2 2 5" xfId="19210" xr:uid="{2657A0A4-0EC5-4935-AD82-AB67A098E473}"/>
    <cellStyle name="Normal 2 3 3 2 2 3 2 2 2 2 2 6" xfId="19211" xr:uid="{18A99585-AF59-4B76-BD6B-2F72A567DB22}"/>
    <cellStyle name="Normal 2 3 3 2 2 3 2 2 2 2 3" xfId="19212" xr:uid="{D3401477-211B-47E0-9CF8-6897B9395006}"/>
    <cellStyle name="Normal 2 3 3 2 2 3 2 2 2 2 4" xfId="19213" xr:uid="{F9C153E1-768A-4E1E-AFD4-34DAFD5971EF}"/>
    <cellStyle name="Normal 2 3 3 2 2 3 2 2 2 2 5" xfId="19214" xr:uid="{71944D89-A0BA-4023-B9E5-861DFC0075E4}"/>
    <cellStyle name="Normal 2 3 3 2 2 3 2 2 2 2 6" xfId="19215" xr:uid="{9A4097B0-82A2-4CAE-9DE0-7C0784B43469}"/>
    <cellStyle name="Normal 2 3 3 2 2 3 2 2 2 3" xfId="19216" xr:uid="{E0BADDD4-C9A3-42D0-BA3B-AD9CFBABFD70}"/>
    <cellStyle name="Normal 2 3 3 2 2 3 2 2 2 4" xfId="19217" xr:uid="{59C0CB35-D02E-4868-87A8-83877F4B8D84}"/>
    <cellStyle name="Normal 2 3 3 2 2 3 2 2 2 5" xfId="19218" xr:uid="{ECEED96E-A157-4CAC-AEE3-7944F7DA97EC}"/>
    <cellStyle name="Normal 2 3 3 2 2 3 2 2 2 6" xfId="19219" xr:uid="{CDEA1D79-D017-4962-90E3-CD735DA2AE59}"/>
    <cellStyle name="Normal 2 3 3 2 2 3 2 2 2 7" xfId="19220" xr:uid="{63BDBDB7-EDFC-4E80-9D48-63B621D34C5E}"/>
    <cellStyle name="Normal 2 3 3 2 2 3 2 2 2 8" xfId="19221" xr:uid="{8619073E-4F52-4B19-9158-22F6C9EFC820}"/>
    <cellStyle name="Normal 2 3 3 2 2 3 2 2 2 9" xfId="19222" xr:uid="{D5EFBD8B-F116-4EED-83BD-7B02F618974B}"/>
    <cellStyle name="Normal 2 3 3 2 2 3 2 2 3" xfId="19223" xr:uid="{616E5A9E-AC2B-4720-9EBB-5AB609D500ED}"/>
    <cellStyle name="Normal 2 3 3 2 2 3 2 2 3 2" xfId="19224" xr:uid="{4D1A719E-4E28-4755-9B9F-0985A2FD63F4}"/>
    <cellStyle name="Normal 2 3 3 2 2 3 2 2 3 2 2" xfId="19225" xr:uid="{9FDE9B87-FCBC-414E-8B26-4721198129E8}"/>
    <cellStyle name="Normal 2 3 3 2 2 3 2 2 3 2 3" xfId="19226" xr:uid="{063B21E8-E54C-41AF-8158-FDC4BEF656F0}"/>
    <cellStyle name="Normal 2 3 3 2 2 3 2 2 3 2 4" xfId="19227" xr:uid="{12CD99BC-007F-42D2-A392-55766008628E}"/>
    <cellStyle name="Normal 2 3 3 2 2 3 2 2 3 2 5" xfId="19228" xr:uid="{BD9C5576-DCF7-4637-998C-D2DE2B01B4FE}"/>
    <cellStyle name="Normal 2 3 3 2 2 3 2 2 3 2 6" xfId="19229" xr:uid="{67A5C9DF-31BC-44C9-8726-1BC4FDA41801}"/>
    <cellStyle name="Normal 2 3 3 2 2 3 2 2 3 3" xfId="19230" xr:uid="{04F4A901-17FB-4B74-924F-BE482C275DAE}"/>
    <cellStyle name="Normal 2 3 3 2 2 3 2 2 3 4" xfId="19231" xr:uid="{DCD762A9-CAA8-449D-91C2-CE40B9B5C94A}"/>
    <cellStyle name="Normal 2 3 3 2 2 3 2 2 3 5" xfId="19232" xr:uid="{8F25648B-2348-4E76-88BF-C930BF3AE53C}"/>
    <cellStyle name="Normal 2 3 3 2 2 3 2 2 3 6" xfId="19233" xr:uid="{F98A3514-C94D-47BD-B2D0-995FD3B36950}"/>
    <cellStyle name="Normal 2 3 3 2 2 3 2 2 4" xfId="19234" xr:uid="{11C1B345-0878-47E2-8842-DF8965AD648E}"/>
    <cellStyle name="Normal 2 3 3 2 2 3 2 2 5" xfId="19235" xr:uid="{E5B398B4-D36B-40EF-8F65-9D50E36ABEC6}"/>
    <cellStyle name="Normal 2 3 3 2 2 3 2 2 6" xfId="19236" xr:uid="{47BC45E9-247D-44FA-8A1E-301D981B15BD}"/>
    <cellStyle name="Normal 2 3 3 2 2 3 2 2 7" xfId="19237" xr:uid="{C86D3629-A811-4B62-9E77-3EEA869EF2A9}"/>
    <cellStyle name="Normal 2 3 3 2 2 3 2 2 8" xfId="19238" xr:uid="{0CF6F235-AE6F-4D4A-8093-19AA0C60EAA3}"/>
    <cellStyle name="Normal 2 3 3 2 2 3 2 2 9" xfId="19239" xr:uid="{FDB4A445-9B65-4EC7-BA9F-2F60D13BCB81}"/>
    <cellStyle name="Normal 2 3 3 2 2 3 2 3" xfId="19240" xr:uid="{00B73667-26E1-4FE7-A7CC-83199BCD24C3}"/>
    <cellStyle name="Normal 2 3 3 2 2 3 2 4" xfId="19241" xr:uid="{989AE999-2CD7-4D4A-A035-DC6177925FDE}"/>
    <cellStyle name="Normal 2 3 3 2 2 3 2 5" xfId="19242" xr:uid="{D8A08B28-9390-4DF8-A55A-E59DC5B1B477}"/>
    <cellStyle name="Normal 2 3 3 2 2 3 2 5 2" xfId="19243" xr:uid="{78992093-1278-4AE9-B9E4-AE1EFA5C6ED5}"/>
    <cellStyle name="Normal 2 3 3 2 2 3 2 5 2 2" xfId="19244" xr:uid="{AC01F59A-A0A8-4D39-9942-9CCCEF2B1080}"/>
    <cellStyle name="Normal 2 3 3 2 2 3 2 5 2 3" xfId="19245" xr:uid="{450CA6EB-F634-4088-B826-375105C3A2E9}"/>
    <cellStyle name="Normal 2 3 3 2 2 3 2 5 2 4" xfId="19246" xr:uid="{6D71D227-F44C-47E8-9FF9-94709F41BF04}"/>
    <cellStyle name="Normal 2 3 3 2 2 3 2 5 2 5" xfId="19247" xr:uid="{F2E2C5FA-66AE-4BB9-B689-2ABD39F1D457}"/>
    <cellStyle name="Normal 2 3 3 2 2 3 2 5 2 6" xfId="19248" xr:uid="{C2D10630-D679-45AF-AB2F-D8F0F26EFA90}"/>
    <cellStyle name="Normal 2 3 3 2 2 3 2 5 3" xfId="19249" xr:uid="{07A240DC-489F-4CBE-AB88-C4867035EDB4}"/>
    <cellStyle name="Normal 2 3 3 2 2 3 2 5 4" xfId="19250" xr:uid="{60364390-9C34-474C-A296-25765CE495C1}"/>
    <cellStyle name="Normal 2 3 3 2 2 3 2 5 5" xfId="19251" xr:uid="{EDF08C38-E8B5-4E27-AB5D-1033C3EA4325}"/>
    <cellStyle name="Normal 2 3 3 2 2 3 2 5 6" xfId="19252" xr:uid="{525570C1-4502-4678-86AF-3162A6D57E51}"/>
    <cellStyle name="Normal 2 3 3 2 2 3 2 6" xfId="19253" xr:uid="{B95AE0CA-8AF9-4031-90F2-0E861DEDE11B}"/>
    <cellStyle name="Normal 2 3 3 2 2 3 2 7" xfId="19254" xr:uid="{D61F38B3-79B9-4563-BC2B-C86777E9CF1E}"/>
    <cellStyle name="Normal 2 3 3 2 2 3 2 8" xfId="19255" xr:uid="{F87CEB0C-51DD-4FEB-8B6B-7833A84FDF88}"/>
    <cellStyle name="Normal 2 3 3 2 2 3 2 9" xfId="19256" xr:uid="{EB84B75A-8FF9-4688-AE6F-6F04CFBA892E}"/>
    <cellStyle name="Normal 2 3 3 2 2 3 3" xfId="19257" xr:uid="{96D6C3A0-1384-4EE5-A825-9DDC6F2F55EB}"/>
    <cellStyle name="Normal 2 3 3 2 2 3 3 2" xfId="19258" xr:uid="{7D77749F-6E74-4F59-B20A-2FE67FDA4699}"/>
    <cellStyle name="Normal 2 3 3 2 2 3 3 2 2" xfId="19259" xr:uid="{21518773-346C-466F-B037-38BC4F81E1A9}"/>
    <cellStyle name="Normal 2 3 3 2 2 3 3 2 2 2" xfId="19260" xr:uid="{FB4AA0BF-59D6-4284-98D5-EAC8522B5026}"/>
    <cellStyle name="Normal 2 3 3 2 2 3 3 2 2 2 2" xfId="19261" xr:uid="{91CAD5DA-76E2-419A-94CA-551B78F90638}"/>
    <cellStyle name="Normal 2 3 3 2 2 3 3 2 2 2 3" xfId="19262" xr:uid="{692F885C-423F-4864-8318-37088B472A24}"/>
    <cellStyle name="Normal 2 3 3 2 2 3 3 2 2 2 4" xfId="19263" xr:uid="{429C0FDB-5569-4CA7-942C-F9AF2D9BCCA1}"/>
    <cellStyle name="Normal 2 3 3 2 2 3 3 2 2 2 5" xfId="19264" xr:uid="{5A50F7B7-02DB-4DAF-90FB-9774BFC74BDA}"/>
    <cellStyle name="Normal 2 3 3 2 2 3 3 2 2 2 6" xfId="19265" xr:uid="{472A547C-5259-4D17-AA3F-4C45D58215B0}"/>
    <cellStyle name="Normal 2 3 3 2 2 3 3 2 2 3" xfId="19266" xr:uid="{87D2A158-3897-45C5-8F2E-CF89732E88E9}"/>
    <cellStyle name="Normal 2 3 3 2 2 3 3 2 2 4" xfId="19267" xr:uid="{28704A30-B0D4-438B-88E9-FB53543DBF64}"/>
    <cellStyle name="Normal 2 3 3 2 2 3 3 2 2 5" xfId="19268" xr:uid="{3F21E7ED-D386-49D8-BC0B-8FF2247C3A52}"/>
    <cellStyle name="Normal 2 3 3 2 2 3 3 2 2 6" xfId="19269" xr:uid="{78F4F38E-FA72-4E98-8221-BA436ACFE3A0}"/>
    <cellStyle name="Normal 2 3 3 2 2 3 3 2 3" xfId="19270" xr:uid="{342FCF46-09B4-41C2-AC59-71B0D8EB38A5}"/>
    <cellStyle name="Normal 2 3 3 2 2 3 3 2 4" xfId="19271" xr:uid="{6D2E1338-CF55-4E5E-82AC-7211476A3FA2}"/>
    <cellStyle name="Normal 2 3 3 2 2 3 3 2 5" xfId="19272" xr:uid="{625A92CC-6EFA-4B41-94D9-05193D5656BE}"/>
    <cellStyle name="Normal 2 3 3 2 2 3 3 2 6" xfId="19273" xr:uid="{590BEDF6-884F-45B3-8D96-EA77FD294E0C}"/>
    <cellStyle name="Normal 2 3 3 2 2 3 3 2 7" xfId="19274" xr:uid="{7E045693-4731-4852-BABC-D8AA38D6F00C}"/>
    <cellStyle name="Normal 2 3 3 2 2 3 3 2 8" xfId="19275" xr:uid="{4C49B5C2-AF0F-4BB0-8F8B-8AA0449217C5}"/>
    <cellStyle name="Normal 2 3 3 2 2 3 3 2 9" xfId="19276" xr:uid="{D747F293-BE15-4A55-B26B-9CADDD35B29F}"/>
    <cellStyle name="Normal 2 3 3 2 2 3 3 3" xfId="19277" xr:uid="{16578372-68DA-4796-A2BD-F5274D047352}"/>
    <cellStyle name="Normal 2 3 3 2 2 3 3 3 2" xfId="19278" xr:uid="{90D3AD04-D357-40CF-B8C2-5E4F539CC263}"/>
    <cellStyle name="Normal 2 3 3 2 2 3 3 3 2 2" xfId="19279" xr:uid="{D3970AE4-72FC-4D2B-A20F-537A25BB5CA7}"/>
    <cellStyle name="Normal 2 3 3 2 2 3 3 3 2 3" xfId="19280" xr:uid="{C45625A1-211A-4D8F-B38C-CC45C7328609}"/>
    <cellStyle name="Normal 2 3 3 2 2 3 3 3 2 4" xfId="19281" xr:uid="{3B0EE9DA-0AAE-40C5-BD73-3B1113DF09CC}"/>
    <cellStyle name="Normal 2 3 3 2 2 3 3 3 2 5" xfId="19282" xr:uid="{19419B1A-0BD3-41DD-A6DB-DC9EAF36A7D3}"/>
    <cellStyle name="Normal 2 3 3 2 2 3 3 3 2 6" xfId="19283" xr:uid="{CF49B618-1DBD-42A3-85B0-1596F5A0D1A3}"/>
    <cellStyle name="Normal 2 3 3 2 2 3 3 3 3" xfId="19284" xr:uid="{7AED86A5-B60A-487B-90F2-3B5790D069FD}"/>
    <cellStyle name="Normal 2 3 3 2 2 3 3 3 4" xfId="19285" xr:uid="{C04AC00E-AF89-44F9-A9B6-8DA23D34D258}"/>
    <cellStyle name="Normal 2 3 3 2 2 3 3 3 5" xfId="19286" xr:uid="{4DF3A33C-62B4-4793-BD31-39CAB6F436D8}"/>
    <cellStyle name="Normal 2 3 3 2 2 3 3 3 6" xfId="19287" xr:uid="{3503D3CA-DCCA-40DE-B86B-4F8F10D7AC9D}"/>
    <cellStyle name="Normal 2 3 3 2 2 3 3 4" xfId="19288" xr:uid="{1CBC1A6E-89D8-4461-B610-FF210B3D1F33}"/>
    <cellStyle name="Normal 2 3 3 2 2 3 3 5" xfId="19289" xr:uid="{295AB09F-19D8-425A-BBD7-682F6DADEA68}"/>
    <cellStyle name="Normal 2 3 3 2 2 3 3 6" xfId="19290" xr:uid="{A15724F9-1BD8-4AA2-86FB-B82948E82B64}"/>
    <cellStyle name="Normal 2 3 3 2 2 3 3 7" xfId="19291" xr:uid="{35064BF5-4AED-4BAA-9ED8-A897F918D3B9}"/>
    <cellStyle name="Normal 2 3 3 2 2 3 3 8" xfId="19292" xr:uid="{92BBDB7A-540E-4B0C-8CB2-A60F85DA7F7B}"/>
    <cellStyle name="Normal 2 3 3 2 2 3 3 9" xfId="19293" xr:uid="{87FA7744-3F4E-4FD4-A119-7DAE52302FB6}"/>
    <cellStyle name="Normal 2 3 3 2 2 3 4" xfId="19294" xr:uid="{7A81A747-300A-4C17-91C6-9EDB5E053311}"/>
    <cellStyle name="Normal 2 3 3 2 2 3 5" xfId="19295" xr:uid="{8F22BE25-FED7-4B55-951B-2C37BD210FDA}"/>
    <cellStyle name="Normal 2 3 3 2 2 3 5 2" xfId="19296" xr:uid="{8AA5E68B-9430-47C4-B7D3-250601BF19C9}"/>
    <cellStyle name="Normal 2 3 3 2 2 3 5 2 2" xfId="19297" xr:uid="{6AC63ED0-951F-4F7C-B1BF-78C8BF4993F6}"/>
    <cellStyle name="Normal 2 3 3 2 2 3 5 2 3" xfId="19298" xr:uid="{BEB50455-BEF3-49CB-8F8A-43AAA3C1EF68}"/>
    <cellStyle name="Normal 2 3 3 2 2 3 5 2 4" xfId="19299" xr:uid="{EAEEF65D-9A12-4963-AAFA-4918A2FEE616}"/>
    <cellStyle name="Normal 2 3 3 2 2 3 5 2 5" xfId="19300" xr:uid="{E65E180B-1E84-4FCC-AA86-2CDE95525FC7}"/>
    <cellStyle name="Normal 2 3 3 2 2 3 5 2 6" xfId="19301" xr:uid="{6475C219-FC52-4B26-9E62-A60187DFFA5D}"/>
    <cellStyle name="Normal 2 3 3 2 2 3 5 3" xfId="19302" xr:uid="{ADC8CFEB-DD4F-496E-9A79-7022927C4FBA}"/>
    <cellStyle name="Normal 2 3 3 2 2 3 5 4" xfId="19303" xr:uid="{15175B2A-022E-44D4-87EA-C9C5E6D3F2C5}"/>
    <cellStyle name="Normal 2 3 3 2 2 3 5 5" xfId="19304" xr:uid="{37F115D2-6CB0-4A39-AADD-FC1AAC3CF09F}"/>
    <cellStyle name="Normal 2 3 3 2 2 3 5 6" xfId="19305" xr:uid="{27F80E0B-D0C4-4E40-B503-A84B4B4E3430}"/>
    <cellStyle name="Normal 2 3 3 2 2 3 6" xfId="19306" xr:uid="{666F74DA-5883-4F78-B275-EFF1A6E6AAEC}"/>
    <cellStyle name="Normal 2 3 3 2 2 3 7" xfId="19307" xr:uid="{21DA4056-67C8-4868-9CEA-033D4ECC427A}"/>
    <cellStyle name="Normal 2 3 3 2 2 3 8" xfId="19308" xr:uid="{5A1E3469-28D8-4F24-B78D-2790BCD9F447}"/>
    <cellStyle name="Normal 2 3 3 2 2 3 9" xfId="19309" xr:uid="{1CA25E32-0DBB-45AA-845B-FF532CDB0838}"/>
    <cellStyle name="Normal 2 3 3 2 2 4" xfId="19310" xr:uid="{921618FC-31DD-4011-AE41-753D52CCBBE3}"/>
    <cellStyle name="Normal 2 3 3 2 2 5" xfId="19311" xr:uid="{D4CD7F73-DD56-4A34-B971-9C9A727E786D}"/>
    <cellStyle name="Normal 2 3 3 2 2 5 2" xfId="19312" xr:uid="{66C5A2AF-1ADE-4A05-AB5F-358382E44762}"/>
    <cellStyle name="Normal 2 3 3 2 2 5 2 2" xfId="19313" xr:uid="{D2BBE7AE-AE4B-4495-B82E-05B406AD18DA}"/>
    <cellStyle name="Normal 2 3 3 2 2 5 2 2 2" xfId="19314" xr:uid="{B59B8680-351B-4C77-A1B5-8283D3312F66}"/>
    <cellStyle name="Normal 2 3 3 2 2 5 2 2 2 2" xfId="19315" xr:uid="{77638C1D-63FA-43A1-9823-1D9B3C93FCD6}"/>
    <cellStyle name="Normal 2 3 3 2 2 5 2 2 2 3" xfId="19316" xr:uid="{C20640A5-558F-4BD7-A243-C46B4BAB775C}"/>
    <cellStyle name="Normal 2 3 3 2 2 5 2 2 2 4" xfId="19317" xr:uid="{396A5DAD-B925-4EEB-8B6E-E39BFCB752D7}"/>
    <cellStyle name="Normal 2 3 3 2 2 5 2 2 2 5" xfId="19318" xr:uid="{85B74ABB-4A75-497A-913E-1D9A736042F5}"/>
    <cellStyle name="Normal 2 3 3 2 2 5 2 2 2 6" xfId="19319" xr:uid="{E21D95E9-1352-453B-BA59-A2C3BF87C363}"/>
    <cellStyle name="Normal 2 3 3 2 2 5 2 2 3" xfId="19320" xr:uid="{53E5F47A-2781-4190-AE3D-6E17CEEDB88E}"/>
    <cellStyle name="Normal 2 3 3 2 2 5 2 2 4" xfId="19321" xr:uid="{D3D4F585-1678-4113-8906-0491BE2E2F5A}"/>
    <cellStyle name="Normal 2 3 3 2 2 5 2 2 5" xfId="19322" xr:uid="{66C43EB3-9347-464C-8D89-78C93D4DB958}"/>
    <cellStyle name="Normal 2 3 3 2 2 5 2 2 6" xfId="19323" xr:uid="{E7F83E0F-20D7-4C4D-A840-7B4AB55B9C92}"/>
    <cellStyle name="Normal 2 3 3 2 2 5 2 3" xfId="19324" xr:uid="{444255F9-2449-43CF-BBAB-FD156D0C6E9C}"/>
    <cellStyle name="Normal 2 3 3 2 2 5 2 4" xfId="19325" xr:uid="{EEF6F51A-4298-4F8B-9025-DBC6981A3511}"/>
    <cellStyle name="Normal 2 3 3 2 2 5 2 5" xfId="19326" xr:uid="{53438068-CCCB-4112-B9C0-3F7B48ACCBF9}"/>
    <cellStyle name="Normal 2 3 3 2 2 5 2 6" xfId="19327" xr:uid="{02CBAB5B-CECE-4BE6-9864-1AEC66419DD6}"/>
    <cellStyle name="Normal 2 3 3 2 2 5 2 7" xfId="19328" xr:uid="{6DFAD599-6638-4104-9C4E-A816130946F1}"/>
    <cellStyle name="Normal 2 3 3 2 2 5 2 8" xfId="19329" xr:uid="{2A99A5B4-1D10-44B1-9337-D0DA27378A60}"/>
    <cellStyle name="Normal 2 3 3 2 2 5 2 9" xfId="19330" xr:uid="{2EADFA2A-19B7-483B-84E1-798F8C791451}"/>
    <cellStyle name="Normal 2 3 3 2 2 5 3" xfId="19331" xr:uid="{6ED8EAD1-E36D-4C5E-8B74-F8A7DE70FE68}"/>
    <cellStyle name="Normal 2 3 3 2 2 5 3 2" xfId="19332" xr:uid="{57F12622-541C-49E8-B741-FB32980265C1}"/>
    <cellStyle name="Normal 2 3 3 2 2 5 3 2 2" xfId="19333" xr:uid="{8ED5E5C8-E67F-421A-9D2A-6A685C419498}"/>
    <cellStyle name="Normal 2 3 3 2 2 5 3 2 3" xfId="19334" xr:uid="{3F1216ED-1435-41BF-9F8A-92FCC9A6DCC2}"/>
    <cellStyle name="Normal 2 3 3 2 2 5 3 2 4" xfId="19335" xr:uid="{3C9104B0-D534-472D-A0DF-2B616D63E6CF}"/>
    <cellStyle name="Normal 2 3 3 2 2 5 3 2 5" xfId="19336" xr:uid="{D06E0B85-69C3-4EC5-8D9E-F6D9927829D7}"/>
    <cellStyle name="Normal 2 3 3 2 2 5 3 2 6" xfId="19337" xr:uid="{D718EBD6-BA30-4818-8331-BB06EFFAA1FD}"/>
    <cellStyle name="Normal 2 3 3 2 2 5 3 3" xfId="19338" xr:uid="{EF8F957A-B46D-4B52-B14A-347CF2B00643}"/>
    <cellStyle name="Normal 2 3 3 2 2 5 3 4" xfId="19339" xr:uid="{7A36A81A-2C7F-4996-A46E-2B41F88B53D9}"/>
    <cellStyle name="Normal 2 3 3 2 2 5 3 5" xfId="19340" xr:uid="{2E626E18-FE8E-407B-B8BB-C7085B6A2C4D}"/>
    <cellStyle name="Normal 2 3 3 2 2 5 3 6" xfId="19341" xr:uid="{76287D71-3538-4189-9CF7-94C64BA801A3}"/>
    <cellStyle name="Normal 2 3 3 2 2 5 4" xfId="19342" xr:uid="{FA2842F4-4008-4102-8ADD-FCA3090A24B2}"/>
    <cellStyle name="Normal 2 3 3 2 2 5 5" xfId="19343" xr:uid="{CB3CF33E-6EF9-4EEE-B0C0-307FEA41D2FB}"/>
    <cellStyle name="Normal 2 3 3 2 2 5 6" xfId="19344" xr:uid="{4C08C76B-95FA-47E7-91C2-E6CBC759CF11}"/>
    <cellStyle name="Normal 2 3 3 2 2 5 7" xfId="19345" xr:uid="{1F007060-2A9C-490E-AB4D-5DFB65BB5DC7}"/>
    <cellStyle name="Normal 2 3 3 2 2 5 8" xfId="19346" xr:uid="{57AB5CE1-2CED-4A26-A53B-7EB90E7A2F4D}"/>
    <cellStyle name="Normal 2 3 3 2 2 5 9" xfId="19347" xr:uid="{FAD72E2B-3832-4605-A973-A209EB068BB1}"/>
    <cellStyle name="Normal 2 3 3 2 2 6" xfId="19348" xr:uid="{67CF7FEF-ED80-4595-AE91-D5E2D5979DB8}"/>
    <cellStyle name="Normal 2 3 3 2 2 7" xfId="19349" xr:uid="{32E5BD37-66C0-457B-845B-16C52B3F4BB6}"/>
    <cellStyle name="Normal 2 3 3 2 2 8" xfId="19350" xr:uid="{CFA93659-6F98-41E4-ABAC-2DCDA22E08F7}"/>
    <cellStyle name="Normal 2 3 3 2 2 8 2" xfId="19351" xr:uid="{022CED9C-62F1-40A9-829D-8417C4BAB5C1}"/>
    <cellStyle name="Normal 2 3 3 2 2 8 2 2" xfId="19352" xr:uid="{BAD5D829-7316-4362-954F-AC0834CFAE02}"/>
    <cellStyle name="Normal 2 3 3 2 2 8 2 3" xfId="19353" xr:uid="{E9E99DF5-F9F6-44C1-A8A7-2920992BA757}"/>
    <cellStyle name="Normal 2 3 3 2 2 8 2 4" xfId="19354" xr:uid="{2C48900A-144C-4B8E-8494-CEA0B48698F2}"/>
    <cellStyle name="Normal 2 3 3 2 2 8 2 5" xfId="19355" xr:uid="{5CD080A1-0AF7-4A8D-8157-515F71E60873}"/>
    <cellStyle name="Normal 2 3 3 2 2 8 2 6" xfId="19356" xr:uid="{99C0E5EF-9BBC-4652-AB0D-C654AF1E868A}"/>
    <cellStyle name="Normal 2 3 3 2 2 8 3" xfId="19357" xr:uid="{425EA524-3F54-4C59-8840-EC4E9945DD8E}"/>
    <cellStyle name="Normal 2 3 3 2 2 8 4" xfId="19358" xr:uid="{6C104898-92BE-4034-8E35-AD5B73D4B91D}"/>
    <cellStyle name="Normal 2 3 3 2 2 8 5" xfId="19359" xr:uid="{2DD549EB-34AC-4D63-8E34-08FD85D8A60F}"/>
    <cellStyle name="Normal 2 3 3 2 2 8 6" xfId="19360" xr:uid="{B1DE9BCE-464E-40ED-83A3-781ED190DC85}"/>
    <cellStyle name="Normal 2 3 3 2 2 9" xfId="19361" xr:uid="{A60EE2FF-1B84-4894-9EA3-7D9087E240B0}"/>
    <cellStyle name="Normal 2 3 3 2 3" xfId="19362" xr:uid="{C25236F1-6F2F-40EA-B37E-BE3BD8977A9A}"/>
    <cellStyle name="Normal 2 3 3 2 4" xfId="19363" xr:uid="{80A2337C-8687-478C-8160-3D349AB69776}"/>
    <cellStyle name="Normal 2 3 3 2 5" xfId="19364" xr:uid="{508ED5DA-AD3F-4A68-87B2-16B748B171C8}"/>
    <cellStyle name="Normal 2 3 3 2 5 10" xfId="19365" xr:uid="{99810239-4F5E-4936-A7E9-6857439A1531}"/>
    <cellStyle name="Normal 2 3 3 2 5 11" xfId="19366" xr:uid="{C13585A3-B0DA-440B-87EB-AF227465DA4B}"/>
    <cellStyle name="Normal 2 3 3 2 5 12" xfId="19367" xr:uid="{C12DED4B-DB9A-4925-AC2C-91972C60A5DF}"/>
    <cellStyle name="Normal 2 3 3 2 5 2" xfId="19368" xr:uid="{A5FFC14D-FDE5-48B5-9D7F-C174906F1009}"/>
    <cellStyle name="Normal 2 3 3 2 5 2 10" xfId="19369" xr:uid="{49BD5989-B47E-46D8-B849-9FF3045C07F1}"/>
    <cellStyle name="Normal 2 3 3 2 5 2 11" xfId="19370" xr:uid="{304BBA17-9302-4CD9-B747-A6295A87BA96}"/>
    <cellStyle name="Normal 2 3 3 2 5 2 12" xfId="19371" xr:uid="{AE8C59C9-D4A8-404B-B43F-32D46D428BBC}"/>
    <cellStyle name="Normal 2 3 3 2 5 2 2" xfId="19372" xr:uid="{50A95194-558F-4CD0-A420-C24D2D2DDDB6}"/>
    <cellStyle name="Normal 2 3 3 2 5 2 2 2" xfId="19373" xr:uid="{AD7A1F69-3351-4557-9F93-7BAC65D78D21}"/>
    <cellStyle name="Normal 2 3 3 2 5 2 2 2 2" xfId="19374" xr:uid="{A5689466-0905-4F09-879C-18A624308FC7}"/>
    <cellStyle name="Normal 2 3 3 2 5 2 2 2 2 2" xfId="19375" xr:uid="{7FE233F3-2EA2-4D19-BAC4-5D7404142F0B}"/>
    <cellStyle name="Normal 2 3 3 2 5 2 2 2 2 2 2" xfId="19376" xr:uid="{3EC607C2-045C-4882-945C-F361EBF53F3F}"/>
    <cellStyle name="Normal 2 3 3 2 5 2 2 2 2 2 3" xfId="19377" xr:uid="{F436B00B-4162-448E-AD44-F9B07DFD46CD}"/>
    <cellStyle name="Normal 2 3 3 2 5 2 2 2 2 2 4" xfId="19378" xr:uid="{487934ED-BCC5-4BE7-B63F-FD69F9F8568F}"/>
    <cellStyle name="Normal 2 3 3 2 5 2 2 2 2 2 5" xfId="19379" xr:uid="{D1309BD2-E48B-4BCE-BE92-5102C07AC2E8}"/>
    <cellStyle name="Normal 2 3 3 2 5 2 2 2 2 2 6" xfId="19380" xr:uid="{7B1EEB85-F4EE-47B8-8950-A90B797B8824}"/>
    <cellStyle name="Normal 2 3 3 2 5 2 2 2 2 3" xfId="19381" xr:uid="{9AF6BB34-E3E1-44FB-83B6-F8FD1A081815}"/>
    <cellStyle name="Normal 2 3 3 2 5 2 2 2 2 4" xfId="19382" xr:uid="{BD609A01-7715-46AC-8BA7-2DE2A3EF1B0B}"/>
    <cellStyle name="Normal 2 3 3 2 5 2 2 2 2 5" xfId="19383" xr:uid="{9807C693-317D-4000-956B-6558B7ACACF9}"/>
    <cellStyle name="Normal 2 3 3 2 5 2 2 2 2 6" xfId="19384" xr:uid="{BBC56D31-7989-4ABF-ACE7-BB901A867AE4}"/>
    <cellStyle name="Normal 2 3 3 2 5 2 2 2 3" xfId="19385" xr:uid="{09DCBA73-1C75-463E-B66D-501A51FD4AF7}"/>
    <cellStyle name="Normal 2 3 3 2 5 2 2 2 4" xfId="19386" xr:uid="{2EC6AEBF-CD9D-42A3-ADE9-E2E7FCAB4BDC}"/>
    <cellStyle name="Normal 2 3 3 2 5 2 2 2 5" xfId="19387" xr:uid="{ABEEA4DF-7241-4965-ADFB-E234F950D654}"/>
    <cellStyle name="Normal 2 3 3 2 5 2 2 2 6" xfId="19388" xr:uid="{FECC6190-5215-4368-B942-2144B8F46686}"/>
    <cellStyle name="Normal 2 3 3 2 5 2 2 2 7" xfId="19389" xr:uid="{CEC4A3E1-1DE2-4BBD-9A95-4EF4496ECDA9}"/>
    <cellStyle name="Normal 2 3 3 2 5 2 2 2 8" xfId="19390" xr:uid="{1AEA523E-B25F-490E-8A07-7297851CC0B9}"/>
    <cellStyle name="Normal 2 3 3 2 5 2 2 2 9" xfId="19391" xr:uid="{EA6703F8-13D5-49F1-9236-93CC90D057A0}"/>
    <cellStyle name="Normal 2 3 3 2 5 2 2 3" xfId="19392" xr:uid="{D06F9C3D-263E-4C3B-8ECF-4ECD89EE632B}"/>
    <cellStyle name="Normal 2 3 3 2 5 2 2 3 2" xfId="19393" xr:uid="{A1EDC00D-2C95-42E0-ABE8-F46B3700DA30}"/>
    <cellStyle name="Normal 2 3 3 2 5 2 2 3 2 2" xfId="19394" xr:uid="{71FF6D4E-B108-4C69-8AFE-0A343AF6AE3F}"/>
    <cellStyle name="Normal 2 3 3 2 5 2 2 3 2 3" xfId="19395" xr:uid="{F18BE7A2-CA9C-4060-9ECF-2D00D164A8FB}"/>
    <cellStyle name="Normal 2 3 3 2 5 2 2 3 2 4" xfId="19396" xr:uid="{902D89A4-E762-40B8-9428-6FAAF11982EC}"/>
    <cellStyle name="Normal 2 3 3 2 5 2 2 3 2 5" xfId="19397" xr:uid="{9626F655-1DEF-4C94-95EB-6F99B6F6BA52}"/>
    <cellStyle name="Normal 2 3 3 2 5 2 2 3 2 6" xfId="19398" xr:uid="{A74B4F98-AF4A-477D-885B-E7EA481FE995}"/>
    <cellStyle name="Normal 2 3 3 2 5 2 2 3 3" xfId="19399" xr:uid="{BB6814BF-D873-4BA5-91C6-DC87BDDC4892}"/>
    <cellStyle name="Normal 2 3 3 2 5 2 2 3 4" xfId="19400" xr:uid="{9CE6ED0A-3B34-4E39-96CA-61F1B181DB01}"/>
    <cellStyle name="Normal 2 3 3 2 5 2 2 3 5" xfId="19401" xr:uid="{EE0B0350-EEFC-4F49-A2B2-591E74F81490}"/>
    <cellStyle name="Normal 2 3 3 2 5 2 2 3 6" xfId="19402" xr:uid="{6F2B3F50-1DC0-4BF1-B458-EFF5797389D2}"/>
    <cellStyle name="Normal 2 3 3 2 5 2 2 4" xfId="19403" xr:uid="{BA62C0DF-4946-46AC-AD10-CEE4B47D11EF}"/>
    <cellStyle name="Normal 2 3 3 2 5 2 2 5" xfId="19404" xr:uid="{FD0FB067-C6D7-450F-8EDB-AF71F9DCF591}"/>
    <cellStyle name="Normal 2 3 3 2 5 2 2 6" xfId="19405" xr:uid="{D19A1DDA-3CE1-4E88-AA37-9D017769D082}"/>
    <cellStyle name="Normal 2 3 3 2 5 2 2 7" xfId="19406" xr:uid="{FE5296FE-CBBB-47BC-A2F5-D27520D13CD5}"/>
    <cellStyle name="Normal 2 3 3 2 5 2 2 8" xfId="19407" xr:uid="{9A8CF67C-36F4-474D-9890-F47528E0D354}"/>
    <cellStyle name="Normal 2 3 3 2 5 2 2 9" xfId="19408" xr:uid="{77DDA693-4892-423E-A10E-EB5162F6A424}"/>
    <cellStyle name="Normal 2 3 3 2 5 2 3" xfId="19409" xr:uid="{D3A66F13-D09B-4781-AC45-4F77BE45A9D3}"/>
    <cellStyle name="Normal 2 3 3 2 5 2 4" xfId="19410" xr:uid="{0F8070E1-F1B4-434D-8B4C-ACFB5102BA5A}"/>
    <cellStyle name="Normal 2 3 3 2 5 2 5" xfId="19411" xr:uid="{B8895808-3814-43EF-8AAE-98E5AB9C5645}"/>
    <cellStyle name="Normal 2 3 3 2 5 2 5 2" xfId="19412" xr:uid="{9B8EEE2C-5275-4117-8CAD-A3A6FA654AC0}"/>
    <cellStyle name="Normal 2 3 3 2 5 2 5 2 2" xfId="19413" xr:uid="{D58C97DA-93AC-4494-996B-E5C882D685AF}"/>
    <cellStyle name="Normal 2 3 3 2 5 2 5 2 3" xfId="19414" xr:uid="{E09ED0FA-C053-4ECB-AB68-377F1E9FD777}"/>
    <cellStyle name="Normal 2 3 3 2 5 2 5 2 4" xfId="19415" xr:uid="{22A262FE-ABCB-49EC-BB2F-38755F1AE47D}"/>
    <cellStyle name="Normal 2 3 3 2 5 2 5 2 5" xfId="19416" xr:uid="{7FB48E34-49E2-483E-BA21-3D993AED676E}"/>
    <cellStyle name="Normal 2 3 3 2 5 2 5 2 6" xfId="19417" xr:uid="{6DCC9379-D30F-4AF7-B4B1-34412C48FBC7}"/>
    <cellStyle name="Normal 2 3 3 2 5 2 5 3" xfId="19418" xr:uid="{A91D2F33-25E2-4AC2-86C7-6BCE0158B4FF}"/>
    <cellStyle name="Normal 2 3 3 2 5 2 5 4" xfId="19419" xr:uid="{D7D3BC97-7627-4EEF-BCF3-C9814C563671}"/>
    <cellStyle name="Normal 2 3 3 2 5 2 5 5" xfId="19420" xr:uid="{0B9E7844-0FE3-42DD-AC78-059573CDC010}"/>
    <cellStyle name="Normal 2 3 3 2 5 2 5 6" xfId="19421" xr:uid="{39FA3BAA-674F-494C-B9DE-D9236FF0B732}"/>
    <cellStyle name="Normal 2 3 3 2 5 2 6" xfId="19422" xr:uid="{A6B76458-B6E6-43BD-ACC8-A4DF6BA6F4CB}"/>
    <cellStyle name="Normal 2 3 3 2 5 2 7" xfId="19423" xr:uid="{8B229B8F-653F-454F-B2C9-C39B7C291A6D}"/>
    <cellStyle name="Normal 2 3 3 2 5 2 8" xfId="19424" xr:uid="{1D6E86B9-59DC-4FB6-8047-1D3EB1E859D5}"/>
    <cellStyle name="Normal 2 3 3 2 5 2 9" xfId="19425" xr:uid="{2B076419-A5D4-4B4F-AE7D-40E04C8439BB}"/>
    <cellStyle name="Normal 2 3 3 2 5 3" xfId="19426" xr:uid="{628F32B4-6390-41A0-A36E-8383B94318AD}"/>
    <cellStyle name="Normal 2 3 3 2 5 3 2" xfId="19427" xr:uid="{1298DA47-C417-4D26-AE7B-61C359F923D6}"/>
    <cellStyle name="Normal 2 3 3 2 5 3 2 2" xfId="19428" xr:uid="{B51B0238-CA70-4020-912F-82E7C131F58F}"/>
    <cellStyle name="Normal 2 3 3 2 5 3 2 2 2" xfId="19429" xr:uid="{E8E87975-C2B6-45FE-9A12-B40FED111296}"/>
    <cellStyle name="Normal 2 3 3 2 5 3 2 2 2 2" xfId="19430" xr:uid="{B4EDD31D-A71A-4F6D-BCD4-3928C28B2FAF}"/>
    <cellStyle name="Normal 2 3 3 2 5 3 2 2 2 3" xfId="19431" xr:uid="{8086FB84-F954-4FEE-8DDB-1B70235BE579}"/>
    <cellStyle name="Normal 2 3 3 2 5 3 2 2 2 4" xfId="19432" xr:uid="{8FE4FF95-45D4-434F-A191-C390078DB4D5}"/>
    <cellStyle name="Normal 2 3 3 2 5 3 2 2 2 5" xfId="19433" xr:uid="{D613D668-92AF-4A79-B551-5E8824E35913}"/>
    <cellStyle name="Normal 2 3 3 2 5 3 2 2 2 6" xfId="19434" xr:uid="{4456ADDC-AB0A-4DDC-8211-F787AFBF6E23}"/>
    <cellStyle name="Normal 2 3 3 2 5 3 2 2 3" xfId="19435" xr:uid="{2B80CC91-0B1A-4F0A-8170-5B0945F273FE}"/>
    <cellStyle name="Normal 2 3 3 2 5 3 2 2 4" xfId="19436" xr:uid="{71D8EF28-78FC-40D2-8EE8-60041E4D93BC}"/>
    <cellStyle name="Normal 2 3 3 2 5 3 2 2 5" xfId="19437" xr:uid="{FEB11A8B-E5EF-41C8-B767-024259D08ECD}"/>
    <cellStyle name="Normal 2 3 3 2 5 3 2 2 6" xfId="19438" xr:uid="{D157FA0C-C7C0-4BB7-84C0-B5ADF37767A0}"/>
    <cellStyle name="Normal 2 3 3 2 5 3 2 3" xfId="19439" xr:uid="{918B3C0B-96C7-48E2-B9E8-7848906B2229}"/>
    <cellStyle name="Normal 2 3 3 2 5 3 2 4" xfId="19440" xr:uid="{24483528-E46F-49BD-BAB2-D0BC72F58211}"/>
    <cellStyle name="Normal 2 3 3 2 5 3 2 5" xfId="19441" xr:uid="{934AFC25-C3CB-4973-A11F-9D3B69F52848}"/>
    <cellStyle name="Normal 2 3 3 2 5 3 2 6" xfId="19442" xr:uid="{47E4BC9A-CC21-4CA1-A156-C814E957534F}"/>
    <cellStyle name="Normal 2 3 3 2 5 3 2 7" xfId="19443" xr:uid="{AD277E6A-C5A5-4F72-9DFF-7069D9D7807B}"/>
    <cellStyle name="Normal 2 3 3 2 5 3 2 8" xfId="19444" xr:uid="{FA4DA1A7-5CAA-47CA-BED3-7820E826334D}"/>
    <cellStyle name="Normal 2 3 3 2 5 3 2 9" xfId="19445" xr:uid="{D248D4A6-1D01-4D4A-AA89-30D1A6475706}"/>
    <cellStyle name="Normal 2 3 3 2 5 3 3" xfId="19446" xr:uid="{6666052E-D33F-4ABB-9833-363D3859CA76}"/>
    <cellStyle name="Normal 2 3 3 2 5 3 3 2" xfId="19447" xr:uid="{30E4C701-4E91-4B67-9A61-9A995474FB70}"/>
    <cellStyle name="Normal 2 3 3 2 5 3 3 2 2" xfId="19448" xr:uid="{AEA6E1E1-91A4-4037-8F34-0846FAF3D949}"/>
    <cellStyle name="Normal 2 3 3 2 5 3 3 2 3" xfId="19449" xr:uid="{D2B5A6BC-7D47-4379-ACC7-B4947E65CE98}"/>
    <cellStyle name="Normal 2 3 3 2 5 3 3 2 4" xfId="19450" xr:uid="{0462EC57-217B-45D3-8F21-08A8C6E95B5A}"/>
    <cellStyle name="Normal 2 3 3 2 5 3 3 2 5" xfId="19451" xr:uid="{E61511D2-5D6E-4BFB-ADC8-6736F23FC1AB}"/>
    <cellStyle name="Normal 2 3 3 2 5 3 3 2 6" xfId="19452" xr:uid="{054DE11F-948A-440A-8393-BAE055FF9D03}"/>
    <cellStyle name="Normal 2 3 3 2 5 3 3 3" xfId="19453" xr:uid="{4E74465A-80A0-49DC-B105-0686D28F728B}"/>
    <cellStyle name="Normal 2 3 3 2 5 3 3 4" xfId="19454" xr:uid="{DE1A9597-18FE-4B62-AB51-BEBEBF5CB603}"/>
    <cellStyle name="Normal 2 3 3 2 5 3 3 5" xfId="19455" xr:uid="{82048988-B298-4F5B-8840-BD33FA2A1E91}"/>
    <cellStyle name="Normal 2 3 3 2 5 3 3 6" xfId="19456" xr:uid="{0341CD32-88A8-4ADD-B2B8-87E05861F57C}"/>
    <cellStyle name="Normal 2 3 3 2 5 3 4" xfId="19457" xr:uid="{C4B62FA6-EDA4-463D-8A25-BAB898D75C6A}"/>
    <cellStyle name="Normal 2 3 3 2 5 3 5" xfId="19458" xr:uid="{215EAF01-AD98-4203-9511-5FA197E5DD66}"/>
    <cellStyle name="Normal 2 3 3 2 5 3 6" xfId="19459" xr:uid="{B425F772-1932-4114-B224-D00908272A63}"/>
    <cellStyle name="Normal 2 3 3 2 5 3 7" xfId="19460" xr:uid="{85C8DF19-E3C2-47D4-A97F-222464AA2B43}"/>
    <cellStyle name="Normal 2 3 3 2 5 3 8" xfId="19461" xr:uid="{FDDA8C00-9872-43B3-9BFA-2EF2A9A5FC3E}"/>
    <cellStyle name="Normal 2 3 3 2 5 3 9" xfId="19462" xr:uid="{4A31F853-88FD-4421-B6E1-A9173298A681}"/>
    <cellStyle name="Normal 2 3 3 2 5 4" xfId="19463" xr:uid="{FA802719-7C33-4A42-8C0F-E38BBE0CBD3D}"/>
    <cellStyle name="Normal 2 3 3 2 5 5" xfId="19464" xr:uid="{70DC66F0-2749-44B9-8913-5040942C3C4B}"/>
    <cellStyle name="Normal 2 3 3 2 5 5 2" xfId="19465" xr:uid="{9EA6D8AC-892A-4181-A5E4-EEA15E0AC168}"/>
    <cellStyle name="Normal 2 3 3 2 5 5 2 2" xfId="19466" xr:uid="{0614D2BE-D8B0-4481-B674-66EA20D645C2}"/>
    <cellStyle name="Normal 2 3 3 2 5 5 2 3" xfId="19467" xr:uid="{2F780899-4BFA-48C3-9BBC-DA1751A07765}"/>
    <cellStyle name="Normal 2 3 3 2 5 5 2 4" xfId="19468" xr:uid="{2A1D5325-4929-4868-968F-622D800BEEC4}"/>
    <cellStyle name="Normal 2 3 3 2 5 5 2 5" xfId="19469" xr:uid="{C1BC4549-DBD2-4170-B831-77982D5647DD}"/>
    <cellStyle name="Normal 2 3 3 2 5 5 2 6" xfId="19470" xr:uid="{8C80C1D7-5777-485C-BA3D-A81E12B59ACB}"/>
    <cellStyle name="Normal 2 3 3 2 5 5 3" xfId="19471" xr:uid="{7B126684-6416-4846-B854-FEF311E839E3}"/>
    <cellStyle name="Normal 2 3 3 2 5 5 4" xfId="19472" xr:uid="{E98E2A32-1F6A-4434-9BBE-B9F27142ED7B}"/>
    <cellStyle name="Normal 2 3 3 2 5 5 5" xfId="19473" xr:uid="{A612DF18-6D51-4785-A010-D2685E9D0CA4}"/>
    <cellStyle name="Normal 2 3 3 2 5 5 6" xfId="19474" xr:uid="{0A932FA4-D832-4A8A-8952-B3D9EE63B590}"/>
    <cellStyle name="Normal 2 3 3 2 5 6" xfId="19475" xr:uid="{CAA1EC69-8356-4263-9D3B-13B7642821FC}"/>
    <cellStyle name="Normal 2 3 3 2 5 7" xfId="19476" xr:uid="{8017325D-5801-4519-B401-BBC7B893BEB5}"/>
    <cellStyle name="Normal 2 3 3 2 5 8" xfId="19477" xr:uid="{05AD5700-64DF-4595-82CE-2100957F4F5B}"/>
    <cellStyle name="Normal 2 3 3 2 5 9" xfId="19478" xr:uid="{5D6A5C97-93AC-457D-B13C-F0078054444B}"/>
    <cellStyle name="Normal 2 3 3 2 6" xfId="19479" xr:uid="{1EB12A39-6E6C-4188-BF64-A3E1CCE38763}"/>
    <cellStyle name="Normal 2 3 3 2 7" xfId="19480" xr:uid="{7A09ED0B-0E5F-4957-8FA3-7239327B37FD}"/>
    <cellStyle name="Normal 2 3 3 2 8" xfId="19481" xr:uid="{92E1AB78-0BF6-43A9-A705-446853A0FE23}"/>
    <cellStyle name="Normal 2 3 3 2 8 2" xfId="19482" xr:uid="{625E6A0D-F821-4771-B890-23EA5C61823F}"/>
    <cellStyle name="Normal 2 3 3 2 8 2 2" xfId="19483" xr:uid="{BA095EEC-9090-457E-9EBF-262896664B19}"/>
    <cellStyle name="Normal 2 3 3 2 8 2 2 2" xfId="19484" xr:uid="{75E8951B-4BCB-43E7-9485-15AB27EBDE0B}"/>
    <cellStyle name="Normal 2 3 3 2 8 2 2 2 2" xfId="19485" xr:uid="{6BB226A9-0896-4342-9F7B-E291ECE08CDA}"/>
    <cellStyle name="Normal 2 3 3 2 8 2 2 2 3" xfId="19486" xr:uid="{C4D81D23-1DEB-4D01-A822-BC44BE62814B}"/>
    <cellStyle name="Normal 2 3 3 2 8 2 2 2 4" xfId="19487" xr:uid="{8D23E83C-2EE7-439E-8CBE-D12805876642}"/>
    <cellStyle name="Normal 2 3 3 2 8 2 2 2 5" xfId="19488" xr:uid="{3FCDA9E7-89D3-4878-937F-9211087819DD}"/>
    <cellStyle name="Normal 2 3 3 2 8 2 2 2 6" xfId="19489" xr:uid="{0EF2A42C-9068-460E-8E4F-B302C97FF1B9}"/>
    <cellStyle name="Normal 2 3 3 2 8 2 2 3" xfId="19490" xr:uid="{611EA43E-6E25-4FD7-952C-78C1CC298A6A}"/>
    <cellStyle name="Normal 2 3 3 2 8 2 2 4" xfId="19491" xr:uid="{E11675BF-0692-4F59-B5C2-778C0E6ECB8B}"/>
    <cellStyle name="Normal 2 3 3 2 8 2 2 5" xfId="19492" xr:uid="{BB6C9F5C-5AA4-4CA5-97B9-88017D82468C}"/>
    <cellStyle name="Normal 2 3 3 2 8 2 2 6" xfId="19493" xr:uid="{580AF23B-7366-4D25-B07A-0ED52BDB6B32}"/>
    <cellStyle name="Normal 2 3 3 2 8 2 3" xfId="19494" xr:uid="{D69F9926-E3B7-4A03-9FDB-A1375388E897}"/>
    <cellStyle name="Normal 2 3 3 2 8 2 4" xfId="19495" xr:uid="{A9DAC40F-8C73-418D-9492-4B1F617E50E7}"/>
    <cellStyle name="Normal 2 3 3 2 8 2 5" xfId="19496" xr:uid="{4258B352-F568-41A7-B5B7-09FC5892A64A}"/>
    <cellStyle name="Normal 2 3 3 2 8 2 6" xfId="19497" xr:uid="{D6F335A4-EB61-420D-9945-10F6857AEF8A}"/>
    <cellStyle name="Normal 2 3 3 2 8 2 7" xfId="19498" xr:uid="{6F4FF107-5780-4C4D-BD52-E8EB01752CF5}"/>
    <cellStyle name="Normal 2 3 3 2 8 2 8" xfId="19499" xr:uid="{C2C4152D-B754-440F-9058-39697E742315}"/>
    <cellStyle name="Normal 2 3 3 2 8 2 9" xfId="19500" xr:uid="{86E41B9C-38E6-43CB-8A4F-592F71A95930}"/>
    <cellStyle name="Normal 2 3 3 2 8 3" xfId="19501" xr:uid="{E9F6E45D-FFE6-4234-9C85-F7C17E2921EE}"/>
    <cellStyle name="Normal 2 3 3 2 8 3 2" xfId="19502" xr:uid="{AE7F0743-61A4-46A4-BA19-8D7AE077F27E}"/>
    <cellStyle name="Normal 2 3 3 2 8 3 2 2" xfId="19503" xr:uid="{95AC3B5B-EC1F-4A6B-9024-319D16AF8C0E}"/>
    <cellStyle name="Normal 2 3 3 2 8 3 2 3" xfId="19504" xr:uid="{5AB383C3-BE75-4C34-B9F1-2DA821200805}"/>
    <cellStyle name="Normal 2 3 3 2 8 3 2 4" xfId="19505" xr:uid="{1C45B008-F1A2-40AE-A3E3-541D541C72E0}"/>
    <cellStyle name="Normal 2 3 3 2 8 3 2 5" xfId="19506" xr:uid="{C1736603-23D4-47EB-BDEF-C9FEF4013108}"/>
    <cellStyle name="Normal 2 3 3 2 8 3 2 6" xfId="19507" xr:uid="{827EF0E8-76BA-4F56-B284-CFC5C40BB1B3}"/>
    <cellStyle name="Normal 2 3 3 2 8 3 3" xfId="19508" xr:uid="{D46579E0-3C82-47B7-BB59-9143C90522AB}"/>
    <cellStyle name="Normal 2 3 3 2 8 3 4" xfId="19509" xr:uid="{B302D813-B2E3-4974-BE9F-ECE10085DDA6}"/>
    <cellStyle name="Normal 2 3 3 2 8 3 5" xfId="19510" xr:uid="{07C65F0B-1B2B-4B22-99E8-DE0F6130AF36}"/>
    <cellStyle name="Normal 2 3 3 2 8 3 6" xfId="19511" xr:uid="{B7ECB17A-0F4B-425A-A488-8E1E8029C9B9}"/>
    <cellStyle name="Normal 2 3 3 2 8 4" xfId="19512" xr:uid="{DB2877B8-92E7-4A4B-9AB1-88B12AE794BF}"/>
    <cellStyle name="Normal 2 3 3 2 8 5" xfId="19513" xr:uid="{F5618FB1-BFDD-4F49-8D76-63A2B6C130F2}"/>
    <cellStyle name="Normal 2 3 3 2 8 6" xfId="19514" xr:uid="{8308E1D0-803C-4A0A-8297-87D5D2144378}"/>
    <cellStyle name="Normal 2 3 3 2 8 7" xfId="19515" xr:uid="{E26A2F32-6556-4D0C-AB9A-3AEDD544DAE7}"/>
    <cellStyle name="Normal 2 3 3 2 8 8" xfId="19516" xr:uid="{C0413331-89FF-4B91-82A4-320CD9ABDFCB}"/>
    <cellStyle name="Normal 2 3 3 2 8 9" xfId="19517" xr:uid="{16192CEA-A878-4194-B8E8-5E6DA0E8C616}"/>
    <cellStyle name="Normal 2 3 3 2 9" xfId="19518" xr:uid="{27D63051-F73E-4390-8C51-3283E52D657D}"/>
    <cellStyle name="Normal 2 3 3 20" xfId="19519" xr:uid="{1395EFC1-CEF3-46C4-8D48-0C3C6D17AAC7}"/>
    <cellStyle name="Normal 2 3 3 21" xfId="19520" xr:uid="{1B80A681-D1C8-4784-B681-8ABBE9A6E68B}"/>
    <cellStyle name="Normal 2 3 3 22" xfId="19521" xr:uid="{199BF803-2D4E-4DAD-948C-4D69655656F1}"/>
    <cellStyle name="Normal 2 3 3 23" xfId="19522" xr:uid="{23C4CE33-01A5-45B7-B92A-EF432A8E9600}"/>
    <cellStyle name="Normal 2 3 3 24" xfId="19523" xr:uid="{038A57DB-520B-4D90-933D-BF115B665B0D}"/>
    <cellStyle name="Normal 2 3 3 3" xfId="19524" xr:uid="{E720987D-482E-4563-A923-646E2B4D3101}"/>
    <cellStyle name="Normal 2 3 3 3 10" xfId="19525" xr:uid="{514384CE-1584-4870-9FC1-D69B791930FD}"/>
    <cellStyle name="Normal 2 3 3 3 11" xfId="19526" xr:uid="{9582FE21-9956-4D86-8C2C-9C349898FE0F}"/>
    <cellStyle name="Normal 2 3 3 3 12" xfId="19527" xr:uid="{767C60D2-1704-4111-8128-A09E59032980}"/>
    <cellStyle name="Normal 2 3 3 3 13" xfId="19528" xr:uid="{728E50C9-8A5F-49B7-B644-A871AD8480D7}"/>
    <cellStyle name="Normal 2 3 3 3 14" xfId="19529" xr:uid="{07E4BA8C-C89D-4B77-AFFE-A0E08B8B331C}"/>
    <cellStyle name="Normal 2 3 3 3 15" xfId="19530" xr:uid="{7F46D53D-250A-4BC2-914E-6350A6EC9026}"/>
    <cellStyle name="Normal 2 3 3 3 16" xfId="19531" xr:uid="{FACD9FD1-5A0F-4E52-B156-4EDB9FBC1269}"/>
    <cellStyle name="Normal 2 3 3 3 17" xfId="19532" xr:uid="{546425EF-14FA-438E-9236-0CCFA4A1B200}"/>
    <cellStyle name="Normal 2 3 3 3 18" xfId="19533" xr:uid="{85F230C0-CFBC-4554-A9D3-DC7341609A12}"/>
    <cellStyle name="Normal 2 3 3 3 19" xfId="19534" xr:uid="{71498A49-10B3-47E4-AA56-C2190A7FC591}"/>
    <cellStyle name="Normal 2 3 3 3 2" xfId="19535" xr:uid="{F6F542D0-D7FC-4644-9F4B-F711261FE52F}"/>
    <cellStyle name="Normal 2 3 3 3 2 10" xfId="19536" xr:uid="{09C2E5BA-5ED8-4AC0-A18F-EC8685140C31}"/>
    <cellStyle name="Normal 2 3 3 3 2 11" xfId="19537" xr:uid="{B8E164C3-0005-41BB-9D6A-B8B6694E769F}"/>
    <cellStyle name="Normal 2 3 3 3 2 12" xfId="19538" xr:uid="{DDE1F1CF-A2C6-46BC-9BE5-CCFC2AEC340B}"/>
    <cellStyle name="Normal 2 3 3 3 2 13" xfId="19539" xr:uid="{3FA4CED1-8533-414A-B4C0-D5727A704E2C}"/>
    <cellStyle name="Normal 2 3 3 3 2 14" xfId="19540" xr:uid="{745E8BE9-BC14-4C6F-B801-CA50133797B7}"/>
    <cellStyle name="Normal 2 3 3 3 2 15" xfId="19541" xr:uid="{13E966F3-2FAF-4915-A068-016A849879CA}"/>
    <cellStyle name="Normal 2 3 3 3 2 2" xfId="19542" xr:uid="{19C33AB3-C778-4E50-9063-E3744CBB3CFD}"/>
    <cellStyle name="Normal 2 3 3 3 2 2 10" xfId="19543" xr:uid="{79DB005B-D8DE-4D60-821D-C909D227F435}"/>
    <cellStyle name="Normal 2 3 3 3 2 2 11" xfId="19544" xr:uid="{2A24B638-4BBC-4FE0-AA1D-DC64216227B1}"/>
    <cellStyle name="Normal 2 3 3 3 2 2 12" xfId="19545" xr:uid="{F59F7855-76E1-4257-98BB-F5C374514128}"/>
    <cellStyle name="Normal 2 3 3 3 2 2 2" xfId="19546" xr:uid="{E67CD91F-FF82-4F7C-8D42-6003D7ACCA41}"/>
    <cellStyle name="Normal 2 3 3 3 2 2 2 10" xfId="19547" xr:uid="{C277F171-2BCF-4439-9A25-DA5153547E1F}"/>
    <cellStyle name="Normal 2 3 3 3 2 2 2 11" xfId="19548" xr:uid="{16374E03-EEB1-42D6-9180-1EDD6DD15973}"/>
    <cellStyle name="Normal 2 3 3 3 2 2 2 12" xfId="19549" xr:uid="{58F30209-C59E-43E0-9471-1B817BE5DFC4}"/>
    <cellStyle name="Normal 2 3 3 3 2 2 2 2" xfId="19550" xr:uid="{EF8C4C47-7B41-4681-968A-5CCD402C1806}"/>
    <cellStyle name="Normal 2 3 3 3 2 2 2 2 2" xfId="19551" xr:uid="{5AEA03B9-4F0C-4AEB-8C6D-6EBCD22DF56C}"/>
    <cellStyle name="Normal 2 3 3 3 2 2 2 2 2 2" xfId="19552" xr:uid="{887AE344-C805-42C3-AB9C-5FDD20659CB0}"/>
    <cellStyle name="Normal 2 3 3 3 2 2 2 2 2 2 2" xfId="19553" xr:uid="{C3C5E234-592C-4C6C-B89D-55F9A685911F}"/>
    <cellStyle name="Normal 2 3 3 3 2 2 2 2 2 2 2 2" xfId="19554" xr:uid="{DE376878-65F9-4603-9499-146B5D7E27FD}"/>
    <cellStyle name="Normal 2 3 3 3 2 2 2 2 2 2 2 3" xfId="19555" xr:uid="{5F24CA24-2251-40C9-9B80-44AA9126F355}"/>
    <cellStyle name="Normal 2 3 3 3 2 2 2 2 2 2 2 4" xfId="19556" xr:uid="{0B78DD19-4980-4482-BDB5-5D7643354A72}"/>
    <cellStyle name="Normal 2 3 3 3 2 2 2 2 2 2 2 5" xfId="19557" xr:uid="{B733285C-7E57-4A21-BDB2-FC24D80FCE25}"/>
    <cellStyle name="Normal 2 3 3 3 2 2 2 2 2 2 2 6" xfId="19558" xr:uid="{3DBBBA5E-589B-4594-8B03-485C9B9215B1}"/>
    <cellStyle name="Normal 2 3 3 3 2 2 2 2 2 2 3" xfId="19559" xr:uid="{42FB12C8-947C-4C26-AD32-E05C2F9BC1BE}"/>
    <cellStyle name="Normal 2 3 3 3 2 2 2 2 2 2 4" xfId="19560" xr:uid="{2BE2EDFF-0B6B-4342-8185-005F83B55043}"/>
    <cellStyle name="Normal 2 3 3 3 2 2 2 2 2 2 5" xfId="19561" xr:uid="{6F0DB0E2-A54B-4E82-B4C3-AEE13F1704CA}"/>
    <cellStyle name="Normal 2 3 3 3 2 2 2 2 2 2 6" xfId="19562" xr:uid="{3A713A0E-85E2-4B02-B3E6-C8C8135B9759}"/>
    <cellStyle name="Normal 2 3 3 3 2 2 2 2 2 3" xfId="19563" xr:uid="{B51B9CD0-8492-4911-9C1A-7908E057A204}"/>
    <cellStyle name="Normal 2 3 3 3 2 2 2 2 2 4" xfId="19564" xr:uid="{5986B690-A5DE-424E-B2A0-DA2F5B53A7DE}"/>
    <cellStyle name="Normal 2 3 3 3 2 2 2 2 2 5" xfId="19565" xr:uid="{2FFDCC8A-49C5-4749-A9F3-380BC0799ACD}"/>
    <cellStyle name="Normal 2 3 3 3 2 2 2 2 2 6" xfId="19566" xr:uid="{9A4309EC-1512-45DE-AB7A-FF5BBAA4DD41}"/>
    <cellStyle name="Normal 2 3 3 3 2 2 2 2 2 7" xfId="19567" xr:uid="{C8ACBED0-6693-4801-A411-AA4A7DADD541}"/>
    <cellStyle name="Normal 2 3 3 3 2 2 2 2 2 8" xfId="19568" xr:uid="{B7A3A99E-0B5F-4FC5-B8E9-13C0082D25DA}"/>
    <cellStyle name="Normal 2 3 3 3 2 2 2 2 2 9" xfId="19569" xr:uid="{734AE61D-946B-4CF4-8EBB-FA044E533F36}"/>
    <cellStyle name="Normal 2 3 3 3 2 2 2 2 3" xfId="19570" xr:uid="{05490CAD-FB0F-49E0-827E-10B2A3F9300D}"/>
    <cellStyle name="Normal 2 3 3 3 2 2 2 2 3 2" xfId="19571" xr:uid="{7E87B976-A61A-42DA-A9F0-1C49C619077C}"/>
    <cellStyle name="Normal 2 3 3 3 2 2 2 2 3 2 2" xfId="19572" xr:uid="{DB5A2ADC-5B72-4525-8FF4-656C80C4E5C2}"/>
    <cellStyle name="Normal 2 3 3 3 2 2 2 2 3 2 3" xfId="19573" xr:uid="{F597E593-491E-415C-8435-93FDCBA04E7D}"/>
    <cellStyle name="Normal 2 3 3 3 2 2 2 2 3 2 4" xfId="19574" xr:uid="{6FEF277D-629E-4F92-B078-B61D3D345980}"/>
    <cellStyle name="Normal 2 3 3 3 2 2 2 2 3 2 5" xfId="19575" xr:uid="{4C33D955-B727-4DB2-AE8F-BE6E4D7965B8}"/>
    <cellStyle name="Normal 2 3 3 3 2 2 2 2 3 2 6" xfId="19576" xr:uid="{C919B01B-DEDA-44DE-9450-16C045DDA678}"/>
    <cellStyle name="Normal 2 3 3 3 2 2 2 2 3 3" xfId="19577" xr:uid="{4EF67DCC-281D-4F83-ADBB-A718702BD377}"/>
    <cellStyle name="Normal 2 3 3 3 2 2 2 2 3 4" xfId="19578" xr:uid="{1EBD114E-D451-416C-B354-A3C98E41ED73}"/>
    <cellStyle name="Normal 2 3 3 3 2 2 2 2 3 5" xfId="19579" xr:uid="{575FAB66-2095-4966-8718-3346AB8D93E4}"/>
    <cellStyle name="Normal 2 3 3 3 2 2 2 2 3 6" xfId="19580" xr:uid="{F09911FF-465D-4DD3-9434-5879196793F2}"/>
    <cellStyle name="Normal 2 3 3 3 2 2 2 2 4" xfId="19581" xr:uid="{3B2232DC-FE73-4488-BF32-A56CAF98BFF3}"/>
    <cellStyle name="Normal 2 3 3 3 2 2 2 2 5" xfId="19582" xr:uid="{62BE036C-A4A7-4CEE-8C83-B2E9DDE9D608}"/>
    <cellStyle name="Normal 2 3 3 3 2 2 2 2 6" xfId="19583" xr:uid="{3008852D-89F9-4C1B-B0CD-A1F9DD8139AE}"/>
    <cellStyle name="Normal 2 3 3 3 2 2 2 2 7" xfId="19584" xr:uid="{4450460A-D989-4465-876D-502001522FEA}"/>
    <cellStyle name="Normal 2 3 3 3 2 2 2 2 8" xfId="19585" xr:uid="{5C3045C1-F091-43B5-939F-A05E0428380E}"/>
    <cellStyle name="Normal 2 3 3 3 2 2 2 2 9" xfId="19586" xr:uid="{2C514F13-C333-4873-8A6D-E13943D0E175}"/>
    <cellStyle name="Normal 2 3 3 3 2 2 2 3" xfId="19587" xr:uid="{884DEC61-353A-4F5A-BA1A-BC041FA91EFC}"/>
    <cellStyle name="Normal 2 3 3 3 2 2 2 4" xfId="19588" xr:uid="{49AA9CFA-DD5D-4827-B63C-DF813138FC2E}"/>
    <cellStyle name="Normal 2 3 3 3 2 2 2 5" xfId="19589" xr:uid="{DCEB5B1F-CBF6-4CAE-BA3A-BCD9ED7E9D07}"/>
    <cellStyle name="Normal 2 3 3 3 2 2 2 5 2" xfId="19590" xr:uid="{74E2554D-E343-411C-BFA5-1F7B6F8BE6BA}"/>
    <cellStyle name="Normal 2 3 3 3 2 2 2 5 2 2" xfId="19591" xr:uid="{F6A7901D-28CD-444D-9282-9B4E6EA37AA0}"/>
    <cellStyle name="Normal 2 3 3 3 2 2 2 5 2 3" xfId="19592" xr:uid="{121B5D55-FC38-4207-9564-95A74EB7CC51}"/>
    <cellStyle name="Normal 2 3 3 3 2 2 2 5 2 4" xfId="19593" xr:uid="{FA762718-5217-493E-BE45-B23A586C075B}"/>
    <cellStyle name="Normal 2 3 3 3 2 2 2 5 2 5" xfId="19594" xr:uid="{C43945BA-138A-45F6-B703-4B3BC2D4E840}"/>
    <cellStyle name="Normal 2 3 3 3 2 2 2 5 2 6" xfId="19595" xr:uid="{C7DE15FF-C37C-46C7-8857-59D5C55B8522}"/>
    <cellStyle name="Normal 2 3 3 3 2 2 2 5 3" xfId="19596" xr:uid="{782196C7-660E-4875-9A99-565B648197C7}"/>
    <cellStyle name="Normal 2 3 3 3 2 2 2 5 4" xfId="19597" xr:uid="{04DC4F8A-D54D-43E6-9507-FA609C77B868}"/>
    <cellStyle name="Normal 2 3 3 3 2 2 2 5 5" xfId="19598" xr:uid="{1332FFAB-E8A6-4CFC-8E34-8A27AF4EC834}"/>
    <cellStyle name="Normal 2 3 3 3 2 2 2 5 6" xfId="19599" xr:uid="{7A829487-4261-4C87-9728-541E1D386704}"/>
    <cellStyle name="Normal 2 3 3 3 2 2 2 6" xfId="19600" xr:uid="{D2161477-AA7D-4943-9CE4-5861955867D3}"/>
    <cellStyle name="Normal 2 3 3 3 2 2 2 7" xfId="19601" xr:uid="{0C5985E6-42D7-4016-A606-9AE3B996CD45}"/>
    <cellStyle name="Normal 2 3 3 3 2 2 2 8" xfId="19602" xr:uid="{15EC8135-A450-420C-B1D5-565602D8FE7B}"/>
    <cellStyle name="Normal 2 3 3 3 2 2 2 9" xfId="19603" xr:uid="{43E65FA8-40A0-4E05-8AEE-864082CCC8FF}"/>
    <cellStyle name="Normal 2 3 3 3 2 2 3" xfId="19604" xr:uid="{E7710185-DED1-436F-9F34-D9A94082D645}"/>
    <cellStyle name="Normal 2 3 3 3 2 2 3 2" xfId="19605" xr:uid="{CAACBD7C-4545-491A-9B26-F1E165D689F2}"/>
    <cellStyle name="Normal 2 3 3 3 2 2 3 2 2" xfId="19606" xr:uid="{7FB9474D-F991-4569-9CBB-2F02D149726B}"/>
    <cellStyle name="Normal 2 3 3 3 2 2 3 2 2 2" xfId="19607" xr:uid="{4DB39916-CE88-4383-BBAD-3E15C1E6AFA5}"/>
    <cellStyle name="Normal 2 3 3 3 2 2 3 2 2 2 2" xfId="19608" xr:uid="{7E2BA501-A557-4D45-BEF1-02974613717C}"/>
    <cellStyle name="Normal 2 3 3 3 2 2 3 2 2 2 3" xfId="19609" xr:uid="{327D5D1E-C964-4425-91B0-A0DEF5D2D492}"/>
    <cellStyle name="Normal 2 3 3 3 2 2 3 2 2 2 4" xfId="19610" xr:uid="{71525B69-A110-49F6-A37F-1A72EB16C83F}"/>
    <cellStyle name="Normal 2 3 3 3 2 2 3 2 2 2 5" xfId="19611" xr:uid="{1610E22E-4F52-4768-930B-918EA04A01C8}"/>
    <cellStyle name="Normal 2 3 3 3 2 2 3 2 2 2 6" xfId="19612" xr:uid="{0BCB7385-F9F6-410C-B28F-4312D91D17C2}"/>
    <cellStyle name="Normal 2 3 3 3 2 2 3 2 2 3" xfId="19613" xr:uid="{ED92FD6A-4332-43BE-839E-A56627FFE863}"/>
    <cellStyle name="Normal 2 3 3 3 2 2 3 2 2 4" xfId="19614" xr:uid="{05DF48E6-923D-4411-B95C-D23BB36DEEB1}"/>
    <cellStyle name="Normal 2 3 3 3 2 2 3 2 2 5" xfId="19615" xr:uid="{FFE666D5-B25C-4029-BB05-44334DFA0457}"/>
    <cellStyle name="Normal 2 3 3 3 2 2 3 2 2 6" xfId="19616" xr:uid="{A85B5229-2F2A-4AEC-BAD8-3E305F4BD866}"/>
    <cellStyle name="Normal 2 3 3 3 2 2 3 2 3" xfId="19617" xr:uid="{7A685A04-8537-43A0-87FD-6AACF8464860}"/>
    <cellStyle name="Normal 2 3 3 3 2 2 3 2 4" xfId="19618" xr:uid="{09D3E095-15B4-44CE-A6EA-8EDBD6F0998C}"/>
    <cellStyle name="Normal 2 3 3 3 2 2 3 2 5" xfId="19619" xr:uid="{3AECDBF5-3E31-487D-A2E0-6238D0D27B20}"/>
    <cellStyle name="Normal 2 3 3 3 2 2 3 2 6" xfId="19620" xr:uid="{4DB090C4-CF53-48B9-81E0-F9E3AADA47BF}"/>
    <cellStyle name="Normal 2 3 3 3 2 2 3 2 7" xfId="19621" xr:uid="{E7B3AF45-DAA3-469B-8B37-9177DBCF2D81}"/>
    <cellStyle name="Normal 2 3 3 3 2 2 3 2 8" xfId="19622" xr:uid="{A5C75A84-016C-4F9C-96F6-50A46B727CDB}"/>
    <cellStyle name="Normal 2 3 3 3 2 2 3 2 9" xfId="19623" xr:uid="{2938870E-C06A-43DF-9113-BA3DDEE214E4}"/>
    <cellStyle name="Normal 2 3 3 3 2 2 3 3" xfId="19624" xr:uid="{11260F31-A6FF-4599-92AB-FCAFFAD614A3}"/>
    <cellStyle name="Normal 2 3 3 3 2 2 3 3 2" xfId="19625" xr:uid="{7CCC3C21-D317-457B-92CF-C354A865A443}"/>
    <cellStyle name="Normal 2 3 3 3 2 2 3 3 2 2" xfId="19626" xr:uid="{BF85EC51-73B2-429F-9B54-0842F6B7CB26}"/>
    <cellStyle name="Normal 2 3 3 3 2 2 3 3 2 3" xfId="19627" xr:uid="{44A17E3D-B68D-4ACE-AF50-E487459FFC9B}"/>
    <cellStyle name="Normal 2 3 3 3 2 2 3 3 2 4" xfId="19628" xr:uid="{B4DF1548-FA87-4F8A-8AAE-11FD0BAB97D2}"/>
    <cellStyle name="Normal 2 3 3 3 2 2 3 3 2 5" xfId="19629" xr:uid="{655B1A84-66DD-4496-814F-95EE6F71C1C3}"/>
    <cellStyle name="Normal 2 3 3 3 2 2 3 3 2 6" xfId="19630" xr:uid="{412C428F-BAC1-4DF7-AA4D-1DB8E8381420}"/>
    <cellStyle name="Normal 2 3 3 3 2 2 3 3 3" xfId="19631" xr:uid="{C0BE0B1C-8F0D-4664-8E1F-4778A33DE79B}"/>
    <cellStyle name="Normal 2 3 3 3 2 2 3 3 4" xfId="19632" xr:uid="{AC06CB15-7445-4D5F-A557-50169BBB5C15}"/>
    <cellStyle name="Normal 2 3 3 3 2 2 3 3 5" xfId="19633" xr:uid="{0AC92F09-110C-42ED-993F-CB557CD24652}"/>
    <cellStyle name="Normal 2 3 3 3 2 2 3 3 6" xfId="19634" xr:uid="{38CC966A-F872-482F-A7C9-316B49C3A687}"/>
    <cellStyle name="Normal 2 3 3 3 2 2 3 4" xfId="19635" xr:uid="{BE32BBB2-303F-44A7-B0D7-98EC8A6E235E}"/>
    <cellStyle name="Normal 2 3 3 3 2 2 3 5" xfId="19636" xr:uid="{241FDCFE-CDEA-42EA-A578-5C4E2FF90D0E}"/>
    <cellStyle name="Normal 2 3 3 3 2 2 3 6" xfId="19637" xr:uid="{BD5C5602-B081-4563-B40A-05E5DB2AA4AF}"/>
    <cellStyle name="Normal 2 3 3 3 2 2 3 7" xfId="19638" xr:uid="{5471C676-9B9C-4D97-928B-84205AD4C766}"/>
    <cellStyle name="Normal 2 3 3 3 2 2 3 8" xfId="19639" xr:uid="{1F3879CB-CBB1-4A62-BE6C-0AEFFFCA74E8}"/>
    <cellStyle name="Normal 2 3 3 3 2 2 3 9" xfId="19640" xr:uid="{79CE4D3F-9613-402C-8FCE-6974CCB74D5E}"/>
    <cellStyle name="Normal 2 3 3 3 2 2 4" xfId="19641" xr:uid="{FFA8760C-DF45-44CE-AD75-DB80A0F95CA3}"/>
    <cellStyle name="Normal 2 3 3 3 2 2 5" xfId="19642" xr:uid="{6166E47B-50D9-42E3-933E-4D6314B0B30D}"/>
    <cellStyle name="Normal 2 3 3 3 2 2 5 2" xfId="19643" xr:uid="{73142C24-4E3D-4A8E-A65D-713DB2405E7F}"/>
    <cellStyle name="Normal 2 3 3 3 2 2 5 2 2" xfId="19644" xr:uid="{42BECB45-9CCE-4EF4-90B2-1FD523F6247F}"/>
    <cellStyle name="Normal 2 3 3 3 2 2 5 2 3" xfId="19645" xr:uid="{934C69EB-669E-42E6-AF33-3905A2E03D5F}"/>
    <cellStyle name="Normal 2 3 3 3 2 2 5 2 4" xfId="19646" xr:uid="{3FE56C19-754C-4F65-80E5-6BDFA94DF173}"/>
    <cellStyle name="Normal 2 3 3 3 2 2 5 2 5" xfId="19647" xr:uid="{723C7F55-FE72-40FB-94D8-CF17F1C865A9}"/>
    <cellStyle name="Normal 2 3 3 3 2 2 5 2 6" xfId="19648" xr:uid="{F78224FC-DFA6-46C5-915C-D5A37C5B24B0}"/>
    <cellStyle name="Normal 2 3 3 3 2 2 5 3" xfId="19649" xr:uid="{C8A63175-C582-4ECF-8DA6-2C7E75DD5134}"/>
    <cellStyle name="Normal 2 3 3 3 2 2 5 4" xfId="19650" xr:uid="{5D6D8CB3-DC6B-4AA2-929C-BC99B8A0A9E4}"/>
    <cellStyle name="Normal 2 3 3 3 2 2 5 5" xfId="19651" xr:uid="{E65571CC-44FD-49D9-A7DC-1AB35E6C71CE}"/>
    <cellStyle name="Normal 2 3 3 3 2 2 5 6" xfId="19652" xr:uid="{76BCC7A9-9E07-498D-B165-DBBD63870AE8}"/>
    <cellStyle name="Normal 2 3 3 3 2 2 6" xfId="19653" xr:uid="{DCA09CDE-7462-47C6-84CE-DB963E35F4E9}"/>
    <cellStyle name="Normal 2 3 3 3 2 2 7" xfId="19654" xr:uid="{71CE16D7-610F-4E97-A45D-6BC4E041D561}"/>
    <cellStyle name="Normal 2 3 3 3 2 2 8" xfId="19655" xr:uid="{4EED4BA8-3146-4979-A41F-DA3497283B00}"/>
    <cellStyle name="Normal 2 3 3 3 2 2 9" xfId="19656" xr:uid="{EE6B22C7-524C-451C-BB9E-474DEB24E8CA}"/>
    <cellStyle name="Normal 2 3 3 3 2 3" xfId="19657" xr:uid="{E64822D1-CEF4-4003-A820-B9D79D8058DE}"/>
    <cellStyle name="Normal 2 3 3 3 2 4" xfId="19658" xr:uid="{9178CF4D-873B-4161-8E33-F1EACECF312A}"/>
    <cellStyle name="Normal 2 3 3 3 2 5" xfId="19659" xr:uid="{2E6FC156-8AFA-4F29-A6F7-09B78E4C95A6}"/>
    <cellStyle name="Normal 2 3 3 3 2 5 2" xfId="19660" xr:uid="{A7537898-01D7-4B77-ADF6-30CCCD140CB5}"/>
    <cellStyle name="Normal 2 3 3 3 2 5 2 2" xfId="19661" xr:uid="{2510FC30-CBC9-4235-BBDB-FC643D9CFD53}"/>
    <cellStyle name="Normal 2 3 3 3 2 5 2 2 2" xfId="19662" xr:uid="{1A43B69B-8985-4709-B2A9-F8EC534867FC}"/>
    <cellStyle name="Normal 2 3 3 3 2 5 2 2 2 2" xfId="19663" xr:uid="{FAFA413D-C7CC-433B-B3FC-D3970CA61CA6}"/>
    <cellStyle name="Normal 2 3 3 3 2 5 2 2 2 3" xfId="19664" xr:uid="{40C85FC5-6B1F-4310-B493-634E45985A4D}"/>
    <cellStyle name="Normal 2 3 3 3 2 5 2 2 2 4" xfId="19665" xr:uid="{3D61D41C-D96C-467B-B921-DACCF901B674}"/>
    <cellStyle name="Normal 2 3 3 3 2 5 2 2 2 5" xfId="19666" xr:uid="{E45470C9-B8B4-4357-BD3F-AE03034FEB52}"/>
    <cellStyle name="Normal 2 3 3 3 2 5 2 2 2 6" xfId="19667" xr:uid="{693E00F8-A26D-493A-BD90-605316EB3E68}"/>
    <cellStyle name="Normal 2 3 3 3 2 5 2 2 3" xfId="19668" xr:uid="{0723788E-3524-40AA-9E40-06EC0DACB542}"/>
    <cellStyle name="Normal 2 3 3 3 2 5 2 2 4" xfId="19669" xr:uid="{3ED87D91-819F-4713-98CA-F17166252169}"/>
    <cellStyle name="Normal 2 3 3 3 2 5 2 2 5" xfId="19670" xr:uid="{D8F988E8-ABF2-4E50-BBB0-69C12AE74880}"/>
    <cellStyle name="Normal 2 3 3 3 2 5 2 2 6" xfId="19671" xr:uid="{A0E88590-66F3-4B4F-A39D-F4EF086C86A5}"/>
    <cellStyle name="Normal 2 3 3 3 2 5 2 3" xfId="19672" xr:uid="{F88E361F-3A23-4795-86D2-C875F3596607}"/>
    <cellStyle name="Normal 2 3 3 3 2 5 2 4" xfId="19673" xr:uid="{4A321358-5BEB-4A0D-8226-0CD376B549CB}"/>
    <cellStyle name="Normal 2 3 3 3 2 5 2 5" xfId="19674" xr:uid="{635DC410-C831-4FE2-97BB-D2C131F078AC}"/>
    <cellStyle name="Normal 2 3 3 3 2 5 2 6" xfId="19675" xr:uid="{4BB53D4E-92F2-4170-BD9F-6E67ADF8D1DA}"/>
    <cellStyle name="Normal 2 3 3 3 2 5 2 7" xfId="19676" xr:uid="{62A3A19E-9D0B-4B5D-86F6-CF24D3E539F5}"/>
    <cellStyle name="Normal 2 3 3 3 2 5 2 8" xfId="19677" xr:uid="{1F4E3822-077A-4A97-9E25-31F8627DA49D}"/>
    <cellStyle name="Normal 2 3 3 3 2 5 2 9" xfId="19678" xr:uid="{98B17C3A-8088-4917-8F72-7A2DEDF291AB}"/>
    <cellStyle name="Normal 2 3 3 3 2 5 3" xfId="19679" xr:uid="{185A0E5B-9208-4DBF-8C64-096D30A5B135}"/>
    <cellStyle name="Normal 2 3 3 3 2 5 3 2" xfId="19680" xr:uid="{EFA07691-C48C-4AB5-B7C6-B6042A95E8C5}"/>
    <cellStyle name="Normal 2 3 3 3 2 5 3 2 2" xfId="19681" xr:uid="{EA8656F9-40D9-4E11-86C2-72E758880DBD}"/>
    <cellStyle name="Normal 2 3 3 3 2 5 3 2 3" xfId="19682" xr:uid="{C724E761-D020-417F-ACC5-A495F4AFCBA7}"/>
    <cellStyle name="Normal 2 3 3 3 2 5 3 2 4" xfId="19683" xr:uid="{1066E653-0179-449D-B0FA-17F5B034011C}"/>
    <cellStyle name="Normal 2 3 3 3 2 5 3 2 5" xfId="19684" xr:uid="{CE3879F2-1485-41ED-8C7D-DA0F02429BAC}"/>
    <cellStyle name="Normal 2 3 3 3 2 5 3 2 6" xfId="19685" xr:uid="{DA54B037-7434-4AB4-B57E-5D746C466D2F}"/>
    <cellStyle name="Normal 2 3 3 3 2 5 3 3" xfId="19686" xr:uid="{E6A97BDA-1EAB-49C9-A4E9-9DE81B93A11C}"/>
    <cellStyle name="Normal 2 3 3 3 2 5 3 4" xfId="19687" xr:uid="{E7FE7F1F-F50F-4527-A565-08B7D44E983E}"/>
    <cellStyle name="Normal 2 3 3 3 2 5 3 5" xfId="19688" xr:uid="{AA0C0640-A881-4BA2-AA76-61BB3D8BA157}"/>
    <cellStyle name="Normal 2 3 3 3 2 5 3 6" xfId="19689" xr:uid="{A05B7979-80AA-4DA9-B852-D17088944BDF}"/>
    <cellStyle name="Normal 2 3 3 3 2 5 4" xfId="19690" xr:uid="{F24C708D-55E9-48E4-ABDB-9C9DEC25386F}"/>
    <cellStyle name="Normal 2 3 3 3 2 5 5" xfId="19691" xr:uid="{548EDABE-EAEF-418D-AF0D-9FFED07C48C4}"/>
    <cellStyle name="Normal 2 3 3 3 2 5 6" xfId="19692" xr:uid="{A1919F1B-E965-4901-9FA0-F2451E0E3E14}"/>
    <cellStyle name="Normal 2 3 3 3 2 5 7" xfId="19693" xr:uid="{D11710DF-6544-4F44-9409-DD8CC225F696}"/>
    <cellStyle name="Normal 2 3 3 3 2 5 8" xfId="19694" xr:uid="{E9931DF8-2D14-4F46-B15D-1AF68FA88F75}"/>
    <cellStyle name="Normal 2 3 3 3 2 5 9" xfId="19695" xr:uid="{41F32519-884C-4FB1-9061-C00A743FCB52}"/>
    <cellStyle name="Normal 2 3 3 3 2 6" xfId="19696" xr:uid="{2A2D1A44-9D40-4FB7-A6C1-C901A681A7E6}"/>
    <cellStyle name="Normal 2 3 3 3 2 7" xfId="19697" xr:uid="{664ED255-785B-4D53-B3ED-875407360F73}"/>
    <cellStyle name="Normal 2 3 3 3 2 8" xfId="19698" xr:uid="{31EC00D1-9D95-41C7-A0A0-8F5C3DD281E6}"/>
    <cellStyle name="Normal 2 3 3 3 2 8 2" xfId="19699" xr:uid="{09B8FC97-2411-4F39-8468-393C20FE44CE}"/>
    <cellStyle name="Normal 2 3 3 3 2 8 2 2" xfId="19700" xr:uid="{7B1B6EFB-B67A-48E8-A6C5-2F8CB3B9AB6A}"/>
    <cellStyle name="Normal 2 3 3 3 2 8 2 3" xfId="19701" xr:uid="{9DFA75AA-D032-494D-BD0A-FFC63C5972E0}"/>
    <cellStyle name="Normal 2 3 3 3 2 8 2 4" xfId="19702" xr:uid="{6C2040E5-69B8-4C33-9CC7-9CDDF3BD8D62}"/>
    <cellStyle name="Normal 2 3 3 3 2 8 2 5" xfId="19703" xr:uid="{0C28BDC7-AB34-4593-9222-3BE9B451C638}"/>
    <cellStyle name="Normal 2 3 3 3 2 8 2 6" xfId="19704" xr:uid="{C83528F1-3A39-4675-A8F0-78B6AF93CA6D}"/>
    <cellStyle name="Normal 2 3 3 3 2 8 3" xfId="19705" xr:uid="{688119D0-9738-4728-AD68-95892B18A0D3}"/>
    <cellStyle name="Normal 2 3 3 3 2 8 4" xfId="19706" xr:uid="{BA79CD92-C75E-4E90-8796-E247C2431439}"/>
    <cellStyle name="Normal 2 3 3 3 2 8 5" xfId="19707" xr:uid="{C2958B08-183A-4DBB-B519-53AF344D112F}"/>
    <cellStyle name="Normal 2 3 3 3 2 8 6" xfId="19708" xr:uid="{BCA889A3-774F-41BB-88E1-B687ADAF7DC2}"/>
    <cellStyle name="Normal 2 3 3 3 2 9" xfId="19709" xr:uid="{23EE5F2A-F51E-4F56-B151-614D1F0E1CF8}"/>
    <cellStyle name="Normal 2 3 3 3 3" xfId="19710" xr:uid="{5A151DF3-E440-4C32-A366-57F42F19C27D}"/>
    <cellStyle name="Normal 2 3 3 3 3 10" xfId="19711" xr:uid="{9BC4D969-29FA-48EA-BFA4-F1EF8AACEADB}"/>
    <cellStyle name="Normal 2 3 3 3 3 11" xfId="19712" xr:uid="{354D4BAA-E1EB-4720-937A-FF607C5271CF}"/>
    <cellStyle name="Normal 2 3 3 3 3 12" xfId="19713" xr:uid="{7299AE34-33B9-40EA-B89B-45B6775CC968}"/>
    <cellStyle name="Normal 2 3 3 3 3 2" xfId="19714" xr:uid="{07E8BED5-852A-4AAF-AB2E-037EDB984941}"/>
    <cellStyle name="Normal 2 3 3 3 3 2 10" xfId="19715" xr:uid="{9B1A9E18-D795-42DE-82CD-D77D0094B457}"/>
    <cellStyle name="Normal 2 3 3 3 3 2 11" xfId="19716" xr:uid="{D3D937DA-CEF0-414B-B05C-7F004F86DAC4}"/>
    <cellStyle name="Normal 2 3 3 3 3 2 12" xfId="19717" xr:uid="{78966394-A2F9-4789-B3CF-0C01E565ED81}"/>
    <cellStyle name="Normal 2 3 3 3 3 2 2" xfId="19718" xr:uid="{D62CBC4F-DB9E-410C-A620-5299806B5DCC}"/>
    <cellStyle name="Normal 2 3 3 3 3 2 2 2" xfId="19719" xr:uid="{1F20FC6A-9796-42C2-A01C-BE9FC4FE9654}"/>
    <cellStyle name="Normal 2 3 3 3 3 2 2 2 2" xfId="19720" xr:uid="{82362331-C77C-45EA-910E-620BCB9BFCC7}"/>
    <cellStyle name="Normal 2 3 3 3 3 2 2 2 2 2" xfId="19721" xr:uid="{6F2B2773-2952-4538-964D-91CD2FB2BD64}"/>
    <cellStyle name="Normal 2 3 3 3 3 2 2 2 2 2 2" xfId="19722" xr:uid="{F582871A-5851-4D8A-9C29-DC6DE12D6C0C}"/>
    <cellStyle name="Normal 2 3 3 3 3 2 2 2 2 2 3" xfId="19723" xr:uid="{D61C73A3-9442-42E7-A6D0-9CF20AD910E6}"/>
    <cellStyle name="Normal 2 3 3 3 3 2 2 2 2 2 4" xfId="19724" xr:uid="{895123AC-4B31-4CB1-839D-B025154934EC}"/>
    <cellStyle name="Normal 2 3 3 3 3 2 2 2 2 2 5" xfId="19725" xr:uid="{7F8BCB8C-48BA-44D9-A772-7C44CD419654}"/>
    <cellStyle name="Normal 2 3 3 3 3 2 2 2 2 2 6" xfId="19726" xr:uid="{0045B928-4ECB-468A-8755-55751B4F4303}"/>
    <cellStyle name="Normal 2 3 3 3 3 2 2 2 2 3" xfId="19727" xr:uid="{38BAC505-BA02-4631-9BAB-A686206061B9}"/>
    <cellStyle name="Normal 2 3 3 3 3 2 2 2 2 4" xfId="19728" xr:uid="{22F4AD75-69FF-47A1-9115-1C29CF54BAE5}"/>
    <cellStyle name="Normal 2 3 3 3 3 2 2 2 2 5" xfId="19729" xr:uid="{51FA5FEC-FFB8-412A-88C5-86BF07161842}"/>
    <cellStyle name="Normal 2 3 3 3 3 2 2 2 2 6" xfId="19730" xr:uid="{A4076087-8B93-41D0-8104-D1AF9B0C76A6}"/>
    <cellStyle name="Normal 2 3 3 3 3 2 2 2 3" xfId="19731" xr:uid="{8CCF15C3-D1CD-459A-8472-0A83997E2A64}"/>
    <cellStyle name="Normal 2 3 3 3 3 2 2 2 4" xfId="19732" xr:uid="{3E5843C8-D3B4-4E0D-A56D-3DBB0AEF1000}"/>
    <cellStyle name="Normal 2 3 3 3 3 2 2 2 5" xfId="19733" xr:uid="{90B05ED8-AAC5-4151-9A24-4C9465434150}"/>
    <cellStyle name="Normal 2 3 3 3 3 2 2 2 6" xfId="19734" xr:uid="{BFE48B44-6275-420C-8772-575B52AC11A7}"/>
    <cellStyle name="Normal 2 3 3 3 3 2 2 2 7" xfId="19735" xr:uid="{8957009B-99D2-4C02-A552-CC8A284B7AA9}"/>
    <cellStyle name="Normal 2 3 3 3 3 2 2 2 8" xfId="19736" xr:uid="{1FF75F85-3C3A-4913-B5DD-C4D11ABE85F4}"/>
    <cellStyle name="Normal 2 3 3 3 3 2 2 2 9" xfId="19737" xr:uid="{5C0CC3E8-D330-40A0-9ED1-797F84571257}"/>
    <cellStyle name="Normal 2 3 3 3 3 2 2 3" xfId="19738" xr:uid="{448CDD95-2E42-462E-AD78-409616F16B70}"/>
    <cellStyle name="Normal 2 3 3 3 3 2 2 3 2" xfId="19739" xr:uid="{3DCC5290-AA84-49DA-B8B6-CE5001F4C263}"/>
    <cellStyle name="Normal 2 3 3 3 3 2 2 3 2 2" xfId="19740" xr:uid="{0FAEC5E5-AB07-4B38-8801-1245256EFC07}"/>
    <cellStyle name="Normal 2 3 3 3 3 2 2 3 2 3" xfId="19741" xr:uid="{FD76A30F-9E9F-4F3E-A8C8-0CE01B9D8064}"/>
    <cellStyle name="Normal 2 3 3 3 3 2 2 3 2 4" xfId="19742" xr:uid="{BA518AC9-6A05-4228-B547-E7A964ECF070}"/>
    <cellStyle name="Normal 2 3 3 3 3 2 2 3 2 5" xfId="19743" xr:uid="{3E620764-DD38-47CE-9D7B-0C4F5D707692}"/>
    <cellStyle name="Normal 2 3 3 3 3 2 2 3 2 6" xfId="19744" xr:uid="{16BA518D-34C5-4B07-84CD-676121FFFAC8}"/>
    <cellStyle name="Normal 2 3 3 3 3 2 2 3 3" xfId="19745" xr:uid="{3F87BA68-41CC-41C3-A9C8-EB0D82FF154E}"/>
    <cellStyle name="Normal 2 3 3 3 3 2 2 3 4" xfId="19746" xr:uid="{250C5395-E3B9-4EA6-84BF-1A7BEE271E15}"/>
    <cellStyle name="Normal 2 3 3 3 3 2 2 3 5" xfId="19747" xr:uid="{8CC66BBD-046A-4E6E-B5A1-94327A677925}"/>
    <cellStyle name="Normal 2 3 3 3 3 2 2 3 6" xfId="19748" xr:uid="{1F61E07B-1563-4D3B-8F6D-2CF5B9432C24}"/>
    <cellStyle name="Normal 2 3 3 3 3 2 2 4" xfId="19749" xr:uid="{F98FECC3-856A-4255-B5D8-531CDDA8ABA3}"/>
    <cellStyle name="Normal 2 3 3 3 3 2 2 5" xfId="19750" xr:uid="{D33AA586-C481-4003-A9B7-8CDCC71E5A0D}"/>
    <cellStyle name="Normal 2 3 3 3 3 2 2 6" xfId="19751" xr:uid="{557213B6-6A6D-4B55-B953-FC109C2F5C6D}"/>
    <cellStyle name="Normal 2 3 3 3 3 2 2 7" xfId="19752" xr:uid="{9BDAFAD0-4DB6-4CA2-84C8-AE9FBF238992}"/>
    <cellStyle name="Normal 2 3 3 3 3 2 2 8" xfId="19753" xr:uid="{638D19E3-7000-4389-8225-62B3957CF1B4}"/>
    <cellStyle name="Normal 2 3 3 3 3 2 2 9" xfId="19754" xr:uid="{5074124D-6F6C-4C6C-9205-D044B2DEAD57}"/>
    <cellStyle name="Normal 2 3 3 3 3 2 3" xfId="19755" xr:uid="{74F6B141-7AB4-4B6A-B53F-47A6AC9FA210}"/>
    <cellStyle name="Normal 2 3 3 3 3 2 4" xfId="19756" xr:uid="{11821D2D-EFF0-4321-87B9-571176E22D7A}"/>
    <cellStyle name="Normal 2 3 3 3 3 2 5" xfId="19757" xr:uid="{477F8E7D-1915-48A3-AE62-A56AF7E3FBC6}"/>
    <cellStyle name="Normal 2 3 3 3 3 2 5 2" xfId="19758" xr:uid="{B61CC76E-F2C0-4CF6-A025-26231AF9C41D}"/>
    <cellStyle name="Normal 2 3 3 3 3 2 5 2 2" xfId="19759" xr:uid="{BE7297D6-D344-40C2-846D-EA19DE1814E5}"/>
    <cellStyle name="Normal 2 3 3 3 3 2 5 2 3" xfId="19760" xr:uid="{DEDB308B-C162-4EFA-BF6E-BD18F5E2D5B6}"/>
    <cellStyle name="Normal 2 3 3 3 3 2 5 2 4" xfId="19761" xr:uid="{6E3F18C0-A7AB-4D3E-A0AC-09D56A0C5247}"/>
    <cellStyle name="Normal 2 3 3 3 3 2 5 2 5" xfId="19762" xr:uid="{173C0815-C442-4EB7-B1B9-A97D1FC1B6F6}"/>
    <cellStyle name="Normal 2 3 3 3 3 2 5 2 6" xfId="19763" xr:uid="{FB4CF427-F35C-4A59-B584-D69178CDF9CB}"/>
    <cellStyle name="Normal 2 3 3 3 3 2 5 3" xfId="19764" xr:uid="{A1C0E4E4-266F-4344-9C36-70431642F2AE}"/>
    <cellStyle name="Normal 2 3 3 3 3 2 5 4" xfId="19765" xr:uid="{EFFA50F5-9FA6-41B5-B936-8F587B70042A}"/>
    <cellStyle name="Normal 2 3 3 3 3 2 5 5" xfId="19766" xr:uid="{6E1AD03A-BC26-4FD5-9189-EFF8E7AC6B4C}"/>
    <cellStyle name="Normal 2 3 3 3 3 2 5 6" xfId="19767" xr:uid="{3B2E38AE-CBA8-4117-9393-B253F8D76C8E}"/>
    <cellStyle name="Normal 2 3 3 3 3 2 6" xfId="19768" xr:uid="{CADC4614-7D21-4A65-8A2A-6C64D1627B5B}"/>
    <cellStyle name="Normal 2 3 3 3 3 2 7" xfId="19769" xr:uid="{F768CA6E-F6F2-4C55-BAFD-87706DDC31CE}"/>
    <cellStyle name="Normal 2 3 3 3 3 2 8" xfId="19770" xr:uid="{A71836E7-C914-413A-8E88-578F0ACC0E61}"/>
    <cellStyle name="Normal 2 3 3 3 3 2 9" xfId="19771" xr:uid="{CDAA7DAA-56F2-4457-A515-ED7CD9F6CF4F}"/>
    <cellStyle name="Normal 2 3 3 3 3 3" xfId="19772" xr:uid="{D8F04E50-15EE-4718-94EC-DE0C55F7BE4F}"/>
    <cellStyle name="Normal 2 3 3 3 3 3 2" xfId="19773" xr:uid="{6F8A2309-E34C-4699-BB73-8C8FB68E7717}"/>
    <cellStyle name="Normal 2 3 3 3 3 3 2 2" xfId="19774" xr:uid="{F1133091-DA6C-42E7-9460-55058422581B}"/>
    <cellStyle name="Normal 2 3 3 3 3 3 2 2 2" xfId="19775" xr:uid="{48FFA12B-0AD1-405E-8193-0DA994221B2D}"/>
    <cellStyle name="Normal 2 3 3 3 3 3 2 2 2 2" xfId="19776" xr:uid="{E906DD9A-2FD0-4643-B9EC-74D7553D9547}"/>
    <cellStyle name="Normal 2 3 3 3 3 3 2 2 2 3" xfId="19777" xr:uid="{27C2E25E-8E00-4C9C-B277-2FEE684E5EB1}"/>
    <cellStyle name="Normal 2 3 3 3 3 3 2 2 2 4" xfId="19778" xr:uid="{7E6BAFF4-D7D9-4097-98D0-EF213412B76C}"/>
    <cellStyle name="Normal 2 3 3 3 3 3 2 2 2 5" xfId="19779" xr:uid="{994BE7CD-7A51-4C7C-BCE9-7FCCA2F75D8E}"/>
    <cellStyle name="Normal 2 3 3 3 3 3 2 2 2 6" xfId="19780" xr:uid="{6B55223F-92C9-4F43-9039-557B3DF56202}"/>
    <cellStyle name="Normal 2 3 3 3 3 3 2 2 3" xfId="19781" xr:uid="{57499F9F-232C-47AA-9A99-9D54D1864FD3}"/>
    <cellStyle name="Normal 2 3 3 3 3 3 2 2 4" xfId="19782" xr:uid="{7E874060-A09F-44AD-964D-057FEF045968}"/>
    <cellStyle name="Normal 2 3 3 3 3 3 2 2 5" xfId="19783" xr:uid="{3F82368C-9C84-43C0-9AEE-057A7C4507B3}"/>
    <cellStyle name="Normal 2 3 3 3 3 3 2 2 6" xfId="19784" xr:uid="{90649301-F25F-4DEB-86B8-7B408DC0E941}"/>
    <cellStyle name="Normal 2 3 3 3 3 3 2 3" xfId="19785" xr:uid="{A40ECF56-80D7-42D4-94D8-EF8192CA7CEA}"/>
    <cellStyle name="Normal 2 3 3 3 3 3 2 4" xfId="19786" xr:uid="{EF18C0D6-899F-4C51-88DC-D87579FF441B}"/>
    <cellStyle name="Normal 2 3 3 3 3 3 2 5" xfId="19787" xr:uid="{7A2AE1B1-7544-495C-B06B-EAA3E5593130}"/>
    <cellStyle name="Normal 2 3 3 3 3 3 2 6" xfId="19788" xr:uid="{6A36D86A-F83A-45F1-B49B-7ED6A9DE979E}"/>
    <cellStyle name="Normal 2 3 3 3 3 3 2 7" xfId="19789" xr:uid="{F0883ECC-6724-4570-8242-B8362D1FAE8F}"/>
    <cellStyle name="Normal 2 3 3 3 3 3 2 8" xfId="19790" xr:uid="{CB91297F-760E-4E9B-B8C4-569101D60684}"/>
    <cellStyle name="Normal 2 3 3 3 3 3 2 9" xfId="19791" xr:uid="{5C0DCB18-72D6-4A13-8620-F45E23F03AA5}"/>
    <cellStyle name="Normal 2 3 3 3 3 3 3" xfId="19792" xr:uid="{E9736968-018F-4101-81FD-3845EFD290C3}"/>
    <cellStyle name="Normal 2 3 3 3 3 3 3 2" xfId="19793" xr:uid="{5817C394-FDBA-4323-A319-14F4FFE06A58}"/>
    <cellStyle name="Normal 2 3 3 3 3 3 3 2 2" xfId="19794" xr:uid="{3E4356E1-B900-4A35-AA6D-FBB6AFF6E7F1}"/>
    <cellStyle name="Normal 2 3 3 3 3 3 3 2 3" xfId="19795" xr:uid="{CC944327-A4E5-4F69-BFFC-FA5A6E9EAADD}"/>
    <cellStyle name="Normal 2 3 3 3 3 3 3 2 4" xfId="19796" xr:uid="{7A20ADB8-384F-49A2-AF52-B9DF88B94B41}"/>
    <cellStyle name="Normal 2 3 3 3 3 3 3 2 5" xfId="19797" xr:uid="{FC2B553D-5C3C-49D7-ACFF-EA8C979F4DE4}"/>
    <cellStyle name="Normal 2 3 3 3 3 3 3 2 6" xfId="19798" xr:uid="{D2EB367E-4624-4CD5-8573-6F98803C78A2}"/>
    <cellStyle name="Normal 2 3 3 3 3 3 3 3" xfId="19799" xr:uid="{AD2BC38A-16DB-4AD6-B5CF-4D00438F8763}"/>
    <cellStyle name="Normal 2 3 3 3 3 3 3 4" xfId="19800" xr:uid="{C246CB94-EC9F-4415-BAE5-1D16BAFB9EA7}"/>
    <cellStyle name="Normal 2 3 3 3 3 3 3 5" xfId="19801" xr:uid="{965B7493-07DF-477B-BB6B-1850E4490A2E}"/>
    <cellStyle name="Normal 2 3 3 3 3 3 3 6" xfId="19802" xr:uid="{A3A5AF5B-FE8B-4AD5-89D3-538D00961473}"/>
    <cellStyle name="Normal 2 3 3 3 3 3 4" xfId="19803" xr:uid="{59021F52-B32E-4811-A33A-CDA25B5DC642}"/>
    <cellStyle name="Normal 2 3 3 3 3 3 5" xfId="19804" xr:uid="{D29A30A5-A593-49A8-B4FB-923D643FE46B}"/>
    <cellStyle name="Normal 2 3 3 3 3 3 6" xfId="19805" xr:uid="{3A377D50-6917-4EE8-81C6-27700C3007D9}"/>
    <cellStyle name="Normal 2 3 3 3 3 3 7" xfId="19806" xr:uid="{214B44BB-CA0F-4A7F-B745-89A744CB50E5}"/>
    <cellStyle name="Normal 2 3 3 3 3 3 8" xfId="19807" xr:uid="{4F10D1F3-7D3F-48A3-8F9D-285FB3D18EA7}"/>
    <cellStyle name="Normal 2 3 3 3 3 3 9" xfId="19808" xr:uid="{431499C9-397E-4EDC-B73E-4E3E75C14F0F}"/>
    <cellStyle name="Normal 2 3 3 3 3 4" xfId="19809" xr:uid="{060610DF-917D-4BE5-86F6-C7157A256450}"/>
    <cellStyle name="Normal 2 3 3 3 3 5" xfId="19810" xr:uid="{EFE1A5F7-BDC8-45C0-A5AC-8CC9AB2EE2D9}"/>
    <cellStyle name="Normal 2 3 3 3 3 5 2" xfId="19811" xr:uid="{49CC08B5-DB0D-49E5-A970-DE1F26434E7F}"/>
    <cellStyle name="Normal 2 3 3 3 3 5 2 2" xfId="19812" xr:uid="{29D63E4A-B91B-4BF6-A61B-12F370D89C4C}"/>
    <cellStyle name="Normal 2 3 3 3 3 5 2 3" xfId="19813" xr:uid="{5462D12C-0389-47E7-BDF9-AA3E2F1C8882}"/>
    <cellStyle name="Normal 2 3 3 3 3 5 2 4" xfId="19814" xr:uid="{4302931B-B92C-4E5C-9C7B-B2DB85208566}"/>
    <cellStyle name="Normal 2 3 3 3 3 5 2 5" xfId="19815" xr:uid="{64C2CFE9-4383-475A-94D1-71A0D22DEE7B}"/>
    <cellStyle name="Normal 2 3 3 3 3 5 2 6" xfId="19816" xr:uid="{3CB8E003-B439-44DA-8CF0-50D9061174D7}"/>
    <cellStyle name="Normal 2 3 3 3 3 5 3" xfId="19817" xr:uid="{1DB5C89E-FB58-420A-AA54-E6472ED4B2A2}"/>
    <cellStyle name="Normal 2 3 3 3 3 5 4" xfId="19818" xr:uid="{EB5D869A-85CD-4D8A-A8B8-67F020D01968}"/>
    <cellStyle name="Normal 2 3 3 3 3 5 5" xfId="19819" xr:uid="{11A3B7EA-6D6F-49F0-A59C-B2ADFA3546B6}"/>
    <cellStyle name="Normal 2 3 3 3 3 5 6" xfId="19820" xr:uid="{77B66482-1419-494E-A16F-42F3A75FDAFD}"/>
    <cellStyle name="Normal 2 3 3 3 3 6" xfId="19821" xr:uid="{A4DEC985-9B84-4BBF-9878-B2CDE578ADF6}"/>
    <cellStyle name="Normal 2 3 3 3 3 7" xfId="19822" xr:uid="{E8D6123A-5CDA-4B1C-8F89-65D49F28353D}"/>
    <cellStyle name="Normal 2 3 3 3 3 8" xfId="19823" xr:uid="{23A10D27-5A45-4C12-981C-0CD06293B0B6}"/>
    <cellStyle name="Normal 2 3 3 3 3 9" xfId="19824" xr:uid="{BC489EF7-F07D-4828-BAA6-37D59991EDDD}"/>
    <cellStyle name="Normal 2 3 3 3 4" xfId="19825" xr:uid="{275732F1-3E58-4DE0-8F0E-B2759B082683}"/>
    <cellStyle name="Normal 2 3 3 3 5" xfId="19826" xr:uid="{9E91A8F4-8D20-491A-91B2-DE3B9A59857F}"/>
    <cellStyle name="Normal 2 3 3 3 5 2" xfId="19827" xr:uid="{629D9A58-B5F0-4188-9242-6EA470C9431B}"/>
    <cellStyle name="Normal 2 3 3 3 5 2 2" xfId="19828" xr:uid="{33F13211-A2DD-476D-9E09-7AE18326C20F}"/>
    <cellStyle name="Normal 2 3 3 3 5 2 2 2" xfId="19829" xr:uid="{F10FEEA9-4521-42E7-BB7E-36B07E085099}"/>
    <cellStyle name="Normal 2 3 3 3 5 2 2 2 2" xfId="19830" xr:uid="{7C606511-C170-4F6D-AC75-DE0DE218BD14}"/>
    <cellStyle name="Normal 2 3 3 3 5 2 2 2 3" xfId="19831" xr:uid="{EADC8337-237B-4154-9337-E88DB5C64505}"/>
    <cellStyle name="Normal 2 3 3 3 5 2 2 2 4" xfId="19832" xr:uid="{5CFCEBAB-1BD4-4E85-9D88-3C760E93E318}"/>
    <cellStyle name="Normal 2 3 3 3 5 2 2 2 5" xfId="19833" xr:uid="{0120723E-CEFE-495E-8EAC-BDEA34D08A9A}"/>
    <cellStyle name="Normal 2 3 3 3 5 2 2 2 6" xfId="19834" xr:uid="{D3E8FCAD-939A-4FC5-A843-D7A96AFDE24F}"/>
    <cellStyle name="Normal 2 3 3 3 5 2 2 3" xfId="19835" xr:uid="{11D829AB-E41B-45C9-BA83-75BB2BCFCA78}"/>
    <cellStyle name="Normal 2 3 3 3 5 2 2 4" xfId="19836" xr:uid="{3AD83391-8B78-4ADF-B014-ABB386A9CF85}"/>
    <cellStyle name="Normal 2 3 3 3 5 2 2 5" xfId="19837" xr:uid="{F822A971-A370-43DE-BDC5-791315FAFB41}"/>
    <cellStyle name="Normal 2 3 3 3 5 2 2 6" xfId="19838" xr:uid="{DB2CC491-F9D1-4DD1-9995-A50349BCE3BB}"/>
    <cellStyle name="Normal 2 3 3 3 5 2 3" xfId="19839" xr:uid="{10EB1040-A11C-428A-98A1-14358B03AF60}"/>
    <cellStyle name="Normal 2 3 3 3 5 2 4" xfId="19840" xr:uid="{2905B93F-8FD4-457A-8A48-07EC48D0C35E}"/>
    <cellStyle name="Normal 2 3 3 3 5 2 5" xfId="19841" xr:uid="{ED1D786A-E9D8-497A-9563-F2DE15456DAC}"/>
    <cellStyle name="Normal 2 3 3 3 5 2 6" xfId="19842" xr:uid="{EC60E649-FEB0-4348-8049-83DC73F1DBDE}"/>
    <cellStyle name="Normal 2 3 3 3 5 2 7" xfId="19843" xr:uid="{FCC5B084-041D-412D-9C6A-39300F0C2529}"/>
    <cellStyle name="Normal 2 3 3 3 5 2 8" xfId="19844" xr:uid="{D3313B04-614B-400A-ACF7-EF99406C7BF8}"/>
    <cellStyle name="Normal 2 3 3 3 5 2 9" xfId="19845" xr:uid="{05B81205-C07D-43E6-A5C6-B7C793D42208}"/>
    <cellStyle name="Normal 2 3 3 3 5 3" xfId="19846" xr:uid="{7C1530A7-1AE4-4C30-8131-60C351894A9C}"/>
    <cellStyle name="Normal 2 3 3 3 5 3 2" xfId="19847" xr:uid="{1A9CB5E9-5DA2-4CC8-951D-964F5D6BA8D3}"/>
    <cellStyle name="Normal 2 3 3 3 5 3 2 2" xfId="19848" xr:uid="{9455AE44-0359-4ECD-9220-2E239DFF6E22}"/>
    <cellStyle name="Normal 2 3 3 3 5 3 2 3" xfId="19849" xr:uid="{47C4242F-473F-4C79-A4A4-FDC9F78669DB}"/>
    <cellStyle name="Normal 2 3 3 3 5 3 2 4" xfId="19850" xr:uid="{A88AE799-9D4A-47B9-ADF4-EF417A2F4B4B}"/>
    <cellStyle name="Normal 2 3 3 3 5 3 2 5" xfId="19851" xr:uid="{4BDD0FE2-20AF-4BFA-B4E7-BD1D6F117D36}"/>
    <cellStyle name="Normal 2 3 3 3 5 3 2 6" xfId="19852" xr:uid="{E29113B0-8273-4F27-9F03-C2C8155D9C95}"/>
    <cellStyle name="Normal 2 3 3 3 5 3 3" xfId="19853" xr:uid="{39AE7F2E-35A2-4F01-9708-F46C4F76F993}"/>
    <cellStyle name="Normal 2 3 3 3 5 3 4" xfId="19854" xr:uid="{D46347DD-6CC5-43B3-9B9D-C06C050463C8}"/>
    <cellStyle name="Normal 2 3 3 3 5 3 5" xfId="19855" xr:uid="{8F6935B3-C780-41E0-A5D0-AF9B284A91B8}"/>
    <cellStyle name="Normal 2 3 3 3 5 3 6" xfId="19856" xr:uid="{862E454E-927F-4C61-8959-2A40D4C482FA}"/>
    <cellStyle name="Normal 2 3 3 3 5 4" xfId="19857" xr:uid="{D2056549-FA31-48F2-92B3-7F6593FCE3A2}"/>
    <cellStyle name="Normal 2 3 3 3 5 5" xfId="19858" xr:uid="{2250A0CF-C9CD-4922-B3FD-29093546CFD1}"/>
    <cellStyle name="Normal 2 3 3 3 5 6" xfId="19859" xr:uid="{216D0724-BC43-4E05-993C-C968D9873BD8}"/>
    <cellStyle name="Normal 2 3 3 3 5 7" xfId="19860" xr:uid="{4B1035D2-FC57-4D0B-B04E-F20D2BF8B7F0}"/>
    <cellStyle name="Normal 2 3 3 3 5 8" xfId="19861" xr:uid="{002E37D9-AA60-4F0E-A147-CDA9F4F61CD1}"/>
    <cellStyle name="Normal 2 3 3 3 5 9" xfId="19862" xr:uid="{1EECA1A8-D018-49AD-95A7-CE67C8C25A1B}"/>
    <cellStyle name="Normal 2 3 3 3 6" xfId="19863" xr:uid="{DFFBFC47-06E0-4DE0-8C78-83B8464A60A6}"/>
    <cellStyle name="Normal 2 3 3 3 7" xfId="19864" xr:uid="{C6C87084-8B8B-4091-AACE-01F0B74A73AD}"/>
    <cellStyle name="Normal 2 3 3 3 8" xfId="19865" xr:uid="{26036AF0-07A6-440D-B1C3-5AA61C011004}"/>
    <cellStyle name="Normal 2 3 3 3 8 2" xfId="19866" xr:uid="{A2FE5274-CBAB-4C70-8E6F-04E49579ABEF}"/>
    <cellStyle name="Normal 2 3 3 3 8 2 2" xfId="19867" xr:uid="{6BB895D4-C26B-4B01-9FFB-81C946AE060A}"/>
    <cellStyle name="Normal 2 3 3 3 8 2 3" xfId="19868" xr:uid="{B601CADE-E571-40D3-BA91-86CF8E3E9EE6}"/>
    <cellStyle name="Normal 2 3 3 3 8 2 4" xfId="19869" xr:uid="{1B1B0B65-1C91-48F0-B8C1-F9E53A402706}"/>
    <cellStyle name="Normal 2 3 3 3 8 2 5" xfId="19870" xr:uid="{660604C3-9084-4020-B2EC-D3C8AB24E674}"/>
    <cellStyle name="Normal 2 3 3 3 8 2 6" xfId="19871" xr:uid="{0545DC30-F40B-4AE7-BDCD-90AEB2EBDF54}"/>
    <cellStyle name="Normal 2 3 3 3 8 3" xfId="19872" xr:uid="{745737E8-DD9E-4C89-9100-E7E7F85AAAAE}"/>
    <cellStyle name="Normal 2 3 3 3 8 4" xfId="19873" xr:uid="{5C28D3E4-8A78-4BE7-AC62-FA84CFD955A2}"/>
    <cellStyle name="Normal 2 3 3 3 8 5" xfId="19874" xr:uid="{D16BB84B-5558-466C-9069-BE57D878D17C}"/>
    <cellStyle name="Normal 2 3 3 3 8 6" xfId="19875" xr:uid="{B461B874-12C6-48E1-9AF8-E31856996708}"/>
    <cellStyle name="Normal 2 3 3 3 9" xfId="19876" xr:uid="{5A678F97-44EC-461B-A725-D5FA086956B9}"/>
    <cellStyle name="Normal 2 3 3 4" xfId="19877" xr:uid="{ECF88078-FEE3-4E4B-A656-7814D3413618}"/>
    <cellStyle name="Normal 2 3 3 5" xfId="19878" xr:uid="{A767D099-D2A8-48E9-98B6-B21DD6A158BF}"/>
    <cellStyle name="Normal 2 3 3 5 10" xfId="19879" xr:uid="{3C9ADA28-FE94-44A9-B085-78D85128AE9B}"/>
    <cellStyle name="Normal 2 3 3 5 11" xfId="19880" xr:uid="{684B1480-BA24-4ABE-85F4-E8C7AF253CD2}"/>
    <cellStyle name="Normal 2 3 3 5 12" xfId="19881" xr:uid="{373F73E6-7377-4035-B06C-7C3F90D88B5D}"/>
    <cellStyle name="Normal 2 3 3 5 2" xfId="19882" xr:uid="{2880F1F2-1FD8-42BD-956E-252F39653FC3}"/>
    <cellStyle name="Normal 2 3 3 5 2 10" xfId="19883" xr:uid="{ED8FE3F0-4E29-43D4-A18B-F7065B850ECC}"/>
    <cellStyle name="Normal 2 3 3 5 2 11" xfId="19884" xr:uid="{2DEC4148-CE01-41E1-A03F-76BD2DACC974}"/>
    <cellStyle name="Normal 2 3 3 5 2 12" xfId="19885" xr:uid="{6288487A-1E1F-4EFB-9C3E-E34B8346A19D}"/>
    <cellStyle name="Normal 2 3 3 5 2 2" xfId="19886" xr:uid="{543E988E-A2CB-4850-A97D-1761F1354748}"/>
    <cellStyle name="Normal 2 3 3 5 2 2 2" xfId="19887" xr:uid="{AABDE204-0B5D-4829-9ABE-C794C4189199}"/>
    <cellStyle name="Normal 2 3 3 5 2 2 2 2" xfId="19888" xr:uid="{22FB219A-A5F9-45AF-8930-D364B222B7E6}"/>
    <cellStyle name="Normal 2 3 3 5 2 2 2 2 2" xfId="19889" xr:uid="{2BC6434E-3042-4265-A712-2942556AD056}"/>
    <cellStyle name="Normal 2 3 3 5 2 2 2 2 2 2" xfId="19890" xr:uid="{6B4FD90A-83C8-4665-83B9-0539D5C18799}"/>
    <cellStyle name="Normal 2 3 3 5 2 2 2 2 2 3" xfId="19891" xr:uid="{FD9B7FD3-5242-4A24-9DC4-BC07A130FAA6}"/>
    <cellStyle name="Normal 2 3 3 5 2 2 2 2 2 4" xfId="19892" xr:uid="{088E6193-6076-4D98-9267-718139DAAA41}"/>
    <cellStyle name="Normal 2 3 3 5 2 2 2 2 2 5" xfId="19893" xr:uid="{B28A7089-E3D3-4EBA-AFE0-87981A9BF926}"/>
    <cellStyle name="Normal 2 3 3 5 2 2 2 2 2 6" xfId="19894" xr:uid="{3A46AA97-D23E-43D2-83DD-B4F3BD438533}"/>
    <cellStyle name="Normal 2 3 3 5 2 2 2 2 3" xfId="19895" xr:uid="{3A8F88AD-0B68-4F87-82D4-1B56AE6D51E6}"/>
    <cellStyle name="Normal 2 3 3 5 2 2 2 2 4" xfId="19896" xr:uid="{445D3B3B-45D7-4967-AFE7-014C9BB06286}"/>
    <cellStyle name="Normal 2 3 3 5 2 2 2 2 5" xfId="19897" xr:uid="{880DD347-663D-4382-BC48-5977905EA983}"/>
    <cellStyle name="Normal 2 3 3 5 2 2 2 2 6" xfId="19898" xr:uid="{C1378A7E-909E-40FE-9669-C1BF01720132}"/>
    <cellStyle name="Normal 2 3 3 5 2 2 2 3" xfId="19899" xr:uid="{C5149E8F-FA98-4AE4-8B63-E37325575F2F}"/>
    <cellStyle name="Normal 2 3 3 5 2 2 2 4" xfId="19900" xr:uid="{58A30453-2053-48D6-9A73-1DF5711B2EC5}"/>
    <cellStyle name="Normal 2 3 3 5 2 2 2 5" xfId="19901" xr:uid="{6FFB62D7-ECE1-476C-BA31-5610440DA269}"/>
    <cellStyle name="Normal 2 3 3 5 2 2 2 6" xfId="19902" xr:uid="{A87B04AE-6B9C-4C2A-A751-E293C16DFEBE}"/>
    <cellStyle name="Normal 2 3 3 5 2 2 2 7" xfId="19903" xr:uid="{230E42E5-1C13-4912-87C9-11905992A82E}"/>
    <cellStyle name="Normal 2 3 3 5 2 2 2 8" xfId="19904" xr:uid="{D529E19D-BB96-4A3F-B6ED-BD8268D7E692}"/>
    <cellStyle name="Normal 2 3 3 5 2 2 2 9" xfId="19905" xr:uid="{7FE0EDDB-DEAB-4CCF-B878-AD51C5A8E9C0}"/>
    <cellStyle name="Normal 2 3 3 5 2 2 3" xfId="19906" xr:uid="{E1A74429-3EA5-46F3-AC80-A59B0FD6B279}"/>
    <cellStyle name="Normal 2 3 3 5 2 2 3 2" xfId="19907" xr:uid="{351C6F37-7E96-48BC-B8FA-30C6D4400CDB}"/>
    <cellStyle name="Normal 2 3 3 5 2 2 3 2 2" xfId="19908" xr:uid="{B58FA283-5982-4866-8DDA-D6E69081EFC8}"/>
    <cellStyle name="Normal 2 3 3 5 2 2 3 2 3" xfId="19909" xr:uid="{355A3ADD-57EF-49ED-B2D5-CAE0D97948BF}"/>
    <cellStyle name="Normal 2 3 3 5 2 2 3 2 4" xfId="19910" xr:uid="{F75E3012-7DBE-4D01-A1E3-FD7BB21C4B1A}"/>
    <cellStyle name="Normal 2 3 3 5 2 2 3 2 5" xfId="19911" xr:uid="{6CAADA66-11BA-4266-ACC8-7A7967694168}"/>
    <cellStyle name="Normal 2 3 3 5 2 2 3 2 6" xfId="19912" xr:uid="{CEA4C484-5507-4EB6-B7BB-3CEB68AE3378}"/>
    <cellStyle name="Normal 2 3 3 5 2 2 3 3" xfId="19913" xr:uid="{65B8EA00-8808-4C35-B585-EA89F01E57F9}"/>
    <cellStyle name="Normal 2 3 3 5 2 2 3 4" xfId="19914" xr:uid="{85D68914-1EC3-4280-84E7-4C76CA45795D}"/>
    <cellStyle name="Normal 2 3 3 5 2 2 3 5" xfId="19915" xr:uid="{728245E5-D188-49E7-8138-2F4441097ED9}"/>
    <cellStyle name="Normal 2 3 3 5 2 2 3 6" xfId="19916" xr:uid="{2C3539EB-13D1-48EC-9373-D4D34C32B41F}"/>
    <cellStyle name="Normal 2 3 3 5 2 2 4" xfId="19917" xr:uid="{CEC7BF14-475F-49DC-9760-7DF38A8096CE}"/>
    <cellStyle name="Normal 2 3 3 5 2 2 5" xfId="19918" xr:uid="{A5C0DC77-C855-4BE3-9F9F-C76FC1B0EEE8}"/>
    <cellStyle name="Normal 2 3 3 5 2 2 6" xfId="19919" xr:uid="{7DD8CB1B-75FD-49CC-9E07-F727ED4C6CD2}"/>
    <cellStyle name="Normal 2 3 3 5 2 2 7" xfId="19920" xr:uid="{E2F3FBA5-09D4-4CF5-AA59-2D17A9727610}"/>
    <cellStyle name="Normal 2 3 3 5 2 2 8" xfId="19921" xr:uid="{B3A707A4-0ED0-432E-A22C-FB4170D38265}"/>
    <cellStyle name="Normal 2 3 3 5 2 2 9" xfId="19922" xr:uid="{19BDB304-6646-4AF7-854C-DBABFF9ACE34}"/>
    <cellStyle name="Normal 2 3 3 5 2 3" xfId="19923" xr:uid="{B6F13DB9-14E4-4D6A-896C-CBB3358652CD}"/>
    <cellStyle name="Normal 2 3 3 5 2 4" xfId="19924" xr:uid="{AD42D99F-AE33-4942-BBF2-7CF1BE506654}"/>
    <cellStyle name="Normal 2 3 3 5 2 5" xfId="19925" xr:uid="{0573B8E2-4BDF-4CB5-887B-79022B659A52}"/>
    <cellStyle name="Normal 2 3 3 5 2 5 2" xfId="19926" xr:uid="{8082CC89-2FEA-4FA5-B53C-33BDD900A982}"/>
    <cellStyle name="Normal 2 3 3 5 2 5 2 2" xfId="19927" xr:uid="{5946ACA8-2E12-464C-8D98-01A113F2486D}"/>
    <cellStyle name="Normal 2 3 3 5 2 5 2 3" xfId="19928" xr:uid="{AE4EF0E1-9327-45AF-9860-8BD50179CAAA}"/>
    <cellStyle name="Normal 2 3 3 5 2 5 2 4" xfId="19929" xr:uid="{4B43DF57-0051-4A73-9D52-9B845DBB9A2D}"/>
    <cellStyle name="Normal 2 3 3 5 2 5 2 5" xfId="19930" xr:uid="{BF5090A2-3143-4ADF-B8FD-1473C3952360}"/>
    <cellStyle name="Normal 2 3 3 5 2 5 2 6" xfId="19931" xr:uid="{58949F16-30FA-4D1A-9E66-D2EDCB24E770}"/>
    <cellStyle name="Normal 2 3 3 5 2 5 3" xfId="19932" xr:uid="{EA031255-E734-4127-9584-EB055B11A3F6}"/>
    <cellStyle name="Normal 2 3 3 5 2 5 4" xfId="19933" xr:uid="{86D84747-EE46-4568-9CD8-91AFB1270FC6}"/>
    <cellStyle name="Normal 2 3 3 5 2 5 5" xfId="19934" xr:uid="{D0D5293F-E7BC-42BA-9594-7402F496B6C7}"/>
    <cellStyle name="Normal 2 3 3 5 2 5 6" xfId="19935" xr:uid="{A20F320F-698F-426F-B04E-B2117FBB8E93}"/>
    <cellStyle name="Normal 2 3 3 5 2 6" xfId="19936" xr:uid="{D7450354-8C3C-474B-B91C-C93933819EC5}"/>
    <cellStyle name="Normal 2 3 3 5 2 7" xfId="19937" xr:uid="{73941817-3DBE-4BFF-B09D-587CBB7ACC25}"/>
    <cellStyle name="Normal 2 3 3 5 2 8" xfId="19938" xr:uid="{AFC30BEB-2E16-4822-B117-FC7355E07826}"/>
    <cellStyle name="Normal 2 3 3 5 2 9" xfId="19939" xr:uid="{D172F5E5-BABB-4854-962A-23C5A3948C84}"/>
    <cellStyle name="Normal 2 3 3 5 3" xfId="19940" xr:uid="{C1A50F0B-0C23-4EE1-B6E3-E03622E8DC22}"/>
    <cellStyle name="Normal 2 3 3 5 3 2" xfId="19941" xr:uid="{72A9C471-9A6C-4BA9-90C5-A59C7B64E8DD}"/>
    <cellStyle name="Normal 2 3 3 5 3 2 2" xfId="19942" xr:uid="{193D4FBD-7538-4D85-9903-0B235E112F55}"/>
    <cellStyle name="Normal 2 3 3 5 3 2 2 2" xfId="19943" xr:uid="{230AF7C5-EE35-4C01-8405-174A4BCD077B}"/>
    <cellStyle name="Normal 2 3 3 5 3 2 2 2 2" xfId="19944" xr:uid="{8D35121B-1920-4C7C-B628-C5A3157EE0D3}"/>
    <cellStyle name="Normal 2 3 3 5 3 2 2 2 3" xfId="19945" xr:uid="{1BEC2B57-4591-490F-8CB6-25237C4CE931}"/>
    <cellStyle name="Normal 2 3 3 5 3 2 2 2 4" xfId="19946" xr:uid="{27D3EA94-8918-486C-B9EC-AE00D928D6F4}"/>
    <cellStyle name="Normal 2 3 3 5 3 2 2 2 5" xfId="19947" xr:uid="{EB7CC75A-6DD6-44E7-844C-AD947D893BDE}"/>
    <cellStyle name="Normal 2 3 3 5 3 2 2 2 6" xfId="19948" xr:uid="{2BF10E5E-160F-467E-8A99-873E2F98F9A0}"/>
    <cellStyle name="Normal 2 3 3 5 3 2 2 3" xfId="19949" xr:uid="{301C103B-275F-492C-97C5-E59D9023E96C}"/>
    <cellStyle name="Normal 2 3 3 5 3 2 2 4" xfId="19950" xr:uid="{03AB1165-C160-4150-A1D0-0149612EC5F0}"/>
    <cellStyle name="Normal 2 3 3 5 3 2 2 5" xfId="19951" xr:uid="{7E993EB3-A33C-4CE4-81C7-816B3D60CB46}"/>
    <cellStyle name="Normal 2 3 3 5 3 2 2 6" xfId="19952" xr:uid="{06AA89A9-0198-470B-AD75-4C3D2B8810E0}"/>
    <cellStyle name="Normal 2 3 3 5 3 2 3" xfId="19953" xr:uid="{2237E75B-8D76-4F83-BEC0-DA2A71AC4338}"/>
    <cellStyle name="Normal 2 3 3 5 3 2 4" xfId="19954" xr:uid="{114393B7-56A7-4436-BCF7-32E965A8718B}"/>
    <cellStyle name="Normal 2 3 3 5 3 2 5" xfId="19955" xr:uid="{ED867CB8-DF4F-4195-83AB-64F7B0FE9083}"/>
    <cellStyle name="Normal 2 3 3 5 3 2 6" xfId="19956" xr:uid="{2D616D63-B028-4E4B-84BD-E27E8FB78140}"/>
    <cellStyle name="Normal 2 3 3 5 3 2 7" xfId="19957" xr:uid="{EA3F7F3F-AA25-4DD9-B0C6-5C1D8F9DF88F}"/>
    <cellStyle name="Normal 2 3 3 5 3 2 8" xfId="19958" xr:uid="{CA7B301E-5600-4E58-AB82-54B00CDF61E6}"/>
    <cellStyle name="Normal 2 3 3 5 3 2 9" xfId="19959" xr:uid="{32942D04-9C07-45B9-92E3-A4AF98317254}"/>
    <cellStyle name="Normal 2 3 3 5 3 3" xfId="19960" xr:uid="{B7894984-193C-431F-A8D8-12C2EA4ACEF1}"/>
    <cellStyle name="Normal 2 3 3 5 3 3 2" xfId="19961" xr:uid="{FED7ABDA-E701-40B2-AB1A-6D0C711673F8}"/>
    <cellStyle name="Normal 2 3 3 5 3 3 2 2" xfId="19962" xr:uid="{57B84435-3024-49A3-A86D-38F1AB2CE2FC}"/>
    <cellStyle name="Normal 2 3 3 5 3 3 2 3" xfId="19963" xr:uid="{837D9EA1-90AB-4A45-A6D7-739035DF11AF}"/>
    <cellStyle name="Normal 2 3 3 5 3 3 2 4" xfId="19964" xr:uid="{905DA4AD-AE80-4056-B643-2F5B41DE55CF}"/>
    <cellStyle name="Normal 2 3 3 5 3 3 2 5" xfId="19965" xr:uid="{A8B7BF87-C435-4578-8F63-21AAB79B06EE}"/>
    <cellStyle name="Normal 2 3 3 5 3 3 2 6" xfId="19966" xr:uid="{4370DA8D-ECA6-4FB6-8795-E5499C77E339}"/>
    <cellStyle name="Normal 2 3 3 5 3 3 3" xfId="19967" xr:uid="{A9DCF781-0D04-4DA6-AC68-7729D9610D61}"/>
    <cellStyle name="Normal 2 3 3 5 3 3 4" xfId="19968" xr:uid="{39A8F3C6-69F3-46D7-A6FF-72218D8C3351}"/>
    <cellStyle name="Normal 2 3 3 5 3 3 5" xfId="19969" xr:uid="{3029B6D7-F74E-432A-BDEE-D7D70C3C8C59}"/>
    <cellStyle name="Normal 2 3 3 5 3 3 6" xfId="19970" xr:uid="{BB597D81-40F1-4DE9-968A-2C98A22FB06B}"/>
    <cellStyle name="Normal 2 3 3 5 3 4" xfId="19971" xr:uid="{504FF787-E705-413A-A4B0-738E0F0FE087}"/>
    <cellStyle name="Normal 2 3 3 5 3 5" xfId="19972" xr:uid="{6F8B1CC1-0DC0-4A93-82D9-39014CDB1E14}"/>
    <cellStyle name="Normal 2 3 3 5 3 6" xfId="19973" xr:uid="{8B3FAE2E-A157-4BBE-8AB3-3BCD60349E57}"/>
    <cellStyle name="Normal 2 3 3 5 3 7" xfId="19974" xr:uid="{114C1669-A9CA-4779-BF61-68A5FA6879DF}"/>
    <cellStyle name="Normal 2 3 3 5 3 8" xfId="19975" xr:uid="{286EE941-0961-4D11-B26D-88889CF52459}"/>
    <cellStyle name="Normal 2 3 3 5 3 9" xfId="19976" xr:uid="{BF4C17DF-4105-4AF2-9FF1-A1B5F011727A}"/>
    <cellStyle name="Normal 2 3 3 5 4" xfId="19977" xr:uid="{655C32C4-D749-48DA-A2C7-31875043FE16}"/>
    <cellStyle name="Normal 2 3 3 5 5" xfId="19978" xr:uid="{ED291F7D-9AC4-482E-AD92-5E17464CDF5B}"/>
    <cellStyle name="Normal 2 3 3 5 5 2" xfId="19979" xr:uid="{EBDA682B-DC4E-4995-8589-47330336EE06}"/>
    <cellStyle name="Normal 2 3 3 5 5 2 2" xfId="19980" xr:uid="{79908D2D-F97A-42C8-9A0A-EA93FE3E72F7}"/>
    <cellStyle name="Normal 2 3 3 5 5 2 3" xfId="19981" xr:uid="{CA6A79C2-444A-4666-86EA-B58576A7E361}"/>
    <cellStyle name="Normal 2 3 3 5 5 2 4" xfId="19982" xr:uid="{14302412-3D50-480C-A0B1-597B3EA19929}"/>
    <cellStyle name="Normal 2 3 3 5 5 2 5" xfId="19983" xr:uid="{4C0AB353-2038-4DDD-AF7F-FBAFCD2C79E3}"/>
    <cellStyle name="Normal 2 3 3 5 5 2 6" xfId="19984" xr:uid="{C51A80E1-F0B4-4FFF-A070-5A64EC0FCBC2}"/>
    <cellStyle name="Normal 2 3 3 5 5 3" xfId="19985" xr:uid="{346174EC-17BC-4E06-934A-14489F242C0A}"/>
    <cellStyle name="Normal 2 3 3 5 5 4" xfId="19986" xr:uid="{2CB5EBE9-D465-47B9-AA74-9C88DD559051}"/>
    <cellStyle name="Normal 2 3 3 5 5 5" xfId="19987" xr:uid="{E558C2C4-9365-44AC-8599-9E5C83F7C402}"/>
    <cellStyle name="Normal 2 3 3 5 5 6" xfId="19988" xr:uid="{1E3715E8-0342-4E3A-BBA2-EB65C86BDB39}"/>
    <cellStyle name="Normal 2 3 3 5 6" xfId="19989" xr:uid="{58DA6E43-58F4-4539-ADA5-662EBE649DC5}"/>
    <cellStyle name="Normal 2 3 3 5 7" xfId="19990" xr:uid="{86B675E6-094D-4289-842A-140DA4F1877B}"/>
    <cellStyle name="Normal 2 3 3 5 8" xfId="19991" xr:uid="{38434F40-D770-4C34-A81E-B2165125570F}"/>
    <cellStyle name="Normal 2 3 3 5 9" xfId="19992" xr:uid="{D3AB3759-B2EF-430B-84B1-6B86E344A6BD}"/>
    <cellStyle name="Normal 2 3 3 6" xfId="19993" xr:uid="{9C6465AB-6614-4298-B35C-19D59AC7778F}"/>
    <cellStyle name="Normal 2 3 3 7" xfId="19994" xr:uid="{7DE155FE-AB66-4BF7-AF37-759675F0C28E}"/>
    <cellStyle name="Normal 2 3 3 8" xfId="19995" xr:uid="{A33F46E8-790B-473B-9B38-A997F0934A33}"/>
    <cellStyle name="Normal 2 3 3 8 2" xfId="19996" xr:uid="{6F8EDA2D-2B69-47F3-B2A2-D0F99F31C836}"/>
    <cellStyle name="Normal 2 3 3 8 2 2" xfId="19997" xr:uid="{BDE153E2-08F9-4BA9-BF40-559E487A667C}"/>
    <cellStyle name="Normal 2 3 3 8 2 2 2" xfId="19998" xr:uid="{D438518E-1431-432A-B3DB-7676158EA19C}"/>
    <cellStyle name="Normal 2 3 3 8 2 2 2 2" xfId="19999" xr:uid="{8C2FE578-390B-4312-A135-F2B676460128}"/>
    <cellStyle name="Normal 2 3 3 8 2 2 2 3" xfId="20000" xr:uid="{4A61D6A5-8C65-46F1-8870-04E60EC25F11}"/>
    <cellStyle name="Normal 2 3 3 8 2 2 2 4" xfId="20001" xr:uid="{6474C302-01E1-4903-85CC-67B726B8B398}"/>
    <cellStyle name="Normal 2 3 3 8 2 2 2 5" xfId="20002" xr:uid="{9C413A66-92CC-4780-82A4-A852A76F5DC9}"/>
    <cellStyle name="Normal 2 3 3 8 2 2 2 6" xfId="20003" xr:uid="{B9C543FF-E720-4433-A12C-6CFCC45B4F14}"/>
    <cellStyle name="Normal 2 3 3 8 2 2 3" xfId="20004" xr:uid="{DB297034-786C-4A02-A678-FBD72DBB77FC}"/>
    <cellStyle name="Normal 2 3 3 8 2 2 4" xfId="20005" xr:uid="{16489C27-BC70-4322-882E-3B61611C9365}"/>
    <cellStyle name="Normal 2 3 3 8 2 2 5" xfId="20006" xr:uid="{F178653F-E8BF-4D7C-B0CE-9013C310015A}"/>
    <cellStyle name="Normal 2 3 3 8 2 2 6" xfId="20007" xr:uid="{11B93DD0-A35B-4B6F-A21A-D74F2983848D}"/>
    <cellStyle name="Normal 2 3 3 8 2 3" xfId="20008" xr:uid="{76DAA3C7-579F-4A0C-B1F4-FA628DF892A5}"/>
    <cellStyle name="Normal 2 3 3 8 2 4" xfId="20009" xr:uid="{1A1A404E-5B4A-477B-B3CB-05FBED08FED6}"/>
    <cellStyle name="Normal 2 3 3 8 2 5" xfId="20010" xr:uid="{647028DB-D742-4F36-AEFE-1A32FB6DFA82}"/>
    <cellStyle name="Normal 2 3 3 8 2 6" xfId="20011" xr:uid="{22A186ED-3609-459F-B028-402BCCDA4DFB}"/>
    <cellStyle name="Normal 2 3 3 8 2 7" xfId="20012" xr:uid="{D2AD064B-93C5-42A1-8461-A5CD6191D992}"/>
    <cellStyle name="Normal 2 3 3 8 2 8" xfId="20013" xr:uid="{026C1C3D-75B9-4A8D-9F3A-A2D314DD5F8E}"/>
    <cellStyle name="Normal 2 3 3 8 2 9" xfId="20014" xr:uid="{81CCDEE0-5531-4B96-A97E-097A20A21576}"/>
    <cellStyle name="Normal 2 3 3 8 3" xfId="20015" xr:uid="{C8C18FA2-0ECD-4466-8CC1-B6CFF0CDB828}"/>
    <cellStyle name="Normal 2 3 3 8 3 2" xfId="20016" xr:uid="{C62D15C8-082D-41C2-A7CA-43DCA31C198E}"/>
    <cellStyle name="Normal 2 3 3 8 3 2 2" xfId="20017" xr:uid="{8EDCA893-5287-413B-867D-5AFBAAE107C7}"/>
    <cellStyle name="Normal 2 3 3 8 3 2 3" xfId="20018" xr:uid="{6ABB09C1-E040-4BD3-9F1E-D750CDB0D227}"/>
    <cellStyle name="Normal 2 3 3 8 3 2 4" xfId="20019" xr:uid="{080A1D8B-B9EE-4CD1-9654-4ADA960FCE97}"/>
    <cellStyle name="Normal 2 3 3 8 3 2 5" xfId="20020" xr:uid="{8CA22C01-A43D-4218-B7F1-FD758DCFA362}"/>
    <cellStyle name="Normal 2 3 3 8 3 2 6" xfId="20021" xr:uid="{39BB26EB-00DE-47E9-9FF1-A4E465EC6FD6}"/>
    <cellStyle name="Normal 2 3 3 8 3 3" xfId="20022" xr:uid="{9C89E6C6-D8A2-40E1-BBCF-1FF2C3D8C6A8}"/>
    <cellStyle name="Normal 2 3 3 8 3 4" xfId="20023" xr:uid="{59F5A879-0BB0-4EF1-BB68-DE5CC4149390}"/>
    <cellStyle name="Normal 2 3 3 8 3 5" xfId="20024" xr:uid="{28BCBC40-EC50-4CEE-A2BD-2641F7D70861}"/>
    <cellStyle name="Normal 2 3 3 8 3 6" xfId="20025" xr:uid="{865FC3B7-D7A0-4077-B037-92A59D08DE97}"/>
    <cellStyle name="Normal 2 3 3 8 4" xfId="20026" xr:uid="{975B29C3-F37B-4B9A-B5F3-202E570E682F}"/>
    <cellStyle name="Normal 2 3 3 8 5" xfId="20027" xr:uid="{D5CDBCAD-C0D9-4A96-994C-75394E48C852}"/>
    <cellStyle name="Normal 2 3 3 8 6" xfId="20028" xr:uid="{69A80A6E-595B-42B9-BC75-DEA02B569C9F}"/>
    <cellStyle name="Normal 2 3 3 8 7" xfId="20029" xr:uid="{C4782033-81F1-48A6-9CAC-7066636D611E}"/>
    <cellStyle name="Normal 2 3 3 8 8" xfId="20030" xr:uid="{FBF80B6F-056C-4F8F-872C-AD864D5F3E79}"/>
    <cellStyle name="Normal 2 3 3 8 9" xfId="20031" xr:uid="{C71E4E41-553B-4D09-8605-7C5AF0E6A197}"/>
    <cellStyle name="Normal 2 3 3 9" xfId="20032" xr:uid="{83C90B6C-72FF-4539-9CB8-8D18B79773E7}"/>
    <cellStyle name="Normal 2 3 30" xfId="20033" xr:uid="{34EE61DC-110C-4B7E-A4A8-7795E2C7C571}"/>
    <cellStyle name="Normal 2 3 31" xfId="20034" xr:uid="{8698C164-4BF2-4085-835A-3A621D43E43F}"/>
    <cellStyle name="Normal 2 3 32" xfId="20035" xr:uid="{BC8F56C8-CD12-4588-AD45-A5E7F0EE96EA}"/>
    <cellStyle name="Normal 2 3 33" xfId="20036" xr:uid="{351CA328-6ACE-4F7F-8C75-D5B812F00BD5}"/>
    <cellStyle name="Normal 2 3 34" xfId="20037" xr:uid="{66D383BE-DFB4-42D0-AB58-DCC402C2357D}"/>
    <cellStyle name="Normal 2 3 35" xfId="20038" xr:uid="{783BD9EB-212E-46BE-985C-6D5CAF3037B0}"/>
    <cellStyle name="Normal 2 3 36" xfId="20039" xr:uid="{FC42A80A-BA22-4188-A84D-53AC5A00A1B3}"/>
    <cellStyle name="Normal 2 3 36 10" xfId="20040" xr:uid="{DDBCB651-0307-4A4E-BE83-BBE4AA8C0284}"/>
    <cellStyle name="Normal 2 3 36 11" xfId="20041" xr:uid="{B9A65AAC-565B-4343-B673-4CD510CD8FF8}"/>
    <cellStyle name="Normal 2 3 36 12" xfId="20042" xr:uid="{33935FB1-89D7-48B9-ADCF-40CFC2B31D74}"/>
    <cellStyle name="Normal 2 3 36 13" xfId="20043" xr:uid="{349494D3-5984-4595-B42E-7DD9071BDAC6}"/>
    <cellStyle name="Normal 2 3 36 14" xfId="20044" xr:uid="{3E4BBFDE-ED85-45B3-9F69-98FD8686FBF0}"/>
    <cellStyle name="Normal 2 3 36 15" xfId="20045" xr:uid="{22771D9E-6528-4F14-98F7-9C1A2D673DE6}"/>
    <cellStyle name="Normal 2 3 36 16" xfId="20046" xr:uid="{5C0E235D-6B3D-42EF-BA8F-F364BC228E6C}"/>
    <cellStyle name="Normal 2 3 36 17" xfId="20047" xr:uid="{BD34C404-BD01-4FEE-ADE5-5017D016AD99}"/>
    <cellStyle name="Normal 2 3 36 2" xfId="20048" xr:uid="{FE6841BB-7999-4E0B-BF4C-DAA805522C5E}"/>
    <cellStyle name="Normal 2 3 36 2 10" xfId="20049" xr:uid="{7C490B82-A0AB-4E97-8656-A07B4A073726}"/>
    <cellStyle name="Normal 2 3 36 2 11" xfId="20050" xr:uid="{415DEA81-FF26-400D-B4F2-217CBCB5D063}"/>
    <cellStyle name="Normal 2 3 36 2 12" xfId="20051" xr:uid="{93521B83-74B6-46CE-9CAA-17EF0C25B70B}"/>
    <cellStyle name="Normal 2 3 36 2 13" xfId="20052" xr:uid="{1A3009BE-4C29-44FD-8C9E-80D3E5B7AD08}"/>
    <cellStyle name="Normal 2 3 36 2 14" xfId="20053" xr:uid="{6DE6D0D5-7F55-47F0-8E51-CD3D993C13ED}"/>
    <cellStyle name="Normal 2 3 36 2 15" xfId="20054" xr:uid="{B590B95E-C4E7-48DC-8BA8-1F2E9C1CEFCE}"/>
    <cellStyle name="Normal 2 3 36 2 16" xfId="20055" xr:uid="{1226647B-984F-477C-832C-783B1722FAF9}"/>
    <cellStyle name="Normal 2 3 36 2 17" xfId="20056" xr:uid="{7ED84839-0EA5-4D8C-9AE8-8590A891B220}"/>
    <cellStyle name="Normal 2 3 36 2 2" xfId="20057" xr:uid="{E8EFD636-3D29-426F-9818-E0BD07AFED4E}"/>
    <cellStyle name="Normal 2 3 36 2 2 2" xfId="20058" xr:uid="{224D1776-89E3-4F94-872A-F9F714E78886}"/>
    <cellStyle name="Normal 2 3 36 2 2 2 2" xfId="20059" xr:uid="{1BAF6CFB-5E43-4A99-A36D-1C14435DA302}"/>
    <cellStyle name="Normal 2 3 36 2 2 2 3" xfId="20060" xr:uid="{572016FC-08BA-44F6-9088-49C6394AA51E}"/>
    <cellStyle name="Normal 2 3 36 2 2 2 4" xfId="20061" xr:uid="{FE03D54E-51A7-4631-A3C5-50413C7E882C}"/>
    <cellStyle name="Normal 2 3 36 2 2 2 5" xfId="20062" xr:uid="{FB55325B-1E0E-406E-BA78-C7B667D86884}"/>
    <cellStyle name="Normal 2 3 36 2 2 2 6" xfId="20063" xr:uid="{8DBEE2B4-5CCF-4CA3-9C62-D29C79B1E5B4}"/>
    <cellStyle name="Normal 2 3 36 2 2 2 7" xfId="20064" xr:uid="{17245D41-D0EA-499D-B53A-4DAAE0A52A0D}"/>
    <cellStyle name="Normal 2 3 36 2 2 2 8" xfId="20065" xr:uid="{44D55FB9-393A-4C97-887C-6441B47299BF}"/>
    <cellStyle name="Normal 2 3 36 2 2 2 9" xfId="20066" xr:uid="{6FBB15D2-AF06-4087-A13C-F838A5BBB13E}"/>
    <cellStyle name="Normal 2 3 36 2 2 3" xfId="20067" xr:uid="{7410A5F9-2BB4-4ADB-94B7-BE125FE0A490}"/>
    <cellStyle name="Normal 2 3 36 2 2 4" xfId="20068" xr:uid="{6486C447-9AE0-4478-B788-7EA02C0B1C92}"/>
    <cellStyle name="Normal 2 3 36 2 2 5" xfId="20069" xr:uid="{B98EE0E0-FAB3-4F5A-8A93-79E761282A08}"/>
    <cellStyle name="Normal 2 3 36 2 2 6" xfId="20070" xr:uid="{1BF4F8FD-ED08-4311-9E4C-9E55D7A21C0E}"/>
    <cellStyle name="Normal 2 3 36 2 2 7" xfId="20071" xr:uid="{50C152E2-4779-4757-B9F5-445B8F67DE4D}"/>
    <cellStyle name="Normal 2 3 36 2 2 8" xfId="20072" xr:uid="{62C49FEB-388E-4602-B00B-2A7B702AEF82}"/>
    <cellStyle name="Normal 2 3 36 2 2 9" xfId="20073" xr:uid="{303BBD57-36E7-4CE5-9008-5A9E460B38C5}"/>
    <cellStyle name="Normal 2 3 36 2 3" xfId="20074" xr:uid="{CC609334-6E01-4E0B-BE2A-19B900FFEF03}"/>
    <cellStyle name="Normal 2 3 36 2 4" xfId="20075" xr:uid="{0678F3C9-29B9-4AF3-8128-177AAC81EA8E}"/>
    <cellStyle name="Normal 2 3 36 2 5" xfId="20076" xr:uid="{DF115CF7-E3E0-4B6A-93A9-FD1B159B577E}"/>
    <cellStyle name="Normal 2 3 36 2 6" xfId="20077" xr:uid="{B03E7A9E-418C-4664-9F0C-1072C73858C4}"/>
    <cellStyle name="Normal 2 3 36 2 7" xfId="20078" xr:uid="{E69408C2-D2AA-4EF9-A968-3427E047F48D}"/>
    <cellStyle name="Normal 2 3 36 2 8" xfId="20079" xr:uid="{360042F8-853C-444D-9D81-B807181D9CB9}"/>
    <cellStyle name="Normal 2 3 36 2 9" xfId="20080" xr:uid="{B58CD9AF-6F7D-4E19-9193-55F1F6C1A6A5}"/>
    <cellStyle name="Normal 2 3 36 3" xfId="20081" xr:uid="{939140D3-ED45-4DA8-9A0B-A5DCDF6E19BD}"/>
    <cellStyle name="Normal 2 3 36 3 2" xfId="20082" xr:uid="{39FB142A-CEE1-4314-A83A-07A54AFE3218}"/>
    <cellStyle name="Normal 2 3 36 3 2 2" xfId="20083" xr:uid="{B59244A8-FE9E-45C7-B2A6-DF0C4864C086}"/>
    <cellStyle name="Normal 2 3 36 3 2 3" xfId="20084" xr:uid="{2ECE08A2-C506-4F67-A4CB-A672A4961442}"/>
    <cellStyle name="Normal 2 3 36 3 2 4" xfId="20085" xr:uid="{1509FBE0-FE72-459C-A0FF-69547BFF143B}"/>
    <cellStyle name="Normal 2 3 36 3 2 5" xfId="20086" xr:uid="{675C06E0-71AA-4C7D-8FDA-BD7EEF3DEF20}"/>
    <cellStyle name="Normal 2 3 36 3 2 6" xfId="20087" xr:uid="{37B00DB6-A862-4195-8167-EC41DBB2CC24}"/>
    <cellStyle name="Normal 2 3 36 3 2 7" xfId="20088" xr:uid="{AF48FF91-1381-4640-A2BF-2DCDAA1816CD}"/>
    <cellStyle name="Normal 2 3 36 3 2 8" xfId="20089" xr:uid="{92619448-CF68-4649-9CF9-B889A9220AE2}"/>
    <cellStyle name="Normal 2 3 36 3 2 9" xfId="20090" xr:uid="{95DCE3CB-6E46-4845-8C06-663EEB9BEBAE}"/>
    <cellStyle name="Normal 2 3 36 3 3" xfId="20091" xr:uid="{5EAD5DAA-6AD1-4978-9759-68F58CAF6D63}"/>
    <cellStyle name="Normal 2 3 36 3 4" xfId="20092" xr:uid="{5954E5F9-B532-4E25-BC9B-BC08F1BEACF0}"/>
    <cellStyle name="Normal 2 3 36 3 5" xfId="20093" xr:uid="{BC677F0D-76E6-421E-B489-386964B3FE13}"/>
    <cellStyle name="Normal 2 3 36 3 6" xfId="20094" xr:uid="{655EE6DB-F74E-4777-A015-AE89A03D4B9E}"/>
    <cellStyle name="Normal 2 3 36 3 7" xfId="20095" xr:uid="{BFFABC55-56A5-4898-B72E-575E1FE2288B}"/>
    <cellStyle name="Normal 2 3 36 3 8" xfId="20096" xr:uid="{DD95CBE4-D82F-4DAB-9873-CE98B1166082}"/>
    <cellStyle name="Normal 2 3 36 3 9" xfId="20097" xr:uid="{1A88E216-82A2-48E8-9CB1-9ED603FFF50D}"/>
    <cellStyle name="Normal 2 3 36 4" xfId="20098" xr:uid="{FC1A1B9C-AEB6-451B-B5EA-10E396316416}"/>
    <cellStyle name="Normal 2 3 36 5" xfId="20099" xr:uid="{164F36AF-0EF8-4580-8BA5-903048EDE30E}"/>
    <cellStyle name="Normal 2 3 36 6" xfId="20100" xr:uid="{F84C8A01-9506-48C1-BEA3-CF1CEBE3DA8C}"/>
    <cellStyle name="Normal 2 3 36 7" xfId="20101" xr:uid="{094B4ED6-9D0C-4EC1-AEBA-21CCEA46923E}"/>
    <cellStyle name="Normal 2 3 36 8" xfId="20102" xr:uid="{B2ACE533-0E32-4CFA-93EF-7035928ADBB4}"/>
    <cellStyle name="Normal 2 3 36 9" xfId="20103" xr:uid="{44573EA8-1A84-4D8A-80FD-E451E1DC1C11}"/>
    <cellStyle name="Normal 2 3 37" xfId="20104" xr:uid="{3D596BC0-F830-4857-B72C-D7ADA7F28214}"/>
    <cellStyle name="Normal 2 3 38" xfId="20105" xr:uid="{51B69411-E3AA-4327-99F9-8AF5AFF64630}"/>
    <cellStyle name="Normal 2 3 39" xfId="20106" xr:uid="{5055B809-1644-49E1-A630-59689DEA6E95}"/>
    <cellStyle name="Normal 2 3 4" xfId="20107" xr:uid="{249FE4BE-EF2C-4839-9BCD-8AE5093DCA60}"/>
    <cellStyle name="Normal 2 3 4 2" xfId="20108" xr:uid="{D686DC92-29EC-4AD0-8A6B-2609CC76BE85}"/>
    <cellStyle name="Normal 2 3 4 3" xfId="20109" xr:uid="{726175A7-F70C-4367-AAC6-A3D320418ABD}"/>
    <cellStyle name="Normal 2 3 4 4" xfId="20110" xr:uid="{B504870B-76A3-4C80-9C45-7C0852A39882}"/>
    <cellStyle name="Normal 2 3 4 5" xfId="20111" xr:uid="{1085A3AD-E558-4EA2-BF09-CD10F4CE129E}"/>
    <cellStyle name="Normal 2 3 4 6" xfId="20112" xr:uid="{24A63E81-5914-468D-9CE7-F5BE934976BC}"/>
    <cellStyle name="Normal 2 3 40" xfId="20113" xr:uid="{6CACE18E-ABE7-4770-8E8B-5079FFE2885E}"/>
    <cellStyle name="Normal 2 3 41" xfId="20114" xr:uid="{38F8D6B4-4FA9-4905-8E4F-9CCFE07C5477}"/>
    <cellStyle name="Normal 2 3 42" xfId="20115" xr:uid="{55953547-E430-4E58-92DF-BB9DBA1E7EF2}"/>
    <cellStyle name="Normal 2 3 43" xfId="20116" xr:uid="{04CDB5C2-B9FD-4F66-A4CE-030A6DDD403A}"/>
    <cellStyle name="Normal 2 3 44" xfId="20117" xr:uid="{2F49D747-B4D4-4FED-B7B2-DBEE4FC3F354}"/>
    <cellStyle name="Normal 2 3 45" xfId="20118" xr:uid="{3D797A63-1573-49BD-92DC-03E3E93B9DFC}"/>
    <cellStyle name="Normal 2 3 46" xfId="20119" xr:uid="{DF6B76B3-24B6-4A33-9095-F5B19DB50889}"/>
    <cellStyle name="Normal 2 3 46 2" xfId="20120" xr:uid="{690B97C0-F363-41D3-9DD5-2B422029A1A4}"/>
    <cellStyle name="Normal 2 3 46 2 2" xfId="20121" xr:uid="{1EFDC371-C02A-4F75-8FFA-C4BE63262434}"/>
    <cellStyle name="Normal 2 3 46 2 3" xfId="20122" xr:uid="{C8C2C886-BA8A-40DA-91A1-746B1EB12EE8}"/>
    <cellStyle name="Normal 2 3 46 2 4" xfId="20123" xr:uid="{0F881CC5-5249-4006-B7D6-1113B1BD1D80}"/>
    <cellStyle name="Normal 2 3 46 2 5" xfId="20124" xr:uid="{173A8057-DF2A-4B7F-9C26-7D5B2C44CDB3}"/>
    <cellStyle name="Normal 2 3 46 2 6" xfId="20125" xr:uid="{2CBD860D-1714-4772-80BD-0AC2A312822C}"/>
    <cellStyle name="Normal 2 3 46 2 7" xfId="20126" xr:uid="{B83BB3BC-10F7-4749-A6F3-29DC76769281}"/>
    <cellStyle name="Normal 2 3 46 2 8" xfId="20127" xr:uid="{DB9BA8AF-C126-48EB-85F6-F17318972DAD}"/>
    <cellStyle name="Normal 2 3 46 2 9" xfId="20128" xr:uid="{77577414-EDB9-4470-841A-ABFCE91E037E}"/>
    <cellStyle name="Normal 2 3 46 3" xfId="20129" xr:uid="{E55634C2-85D9-452F-8C4C-A43EB6DA3710}"/>
    <cellStyle name="Normal 2 3 46 4" xfId="20130" xr:uid="{82BDB4AA-0926-4354-A285-DEA6CED452AA}"/>
    <cellStyle name="Normal 2 3 46 5" xfId="20131" xr:uid="{71DFF6D8-B92B-4406-8F97-F096A42597C5}"/>
    <cellStyle name="Normal 2 3 46 6" xfId="20132" xr:uid="{7DF919A8-0D70-49F7-BBBF-07890042EF00}"/>
    <cellStyle name="Normal 2 3 46 7" xfId="20133" xr:uid="{B1CBA48D-B8D9-43E5-94D3-E59CA140B9AF}"/>
    <cellStyle name="Normal 2 3 46 8" xfId="20134" xr:uid="{0FC6AF5D-7100-4FE5-9911-AEBAA9F2DE70}"/>
    <cellStyle name="Normal 2 3 46 9" xfId="20135" xr:uid="{73ADB15F-CB4C-4FB0-ADC7-5265D22397AC}"/>
    <cellStyle name="Normal 2 3 47" xfId="20136" xr:uid="{C243316C-1F0F-4B53-ACC3-2A2D58FD4CB2}"/>
    <cellStyle name="Normal 2 3 48" xfId="20137" xr:uid="{3B99013D-52DE-4F2B-9E31-E3277AB733AC}"/>
    <cellStyle name="Normal 2 3 49" xfId="20138" xr:uid="{3D0D67F7-511B-44FA-B932-5C52D9436C50}"/>
    <cellStyle name="Normal 2 3 5" xfId="20139" xr:uid="{D9979171-D421-41DB-B924-65150FEA1B67}"/>
    <cellStyle name="Normal 2 3 5 10" xfId="20140" xr:uid="{A8A0F6EB-CBEC-4AB8-9EC9-0AF64E8BDC7B}"/>
    <cellStyle name="Normal 2 3 5 11" xfId="20141" xr:uid="{F9B41E36-345B-4BD8-8C5F-60E687646ACA}"/>
    <cellStyle name="Normal 2 3 5 12" xfId="20142" xr:uid="{C6DDF897-5007-4EB7-95D6-6EEA6D1DC39A}"/>
    <cellStyle name="Normal 2 3 5 13" xfId="20143" xr:uid="{2B23ED0A-E9D0-415E-B98B-C3C365AF345A}"/>
    <cellStyle name="Normal 2 3 5 14" xfId="20144" xr:uid="{8DF01804-611F-450C-BCAC-858D70DE4EE0}"/>
    <cellStyle name="Normal 2 3 5 15" xfId="20145" xr:uid="{F3D539B5-4476-4ABC-9499-5AE9E9F2B0DA}"/>
    <cellStyle name="Normal 2 3 5 16" xfId="20146" xr:uid="{6B3BB6F1-882B-4194-8457-29FCF94A5CE9}"/>
    <cellStyle name="Normal 2 3 5 17" xfId="20147" xr:uid="{9031D353-672B-4B93-B188-97B1C916EADB}"/>
    <cellStyle name="Normal 2 3 5 18" xfId="20148" xr:uid="{AE204A7D-D900-490A-A177-3D7172FBD949}"/>
    <cellStyle name="Normal 2 3 5 19" xfId="20149" xr:uid="{6D44F126-31C6-4A82-AB69-4B8EC977107C}"/>
    <cellStyle name="Normal 2 3 5 2" xfId="20150" xr:uid="{5C4431F5-2B58-42D4-9A29-5DC85693D41E}"/>
    <cellStyle name="Normal 2 3 5 2 10" xfId="20151" xr:uid="{A8A9CA09-19C4-48A9-8BCD-F7CEA8342E2B}"/>
    <cellStyle name="Normal 2 3 5 2 11" xfId="20152" xr:uid="{B785F7D9-781F-497A-9AC9-AE7DD2BEA603}"/>
    <cellStyle name="Normal 2 3 5 2 12" xfId="20153" xr:uid="{9897C303-2C65-4995-9319-93A11349D980}"/>
    <cellStyle name="Normal 2 3 5 2 13" xfId="20154" xr:uid="{5D7B65E0-427C-4522-9B53-F2F9169E5B1C}"/>
    <cellStyle name="Normal 2 3 5 2 14" xfId="20155" xr:uid="{88749F81-1206-4CB1-BE5C-6D2173DC6130}"/>
    <cellStyle name="Normal 2 3 5 2 15" xfId="20156" xr:uid="{C2EC48DC-1FC7-491C-9D2E-1E67B641684E}"/>
    <cellStyle name="Normal 2 3 5 2 2" xfId="20157" xr:uid="{21E82C73-D058-4F17-A3AF-9E306A99D3B6}"/>
    <cellStyle name="Normal 2 3 5 2 2 10" xfId="20158" xr:uid="{E9CE73AB-935B-4C37-956F-53E6F67C2F79}"/>
    <cellStyle name="Normal 2 3 5 2 2 11" xfId="20159" xr:uid="{5B2A59C6-D817-4CCB-8CED-39525E1EAA92}"/>
    <cellStyle name="Normal 2 3 5 2 2 12" xfId="20160" xr:uid="{F8F0859D-3429-495C-A01E-239ED7B247C5}"/>
    <cellStyle name="Normal 2 3 5 2 2 2" xfId="20161" xr:uid="{9080BAD2-E0B1-4EB1-A656-6BF1F208D442}"/>
    <cellStyle name="Normal 2 3 5 2 2 2 10" xfId="20162" xr:uid="{E45EF3B2-55F1-4645-8C11-36F8FC5F977F}"/>
    <cellStyle name="Normal 2 3 5 2 2 2 11" xfId="20163" xr:uid="{F44BAA08-234A-4342-96CA-6461701DF456}"/>
    <cellStyle name="Normal 2 3 5 2 2 2 12" xfId="20164" xr:uid="{42149F70-3241-451F-A5D1-14561E7CE989}"/>
    <cellStyle name="Normal 2 3 5 2 2 2 2" xfId="20165" xr:uid="{A4B49D38-EF97-4F81-B21B-F37D163C7FB8}"/>
    <cellStyle name="Normal 2 3 5 2 2 2 2 2" xfId="20166" xr:uid="{79BADFE8-DB98-4ACB-8654-28E79470FA85}"/>
    <cellStyle name="Normal 2 3 5 2 2 2 2 2 2" xfId="20167" xr:uid="{5E45113E-A22B-43B3-8B60-77A7975CF7EF}"/>
    <cellStyle name="Normal 2 3 5 2 2 2 2 2 2 2" xfId="20168" xr:uid="{DCEC951E-B3A4-4313-A6A2-D017E399CDD8}"/>
    <cellStyle name="Normal 2 3 5 2 2 2 2 2 2 2 2" xfId="20169" xr:uid="{1833F5DF-2035-48B5-BC49-21AC2859FBEC}"/>
    <cellStyle name="Normal 2 3 5 2 2 2 2 2 2 2 3" xfId="20170" xr:uid="{D464A722-A331-41A2-979D-30A591CD2B16}"/>
    <cellStyle name="Normal 2 3 5 2 2 2 2 2 2 2 4" xfId="20171" xr:uid="{3483AA55-55A8-4606-93E9-48D54D9062A4}"/>
    <cellStyle name="Normal 2 3 5 2 2 2 2 2 2 2 5" xfId="20172" xr:uid="{1BFDDA62-B5C2-4FF9-AD36-1ECA274EE31A}"/>
    <cellStyle name="Normal 2 3 5 2 2 2 2 2 2 2 6" xfId="20173" xr:uid="{FDE5A954-BA08-46D1-9AB7-990FE31B4131}"/>
    <cellStyle name="Normal 2 3 5 2 2 2 2 2 2 3" xfId="20174" xr:uid="{7C87213F-67A5-4462-8507-1743E9823244}"/>
    <cellStyle name="Normal 2 3 5 2 2 2 2 2 2 4" xfId="20175" xr:uid="{A75A7800-634C-4B50-B61F-4AEDD77500FC}"/>
    <cellStyle name="Normal 2 3 5 2 2 2 2 2 2 5" xfId="20176" xr:uid="{F2CE2410-031F-4976-9C76-D25C4E1CECC5}"/>
    <cellStyle name="Normal 2 3 5 2 2 2 2 2 2 6" xfId="20177" xr:uid="{5678217E-11F4-4A40-ACEE-736E9FA614BA}"/>
    <cellStyle name="Normal 2 3 5 2 2 2 2 2 3" xfId="20178" xr:uid="{183BF5EF-7B9F-4392-BF22-D791A29D31EA}"/>
    <cellStyle name="Normal 2 3 5 2 2 2 2 2 4" xfId="20179" xr:uid="{8CC3DAA2-6CA2-4527-8C0B-5BDC9E4F1DC6}"/>
    <cellStyle name="Normal 2 3 5 2 2 2 2 2 5" xfId="20180" xr:uid="{1C9301C5-DAA5-40BB-AC66-74508A5A0795}"/>
    <cellStyle name="Normal 2 3 5 2 2 2 2 2 6" xfId="20181" xr:uid="{B4D349BE-CF6C-44C3-9943-7EA4F7346FA4}"/>
    <cellStyle name="Normal 2 3 5 2 2 2 2 2 7" xfId="20182" xr:uid="{1AE4004C-1DC0-4223-A38F-B27EB49C6A6F}"/>
    <cellStyle name="Normal 2 3 5 2 2 2 2 2 8" xfId="20183" xr:uid="{3F07C291-C47D-4C3E-A613-2E36852EC76E}"/>
    <cellStyle name="Normal 2 3 5 2 2 2 2 2 9" xfId="20184" xr:uid="{B7ED0639-C647-4A10-B3FC-3EEA99C3B627}"/>
    <cellStyle name="Normal 2 3 5 2 2 2 2 3" xfId="20185" xr:uid="{3E8D70E9-D652-4F82-8C11-54F32A4B3899}"/>
    <cellStyle name="Normal 2 3 5 2 2 2 2 3 2" xfId="20186" xr:uid="{98AE971A-A0EE-4886-B609-5C527410B88B}"/>
    <cellStyle name="Normal 2 3 5 2 2 2 2 3 2 2" xfId="20187" xr:uid="{32F143C9-104B-4668-AFAF-B525BBE183BE}"/>
    <cellStyle name="Normal 2 3 5 2 2 2 2 3 2 3" xfId="20188" xr:uid="{D01E0E66-1E5E-4DE6-ABDA-623F2F9B0C8B}"/>
    <cellStyle name="Normal 2 3 5 2 2 2 2 3 2 4" xfId="20189" xr:uid="{CC90132B-BE12-4857-88CB-8A41495ACB44}"/>
    <cellStyle name="Normal 2 3 5 2 2 2 2 3 2 5" xfId="20190" xr:uid="{7B546D1B-1AF9-4308-94D7-E2FC4D94D7B1}"/>
    <cellStyle name="Normal 2 3 5 2 2 2 2 3 2 6" xfId="20191" xr:uid="{655BD384-D06D-4EB7-87C0-F2B398B36B2A}"/>
    <cellStyle name="Normal 2 3 5 2 2 2 2 3 3" xfId="20192" xr:uid="{5993921E-296A-4C8B-97C3-40324217038D}"/>
    <cellStyle name="Normal 2 3 5 2 2 2 2 3 4" xfId="20193" xr:uid="{A5BAAE0E-4C00-419C-9EB9-EBC1BC82A80A}"/>
    <cellStyle name="Normal 2 3 5 2 2 2 2 3 5" xfId="20194" xr:uid="{E83872D8-CD38-4741-9096-AE601FAF170A}"/>
    <cellStyle name="Normal 2 3 5 2 2 2 2 3 6" xfId="20195" xr:uid="{A73072E2-8B9E-4D7B-BF0E-5BBEDBEEE3C0}"/>
    <cellStyle name="Normal 2 3 5 2 2 2 2 4" xfId="20196" xr:uid="{737240A0-16FA-4800-9121-F804816C8B25}"/>
    <cellStyle name="Normal 2 3 5 2 2 2 2 5" xfId="20197" xr:uid="{13D984C5-2915-429C-B07D-91CC7DAE9941}"/>
    <cellStyle name="Normal 2 3 5 2 2 2 2 6" xfId="20198" xr:uid="{0B9A2E47-7FE5-4631-BF14-3772D032C6F3}"/>
    <cellStyle name="Normal 2 3 5 2 2 2 2 7" xfId="20199" xr:uid="{F6C664D2-C658-43BB-AA2C-C2D320A1E3BC}"/>
    <cellStyle name="Normal 2 3 5 2 2 2 2 8" xfId="20200" xr:uid="{30D220C2-1D9C-4E4A-BF6A-1C00DF5364B8}"/>
    <cellStyle name="Normal 2 3 5 2 2 2 2 9" xfId="20201" xr:uid="{BBA2CD55-C830-4A6E-9665-69E3FD2ACC04}"/>
    <cellStyle name="Normal 2 3 5 2 2 2 3" xfId="20202" xr:uid="{40246468-145E-43E2-9ED0-A3AAACDABFFD}"/>
    <cellStyle name="Normal 2 3 5 2 2 2 4" xfId="20203" xr:uid="{2D06CC51-DCDA-4DCB-B5A1-985DF2110814}"/>
    <cellStyle name="Normal 2 3 5 2 2 2 5" xfId="20204" xr:uid="{A328C62E-4EB0-42B9-A688-985E0D54D89A}"/>
    <cellStyle name="Normal 2 3 5 2 2 2 5 2" xfId="20205" xr:uid="{8A1E4E61-E716-4360-AA64-EF6FA7B2146B}"/>
    <cellStyle name="Normal 2 3 5 2 2 2 5 2 2" xfId="20206" xr:uid="{77E21DA6-F3DA-4C11-96F1-C822C7E2D3B4}"/>
    <cellStyle name="Normal 2 3 5 2 2 2 5 2 3" xfId="20207" xr:uid="{9F4902AC-D4D9-48F8-9719-7508E60AF803}"/>
    <cellStyle name="Normal 2 3 5 2 2 2 5 2 4" xfId="20208" xr:uid="{7462F9E4-D15C-48B5-A18F-2430E915DDC5}"/>
    <cellStyle name="Normal 2 3 5 2 2 2 5 2 5" xfId="20209" xr:uid="{7AFD914D-728D-4B33-8D45-F10F70C543E2}"/>
    <cellStyle name="Normal 2 3 5 2 2 2 5 2 6" xfId="20210" xr:uid="{12B18102-8288-4CCA-AA81-D851E9F407D8}"/>
    <cellStyle name="Normal 2 3 5 2 2 2 5 3" xfId="20211" xr:uid="{DE107B28-8848-42F8-9E84-E4F84ADFCA98}"/>
    <cellStyle name="Normal 2 3 5 2 2 2 5 4" xfId="20212" xr:uid="{C1E96CC8-64D7-47A5-B49F-391B8AE42033}"/>
    <cellStyle name="Normal 2 3 5 2 2 2 5 5" xfId="20213" xr:uid="{FBDB7C14-B898-453C-B632-FD6D1E071D3B}"/>
    <cellStyle name="Normal 2 3 5 2 2 2 5 6" xfId="20214" xr:uid="{D2A4FFE1-AF73-4E46-ADDC-F7B8ADC3AA24}"/>
    <cellStyle name="Normal 2 3 5 2 2 2 6" xfId="20215" xr:uid="{DE406502-7FC6-4A58-9841-C078449D9BA7}"/>
    <cellStyle name="Normal 2 3 5 2 2 2 7" xfId="20216" xr:uid="{42D3A0ED-F68C-4A90-B0C8-A53CD93279B3}"/>
    <cellStyle name="Normal 2 3 5 2 2 2 8" xfId="20217" xr:uid="{611A8296-0C45-49D8-8742-EC9E9AA888D5}"/>
    <cellStyle name="Normal 2 3 5 2 2 2 9" xfId="20218" xr:uid="{C4D84E1A-DD8D-4F46-9F3C-1F34A0B831DC}"/>
    <cellStyle name="Normal 2 3 5 2 2 3" xfId="20219" xr:uid="{649BCEAC-33BB-4F43-98B6-8BED99275BDD}"/>
    <cellStyle name="Normal 2 3 5 2 2 3 2" xfId="20220" xr:uid="{B4D5B89F-37A4-4E31-856B-5EDA6B0F1071}"/>
    <cellStyle name="Normal 2 3 5 2 2 3 2 2" xfId="20221" xr:uid="{44871EAF-0D14-4E25-A082-D26F3019F696}"/>
    <cellStyle name="Normal 2 3 5 2 2 3 2 2 2" xfId="20222" xr:uid="{72E84FA0-8729-483D-8CB2-6482B6FF261B}"/>
    <cellStyle name="Normal 2 3 5 2 2 3 2 2 2 2" xfId="20223" xr:uid="{E6977748-EFC2-4923-AAF7-775DF492525A}"/>
    <cellStyle name="Normal 2 3 5 2 2 3 2 2 2 3" xfId="20224" xr:uid="{5DC11F80-FDC1-49B2-885C-336BC0AC3D9D}"/>
    <cellStyle name="Normal 2 3 5 2 2 3 2 2 2 4" xfId="20225" xr:uid="{5D3BE23F-74D2-4557-BC5E-46A847A7B3E8}"/>
    <cellStyle name="Normal 2 3 5 2 2 3 2 2 2 5" xfId="20226" xr:uid="{999151E4-F89C-40D9-8353-3581164B6094}"/>
    <cellStyle name="Normal 2 3 5 2 2 3 2 2 2 6" xfId="20227" xr:uid="{BD01EA8E-6BB0-45E4-9AE0-D75FBEDCD015}"/>
    <cellStyle name="Normal 2 3 5 2 2 3 2 2 3" xfId="20228" xr:uid="{C4F04115-8875-4515-BAA7-EEA5EDA1924C}"/>
    <cellStyle name="Normal 2 3 5 2 2 3 2 2 4" xfId="20229" xr:uid="{F5870DB3-8873-495C-A1DD-ACE806899601}"/>
    <cellStyle name="Normal 2 3 5 2 2 3 2 2 5" xfId="20230" xr:uid="{3B3F4E46-1060-4B50-B36C-FCA0E3C0EFA0}"/>
    <cellStyle name="Normal 2 3 5 2 2 3 2 2 6" xfId="20231" xr:uid="{430ADE9C-629D-4418-ACC4-A881486B5AA2}"/>
    <cellStyle name="Normal 2 3 5 2 2 3 2 3" xfId="20232" xr:uid="{2C361C3F-9440-4698-97C9-C3252F7BFC6C}"/>
    <cellStyle name="Normal 2 3 5 2 2 3 2 4" xfId="20233" xr:uid="{D556E8E6-1F9F-4616-A7F2-CF94D13F1193}"/>
    <cellStyle name="Normal 2 3 5 2 2 3 2 5" xfId="20234" xr:uid="{5C74B3A6-9930-407B-86B7-C33F6401B656}"/>
    <cellStyle name="Normal 2 3 5 2 2 3 2 6" xfId="20235" xr:uid="{EBD0D67E-AB8A-4990-BE75-EE49939F6B2A}"/>
    <cellStyle name="Normal 2 3 5 2 2 3 2 7" xfId="20236" xr:uid="{1F5F2DDE-B4F8-4FFE-8455-BD3161DDDA9E}"/>
    <cellStyle name="Normal 2 3 5 2 2 3 2 8" xfId="20237" xr:uid="{6C1952E3-2D6A-4D6E-A5FF-8F313B415B9C}"/>
    <cellStyle name="Normal 2 3 5 2 2 3 2 9" xfId="20238" xr:uid="{67CA6AD3-6716-4D3B-B62B-08F2F7D1C8AE}"/>
    <cellStyle name="Normal 2 3 5 2 2 3 3" xfId="20239" xr:uid="{0E06906C-1BCB-4432-9A45-F6BB4B39F268}"/>
    <cellStyle name="Normal 2 3 5 2 2 3 3 2" xfId="20240" xr:uid="{0ACCA99E-6116-429D-B300-48DEE6C8C1C9}"/>
    <cellStyle name="Normal 2 3 5 2 2 3 3 2 2" xfId="20241" xr:uid="{B7D2B515-A295-4813-AD00-BA9D748C7824}"/>
    <cellStyle name="Normal 2 3 5 2 2 3 3 2 3" xfId="20242" xr:uid="{6ACC4A28-CCF2-4CB2-8250-494E7FEA9F2F}"/>
    <cellStyle name="Normal 2 3 5 2 2 3 3 2 4" xfId="20243" xr:uid="{81BD68C2-D1F5-4388-8AF1-B4C07027FD22}"/>
    <cellStyle name="Normal 2 3 5 2 2 3 3 2 5" xfId="20244" xr:uid="{97F46E5E-F332-4FDD-A8D4-3EE3EF46B304}"/>
    <cellStyle name="Normal 2 3 5 2 2 3 3 2 6" xfId="20245" xr:uid="{ABDFBA5F-D53E-4077-945D-DB71FAFD94AE}"/>
    <cellStyle name="Normal 2 3 5 2 2 3 3 3" xfId="20246" xr:uid="{1A24F203-908A-4E4E-9D6E-42BF6312F65E}"/>
    <cellStyle name="Normal 2 3 5 2 2 3 3 4" xfId="20247" xr:uid="{E39D17DE-8438-4B54-847C-8B0D7E2C4ACD}"/>
    <cellStyle name="Normal 2 3 5 2 2 3 3 5" xfId="20248" xr:uid="{9C0C89CD-E368-480F-B546-9E0B8571D757}"/>
    <cellStyle name="Normal 2 3 5 2 2 3 3 6" xfId="20249" xr:uid="{E4F40555-B114-4EC1-9CD0-D3408ABA7BC1}"/>
    <cellStyle name="Normal 2 3 5 2 2 3 4" xfId="20250" xr:uid="{9988E9F7-C199-49C9-ABE4-627B678FE80B}"/>
    <cellStyle name="Normal 2 3 5 2 2 3 5" xfId="20251" xr:uid="{835E97F5-41F2-447A-B622-8A239BC127ED}"/>
    <cellStyle name="Normal 2 3 5 2 2 3 6" xfId="20252" xr:uid="{EC343CBB-4D9B-4D3F-A4EE-D62D328CA26F}"/>
    <cellStyle name="Normal 2 3 5 2 2 3 7" xfId="20253" xr:uid="{083277E2-A041-46FC-BE16-9C18F41955F1}"/>
    <cellStyle name="Normal 2 3 5 2 2 3 8" xfId="20254" xr:uid="{385B8FAA-EFBE-4322-891D-46688135207D}"/>
    <cellStyle name="Normal 2 3 5 2 2 3 9" xfId="20255" xr:uid="{6C752FFE-8524-40B4-908E-D316F3F96D62}"/>
    <cellStyle name="Normal 2 3 5 2 2 4" xfId="20256" xr:uid="{BD7EF0A5-ACB6-46BC-A813-4ABFE361B54D}"/>
    <cellStyle name="Normal 2 3 5 2 2 5" xfId="20257" xr:uid="{EDF72302-13B9-41DF-B9DC-F51E6ADEB30E}"/>
    <cellStyle name="Normal 2 3 5 2 2 5 2" xfId="20258" xr:uid="{CDA4B93F-3461-4684-BDE5-41536DD7BD3F}"/>
    <cellStyle name="Normal 2 3 5 2 2 5 2 2" xfId="20259" xr:uid="{FAD60DCA-A807-4AAF-BE69-33CFF1DD9ED1}"/>
    <cellStyle name="Normal 2 3 5 2 2 5 2 3" xfId="20260" xr:uid="{F2FFEC8E-C7E7-4DD4-ABDA-A93B3C9F8356}"/>
    <cellStyle name="Normal 2 3 5 2 2 5 2 4" xfId="20261" xr:uid="{082EDC9C-E278-4E9B-A332-6BD3669C91D4}"/>
    <cellStyle name="Normal 2 3 5 2 2 5 2 5" xfId="20262" xr:uid="{9D8937C1-1071-4F15-99AD-94CFB96E1A5A}"/>
    <cellStyle name="Normal 2 3 5 2 2 5 2 6" xfId="20263" xr:uid="{B28F24D9-C928-4E42-B173-27B5736528F4}"/>
    <cellStyle name="Normal 2 3 5 2 2 5 3" xfId="20264" xr:uid="{497553B1-5174-4D84-AFD3-623097D29895}"/>
    <cellStyle name="Normal 2 3 5 2 2 5 4" xfId="20265" xr:uid="{F5F576A7-DB1E-4C8D-8421-42489D7F770E}"/>
    <cellStyle name="Normal 2 3 5 2 2 5 5" xfId="20266" xr:uid="{20A8EF40-D7FA-4E46-AE23-3420E62EB405}"/>
    <cellStyle name="Normal 2 3 5 2 2 5 6" xfId="20267" xr:uid="{C94F3E67-D19E-4B22-A549-2652D0982E8F}"/>
    <cellStyle name="Normal 2 3 5 2 2 6" xfId="20268" xr:uid="{416E74CC-8563-49AC-9AFD-E7998576DEC5}"/>
    <cellStyle name="Normal 2 3 5 2 2 7" xfId="20269" xr:uid="{7CE83F4D-D7A2-4B50-82F5-9845AC559756}"/>
    <cellStyle name="Normal 2 3 5 2 2 8" xfId="20270" xr:uid="{4F88CE67-5D32-454E-A39F-CBD53F744F68}"/>
    <cellStyle name="Normal 2 3 5 2 2 9" xfId="20271" xr:uid="{012339DA-8D95-4526-92FC-68B1FF19E30F}"/>
    <cellStyle name="Normal 2 3 5 2 3" xfId="20272" xr:uid="{4A313F7B-3ACB-4810-B796-8F82AF961A6A}"/>
    <cellStyle name="Normal 2 3 5 2 4" xfId="20273" xr:uid="{F0CA933D-190E-442D-910C-5781AA5BA716}"/>
    <cellStyle name="Normal 2 3 5 2 5" xfId="20274" xr:uid="{1119CD92-B847-424E-8012-008616254E77}"/>
    <cellStyle name="Normal 2 3 5 2 5 2" xfId="20275" xr:uid="{DE829DCE-4F1B-484B-9AAA-59DCD9E1C794}"/>
    <cellStyle name="Normal 2 3 5 2 5 2 2" xfId="20276" xr:uid="{1E1333E6-2BB8-4432-B070-35BDA8C3C6E8}"/>
    <cellStyle name="Normal 2 3 5 2 5 2 2 2" xfId="20277" xr:uid="{7BEE752F-9386-472F-BAA9-F2C6FE69B307}"/>
    <cellStyle name="Normal 2 3 5 2 5 2 2 2 2" xfId="20278" xr:uid="{715D9ACE-64E2-4C48-B187-A57161066987}"/>
    <cellStyle name="Normal 2 3 5 2 5 2 2 2 3" xfId="20279" xr:uid="{6426A805-1507-432C-A80B-162FDFE94131}"/>
    <cellStyle name="Normal 2 3 5 2 5 2 2 2 4" xfId="20280" xr:uid="{B67B901C-177E-416C-91B6-DFE1AA41DDF9}"/>
    <cellStyle name="Normal 2 3 5 2 5 2 2 2 5" xfId="20281" xr:uid="{0EB8F9DD-89CF-4307-9BCA-DC8C463C5199}"/>
    <cellStyle name="Normal 2 3 5 2 5 2 2 2 6" xfId="20282" xr:uid="{32A1A3B4-D90E-46BD-A96A-D13959CA6642}"/>
    <cellStyle name="Normal 2 3 5 2 5 2 2 3" xfId="20283" xr:uid="{077AEEF0-3827-4410-9E9E-E5C0F5E6412D}"/>
    <cellStyle name="Normal 2 3 5 2 5 2 2 4" xfId="20284" xr:uid="{1E3CBB83-D3AD-4F48-AA94-EED15D027415}"/>
    <cellStyle name="Normal 2 3 5 2 5 2 2 5" xfId="20285" xr:uid="{DAA1FEB9-D2C5-4593-8FA4-11E144F5F3F7}"/>
    <cellStyle name="Normal 2 3 5 2 5 2 2 6" xfId="20286" xr:uid="{B0B1CF06-9A25-41E3-8C55-0D80DED1A968}"/>
    <cellStyle name="Normal 2 3 5 2 5 2 3" xfId="20287" xr:uid="{9C23DD54-69B9-4E85-B949-5EF25AF11328}"/>
    <cellStyle name="Normal 2 3 5 2 5 2 4" xfId="20288" xr:uid="{2CED9954-ECB2-465B-A499-9855C5F5CE8E}"/>
    <cellStyle name="Normal 2 3 5 2 5 2 5" xfId="20289" xr:uid="{C4E131DE-4C24-4820-9EEE-D5FB46F24C5B}"/>
    <cellStyle name="Normal 2 3 5 2 5 2 6" xfId="20290" xr:uid="{1A86361F-A380-47F6-B184-C53C0FB27A01}"/>
    <cellStyle name="Normal 2 3 5 2 5 2 7" xfId="20291" xr:uid="{7BA85845-3EF1-4B41-A415-7D2D6E125724}"/>
    <cellStyle name="Normal 2 3 5 2 5 2 8" xfId="20292" xr:uid="{ED6D32FE-62A0-4026-89F8-175D3184D7D5}"/>
    <cellStyle name="Normal 2 3 5 2 5 2 9" xfId="20293" xr:uid="{5045C304-B868-4A1D-BF5D-FBCCC55C2E14}"/>
    <cellStyle name="Normal 2 3 5 2 5 3" xfId="20294" xr:uid="{16187E31-4349-4EFB-9413-716055B89532}"/>
    <cellStyle name="Normal 2 3 5 2 5 3 2" xfId="20295" xr:uid="{D1FD3C1F-82F6-4B3A-9E52-9B31DE97BEBE}"/>
    <cellStyle name="Normal 2 3 5 2 5 3 2 2" xfId="20296" xr:uid="{6ECA5486-6DDC-485C-9CB5-3094AA926134}"/>
    <cellStyle name="Normal 2 3 5 2 5 3 2 3" xfId="20297" xr:uid="{E3DF0AB3-20F2-451F-8B7A-2C9C162354A0}"/>
    <cellStyle name="Normal 2 3 5 2 5 3 2 4" xfId="20298" xr:uid="{E4BA2DBA-5085-4620-B4BA-482EAFE0B2AB}"/>
    <cellStyle name="Normal 2 3 5 2 5 3 2 5" xfId="20299" xr:uid="{A538C312-28B4-4215-8960-879CCB36D2E1}"/>
    <cellStyle name="Normal 2 3 5 2 5 3 2 6" xfId="20300" xr:uid="{8C12319E-C8F0-49BA-802C-6AE5123163CA}"/>
    <cellStyle name="Normal 2 3 5 2 5 3 3" xfId="20301" xr:uid="{685676FA-821E-40A8-8A61-99FAC95ED650}"/>
    <cellStyle name="Normal 2 3 5 2 5 3 4" xfId="20302" xr:uid="{8A7B209F-5348-4255-9D02-6177997BC5C3}"/>
    <cellStyle name="Normal 2 3 5 2 5 3 5" xfId="20303" xr:uid="{C22BCAB9-C134-4FE1-89B0-19F972EBA19E}"/>
    <cellStyle name="Normal 2 3 5 2 5 3 6" xfId="20304" xr:uid="{1A22795B-DF47-4B05-B974-3044C06BFF6D}"/>
    <cellStyle name="Normal 2 3 5 2 5 4" xfId="20305" xr:uid="{9286A902-F6A4-4B95-ADD9-0ECFB154266B}"/>
    <cellStyle name="Normal 2 3 5 2 5 5" xfId="20306" xr:uid="{05D1F050-2997-4569-9414-5309EED111DC}"/>
    <cellStyle name="Normal 2 3 5 2 5 6" xfId="20307" xr:uid="{9F564358-FC45-42BD-A6FA-D25B22D67639}"/>
    <cellStyle name="Normal 2 3 5 2 5 7" xfId="20308" xr:uid="{4CBA7139-FD7F-41AC-A79C-C4E2E2A3496A}"/>
    <cellStyle name="Normal 2 3 5 2 5 8" xfId="20309" xr:uid="{0FBBA691-FC1E-4766-B2F5-002AD232D5AC}"/>
    <cellStyle name="Normal 2 3 5 2 5 9" xfId="20310" xr:uid="{C6FC5C3F-5758-4BC7-AA4C-94769CFF69DD}"/>
    <cellStyle name="Normal 2 3 5 2 6" xfId="20311" xr:uid="{EE806160-CFA9-4732-AEDB-4D6E6DF3FBE1}"/>
    <cellStyle name="Normal 2 3 5 2 7" xfId="20312" xr:uid="{0E54DB1F-A756-4FE4-89E6-BB9C2C44C5E2}"/>
    <cellStyle name="Normal 2 3 5 2 8" xfId="20313" xr:uid="{FFF9B4FD-2AAC-4651-A7F3-407D68E0C209}"/>
    <cellStyle name="Normal 2 3 5 2 8 2" xfId="20314" xr:uid="{29091767-99A2-4FE8-BAAB-F4D8064DA245}"/>
    <cellStyle name="Normal 2 3 5 2 8 2 2" xfId="20315" xr:uid="{8C6E5FA3-1B4E-48F6-802F-98D6DE8F654A}"/>
    <cellStyle name="Normal 2 3 5 2 8 2 3" xfId="20316" xr:uid="{AF98DEBB-375D-4832-9211-0FCE112CDAFB}"/>
    <cellStyle name="Normal 2 3 5 2 8 2 4" xfId="20317" xr:uid="{EAB2A65A-133F-4378-98AF-C3BCB65F90B9}"/>
    <cellStyle name="Normal 2 3 5 2 8 2 5" xfId="20318" xr:uid="{1DFBB891-DF43-4433-9AEC-A5E0BE487660}"/>
    <cellStyle name="Normal 2 3 5 2 8 2 6" xfId="20319" xr:uid="{32EFFA11-C80B-428B-AF0B-3F4C1813BC4C}"/>
    <cellStyle name="Normal 2 3 5 2 8 3" xfId="20320" xr:uid="{D98D17D0-8487-4421-913A-B5C96AA0EE87}"/>
    <cellStyle name="Normal 2 3 5 2 8 4" xfId="20321" xr:uid="{7858E43A-9549-4DA0-994C-72806A5570D5}"/>
    <cellStyle name="Normal 2 3 5 2 8 5" xfId="20322" xr:uid="{A3E6F87F-45FC-410E-80E8-AC8209A492C3}"/>
    <cellStyle name="Normal 2 3 5 2 8 6" xfId="20323" xr:uid="{D2E754D9-C2FA-4810-B9E9-D810BE2D45E4}"/>
    <cellStyle name="Normal 2 3 5 2 9" xfId="20324" xr:uid="{558FCCCA-07D0-4A01-BD2D-AB4B9C918641}"/>
    <cellStyle name="Normal 2 3 5 20" xfId="20325" xr:uid="{590FBDDB-564D-49DA-AA23-03031E6A93DE}"/>
    <cellStyle name="Normal 2 3 5 3" xfId="20326" xr:uid="{314BDFAE-9B59-4D11-BAF2-16B69D4C16A3}"/>
    <cellStyle name="Normal 2 3 5 3 10" xfId="20327" xr:uid="{FF8DA215-2B29-407A-BC96-51ED8F9C9A87}"/>
    <cellStyle name="Normal 2 3 5 3 11" xfId="20328" xr:uid="{F78B8395-BCBC-4CBF-A5AD-C5FE6ECDEA2D}"/>
    <cellStyle name="Normal 2 3 5 3 12" xfId="20329" xr:uid="{9DB67880-5DD2-4CFD-BDE9-DD96C96F181C}"/>
    <cellStyle name="Normal 2 3 5 3 2" xfId="20330" xr:uid="{7E25540E-3C78-4734-A097-F24EBBDC75F9}"/>
    <cellStyle name="Normal 2 3 5 3 2 10" xfId="20331" xr:uid="{94B57176-2EFF-42F7-A5F0-A5919BB55394}"/>
    <cellStyle name="Normal 2 3 5 3 2 11" xfId="20332" xr:uid="{8B8353F1-FDBF-47F6-A8E9-458EF5B7E850}"/>
    <cellStyle name="Normal 2 3 5 3 2 12" xfId="20333" xr:uid="{DAC2DEC3-221D-4D8D-B38D-21797000AAFF}"/>
    <cellStyle name="Normal 2 3 5 3 2 2" xfId="20334" xr:uid="{C43705B4-C49A-4A7F-AAAE-BB8CE264040C}"/>
    <cellStyle name="Normal 2 3 5 3 2 2 2" xfId="20335" xr:uid="{1C9AEF0F-6210-44F6-AE73-739467386317}"/>
    <cellStyle name="Normal 2 3 5 3 2 2 2 2" xfId="20336" xr:uid="{E7075485-DAA9-41F3-B913-9EF841CA27DC}"/>
    <cellStyle name="Normal 2 3 5 3 2 2 2 2 2" xfId="20337" xr:uid="{4BCBBF65-93E7-4B15-89EB-401D404FFD99}"/>
    <cellStyle name="Normal 2 3 5 3 2 2 2 2 2 2" xfId="20338" xr:uid="{DB887020-5B00-40DB-AC5C-7F71AB6243AA}"/>
    <cellStyle name="Normal 2 3 5 3 2 2 2 2 2 3" xfId="20339" xr:uid="{431192D4-12D9-41F0-BB04-7AA463ABF3D3}"/>
    <cellStyle name="Normal 2 3 5 3 2 2 2 2 2 4" xfId="20340" xr:uid="{8CF1B719-5C78-4D04-A6B9-7FAEF93C66D8}"/>
    <cellStyle name="Normal 2 3 5 3 2 2 2 2 2 5" xfId="20341" xr:uid="{B46F47C9-BDD4-464B-8F5C-BAA910F46737}"/>
    <cellStyle name="Normal 2 3 5 3 2 2 2 2 2 6" xfId="20342" xr:uid="{59B2D8B6-E622-4B72-A2B1-79ED8C8065F1}"/>
    <cellStyle name="Normal 2 3 5 3 2 2 2 2 3" xfId="20343" xr:uid="{73F646E8-EC99-4F95-BB3A-225A006B3668}"/>
    <cellStyle name="Normal 2 3 5 3 2 2 2 2 4" xfId="20344" xr:uid="{3C648E03-F8D5-463B-AE84-942AC1404770}"/>
    <cellStyle name="Normal 2 3 5 3 2 2 2 2 5" xfId="20345" xr:uid="{5392F217-4B9A-4DAE-8E51-AA74BA3CDB00}"/>
    <cellStyle name="Normal 2 3 5 3 2 2 2 2 6" xfId="20346" xr:uid="{6319E771-1C1C-498F-8C96-5BA281499000}"/>
    <cellStyle name="Normal 2 3 5 3 2 2 2 3" xfId="20347" xr:uid="{0564D189-53F7-42B2-87B6-BBC4CC15C53F}"/>
    <cellStyle name="Normal 2 3 5 3 2 2 2 4" xfId="20348" xr:uid="{763E577F-5697-49C8-A4EE-091BBD06556F}"/>
    <cellStyle name="Normal 2 3 5 3 2 2 2 5" xfId="20349" xr:uid="{EBB497A3-D83F-4704-98A6-5224519F5EA6}"/>
    <cellStyle name="Normal 2 3 5 3 2 2 2 6" xfId="20350" xr:uid="{4E739F74-3E60-4361-91BE-07FA5600114C}"/>
    <cellStyle name="Normal 2 3 5 3 2 2 2 7" xfId="20351" xr:uid="{4917DC7E-679B-4337-9E87-9E0967542261}"/>
    <cellStyle name="Normal 2 3 5 3 2 2 2 8" xfId="20352" xr:uid="{0F889537-6B1E-41A1-86E1-757DD0681169}"/>
    <cellStyle name="Normal 2 3 5 3 2 2 2 9" xfId="20353" xr:uid="{B180BAE3-04AE-46B5-8CEE-052EEC031966}"/>
    <cellStyle name="Normal 2 3 5 3 2 2 3" xfId="20354" xr:uid="{979A36B5-E20E-4924-8BD9-E6AE87294FFE}"/>
    <cellStyle name="Normal 2 3 5 3 2 2 3 2" xfId="20355" xr:uid="{AAB1E79F-AD92-406B-A7CC-73F7D61CE92F}"/>
    <cellStyle name="Normal 2 3 5 3 2 2 3 2 2" xfId="20356" xr:uid="{E20C163F-4A57-4FD1-8FE9-9FD850ABE088}"/>
    <cellStyle name="Normal 2 3 5 3 2 2 3 2 3" xfId="20357" xr:uid="{23C47481-3E44-4B25-B405-A47526452CD8}"/>
    <cellStyle name="Normal 2 3 5 3 2 2 3 2 4" xfId="20358" xr:uid="{E95F6E70-9F4D-422F-87A2-67E18CBE32D3}"/>
    <cellStyle name="Normal 2 3 5 3 2 2 3 2 5" xfId="20359" xr:uid="{F114E5D2-E7F6-4C99-9BC9-A11BFDB9F0DB}"/>
    <cellStyle name="Normal 2 3 5 3 2 2 3 2 6" xfId="20360" xr:uid="{31FEDFA2-EA5D-4503-A5F5-CA50A98AC770}"/>
    <cellStyle name="Normal 2 3 5 3 2 2 3 3" xfId="20361" xr:uid="{E17C5CEE-CF90-4679-A183-BDA1EC8024D9}"/>
    <cellStyle name="Normal 2 3 5 3 2 2 3 4" xfId="20362" xr:uid="{BACE7149-1A4D-4F97-9530-A52598A4565A}"/>
    <cellStyle name="Normal 2 3 5 3 2 2 3 5" xfId="20363" xr:uid="{F54ACD9F-3F3B-443F-8435-A7263B4F31A7}"/>
    <cellStyle name="Normal 2 3 5 3 2 2 3 6" xfId="20364" xr:uid="{AC6C63ED-F5E9-41FC-8696-95FFF1C789D4}"/>
    <cellStyle name="Normal 2 3 5 3 2 2 4" xfId="20365" xr:uid="{020F697D-F97C-451E-B7C2-C8C6A7C207F9}"/>
    <cellStyle name="Normal 2 3 5 3 2 2 5" xfId="20366" xr:uid="{67D0B15B-CB7F-4CE1-801E-0E8DA77CE5F4}"/>
    <cellStyle name="Normal 2 3 5 3 2 2 6" xfId="20367" xr:uid="{FB727139-DCEB-47D4-A468-742DCA4E9046}"/>
    <cellStyle name="Normal 2 3 5 3 2 2 7" xfId="20368" xr:uid="{9842AE48-1D19-4AD5-8765-B642992DE45D}"/>
    <cellStyle name="Normal 2 3 5 3 2 2 8" xfId="20369" xr:uid="{6872D726-BF77-421A-ADC5-DEF49F46A017}"/>
    <cellStyle name="Normal 2 3 5 3 2 2 9" xfId="20370" xr:uid="{C7B60DF5-562E-4145-A8E7-AE670011F7D8}"/>
    <cellStyle name="Normal 2 3 5 3 2 3" xfId="20371" xr:uid="{22F75898-8056-42DE-B8CD-4F8B9DC1F7A4}"/>
    <cellStyle name="Normal 2 3 5 3 2 4" xfId="20372" xr:uid="{CB869FD2-559E-46B5-9CC2-09EB903820FA}"/>
    <cellStyle name="Normal 2 3 5 3 2 5" xfId="20373" xr:uid="{B4460C49-8727-4CE8-9FAA-52650796BE0D}"/>
    <cellStyle name="Normal 2 3 5 3 2 5 2" xfId="20374" xr:uid="{FF1B6257-AF07-4AE2-B8B1-301F1D80769F}"/>
    <cellStyle name="Normal 2 3 5 3 2 5 2 2" xfId="20375" xr:uid="{630C1609-8510-4E7F-A1B4-FB837CB7A28D}"/>
    <cellStyle name="Normal 2 3 5 3 2 5 2 3" xfId="20376" xr:uid="{3F6136CC-4634-4B57-A763-97605C89C2A6}"/>
    <cellStyle name="Normal 2 3 5 3 2 5 2 4" xfId="20377" xr:uid="{097F2DC9-3ACF-4CE5-A299-B4870E96A9A9}"/>
    <cellStyle name="Normal 2 3 5 3 2 5 2 5" xfId="20378" xr:uid="{D61DD98A-89B5-4941-A69C-99A171F0A347}"/>
    <cellStyle name="Normal 2 3 5 3 2 5 2 6" xfId="20379" xr:uid="{A7279819-A437-4E11-A39E-F1B1971039FF}"/>
    <cellStyle name="Normal 2 3 5 3 2 5 3" xfId="20380" xr:uid="{F181310F-CB10-4EEE-96AE-E47D908E6882}"/>
    <cellStyle name="Normal 2 3 5 3 2 5 4" xfId="20381" xr:uid="{73497698-A76A-4E27-8E3C-DAF9A7C769FB}"/>
    <cellStyle name="Normal 2 3 5 3 2 5 5" xfId="20382" xr:uid="{18FE2677-F9EA-4132-A87F-C21F5462D4D9}"/>
    <cellStyle name="Normal 2 3 5 3 2 5 6" xfId="20383" xr:uid="{89BDF159-3D4F-49B1-849B-C47F5C898D37}"/>
    <cellStyle name="Normal 2 3 5 3 2 6" xfId="20384" xr:uid="{0D310334-FBD8-441F-8C50-4912EDA96B4A}"/>
    <cellStyle name="Normal 2 3 5 3 2 7" xfId="20385" xr:uid="{141DD74D-2F8E-4F26-B3B2-3615D05BDC90}"/>
    <cellStyle name="Normal 2 3 5 3 2 8" xfId="20386" xr:uid="{A2B57F06-BC70-4CD1-BFFD-FADBD7D1C742}"/>
    <cellStyle name="Normal 2 3 5 3 2 9" xfId="20387" xr:uid="{1AA3077F-0FA9-4947-BE6B-0846CF5FEF08}"/>
    <cellStyle name="Normal 2 3 5 3 3" xfId="20388" xr:uid="{622AA923-93BE-4655-9CE0-93BB5E26A049}"/>
    <cellStyle name="Normal 2 3 5 3 3 2" xfId="20389" xr:uid="{C19D77B5-9881-4F49-94B0-3C5215DA8092}"/>
    <cellStyle name="Normal 2 3 5 3 3 2 2" xfId="20390" xr:uid="{4520DA6D-D2C6-4DF7-AAAC-636B36EFB7F0}"/>
    <cellStyle name="Normal 2 3 5 3 3 2 2 2" xfId="20391" xr:uid="{37AAF5D7-7E0B-4D18-B700-EE4B90D5893F}"/>
    <cellStyle name="Normal 2 3 5 3 3 2 2 2 2" xfId="20392" xr:uid="{778CD4BB-44DF-4F58-ADD6-3AD7CA077D01}"/>
    <cellStyle name="Normal 2 3 5 3 3 2 2 2 3" xfId="20393" xr:uid="{B66C796C-92C4-4583-93B3-1B4D440965EF}"/>
    <cellStyle name="Normal 2 3 5 3 3 2 2 2 4" xfId="20394" xr:uid="{3320976D-D284-43EE-A7F2-FA0C59017878}"/>
    <cellStyle name="Normal 2 3 5 3 3 2 2 2 5" xfId="20395" xr:uid="{93D19020-D0BC-458F-A9AC-2AD67E4BE5D0}"/>
    <cellStyle name="Normal 2 3 5 3 3 2 2 2 6" xfId="20396" xr:uid="{7CFB577D-6773-4A1E-A13E-9453E74739F6}"/>
    <cellStyle name="Normal 2 3 5 3 3 2 2 3" xfId="20397" xr:uid="{F287B67E-702B-4507-8112-51FB0833091D}"/>
    <cellStyle name="Normal 2 3 5 3 3 2 2 4" xfId="20398" xr:uid="{4019F6FE-5D24-477B-8297-408A1DDE3AFD}"/>
    <cellStyle name="Normal 2 3 5 3 3 2 2 5" xfId="20399" xr:uid="{4012B913-FB8B-4455-A000-3C04721D48A6}"/>
    <cellStyle name="Normal 2 3 5 3 3 2 2 6" xfId="20400" xr:uid="{05464CB0-1EEF-405E-9806-D3FA6B002074}"/>
    <cellStyle name="Normal 2 3 5 3 3 2 3" xfId="20401" xr:uid="{DE78B943-0993-4CBF-9B43-063F6EAA3C6E}"/>
    <cellStyle name="Normal 2 3 5 3 3 2 4" xfId="20402" xr:uid="{BF9BE28A-1D0A-445D-A786-B251549EE1B8}"/>
    <cellStyle name="Normal 2 3 5 3 3 2 5" xfId="20403" xr:uid="{19EC9879-1ADD-4E96-AB65-55CE7F0AFC42}"/>
    <cellStyle name="Normal 2 3 5 3 3 2 6" xfId="20404" xr:uid="{07359A03-A75D-4A63-9F7E-F3267D046D86}"/>
    <cellStyle name="Normal 2 3 5 3 3 2 7" xfId="20405" xr:uid="{111C5017-8178-4825-8611-E84F40421C11}"/>
    <cellStyle name="Normal 2 3 5 3 3 2 8" xfId="20406" xr:uid="{87174CEF-059B-4CE0-9177-160E4E19C7E2}"/>
    <cellStyle name="Normal 2 3 5 3 3 2 9" xfId="20407" xr:uid="{A8D8C945-8363-4127-8704-606CBA0EFC38}"/>
    <cellStyle name="Normal 2 3 5 3 3 3" xfId="20408" xr:uid="{58059A5F-93A6-4883-825E-0AEE68A95771}"/>
    <cellStyle name="Normal 2 3 5 3 3 3 2" xfId="20409" xr:uid="{44F0134B-45CB-479A-8791-3B8BE3855AE3}"/>
    <cellStyle name="Normal 2 3 5 3 3 3 2 2" xfId="20410" xr:uid="{70B004CD-64D7-4B83-9680-2921FC880EFA}"/>
    <cellStyle name="Normal 2 3 5 3 3 3 2 3" xfId="20411" xr:uid="{CDD65AC9-1273-4624-9406-BF065E823961}"/>
    <cellStyle name="Normal 2 3 5 3 3 3 2 4" xfId="20412" xr:uid="{CEDE26E3-2CF7-47CF-8B7F-B8B637B26F4D}"/>
    <cellStyle name="Normal 2 3 5 3 3 3 2 5" xfId="20413" xr:uid="{0F55599A-3DD5-40E5-A2E8-658360EF1E04}"/>
    <cellStyle name="Normal 2 3 5 3 3 3 2 6" xfId="20414" xr:uid="{3EEFDCF2-A046-4712-A419-560666E1C1A0}"/>
    <cellStyle name="Normal 2 3 5 3 3 3 3" xfId="20415" xr:uid="{6C436021-DDB3-4326-9824-2D687B7DFCDA}"/>
    <cellStyle name="Normal 2 3 5 3 3 3 4" xfId="20416" xr:uid="{0FA5ABCD-8957-44EA-81B7-634B449BB9EF}"/>
    <cellStyle name="Normal 2 3 5 3 3 3 5" xfId="20417" xr:uid="{2B333CAD-A419-4057-9A22-CB02C6591952}"/>
    <cellStyle name="Normal 2 3 5 3 3 3 6" xfId="20418" xr:uid="{10D576B5-CB54-43C4-A815-D446780DAF75}"/>
    <cellStyle name="Normal 2 3 5 3 3 4" xfId="20419" xr:uid="{580AD50A-492B-4E2D-A0CC-CBB3D28F28C5}"/>
    <cellStyle name="Normal 2 3 5 3 3 5" xfId="20420" xr:uid="{681BF2F4-41A1-4783-B7CD-9FA3DD21EB7C}"/>
    <cellStyle name="Normal 2 3 5 3 3 6" xfId="20421" xr:uid="{6D42DB4D-ED00-4CC7-BFE6-3CA5DA22D2FC}"/>
    <cellStyle name="Normal 2 3 5 3 3 7" xfId="20422" xr:uid="{444C94F1-FC56-42BC-8361-F0C9DC978E60}"/>
    <cellStyle name="Normal 2 3 5 3 3 8" xfId="20423" xr:uid="{45FBA789-52C0-4E92-81D3-EE89F240686A}"/>
    <cellStyle name="Normal 2 3 5 3 3 9" xfId="20424" xr:uid="{6B611A73-5644-4A48-98F0-0A8FF711C294}"/>
    <cellStyle name="Normal 2 3 5 3 4" xfId="20425" xr:uid="{A330EBD9-8657-46F9-90A8-86B5ECC74454}"/>
    <cellStyle name="Normal 2 3 5 3 5" xfId="20426" xr:uid="{71DCA693-E97D-4E99-AFE7-10D3634D0FB5}"/>
    <cellStyle name="Normal 2 3 5 3 5 2" xfId="20427" xr:uid="{6721E855-7784-4FDF-BAA2-EB373954A304}"/>
    <cellStyle name="Normal 2 3 5 3 5 2 2" xfId="20428" xr:uid="{00354265-1C85-4851-BC30-0E3C69D3B23F}"/>
    <cellStyle name="Normal 2 3 5 3 5 2 3" xfId="20429" xr:uid="{12E0F1BB-34ED-4B88-A092-2D694E38979E}"/>
    <cellStyle name="Normal 2 3 5 3 5 2 4" xfId="20430" xr:uid="{968890CC-496A-485B-A546-93E76CD4BB5F}"/>
    <cellStyle name="Normal 2 3 5 3 5 2 5" xfId="20431" xr:uid="{1BB9A3CA-E4F6-47FA-AE6F-1D576C7B5752}"/>
    <cellStyle name="Normal 2 3 5 3 5 2 6" xfId="20432" xr:uid="{13FB1245-2624-45AB-B3D9-D7BA8AAFFA23}"/>
    <cellStyle name="Normal 2 3 5 3 5 3" xfId="20433" xr:uid="{5A22DF78-1C10-4B26-8621-ED7B07BB7C37}"/>
    <cellStyle name="Normal 2 3 5 3 5 4" xfId="20434" xr:uid="{D2A62DBD-94F3-479A-9C07-8D0A591714C8}"/>
    <cellStyle name="Normal 2 3 5 3 5 5" xfId="20435" xr:uid="{D569EBEB-D70E-48AB-A7EB-C711CC1F0E0B}"/>
    <cellStyle name="Normal 2 3 5 3 5 6" xfId="20436" xr:uid="{1C7D1A02-EBA2-410B-BBFF-D3CC7FFE3A60}"/>
    <cellStyle name="Normal 2 3 5 3 6" xfId="20437" xr:uid="{762D41B3-78D6-4C1F-8DE9-6CEEC3E0C078}"/>
    <cellStyle name="Normal 2 3 5 3 7" xfId="20438" xr:uid="{4FAC4912-83A2-4432-9FD7-0E3E8ED274AC}"/>
    <cellStyle name="Normal 2 3 5 3 8" xfId="20439" xr:uid="{26AA622C-8F97-486A-8167-B826D866BA95}"/>
    <cellStyle name="Normal 2 3 5 3 9" xfId="20440" xr:uid="{3650C745-CB4B-4F79-9D23-0441292DAF1C}"/>
    <cellStyle name="Normal 2 3 5 4" xfId="20441" xr:uid="{68BEA0D8-3AEE-4874-9FFE-8C04AE8A12DA}"/>
    <cellStyle name="Normal 2 3 5 5" xfId="20442" xr:uid="{92F83114-6C2A-40BA-BD69-935D3458C8CB}"/>
    <cellStyle name="Normal 2 3 5 5 2" xfId="20443" xr:uid="{D708CB0B-AF9E-418F-A000-1A3A632A180A}"/>
    <cellStyle name="Normal 2 3 5 5 2 2" xfId="20444" xr:uid="{4F69D833-2163-4C04-B8F8-0E823B862BCC}"/>
    <cellStyle name="Normal 2 3 5 5 2 2 2" xfId="20445" xr:uid="{099F50A7-A717-415F-AF3B-087A51DA349B}"/>
    <cellStyle name="Normal 2 3 5 5 2 2 2 2" xfId="20446" xr:uid="{E5EF5487-4096-4CE7-9AFA-4644ABADD1CE}"/>
    <cellStyle name="Normal 2 3 5 5 2 2 2 3" xfId="20447" xr:uid="{C619079A-FBBE-473A-A1D8-088A37AD1C59}"/>
    <cellStyle name="Normal 2 3 5 5 2 2 2 4" xfId="20448" xr:uid="{CF31A737-CE73-41DB-B716-098CEE93F170}"/>
    <cellStyle name="Normal 2 3 5 5 2 2 2 5" xfId="20449" xr:uid="{7A0E9B5B-8468-4486-B3D2-9CED80292EE8}"/>
    <cellStyle name="Normal 2 3 5 5 2 2 2 6" xfId="20450" xr:uid="{1842F543-111F-4D08-B1A8-A987D2907B83}"/>
    <cellStyle name="Normal 2 3 5 5 2 2 3" xfId="20451" xr:uid="{51C19E6A-0472-4425-A49F-A4C815C90F74}"/>
    <cellStyle name="Normal 2 3 5 5 2 2 4" xfId="20452" xr:uid="{7F6877D2-AC8A-440B-864D-997EB0F3FC6E}"/>
    <cellStyle name="Normal 2 3 5 5 2 2 5" xfId="20453" xr:uid="{1FD4DC9B-D17D-453F-BE99-E1FB2A3DEFC8}"/>
    <cellStyle name="Normal 2 3 5 5 2 2 6" xfId="20454" xr:uid="{F77376A8-9F4C-4F9D-8DBE-8354C1416BC7}"/>
    <cellStyle name="Normal 2 3 5 5 2 3" xfId="20455" xr:uid="{A1DACB9A-7E94-43D3-B1BB-0560662A55ED}"/>
    <cellStyle name="Normal 2 3 5 5 2 4" xfId="20456" xr:uid="{1E451791-6859-4EB5-BADD-639D937B6C9A}"/>
    <cellStyle name="Normal 2 3 5 5 2 5" xfId="20457" xr:uid="{40685939-E53E-430A-816C-49F3803289FB}"/>
    <cellStyle name="Normal 2 3 5 5 2 6" xfId="20458" xr:uid="{09386C6D-2939-4A74-AF5F-E7340D41A8F1}"/>
    <cellStyle name="Normal 2 3 5 5 2 7" xfId="20459" xr:uid="{A18EF054-2D4D-40FA-9F22-9B8B1EEDFC28}"/>
    <cellStyle name="Normal 2 3 5 5 2 8" xfId="20460" xr:uid="{888D6F5F-FA8D-4648-B04A-D9970D760A28}"/>
    <cellStyle name="Normal 2 3 5 5 2 9" xfId="20461" xr:uid="{51E8A980-BFA5-4D8E-A650-553C7AFEACFB}"/>
    <cellStyle name="Normal 2 3 5 5 3" xfId="20462" xr:uid="{630EA71C-0FDE-4712-8CBF-A87F1C7A228E}"/>
    <cellStyle name="Normal 2 3 5 5 3 2" xfId="20463" xr:uid="{E3F3EB5F-6ED3-4972-8A5D-68116F82946D}"/>
    <cellStyle name="Normal 2 3 5 5 3 2 2" xfId="20464" xr:uid="{6FB71472-2D1C-498F-80F3-492AEAB85FDC}"/>
    <cellStyle name="Normal 2 3 5 5 3 2 3" xfId="20465" xr:uid="{DE7C9366-4ACA-446B-80DF-A5CE90644B5A}"/>
    <cellStyle name="Normal 2 3 5 5 3 2 4" xfId="20466" xr:uid="{2067F1A6-2668-417A-8CDB-49B1D8769FE9}"/>
    <cellStyle name="Normal 2 3 5 5 3 2 5" xfId="20467" xr:uid="{07EF8962-B08D-4080-BE01-D69F6AEC2759}"/>
    <cellStyle name="Normal 2 3 5 5 3 2 6" xfId="20468" xr:uid="{B0C8B215-B24D-4BA5-B736-9DED052E1B8C}"/>
    <cellStyle name="Normal 2 3 5 5 3 3" xfId="20469" xr:uid="{267E0F70-418B-42EA-B02C-8B5553792B19}"/>
    <cellStyle name="Normal 2 3 5 5 3 4" xfId="20470" xr:uid="{9EABB5D2-199E-4348-8622-B060AB85F507}"/>
    <cellStyle name="Normal 2 3 5 5 3 5" xfId="20471" xr:uid="{C22CAF46-1114-429E-9381-E4E33BD8FE68}"/>
    <cellStyle name="Normal 2 3 5 5 3 6" xfId="20472" xr:uid="{2DA0AB23-EE0B-4904-AC96-FEB6E54015EF}"/>
    <cellStyle name="Normal 2 3 5 5 4" xfId="20473" xr:uid="{B37DBD0C-F945-47A1-BA62-6640C08643BE}"/>
    <cellStyle name="Normal 2 3 5 5 5" xfId="20474" xr:uid="{5FEAF6AF-EB66-476E-8BB8-E26B992873FD}"/>
    <cellStyle name="Normal 2 3 5 5 6" xfId="20475" xr:uid="{E2EE1613-6295-46C2-ACCB-7715CFCA68A6}"/>
    <cellStyle name="Normal 2 3 5 5 7" xfId="20476" xr:uid="{DF6822E7-8861-4904-A734-C487BA0A5D78}"/>
    <cellStyle name="Normal 2 3 5 5 8" xfId="20477" xr:uid="{36FE4F0D-F905-4B19-84FB-9017103B42C7}"/>
    <cellStyle name="Normal 2 3 5 5 9" xfId="20478" xr:uid="{280AF16B-FF17-4769-8125-C45F2E3C5BE3}"/>
    <cellStyle name="Normal 2 3 5 6" xfId="20479" xr:uid="{CCEE3DA1-DAE8-4615-A24E-C696F92FA788}"/>
    <cellStyle name="Normal 2 3 5 7" xfId="20480" xr:uid="{23495CE9-4544-4AF8-A483-ED2CA4D84440}"/>
    <cellStyle name="Normal 2 3 5 8" xfId="20481" xr:uid="{18290EC9-6D89-4630-A9FA-BEC3DF6D74EF}"/>
    <cellStyle name="Normal 2 3 5 8 2" xfId="20482" xr:uid="{7E64D36C-930F-41D1-82E2-456185B70E36}"/>
    <cellStyle name="Normal 2 3 5 8 2 2" xfId="20483" xr:uid="{6C5FD603-D6C0-458C-B077-A7DC46680285}"/>
    <cellStyle name="Normal 2 3 5 8 2 3" xfId="20484" xr:uid="{805735A4-591C-47CD-9172-61A8ADB40A1D}"/>
    <cellStyle name="Normal 2 3 5 8 2 4" xfId="20485" xr:uid="{F9BF7977-E725-4DBA-BAE7-36E6BC1E7A95}"/>
    <cellStyle name="Normal 2 3 5 8 2 5" xfId="20486" xr:uid="{33190167-5434-4252-8899-D5FE0087AD80}"/>
    <cellStyle name="Normal 2 3 5 8 2 6" xfId="20487" xr:uid="{2D346A5D-82BA-47E9-86DD-12139D861755}"/>
    <cellStyle name="Normal 2 3 5 8 3" xfId="20488" xr:uid="{FAEC13FA-FFDD-4B94-A776-5E5A88D69510}"/>
    <cellStyle name="Normal 2 3 5 8 4" xfId="20489" xr:uid="{930599F6-34B9-456B-88F4-E051C99DF538}"/>
    <cellStyle name="Normal 2 3 5 8 5" xfId="20490" xr:uid="{2D407337-B733-4DAA-AABB-D48BFAFE5A9B}"/>
    <cellStyle name="Normal 2 3 5 8 6" xfId="20491" xr:uid="{35B4E785-DAEC-4CC5-8EB7-5E773E1EEF8B}"/>
    <cellStyle name="Normal 2 3 5 9" xfId="20492" xr:uid="{9F202A4E-230F-4C49-91A9-7CE71A434451}"/>
    <cellStyle name="Normal 2 3 50" xfId="20493" xr:uid="{E24B6B76-4A97-4B23-8098-5FBF99E9282C}"/>
    <cellStyle name="Normal 2 3 51" xfId="20494" xr:uid="{07FEBE92-7CA2-4687-99C3-594FC662FAF7}"/>
    <cellStyle name="Normal 2 3 52" xfId="20495" xr:uid="{AFA73BF8-C478-41FC-9AAD-51AE067350CF}"/>
    <cellStyle name="Normal 2 3 53" xfId="20496" xr:uid="{98CDE626-94A0-4C63-9674-1EECF1AEEC47}"/>
    <cellStyle name="Normal 2 3 54" xfId="20497" xr:uid="{42804355-7A3E-40CE-AF9A-0E0F5D1D50B7}"/>
    <cellStyle name="Normal 2 3 55" xfId="20498" xr:uid="{12AACB90-10FB-4996-A229-878269BC4882}"/>
    <cellStyle name="Normal 2 3 56" xfId="20499" xr:uid="{7B7585C3-7C80-4A0C-B2EC-872BF238C8A0}"/>
    <cellStyle name="Normal 2 3 57" xfId="20500" xr:uid="{68B5A580-CC7C-422C-8A98-240FFBE84A40}"/>
    <cellStyle name="Normal 2 3 58" xfId="20501" xr:uid="{45B3FD5D-6B1B-4154-8D41-281148E6FD04}"/>
    <cellStyle name="Normal 2 3 59" xfId="20502" xr:uid="{F2011CDC-E423-4260-A13B-087A6243EC2F}"/>
    <cellStyle name="Normal 2 3 6" xfId="20503" xr:uid="{3A6F198B-6B61-42E6-96BE-F5C5A6AA9CEF}"/>
    <cellStyle name="Normal 2 3 6 2" xfId="20504" xr:uid="{E78B48EE-9E8A-4837-8E0D-63D89F32B2F4}"/>
    <cellStyle name="Normal 2 3 6 3" xfId="20505" xr:uid="{0D462ACE-3A75-4C96-A503-A039A1EDB79E}"/>
    <cellStyle name="Normal 2 3 6 4" xfId="20506" xr:uid="{6AC52721-727C-4398-A634-FEE6D97C8894}"/>
    <cellStyle name="Normal 2 3 6 5" xfId="20507" xr:uid="{BFCE43C9-B02C-4320-BFD5-07FE292CD63B}"/>
    <cellStyle name="Normal 2 3 6 6" xfId="20508" xr:uid="{A437066A-8DEB-4A7E-B4C7-67B900DF4D2D}"/>
    <cellStyle name="Normal 2 3 60" xfId="20509" xr:uid="{B6D9C5DB-97AD-42AE-AA15-E4DFF1195109}"/>
    <cellStyle name="Normal 2 3 61" xfId="20510" xr:uid="{6A364A29-A11D-49A4-9E51-BC8F24C228E6}"/>
    <cellStyle name="Normal 2 3 62" xfId="20511" xr:uid="{C7501807-1643-4171-82E1-9FB6EBD90C38}"/>
    <cellStyle name="Normal 2 3 62 2" xfId="20512" xr:uid="{F771DE2A-D948-4EF2-85B8-2DAD6FD47651}"/>
    <cellStyle name="Normal 2 3 62 2 2" xfId="20513" xr:uid="{821EE7F8-9DD9-432A-A076-8BE6656B5244}"/>
    <cellStyle name="Normal 2 3 62 2 2 2" xfId="20514" xr:uid="{4C0AFB85-A4B4-474F-8B7A-060AEA36C681}"/>
    <cellStyle name="Normal 2 3 62 3" xfId="20515" xr:uid="{479EE99B-14F8-43F5-AE92-5CBC39C39806}"/>
    <cellStyle name="Normal 2 3 62 4" xfId="20516" xr:uid="{0706AB97-5C9D-4F48-B64D-38F8EA42E8A1}"/>
    <cellStyle name="Normal 2 3 62 5" xfId="20517" xr:uid="{E1BA2CC9-39AA-4E05-86A2-FDE3472D9479}"/>
    <cellStyle name="Normal 2 3 62 6" xfId="20518" xr:uid="{DACD1641-F434-4696-8467-6C92ACF2B802}"/>
    <cellStyle name="Normal 2 3 63" xfId="20519" xr:uid="{60FF86FF-986C-445B-BE49-2FF917C2A7CB}"/>
    <cellStyle name="Normal 2 3 63 2" xfId="20520" xr:uid="{B05D1469-F748-44B3-8A47-6FC1D76387FF}"/>
    <cellStyle name="Normal 2 3 63 2 2" xfId="20521" xr:uid="{46D809E0-A6FE-49AA-9CB6-06BD3B3CD2C6}"/>
    <cellStyle name="Normal 2 3 64" xfId="20522" xr:uid="{AE41BF6E-C226-4ECC-A542-EBD9980ECAC5}"/>
    <cellStyle name="Normal 2 3 65" xfId="20523" xr:uid="{CF4A55E5-58CE-4552-95B3-1F6D6F23F45C}"/>
    <cellStyle name="Normal 2 3 66" xfId="20524" xr:uid="{11683F31-C8C9-4527-AC81-47E58007A7EA}"/>
    <cellStyle name="Normal 2 3 67" xfId="20525" xr:uid="{AAFD01EA-9359-4D62-BDB9-0527353EEE22}"/>
    <cellStyle name="Normal 2 3 68" xfId="20526" xr:uid="{A4F99255-5D85-4A6C-87B3-53D178FCFB0A}"/>
    <cellStyle name="Normal 2 3 69" xfId="20527" xr:uid="{02893765-4B25-471E-A8F9-2EBB754C8A90}"/>
    <cellStyle name="Normal 2 3 7" xfId="20528" xr:uid="{AC580C41-A551-4698-8365-1C734190EF19}"/>
    <cellStyle name="Normal 2 3 7 2" xfId="20529" xr:uid="{192B5B69-C836-4988-8DAC-5230EA72BD2F}"/>
    <cellStyle name="Normal 2 3 7 3" xfId="20530" xr:uid="{26A6D9BF-3E9D-4EB6-AE58-C5DA1B5A79C9}"/>
    <cellStyle name="Normal 2 3 7 4" xfId="20531" xr:uid="{3A4D27D4-A9B5-48A0-B4D6-B96AFA2FECE0}"/>
    <cellStyle name="Normal 2 3 7 5" xfId="20532" xr:uid="{912AB1CA-1608-4F8E-A3CA-B9742CD287A4}"/>
    <cellStyle name="Normal 2 3 7 6" xfId="20533" xr:uid="{3516D118-3D03-42BD-B905-61D7D4DF340D}"/>
    <cellStyle name="Normal 2 3 70" xfId="20534" xr:uid="{3F56B60D-15E1-41ED-9ED5-A57A3EF35F82}"/>
    <cellStyle name="Normal 2 3 71" xfId="20535" xr:uid="{620029EF-F339-48EA-861C-350D9FE7075A}"/>
    <cellStyle name="Normal 2 3 72" xfId="20536" xr:uid="{E6B6274E-5E1E-4099-9386-80FB8486AB06}"/>
    <cellStyle name="Normal 2 3 72 10" xfId="20537" xr:uid="{492F0E27-77B7-467B-9C96-2DB9D754A43D}"/>
    <cellStyle name="Normal 2 3 72 11" xfId="20538" xr:uid="{E46D088D-58D7-46DD-B950-C487C308AF18}"/>
    <cellStyle name="Normal 2 3 72 12" xfId="20539" xr:uid="{7B9F3B45-A2E8-4503-B20B-1960DBBAAECE}"/>
    <cellStyle name="Normal 2 3 72 13" xfId="20540" xr:uid="{DA0507F6-8246-4A6B-8B2D-88E72F2484B2}"/>
    <cellStyle name="Normal 2 3 72 14" xfId="20541" xr:uid="{54ED89B1-F848-4D73-8294-37FDC8D86F10}"/>
    <cellStyle name="Normal 2 3 72 15" xfId="20542" xr:uid="{03C5A2F0-5877-436F-9BF6-7FDDAEA84BBC}"/>
    <cellStyle name="Normal 2 3 72 16" xfId="20543" xr:uid="{8FE51BA1-B333-44D4-93BC-EEBF2E137E02}"/>
    <cellStyle name="Normal 2 3 72 2" xfId="20544" xr:uid="{69668BCA-A1D2-4A08-A9FC-02142E5EE966}"/>
    <cellStyle name="Normal 2 3 72 3" xfId="20545" xr:uid="{373FBC7F-51D9-436D-BB70-5E1214C7E9F8}"/>
    <cellStyle name="Normal 2 3 72 4" xfId="20546" xr:uid="{B6E8A113-B8DE-43E6-AF90-6D4028D255A5}"/>
    <cellStyle name="Normal 2 3 72 5" xfId="20547" xr:uid="{5E8AC2C0-3F7C-4497-8944-C377CC703846}"/>
    <cellStyle name="Normal 2 3 72 6" xfId="20548" xr:uid="{DAFE2E7F-6DAF-41D0-9F9B-D0D1F5CDEF31}"/>
    <cellStyle name="Normal 2 3 72 7" xfId="20549" xr:uid="{2BCF23BD-7B83-4DF2-B3AC-962D246716A0}"/>
    <cellStyle name="Normal 2 3 72 8" xfId="20550" xr:uid="{4CC5419E-8B2E-42D9-ABDE-64BF27DAEA9C}"/>
    <cellStyle name="Normal 2 3 72 9" xfId="20551" xr:uid="{AAE262ED-796F-411A-BDE8-675970C4DAE3}"/>
    <cellStyle name="Normal 2 3 73" xfId="20552" xr:uid="{B5726900-95CC-45F2-8878-406AE1FBFFF7}"/>
    <cellStyle name="Normal 2 3 74" xfId="20553" xr:uid="{169CB7B4-7C38-495D-BBE5-F552A1E01AC5}"/>
    <cellStyle name="Normal 2 3 75" xfId="20554" xr:uid="{4052985D-217A-4768-ACDF-79E92B97936D}"/>
    <cellStyle name="Normal 2 3 76" xfId="20555" xr:uid="{BE3F09F2-C12A-48F1-913A-768E9C09FB85}"/>
    <cellStyle name="Normal 2 3 77" xfId="20556" xr:uid="{9DB039B3-A847-4C54-A761-247ECF7015D4}"/>
    <cellStyle name="Normal 2 3 78" xfId="20557" xr:uid="{382097F5-2F1E-419A-8E8D-2108DF33B31D}"/>
    <cellStyle name="Normal 2 3 79" xfId="20558" xr:uid="{C1266BC5-4575-4E48-85EE-2E2B584BF69B}"/>
    <cellStyle name="Normal 2 3 8" xfId="20559" xr:uid="{492A2727-49C5-4DA6-BEE6-98B1A9B69ED7}"/>
    <cellStyle name="Normal 2 3 8 10" xfId="20560" xr:uid="{6C6DA82C-8C1E-4B56-B345-BFA3A242F4F5}"/>
    <cellStyle name="Normal 2 3 8 11" xfId="20561" xr:uid="{E476C0D8-5B45-4C22-92EA-5F34BBCFCA7E}"/>
    <cellStyle name="Normal 2 3 8 12" xfId="20562" xr:uid="{5E3200E7-7EE9-4DF5-B1A9-C9AB0E4E92CF}"/>
    <cellStyle name="Normal 2 3 8 13" xfId="20563" xr:uid="{CE78E6A9-1BC1-49D9-BBCE-2819A01F465B}"/>
    <cellStyle name="Normal 2 3 8 14" xfId="20564" xr:uid="{9101BF55-F689-4079-8921-F1E3D3D15530}"/>
    <cellStyle name="Normal 2 3 8 15" xfId="20565" xr:uid="{84A269A7-0838-4134-A277-6C4911672F1B}"/>
    <cellStyle name="Normal 2 3 8 16" xfId="20566" xr:uid="{B6284A4B-D951-437C-A879-A105A67C8B6A}"/>
    <cellStyle name="Normal 2 3 8 17" xfId="20567" xr:uid="{20B2A278-7FA4-49A0-9408-90A3E277BDE5}"/>
    <cellStyle name="Normal 2 3 8 2" xfId="20568" xr:uid="{42371964-803D-480A-A226-CCB34E588802}"/>
    <cellStyle name="Normal 2 3 8 2 10" xfId="20569" xr:uid="{77D02503-7215-41C6-B0B4-464B121421FD}"/>
    <cellStyle name="Normal 2 3 8 2 11" xfId="20570" xr:uid="{0BD796C6-AE88-4D4F-83E1-FC0811DB1F18}"/>
    <cellStyle name="Normal 2 3 8 2 12" xfId="20571" xr:uid="{62538507-63FC-4552-B8FB-AE9A9005542F}"/>
    <cellStyle name="Normal 2 3 8 2 2" xfId="20572" xr:uid="{EF06940C-C696-4CBC-B1FA-9A7D0CB37590}"/>
    <cellStyle name="Normal 2 3 8 2 2 2" xfId="20573" xr:uid="{1F297B74-3FF8-449F-978F-81B32D8123C1}"/>
    <cellStyle name="Normal 2 3 8 2 2 2 2" xfId="20574" xr:uid="{2A1BB00E-693E-4FA8-B574-68FF9457B6DE}"/>
    <cellStyle name="Normal 2 3 8 2 2 2 2 2" xfId="20575" xr:uid="{1896E11B-8F79-4DE5-A045-B1CB04373C39}"/>
    <cellStyle name="Normal 2 3 8 2 2 2 2 2 2" xfId="20576" xr:uid="{36616206-1087-401F-919F-BA5041A3725C}"/>
    <cellStyle name="Normal 2 3 8 2 2 2 2 2 3" xfId="20577" xr:uid="{6B0138C0-C6DB-441A-9DA8-9A33CFF3386B}"/>
    <cellStyle name="Normal 2 3 8 2 2 2 2 2 4" xfId="20578" xr:uid="{96B647C6-D2AD-4597-AC0E-C5A071316B5C}"/>
    <cellStyle name="Normal 2 3 8 2 2 2 2 2 5" xfId="20579" xr:uid="{1D1FF7B8-A1AD-4968-A496-79DE57957B55}"/>
    <cellStyle name="Normal 2 3 8 2 2 2 2 2 6" xfId="20580" xr:uid="{3798404F-6665-4931-BE89-F030B0D63E79}"/>
    <cellStyle name="Normal 2 3 8 2 2 2 2 3" xfId="20581" xr:uid="{5713A7FF-8094-474D-90F2-83122077F408}"/>
    <cellStyle name="Normal 2 3 8 2 2 2 2 4" xfId="20582" xr:uid="{7AE140AF-B130-40C7-9967-72D728EB7EEB}"/>
    <cellStyle name="Normal 2 3 8 2 2 2 2 5" xfId="20583" xr:uid="{76C00A30-EF9F-4645-97A7-131AEED087E4}"/>
    <cellStyle name="Normal 2 3 8 2 2 2 2 6" xfId="20584" xr:uid="{6BD64A63-A6AD-4FD3-B6D1-2096958E5E9D}"/>
    <cellStyle name="Normal 2 3 8 2 2 2 3" xfId="20585" xr:uid="{0757AF69-8F56-4459-9D8C-6E471D405588}"/>
    <cellStyle name="Normal 2 3 8 2 2 2 4" xfId="20586" xr:uid="{55D5DB58-DB5B-403E-907F-C0B9112D490A}"/>
    <cellStyle name="Normal 2 3 8 2 2 2 5" xfId="20587" xr:uid="{31288271-4220-4801-826A-6D7D0ACF492B}"/>
    <cellStyle name="Normal 2 3 8 2 2 2 6" xfId="20588" xr:uid="{B59B416C-5DDC-4C5C-854F-CE0AB6C6C44C}"/>
    <cellStyle name="Normal 2 3 8 2 2 2 7" xfId="20589" xr:uid="{35B6EB86-C23A-439C-A40C-5663594EF7D1}"/>
    <cellStyle name="Normal 2 3 8 2 2 2 8" xfId="20590" xr:uid="{E89AA644-E699-4CF0-9862-301398B1E9CE}"/>
    <cellStyle name="Normal 2 3 8 2 2 2 9" xfId="20591" xr:uid="{EF5752CF-CBED-4C7A-8943-9B8CF636D640}"/>
    <cellStyle name="Normal 2 3 8 2 2 3" xfId="20592" xr:uid="{891E1B68-AE7A-4C8F-A9DC-1B9D2C302C92}"/>
    <cellStyle name="Normal 2 3 8 2 2 3 2" xfId="20593" xr:uid="{86E5C499-BFAF-415B-BCFD-CDD3211DE9B8}"/>
    <cellStyle name="Normal 2 3 8 2 2 3 2 2" xfId="20594" xr:uid="{A2D80136-D754-42D0-8B6C-D95E91BC8DB4}"/>
    <cellStyle name="Normal 2 3 8 2 2 3 2 3" xfId="20595" xr:uid="{B597F58A-0E2F-4C16-A033-D24F6B0A5DC1}"/>
    <cellStyle name="Normal 2 3 8 2 2 3 2 4" xfId="20596" xr:uid="{3467694E-32EE-4EB4-A5A4-D7BBA124F6EA}"/>
    <cellStyle name="Normal 2 3 8 2 2 3 2 5" xfId="20597" xr:uid="{87A2A6A6-DF3C-406A-938C-7C57F7AEA90E}"/>
    <cellStyle name="Normal 2 3 8 2 2 3 2 6" xfId="20598" xr:uid="{A0B65FE2-45A2-4112-B115-189C0547C6DA}"/>
    <cellStyle name="Normal 2 3 8 2 2 3 3" xfId="20599" xr:uid="{999F0AA2-C7EF-423E-9DCD-AC64145E6097}"/>
    <cellStyle name="Normal 2 3 8 2 2 3 4" xfId="20600" xr:uid="{40C1F852-B110-4F7B-BED0-6A4744C2C013}"/>
    <cellStyle name="Normal 2 3 8 2 2 3 5" xfId="20601" xr:uid="{CB83DAEA-A046-45E3-BAFF-583267D98110}"/>
    <cellStyle name="Normal 2 3 8 2 2 3 6" xfId="20602" xr:uid="{371CC064-1D4E-4567-B0C2-AD30687D9E9D}"/>
    <cellStyle name="Normal 2 3 8 2 2 4" xfId="20603" xr:uid="{1F617654-C3BF-4C64-85BA-EAA52593FB5C}"/>
    <cellStyle name="Normal 2 3 8 2 2 5" xfId="20604" xr:uid="{9D7C3FDF-EDAB-4E16-9138-BBD9BDBF7561}"/>
    <cellStyle name="Normal 2 3 8 2 2 6" xfId="20605" xr:uid="{C7C28AC8-F9BD-4C33-A7E8-B99F194CD127}"/>
    <cellStyle name="Normal 2 3 8 2 2 7" xfId="20606" xr:uid="{D7BE49C3-676B-48B3-A1E1-0753C3660D1C}"/>
    <cellStyle name="Normal 2 3 8 2 2 8" xfId="20607" xr:uid="{92B74BDE-A27A-490C-81FB-D5A0662E9C16}"/>
    <cellStyle name="Normal 2 3 8 2 2 9" xfId="20608" xr:uid="{37178D08-D3CC-4A03-8212-7AD70A0B2C98}"/>
    <cellStyle name="Normal 2 3 8 2 3" xfId="20609" xr:uid="{B36F52A2-821F-47C0-BAEE-8B7E19A0B80A}"/>
    <cellStyle name="Normal 2 3 8 2 4" xfId="20610" xr:uid="{75AADF39-E613-4C57-9F30-0DD0B3D873CC}"/>
    <cellStyle name="Normal 2 3 8 2 5" xfId="20611" xr:uid="{8F559711-8E8A-4D04-9252-CA4D2B188FD4}"/>
    <cellStyle name="Normal 2 3 8 2 5 2" xfId="20612" xr:uid="{956D6A30-4A45-4DC4-9128-1D894A35EC74}"/>
    <cellStyle name="Normal 2 3 8 2 5 2 2" xfId="20613" xr:uid="{A904EB21-0700-4CF9-98A4-CE150FE22A50}"/>
    <cellStyle name="Normal 2 3 8 2 5 2 3" xfId="20614" xr:uid="{C670DC31-E8EB-4915-A103-EF819B71B2C8}"/>
    <cellStyle name="Normal 2 3 8 2 5 2 4" xfId="20615" xr:uid="{9740B13F-4CE0-4562-95F3-1171B7CAE86B}"/>
    <cellStyle name="Normal 2 3 8 2 5 2 5" xfId="20616" xr:uid="{4A133D03-3034-4C39-8B10-5C2595A22DF3}"/>
    <cellStyle name="Normal 2 3 8 2 5 2 6" xfId="20617" xr:uid="{309F0764-BEFE-419A-BD6F-B2C5CE3D30B2}"/>
    <cellStyle name="Normal 2 3 8 2 5 3" xfId="20618" xr:uid="{C75DA038-AFD4-47E3-808B-2D041CB4DFCD}"/>
    <cellStyle name="Normal 2 3 8 2 5 4" xfId="20619" xr:uid="{00887B08-EAE8-4EBD-8C0A-593175D96341}"/>
    <cellStyle name="Normal 2 3 8 2 5 5" xfId="20620" xr:uid="{61C4BA27-10E5-4F46-918F-53EDE93B5969}"/>
    <cellStyle name="Normal 2 3 8 2 5 6" xfId="20621" xr:uid="{DFB0929E-4ECF-45C8-BB8F-9DD83D551BD0}"/>
    <cellStyle name="Normal 2 3 8 2 6" xfId="20622" xr:uid="{22AD3C92-B28F-4C8B-AD6E-0959A36E65F0}"/>
    <cellStyle name="Normal 2 3 8 2 7" xfId="20623" xr:uid="{44A38C00-A5C8-4C01-AEA7-8667C33AF2EC}"/>
    <cellStyle name="Normal 2 3 8 2 8" xfId="20624" xr:uid="{75282A6C-901F-4444-80B6-9D9645C3AA53}"/>
    <cellStyle name="Normal 2 3 8 2 9" xfId="20625" xr:uid="{6BF33390-D2BC-485A-8746-9C56C3F7A85B}"/>
    <cellStyle name="Normal 2 3 8 3" xfId="20626" xr:uid="{891C6524-F4D8-472C-A579-32F2BFBF4980}"/>
    <cellStyle name="Normal 2 3 8 3 2" xfId="20627" xr:uid="{CD838F9B-EECE-427D-94EB-432A29825A38}"/>
    <cellStyle name="Normal 2 3 8 3 2 2" xfId="20628" xr:uid="{61635C87-CC5D-4DCC-8F6B-2D9261B18133}"/>
    <cellStyle name="Normal 2 3 8 3 2 2 2" xfId="20629" xr:uid="{5983739C-976F-4403-8E32-A50F96352BC5}"/>
    <cellStyle name="Normal 2 3 8 3 2 2 2 2" xfId="20630" xr:uid="{85902AB2-A4D7-437D-8333-D066B847F0C1}"/>
    <cellStyle name="Normal 2 3 8 3 2 2 2 3" xfId="20631" xr:uid="{9A63DBE6-8BCE-4BC7-91E6-4DD09C37DC61}"/>
    <cellStyle name="Normal 2 3 8 3 2 2 2 4" xfId="20632" xr:uid="{67436755-A813-4E01-9A7A-BA46546C3C22}"/>
    <cellStyle name="Normal 2 3 8 3 2 2 2 5" xfId="20633" xr:uid="{A1B64DEE-E558-4590-BFDA-830F2D6F3F48}"/>
    <cellStyle name="Normal 2 3 8 3 2 2 2 6" xfId="20634" xr:uid="{88FC0C60-4458-4BE4-A50D-D8D3E28E206F}"/>
    <cellStyle name="Normal 2 3 8 3 2 2 3" xfId="20635" xr:uid="{3AB38F11-57ED-4BBA-9393-C2F764A3B695}"/>
    <cellStyle name="Normal 2 3 8 3 2 2 4" xfId="20636" xr:uid="{814DB1AF-C0F1-4915-BC0E-FF5166DE99A9}"/>
    <cellStyle name="Normal 2 3 8 3 2 2 5" xfId="20637" xr:uid="{80FC5820-812C-491D-91EE-DCDFEFD82FA9}"/>
    <cellStyle name="Normal 2 3 8 3 2 2 6" xfId="20638" xr:uid="{CD8CC8C9-32D7-4B2A-AC8A-A51F35CA7780}"/>
    <cellStyle name="Normal 2 3 8 3 2 3" xfId="20639" xr:uid="{29E8ACA2-7E47-42D4-8CFA-A24CF3DC924B}"/>
    <cellStyle name="Normal 2 3 8 3 2 4" xfId="20640" xr:uid="{F74ABEA4-5620-4C30-A4BC-E2D5925907F2}"/>
    <cellStyle name="Normal 2 3 8 3 2 5" xfId="20641" xr:uid="{F3634088-1B0B-4658-BDEC-E2DA29F93EBC}"/>
    <cellStyle name="Normal 2 3 8 3 2 6" xfId="20642" xr:uid="{94202AB8-B78C-4D7C-948A-32FD96BF8CAB}"/>
    <cellStyle name="Normal 2 3 8 3 2 7" xfId="20643" xr:uid="{77984438-DB22-4AC6-AA3E-99D95A431066}"/>
    <cellStyle name="Normal 2 3 8 3 2 8" xfId="20644" xr:uid="{8E013BEC-C0D5-4C7E-9048-3B1B2C941248}"/>
    <cellStyle name="Normal 2 3 8 3 2 9" xfId="20645" xr:uid="{EBE6A5DD-5074-4DE4-8B5C-3DF14E2A1B89}"/>
    <cellStyle name="Normal 2 3 8 3 3" xfId="20646" xr:uid="{7996168E-24AD-46DD-9A45-6656B2485501}"/>
    <cellStyle name="Normal 2 3 8 3 3 2" xfId="20647" xr:uid="{4AC7E092-5B04-4E19-A3C7-859FE53A6525}"/>
    <cellStyle name="Normal 2 3 8 3 3 2 2" xfId="20648" xr:uid="{89C0487D-E778-47B2-BDA1-D1DCC0381B58}"/>
    <cellStyle name="Normal 2 3 8 3 3 2 3" xfId="20649" xr:uid="{F335B7F2-0B61-4813-978B-20294D0720E8}"/>
    <cellStyle name="Normal 2 3 8 3 3 2 4" xfId="20650" xr:uid="{9FAFACC3-3446-46F9-8737-CB40DB41891B}"/>
    <cellStyle name="Normal 2 3 8 3 3 2 5" xfId="20651" xr:uid="{0965FB59-F8C7-45E1-A60C-EDA41F51CE4D}"/>
    <cellStyle name="Normal 2 3 8 3 3 2 6" xfId="20652" xr:uid="{1A55BA69-BDB1-4F26-A167-40E12BB2B3C9}"/>
    <cellStyle name="Normal 2 3 8 3 3 3" xfId="20653" xr:uid="{54BC2234-5D9F-445D-89B6-947C2C4959F0}"/>
    <cellStyle name="Normal 2 3 8 3 3 4" xfId="20654" xr:uid="{F60B7C8A-02FB-4D5B-BB81-F91F17183EC7}"/>
    <cellStyle name="Normal 2 3 8 3 3 5" xfId="20655" xr:uid="{D6673AE8-61A3-4C62-982A-8B80CCDF263B}"/>
    <cellStyle name="Normal 2 3 8 3 3 6" xfId="20656" xr:uid="{D45F076B-9C07-424D-8453-C5A4C4F94CE1}"/>
    <cellStyle name="Normal 2 3 8 3 4" xfId="20657" xr:uid="{1B93EC61-01B3-496F-830C-BE03108D794D}"/>
    <cellStyle name="Normal 2 3 8 3 5" xfId="20658" xr:uid="{1B547D22-234C-4C70-AC4C-BABB4D1F6582}"/>
    <cellStyle name="Normal 2 3 8 3 6" xfId="20659" xr:uid="{F4CD3FA5-C89C-4E5C-BE76-E4DB28B456B9}"/>
    <cellStyle name="Normal 2 3 8 3 7" xfId="20660" xr:uid="{AD9B06C4-6079-4CFC-A8AD-157CE15E8FCC}"/>
    <cellStyle name="Normal 2 3 8 3 8" xfId="20661" xr:uid="{2975E4F2-18ED-4BC7-A285-A36B019F7B33}"/>
    <cellStyle name="Normal 2 3 8 3 9" xfId="20662" xr:uid="{23315EA1-48A1-4C33-92C8-DEEBF11755B7}"/>
    <cellStyle name="Normal 2 3 8 4" xfId="20663" xr:uid="{8A9BE8F2-6FDD-47AE-97B5-1733CB5890A9}"/>
    <cellStyle name="Normal 2 3 8 5" xfId="20664" xr:uid="{90BC196A-EFE8-4A4E-BE13-0445AACA3422}"/>
    <cellStyle name="Normal 2 3 8 5 2" xfId="20665" xr:uid="{5038ADCB-4165-4FC3-900B-EAC6FBBEF5B8}"/>
    <cellStyle name="Normal 2 3 8 5 2 2" xfId="20666" xr:uid="{EF0B8504-0DB2-4738-902E-9370F838C3C4}"/>
    <cellStyle name="Normal 2 3 8 5 2 3" xfId="20667" xr:uid="{B5EB88BC-856B-472F-A95C-637B8711928E}"/>
    <cellStyle name="Normal 2 3 8 5 2 4" xfId="20668" xr:uid="{260FF46C-2C30-476B-9759-6D8D17235D76}"/>
    <cellStyle name="Normal 2 3 8 5 2 5" xfId="20669" xr:uid="{197C8EF3-31C2-40B3-8BB2-1DADFCB83AD0}"/>
    <cellStyle name="Normal 2 3 8 5 2 6" xfId="20670" xr:uid="{243CF50E-246C-4BF3-B4D4-7F49147183F8}"/>
    <cellStyle name="Normal 2 3 8 5 3" xfId="20671" xr:uid="{FEC8209A-53C1-41F7-B9B2-B336B4C25359}"/>
    <cellStyle name="Normal 2 3 8 5 4" xfId="20672" xr:uid="{E4C2D7F0-9BC4-4E90-BA6B-8CFB50375357}"/>
    <cellStyle name="Normal 2 3 8 5 5" xfId="20673" xr:uid="{C642B820-CCFA-4A68-83BE-D0A68D3BA74A}"/>
    <cellStyle name="Normal 2 3 8 5 6" xfId="20674" xr:uid="{93DA82AA-E315-4E34-9D13-52FE8ED2B25E}"/>
    <cellStyle name="Normal 2 3 8 6" xfId="20675" xr:uid="{DC801038-CF83-4CB3-8321-CFD98A6EA729}"/>
    <cellStyle name="Normal 2 3 8 7" xfId="20676" xr:uid="{553442E0-4A2C-4A98-ADA2-8A87AFD72625}"/>
    <cellStyle name="Normal 2 3 8 8" xfId="20677" xr:uid="{27B6C7CB-9F4B-4FF5-AB9C-E7BB17229976}"/>
    <cellStyle name="Normal 2 3 8 9" xfId="20678" xr:uid="{68BD9DF6-719E-4A24-A293-BA6309E85019}"/>
    <cellStyle name="Normal 2 3 80" xfId="20679" xr:uid="{69763999-D11B-488D-899A-DC317C036D7D}"/>
    <cellStyle name="Normal 2 3 81" xfId="20680" xr:uid="{570D6D6C-607D-40D0-B7B1-359823B76FBF}"/>
    <cellStyle name="Normal 2 3 82" xfId="20681" xr:uid="{A456A670-2C89-4706-A48B-1C2B5949E789}"/>
    <cellStyle name="Normal 2 3 83" xfId="20682" xr:uid="{E9BFAB9D-31B5-4A3C-A1CE-DF55DDD16790}"/>
    <cellStyle name="Normal 2 3 84" xfId="20683" xr:uid="{3A0F1E29-09AC-41B5-AC88-A8C8490188C6}"/>
    <cellStyle name="Normal 2 3 85" xfId="20684" xr:uid="{378669CD-DA33-495E-A31D-05188BB15543}"/>
    <cellStyle name="Normal 2 3 86" xfId="20685" xr:uid="{00473063-91BA-45FE-A060-16271E0751E9}"/>
    <cellStyle name="Normal 2 3 87" xfId="20686" xr:uid="{283F0F01-C67E-4D1A-B215-12FDE64E8A63}"/>
    <cellStyle name="Normal 2 3 88" xfId="20687" xr:uid="{A557FB63-EA43-4833-96B8-B409DFF3BC29}"/>
    <cellStyle name="Normal 2 3 89" xfId="20688" xr:uid="{F50B8B2B-6126-42DF-B5EF-7E30CB4599B5}"/>
    <cellStyle name="Normal 2 3 9" xfId="20689" xr:uid="{47A5DEAE-FFF9-4C47-BF93-8B1ACE061129}"/>
    <cellStyle name="Normal 2 3 9 2" xfId="20690" xr:uid="{AACF4FDB-5DEC-4D7E-BC7B-52EF1EF946CB}"/>
    <cellStyle name="Normal 2 3 9 3" xfId="20691" xr:uid="{92C17913-3520-4CF3-BFC3-18696279C228}"/>
    <cellStyle name="Normal 2 3 9 4" xfId="20692" xr:uid="{992B603A-9974-48B3-867A-48A219E11061}"/>
    <cellStyle name="Normal 2 3 9 5" xfId="20693" xr:uid="{2955457E-D220-4DC7-823A-779E1E8755F8}"/>
    <cellStyle name="Normal 2 3 9 6" xfId="20694" xr:uid="{9FC4ED8A-B41D-47AC-93A6-303562D2A26F}"/>
    <cellStyle name="Normal 2 3 90" xfId="20695" xr:uid="{03B68E68-0BF7-4369-83D3-78E5310C39A7}"/>
    <cellStyle name="Normal 2 3 91" xfId="20696" xr:uid="{F8852A3C-48BE-46C7-91AF-74A4FC644160}"/>
    <cellStyle name="Normal 2 3 92" xfId="20697" xr:uid="{29AE4EF2-7D56-46AA-BD32-AFB0317F596E}"/>
    <cellStyle name="Normal 2 3 93" xfId="20698" xr:uid="{E18AAEBE-643B-4237-A59E-5D38B7E72F22}"/>
    <cellStyle name="Normal 2 3 94" xfId="20699" xr:uid="{80E1B37B-760C-4757-BB84-9A6E016A1CE1}"/>
    <cellStyle name="Normal 2 3 95" xfId="20700" xr:uid="{5BD31EE6-326C-44AD-BE89-DF62DD0FBB66}"/>
    <cellStyle name="Normal 2 3 96" xfId="20701" xr:uid="{A11F9AD9-5737-4300-8641-D05254607B35}"/>
    <cellStyle name="Normal 2 3 97" xfId="20702" xr:uid="{CB145349-6A19-4C66-86C5-A89674AC09F1}"/>
    <cellStyle name="Normal 2 3 98" xfId="20703" xr:uid="{2A561CCE-26D3-4755-8B6D-B9A774102EBC}"/>
    <cellStyle name="Normal 2 30" xfId="20704" xr:uid="{619C490B-3093-4F57-B08D-0CE04F541083}"/>
    <cellStyle name="Normal 2 30 2" xfId="20705" xr:uid="{3151CA01-E522-458D-8403-18698533647A}"/>
    <cellStyle name="Normal 2 31" xfId="20706" xr:uid="{D9877715-2A8F-49B5-B8AD-7565777B28FB}"/>
    <cellStyle name="Normal 2 31 2" xfId="20707" xr:uid="{3465EA96-2C9E-4E2E-B7F3-B84CCD5319DD}"/>
    <cellStyle name="Normal 2 32" xfId="20708" xr:uid="{35947675-3515-4530-90D9-B33D0980E8DB}"/>
    <cellStyle name="Normal 2 32 10" xfId="20709" xr:uid="{E9FBAF4F-9709-4D93-B7F0-0D648CF28649}"/>
    <cellStyle name="Normal 2 32 11" xfId="20710" xr:uid="{498FFE85-E79F-4D8B-957E-AF47EF4394D5}"/>
    <cellStyle name="Normal 2 32 2" xfId="20711" xr:uid="{7918092C-95A3-44B4-AF07-C38EB99DD0EB}"/>
    <cellStyle name="Normal 2 32 2 2" xfId="20712" xr:uid="{2B293F0C-0F3A-45D1-BAC6-8E9662855F77}"/>
    <cellStyle name="Normal 2 32 2 3" xfId="20713" xr:uid="{17F7D883-34F4-42B2-8B07-43551D7393F2}"/>
    <cellStyle name="Normal 2 32 2 4" xfId="20714" xr:uid="{2D5B58E4-0CAC-40D5-986B-700CAFF7528B}"/>
    <cellStyle name="Normal 2 32 2 5" xfId="20715" xr:uid="{F848C91E-BD38-4CA5-813F-4605577B49DC}"/>
    <cellStyle name="Normal 2 32 2 6" xfId="20716" xr:uid="{C3B51555-4191-4E8B-8855-DDF77B82DC79}"/>
    <cellStyle name="Normal 2 32 2 7" xfId="20717" xr:uid="{C04DEAD0-8835-49C5-9776-ACEBB8E0F044}"/>
    <cellStyle name="Normal 2 32 2 8" xfId="20718" xr:uid="{A5F2D3FF-C2CD-478C-84DB-1D6165547E6E}"/>
    <cellStyle name="Normal 2 32 2 9" xfId="20719" xr:uid="{65048489-B22B-44DA-9FCD-51118A51224B}"/>
    <cellStyle name="Normal 2 32 3" xfId="20720" xr:uid="{33B276CA-8CAA-4572-907F-E19108FC25E0}"/>
    <cellStyle name="Normal 2 32 4" xfId="20721" xr:uid="{9D147643-6985-4D5A-A125-87F2DEC7C59D}"/>
    <cellStyle name="Normal 2 32 5" xfId="20722" xr:uid="{26CFEFA8-762D-449D-9DB2-8DAC94354EFC}"/>
    <cellStyle name="Normal 2 32 6" xfId="20723" xr:uid="{F1726C2A-5130-446B-9885-80F6194698CF}"/>
    <cellStyle name="Normal 2 32 7" xfId="20724" xr:uid="{611FC870-0742-4641-9BF7-A125F21E3A67}"/>
    <cellStyle name="Normal 2 32 8" xfId="20725" xr:uid="{0695E6FA-CF5C-4F7D-9CEF-2E581350A061}"/>
    <cellStyle name="Normal 2 32 9" xfId="20726" xr:uid="{32019E60-4511-4E62-A795-47B981FFADB9}"/>
    <cellStyle name="Normal 2 33" xfId="20727" xr:uid="{7AF07FF7-EF83-4516-B9D6-6EF2F8CF2420}"/>
    <cellStyle name="Normal 2 33 10" xfId="20728" xr:uid="{0598D4A7-76D7-40CD-B5D8-710319E828AB}"/>
    <cellStyle name="Normal 2 33 11" xfId="20729" xr:uid="{835E36F4-B3B2-4CE2-8176-6FAAE0FE02C8}"/>
    <cellStyle name="Normal 2 33 12" xfId="20730" xr:uid="{03D5F196-8593-4100-AF00-1E07A4D08869}"/>
    <cellStyle name="Normal 2 33 13" xfId="20731" xr:uid="{289C1DDF-82AD-4B79-AA93-172E4C862457}"/>
    <cellStyle name="Normal 2 33 14" xfId="20732" xr:uid="{6B199C2F-911C-437C-BF70-40773F6716A8}"/>
    <cellStyle name="Normal 2 33 15" xfId="20733" xr:uid="{49BD819C-F4BD-4DC0-9F2A-B2CF448B0714}"/>
    <cellStyle name="Normal 2 33 16" xfId="20734" xr:uid="{9EFCB30F-0E40-4965-93EF-27174798BE1A}"/>
    <cellStyle name="Normal 2 33 2" xfId="20735" xr:uid="{DCAA12BF-429E-4164-B03D-399BC969EA9D}"/>
    <cellStyle name="Normal 2 33 2 10" xfId="20736" xr:uid="{A5B136F9-7BD1-4E51-99E8-E2D4C69EB5FB}"/>
    <cellStyle name="Normal 2 33 2 11" xfId="20737" xr:uid="{AD093BEB-1C86-411E-A859-D26F94803E4F}"/>
    <cellStyle name="Normal 2 33 2 12" xfId="20738" xr:uid="{3510D65F-B2C7-46C7-BE11-B10FA8E2C57D}"/>
    <cellStyle name="Normal 2 33 2 13" xfId="20739" xr:uid="{50D7C8AB-B121-4469-9BF4-725F2D0A4044}"/>
    <cellStyle name="Normal 2 33 2 14" xfId="20740" xr:uid="{EE7569EA-43D5-4109-8665-1E81AEB81C84}"/>
    <cellStyle name="Normal 2 33 2 15" xfId="20741" xr:uid="{E7D32F82-F495-45A1-AB76-0D207A3BEB56}"/>
    <cellStyle name="Normal 2 33 2 2" xfId="20742" xr:uid="{4E0FA7BB-A8CD-4D5B-A786-329CAE8FCD5F}"/>
    <cellStyle name="Normal 2 33 2 2 10" xfId="20743" xr:uid="{4E29A4C5-1D25-4BBA-849C-14FA9FC78845}"/>
    <cellStyle name="Normal 2 33 2 2 11" xfId="20744" xr:uid="{18966E88-9A76-4CA4-96DF-32F3F9CD7E1D}"/>
    <cellStyle name="Normal 2 33 2 2 12" xfId="20745" xr:uid="{D12CCE48-8E54-4162-94DE-38613A2DD287}"/>
    <cellStyle name="Normal 2 33 2 2 2" xfId="20746" xr:uid="{0676E3E6-521D-4880-AD14-E49D3C8DDBFD}"/>
    <cellStyle name="Normal 2 33 2 2 2 10" xfId="20747" xr:uid="{8EFD6BFF-BC1D-41F5-B798-C6746333309C}"/>
    <cellStyle name="Normal 2 33 2 2 2 11" xfId="20748" xr:uid="{8AE94E0F-E52A-4EB6-8C7E-ECFAD167D52F}"/>
    <cellStyle name="Normal 2 33 2 2 2 12" xfId="20749" xr:uid="{B074BDD7-5A76-48D8-AE48-DDDE2C3110B2}"/>
    <cellStyle name="Normal 2 33 2 2 2 2" xfId="20750" xr:uid="{E448223D-7769-44E0-9A12-AD2597DBE617}"/>
    <cellStyle name="Normal 2 33 2 2 2 2 2" xfId="20751" xr:uid="{6DD493D8-8081-4ED0-B3C3-44A0063C3AED}"/>
    <cellStyle name="Normal 2 33 2 2 2 2 2 2" xfId="20752" xr:uid="{7A53AE8E-9688-4741-9619-07F20BFA2B37}"/>
    <cellStyle name="Normal 2 33 2 2 2 2 2 2 2" xfId="20753" xr:uid="{79345943-60A9-4CE5-82DE-0302A57A46EB}"/>
    <cellStyle name="Normal 2 33 2 2 2 2 2 2 2 2" xfId="20754" xr:uid="{26D16923-2DE6-4F25-9567-83F6406F4273}"/>
    <cellStyle name="Normal 2 33 2 2 2 2 2 2 2 3" xfId="20755" xr:uid="{16E4BCA5-9AE5-4124-8651-91AED6A1F3FA}"/>
    <cellStyle name="Normal 2 33 2 2 2 2 2 2 2 4" xfId="20756" xr:uid="{08EF945B-7249-4D5A-B681-6F488FD1B556}"/>
    <cellStyle name="Normal 2 33 2 2 2 2 2 2 2 5" xfId="20757" xr:uid="{7E6B6ACE-1B64-4EBB-B16F-8A7BDDB605E3}"/>
    <cellStyle name="Normal 2 33 2 2 2 2 2 2 2 6" xfId="20758" xr:uid="{32AF45DF-0A95-4877-B173-4487E0405A9B}"/>
    <cellStyle name="Normal 2 33 2 2 2 2 2 2 3" xfId="20759" xr:uid="{F70014DA-DFF0-484C-89A1-4FFDD31376B3}"/>
    <cellStyle name="Normal 2 33 2 2 2 2 2 2 4" xfId="20760" xr:uid="{4C896619-AC74-4A9C-8D6E-6E8B26417BE1}"/>
    <cellStyle name="Normal 2 33 2 2 2 2 2 2 5" xfId="20761" xr:uid="{A017369A-81E5-4751-8A41-519B107F1F27}"/>
    <cellStyle name="Normal 2 33 2 2 2 2 2 2 6" xfId="20762" xr:uid="{A9F5F48A-44EA-4EE3-B414-DC79257C2C8B}"/>
    <cellStyle name="Normal 2 33 2 2 2 2 2 3" xfId="20763" xr:uid="{66D2FE38-2BC0-42FC-8FDF-D23BADEA012B}"/>
    <cellStyle name="Normal 2 33 2 2 2 2 2 4" xfId="20764" xr:uid="{7035EA93-094A-4E91-B448-918CCD44BCD3}"/>
    <cellStyle name="Normal 2 33 2 2 2 2 2 5" xfId="20765" xr:uid="{E2B35290-69A4-4303-A2C5-EEEEAFED7B4A}"/>
    <cellStyle name="Normal 2 33 2 2 2 2 2 6" xfId="20766" xr:uid="{9F700211-9206-4149-A5BD-40DC79972ED1}"/>
    <cellStyle name="Normal 2 33 2 2 2 2 2 7" xfId="20767" xr:uid="{C541663D-75E2-446C-92F1-C4BED1BF358E}"/>
    <cellStyle name="Normal 2 33 2 2 2 2 2 8" xfId="20768" xr:uid="{AD4A6A81-61CA-4FCD-BB97-8CD0F40F9F4E}"/>
    <cellStyle name="Normal 2 33 2 2 2 2 2 9" xfId="20769" xr:uid="{56836199-A077-426D-ACA5-894428371CBB}"/>
    <cellStyle name="Normal 2 33 2 2 2 2 3" xfId="20770" xr:uid="{7A05FEE3-FD42-4B6D-8A37-F8C8BEFD3712}"/>
    <cellStyle name="Normal 2 33 2 2 2 2 3 2" xfId="20771" xr:uid="{FEC9BF8C-A9BD-4691-8562-C20E74DB6CAB}"/>
    <cellStyle name="Normal 2 33 2 2 2 2 3 2 2" xfId="20772" xr:uid="{D80D700E-E2DB-4819-BC09-7F912462D97F}"/>
    <cellStyle name="Normal 2 33 2 2 2 2 3 2 3" xfId="20773" xr:uid="{D25D8D88-A3CC-4F39-B0F0-3FE621062EF6}"/>
    <cellStyle name="Normal 2 33 2 2 2 2 3 2 4" xfId="20774" xr:uid="{0B4A612F-300C-4A65-BE00-5727C6625F40}"/>
    <cellStyle name="Normal 2 33 2 2 2 2 3 2 5" xfId="20775" xr:uid="{4C416547-2CF0-459E-A67F-3D5717F6AC40}"/>
    <cellStyle name="Normal 2 33 2 2 2 2 3 2 6" xfId="20776" xr:uid="{697E5CDB-E73E-440A-AFC1-E720C4E69102}"/>
    <cellStyle name="Normal 2 33 2 2 2 2 3 3" xfId="20777" xr:uid="{76A065CC-EB5A-413D-AFC3-80D9CE1CB662}"/>
    <cellStyle name="Normal 2 33 2 2 2 2 3 4" xfId="20778" xr:uid="{0AC42F7B-2AFA-4F57-B025-2E291AEEE35E}"/>
    <cellStyle name="Normal 2 33 2 2 2 2 3 5" xfId="20779" xr:uid="{EF7CD133-F9FF-4FBB-8DF0-ECFBBE2855A7}"/>
    <cellStyle name="Normal 2 33 2 2 2 2 3 6" xfId="20780" xr:uid="{9F45D4AC-3B06-406D-9B2A-609532F65051}"/>
    <cellStyle name="Normal 2 33 2 2 2 2 4" xfId="20781" xr:uid="{CC73E6BD-A63A-49B6-B062-A94C659F10A0}"/>
    <cellStyle name="Normal 2 33 2 2 2 2 5" xfId="20782" xr:uid="{9DCB4459-0E17-443C-B29F-1D1A3D077336}"/>
    <cellStyle name="Normal 2 33 2 2 2 2 6" xfId="20783" xr:uid="{F7CB0196-ED39-40C8-8ED7-050754B1290E}"/>
    <cellStyle name="Normal 2 33 2 2 2 2 7" xfId="20784" xr:uid="{A563288C-AA84-47AD-B725-10DB583A98B3}"/>
    <cellStyle name="Normal 2 33 2 2 2 2 8" xfId="20785" xr:uid="{9B9B0F73-2EFF-4BC9-87B0-8FB7DA41D07D}"/>
    <cellStyle name="Normal 2 33 2 2 2 2 9" xfId="20786" xr:uid="{C1428E71-BB98-4CD1-9AE3-3246CDD5BD98}"/>
    <cellStyle name="Normal 2 33 2 2 2 3" xfId="20787" xr:uid="{1DC74FE6-291D-4CA3-A295-70624F850FA7}"/>
    <cellStyle name="Normal 2 33 2 2 2 4" xfId="20788" xr:uid="{7C92B3D0-34A2-4BAB-AF5E-51576FC914B9}"/>
    <cellStyle name="Normal 2 33 2 2 2 5" xfId="20789" xr:uid="{D3A99AF1-1BE3-4FC1-8D7D-3A9122A56CCD}"/>
    <cellStyle name="Normal 2 33 2 2 2 5 2" xfId="20790" xr:uid="{D742D6F5-DF55-4305-A8CD-BE93B27FF31B}"/>
    <cellStyle name="Normal 2 33 2 2 2 5 2 2" xfId="20791" xr:uid="{92B3895B-34C9-4632-A08F-172017C81AC9}"/>
    <cellStyle name="Normal 2 33 2 2 2 5 2 3" xfId="20792" xr:uid="{787E83FA-BEAD-46B9-BF65-CE283A8035F7}"/>
    <cellStyle name="Normal 2 33 2 2 2 5 2 4" xfId="20793" xr:uid="{03377EC9-DCC1-4308-8DD7-98990E0F1933}"/>
    <cellStyle name="Normal 2 33 2 2 2 5 2 5" xfId="20794" xr:uid="{161048BE-6B41-450F-BDAF-5AA2BF23300F}"/>
    <cellStyle name="Normal 2 33 2 2 2 5 2 6" xfId="20795" xr:uid="{DEE57141-0926-4317-89E4-D688299B3E04}"/>
    <cellStyle name="Normal 2 33 2 2 2 5 3" xfId="20796" xr:uid="{95A7C9AF-EB29-4156-A854-AEA61087CD21}"/>
    <cellStyle name="Normal 2 33 2 2 2 5 4" xfId="20797" xr:uid="{70A95CAF-271D-4EAA-825B-1CEA010D8F61}"/>
    <cellStyle name="Normal 2 33 2 2 2 5 5" xfId="20798" xr:uid="{58822FDC-6F92-45BB-8550-88DC63E8951E}"/>
    <cellStyle name="Normal 2 33 2 2 2 5 6" xfId="20799" xr:uid="{7899679C-48A6-4085-8BA9-32805D2C787B}"/>
    <cellStyle name="Normal 2 33 2 2 2 6" xfId="20800" xr:uid="{EE09A4EA-8B87-4EC5-8285-9E5A41FD4E6A}"/>
    <cellStyle name="Normal 2 33 2 2 2 7" xfId="20801" xr:uid="{4027A90E-41B1-48A7-B684-6708EB195AA9}"/>
    <cellStyle name="Normal 2 33 2 2 2 8" xfId="20802" xr:uid="{F81E0DE0-F593-4220-943E-0243ECE2EE97}"/>
    <cellStyle name="Normal 2 33 2 2 2 9" xfId="20803" xr:uid="{188067E1-CB85-4FC0-A91F-DEA21AC8FE28}"/>
    <cellStyle name="Normal 2 33 2 2 3" xfId="20804" xr:uid="{C82648DD-1B85-4195-8E7D-6CB1EA3A0E13}"/>
    <cellStyle name="Normal 2 33 2 2 3 2" xfId="20805" xr:uid="{2AD62A1D-DF96-4FDB-9E4F-507BC50ECB75}"/>
    <cellStyle name="Normal 2 33 2 2 3 2 2" xfId="20806" xr:uid="{60B424D4-385C-4EF8-8803-057B80A5B3F4}"/>
    <cellStyle name="Normal 2 33 2 2 3 2 2 2" xfId="20807" xr:uid="{2A39595D-6B39-4C49-BF8A-4B92C15C5127}"/>
    <cellStyle name="Normal 2 33 2 2 3 2 2 2 2" xfId="20808" xr:uid="{F18802F6-854C-4D54-AF5E-731CB4E87000}"/>
    <cellStyle name="Normal 2 33 2 2 3 2 2 2 3" xfId="20809" xr:uid="{294BA127-91AE-477B-AD29-8C232A609410}"/>
    <cellStyle name="Normal 2 33 2 2 3 2 2 2 4" xfId="20810" xr:uid="{FA6E09D0-302F-4A74-8ACC-DE557D1C993A}"/>
    <cellStyle name="Normal 2 33 2 2 3 2 2 2 5" xfId="20811" xr:uid="{5CA9EED5-D30F-4360-BFD9-B03BD905F246}"/>
    <cellStyle name="Normal 2 33 2 2 3 2 2 2 6" xfId="20812" xr:uid="{7EF933F3-B694-40DF-8438-2E84B18AA631}"/>
    <cellStyle name="Normal 2 33 2 2 3 2 2 3" xfId="20813" xr:uid="{029222EB-8C14-455F-B3C5-CC7739906D6D}"/>
    <cellStyle name="Normal 2 33 2 2 3 2 2 4" xfId="20814" xr:uid="{5EEA999C-0430-4212-968D-D028AF607F81}"/>
    <cellStyle name="Normal 2 33 2 2 3 2 2 5" xfId="20815" xr:uid="{9133DE52-8C11-44E6-8A59-5CDC394FB97D}"/>
    <cellStyle name="Normal 2 33 2 2 3 2 2 6" xfId="20816" xr:uid="{719FA9F4-8213-48B0-A1FC-EBB96E580E58}"/>
    <cellStyle name="Normal 2 33 2 2 3 2 3" xfId="20817" xr:uid="{3BD9F3B9-E4B8-4F9F-95A3-9E366929E55A}"/>
    <cellStyle name="Normal 2 33 2 2 3 2 4" xfId="20818" xr:uid="{BD807732-36E6-4D64-8BF1-C079090D0310}"/>
    <cellStyle name="Normal 2 33 2 2 3 2 5" xfId="20819" xr:uid="{7F4324E0-04C4-4DE3-BF82-0B006749CB80}"/>
    <cellStyle name="Normal 2 33 2 2 3 2 6" xfId="20820" xr:uid="{07FD2B08-5BF7-4BBA-88E4-15D78A8353B1}"/>
    <cellStyle name="Normal 2 33 2 2 3 2 7" xfId="20821" xr:uid="{52B5ED7F-130A-4E14-BF0E-79956FFBF484}"/>
    <cellStyle name="Normal 2 33 2 2 3 2 8" xfId="20822" xr:uid="{57DCD3B9-A7FA-4783-99ED-BE2D81AB59EB}"/>
    <cellStyle name="Normal 2 33 2 2 3 2 9" xfId="20823" xr:uid="{EC89A950-593C-4B73-861E-333BF3217C9F}"/>
    <cellStyle name="Normal 2 33 2 2 3 3" xfId="20824" xr:uid="{B9DBA2A2-83BC-406B-BF23-1EFFB3D4EE11}"/>
    <cellStyle name="Normal 2 33 2 2 3 3 2" xfId="20825" xr:uid="{914C8BF5-DA20-4547-ADF2-8A2056ECEBD2}"/>
    <cellStyle name="Normal 2 33 2 2 3 3 2 2" xfId="20826" xr:uid="{C0488A53-26A7-4D5A-B883-95ECF52D0757}"/>
    <cellStyle name="Normal 2 33 2 2 3 3 2 3" xfId="20827" xr:uid="{C079CAF1-492F-44F5-8C1A-BE44C0CD0CB4}"/>
    <cellStyle name="Normal 2 33 2 2 3 3 2 4" xfId="20828" xr:uid="{B66EF985-9A9D-4578-8F2B-97A483C8DA75}"/>
    <cellStyle name="Normal 2 33 2 2 3 3 2 5" xfId="20829" xr:uid="{998A6F46-F035-436E-ADB9-7422EF682AE2}"/>
    <cellStyle name="Normal 2 33 2 2 3 3 2 6" xfId="20830" xr:uid="{AE634356-4448-44D8-92E1-DD0115BDD8DA}"/>
    <cellStyle name="Normal 2 33 2 2 3 3 3" xfId="20831" xr:uid="{1D2DD5CD-06F9-415B-9C3B-ED26203AD267}"/>
    <cellStyle name="Normal 2 33 2 2 3 3 4" xfId="20832" xr:uid="{72DBACED-BAC6-4FA3-A856-53C727B1E6A7}"/>
    <cellStyle name="Normal 2 33 2 2 3 3 5" xfId="20833" xr:uid="{519C7A6F-57B1-454B-BDC4-0805695F29D1}"/>
    <cellStyle name="Normal 2 33 2 2 3 3 6" xfId="20834" xr:uid="{CD9EDAB3-6570-4D19-8490-C25A5A772A93}"/>
    <cellStyle name="Normal 2 33 2 2 3 4" xfId="20835" xr:uid="{6FEBEDA4-112E-4952-AFB5-B31B54E48A45}"/>
    <cellStyle name="Normal 2 33 2 2 3 5" xfId="20836" xr:uid="{D42FABBC-A7AF-4E7B-8BFB-0C2F627FE7DA}"/>
    <cellStyle name="Normal 2 33 2 2 3 6" xfId="20837" xr:uid="{27A6BB2A-6530-42E7-B038-125105C70ECE}"/>
    <cellStyle name="Normal 2 33 2 2 3 7" xfId="20838" xr:uid="{42E53842-66DC-44F9-96D4-F04851203049}"/>
    <cellStyle name="Normal 2 33 2 2 3 8" xfId="20839" xr:uid="{BD44CDDF-EF14-43CC-B62A-EF3BC2695BF2}"/>
    <cellStyle name="Normal 2 33 2 2 3 9" xfId="20840" xr:uid="{D7A2FE8B-2F9F-4EA2-A1C1-C09FB9275BD3}"/>
    <cellStyle name="Normal 2 33 2 2 4" xfId="20841" xr:uid="{8BAB27C8-8B45-4E89-9567-71E0880998EB}"/>
    <cellStyle name="Normal 2 33 2 2 5" xfId="20842" xr:uid="{80E2B80B-9F6E-4D87-B0AC-9A80E04F4D2B}"/>
    <cellStyle name="Normal 2 33 2 2 5 2" xfId="20843" xr:uid="{803FCBE0-6532-406F-845D-506AC6C8AF3D}"/>
    <cellStyle name="Normal 2 33 2 2 5 2 2" xfId="20844" xr:uid="{C0B42008-B866-46CB-829C-17B0D8F44FB2}"/>
    <cellStyle name="Normal 2 33 2 2 5 2 3" xfId="20845" xr:uid="{FA0A84AE-6DAC-49A9-BA74-7C5FC8242029}"/>
    <cellStyle name="Normal 2 33 2 2 5 2 4" xfId="20846" xr:uid="{8CAC12BF-F6E6-4D6F-965A-C75CBC389BAD}"/>
    <cellStyle name="Normal 2 33 2 2 5 2 5" xfId="20847" xr:uid="{15D7C085-5141-4B53-809E-5C78C8B7DABE}"/>
    <cellStyle name="Normal 2 33 2 2 5 2 6" xfId="20848" xr:uid="{74780D08-D075-4663-9846-2A91722C6DA1}"/>
    <cellStyle name="Normal 2 33 2 2 5 3" xfId="20849" xr:uid="{157D450D-22CD-4442-A6ED-19F8C1DD3759}"/>
    <cellStyle name="Normal 2 33 2 2 5 4" xfId="20850" xr:uid="{AB13DEE3-E988-46B9-A1E6-7224DF8287C7}"/>
    <cellStyle name="Normal 2 33 2 2 5 5" xfId="20851" xr:uid="{F5780430-1467-4A41-B390-23917F3EDB04}"/>
    <cellStyle name="Normal 2 33 2 2 5 6" xfId="20852" xr:uid="{E93CCDEA-F95D-4D8A-B874-85A7A5DE179C}"/>
    <cellStyle name="Normal 2 33 2 2 6" xfId="20853" xr:uid="{E270FA59-AC8B-4D76-AC03-1956966C01B0}"/>
    <cellStyle name="Normal 2 33 2 2 7" xfId="20854" xr:uid="{93C3008A-4F51-4523-B040-743016D01097}"/>
    <cellStyle name="Normal 2 33 2 2 8" xfId="20855" xr:uid="{6B2C379A-8FA7-4840-BA57-7167A992A21A}"/>
    <cellStyle name="Normal 2 33 2 2 9" xfId="20856" xr:uid="{1E637239-D7C3-4136-AA45-05B6A8A83D61}"/>
    <cellStyle name="Normal 2 33 2 3" xfId="20857" xr:uid="{90148E2C-5C2A-45E3-9A38-3236F5B17B45}"/>
    <cellStyle name="Normal 2 33 2 4" xfId="20858" xr:uid="{19EE21AF-5C3E-40DA-A099-D2BA48D522EF}"/>
    <cellStyle name="Normal 2 33 2 5" xfId="20859" xr:uid="{97B82CF0-4470-43FE-891C-7D4A7CB3E8C5}"/>
    <cellStyle name="Normal 2 33 2 5 2" xfId="20860" xr:uid="{71ABE534-5E69-44B4-AE47-66998F99E93D}"/>
    <cellStyle name="Normal 2 33 2 5 2 2" xfId="20861" xr:uid="{9F75E295-58DE-4309-8D8A-E56BA079C55E}"/>
    <cellStyle name="Normal 2 33 2 5 2 2 2" xfId="20862" xr:uid="{7CF11C50-6752-413A-8C8F-020506B6EFF9}"/>
    <cellStyle name="Normal 2 33 2 5 2 2 2 2" xfId="20863" xr:uid="{25C3B461-1D6F-472D-802E-BEDED6217767}"/>
    <cellStyle name="Normal 2 33 2 5 2 2 2 3" xfId="20864" xr:uid="{88E7F5A3-9A02-49F9-AF90-9B72314D97A6}"/>
    <cellStyle name="Normal 2 33 2 5 2 2 2 4" xfId="20865" xr:uid="{EBEBA72B-9C5D-4BF3-A6A4-024B0A2D9721}"/>
    <cellStyle name="Normal 2 33 2 5 2 2 2 5" xfId="20866" xr:uid="{7A5BD848-BF44-475F-9113-088D8B49CDD4}"/>
    <cellStyle name="Normal 2 33 2 5 2 2 2 6" xfId="20867" xr:uid="{8106CB6B-9AB2-4588-9ECF-CA7444682EF3}"/>
    <cellStyle name="Normal 2 33 2 5 2 2 3" xfId="20868" xr:uid="{97058587-6F29-4D5C-BAB8-CB2039903DE5}"/>
    <cellStyle name="Normal 2 33 2 5 2 2 4" xfId="20869" xr:uid="{54B06C19-8BCE-4E47-8ED6-D51DC04511EF}"/>
    <cellStyle name="Normal 2 33 2 5 2 2 5" xfId="20870" xr:uid="{34DF332F-283D-453A-A947-D9C074939CC5}"/>
    <cellStyle name="Normal 2 33 2 5 2 2 6" xfId="20871" xr:uid="{E374AF4A-8D86-458A-8422-EADCD5BE4800}"/>
    <cellStyle name="Normal 2 33 2 5 2 3" xfId="20872" xr:uid="{4E029A44-AD1C-4D3C-9772-1832D768A569}"/>
    <cellStyle name="Normal 2 33 2 5 2 4" xfId="20873" xr:uid="{5F4EE386-ED25-4465-BDC1-DB3D05E9F786}"/>
    <cellStyle name="Normal 2 33 2 5 2 5" xfId="20874" xr:uid="{6630F1C2-646A-4DC1-BA69-014B8523BBE6}"/>
    <cellStyle name="Normal 2 33 2 5 2 6" xfId="20875" xr:uid="{E6D2C149-019C-4A6F-B85E-599AB140686C}"/>
    <cellStyle name="Normal 2 33 2 5 2 7" xfId="20876" xr:uid="{3012F431-72A3-4370-964A-8F9BFD864732}"/>
    <cellStyle name="Normal 2 33 2 5 2 8" xfId="20877" xr:uid="{19EBB2AB-DB21-457F-89CB-B937428BFC1A}"/>
    <cellStyle name="Normal 2 33 2 5 2 9" xfId="20878" xr:uid="{88FF8A2D-3AC1-46EE-AB54-177377BF3654}"/>
    <cellStyle name="Normal 2 33 2 5 3" xfId="20879" xr:uid="{E8209492-B2D1-430C-85B5-C772BFAAF9C3}"/>
    <cellStyle name="Normal 2 33 2 5 3 2" xfId="20880" xr:uid="{68C8711F-8447-4CB7-A510-6171912E8183}"/>
    <cellStyle name="Normal 2 33 2 5 3 2 2" xfId="20881" xr:uid="{B76EA4C4-7762-490B-81F7-50A329A9B01C}"/>
    <cellStyle name="Normal 2 33 2 5 3 2 3" xfId="20882" xr:uid="{932665C5-C040-418F-B756-36E5228F1B70}"/>
    <cellStyle name="Normal 2 33 2 5 3 2 4" xfId="20883" xr:uid="{36B1F821-47D2-43AF-9B43-63E76171A9DA}"/>
    <cellStyle name="Normal 2 33 2 5 3 2 5" xfId="20884" xr:uid="{41BBD411-40FA-4246-90A5-951E5E13EA97}"/>
    <cellStyle name="Normal 2 33 2 5 3 2 6" xfId="20885" xr:uid="{89695135-9153-4CDD-AD3B-A45455215E2B}"/>
    <cellStyle name="Normal 2 33 2 5 3 3" xfId="20886" xr:uid="{883135B8-A4AC-4667-B087-5310454B99FB}"/>
    <cellStyle name="Normal 2 33 2 5 3 4" xfId="20887" xr:uid="{9CEBF581-DEF0-4D43-A3D1-E28CBDE1871B}"/>
    <cellStyle name="Normal 2 33 2 5 3 5" xfId="20888" xr:uid="{19A48818-EEAE-4BBC-AE6F-ABA0C391CFA3}"/>
    <cellStyle name="Normal 2 33 2 5 3 6" xfId="20889" xr:uid="{56B0631B-885C-4151-B9BF-5E7C87A4F57D}"/>
    <cellStyle name="Normal 2 33 2 5 4" xfId="20890" xr:uid="{D04810E5-0422-4B96-A799-8BD1166354BE}"/>
    <cellStyle name="Normal 2 33 2 5 5" xfId="20891" xr:uid="{8F467382-E977-4D44-A0B2-9D2800A97E34}"/>
    <cellStyle name="Normal 2 33 2 5 6" xfId="20892" xr:uid="{2587BD64-8922-405D-B1C8-62C027F4DAAF}"/>
    <cellStyle name="Normal 2 33 2 5 7" xfId="20893" xr:uid="{B47CA43B-B7E7-46DE-87B8-918775B09958}"/>
    <cellStyle name="Normal 2 33 2 5 8" xfId="20894" xr:uid="{3BCF300F-8E01-4F52-9CD2-B0E77ACDDA83}"/>
    <cellStyle name="Normal 2 33 2 5 9" xfId="20895" xr:uid="{12ADE244-EC47-4FE1-B67E-6947BD22553D}"/>
    <cellStyle name="Normal 2 33 2 6" xfId="20896" xr:uid="{424A9A59-6046-44DE-999B-CE54D794266A}"/>
    <cellStyle name="Normal 2 33 2 7" xfId="20897" xr:uid="{54777F3C-27F8-43C1-B2A6-C564A3892405}"/>
    <cellStyle name="Normal 2 33 2 8" xfId="20898" xr:uid="{F4844F0A-4C98-47EB-ABF9-895930C7232F}"/>
    <cellStyle name="Normal 2 33 2 8 2" xfId="20899" xr:uid="{B33306E9-8A54-4321-A515-1D0FC0B142A4}"/>
    <cellStyle name="Normal 2 33 2 8 2 2" xfId="20900" xr:uid="{A5AC22A5-2FFE-47EA-B3B5-DF10A3639500}"/>
    <cellStyle name="Normal 2 33 2 8 2 3" xfId="20901" xr:uid="{447159AC-067C-47CB-A35A-0C5360A81706}"/>
    <cellStyle name="Normal 2 33 2 8 2 4" xfId="20902" xr:uid="{120CBA65-A7B6-4929-97A6-4C3A8E9EC132}"/>
    <cellStyle name="Normal 2 33 2 8 2 5" xfId="20903" xr:uid="{612A8EBF-1997-4F5B-850C-DD9D12C7AFA0}"/>
    <cellStyle name="Normal 2 33 2 8 2 6" xfId="20904" xr:uid="{AB91B068-3BB8-446B-A16C-17D811229744}"/>
    <cellStyle name="Normal 2 33 2 8 3" xfId="20905" xr:uid="{47E31CD2-85BB-4AF0-A0DA-6C22DAAD1CF7}"/>
    <cellStyle name="Normal 2 33 2 8 4" xfId="20906" xr:uid="{08197570-D11C-4E17-8B44-96210BCD148E}"/>
    <cellStyle name="Normal 2 33 2 8 5" xfId="20907" xr:uid="{96404763-C3B3-4749-8CBE-9751B37582A5}"/>
    <cellStyle name="Normal 2 33 2 8 6" xfId="20908" xr:uid="{D489BA60-130B-490E-9E27-FC8DE6832E94}"/>
    <cellStyle name="Normal 2 33 2 9" xfId="20909" xr:uid="{5BBC6EE1-B718-41ED-B9A0-63737EC4DE50}"/>
    <cellStyle name="Normal 2 33 3" xfId="20910" xr:uid="{BD6CDA50-2B7E-4C96-BC70-B1913274F5DC}"/>
    <cellStyle name="Normal 2 33 3 10" xfId="20911" xr:uid="{90FD5C8C-A6B8-49F8-AB42-1CAA4EBF8164}"/>
    <cellStyle name="Normal 2 33 3 11" xfId="20912" xr:uid="{B90D17A0-2413-48C9-9BFD-603D253A9B0D}"/>
    <cellStyle name="Normal 2 33 3 12" xfId="20913" xr:uid="{17DC8CF1-E576-42AD-89A4-CC31EAF335A9}"/>
    <cellStyle name="Normal 2 33 3 2" xfId="20914" xr:uid="{8C3A8713-FE70-4D43-A2C2-391361675020}"/>
    <cellStyle name="Normal 2 33 3 2 10" xfId="20915" xr:uid="{4CFD5D74-06CA-4D62-B5B2-D7A9F7D4EAA4}"/>
    <cellStyle name="Normal 2 33 3 2 11" xfId="20916" xr:uid="{DCBCF106-3A6D-4614-A72A-936F5C8AAB70}"/>
    <cellStyle name="Normal 2 33 3 2 12" xfId="20917" xr:uid="{6500512D-227D-44B1-9D08-C78712FF44CF}"/>
    <cellStyle name="Normal 2 33 3 2 2" xfId="20918" xr:uid="{D51E8998-3BD1-4225-8A66-023647244ED8}"/>
    <cellStyle name="Normal 2 33 3 2 2 2" xfId="20919" xr:uid="{B3AF9A47-E554-4AD8-BBA1-739EB6689296}"/>
    <cellStyle name="Normal 2 33 3 2 2 2 2" xfId="20920" xr:uid="{1EE1D39A-F6A8-4E32-8A89-026B1FF70FBC}"/>
    <cellStyle name="Normal 2 33 3 2 2 2 2 2" xfId="20921" xr:uid="{23D857A8-D604-4FAF-B041-F8E0B77ACFEF}"/>
    <cellStyle name="Normal 2 33 3 2 2 2 2 2 2" xfId="20922" xr:uid="{8856CF87-B3FF-4AF5-B7EF-DA58698EAEB3}"/>
    <cellStyle name="Normal 2 33 3 2 2 2 2 2 3" xfId="20923" xr:uid="{FDDEFF42-1E2E-482B-AA69-6608A89E64B4}"/>
    <cellStyle name="Normal 2 33 3 2 2 2 2 2 4" xfId="20924" xr:uid="{6F49FA0B-0236-42BA-B6D2-F1B389C1BECF}"/>
    <cellStyle name="Normal 2 33 3 2 2 2 2 2 5" xfId="20925" xr:uid="{A3B1A9CF-70A7-4D85-A637-47A8D7A587B5}"/>
    <cellStyle name="Normal 2 33 3 2 2 2 2 2 6" xfId="20926" xr:uid="{87389421-C957-4C86-91D9-C61F4A69FC3E}"/>
    <cellStyle name="Normal 2 33 3 2 2 2 2 3" xfId="20927" xr:uid="{77DE7721-12C9-49EF-957C-B56D25C060D2}"/>
    <cellStyle name="Normal 2 33 3 2 2 2 2 4" xfId="20928" xr:uid="{C6A7D60E-9FEA-47EC-86DB-639ACDDD8D9F}"/>
    <cellStyle name="Normal 2 33 3 2 2 2 2 5" xfId="20929" xr:uid="{5BFBA091-77EE-483B-B4E6-E7CCDF0B5ED2}"/>
    <cellStyle name="Normal 2 33 3 2 2 2 2 6" xfId="20930" xr:uid="{D5F988DD-8E7E-4927-B1F2-2A756BD4887C}"/>
    <cellStyle name="Normal 2 33 3 2 2 2 3" xfId="20931" xr:uid="{9F5292DE-CBE9-44AC-8BE0-69AB33822332}"/>
    <cellStyle name="Normal 2 33 3 2 2 2 4" xfId="20932" xr:uid="{D5201B31-4248-4D14-90A5-FDAB46D516F5}"/>
    <cellStyle name="Normal 2 33 3 2 2 2 5" xfId="20933" xr:uid="{87F4681C-BD0D-4E4B-91F1-DA4D313B3146}"/>
    <cellStyle name="Normal 2 33 3 2 2 2 6" xfId="20934" xr:uid="{F0DFF830-491E-4742-BF15-5B5AB76471BC}"/>
    <cellStyle name="Normal 2 33 3 2 2 2 7" xfId="20935" xr:uid="{827D180C-F439-46C3-B6E7-FFA8E2006E12}"/>
    <cellStyle name="Normal 2 33 3 2 2 2 8" xfId="20936" xr:uid="{48691C22-1370-4C35-AC60-2025358CD1B6}"/>
    <cellStyle name="Normal 2 33 3 2 2 2 9" xfId="20937" xr:uid="{DE4EB717-53D2-41D6-AAAD-43FBB766A6E0}"/>
    <cellStyle name="Normal 2 33 3 2 2 3" xfId="20938" xr:uid="{0D11AA86-0657-48D4-B28D-724CCBE7D98F}"/>
    <cellStyle name="Normal 2 33 3 2 2 3 2" xfId="20939" xr:uid="{04DA6A3B-78F5-48F8-AB0E-BD11595D23F5}"/>
    <cellStyle name="Normal 2 33 3 2 2 3 2 2" xfId="20940" xr:uid="{2AE3436D-079B-4F19-836D-DBA6EFE7F376}"/>
    <cellStyle name="Normal 2 33 3 2 2 3 2 3" xfId="20941" xr:uid="{A7344B14-5CA0-4BCB-A823-D80592991C78}"/>
    <cellStyle name="Normal 2 33 3 2 2 3 2 4" xfId="20942" xr:uid="{EF47EF05-6640-42CA-B556-2F61B3436CF3}"/>
    <cellStyle name="Normal 2 33 3 2 2 3 2 5" xfId="20943" xr:uid="{41E0385E-0B8F-4241-89CB-D76D4D2AE3A7}"/>
    <cellStyle name="Normal 2 33 3 2 2 3 2 6" xfId="20944" xr:uid="{DAF20CB3-704D-4D11-9E7D-9649C2534F72}"/>
    <cellStyle name="Normal 2 33 3 2 2 3 3" xfId="20945" xr:uid="{628C3457-0DCA-437F-81A1-14E18B98CA9F}"/>
    <cellStyle name="Normal 2 33 3 2 2 3 4" xfId="20946" xr:uid="{3F14C6FA-EBA2-42F5-9E7C-A92E98B58CE8}"/>
    <cellStyle name="Normal 2 33 3 2 2 3 5" xfId="20947" xr:uid="{C704F667-758B-45DD-AE99-086E136E81CA}"/>
    <cellStyle name="Normal 2 33 3 2 2 3 6" xfId="20948" xr:uid="{FA2DED28-8FB1-4491-A0B4-3139680B7BC3}"/>
    <cellStyle name="Normal 2 33 3 2 2 4" xfId="20949" xr:uid="{233D00D9-D290-4709-B015-78CA1F71647D}"/>
    <cellStyle name="Normal 2 33 3 2 2 5" xfId="20950" xr:uid="{A10DA79A-4C8E-49DD-ACF8-DCB7BF9E3065}"/>
    <cellStyle name="Normal 2 33 3 2 2 6" xfId="20951" xr:uid="{32D0CA79-21B3-4D79-A7E2-8B42189B3C3E}"/>
    <cellStyle name="Normal 2 33 3 2 2 7" xfId="20952" xr:uid="{FFF3CBCE-0273-4FA9-BCDA-815C42745828}"/>
    <cellStyle name="Normal 2 33 3 2 2 8" xfId="20953" xr:uid="{3F2A045A-7626-49D0-8BC4-E3C462F0E92E}"/>
    <cellStyle name="Normal 2 33 3 2 2 9" xfId="20954" xr:uid="{664D7FBE-D4F7-49A7-8FAB-F931A81CD793}"/>
    <cellStyle name="Normal 2 33 3 2 3" xfId="20955" xr:uid="{0ECCDD8E-88BE-452B-9A16-4500732AD574}"/>
    <cellStyle name="Normal 2 33 3 2 4" xfId="20956" xr:uid="{3A604F90-F20E-49F4-8D68-A70495F38A0F}"/>
    <cellStyle name="Normal 2 33 3 2 5" xfId="20957" xr:uid="{5193642C-2D8E-48FF-8A3A-3C2AA5AFAEB3}"/>
    <cellStyle name="Normal 2 33 3 2 5 2" xfId="20958" xr:uid="{F8ACAD18-D8B3-4E17-8D6F-BF50000AF63C}"/>
    <cellStyle name="Normal 2 33 3 2 5 2 2" xfId="20959" xr:uid="{80D77638-2BF9-43BE-9931-8D7C3F96666E}"/>
    <cellStyle name="Normal 2 33 3 2 5 2 3" xfId="20960" xr:uid="{8248C3A8-1B21-4D09-883D-15D30596816F}"/>
    <cellStyle name="Normal 2 33 3 2 5 2 4" xfId="20961" xr:uid="{58B49689-D587-44EF-8DF9-05F0474FDE2C}"/>
    <cellStyle name="Normal 2 33 3 2 5 2 5" xfId="20962" xr:uid="{BF6B18BC-B48D-4610-92B5-A1194176BC66}"/>
    <cellStyle name="Normal 2 33 3 2 5 2 6" xfId="20963" xr:uid="{CC717B40-DBDF-4639-8F53-452B23A33761}"/>
    <cellStyle name="Normal 2 33 3 2 5 3" xfId="20964" xr:uid="{29595E46-1743-4315-9FB1-CB06239AC192}"/>
    <cellStyle name="Normal 2 33 3 2 5 4" xfId="20965" xr:uid="{10F48E76-BAD2-4BCD-8234-2090967624C7}"/>
    <cellStyle name="Normal 2 33 3 2 5 5" xfId="20966" xr:uid="{C99E9CBB-2A42-4E33-84A0-1855B5FD7480}"/>
    <cellStyle name="Normal 2 33 3 2 5 6" xfId="20967" xr:uid="{C2A68588-0375-4D01-9E6E-F4C22D853A85}"/>
    <cellStyle name="Normal 2 33 3 2 6" xfId="20968" xr:uid="{9AA81B52-FE51-4373-AD85-751C03EC2E40}"/>
    <cellStyle name="Normal 2 33 3 2 7" xfId="20969" xr:uid="{4D537DF2-69D7-4996-8FAD-9DE13F2725A6}"/>
    <cellStyle name="Normal 2 33 3 2 8" xfId="20970" xr:uid="{35D867AE-C64D-4300-85E2-A496A2E5DEBE}"/>
    <cellStyle name="Normal 2 33 3 2 9" xfId="20971" xr:uid="{219988D3-9D4B-41FC-BF47-1A7AB1CDE5C4}"/>
    <cellStyle name="Normal 2 33 3 3" xfId="20972" xr:uid="{1613F244-0B5A-4116-9D0A-59FE29FA0158}"/>
    <cellStyle name="Normal 2 33 3 3 2" xfId="20973" xr:uid="{64E8BD08-2FF9-4E4C-B37B-54548683B67B}"/>
    <cellStyle name="Normal 2 33 3 3 2 2" xfId="20974" xr:uid="{D5EFA54D-C74F-4557-AFC1-888FF6BB990F}"/>
    <cellStyle name="Normal 2 33 3 3 2 2 2" xfId="20975" xr:uid="{3701D560-4B23-47D4-843D-537D0E8CA2C7}"/>
    <cellStyle name="Normal 2 33 3 3 2 2 2 2" xfId="20976" xr:uid="{589D6785-4E4F-4C27-96E2-D2193A446EBD}"/>
    <cellStyle name="Normal 2 33 3 3 2 2 2 3" xfId="20977" xr:uid="{D4DEFCAD-DD03-42E1-8C19-2589AC88B296}"/>
    <cellStyle name="Normal 2 33 3 3 2 2 2 4" xfId="20978" xr:uid="{AF4C828C-65DB-479E-8BD7-931C5AFA4E86}"/>
    <cellStyle name="Normal 2 33 3 3 2 2 2 5" xfId="20979" xr:uid="{538CFCE3-FE25-4859-919A-8A17E0676921}"/>
    <cellStyle name="Normal 2 33 3 3 2 2 2 6" xfId="20980" xr:uid="{16442969-86B9-4121-9C4C-4CBCB4398D35}"/>
    <cellStyle name="Normal 2 33 3 3 2 2 3" xfId="20981" xr:uid="{821B489E-E5AE-4542-8418-048C93AD8EBE}"/>
    <cellStyle name="Normal 2 33 3 3 2 2 4" xfId="20982" xr:uid="{60EBAEE4-664B-44D8-8065-2460D046DF5E}"/>
    <cellStyle name="Normal 2 33 3 3 2 2 5" xfId="20983" xr:uid="{461F9C3E-0E26-4598-BC07-E6E8AF217244}"/>
    <cellStyle name="Normal 2 33 3 3 2 2 6" xfId="20984" xr:uid="{B6844A67-9279-4055-B1D9-977A219B52F3}"/>
    <cellStyle name="Normal 2 33 3 3 2 3" xfId="20985" xr:uid="{202CF367-DD4C-443B-93D7-7FBF2321B470}"/>
    <cellStyle name="Normal 2 33 3 3 2 4" xfId="20986" xr:uid="{2E4C962D-D097-4DC3-9DA2-8555ADBA0CB2}"/>
    <cellStyle name="Normal 2 33 3 3 2 5" xfId="20987" xr:uid="{4CB025D9-584D-4DB3-8988-D1FA2D145FAF}"/>
    <cellStyle name="Normal 2 33 3 3 2 6" xfId="20988" xr:uid="{18B11E82-79B3-470F-8FCD-0814524A0067}"/>
    <cellStyle name="Normal 2 33 3 3 2 7" xfId="20989" xr:uid="{7EC93B58-3E9F-47A3-BC07-734983CAACFB}"/>
    <cellStyle name="Normal 2 33 3 3 2 8" xfId="20990" xr:uid="{AAA05AB2-769C-4A65-9E87-1C46F0DEE70E}"/>
    <cellStyle name="Normal 2 33 3 3 2 9" xfId="20991" xr:uid="{B38F244C-2E13-46C3-A1E9-F0C5840425F4}"/>
    <cellStyle name="Normal 2 33 3 3 3" xfId="20992" xr:uid="{25D55A49-D70C-45F6-A431-A10D5F44D1CB}"/>
    <cellStyle name="Normal 2 33 3 3 3 2" xfId="20993" xr:uid="{A301295B-360D-45D0-81FA-B2E9D36DE14E}"/>
    <cellStyle name="Normal 2 33 3 3 3 2 2" xfId="20994" xr:uid="{EC89AC6B-825E-4EB3-85D2-2E657ACA75F2}"/>
    <cellStyle name="Normal 2 33 3 3 3 2 3" xfId="20995" xr:uid="{22F1D067-BFD4-4697-9491-B097D6DDCC55}"/>
    <cellStyle name="Normal 2 33 3 3 3 2 4" xfId="20996" xr:uid="{15D9BAAB-DE43-42A1-B4E2-4BABD133EAD2}"/>
    <cellStyle name="Normal 2 33 3 3 3 2 5" xfId="20997" xr:uid="{A61D131E-1AB5-4DCC-9EAD-1E1C0E01B948}"/>
    <cellStyle name="Normal 2 33 3 3 3 2 6" xfId="20998" xr:uid="{5939C24A-52D9-43DF-B19D-24A50C053BED}"/>
    <cellStyle name="Normal 2 33 3 3 3 3" xfId="20999" xr:uid="{5013EE30-005D-49E2-9375-AB9C38A9573B}"/>
    <cellStyle name="Normal 2 33 3 3 3 4" xfId="21000" xr:uid="{FB9DE7E9-43C7-4672-8BAD-7C041B50A531}"/>
    <cellStyle name="Normal 2 33 3 3 3 5" xfId="21001" xr:uid="{A0740525-FD33-4153-A58D-8C8E930C7241}"/>
    <cellStyle name="Normal 2 33 3 3 3 6" xfId="21002" xr:uid="{900242BC-8F3B-402F-9E9B-0550DD210AD2}"/>
    <cellStyle name="Normal 2 33 3 3 4" xfId="21003" xr:uid="{AC9BEE86-C9FC-4FE7-8F24-768A517B5C24}"/>
    <cellStyle name="Normal 2 33 3 3 5" xfId="21004" xr:uid="{8D0EFD9B-AA7F-469D-A344-5107194BA47F}"/>
    <cellStyle name="Normal 2 33 3 3 6" xfId="21005" xr:uid="{DACE806C-8884-4281-A354-762BDCD403D2}"/>
    <cellStyle name="Normal 2 33 3 3 7" xfId="21006" xr:uid="{2B8D132E-C7BF-4D53-9179-8D6C3400BF94}"/>
    <cellStyle name="Normal 2 33 3 3 8" xfId="21007" xr:uid="{4960CE57-315D-42ED-B014-1AAD422113F3}"/>
    <cellStyle name="Normal 2 33 3 3 9" xfId="21008" xr:uid="{AB692C4D-7D04-4E0C-A392-3D656CCA452E}"/>
    <cellStyle name="Normal 2 33 3 4" xfId="21009" xr:uid="{4F0D833B-9145-4E37-B453-C3B6CB1BD189}"/>
    <cellStyle name="Normal 2 33 3 5" xfId="21010" xr:uid="{BA2C9A80-1C5E-4FA5-8F1E-C403DCFD980C}"/>
    <cellStyle name="Normal 2 33 3 5 2" xfId="21011" xr:uid="{8946BC2E-A800-4069-AB80-6F585A9888C8}"/>
    <cellStyle name="Normal 2 33 3 5 2 2" xfId="21012" xr:uid="{1E213E1B-6ED9-49D6-9E9D-F5CC63F618E9}"/>
    <cellStyle name="Normal 2 33 3 5 2 3" xfId="21013" xr:uid="{CB7D88E8-5140-41C4-81A9-9A3FBD25BF03}"/>
    <cellStyle name="Normal 2 33 3 5 2 4" xfId="21014" xr:uid="{7144DE01-C804-44AA-8450-AC38C7E00A34}"/>
    <cellStyle name="Normal 2 33 3 5 2 5" xfId="21015" xr:uid="{743FF6E6-D79E-4ED9-B3BB-4DF9F6FE7DCB}"/>
    <cellStyle name="Normal 2 33 3 5 2 6" xfId="21016" xr:uid="{9E3B58C0-4C7B-45B3-9F25-6887E0EE1F32}"/>
    <cellStyle name="Normal 2 33 3 5 3" xfId="21017" xr:uid="{6301B90C-D11A-45D6-B58F-E70FC2A53D42}"/>
    <cellStyle name="Normal 2 33 3 5 4" xfId="21018" xr:uid="{E9AB8A50-DBFF-410A-8B02-7C8B5DD40C56}"/>
    <cellStyle name="Normal 2 33 3 5 5" xfId="21019" xr:uid="{973AF36B-DF6C-488F-A27C-293BE1A09936}"/>
    <cellStyle name="Normal 2 33 3 5 6" xfId="21020" xr:uid="{3D73274B-FFF1-468E-995A-85698A370EAB}"/>
    <cellStyle name="Normal 2 33 3 6" xfId="21021" xr:uid="{5FE60F74-8707-449B-AED7-51EE24E42798}"/>
    <cellStyle name="Normal 2 33 3 7" xfId="21022" xr:uid="{F012BCD2-6228-4428-A7B9-AFF050B51416}"/>
    <cellStyle name="Normal 2 33 3 8" xfId="21023" xr:uid="{B8C2291C-7CCE-441B-9382-E6711A8B34CC}"/>
    <cellStyle name="Normal 2 33 3 9" xfId="21024" xr:uid="{BD78E337-559C-45F5-AD3F-5BC1061C8582}"/>
    <cellStyle name="Normal 2 33 4" xfId="21025" xr:uid="{39A58E0D-8FEB-472C-A604-DC782B7B0CF8}"/>
    <cellStyle name="Normal 2 33 5" xfId="21026" xr:uid="{7284FEBC-09F3-49B9-8421-4A9014541195}"/>
    <cellStyle name="Normal 2 33 5 2" xfId="21027" xr:uid="{3BFC359B-A2E4-4194-8AAB-EF7EE7E32EDF}"/>
    <cellStyle name="Normal 2 33 5 2 2" xfId="21028" xr:uid="{69A9531E-6FAB-4637-BB67-FE5A80086702}"/>
    <cellStyle name="Normal 2 33 5 2 2 2" xfId="21029" xr:uid="{BD639E9F-97BD-401E-9882-A204C6ECBEFA}"/>
    <cellStyle name="Normal 2 33 5 2 2 2 2" xfId="21030" xr:uid="{44C84859-3767-4907-8AA4-D2636626BF3F}"/>
    <cellStyle name="Normal 2 33 5 2 2 2 3" xfId="21031" xr:uid="{2CE820B1-96A8-4E0F-B867-1B52F28616FC}"/>
    <cellStyle name="Normal 2 33 5 2 2 2 4" xfId="21032" xr:uid="{447C9815-C063-4AA7-93EA-4D8D0055B376}"/>
    <cellStyle name="Normal 2 33 5 2 2 2 5" xfId="21033" xr:uid="{258D81A5-9886-4664-A780-F8134A3FDD29}"/>
    <cellStyle name="Normal 2 33 5 2 2 2 6" xfId="21034" xr:uid="{7141F562-05F9-4EE4-A6FE-DE21884FB08D}"/>
    <cellStyle name="Normal 2 33 5 2 2 3" xfId="21035" xr:uid="{834239A2-C1DE-474A-BF14-E5CACD33CE33}"/>
    <cellStyle name="Normal 2 33 5 2 2 4" xfId="21036" xr:uid="{33CA853A-F1BD-4581-8D5A-C953CC3DD0A9}"/>
    <cellStyle name="Normal 2 33 5 2 2 5" xfId="21037" xr:uid="{617B3B07-82AF-4FC3-8081-284202C320B5}"/>
    <cellStyle name="Normal 2 33 5 2 2 6" xfId="21038" xr:uid="{AC0DF47F-D25B-46D8-B8EE-89C1ACA41776}"/>
    <cellStyle name="Normal 2 33 5 2 3" xfId="21039" xr:uid="{565BE5F9-DA33-4BB8-92BD-5904F3B5FCFE}"/>
    <cellStyle name="Normal 2 33 5 2 4" xfId="21040" xr:uid="{8892BAB9-85C5-427F-9735-3EE7D51BDDF4}"/>
    <cellStyle name="Normal 2 33 5 2 5" xfId="21041" xr:uid="{6D3D2063-F953-48FF-A8A0-8BA666DC8038}"/>
    <cellStyle name="Normal 2 33 5 2 6" xfId="21042" xr:uid="{220F91F6-5CDB-43FD-9AEA-6E448AD12753}"/>
    <cellStyle name="Normal 2 33 5 2 7" xfId="21043" xr:uid="{77C06939-E4BA-4603-A9DD-5FF2F5379C01}"/>
    <cellStyle name="Normal 2 33 5 2 8" xfId="21044" xr:uid="{F87B13AB-9E8E-4C77-BFBE-37DAADADE502}"/>
    <cellStyle name="Normal 2 33 5 2 9" xfId="21045" xr:uid="{8D43282C-5C34-4B72-BC52-979F3F5AE2E0}"/>
    <cellStyle name="Normal 2 33 5 3" xfId="21046" xr:uid="{21D0AA65-903A-44BD-B5CC-355FA7FD14DA}"/>
    <cellStyle name="Normal 2 33 5 3 2" xfId="21047" xr:uid="{65B228D7-9CD1-471A-A9A6-93EB04444C5A}"/>
    <cellStyle name="Normal 2 33 5 3 2 2" xfId="21048" xr:uid="{74130C65-1D90-4511-A4B7-1833D221DBB6}"/>
    <cellStyle name="Normal 2 33 5 3 2 3" xfId="21049" xr:uid="{DEE96F24-6337-48B6-B32B-B4BAE6BD431C}"/>
    <cellStyle name="Normal 2 33 5 3 2 4" xfId="21050" xr:uid="{96A1AFE2-2BE2-40B6-AA2A-DF2A7781986E}"/>
    <cellStyle name="Normal 2 33 5 3 2 5" xfId="21051" xr:uid="{5512D59C-F55D-4F01-908B-1C07ED184208}"/>
    <cellStyle name="Normal 2 33 5 3 2 6" xfId="21052" xr:uid="{50C43EB1-059E-41B8-AC06-7D3893692480}"/>
    <cellStyle name="Normal 2 33 5 3 3" xfId="21053" xr:uid="{45A664AE-14DB-424E-AD03-126215670DEC}"/>
    <cellStyle name="Normal 2 33 5 3 4" xfId="21054" xr:uid="{B5632E9C-7E70-49D8-93CF-49AD5C4E0DA7}"/>
    <cellStyle name="Normal 2 33 5 3 5" xfId="21055" xr:uid="{8EEE0798-B9C0-4178-B909-B6184E8B8CB8}"/>
    <cellStyle name="Normal 2 33 5 3 6" xfId="21056" xr:uid="{5F250398-B72C-47ED-BA3A-3C74DB556379}"/>
    <cellStyle name="Normal 2 33 5 4" xfId="21057" xr:uid="{F99A5BBC-05E7-4199-B6DB-C4DB73AAA1BB}"/>
    <cellStyle name="Normal 2 33 5 5" xfId="21058" xr:uid="{5981B739-2395-47A0-ADEF-49091BB9F9DC}"/>
    <cellStyle name="Normal 2 33 5 6" xfId="21059" xr:uid="{8F50A19F-F99F-4996-B744-A2D7731BF282}"/>
    <cellStyle name="Normal 2 33 5 7" xfId="21060" xr:uid="{FDC02B02-A121-44F3-AEE3-76EBB2F0C69C}"/>
    <cellStyle name="Normal 2 33 5 8" xfId="21061" xr:uid="{EAB24A7D-ED4E-4D45-9A80-E35A5A756C80}"/>
    <cellStyle name="Normal 2 33 5 9" xfId="21062" xr:uid="{C31F4839-699C-436C-B3FE-34978C9A855D}"/>
    <cellStyle name="Normal 2 33 6" xfId="21063" xr:uid="{881E4EAE-15A6-4CE5-B7EE-091BC2175B21}"/>
    <cellStyle name="Normal 2 33 7" xfId="21064" xr:uid="{EC613281-AA83-478C-A70A-FAD4732A421B}"/>
    <cellStyle name="Normal 2 33 8" xfId="21065" xr:uid="{1FE4BF87-9EE7-4C75-8A57-C485DF07D2A1}"/>
    <cellStyle name="Normal 2 33 8 2" xfId="21066" xr:uid="{9BA67744-2FD4-446D-BAD4-A6876FEB2BE1}"/>
    <cellStyle name="Normal 2 33 8 2 2" xfId="21067" xr:uid="{1C8D46BF-E409-4135-9092-3B8432A64FEB}"/>
    <cellStyle name="Normal 2 33 8 2 3" xfId="21068" xr:uid="{8D61567D-5505-4600-A80F-E2CB9195B086}"/>
    <cellStyle name="Normal 2 33 8 2 4" xfId="21069" xr:uid="{F1D86DC8-61C6-45F5-BF15-F5699349CC3A}"/>
    <cellStyle name="Normal 2 33 8 2 5" xfId="21070" xr:uid="{BC507BF0-F460-4315-86B8-1B6B0766B5AF}"/>
    <cellStyle name="Normal 2 33 8 2 6" xfId="21071" xr:uid="{4B32EB31-4DCB-47A7-954D-5D2990509FEC}"/>
    <cellStyle name="Normal 2 33 8 3" xfId="21072" xr:uid="{78777B27-23C4-44A5-81C6-7E983D0A48F8}"/>
    <cellStyle name="Normal 2 33 8 4" xfId="21073" xr:uid="{DFE6FD8D-12D4-4123-A9FB-B13B84B409C1}"/>
    <cellStyle name="Normal 2 33 8 5" xfId="21074" xr:uid="{3104E701-F5A7-449E-89E6-11AF5569871A}"/>
    <cellStyle name="Normal 2 33 8 6" xfId="21075" xr:uid="{A280B185-550F-4643-A67A-EA1568B4B9DE}"/>
    <cellStyle name="Normal 2 33 9" xfId="21076" xr:uid="{2DCD7B98-73CD-4E9E-AB24-7AA0847C617E}"/>
    <cellStyle name="Normal 2 34" xfId="21077" xr:uid="{B48F61E8-D2A7-43C1-960B-BCD73008F5E6}"/>
    <cellStyle name="Normal 2 34 2" xfId="21078" xr:uid="{BC979E87-EC75-445E-91A0-ADCC0EFC8CDF}"/>
    <cellStyle name="Normal 2 35" xfId="21079" xr:uid="{493FF6F8-DD75-437C-94C0-7979AD3C4B8C}"/>
    <cellStyle name="Normal 2 35 2" xfId="21080" xr:uid="{7C738E1E-CFAE-450F-A761-D15E7C3111DD}"/>
    <cellStyle name="Normal 2 36" xfId="21081" xr:uid="{AECA1CEA-32BE-44DD-884D-CE2027E0FC5A}"/>
    <cellStyle name="Normal 2 36 10" xfId="21082" xr:uid="{F819B3BF-BD8D-4303-892A-DB65C9A6E73A}"/>
    <cellStyle name="Normal 2 36 11" xfId="21083" xr:uid="{6A4C9905-1C18-499F-9784-65C7F8F81F4A}"/>
    <cellStyle name="Normal 2 36 12" xfId="21084" xr:uid="{F7FF561B-419E-4583-8FCE-3353F205918D}"/>
    <cellStyle name="Normal 2 36 13" xfId="21085" xr:uid="{80F4C308-ED2B-418E-A144-0D17E5BCA28F}"/>
    <cellStyle name="Normal 2 36 2" xfId="21086" xr:uid="{60EAFF55-434E-4E34-92D2-31EC71888DCB}"/>
    <cellStyle name="Normal 2 36 2 10" xfId="21087" xr:uid="{1A38D82E-6D68-48AC-A680-460198D9C6B0}"/>
    <cellStyle name="Normal 2 36 2 11" xfId="21088" xr:uid="{A6D02EB6-1137-46F1-8287-FA9F2C5F97FC}"/>
    <cellStyle name="Normal 2 36 2 12" xfId="21089" xr:uid="{FB5A1FE8-53FD-48F2-B377-CC600E8D5484}"/>
    <cellStyle name="Normal 2 36 2 2" xfId="21090" xr:uid="{1EA4247C-9E79-4C5B-BBDA-EF1E8E6B787A}"/>
    <cellStyle name="Normal 2 36 2 2 2" xfId="21091" xr:uid="{A9D816DF-9177-48C3-AFA8-F3CCD6F5116B}"/>
    <cellStyle name="Normal 2 36 2 2 2 2" xfId="21092" xr:uid="{D706F76C-02D9-4FE6-8659-630CFADACBDF}"/>
    <cellStyle name="Normal 2 36 2 2 2 2 2" xfId="21093" xr:uid="{7FF2400E-F851-4396-BC66-0AB2C83C2C05}"/>
    <cellStyle name="Normal 2 36 2 2 2 2 2 2" xfId="21094" xr:uid="{87E072E6-90F2-4F11-958B-8298F018598A}"/>
    <cellStyle name="Normal 2 36 2 2 2 2 2 3" xfId="21095" xr:uid="{0F52EC23-C27E-4834-914A-73A8B2D60D44}"/>
    <cellStyle name="Normal 2 36 2 2 2 2 2 4" xfId="21096" xr:uid="{D378BDE4-06E1-47DB-AE19-B6C2E54EFE28}"/>
    <cellStyle name="Normal 2 36 2 2 2 2 2 5" xfId="21097" xr:uid="{AB53B1A4-1AB8-4C25-962D-98B8C3B4556E}"/>
    <cellStyle name="Normal 2 36 2 2 2 2 2 6" xfId="21098" xr:uid="{9328EC51-BBDB-4EDB-A1F7-A59A05287103}"/>
    <cellStyle name="Normal 2 36 2 2 2 2 3" xfId="21099" xr:uid="{1D9D7F2B-E365-417F-AE51-CD20123873F5}"/>
    <cellStyle name="Normal 2 36 2 2 2 2 4" xfId="21100" xr:uid="{B8D9CBA3-F80F-4A63-98BE-8144EE145D57}"/>
    <cellStyle name="Normal 2 36 2 2 2 2 5" xfId="21101" xr:uid="{0C1AD5DB-7953-495C-BC9A-93C35C7FB3E2}"/>
    <cellStyle name="Normal 2 36 2 2 2 2 6" xfId="21102" xr:uid="{8659C73A-477A-4C2D-AB13-D5F62A323005}"/>
    <cellStyle name="Normal 2 36 2 2 2 3" xfId="21103" xr:uid="{7923A421-6E80-47DD-823F-15007EA26176}"/>
    <cellStyle name="Normal 2 36 2 2 2 4" xfId="21104" xr:uid="{E3EFB5DF-C93E-471E-BB3A-90369D024A83}"/>
    <cellStyle name="Normal 2 36 2 2 2 5" xfId="21105" xr:uid="{DF0FEA91-5FA0-4FA1-83F7-21F2DF9E96D3}"/>
    <cellStyle name="Normal 2 36 2 2 2 6" xfId="21106" xr:uid="{EF069D5A-2F99-4E0D-9CF4-6285542AAFBB}"/>
    <cellStyle name="Normal 2 36 2 2 2 7" xfId="21107" xr:uid="{F582F6E9-2E94-4DA0-A3C6-80BFC1F7514D}"/>
    <cellStyle name="Normal 2 36 2 2 2 8" xfId="21108" xr:uid="{02984CAA-CD68-44B1-AE2D-215F4078572E}"/>
    <cellStyle name="Normal 2 36 2 2 2 9" xfId="21109" xr:uid="{8FE56B8D-8BAC-4FA6-8A9B-F1520A4CB50A}"/>
    <cellStyle name="Normal 2 36 2 2 3" xfId="21110" xr:uid="{5518F2F3-FD5D-4675-B35C-5B25BF9207A5}"/>
    <cellStyle name="Normal 2 36 2 2 3 2" xfId="21111" xr:uid="{E3B0B716-6D40-4A98-A911-B6594EE10C78}"/>
    <cellStyle name="Normal 2 36 2 2 3 2 2" xfId="21112" xr:uid="{8493BCF4-A71B-4D95-84A6-CB861C36EC82}"/>
    <cellStyle name="Normal 2 36 2 2 3 2 3" xfId="21113" xr:uid="{5234F4F6-065A-44DD-847C-39D26E474079}"/>
    <cellStyle name="Normal 2 36 2 2 3 2 4" xfId="21114" xr:uid="{82745C0C-9DCE-414D-A3AF-17655F7E2B6C}"/>
    <cellStyle name="Normal 2 36 2 2 3 2 5" xfId="21115" xr:uid="{ED6279A8-AEF2-4DA9-A01C-70C21C1989B8}"/>
    <cellStyle name="Normal 2 36 2 2 3 2 6" xfId="21116" xr:uid="{D34EFA51-FC19-42EF-A2C1-7B6232B5AB15}"/>
    <cellStyle name="Normal 2 36 2 2 3 3" xfId="21117" xr:uid="{6E5F6124-A0A2-4804-A926-9D15F9BD5488}"/>
    <cellStyle name="Normal 2 36 2 2 3 4" xfId="21118" xr:uid="{A22CE4B6-A951-4B53-8F06-3D729256CF81}"/>
    <cellStyle name="Normal 2 36 2 2 3 5" xfId="21119" xr:uid="{5907CECB-F78B-4A36-AEF3-B7E4B9C88D93}"/>
    <cellStyle name="Normal 2 36 2 2 3 6" xfId="21120" xr:uid="{9CDAE4B3-F2CD-4E88-AF28-254961B348D4}"/>
    <cellStyle name="Normal 2 36 2 2 4" xfId="21121" xr:uid="{3A3F8600-E4C0-45DD-B86D-790845248EF7}"/>
    <cellStyle name="Normal 2 36 2 2 5" xfId="21122" xr:uid="{6F7BC9E7-BF96-4377-8393-06290EF3D488}"/>
    <cellStyle name="Normal 2 36 2 2 6" xfId="21123" xr:uid="{147D0A2E-C8D3-44D1-BCE6-E6F114E8C644}"/>
    <cellStyle name="Normal 2 36 2 2 7" xfId="21124" xr:uid="{542ECEBC-2744-4B3C-8713-D242807F582F}"/>
    <cellStyle name="Normal 2 36 2 2 8" xfId="21125" xr:uid="{2C2B897A-F742-4B0A-80AE-17CD9E96F249}"/>
    <cellStyle name="Normal 2 36 2 2 9" xfId="21126" xr:uid="{AC18EC74-FA8E-4AAE-873C-BAF0D694405A}"/>
    <cellStyle name="Normal 2 36 2 3" xfId="21127" xr:uid="{05F9A5A7-4EB6-4174-BF21-832A802E3B51}"/>
    <cellStyle name="Normal 2 36 2 4" xfId="21128" xr:uid="{ACF1F502-A320-46AD-BC07-C618567355BC}"/>
    <cellStyle name="Normal 2 36 2 5" xfId="21129" xr:uid="{0D5F9855-3A93-41BB-91B9-2CB9EFFA4CD3}"/>
    <cellStyle name="Normal 2 36 2 5 2" xfId="21130" xr:uid="{0B4546CF-F97D-4E13-AF5A-5F09ACEDC057}"/>
    <cellStyle name="Normal 2 36 2 5 2 2" xfId="21131" xr:uid="{01305D8C-101E-4AC3-9EAB-2274C2DB4973}"/>
    <cellStyle name="Normal 2 36 2 5 2 3" xfId="21132" xr:uid="{94484317-793D-482A-94B1-84C550999DF2}"/>
    <cellStyle name="Normal 2 36 2 5 2 4" xfId="21133" xr:uid="{BBBB3C9E-480B-4727-813F-EAE15E87991E}"/>
    <cellStyle name="Normal 2 36 2 5 2 5" xfId="21134" xr:uid="{FEF7514B-1856-4D6E-81E8-97A83327A1B6}"/>
    <cellStyle name="Normal 2 36 2 5 2 6" xfId="21135" xr:uid="{F0E4E327-9587-427D-A5CA-EF5F2B576822}"/>
    <cellStyle name="Normal 2 36 2 5 3" xfId="21136" xr:uid="{822D8FE7-9207-4580-A6BF-2BA1C660533D}"/>
    <cellStyle name="Normal 2 36 2 5 4" xfId="21137" xr:uid="{514A2B39-0A0D-434C-B4DD-1A391437630E}"/>
    <cellStyle name="Normal 2 36 2 5 5" xfId="21138" xr:uid="{42D0B9F4-7D51-4C12-87A9-9F6A7F7CC049}"/>
    <cellStyle name="Normal 2 36 2 5 6" xfId="21139" xr:uid="{56209AAB-5640-4529-AF1A-683E189C3F19}"/>
    <cellStyle name="Normal 2 36 2 6" xfId="21140" xr:uid="{03B5BAD4-3809-461D-A4E2-FB5E4C852818}"/>
    <cellStyle name="Normal 2 36 2 7" xfId="21141" xr:uid="{C0920BC7-52A5-4367-A360-0BA02665780C}"/>
    <cellStyle name="Normal 2 36 2 8" xfId="21142" xr:uid="{3652B041-B357-4750-96B6-936DBDB133B7}"/>
    <cellStyle name="Normal 2 36 2 9" xfId="21143" xr:uid="{E975C3BA-EA32-4DA8-B2D8-D539CE1BE811}"/>
    <cellStyle name="Normal 2 36 3" xfId="21144" xr:uid="{22B376DE-67C2-4730-9F5F-EA131A07BBE3}"/>
    <cellStyle name="Normal 2 36 3 2" xfId="21145" xr:uid="{A188BF91-80E1-4E0E-88C2-3643C982EC68}"/>
    <cellStyle name="Normal 2 36 3 2 2" xfId="21146" xr:uid="{45E8153B-1C79-4BA8-8198-6254351CFAD2}"/>
    <cellStyle name="Normal 2 36 3 2 2 2" xfId="21147" xr:uid="{9F225A3F-5313-4B52-88EF-49508FBED694}"/>
    <cellStyle name="Normal 2 36 3 2 2 2 2" xfId="21148" xr:uid="{0B6DEFF6-36B9-494F-AA1C-E4693F6F2EDA}"/>
    <cellStyle name="Normal 2 36 3 2 2 2 3" xfId="21149" xr:uid="{8EA71C07-D1D7-49BC-A542-C7C219426C53}"/>
    <cellStyle name="Normal 2 36 3 2 2 2 4" xfId="21150" xr:uid="{77B81016-3DBD-4D98-95BE-7B7DFE92A13F}"/>
    <cellStyle name="Normal 2 36 3 2 2 2 5" xfId="21151" xr:uid="{8420D1ED-DA23-4FB8-AA19-6B68962A0C5A}"/>
    <cellStyle name="Normal 2 36 3 2 2 2 6" xfId="21152" xr:uid="{9EF6C13F-EFC0-4DA8-B179-A38AD147969C}"/>
    <cellStyle name="Normal 2 36 3 2 2 3" xfId="21153" xr:uid="{038CA410-F73D-49A3-9678-4E9F2944FFAB}"/>
    <cellStyle name="Normal 2 36 3 2 2 4" xfId="21154" xr:uid="{35DF0309-0E3B-423E-88CA-2B7C15BFCEBD}"/>
    <cellStyle name="Normal 2 36 3 2 2 5" xfId="21155" xr:uid="{663ADF9E-787E-4E0C-97A9-98E55D217470}"/>
    <cellStyle name="Normal 2 36 3 2 2 6" xfId="21156" xr:uid="{EB764902-6D4C-4D13-A84E-0718F4E1A8B0}"/>
    <cellStyle name="Normal 2 36 3 2 3" xfId="21157" xr:uid="{CA953034-3B4F-4088-AD67-9424474429A4}"/>
    <cellStyle name="Normal 2 36 3 2 4" xfId="21158" xr:uid="{497472D8-E0C2-4383-85CF-8D7E256C226E}"/>
    <cellStyle name="Normal 2 36 3 2 5" xfId="21159" xr:uid="{D21C68D2-FAA0-4676-8486-1372590F7C31}"/>
    <cellStyle name="Normal 2 36 3 2 6" xfId="21160" xr:uid="{BDD9AA2A-A6B6-49CC-B2D2-390B829578B7}"/>
    <cellStyle name="Normal 2 36 3 2 7" xfId="21161" xr:uid="{6F8CFDEA-3748-46D1-B65F-E101B5A1212D}"/>
    <cellStyle name="Normal 2 36 3 2 8" xfId="21162" xr:uid="{654B1A7E-DE80-41D2-9744-E8E2CE580495}"/>
    <cellStyle name="Normal 2 36 3 2 9" xfId="21163" xr:uid="{5893CD16-FD94-4B79-B32D-17A2B35C6071}"/>
    <cellStyle name="Normal 2 36 3 3" xfId="21164" xr:uid="{768D5ED3-16CA-4CF7-8DBD-6476D6092D14}"/>
    <cellStyle name="Normal 2 36 3 3 2" xfId="21165" xr:uid="{1937F6FB-A1FC-4374-9266-325D7EBE9284}"/>
    <cellStyle name="Normal 2 36 3 3 2 2" xfId="21166" xr:uid="{BA75CE87-AC89-4039-9A31-CEF763C283BA}"/>
    <cellStyle name="Normal 2 36 3 3 2 3" xfId="21167" xr:uid="{427945B7-3792-46B8-B3E3-45AF11EF54A4}"/>
    <cellStyle name="Normal 2 36 3 3 2 4" xfId="21168" xr:uid="{61FC86D2-35C0-444C-98B9-1A9C61B75AC8}"/>
    <cellStyle name="Normal 2 36 3 3 2 5" xfId="21169" xr:uid="{6E6AF93F-B645-4BEF-9FAA-90D2BBBC5A29}"/>
    <cellStyle name="Normal 2 36 3 3 2 6" xfId="21170" xr:uid="{1D2703AD-ECBA-4BCD-BCD3-9EE5F297894B}"/>
    <cellStyle name="Normal 2 36 3 3 3" xfId="21171" xr:uid="{FC4EBEF5-84FE-4CD8-99A4-6631318B8964}"/>
    <cellStyle name="Normal 2 36 3 3 4" xfId="21172" xr:uid="{6D40B05D-8414-4B77-B5BF-A8A8680486E4}"/>
    <cellStyle name="Normal 2 36 3 3 5" xfId="21173" xr:uid="{8F355E43-FD19-4A77-A030-392C0C5825A3}"/>
    <cellStyle name="Normal 2 36 3 3 6" xfId="21174" xr:uid="{D968C920-254A-4929-A072-333E96770421}"/>
    <cellStyle name="Normal 2 36 3 4" xfId="21175" xr:uid="{E9C3390B-331D-4770-8CD2-1B6FAD8FC0C9}"/>
    <cellStyle name="Normal 2 36 3 5" xfId="21176" xr:uid="{60AC3721-4D13-4ACC-A092-22E1AD8A6FAC}"/>
    <cellStyle name="Normal 2 36 3 6" xfId="21177" xr:uid="{BCB82941-E9F4-4D34-841B-EFB7A96C59AE}"/>
    <cellStyle name="Normal 2 36 3 7" xfId="21178" xr:uid="{C94ED8A1-6D42-4B23-AB9A-59BA08DDEA44}"/>
    <cellStyle name="Normal 2 36 3 8" xfId="21179" xr:uid="{5D316894-DB95-46A7-9D12-8319793C6AC3}"/>
    <cellStyle name="Normal 2 36 3 9" xfId="21180" xr:uid="{F187D763-DB95-4283-82A1-5D730E4BE182}"/>
    <cellStyle name="Normal 2 36 4" xfId="21181" xr:uid="{0A56A225-508B-4D4D-B2E4-3A5254A3A796}"/>
    <cellStyle name="Normal 2 36 5" xfId="21182" xr:uid="{DA4DFAE3-1997-4E13-97D3-37D6E92A5488}"/>
    <cellStyle name="Normal 2 36 5 2" xfId="21183" xr:uid="{A8F9F626-29C0-47FF-A725-D2F8FAB7AEF6}"/>
    <cellStyle name="Normal 2 36 5 2 2" xfId="21184" xr:uid="{454A5068-A658-4B1C-8CC5-C94D85C5FE45}"/>
    <cellStyle name="Normal 2 36 5 2 3" xfId="21185" xr:uid="{95289F84-4FA1-4A79-A81B-B330511DFD2C}"/>
    <cellStyle name="Normal 2 36 5 2 4" xfId="21186" xr:uid="{E1364DB0-0D10-4DB0-AB97-87C4B3BDB828}"/>
    <cellStyle name="Normal 2 36 5 2 5" xfId="21187" xr:uid="{9DFABC5F-E98E-4919-8C09-6AE1F49DFB64}"/>
    <cellStyle name="Normal 2 36 5 2 6" xfId="21188" xr:uid="{FABE1AE6-7DAD-4DFC-91B0-5672C3BE3C96}"/>
    <cellStyle name="Normal 2 36 5 3" xfId="21189" xr:uid="{DC5C29B9-378E-442A-BA1C-E0A23600F858}"/>
    <cellStyle name="Normal 2 36 5 4" xfId="21190" xr:uid="{B69F4264-4AF7-47B5-B6AC-B21F1AAA2961}"/>
    <cellStyle name="Normal 2 36 5 5" xfId="21191" xr:uid="{21CCABDB-91AE-477A-BFD8-09CEB63B7EF9}"/>
    <cellStyle name="Normal 2 36 5 6" xfId="21192" xr:uid="{F0039DAE-8803-44B6-96B3-97CCAC6E7023}"/>
    <cellStyle name="Normal 2 36 6" xfId="21193" xr:uid="{54835D3E-9F40-4EC6-9ADF-EABF4F92199C}"/>
    <cellStyle name="Normal 2 36 7" xfId="21194" xr:uid="{2C38B60B-C9B2-4993-9063-58EAC9F1AF40}"/>
    <cellStyle name="Normal 2 36 8" xfId="21195" xr:uid="{4F856295-A95D-442E-8DD5-CF686CCEBCC2}"/>
    <cellStyle name="Normal 2 36 9" xfId="21196" xr:uid="{D1749108-1724-4A3C-98E2-76C65040F5A3}"/>
    <cellStyle name="Normal 2 37" xfId="21197" xr:uid="{589B7944-4935-416C-9845-3B53009605FB}"/>
    <cellStyle name="Normal 2 37 2" xfId="21198" xr:uid="{3FCB611C-2958-49CA-8CEA-991B42E92641}"/>
    <cellStyle name="Normal 2 38" xfId="21199" xr:uid="{D822C8CA-61AA-411B-AB95-EA9EF907D044}"/>
    <cellStyle name="Normal 2 38 2" xfId="21200" xr:uid="{3228C693-DD27-44AD-BC86-B7C787F685D3}"/>
    <cellStyle name="Normal 2 39" xfId="21201" xr:uid="{A0F4F8D2-EFDF-4A8E-81BE-098A6EE2B5AA}"/>
    <cellStyle name="Normal 2 39 10" xfId="21202" xr:uid="{B85AC17A-6AEF-4A76-81FD-803024AB1CE3}"/>
    <cellStyle name="Normal 2 39 2" xfId="21203" xr:uid="{C9439526-FC43-459A-904B-8B350DBC5DEC}"/>
    <cellStyle name="Normal 2 39 2 10" xfId="21204" xr:uid="{642C05E8-2AD9-4DB0-A2A1-C8A80F2D284C}"/>
    <cellStyle name="Normal 2 39 2 2" xfId="21205" xr:uid="{C2F667B5-61E0-422E-A8D6-FAC060A7C582}"/>
    <cellStyle name="Normal 2 39 2 2 2" xfId="21206" xr:uid="{FE48AD19-ECDF-4D8A-BE73-31C98B86AB6D}"/>
    <cellStyle name="Normal 2 39 2 2 2 2" xfId="21207" xr:uid="{F928498D-ED14-407D-B122-6FADDF9C2C44}"/>
    <cellStyle name="Normal 2 39 2 2 2 3" xfId="21208" xr:uid="{A01B199A-0CC6-4AD6-A466-C20B446C2D24}"/>
    <cellStyle name="Normal 2 39 2 2 2 4" xfId="21209" xr:uid="{2FBE29A7-6833-4056-9051-0A73A6F08E2C}"/>
    <cellStyle name="Normal 2 39 2 2 2 5" xfId="21210" xr:uid="{41E9A443-CEF6-4741-B3CD-A29EB673CDB8}"/>
    <cellStyle name="Normal 2 39 2 2 2 6" xfId="21211" xr:uid="{EFFC57D4-FA88-4412-8411-B5B49B585BF6}"/>
    <cellStyle name="Normal 2 39 2 2 2 7" xfId="21212" xr:uid="{347DDD28-961C-4DF4-B2D4-7782530C4E8E}"/>
    <cellStyle name="Normal 2 39 2 2 3" xfId="21213" xr:uid="{3F387C7D-4FE8-40AB-BFC3-9472644831CA}"/>
    <cellStyle name="Normal 2 39 2 2 4" xfId="21214" xr:uid="{2A9EB933-2651-4C56-BCC3-11A71E3D6163}"/>
    <cellStyle name="Normal 2 39 2 2 5" xfId="21215" xr:uid="{7302085B-A1CC-4108-A66F-BACC9D848BE5}"/>
    <cellStyle name="Normal 2 39 2 2 6" xfId="21216" xr:uid="{5E0E000A-B3F1-472E-A8A0-C27A886427B3}"/>
    <cellStyle name="Normal 2 39 2 2 7" xfId="21217" xr:uid="{EFF53F29-23BE-4944-AA65-1D2ABEA0F888}"/>
    <cellStyle name="Normal 2 39 2 3" xfId="21218" xr:uid="{3144E1A9-52B8-40C4-9C4E-41DD8BE30EB1}"/>
    <cellStyle name="Normal 2 39 2 4" xfId="21219" xr:uid="{D53DD01A-FE46-474D-A064-7478AA8FEF77}"/>
    <cellStyle name="Normal 2 39 2 5" xfId="21220" xr:uid="{23765C75-4807-4063-863A-6F789971D44D}"/>
    <cellStyle name="Normal 2 39 2 6" xfId="21221" xr:uid="{378DC946-8EED-486C-9E25-CB0303081E42}"/>
    <cellStyle name="Normal 2 39 2 7" xfId="21222" xr:uid="{75F4358B-5E7C-416B-B5F1-F0CF0589E7F8}"/>
    <cellStyle name="Normal 2 39 2 8" xfId="21223" xr:uid="{238B4565-6062-4D93-9193-2C7A65D73881}"/>
    <cellStyle name="Normal 2 39 2 9" xfId="21224" xr:uid="{22BCF31F-4072-4F5F-9DDB-0DB128C31FED}"/>
    <cellStyle name="Normal 2 39 3" xfId="21225" xr:uid="{5F234C7C-85F1-41B9-8FE9-092EF94AC494}"/>
    <cellStyle name="Normal 2 39 3 2" xfId="21226" xr:uid="{CA12A12F-D834-4FEB-88FD-279211F3EE4C}"/>
    <cellStyle name="Normal 2 39 3 2 2" xfId="21227" xr:uid="{A4BCA3A9-997E-4D64-9BA2-B06515046F1C}"/>
    <cellStyle name="Normal 2 39 3 2 3" xfId="21228" xr:uid="{BCAC8D42-F754-4104-9A80-B9291CFD47A6}"/>
    <cellStyle name="Normal 2 39 3 2 4" xfId="21229" xr:uid="{7B306DD3-7C25-46CF-BA43-D34AF645A2C4}"/>
    <cellStyle name="Normal 2 39 3 2 5" xfId="21230" xr:uid="{3543FBF9-FC72-4586-8AC5-F2DCB157C982}"/>
    <cellStyle name="Normal 2 39 3 2 6" xfId="21231" xr:uid="{8F84B3C8-77E9-4F64-B701-94B9FB31B4E6}"/>
    <cellStyle name="Normal 2 39 3 3" xfId="21232" xr:uid="{47FB1BC7-00EF-494C-A032-CC2E8A9B5ABC}"/>
    <cellStyle name="Normal 2 39 3 4" xfId="21233" xr:uid="{1469F194-B574-463C-95AF-2B5E6B37B78E}"/>
    <cellStyle name="Normal 2 39 3 5" xfId="21234" xr:uid="{1DF3B28C-8FFF-4DD6-8232-03EE3E111923}"/>
    <cellStyle name="Normal 2 39 3 6" xfId="21235" xr:uid="{D48A4993-50FB-49FF-977D-90B160E432DD}"/>
    <cellStyle name="Normal 2 39 3 7" xfId="21236" xr:uid="{8796DBB6-A369-4635-8B07-0F7924DDBED4}"/>
    <cellStyle name="Normal 2 39 4" xfId="21237" xr:uid="{D4A1C81C-348E-43C0-9D21-28EA3B3F4280}"/>
    <cellStyle name="Normal 2 39 5" xfId="21238" xr:uid="{1B2F5431-3E6D-480B-AFBF-BC8E44545FBE}"/>
    <cellStyle name="Normal 2 39 6" xfId="21239" xr:uid="{A0A5E9BF-0196-4D15-9A22-9650464F2159}"/>
    <cellStyle name="Normal 2 39 7" xfId="21240" xr:uid="{0C42A070-5B7B-4EBA-BFFC-D0BF72291C6C}"/>
    <cellStyle name="Normal 2 39 8" xfId="21241" xr:uid="{4053AF85-7BF8-4E1B-95C7-A18C4A3262FF}"/>
    <cellStyle name="Normal 2 39 9" xfId="21242" xr:uid="{9DC98099-3FA9-4237-B883-B23FBB1EC121}"/>
    <cellStyle name="Normal 2 4" xfId="162" xr:uid="{AB9107C0-6FE7-4A7E-8493-7706740C42D3}"/>
    <cellStyle name="Normal 2 4 10" xfId="21244" xr:uid="{00C36857-CC39-4864-8A97-336DE05F4BDB}"/>
    <cellStyle name="Normal 2 4 11" xfId="21245" xr:uid="{DAC4D141-48F4-4DC7-8A6C-012C4F3F57E9}"/>
    <cellStyle name="Normal 2 4 12" xfId="21246" xr:uid="{50516D89-BD2A-4BFB-B312-9531CB835B21}"/>
    <cellStyle name="Normal 2 4 12 2" xfId="21247" xr:uid="{15C82A4B-94E2-4EE3-BEEB-AD8C2860AA1B}"/>
    <cellStyle name="Normal 2 4 12 2 2" xfId="21248" xr:uid="{85DD90BF-A6FE-41CC-BDBB-8A86560571EE}"/>
    <cellStyle name="Normal 2 4 12 2 3" xfId="21249" xr:uid="{AB8C6B2A-5ABA-4783-803A-BB4FA18989A6}"/>
    <cellStyle name="Normal 2 4 12 2 4" xfId="21250" xr:uid="{323BB6F0-EAE7-4D75-B233-CC999ADD6958}"/>
    <cellStyle name="Normal 2 4 12 2 5" xfId="21251" xr:uid="{62D53266-4CBE-407B-BA43-BDD44379D8F5}"/>
    <cellStyle name="Normal 2 4 12 2 6" xfId="21252" xr:uid="{2AB40D9A-AFE6-4EFE-8840-3F0E4929B558}"/>
    <cellStyle name="Normal 2 4 12 2 7" xfId="21253" xr:uid="{46799D6A-E29C-46F3-BB7E-5378014134F8}"/>
    <cellStyle name="Normal 2 4 12 2 8" xfId="21254" xr:uid="{849D11F0-579B-46EB-8CD2-E6F4D9AB9784}"/>
    <cellStyle name="Normal 2 4 12 2 9" xfId="21255" xr:uid="{A9A2A5C4-C5EA-4CA5-9CA5-ABE7B1FBF785}"/>
    <cellStyle name="Normal 2 4 12 3" xfId="21256" xr:uid="{DB52D8F4-7375-4280-A53E-3D119694904A}"/>
    <cellStyle name="Normal 2 4 12 4" xfId="21257" xr:uid="{38587A59-BB11-43E9-9C7C-6D24DA3DE875}"/>
    <cellStyle name="Normal 2 4 12 5" xfId="21258" xr:uid="{9621215E-8E41-4A77-B2F9-3876924AE2B3}"/>
    <cellStyle name="Normal 2 4 12 6" xfId="21259" xr:uid="{10102821-C9D1-4E8A-AB13-18DB82AD51CD}"/>
    <cellStyle name="Normal 2 4 12 7" xfId="21260" xr:uid="{AA86B0F5-D412-4537-AE87-CBB3C9D2A7BF}"/>
    <cellStyle name="Normal 2 4 12 8" xfId="21261" xr:uid="{EDCB95B8-A42B-46A8-830D-7411A25DB10A}"/>
    <cellStyle name="Normal 2 4 12 9" xfId="21262" xr:uid="{DE2CFD93-9D82-49C4-8115-8B8F0E56EF13}"/>
    <cellStyle name="Normal 2 4 13" xfId="21263" xr:uid="{34B9A231-E763-4F4C-A005-39BE22DF213F}"/>
    <cellStyle name="Normal 2 4 14" xfId="21264" xr:uid="{24826ABA-1F9E-4EC8-98D0-80B8C0A3437D}"/>
    <cellStyle name="Normal 2 4 15" xfId="21265" xr:uid="{9C69A9C3-FE2D-4460-A1C4-9D1904650C2F}"/>
    <cellStyle name="Normal 2 4 16" xfId="21266" xr:uid="{C617CA5C-50C2-4A97-A156-3873431E106B}"/>
    <cellStyle name="Normal 2 4 17" xfId="21267" xr:uid="{AD38D21B-777A-40EA-9B34-1180D3D5E11D}"/>
    <cellStyle name="Normal 2 4 18" xfId="21268" xr:uid="{BD51195F-A55A-4185-B16F-0B0CB2B3CFA9}"/>
    <cellStyle name="Normal 2 4 19" xfId="21269" xr:uid="{6570B885-6E83-41A3-A843-1AF0F741D781}"/>
    <cellStyle name="Normal 2 4 2" xfId="21270" xr:uid="{5D1B5BD1-1788-44B8-87EA-C184BC94BC67}"/>
    <cellStyle name="Normal 2 4 2 10" xfId="21271" xr:uid="{9B7FAD42-040A-43A8-8BAC-42D0F84939E0}"/>
    <cellStyle name="Normal 2 4 2 11" xfId="21272" xr:uid="{66CAFAF3-CF34-452C-A386-BCF55612DB71}"/>
    <cellStyle name="Normal 2 4 2 12" xfId="21273" xr:uid="{F80D31EE-1513-48D9-AE19-D992DBAB351C}"/>
    <cellStyle name="Normal 2 4 2 12 2" xfId="21274" xr:uid="{133511DF-CF26-422F-AF73-AFEEDC510A94}"/>
    <cellStyle name="Normal 2 4 2 12 2 2" xfId="21275" xr:uid="{5F97231E-59D6-4A29-A3C9-26E01B48BEBC}"/>
    <cellStyle name="Normal 2 4 2 12 2 3" xfId="21276" xr:uid="{DF11FA8F-069A-4669-9931-8904C19B1550}"/>
    <cellStyle name="Normal 2 4 2 12 2 4" xfId="21277" xr:uid="{87F3D8BB-C2EF-4525-A3AB-DEFC919E57F3}"/>
    <cellStyle name="Normal 2 4 2 12 2 5" xfId="21278" xr:uid="{E4CBAD4F-25D1-49EE-BF8A-59782F789FAA}"/>
    <cellStyle name="Normal 2 4 2 12 2 6" xfId="21279" xr:uid="{01C0AA75-01A1-4B6D-8C42-5F447B4B6BA6}"/>
    <cellStyle name="Normal 2 4 2 12 2 7" xfId="21280" xr:uid="{0AECA3FA-40E8-470B-A646-DA8B62BAFD50}"/>
    <cellStyle name="Normal 2 4 2 12 2 8" xfId="21281" xr:uid="{4E596556-660A-4650-BE83-A4D85E466672}"/>
    <cellStyle name="Normal 2 4 2 12 2 9" xfId="21282" xr:uid="{6F1BD522-09FD-4F35-B89A-D3E955FE01B5}"/>
    <cellStyle name="Normal 2 4 2 12 3" xfId="21283" xr:uid="{D087B3B2-A29E-4A5A-AAFC-59E61354D36D}"/>
    <cellStyle name="Normal 2 4 2 12 4" xfId="21284" xr:uid="{A8E942BE-4BFC-448E-BD07-7AC015D3874B}"/>
    <cellStyle name="Normal 2 4 2 12 5" xfId="21285" xr:uid="{C8CA73F1-2523-4AFE-BF46-C75C94471922}"/>
    <cellStyle name="Normal 2 4 2 12 6" xfId="21286" xr:uid="{192FF721-CD19-482A-BD47-9787E26599DD}"/>
    <cellStyle name="Normal 2 4 2 12 7" xfId="21287" xr:uid="{AC39AE5B-4843-4162-B299-740BDECD5E2B}"/>
    <cellStyle name="Normal 2 4 2 12 8" xfId="21288" xr:uid="{83B94D3D-D34C-441E-B523-BDCCC9363822}"/>
    <cellStyle name="Normal 2 4 2 12 9" xfId="21289" xr:uid="{B06F04BD-9BC8-4020-8951-07FAD3579966}"/>
    <cellStyle name="Normal 2 4 2 13" xfId="21290" xr:uid="{AD44882E-F211-4C0D-A6A0-9AF316308E8F}"/>
    <cellStyle name="Normal 2 4 2 14" xfId="21291" xr:uid="{5C5E4BCD-FEB5-401A-973A-C1BFB8610FBD}"/>
    <cellStyle name="Normal 2 4 2 15" xfId="21292" xr:uid="{DC67F30E-9B3E-49D5-B0CC-626A5BF594AE}"/>
    <cellStyle name="Normal 2 4 2 16" xfId="21293" xr:uid="{1E6393CC-792B-447A-804E-39662C7E12C0}"/>
    <cellStyle name="Normal 2 4 2 17" xfId="21294" xr:uid="{80ACB06B-8B48-4BAB-93C8-30A6B4739A71}"/>
    <cellStyle name="Normal 2 4 2 18" xfId="21295" xr:uid="{22072F21-E978-4D29-87BD-D6B2F2EF7256}"/>
    <cellStyle name="Normal 2 4 2 19" xfId="21296" xr:uid="{BF058E8D-D3D0-4DB2-856D-9C2CC42E659A}"/>
    <cellStyle name="Normal 2 4 2 2" xfId="21297" xr:uid="{7B77A65F-3A2B-438F-BC32-902B38BE1C02}"/>
    <cellStyle name="Normal 2 4 2 2 10" xfId="21298" xr:uid="{1C8D29E7-94F7-4B2E-8B80-A6F9D93CBCB1}"/>
    <cellStyle name="Normal 2 4 2 2 11" xfId="21299" xr:uid="{57D481B9-45C4-40C6-9E2F-72A9AC76EEA6}"/>
    <cellStyle name="Normal 2 4 2 2 12" xfId="21300" xr:uid="{887BB840-2398-48A5-AC4D-9E32CEDA0B8B}"/>
    <cellStyle name="Normal 2 4 2 2 13" xfId="21301" xr:uid="{1BF5109E-383B-4676-83CC-FB35DA38A9A2}"/>
    <cellStyle name="Normal 2 4 2 2 14" xfId="21302" xr:uid="{D7A3696A-9B8C-433E-86FA-07B603FDF7BA}"/>
    <cellStyle name="Normal 2 4 2 2 15" xfId="21303" xr:uid="{1736599E-D115-4B1E-AEBD-1BD796C3A69B}"/>
    <cellStyle name="Normal 2 4 2 2 16" xfId="21304" xr:uid="{EE8BB658-2E7F-4FDF-B675-497D1E84DBD0}"/>
    <cellStyle name="Normal 2 4 2 2 17" xfId="21305" xr:uid="{0DA0BD0A-D2C9-4741-B566-77D193D803CD}"/>
    <cellStyle name="Normal 2 4 2 2 18" xfId="21306" xr:uid="{97D1E8E2-B5B2-4075-ACB1-F003CB6DEF6D}"/>
    <cellStyle name="Normal 2 4 2 2 18 2" xfId="21307" xr:uid="{E5135EC7-AD86-4B29-A671-DB33BE69FC87}"/>
    <cellStyle name="Normal 2 4 2 2 18 2 2" xfId="21308" xr:uid="{C2BEA6E6-4024-478C-8EA7-9D48855BD404}"/>
    <cellStyle name="Normal 2 4 2 2 18 2 2 2" xfId="21309" xr:uid="{DFFA4E99-EB2C-4209-B15E-1E0186F7E6F4}"/>
    <cellStyle name="Normal 2 4 2 2 18 3" xfId="21310" xr:uid="{78039845-ED09-4FF9-B768-7CA47A704F89}"/>
    <cellStyle name="Normal 2 4 2 2 18 4" xfId="21311" xr:uid="{DE487F91-FE17-4F2F-ADBF-F66E212B4C63}"/>
    <cellStyle name="Normal 2 4 2 2 18 5" xfId="21312" xr:uid="{0C063680-9F32-412B-834F-F5F85ACA46E2}"/>
    <cellStyle name="Normal 2 4 2 2 18 6" xfId="21313" xr:uid="{3D0050FD-52A6-4421-978C-D002FCA85B17}"/>
    <cellStyle name="Normal 2 4 2 2 19" xfId="21314" xr:uid="{077F3D07-7ADC-4E6A-AE40-7F68E9B08BB1}"/>
    <cellStyle name="Normal 2 4 2 2 19 2" xfId="21315" xr:uid="{7410247D-208D-465E-880C-686DF58A896D}"/>
    <cellStyle name="Normal 2 4 2 2 19 2 2" xfId="21316" xr:uid="{93526460-1037-430A-ADB8-127E27C9E51F}"/>
    <cellStyle name="Normal 2 4 2 2 2" xfId="21317" xr:uid="{CC6CDE65-CBD5-468A-9922-2F2605385C23}"/>
    <cellStyle name="Normal 2 4 2 2 2 10" xfId="21318" xr:uid="{811C6860-3799-42DC-AFE1-42B729426F4C}"/>
    <cellStyle name="Normal 2 4 2 2 2 11" xfId="21319" xr:uid="{4E962C34-4BB7-42BD-B41D-D47C1FC991A1}"/>
    <cellStyle name="Normal 2 4 2 2 2 12" xfId="21320" xr:uid="{B2972E54-7143-4391-A6E1-A67EF1826FB7}"/>
    <cellStyle name="Normal 2 4 2 2 2 13" xfId="21321" xr:uid="{D2A1177D-8078-41A7-8170-92B8E12B2873}"/>
    <cellStyle name="Normal 2 4 2 2 2 14" xfId="21322" xr:uid="{41877A31-6FC2-4F04-8023-300FC6D90388}"/>
    <cellStyle name="Normal 2 4 2 2 2 15" xfId="21323" xr:uid="{A0E32116-DFDA-476C-8CB0-B95DAAAED2A4}"/>
    <cellStyle name="Normal 2 4 2 2 2 16" xfId="21324" xr:uid="{2C8FC724-21C1-45E3-9406-6585911B60EA}"/>
    <cellStyle name="Normal 2 4 2 2 2 17" xfId="21325" xr:uid="{BA97CC38-8068-4A9D-9758-F8CBF379E175}"/>
    <cellStyle name="Normal 2 4 2 2 2 18" xfId="21326" xr:uid="{A96C6ADC-A195-4D08-8476-E7665F5D9B3A}"/>
    <cellStyle name="Normal 2 4 2 2 2 18 2" xfId="21327" xr:uid="{BBD3D87F-5B55-47F7-9BD1-4C12B0F37FF4}"/>
    <cellStyle name="Normal 2 4 2 2 2 18 2 2" xfId="21328" xr:uid="{00161A91-1377-4DD9-9BD0-C37767323414}"/>
    <cellStyle name="Normal 2 4 2 2 2 18 2 2 2" xfId="21329" xr:uid="{59D75F91-12C6-48AE-A272-2814B76C11C1}"/>
    <cellStyle name="Normal 2 4 2 2 2 18 3" xfId="21330" xr:uid="{84D7C038-8B68-4EB8-A51B-76AAD488F6A3}"/>
    <cellStyle name="Normal 2 4 2 2 2 18 4" xfId="21331" xr:uid="{F09879AF-14A2-4526-849E-D6F1317FE7B5}"/>
    <cellStyle name="Normal 2 4 2 2 2 18 5" xfId="21332" xr:uid="{4660E730-B752-4A0B-92B7-A4062909F7F0}"/>
    <cellStyle name="Normal 2 4 2 2 2 18 6" xfId="21333" xr:uid="{BC4A1A74-3FF3-4F84-9693-A37B5E813970}"/>
    <cellStyle name="Normal 2 4 2 2 2 19" xfId="21334" xr:uid="{58E20C6B-9F3B-4549-8597-EFF5B6048AE4}"/>
    <cellStyle name="Normal 2 4 2 2 2 19 2" xfId="21335" xr:uid="{739C4BE6-2FE4-4990-80B8-DF6B67A8467C}"/>
    <cellStyle name="Normal 2 4 2 2 2 19 2 2" xfId="21336" xr:uid="{72F21E1F-0018-4FA8-8F5A-0FCD36828F0C}"/>
    <cellStyle name="Normal 2 4 2 2 2 2" xfId="21337" xr:uid="{6B28A24D-4394-43CB-AFCB-B21945DFDC9B}"/>
    <cellStyle name="Normal 2 4 2 2 2 2 10" xfId="21338" xr:uid="{96570F6D-58BC-4E7F-88AC-AB781A6229F9}"/>
    <cellStyle name="Normal 2 4 2 2 2 2 10 2" xfId="21339" xr:uid="{19EC2292-00DE-484B-B3F1-7A319314AE07}"/>
    <cellStyle name="Normal 2 4 2 2 2 2 10 2 2" xfId="21340" xr:uid="{8FD84D27-272E-4A75-85AC-DB3572B4FFA0}"/>
    <cellStyle name="Normal 2 4 2 2 2 2 10 2 2 2" xfId="21341" xr:uid="{B310B5A8-08EA-4BB6-962C-593DFD305EC8}"/>
    <cellStyle name="Normal 2 4 2 2 2 2 10 3" xfId="21342" xr:uid="{59C94812-6B67-49D2-B4BE-809F47A1E8B6}"/>
    <cellStyle name="Normal 2 4 2 2 2 2 10 4" xfId="21343" xr:uid="{F7391975-FBB3-4DDD-B3F2-EE12822AA13D}"/>
    <cellStyle name="Normal 2 4 2 2 2 2 10 5" xfId="21344" xr:uid="{ADB52C43-206D-4AAB-B81D-8BCE1B031178}"/>
    <cellStyle name="Normal 2 4 2 2 2 2 10 6" xfId="21345" xr:uid="{D4822D62-08B7-4E01-B31B-0794798D53A1}"/>
    <cellStyle name="Normal 2 4 2 2 2 2 11" xfId="21346" xr:uid="{14F36DF3-0D00-4419-AA1F-D8BFC5051311}"/>
    <cellStyle name="Normal 2 4 2 2 2 2 11 2" xfId="21347" xr:uid="{7619CD0E-16BA-4700-BB38-4F2538BA1C5E}"/>
    <cellStyle name="Normal 2 4 2 2 2 2 11 2 2" xfId="21348" xr:uid="{260F15BF-AAE7-45EC-8E4C-EADE5C674CF8}"/>
    <cellStyle name="Normal 2 4 2 2 2 2 12" xfId="21349" xr:uid="{9E9DF848-3AB1-46AF-A3DC-AB9765916295}"/>
    <cellStyle name="Normal 2 4 2 2 2 2 13" xfId="21350" xr:uid="{0DBF983B-D508-4D01-8FEC-ECD2AA8518D9}"/>
    <cellStyle name="Normal 2 4 2 2 2 2 14" xfId="21351" xr:uid="{64B8ECD6-B613-418E-90F4-F4336A95C99C}"/>
    <cellStyle name="Normal 2 4 2 2 2 2 2" xfId="21352" xr:uid="{3809FC1F-E771-429C-B328-0FFE24D7D7B8}"/>
    <cellStyle name="Normal 2 4 2 2 2 2 2 10" xfId="21353" xr:uid="{A3346F16-60FA-49A8-8BE3-1CDACC1C91F5}"/>
    <cellStyle name="Normal 2 4 2 2 2 2 2 10 2" xfId="21354" xr:uid="{110CEEE8-961C-4716-A273-3AC205F84ACE}"/>
    <cellStyle name="Normal 2 4 2 2 2 2 2 10 2 2" xfId="21355" xr:uid="{3BCDA8F1-06B0-46C8-A822-1F666DC44CDE}"/>
    <cellStyle name="Normal 2 4 2 2 2 2 2 10 2 2 2" xfId="21356" xr:uid="{F47F0C7A-C0FF-4C01-A976-DC3303533501}"/>
    <cellStyle name="Normal 2 4 2 2 2 2 2 10 3" xfId="21357" xr:uid="{F46BF6EE-B17C-49E2-BC30-85350B9F96D7}"/>
    <cellStyle name="Normal 2 4 2 2 2 2 2 10 4" xfId="21358" xr:uid="{5446CD85-632D-4998-8231-AA4E790EF359}"/>
    <cellStyle name="Normal 2 4 2 2 2 2 2 10 5" xfId="21359" xr:uid="{FC178340-6F97-439C-8F0B-DBBD19D485CC}"/>
    <cellStyle name="Normal 2 4 2 2 2 2 2 10 6" xfId="21360" xr:uid="{547AB1F1-2CA3-49B6-A1C4-6A4FF6BD6DE6}"/>
    <cellStyle name="Normal 2 4 2 2 2 2 2 11" xfId="21361" xr:uid="{75AF7FF7-37BA-40A9-A3E9-50C42ED2B836}"/>
    <cellStyle name="Normal 2 4 2 2 2 2 2 11 2" xfId="21362" xr:uid="{48394547-76E4-467F-9E36-31780BBF6CD4}"/>
    <cellStyle name="Normal 2 4 2 2 2 2 2 11 2 2" xfId="21363" xr:uid="{49858591-61DB-475F-862B-CDF85C74C280}"/>
    <cellStyle name="Normal 2 4 2 2 2 2 2 12" xfId="21364" xr:uid="{8E68D8CF-1048-46D4-BEE9-A8F55A7E0263}"/>
    <cellStyle name="Normal 2 4 2 2 2 2 2 13" xfId="21365" xr:uid="{AFB0A617-151D-4CA7-9BB3-02C687713D37}"/>
    <cellStyle name="Normal 2 4 2 2 2 2 2 14" xfId="21366" xr:uid="{830C34FF-7014-4134-ACD2-2CF9AE20D9BF}"/>
    <cellStyle name="Normal 2 4 2 2 2 2 2 2" xfId="21367" xr:uid="{6C4748F2-315B-4979-A099-BE9FACA17B0C}"/>
    <cellStyle name="Normal 2 4 2 2 2 2 2 2 2" xfId="21368" xr:uid="{1F4AD2B3-DC77-4616-B96B-572C36D095CD}"/>
    <cellStyle name="Normal 2 4 2 2 2 2 2 2 2 2" xfId="21369" xr:uid="{FAFD97C5-5F65-40CE-AFDC-DF0C1ACB3A77}"/>
    <cellStyle name="Normal 2 4 2 2 2 2 2 2 2 2 2" xfId="21370" xr:uid="{5409248F-59EA-44E6-96CD-39D67C506E38}"/>
    <cellStyle name="Normal 2 4 2 2 2 2 2 2 2 2 2 2" xfId="21371" xr:uid="{963EE381-08A4-4465-8CB9-736F1AE415FE}"/>
    <cellStyle name="Normal 2 4 2 2 2 2 2 2 2 3" xfId="21372" xr:uid="{CD0700B2-963C-4E4B-B29F-AEC4D8263996}"/>
    <cellStyle name="Normal 2 4 2 2 2 2 2 2 2 4" xfId="21373" xr:uid="{847D1EB9-0E2F-4B0E-A315-591C94A5EB0B}"/>
    <cellStyle name="Normal 2 4 2 2 2 2 2 2 2 5" xfId="21374" xr:uid="{76173DF5-0650-4906-9EB3-D1C68A05C5DF}"/>
    <cellStyle name="Normal 2 4 2 2 2 2 2 2 2 6" xfId="21375" xr:uid="{EFF3486C-9847-49F8-BF89-EE0DDB1207FF}"/>
    <cellStyle name="Normal 2 4 2 2 2 2 2 2 3" xfId="21376" xr:uid="{BAF662B8-FBA6-48D6-8CD5-B7019511E71C}"/>
    <cellStyle name="Normal 2 4 2 2 2 2 2 2 4" xfId="21377" xr:uid="{7EBB076B-8C41-47F7-945F-C0923E56A6C0}"/>
    <cellStyle name="Normal 2 4 2 2 2 2 2 2 4 2" xfId="21378" xr:uid="{322590C7-5CE8-4218-8431-DAF0B3929689}"/>
    <cellStyle name="Normal 2 4 2 2 2 2 2 2 4 2 2" xfId="21379" xr:uid="{4D8B24E9-09C5-4FE3-9682-D05D015D7621}"/>
    <cellStyle name="Normal 2 4 2 2 2 2 2 2 5" xfId="21380" xr:uid="{99316C73-35E0-43E9-A79A-952FF2651D6A}"/>
    <cellStyle name="Normal 2 4 2 2 2 2 2 2 6" xfId="21381" xr:uid="{876BFFD3-CDAD-4DE4-A4E4-9FF77CE0A39C}"/>
    <cellStyle name="Normal 2 4 2 2 2 2 2 2 7" xfId="21382" xr:uid="{38971B58-631B-4ADD-A947-69C5B7A92E56}"/>
    <cellStyle name="Normal 2 4 2 2 2 2 2 3" xfId="21383" xr:uid="{05D43DBE-0692-4136-A425-0E9D7CBECD02}"/>
    <cellStyle name="Normal 2 4 2 2 2 2 2 4" xfId="21384" xr:uid="{75F1F292-CF8B-43C7-9A75-BB3DC6F34A71}"/>
    <cellStyle name="Normal 2 4 2 2 2 2 2 5" xfId="21385" xr:uid="{2310932E-3F10-43A5-BB58-4CB53B69004A}"/>
    <cellStyle name="Normal 2 4 2 2 2 2 2 6" xfId="21386" xr:uid="{792BE993-7614-4725-AEE4-61968BC0A20C}"/>
    <cellStyle name="Normal 2 4 2 2 2 2 2 7" xfId="21387" xr:uid="{32C7CD10-1811-4960-9714-0071C1DA0448}"/>
    <cellStyle name="Normal 2 4 2 2 2 2 2 8" xfId="21388" xr:uid="{B9A22385-F1E9-4414-B6A9-A0B19F13E251}"/>
    <cellStyle name="Normal 2 4 2 2 2 2 2 9" xfId="21389" xr:uid="{48DACBB1-015C-4260-890E-1F735C9B7B86}"/>
    <cellStyle name="Normal 2 4 2 2 2 2 3" xfId="21390" xr:uid="{073BE2E4-3DF3-4A0A-B3D7-E80B3FFD679E}"/>
    <cellStyle name="Normal 2 4 2 2 2 2 4" xfId="21391" xr:uid="{9F46152D-D7D1-417F-B3C8-843F6E097DCB}"/>
    <cellStyle name="Normal 2 4 2 2 2 2 5" xfId="21392" xr:uid="{F6BCBBF1-F055-4500-AA6F-FE914F8EE57B}"/>
    <cellStyle name="Normal 2 4 2 2 2 2 6" xfId="21393" xr:uid="{52D8D4F1-6792-4C8C-A296-2A1C1ED0479C}"/>
    <cellStyle name="Normal 2 4 2 2 2 2 7" xfId="21394" xr:uid="{950E240B-AF70-4D09-BA92-81A586732E28}"/>
    <cellStyle name="Normal 2 4 2 2 2 2 8" xfId="21395" xr:uid="{346E5844-AC21-422C-9331-4306A759C7D8}"/>
    <cellStyle name="Normal 2 4 2 2 2 2 9" xfId="21396" xr:uid="{89D89253-A524-4366-B7EC-6B1C2F2D833D}"/>
    <cellStyle name="Normal 2 4 2 2 2 20" xfId="21397" xr:uid="{FA0BE57D-B838-4C70-A049-EA844B2CA781}"/>
    <cellStyle name="Normal 2 4 2 2 2 21" xfId="21398" xr:uid="{1F0F619E-0FCB-4E80-8EF4-EBB584640B26}"/>
    <cellStyle name="Normal 2 4 2 2 2 22" xfId="21399" xr:uid="{976416D8-D3CA-4C19-83D3-654B0CF4D680}"/>
    <cellStyle name="Normal 2 4 2 2 2 3" xfId="21400" xr:uid="{3A2EEBBE-D088-4880-A739-A8261CE00D87}"/>
    <cellStyle name="Normal 2 4 2 2 2 4" xfId="21401" xr:uid="{43B3E675-98E2-420B-8491-9368B5D52B83}"/>
    <cellStyle name="Normal 2 4 2 2 2 5" xfId="21402" xr:uid="{358A9CE7-DC2F-42F1-98FD-0B8081FE4F99}"/>
    <cellStyle name="Normal 2 4 2 2 2 6" xfId="21403" xr:uid="{3967EA42-93E8-4273-8D64-0DFD684231C6}"/>
    <cellStyle name="Normal 2 4 2 2 2 7" xfId="21404" xr:uid="{54510207-1856-4803-8A35-C261B5C3873E}"/>
    <cellStyle name="Normal 2 4 2 2 2 8" xfId="21405" xr:uid="{892C782B-01EF-456C-B3D6-89829A5EB8A8}"/>
    <cellStyle name="Normal 2 4 2 2 2 9" xfId="21406" xr:uid="{5525152A-4218-42FF-A28A-5ACADC5F2BEE}"/>
    <cellStyle name="Normal 2 4 2 2 20" xfId="21407" xr:uid="{882B7A6A-825C-4085-A826-7A787FED45C9}"/>
    <cellStyle name="Normal 2 4 2 2 21" xfId="21408" xr:uid="{5588D37F-ECA2-41E9-BA1C-57077ED729F1}"/>
    <cellStyle name="Normal 2 4 2 2 22" xfId="21409" xr:uid="{EAC2D0BF-B77A-41FA-A6BF-FDDCF6ACAE31}"/>
    <cellStyle name="Normal 2 4 2 2 3" xfId="21410" xr:uid="{11C41734-8447-4EAE-BD4C-71252A94EE47}"/>
    <cellStyle name="Normal 2 4 2 2 3 2" xfId="21411" xr:uid="{6C985946-AD5C-4357-8C78-624EF595A229}"/>
    <cellStyle name="Normal 2 4 2 2 3 2 2" xfId="21412" xr:uid="{0B4BCE6D-51FF-44C2-895B-7675654F0AA9}"/>
    <cellStyle name="Normal 2 4 2 2 3 2 3" xfId="21413" xr:uid="{93182F46-DA5C-4E45-A842-25F30D2A96E1}"/>
    <cellStyle name="Normal 2 4 2 2 3 2 4" xfId="21414" xr:uid="{04DC0518-3DCF-40B5-B47E-99B00F5588CF}"/>
    <cellStyle name="Normal 2 4 2 2 3 2 5" xfId="21415" xr:uid="{2D8A02DA-B5C9-442F-B84C-88C12C35502F}"/>
    <cellStyle name="Normal 2 4 2 2 3 2 6" xfId="21416" xr:uid="{DE89DB3B-19BD-47EA-B6E8-7B9C8836D08F}"/>
    <cellStyle name="Normal 2 4 2 2 3 2 7" xfId="21417" xr:uid="{1BBA28A4-4A3F-440A-BB4A-493A3AF575EC}"/>
    <cellStyle name="Normal 2 4 2 2 3 2 8" xfId="21418" xr:uid="{B8B0CCA1-6FDA-4FC7-985E-1A6D6BBAF433}"/>
    <cellStyle name="Normal 2 4 2 2 3 2 9" xfId="21419" xr:uid="{75986869-569A-43F8-A0BE-8CDA8C7DBBA4}"/>
    <cellStyle name="Normal 2 4 2 2 3 3" xfId="21420" xr:uid="{C4BF1259-CDDB-4935-A880-1FCB9E79330D}"/>
    <cellStyle name="Normal 2 4 2 2 3 4" xfId="21421" xr:uid="{BFC47F23-5C25-456C-BF9D-95327A764E0F}"/>
    <cellStyle name="Normal 2 4 2 2 3 5" xfId="21422" xr:uid="{B2C83EAC-34ED-4F82-93D1-8896FB6ED405}"/>
    <cellStyle name="Normal 2 4 2 2 3 6" xfId="21423" xr:uid="{132A479B-FDA6-4874-83D5-260DCFC9CB19}"/>
    <cellStyle name="Normal 2 4 2 2 3 7" xfId="21424" xr:uid="{B6E471DF-F9AE-4BC0-A615-BAB956FD21CC}"/>
    <cellStyle name="Normal 2 4 2 2 3 8" xfId="21425" xr:uid="{660AC642-60A6-4922-8DE5-1FEB0AF6E551}"/>
    <cellStyle name="Normal 2 4 2 2 3 9" xfId="21426" xr:uid="{3EC0ADF3-0B54-4DDD-A094-6921009B68B2}"/>
    <cellStyle name="Normal 2 4 2 2 4" xfId="21427" xr:uid="{2590CEB9-5787-4E22-A363-0F4FAD861E4B}"/>
    <cellStyle name="Normal 2 4 2 2 5" xfId="21428" xr:uid="{5E1DED45-91F2-4C19-AF8F-8D4059F77C3B}"/>
    <cellStyle name="Normal 2 4 2 2 6" xfId="21429" xr:uid="{AEF3D5C6-6449-4951-910E-6193EFEC0FE6}"/>
    <cellStyle name="Normal 2 4 2 2 7" xfId="21430" xr:uid="{9A0131C8-F425-4785-934F-B430800E1B5F}"/>
    <cellStyle name="Normal 2 4 2 2 8" xfId="21431" xr:uid="{1972B447-C31E-40FB-A9F3-60C51359C563}"/>
    <cellStyle name="Normal 2 4 2 2 9" xfId="21432" xr:uid="{47E42757-37F7-41FA-9243-8C597E2606B9}"/>
    <cellStyle name="Normal 2 4 2 20" xfId="21433" xr:uid="{3CF94F70-EAAD-4F74-AC5F-9EC9AF01D468}"/>
    <cellStyle name="Normal 2 4 2 21" xfId="21434" xr:uid="{B2A180EF-78AE-4D0F-B2FA-B77BA313ECE1}"/>
    <cellStyle name="Normal 2 4 2 22" xfId="21435" xr:uid="{60D5DF9D-B353-4A50-84B3-2CBB477E0F74}"/>
    <cellStyle name="Normal 2 4 2 23" xfId="21436" xr:uid="{5977BED2-10B6-47C8-B7AB-B2A181C267E5}"/>
    <cellStyle name="Normal 2 4 2 24" xfId="21437" xr:uid="{9EE33A18-CC46-4424-8DA1-59AF363D15FD}"/>
    <cellStyle name="Normal 2 4 2 25" xfId="21438" xr:uid="{1D3DBC51-20E1-4E8A-8BBB-20C0670E2148}"/>
    <cellStyle name="Normal 2 4 2 26" xfId="21439" xr:uid="{FAB28A89-358E-4DC7-873B-654D59684175}"/>
    <cellStyle name="Normal 2 4 2 27" xfId="21440" xr:uid="{12487F6D-2C86-4957-9117-26475A654B34}"/>
    <cellStyle name="Normal 2 4 2 28" xfId="21441" xr:uid="{BAD26350-021A-437B-AEB5-46438A43B612}"/>
    <cellStyle name="Normal 2 4 2 28 2" xfId="21442" xr:uid="{4E632A59-B780-483F-B5DB-96833ED3044F}"/>
    <cellStyle name="Normal 2 4 2 28 2 2" xfId="21443" xr:uid="{AD5E6ECF-7CA8-4E8E-82F2-527C0CEB48CD}"/>
    <cellStyle name="Normal 2 4 2 28 2 2 2" xfId="21444" xr:uid="{4D48736C-35B8-4AAD-93E4-01E862700149}"/>
    <cellStyle name="Normal 2 4 2 28 3" xfId="21445" xr:uid="{8B36BB6D-F8C5-4EB7-AE5D-2B8345F9B5A3}"/>
    <cellStyle name="Normal 2 4 2 28 4" xfId="21446" xr:uid="{33F5A009-F80C-481B-B40A-9C92B63C9770}"/>
    <cellStyle name="Normal 2 4 2 28 5" xfId="21447" xr:uid="{A96DE555-72DF-4E56-BAF3-8D2B3E249778}"/>
    <cellStyle name="Normal 2 4 2 28 6" xfId="21448" xr:uid="{54D9AAD8-3079-4B29-8AB6-C76F9D921DFA}"/>
    <cellStyle name="Normal 2 4 2 29" xfId="21449" xr:uid="{CED826BA-6C6F-46F2-8482-B818068BE765}"/>
    <cellStyle name="Normal 2 4 2 29 2" xfId="21450" xr:uid="{5BF5CFB8-BD67-47EC-8B1B-A3484758DD61}"/>
    <cellStyle name="Normal 2 4 2 29 2 2" xfId="21451" xr:uid="{AAE03336-0942-4885-859C-6CAA03F972A4}"/>
    <cellStyle name="Normal 2 4 2 3" xfId="21452" xr:uid="{308BB6CC-6472-4860-885F-763A86CD79A8}"/>
    <cellStyle name="Normal 2 4 2 30" xfId="21453" xr:uid="{F3C35CEC-3592-4130-828B-7FFD97D06235}"/>
    <cellStyle name="Normal 2 4 2 31" xfId="21454" xr:uid="{5A489DE7-A415-47AA-9FBD-CD9E9F2D6444}"/>
    <cellStyle name="Normal 2 4 2 32" xfId="21455" xr:uid="{6A87AF57-6BC3-4D7E-9AC7-1380FBA3F55C}"/>
    <cellStyle name="Normal 2 4 2 33" xfId="21456" xr:uid="{A665D566-2DCE-4548-9821-BF2DE88BB79D}"/>
    <cellStyle name="Normal 2 4 2 4" xfId="21457" xr:uid="{454CA200-A734-4E6D-8017-7EFAA28D579F}"/>
    <cellStyle name="Normal 2 4 2 5" xfId="21458" xr:uid="{1A3F972F-AD78-4565-9CC6-F576915FBCED}"/>
    <cellStyle name="Normal 2 4 2 6" xfId="21459" xr:uid="{94AE137C-CFA7-4AF7-B694-E92BC7E69C88}"/>
    <cellStyle name="Normal 2 4 2 7" xfId="21460" xr:uid="{B606E713-BAAC-4925-AFBE-711861C7BC2A}"/>
    <cellStyle name="Normal 2 4 2 8" xfId="21461" xr:uid="{006EAF7A-4974-46B4-A0B1-5587048E3E14}"/>
    <cellStyle name="Normal 2 4 2 9" xfId="21462" xr:uid="{931FB13A-5BE1-4BD1-8502-18F540735EC8}"/>
    <cellStyle name="Normal 2 4 20" xfId="21463" xr:uid="{A3807A35-A25F-4552-9008-A1539CD7F836}"/>
    <cellStyle name="Normal 2 4 21" xfId="21464" xr:uid="{F05F4FF8-6DC6-4EE0-8890-A8192CC97F01}"/>
    <cellStyle name="Normal 2 4 22" xfId="21465" xr:uid="{F1735931-FE6F-428E-8FE3-BA0D578D9D33}"/>
    <cellStyle name="Normal 2 4 23" xfId="21466" xr:uid="{0AB9E929-78B2-4A39-B89D-599D29D3BC15}"/>
    <cellStyle name="Normal 2 4 24" xfId="21467" xr:uid="{27636C78-3C25-4D56-8FC3-B0249B1EC9D6}"/>
    <cellStyle name="Normal 2 4 25" xfId="21468" xr:uid="{1C806A5E-13B8-4921-ABDF-D260805C8DC5}"/>
    <cellStyle name="Normal 2 4 26" xfId="21469" xr:uid="{CE836F89-A8A8-40F2-B289-D8A881E24FC6}"/>
    <cellStyle name="Normal 2 4 27" xfId="21470" xr:uid="{F42D43A0-529D-40B2-AE73-F6642C92764C}"/>
    <cellStyle name="Normal 2 4 28" xfId="21471" xr:uid="{459E10EB-29C4-46AB-87A8-F1F2C685B645}"/>
    <cellStyle name="Normal 2 4 28 2" xfId="21472" xr:uid="{FF4D71F2-CC21-4BCC-AB7E-56DD2BE60ED6}"/>
    <cellStyle name="Normal 2 4 28 2 2" xfId="21473" xr:uid="{E47CFD73-9909-4B44-BDE9-21B22B8715AB}"/>
    <cellStyle name="Normal 2 4 28 2 2 2" xfId="21474" xr:uid="{A024F007-0F18-4384-A02C-311F17A1E596}"/>
    <cellStyle name="Normal 2 4 28 3" xfId="21475" xr:uid="{C542844D-5B15-411F-823D-EA67B7AD6B48}"/>
    <cellStyle name="Normal 2 4 28 4" xfId="21476" xr:uid="{503C4AE9-1B5A-47F4-8B80-14AB5278FE04}"/>
    <cellStyle name="Normal 2 4 28 5" xfId="21477" xr:uid="{B9A036EC-AD66-4D0F-921F-6AB925633452}"/>
    <cellStyle name="Normal 2 4 28 6" xfId="21478" xr:uid="{29398BE8-723E-49A5-B98E-3EC6FDBF8738}"/>
    <cellStyle name="Normal 2 4 29" xfId="21479" xr:uid="{BFE9877D-D28E-4723-9CB9-40F3774AE3EC}"/>
    <cellStyle name="Normal 2 4 29 2" xfId="21480" xr:uid="{AC9E55F5-65AC-49AC-8E2A-27D8406ECC60}"/>
    <cellStyle name="Normal 2 4 29 2 2" xfId="21481" xr:uid="{D802B0D0-F3EC-45A9-9FF6-B14D00ACDE60}"/>
    <cellStyle name="Normal 2 4 3" xfId="21482" xr:uid="{C159280A-D5EF-4DAA-AEB4-D720BF14A719}"/>
    <cellStyle name="Normal 2 4 3 10" xfId="21483" xr:uid="{0375DDE8-4DEA-410C-A7F4-569308F5B0BA}"/>
    <cellStyle name="Normal 2 4 3 11" xfId="21484" xr:uid="{EF3317D8-90C7-4BA8-BF7E-7CF355ECF201}"/>
    <cellStyle name="Normal 2 4 3 12" xfId="21485" xr:uid="{AC4E7314-45A6-424E-A36A-CE02476DC474}"/>
    <cellStyle name="Normal 2 4 3 13" xfId="21486" xr:uid="{22F52364-00CA-4F62-ADD9-96B75409D905}"/>
    <cellStyle name="Normal 2 4 3 14" xfId="21487" xr:uid="{8EEA6BD1-F371-4303-8C06-938757889EA2}"/>
    <cellStyle name="Normal 2 4 3 15" xfId="21488" xr:uid="{3F31A9A3-39F6-4A15-86A2-F697A1B597C0}"/>
    <cellStyle name="Normal 2 4 3 16" xfId="21489" xr:uid="{A7D88044-7CDE-4811-9E33-0A8717DFEAE1}"/>
    <cellStyle name="Normal 2 4 3 17" xfId="21490" xr:uid="{C58EB8EE-E527-479B-9176-225155B894C3}"/>
    <cellStyle name="Normal 2 4 3 2" xfId="21491" xr:uid="{12A9F70C-BA87-4061-9942-4322CA52A31B}"/>
    <cellStyle name="Normal 2 4 3 2 10" xfId="21492" xr:uid="{E6D022A6-D6CD-4303-A712-2F155902FF17}"/>
    <cellStyle name="Normal 2 4 3 2 11" xfId="21493" xr:uid="{AEEF0A76-91A9-4CBD-BDC7-1519B64108EB}"/>
    <cellStyle name="Normal 2 4 3 2 12" xfId="21494" xr:uid="{C463CA99-A230-4734-9997-6CDA2D6B05B2}"/>
    <cellStyle name="Normal 2 4 3 2 13" xfId="21495" xr:uid="{5ECA92A3-3E77-47EF-9B66-E4E491708B15}"/>
    <cellStyle name="Normal 2 4 3 2 14" xfId="21496" xr:uid="{2A4571DE-07D3-4330-8D68-244D1C5EE9D7}"/>
    <cellStyle name="Normal 2 4 3 2 15" xfId="21497" xr:uid="{2A05382C-5ED9-4D09-91D7-5F14D3A21ACB}"/>
    <cellStyle name="Normal 2 4 3 2 16" xfId="21498" xr:uid="{D01D19E4-3244-4207-91FF-FB56A77D63E5}"/>
    <cellStyle name="Normal 2 4 3 2 17" xfId="21499" xr:uid="{00A27F82-4423-4501-A643-EEFC78C3EC1F}"/>
    <cellStyle name="Normal 2 4 3 2 2" xfId="21500" xr:uid="{8372D62A-4638-4F53-A98F-A676AD0FD68A}"/>
    <cellStyle name="Normal 2 4 3 2 2 2" xfId="21501" xr:uid="{12091048-B8CF-4371-9C93-67CDC0AEAF7A}"/>
    <cellStyle name="Normal 2 4 3 2 2 2 2" xfId="21502" xr:uid="{30481A0B-80FE-4E90-8C8A-E2ED1DF039CA}"/>
    <cellStyle name="Normal 2 4 3 2 2 2 3" xfId="21503" xr:uid="{3C823720-0EDB-4511-AF7E-375D5BAD41FA}"/>
    <cellStyle name="Normal 2 4 3 2 2 2 4" xfId="21504" xr:uid="{F68EFDC5-0DEB-45F2-BC82-D6DCBE7CCFA7}"/>
    <cellStyle name="Normal 2 4 3 2 2 2 5" xfId="21505" xr:uid="{275FC3EE-5111-4EA3-A658-BBE24CBFB905}"/>
    <cellStyle name="Normal 2 4 3 2 2 2 6" xfId="21506" xr:uid="{B0B367B3-8BB4-41B8-8B95-77AD59389CB3}"/>
    <cellStyle name="Normal 2 4 3 2 2 2 7" xfId="21507" xr:uid="{67B62A1D-D9D4-49E3-BF4C-E4A73D323EBA}"/>
    <cellStyle name="Normal 2 4 3 2 2 2 8" xfId="21508" xr:uid="{E6A56AAF-D509-40D8-99CB-E8AE5D7FC505}"/>
    <cellStyle name="Normal 2 4 3 2 2 2 9" xfId="21509" xr:uid="{936FBA60-C969-4D6D-B581-57BB92B09994}"/>
    <cellStyle name="Normal 2 4 3 2 2 3" xfId="21510" xr:uid="{7975F8FD-9574-41E3-9795-0623DC51648B}"/>
    <cellStyle name="Normal 2 4 3 2 2 4" xfId="21511" xr:uid="{039BE59C-C454-4D4B-A487-57EA926D4AD1}"/>
    <cellStyle name="Normal 2 4 3 2 2 5" xfId="21512" xr:uid="{CE55F9F6-3301-4C83-A288-99F3244F99FD}"/>
    <cellStyle name="Normal 2 4 3 2 2 6" xfId="21513" xr:uid="{19D0FA41-25BF-4A71-B51F-6CAE72EF0D02}"/>
    <cellStyle name="Normal 2 4 3 2 2 7" xfId="21514" xr:uid="{7A355E12-FA39-4F31-92B8-E2C2CA32DD1E}"/>
    <cellStyle name="Normal 2 4 3 2 2 8" xfId="21515" xr:uid="{BF2E8D9B-35BB-4456-84EA-3C940763FBE6}"/>
    <cellStyle name="Normal 2 4 3 2 2 9" xfId="21516" xr:uid="{15A00D10-CB4C-42DE-9F7C-329DC06783CA}"/>
    <cellStyle name="Normal 2 4 3 2 3" xfId="21517" xr:uid="{C985A9D6-AB45-4245-89D5-9C1D962AE974}"/>
    <cellStyle name="Normal 2 4 3 2 4" xfId="21518" xr:uid="{D1C855A2-B3DA-4C72-829D-356ACACED5DB}"/>
    <cellStyle name="Normal 2 4 3 2 5" xfId="21519" xr:uid="{B712C603-D891-4CC0-9219-08A0A62AE9C4}"/>
    <cellStyle name="Normal 2 4 3 2 6" xfId="21520" xr:uid="{1EFDC199-E076-4019-9D3C-F3522795678E}"/>
    <cellStyle name="Normal 2 4 3 2 7" xfId="21521" xr:uid="{ED86FE7D-227B-4EF1-B91E-70861160AD5F}"/>
    <cellStyle name="Normal 2 4 3 2 8" xfId="21522" xr:uid="{F2AEFF32-FC1B-49BF-A22F-0100ED921B5D}"/>
    <cellStyle name="Normal 2 4 3 2 9" xfId="21523" xr:uid="{9E85F5CB-574B-41AD-86EB-359FCE43BB3F}"/>
    <cellStyle name="Normal 2 4 3 3" xfId="21524" xr:uid="{17BFE4C5-4C3B-4186-BD0C-52388C197D6D}"/>
    <cellStyle name="Normal 2 4 3 3 2" xfId="21525" xr:uid="{11E816CA-F6D5-4BD9-A386-9EE992E16168}"/>
    <cellStyle name="Normal 2 4 3 3 2 2" xfId="21526" xr:uid="{466B2A24-2E28-444B-83D4-89911FA688EE}"/>
    <cellStyle name="Normal 2 4 3 3 2 3" xfId="21527" xr:uid="{40E8B91B-9C3B-4381-8ACC-4C4D6ED9A620}"/>
    <cellStyle name="Normal 2 4 3 3 2 4" xfId="21528" xr:uid="{89E35974-0D50-4FF4-9BBC-0D824559DC5C}"/>
    <cellStyle name="Normal 2 4 3 3 2 5" xfId="21529" xr:uid="{C4D9503F-A30F-4C78-90B2-2A74D2D0DC60}"/>
    <cellStyle name="Normal 2 4 3 3 2 6" xfId="21530" xr:uid="{93236597-5C1A-4054-9F63-6575BF8579BE}"/>
    <cellStyle name="Normal 2 4 3 3 2 7" xfId="21531" xr:uid="{2071137F-A4AC-43D0-ABA1-ACFB72782304}"/>
    <cellStyle name="Normal 2 4 3 3 2 8" xfId="21532" xr:uid="{AA57FD43-7174-4C3A-B86F-39CF10F7EFB3}"/>
    <cellStyle name="Normal 2 4 3 3 2 9" xfId="21533" xr:uid="{25DB3207-C677-419E-85FC-573A1A007C20}"/>
    <cellStyle name="Normal 2 4 3 3 3" xfId="21534" xr:uid="{C857792E-3ED2-4806-90E1-CD0C349FD765}"/>
    <cellStyle name="Normal 2 4 3 3 4" xfId="21535" xr:uid="{596B2BFE-F009-4ABD-9F27-3F68022490D5}"/>
    <cellStyle name="Normal 2 4 3 3 5" xfId="21536" xr:uid="{867DE504-9A44-4F34-AAD7-35C9AA53A450}"/>
    <cellStyle name="Normal 2 4 3 3 6" xfId="21537" xr:uid="{C5F6DD39-1B4C-463A-B0DD-8C70F0FF11EA}"/>
    <cellStyle name="Normal 2 4 3 3 7" xfId="21538" xr:uid="{49FAE62E-C56A-4553-B61A-1750B1CCB8B1}"/>
    <cellStyle name="Normal 2 4 3 3 8" xfId="21539" xr:uid="{ACDAE12F-8A87-4ACB-A30E-0E60ED4C36C7}"/>
    <cellStyle name="Normal 2 4 3 3 9" xfId="21540" xr:uid="{BF021814-9EE4-40B3-AC76-CD95699FF78C}"/>
    <cellStyle name="Normal 2 4 3 4" xfId="21541" xr:uid="{8F2B3A03-569B-4A3E-8F50-BA037F7E36BD}"/>
    <cellStyle name="Normal 2 4 3 5" xfId="21542" xr:uid="{6A69B8C9-C6EA-4EAA-876E-CCB4CF8529F9}"/>
    <cellStyle name="Normal 2 4 3 6" xfId="21543" xr:uid="{140B3C4B-5DEC-4F57-ADC8-16D335CDE344}"/>
    <cellStyle name="Normal 2 4 3 7" xfId="21544" xr:uid="{7E2AFF36-F008-4E99-B034-017E22127916}"/>
    <cellStyle name="Normal 2 4 3 8" xfId="21545" xr:uid="{EFEB8193-7813-4E75-99CA-D332C4A7AB0E}"/>
    <cellStyle name="Normal 2 4 3 9" xfId="21546" xr:uid="{3198B790-0DA4-4255-9B0D-0AE727F25110}"/>
    <cellStyle name="Normal 2 4 30" xfId="21547" xr:uid="{A703C853-23B4-460C-895D-BBC2ADF96CDD}"/>
    <cellStyle name="Normal 2 4 31" xfId="21548" xr:uid="{27E794D3-4DA8-4F42-834A-73DA0E716F1D}"/>
    <cellStyle name="Normal 2 4 32" xfId="21549" xr:uid="{3511DED6-8271-4D76-9823-369DAFC75EDB}"/>
    <cellStyle name="Normal 2 4 33" xfId="21550" xr:uid="{1A06044F-2368-417A-A230-84D714E0648F}"/>
    <cellStyle name="Normal 2 4 34" xfId="21551" xr:uid="{6222B1F6-25F7-4E04-89CA-F201D46978D5}"/>
    <cellStyle name="Normal 2 4 35" xfId="21552" xr:uid="{AE977270-5681-4206-987F-3B3A6C153F90}"/>
    <cellStyle name="Normal 2 4 36" xfId="21553" xr:uid="{CCE4A95D-2DC4-4AFC-8659-E70096F01DD6}"/>
    <cellStyle name="Normal 2 4 37" xfId="21243" xr:uid="{4BC5CA5F-8AA0-48F7-A1B4-286ABBC99C4D}"/>
    <cellStyle name="Normal 2 4 4" xfId="21554" xr:uid="{F92F6749-E067-4D96-BD69-626BA0229562}"/>
    <cellStyle name="Normal 2 4 5" xfId="21555" xr:uid="{53C80916-AC68-47E0-9153-A7111D050C2E}"/>
    <cellStyle name="Normal 2 4 6" xfId="21556" xr:uid="{C6845491-7956-4C5B-931E-33935D98F558}"/>
    <cellStyle name="Normal 2 4 7" xfId="21557" xr:uid="{8D7C6504-1B0E-41A8-9C88-56416FAAD0BE}"/>
    <cellStyle name="Normal 2 4 8" xfId="21558" xr:uid="{A7C0132C-7F08-4A8A-A34C-BA515E328249}"/>
    <cellStyle name="Normal 2 4 9" xfId="21559" xr:uid="{6DFDD14A-05FF-4FEF-A653-72A6739FC5F6}"/>
    <cellStyle name="Normal 2 40" xfId="21560" xr:uid="{19E58E36-9FE1-4BB5-9A67-2C1043F20F3E}"/>
    <cellStyle name="Normal 2 40 2" xfId="21561" xr:uid="{BE45387D-6CC9-47B7-A9E7-D31D6A0B9760}"/>
    <cellStyle name="Normal 2 41" xfId="21562" xr:uid="{E4B4958D-6676-4C8B-994C-C02BCEFFF5E9}"/>
    <cellStyle name="Normal 2 41 10" xfId="21563" xr:uid="{00ECB368-5D10-42DC-B2B0-70ED1C750F91}"/>
    <cellStyle name="Normal 2 41 11" xfId="21564" xr:uid="{14B36735-D091-4C84-8624-F3A773074035}"/>
    <cellStyle name="Normal 2 41 12" xfId="21565" xr:uid="{F49129DE-DAF0-4148-AFB5-D4343CF669B5}"/>
    <cellStyle name="Normal 2 41 13" xfId="21566" xr:uid="{BFFEF479-6047-496F-977D-55EC5DD85AB9}"/>
    <cellStyle name="Normal 2 41 14" xfId="21567" xr:uid="{FF2F20AE-9964-4C70-BF5C-BB22F3C25F93}"/>
    <cellStyle name="Normal 2 41 15" xfId="21568" xr:uid="{893F23F1-0F39-4D4E-ABFA-C41781A6FD51}"/>
    <cellStyle name="Normal 2 41 16" xfId="21569" xr:uid="{347D18E7-98F0-4EDD-B2C6-034861E6D84C}"/>
    <cellStyle name="Normal 2 41 17" xfId="21570" xr:uid="{F388DAE3-C560-4685-BFA4-7E76532061F1}"/>
    <cellStyle name="Normal 2 41 18" xfId="21571" xr:uid="{EC00EC2B-268E-47ED-97EC-99E4FC0394F9}"/>
    <cellStyle name="Normal 2 41 2" xfId="21572" xr:uid="{BD8A8ED0-CA42-47B7-912F-0DA0B077EA5C}"/>
    <cellStyle name="Normal 2 41 2 10" xfId="21573" xr:uid="{1E7419D8-BAC2-48FB-A816-A1B706321327}"/>
    <cellStyle name="Normal 2 41 2 11" xfId="21574" xr:uid="{1200D958-CEE3-4C9F-A665-F2D55951087D}"/>
    <cellStyle name="Normal 2 41 2 12" xfId="21575" xr:uid="{1E20CA2F-750B-4F21-9F90-89E0958AE710}"/>
    <cellStyle name="Normal 2 41 2 13" xfId="21576" xr:uid="{8A9FE20A-4AB0-44C1-90DB-53083A59C739}"/>
    <cellStyle name="Normal 2 41 2 14" xfId="21577" xr:uid="{79CE836C-7707-49D6-B990-F270437CDB4F}"/>
    <cellStyle name="Normal 2 41 2 15" xfId="21578" xr:uid="{C889966C-5BC7-49AE-BCF2-8DA0B02628AF}"/>
    <cellStyle name="Normal 2 41 2 16" xfId="21579" xr:uid="{E299E978-EB3B-4A4C-A825-94636230C2EA}"/>
    <cellStyle name="Normal 2 41 2 17" xfId="21580" xr:uid="{D8C02FB3-FAA3-4101-8D5F-F3A06BEE39ED}"/>
    <cellStyle name="Normal 2 41 2 2" xfId="21581" xr:uid="{D9CDDB56-0FF6-4729-8999-A97EB06217A3}"/>
    <cellStyle name="Normal 2 41 2 2 2" xfId="21582" xr:uid="{D6585B5E-2163-4310-9765-A64F8233170A}"/>
    <cellStyle name="Normal 2 41 2 2 2 2" xfId="21583" xr:uid="{8F39AD7B-FB63-4D44-B488-DD7728A67687}"/>
    <cellStyle name="Normal 2 41 2 2 2 3" xfId="21584" xr:uid="{E659E606-DA3D-4DD6-A567-664842815F7E}"/>
    <cellStyle name="Normal 2 41 2 2 2 4" xfId="21585" xr:uid="{4A172B18-4C86-4218-A81E-486AFD3533A1}"/>
    <cellStyle name="Normal 2 41 2 2 2 5" xfId="21586" xr:uid="{5F65F73A-4897-4582-A8C1-E46857862D25}"/>
    <cellStyle name="Normal 2 41 2 2 2 6" xfId="21587" xr:uid="{B6CBA626-0621-402A-BE05-BD47E5BE58F8}"/>
    <cellStyle name="Normal 2 41 2 2 2 7" xfId="21588" xr:uid="{D68E7F3C-D6D9-47D2-9449-2A9E70D9355F}"/>
    <cellStyle name="Normal 2 41 2 2 2 8" xfId="21589" xr:uid="{6B976669-E5A4-41EA-9D50-885FCD4E8297}"/>
    <cellStyle name="Normal 2 41 2 2 2 9" xfId="21590" xr:uid="{B9521EDA-8C98-45FB-AE55-095B1654FC09}"/>
    <cellStyle name="Normal 2 41 2 2 3" xfId="21591" xr:uid="{7B6B8D44-981C-4B86-A3AE-A12A9C1C0D90}"/>
    <cellStyle name="Normal 2 41 2 2 4" xfId="21592" xr:uid="{29D2A6A0-7566-48E3-964F-81F1C01ACFBD}"/>
    <cellStyle name="Normal 2 41 2 2 5" xfId="21593" xr:uid="{2E038DFD-63F1-4865-B196-B05602A8EF63}"/>
    <cellStyle name="Normal 2 41 2 2 6" xfId="21594" xr:uid="{1B11E07B-873A-4717-B7F6-8D848EA85C58}"/>
    <cellStyle name="Normal 2 41 2 2 7" xfId="21595" xr:uid="{3BD789C5-AEA1-4796-9DB4-4B8E728387D9}"/>
    <cellStyle name="Normal 2 41 2 2 8" xfId="21596" xr:uid="{CEACDACA-6A39-41E1-82A4-FB68C112D4E1}"/>
    <cellStyle name="Normal 2 41 2 2 9" xfId="21597" xr:uid="{A4E11CC3-E451-4CD7-84E9-98C4F96E4DBD}"/>
    <cellStyle name="Normal 2 41 2 3" xfId="21598" xr:uid="{DE3F9FDB-75EB-4A45-8EB9-D2C350A9BAAA}"/>
    <cellStyle name="Normal 2 41 2 4" xfId="21599" xr:uid="{97EBF4DA-420C-4555-B42B-14659DB5FE38}"/>
    <cellStyle name="Normal 2 41 2 5" xfId="21600" xr:uid="{4B271EBD-0DF8-43C4-BEFE-45D712745FAA}"/>
    <cellStyle name="Normal 2 41 2 6" xfId="21601" xr:uid="{E1316C26-72F8-4FAF-B8D9-080EF77DDE28}"/>
    <cellStyle name="Normal 2 41 2 7" xfId="21602" xr:uid="{EA75DDB9-2495-43F6-ABAD-90DA9EEDBCAB}"/>
    <cellStyle name="Normal 2 41 2 8" xfId="21603" xr:uid="{D0855BE7-FBE9-48DF-86BD-041EA745B6F5}"/>
    <cellStyle name="Normal 2 41 2 9" xfId="21604" xr:uid="{1CA6D577-9950-4BA6-9F54-03E6D1980597}"/>
    <cellStyle name="Normal 2 41 3" xfId="21605" xr:uid="{78162273-BF9A-443A-88A3-15D308968C19}"/>
    <cellStyle name="Normal 2 41 3 2" xfId="21606" xr:uid="{E13A8C33-E95E-4DA4-AA1E-EDD0FA32F01D}"/>
    <cellStyle name="Normal 2 41 3 2 2" xfId="21607" xr:uid="{42685652-713B-4408-B571-1E37931A6D32}"/>
    <cellStyle name="Normal 2 41 3 2 3" xfId="21608" xr:uid="{76030620-1B6E-4ABC-9069-17E1DCB6BC38}"/>
    <cellStyle name="Normal 2 41 3 2 4" xfId="21609" xr:uid="{04C11216-EEBE-484B-AA66-1E9609919131}"/>
    <cellStyle name="Normal 2 41 3 2 5" xfId="21610" xr:uid="{CDCE60F4-97C0-4126-A753-6390A47D9786}"/>
    <cellStyle name="Normal 2 41 3 2 6" xfId="21611" xr:uid="{006CB54B-0E9B-44AD-8536-86E170BE1474}"/>
    <cellStyle name="Normal 2 41 3 2 7" xfId="21612" xr:uid="{43D5F620-7ADD-4D41-AE2B-AB8CF91BF729}"/>
    <cellStyle name="Normal 2 41 3 2 8" xfId="21613" xr:uid="{8B811DA3-BA5B-424A-BA1A-7B4F5FAD4BB6}"/>
    <cellStyle name="Normal 2 41 3 2 9" xfId="21614" xr:uid="{D1399F39-EAB3-46F1-8844-F1F4C96C28E1}"/>
    <cellStyle name="Normal 2 41 3 3" xfId="21615" xr:uid="{EFE80180-23A5-4282-B746-D53585252A10}"/>
    <cellStyle name="Normal 2 41 3 4" xfId="21616" xr:uid="{4D2B5CCD-C4C3-430D-A9B1-D87091174D6F}"/>
    <cellStyle name="Normal 2 41 3 5" xfId="21617" xr:uid="{E8649EF1-20A3-4700-9B03-665A87F9E2DF}"/>
    <cellStyle name="Normal 2 41 3 6" xfId="21618" xr:uid="{6AE38E43-144F-43CC-ADA5-81E110B68855}"/>
    <cellStyle name="Normal 2 41 3 7" xfId="21619" xr:uid="{33AB0FD5-0D2D-44F5-B877-5D685C28CFBD}"/>
    <cellStyle name="Normal 2 41 3 8" xfId="21620" xr:uid="{EF06303F-0140-4034-B7FE-8BB3E04A3BFD}"/>
    <cellStyle name="Normal 2 41 3 9" xfId="21621" xr:uid="{4F63C62C-F287-4E64-97E5-49DEC8592B96}"/>
    <cellStyle name="Normal 2 41 4" xfId="21622" xr:uid="{72F3C389-249C-437F-B2EA-7831159F2BC4}"/>
    <cellStyle name="Normal 2 41 5" xfId="21623" xr:uid="{FF75319F-3B8D-42C6-AAF8-BF97C3437604}"/>
    <cellStyle name="Normal 2 41 6" xfId="21624" xr:uid="{6CFB7BEC-387C-418F-84FF-38331296B970}"/>
    <cellStyle name="Normal 2 41 7" xfId="21625" xr:uid="{7389DE5F-C253-48CC-8896-AAF3CD3B8C48}"/>
    <cellStyle name="Normal 2 41 8" xfId="21626" xr:uid="{684A2A54-A6AF-49C8-BDD3-83056CA770B4}"/>
    <cellStyle name="Normal 2 41 9" xfId="21627" xr:uid="{39E7686B-A2EF-463B-9E28-72D4A93ECE97}"/>
    <cellStyle name="Normal 2 42" xfId="21628" xr:uid="{4934BEB1-04CE-4B36-8B66-DDD591D06419}"/>
    <cellStyle name="Normal 2 42 10" xfId="21629" xr:uid="{51D5275C-7C0E-4AD4-9885-99ED888B0822}"/>
    <cellStyle name="Normal 2 42 11" xfId="21630" xr:uid="{8789D267-61C6-405C-A895-35CA1BA4D3CA}"/>
    <cellStyle name="Normal 2 42 2" xfId="21631" xr:uid="{42E594CD-9084-4A1B-8E6D-9E734A211C91}"/>
    <cellStyle name="Normal 2 42 2 2" xfId="21632" xr:uid="{D0ADD4A9-8DDB-4770-AB7D-AE7947D011F1}"/>
    <cellStyle name="Normal 2 42 2 3" xfId="21633" xr:uid="{C6BA6800-8E38-4A66-B8F3-C2952ABD13D9}"/>
    <cellStyle name="Normal 2 42 2 4" xfId="21634" xr:uid="{19CBB98F-02FF-424A-87A8-D08D402F7C7E}"/>
    <cellStyle name="Normal 2 42 2 5" xfId="21635" xr:uid="{1B3B323E-F08E-40E1-8387-AA112547DCF4}"/>
    <cellStyle name="Normal 2 42 2 6" xfId="21636" xr:uid="{3249276E-5C2B-499F-8A2C-B40B06617D3A}"/>
    <cellStyle name="Normal 2 42 3" xfId="21637" xr:uid="{4FDDF724-2EBD-4729-AE49-75D6B97404E4}"/>
    <cellStyle name="Normal 2 42 4" xfId="21638" xr:uid="{77C8A0CD-608C-4EF1-B758-7016EB8AC4F0}"/>
    <cellStyle name="Normal 2 42 5" xfId="21639" xr:uid="{5806E9B2-A0ED-4568-836A-DD4EA849948B}"/>
    <cellStyle name="Normal 2 42 6" xfId="21640" xr:uid="{46461ABC-306B-4D9E-859F-458810BAE4B2}"/>
    <cellStyle name="Normal 2 42 7" xfId="21641" xr:uid="{0184184F-CF9E-4308-972B-B2432C8F81D9}"/>
    <cellStyle name="Normal 2 42 8" xfId="21642" xr:uid="{F0AED756-0F95-4167-AF81-42FDCD466874}"/>
    <cellStyle name="Normal 2 42 9" xfId="21643" xr:uid="{547A0300-D109-4F02-916F-7C36E4B6F230}"/>
    <cellStyle name="Normal 2 43" xfId="21644" xr:uid="{F0A34638-E797-45F1-8930-F2F3308793CD}"/>
    <cellStyle name="Normal 2 43 10" xfId="21645" xr:uid="{F670AE4C-4894-4588-A343-686A27C09C29}"/>
    <cellStyle name="Normal 2 43 2" xfId="21646" xr:uid="{B2FDED63-C2A2-4EAE-B3C1-093DABAACB76}"/>
    <cellStyle name="Normal 2 43 3" xfId="21647" xr:uid="{E1A31FA2-E4AE-401B-AEEE-B4BA109A1B88}"/>
    <cellStyle name="Normal 2 43 4" xfId="21648" xr:uid="{EEA9EBE9-39ED-452F-A2B5-012BD9FB321B}"/>
    <cellStyle name="Normal 2 43 5" xfId="21649" xr:uid="{45C37DAF-4CB2-4850-92F6-2FCB2E8B6FDA}"/>
    <cellStyle name="Normal 2 43 6" xfId="21650" xr:uid="{DBD2B6D7-08AE-455F-AB75-1F0015ECF058}"/>
    <cellStyle name="Normal 2 43 7" xfId="21651" xr:uid="{5447ECCF-E7E5-42B4-80CB-A72147F47AF0}"/>
    <cellStyle name="Normal 2 43 8" xfId="21652" xr:uid="{33826522-2749-4535-8E62-CC6066122FB2}"/>
    <cellStyle name="Normal 2 43 9" xfId="21653" xr:uid="{C03C3FD4-5160-48AB-9AA8-F6D258D5A387}"/>
    <cellStyle name="Normal 2 44" xfId="21654" xr:uid="{4BFAD7F5-77FE-455D-9B47-575EB0860B4A}"/>
    <cellStyle name="Normal 2 44 2" xfId="21655" xr:uid="{96521F61-D682-4A7E-8E3E-4B4EE1FC985F}"/>
    <cellStyle name="Normal 2 45" xfId="21656" xr:uid="{59C823A1-F74A-4B58-BE19-94FE607CF2BF}"/>
    <cellStyle name="Normal 2 45 2" xfId="21657" xr:uid="{84F9B83A-2D4F-4506-8CA3-137839F80A05}"/>
    <cellStyle name="Normal 2 45 3" xfId="21658" xr:uid="{929877A8-CA10-486D-BDF2-EB8EC6CAC6E9}"/>
    <cellStyle name="Normal 2 46" xfId="21659" xr:uid="{F92697F1-F6C1-4901-8A3A-40BEA33D76DF}"/>
    <cellStyle name="Normal 2 46 2" xfId="21660" xr:uid="{F45E1104-C0AD-456F-AFC0-B4F0F8783731}"/>
    <cellStyle name="Normal 2 46 3" xfId="21661" xr:uid="{4EEDD868-74C3-4FE4-B441-874607C72B64}"/>
    <cellStyle name="Normal 2 47" xfId="21662" xr:uid="{78A333CC-DC97-4E63-85B3-926AF37A1514}"/>
    <cellStyle name="Normal 2 47 2" xfId="21663" xr:uid="{056677D4-31F8-4FB8-9FB3-7DFD3FF41CF6}"/>
    <cellStyle name="Normal 2 47 3" xfId="21664" xr:uid="{5E5F009A-2C7D-46D8-A5C5-DE4563F4422C}"/>
    <cellStyle name="Normal 2 48" xfId="21665" xr:uid="{8AF6CB35-1DC9-4E5A-BBA0-B815A4559007}"/>
    <cellStyle name="Normal 2 48 2" xfId="21666" xr:uid="{FCBE268C-E6DD-46CC-8BF1-EB250CEAA0BA}"/>
    <cellStyle name="Normal 2 49" xfId="21667" xr:uid="{F751AEB9-B82A-411F-97C7-2ED39404F481}"/>
    <cellStyle name="Normal 2 49 2" xfId="21668" xr:uid="{1381FB4B-C9E7-49C0-A277-3A2FAF5D1513}"/>
    <cellStyle name="Normal 2 5" xfId="21669" xr:uid="{2A2F51B2-D770-41FF-9EB1-933224CAD7CC}"/>
    <cellStyle name="Normal 2 5 2" xfId="21670" xr:uid="{358539F1-4463-4B62-A52C-11AFECB3AC0B}"/>
    <cellStyle name="Normal 2 5 2 2" xfId="21671" xr:uid="{E631DD2D-0922-4A31-AA35-2C5AA938F1F6}"/>
    <cellStyle name="Normal 2 5 3" xfId="21672" xr:uid="{3C36BF11-34F3-4DFE-BFC3-AF6FC31A7660}"/>
    <cellStyle name="Normal 2 5 4" xfId="21673" xr:uid="{C43AA075-871C-48F4-BAFD-C7FFC6948647}"/>
    <cellStyle name="Normal 2 5 5" xfId="21674" xr:uid="{553FA88B-3916-4EC3-A00A-0C4AD1BD3FEF}"/>
    <cellStyle name="Normal 2 50" xfId="21675" xr:uid="{5C2C097C-90C5-420A-B79D-78148C8D7E24}"/>
    <cellStyle name="Normal 2 50 2" xfId="21676" xr:uid="{F21A7061-0621-49D1-81EB-F787852D9206}"/>
    <cellStyle name="Normal 2 51" xfId="21677" xr:uid="{511CBA41-94D0-47A3-AFFE-F5FF9805544E}"/>
    <cellStyle name="Normal 2 51 10" xfId="21678" xr:uid="{3433A36E-FAC1-41A3-B878-4B9E045B8AA9}"/>
    <cellStyle name="Normal 2 51 2" xfId="21679" xr:uid="{8D92A6B8-8F46-42C4-8D2C-BE09791C7CBA}"/>
    <cellStyle name="Normal 2 51 2 2" xfId="21680" xr:uid="{3C9406B4-D492-4A5D-A789-0F6BDE2B02C6}"/>
    <cellStyle name="Normal 2 51 2 3" xfId="21681" xr:uid="{C6E17449-CD9B-413D-9A09-06BB91AC6B52}"/>
    <cellStyle name="Normal 2 51 2 4" xfId="21682" xr:uid="{7D584DB2-8C5A-4731-A9F0-E5873227A441}"/>
    <cellStyle name="Normal 2 51 2 5" xfId="21683" xr:uid="{CB4E6A11-B8B9-4BB6-8817-A224EBD77D48}"/>
    <cellStyle name="Normal 2 51 2 6" xfId="21684" xr:uid="{39EC05FE-D85B-4252-89A9-FE20F4EBB0C2}"/>
    <cellStyle name="Normal 2 51 2 7" xfId="21685" xr:uid="{684C05EE-DC20-4E2C-810C-7442E1A9F7FC}"/>
    <cellStyle name="Normal 2 51 2 8" xfId="21686" xr:uid="{024D7EB7-F86C-49FD-B356-47C03EA4052D}"/>
    <cellStyle name="Normal 2 51 2 9" xfId="21687" xr:uid="{87EE9FBE-4E1C-440B-A004-2E54849476AB}"/>
    <cellStyle name="Normal 2 51 3" xfId="21688" xr:uid="{7D6C714A-5BA3-4077-B889-57A5052DFB12}"/>
    <cellStyle name="Normal 2 51 4" xfId="21689" xr:uid="{D845D289-DE36-4592-AD76-3117EFD52B28}"/>
    <cellStyle name="Normal 2 51 5" xfId="21690" xr:uid="{1A308932-94FE-4B1F-B46E-3A223E14A9F8}"/>
    <cellStyle name="Normal 2 51 6" xfId="21691" xr:uid="{D8AEDDFC-C448-4F3F-9BE6-E84503E5A4AF}"/>
    <cellStyle name="Normal 2 51 7" xfId="21692" xr:uid="{92986D5B-09B6-4CBC-B20B-ADF6262A0F03}"/>
    <cellStyle name="Normal 2 51 8" xfId="21693" xr:uid="{595D3109-D8DD-4185-B231-E6A8A7D09F47}"/>
    <cellStyle name="Normal 2 51 9" xfId="21694" xr:uid="{26FA8F5B-DF68-444C-9A92-B01CB27B560A}"/>
    <cellStyle name="Normal 2 52" xfId="21695" xr:uid="{835BE0A8-FFB3-46E6-A963-2910A6BD4DD2}"/>
    <cellStyle name="Normal 2 52 2" xfId="21696" xr:uid="{AECF609E-346E-4183-9D0F-D6EC6AF351DB}"/>
    <cellStyle name="Normal 2 52 3" xfId="21697" xr:uid="{4785A0A9-8DFF-44EE-8101-D9FA998B74AD}"/>
    <cellStyle name="Normal 2 53" xfId="21698" xr:uid="{542070E8-F649-482D-B130-40C2FC056250}"/>
    <cellStyle name="Normal 2 53 2" xfId="21699" xr:uid="{2A149C91-A5B3-46F0-84B1-9903056AE852}"/>
    <cellStyle name="Normal 2 54" xfId="21700" xr:uid="{5BB41223-A3B9-4E12-875C-F3B671E1ADE5}"/>
    <cellStyle name="Normal 2 54 2" xfId="21701" xr:uid="{653B9700-E262-4DE4-838F-F1C44B734827}"/>
    <cellStyle name="Normal 2 55" xfId="21702" xr:uid="{E70F4261-E24F-402B-BFB6-EF1FE1011546}"/>
    <cellStyle name="Normal 2 55 2" xfId="21703" xr:uid="{E9A91ED6-3805-40DE-ABA9-BDA88CEB07AA}"/>
    <cellStyle name="Normal 2 56" xfId="21704" xr:uid="{130259F5-CC75-4B87-9C67-C084BA90B0B2}"/>
    <cellStyle name="Normal 2 56 2" xfId="21705" xr:uid="{0E328B50-99A5-4E4A-AAE2-E587393579B2}"/>
    <cellStyle name="Normal 2 57" xfId="21706" xr:uid="{0B1B3516-0551-4198-A8BE-D2B24B5681F4}"/>
    <cellStyle name="Normal 2 57 2" xfId="21707" xr:uid="{20BA237A-866D-4456-B1CD-5F9C9D1142E0}"/>
    <cellStyle name="Normal 2 58" xfId="21708" xr:uid="{917DBF1E-D85F-41A7-8799-1A7BAD3E10FB}"/>
    <cellStyle name="Normal 2 58 2" xfId="21709" xr:uid="{92B2B97E-4054-45EE-AC99-C47713F62189}"/>
    <cellStyle name="Normal 2 59" xfId="21710" xr:uid="{9D957D5D-3C6B-4DA2-8912-C9500C484CA8}"/>
    <cellStyle name="Normal 2 59 2" xfId="21711" xr:uid="{E658D426-6C9B-4414-BF61-59A96F1089F3}"/>
    <cellStyle name="Normal 2 6" xfId="21712" xr:uid="{55F1EDD5-74E6-4933-AAE1-22B86E9AE3B4}"/>
    <cellStyle name="Normal 2 6 2" xfId="21713" xr:uid="{834AA0F5-4746-4B41-B0FA-94364FC9D896}"/>
    <cellStyle name="Normal 2 6 3" xfId="21714" xr:uid="{DBE6987B-1452-4FCE-B2B3-C1F21D8D29DB}"/>
    <cellStyle name="Normal 2 6 4" xfId="21715" xr:uid="{0BA00327-82A9-4DA0-B533-DEAB5F5BE704}"/>
    <cellStyle name="Normal 2 60" xfId="21716" xr:uid="{F27D7F09-F987-4620-B633-2F00D7F7CE31}"/>
    <cellStyle name="Normal 2 60 2" xfId="21717" xr:uid="{4C2E07E5-118D-4E5E-9D28-D3382C3E05DB}"/>
    <cellStyle name="Normal 2 61" xfId="21718" xr:uid="{FB6D69A1-3C4B-40B6-9CA6-E0479C6DD6B2}"/>
    <cellStyle name="Normal 2 61 2" xfId="21719" xr:uid="{EDD5028E-798A-494D-A93B-047F79E8A3F8}"/>
    <cellStyle name="Normal 2 62" xfId="21720" xr:uid="{2EFEABDC-3102-47EC-9A12-D3B33A0C06A3}"/>
    <cellStyle name="Normal 2 62 2" xfId="21721" xr:uid="{F311BDF8-10F4-49EC-9A7D-21D98BD6E4C8}"/>
    <cellStyle name="Normal 2 63" xfId="21722" xr:uid="{689DFAD7-5CD9-41BE-A045-05D950361F27}"/>
    <cellStyle name="Normal 2 63 2" xfId="21723" xr:uid="{1B416804-9A2E-4565-8FA5-BFEBDE83AF03}"/>
    <cellStyle name="Normal 2 64" xfId="21724" xr:uid="{54389860-3466-44F3-A0ED-142D61F6BAC9}"/>
    <cellStyle name="Normal 2 64 2" xfId="21725" xr:uid="{6A45413A-3989-4AE3-915E-871492965E36}"/>
    <cellStyle name="Normal 2 64 3" xfId="21726" xr:uid="{476ED782-9BE8-4BF0-A135-2636745FA147}"/>
    <cellStyle name="Normal 2 65" xfId="21727" xr:uid="{17545252-E6EC-44E0-AE10-B5B3C41EEB65}"/>
    <cellStyle name="Normal 2 65 2" xfId="21728" xr:uid="{C949BBB3-3651-4BE9-A35D-222EF1D9794E}"/>
    <cellStyle name="Normal 2 66" xfId="21729" xr:uid="{D1718225-89F1-4B8A-A1FA-B7BB19301B65}"/>
    <cellStyle name="Normal 2 66 2" xfId="21730" xr:uid="{95F8EE5F-76D2-428A-A4D4-674E979101F7}"/>
    <cellStyle name="Normal 2 67" xfId="21731" xr:uid="{E887C863-AB2F-48D6-BA7B-56564E6486C5}"/>
    <cellStyle name="Normal 2 67 2" xfId="21732" xr:uid="{A387A6E6-0346-4CB0-96A0-2D0AB8290A1F}"/>
    <cellStyle name="Normal 2 67 2 2" xfId="21733" xr:uid="{3F33CDAD-E54F-4193-9CF4-3EB6BDE590A3}"/>
    <cellStyle name="Normal 2 67 2 2 2" xfId="21734" xr:uid="{C3899717-7E40-40FD-954C-F6C2CD4DE0A0}"/>
    <cellStyle name="Normal 2 67 2 3" xfId="21735" xr:uid="{2FC584C6-78F2-438B-82D4-B5973506FA0A}"/>
    <cellStyle name="Normal 2 67 3" xfId="21736" xr:uid="{289DF094-4056-4769-99E5-13A7D6FC47E6}"/>
    <cellStyle name="Normal 2 67 3 2" xfId="21737" xr:uid="{20D22055-3FF2-480A-8098-F9F142C72A14}"/>
    <cellStyle name="Normal 2 67 4" xfId="21738" xr:uid="{426E84D1-FDC6-4993-AA22-6DEFB58B86F9}"/>
    <cellStyle name="Normal 2 67 4 2" xfId="21739" xr:uid="{CAE1F1D9-82B8-4017-9A51-B3EDBC7198B6}"/>
    <cellStyle name="Normal 2 67 5" xfId="21740" xr:uid="{AAF351B4-AF11-4709-954C-20CB3C045808}"/>
    <cellStyle name="Normal 2 67 6" xfId="21741" xr:uid="{79A9C901-5FDA-4FE8-8842-589F62E999A9}"/>
    <cellStyle name="Normal 2 67 7" xfId="21742" xr:uid="{0676958B-9556-44A2-AC51-D5A7858BA91B}"/>
    <cellStyle name="Normal 2 67 8" xfId="21743" xr:uid="{C82E59EC-C38A-436C-903C-31273841FFB3}"/>
    <cellStyle name="Normal 2 67 9" xfId="21744" xr:uid="{207BEB96-6974-40B5-ABE1-4E747CEC75D3}"/>
    <cellStyle name="Normal 2 68" xfId="21745" xr:uid="{551E68C4-6725-491D-BD6F-FDEF06B7A1D1}"/>
    <cellStyle name="Normal 2 68 2" xfId="21746" xr:uid="{6E568C1D-4153-4117-8BF2-ED9578E717C7}"/>
    <cellStyle name="Normal 2 68 2 2" xfId="21747" xr:uid="{147D6187-AEAB-43C9-90B0-6CF47B7162B6}"/>
    <cellStyle name="Normal 2 69" xfId="21748" xr:uid="{464835EF-E837-404C-95D7-91C5C8BDDCEA}"/>
    <cellStyle name="Normal 2 7" xfId="21749" xr:uid="{034C7054-8940-4550-9D6E-29684FCB50BE}"/>
    <cellStyle name="Normal 2 7 2" xfId="21750" xr:uid="{1467E5D0-F1B8-445F-9E62-110E89ACA951}"/>
    <cellStyle name="Normal 2 7 3" xfId="21751" xr:uid="{1D7D683E-AF0E-4EB6-A05D-EFD0E2ED3DCE}"/>
    <cellStyle name="Normal 2 7 4" xfId="21752" xr:uid="{25DE813E-E071-4DDC-99C8-EF28E305B0DF}"/>
    <cellStyle name="Normal 2 70" xfId="21753" xr:uid="{F151C536-EBA2-44B5-BFDE-722AE31C27AF}"/>
    <cellStyle name="Normal 2 71" xfId="21754" xr:uid="{B8EB18CD-D7E3-4EDA-9F3C-82680A0121C4}"/>
    <cellStyle name="Normal 2 72" xfId="21755" xr:uid="{C8B44B9F-0163-4723-80B7-BC09CCB057F4}"/>
    <cellStyle name="Normal 2 73" xfId="21756" xr:uid="{D37E7E3E-2456-4041-845B-0E128C8722D3}"/>
    <cellStyle name="Normal 2 74" xfId="21757" xr:uid="{7BF4226C-48BC-41D8-BD06-11A67E9F4B88}"/>
    <cellStyle name="Normal 2 75" xfId="21758" xr:uid="{29B3CD2E-60E1-46F5-8273-CFDB0EAC2614}"/>
    <cellStyle name="Normal 2 76" xfId="21759" xr:uid="{C3CCC705-4D09-467E-9FC4-4181980C5620}"/>
    <cellStyle name="Normal 2 77" xfId="21760" xr:uid="{D26AA517-F7ED-4386-8EA2-EF2E02B97678}"/>
    <cellStyle name="Normal 2 78" xfId="21761" xr:uid="{D1BD5B46-67EA-4E74-BFD6-0EBB005E07EB}"/>
    <cellStyle name="Normal 2 79" xfId="21762" xr:uid="{084B8866-747E-4833-A95C-3B107FB7621B}"/>
    <cellStyle name="Normal 2 79 10" xfId="21763" xr:uid="{11711B1F-0B9A-422F-A7BA-19F8BE674A1E}"/>
    <cellStyle name="Normal 2 79 11" xfId="21764" xr:uid="{A74699B0-3C56-4120-8E95-6DAC27FA452C}"/>
    <cellStyle name="Normal 2 79 11 10" xfId="21765" xr:uid="{3455B5A1-654D-4A62-A224-DA0D0C747591}"/>
    <cellStyle name="Normal 2 79 11 11" xfId="21766" xr:uid="{5C74870D-F5B8-43A0-B45D-E5E31A6C13B9}"/>
    <cellStyle name="Normal 2 79 11 11 2" xfId="21767" xr:uid="{897D9582-C3B5-49D1-8936-97FA99D8AC3A}"/>
    <cellStyle name="Normal 2 79 11 11 3" xfId="21768" xr:uid="{88E4AB10-08E3-4A0D-AB7C-6D9C84793EBB}"/>
    <cellStyle name="Normal 2 79 11 11 4" xfId="21769" xr:uid="{C1A5BBF8-D617-4FCA-A327-454571177251}"/>
    <cellStyle name="Normal 2 79 11 12" xfId="21770" xr:uid="{7FE34C13-A0E3-4AE6-8694-042E28D66E8F}"/>
    <cellStyle name="Normal 2 79 11 13" xfId="21771" xr:uid="{B9EA0E30-6B39-4E01-AD6F-3B2CE6035FC1}"/>
    <cellStyle name="Normal 2 79 11 14" xfId="21772" xr:uid="{7D630B0D-B833-47BE-89E7-57F1691B800E}"/>
    <cellStyle name="Normal 2 79 11 2" xfId="21773" xr:uid="{0B879A1F-5E06-4B50-AFE6-4E20128DDE34}"/>
    <cellStyle name="Normal 2 79 11 2 10" xfId="21774" xr:uid="{CCA17FF7-FCB1-48A3-ABC4-408A0570FDEA}"/>
    <cellStyle name="Normal 2 79 11 2 11" xfId="21775" xr:uid="{21D1D4EC-01EA-4FDD-AC4A-85E3C2276C9B}"/>
    <cellStyle name="Normal 2 79 11 2 2" xfId="21776" xr:uid="{C8B13C93-3C7D-495D-B5DE-ACB3C70CFB51}"/>
    <cellStyle name="Normal 2 79 11 2 2 10" xfId="21777" xr:uid="{1AB927C0-9135-4DB1-973C-9804152790A1}"/>
    <cellStyle name="Normal 2 79 11 2 2 11" xfId="21778" xr:uid="{F7669F42-B801-4C7F-A5D8-E948873FFC1F}"/>
    <cellStyle name="Normal 2 79 11 2 2 2" xfId="21779" xr:uid="{5A17D742-6448-41D8-AC2A-23F1C9DBB111}"/>
    <cellStyle name="Normal 2 79 11 2 2 2 2" xfId="21780" xr:uid="{0A37AD26-FFF2-4F02-AB4E-E21CEDDAF1C0}"/>
    <cellStyle name="Normal 2 79 11 2 2 2 2 2" xfId="21781" xr:uid="{56E9D3AB-DD6E-4AF4-947F-30136705DB29}"/>
    <cellStyle name="Normal 2 79 11 2 2 2 2 3" xfId="21782" xr:uid="{73B9847A-D9D6-4E32-9477-8D94B805ED6C}"/>
    <cellStyle name="Normal 2 79 11 2 2 2 2 4" xfId="21783" xr:uid="{830DADBE-A964-40B4-A563-32FD3E7E3D2E}"/>
    <cellStyle name="Normal 2 79 11 2 2 2 3" xfId="21784" xr:uid="{6276C2FC-6DD8-467F-BD7C-8B2AB1C9721E}"/>
    <cellStyle name="Normal 2 79 11 2 2 2 4" xfId="21785" xr:uid="{2ED07C79-F13D-42D3-91A9-01164B7B5BD5}"/>
    <cellStyle name="Normal 2 79 11 2 2 2 5" xfId="21786" xr:uid="{6E36AA8B-C885-4E97-A95D-28D8F12AC42B}"/>
    <cellStyle name="Normal 2 79 11 2 2 2 6" xfId="21787" xr:uid="{2E5A6719-CC59-495F-96BF-A64C03E68A25}"/>
    <cellStyle name="Normal 2 79 11 2 2 3" xfId="21788" xr:uid="{B73932BF-0FC1-4F07-9C63-5B9A3831AB25}"/>
    <cellStyle name="Normal 2 79 11 2 2 4" xfId="21789" xr:uid="{3DC842EC-7A0B-4E77-A6A6-52FDBA013F83}"/>
    <cellStyle name="Normal 2 79 11 2 2 5" xfId="21790" xr:uid="{E0A7EA6E-417D-4E4C-BEAF-27929DF26DF1}"/>
    <cellStyle name="Normal 2 79 11 2 2 6" xfId="21791" xr:uid="{61F48CB9-0B9B-4BBB-99F0-C777DC8E6717}"/>
    <cellStyle name="Normal 2 79 11 2 2 7" xfId="21792" xr:uid="{4C6272DB-5305-492A-B742-28804ADD12A5}"/>
    <cellStyle name="Normal 2 79 11 2 2 8" xfId="21793" xr:uid="{53AF4BC5-445A-4A74-86D0-C68ED9B6C0CF}"/>
    <cellStyle name="Normal 2 79 11 2 2 8 2" xfId="21794" xr:uid="{FA2E3AC7-BDE6-4C3B-882E-652C47436A28}"/>
    <cellStyle name="Normal 2 79 11 2 2 8 3" xfId="21795" xr:uid="{0C6D9FC8-4DF2-4D60-A8C0-1FB683BEA6BF}"/>
    <cellStyle name="Normal 2 79 11 2 2 8 4" xfId="21796" xr:uid="{D9F009C8-AB09-48C5-A9EC-124D4944D364}"/>
    <cellStyle name="Normal 2 79 11 2 2 9" xfId="21797" xr:uid="{B7F07CAA-49F2-47B5-86A0-A6A1F290B4F6}"/>
    <cellStyle name="Normal 2 79 11 2 3" xfId="21798" xr:uid="{07B3AA59-0399-411E-8BB5-2203F084EF20}"/>
    <cellStyle name="Normal 2 79 11 2 3 2" xfId="21799" xr:uid="{076E3B5B-D55E-4C90-B321-E43B4B10DA79}"/>
    <cellStyle name="Normal 2 79 11 2 3 2 2" xfId="21800" xr:uid="{952F82A9-8A2E-4DC5-87BD-1879CD959456}"/>
    <cellStyle name="Normal 2 79 11 2 3 2 3" xfId="21801" xr:uid="{D254D5EF-60C4-4115-97DA-886EE5E95DE3}"/>
    <cellStyle name="Normal 2 79 11 2 3 2 4" xfId="21802" xr:uid="{2A72288C-143C-4686-BA82-C41F4F117260}"/>
    <cellStyle name="Normal 2 79 11 2 3 3" xfId="21803" xr:uid="{9C402D6A-F440-4689-8397-87F57EEE23A9}"/>
    <cellStyle name="Normal 2 79 11 2 3 4" xfId="21804" xr:uid="{13538BD1-3CC5-4051-9978-45FE2A25AC67}"/>
    <cellStyle name="Normal 2 79 11 2 3 5" xfId="21805" xr:uid="{1D3F0A35-D88B-42BF-90CE-8791E8255AB2}"/>
    <cellStyle name="Normal 2 79 11 2 3 6" xfId="21806" xr:uid="{921E5B73-8538-4833-95C6-DD22E71C2E75}"/>
    <cellStyle name="Normal 2 79 11 2 4" xfId="21807" xr:uid="{E4A00FD0-BFF7-4B7E-BAD8-D97D1C3BF23B}"/>
    <cellStyle name="Normal 2 79 11 2 5" xfId="21808" xr:uid="{2EF2E41F-4922-4297-832C-8A98D3E98F48}"/>
    <cellStyle name="Normal 2 79 11 2 6" xfId="21809" xr:uid="{95D83A4D-7872-420A-8332-6D0FC65BBC27}"/>
    <cellStyle name="Normal 2 79 11 2 7" xfId="21810" xr:uid="{149B818A-04F6-4290-93E3-B4A1CD053483}"/>
    <cellStyle name="Normal 2 79 11 2 8" xfId="21811" xr:uid="{84F38AC6-67E4-475E-B8EB-A336D7A8C3C3}"/>
    <cellStyle name="Normal 2 79 11 2 8 2" xfId="21812" xr:uid="{F0617B14-3134-488C-A667-3E8322FC3DB7}"/>
    <cellStyle name="Normal 2 79 11 2 8 3" xfId="21813" xr:uid="{9477D621-B515-4A8F-8708-F0EF491389FB}"/>
    <cellStyle name="Normal 2 79 11 2 8 4" xfId="21814" xr:uid="{1B4D971A-F899-4BA5-8708-13FE35893AC1}"/>
    <cellStyle name="Normal 2 79 11 2 9" xfId="21815" xr:uid="{B2AD6F95-B2C1-4E1F-BB0A-E2B26D0AC90A}"/>
    <cellStyle name="Normal 2 79 11 3" xfId="21816" xr:uid="{E7DEFC06-DF59-461E-943B-50D4757E2A0C}"/>
    <cellStyle name="Normal 2 79 11 4" xfId="21817" xr:uid="{5618B64C-2D19-4170-9BAE-C43C68E654A1}"/>
    <cellStyle name="Normal 2 79 11 5" xfId="21818" xr:uid="{6E2724A9-096A-4C19-8F51-F7CE9E82FA09}"/>
    <cellStyle name="Normal 2 79 11 5 2" xfId="21819" xr:uid="{39C90558-0403-40B8-8DD7-158089D02736}"/>
    <cellStyle name="Normal 2 79 11 5 2 2" xfId="21820" xr:uid="{AA71D667-79A3-46FC-AA3D-43D286A79339}"/>
    <cellStyle name="Normal 2 79 11 5 2 3" xfId="21821" xr:uid="{C6B9CB2B-768B-4247-91E9-CC18B6FF0DF4}"/>
    <cellStyle name="Normal 2 79 11 5 2 4" xfId="21822" xr:uid="{EBEDF68B-F0E2-44D8-BAEB-FCC0D099ED56}"/>
    <cellStyle name="Normal 2 79 11 5 3" xfId="21823" xr:uid="{F8C789EE-CB79-4DF3-894B-281B0B7603FE}"/>
    <cellStyle name="Normal 2 79 11 5 4" xfId="21824" xr:uid="{CA16268F-DF78-4182-B895-CA22BC665E34}"/>
    <cellStyle name="Normal 2 79 11 5 5" xfId="21825" xr:uid="{12D8BA28-5D75-4222-920F-C5A9B25A8E52}"/>
    <cellStyle name="Normal 2 79 11 5 6" xfId="21826" xr:uid="{A95DEC0B-E595-4ACE-B392-54653CC0F7E8}"/>
    <cellStyle name="Normal 2 79 11 6" xfId="21827" xr:uid="{5F1F0679-17F9-41C2-8170-CC407515C7D5}"/>
    <cellStyle name="Normal 2 79 11 7" xfId="21828" xr:uid="{55B26E80-5837-4D6F-8EB1-0B8DD1CD344D}"/>
    <cellStyle name="Normal 2 79 11 8" xfId="21829" xr:uid="{10931AB4-E2C4-447C-80AC-20F5DE2F3BE8}"/>
    <cellStyle name="Normal 2 79 11 9" xfId="21830" xr:uid="{5C0F5007-B358-4B5B-9432-04F09C3B36AA}"/>
    <cellStyle name="Normal 2 79 12" xfId="21831" xr:uid="{59603134-531E-4943-A591-E31E8666284A}"/>
    <cellStyle name="Normal 2 79 13" xfId="21832" xr:uid="{C9DB29A4-C0A3-48FD-B836-6AACD0768234}"/>
    <cellStyle name="Normal 2 79 13 10" xfId="21833" xr:uid="{DF105529-2F33-4B81-A2F0-8EE28D334D9D}"/>
    <cellStyle name="Normal 2 79 13 11" xfId="21834" xr:uid="{96027C27-5227-42AD-BB64-87D44BCA729E}"/>
    <cellStyle name="Normal 2 79 13 2" xfId="21835" xr:uid="{0A657905-7FFF-49DB-8028-48B81FD8521C}"/>
    <cellStyle name="Normal 2 79 13 2 10" xfId="21836" xr:uid="{7BFF3A6A-87D0-4D40-B277-C989BEDACAED}"/>
    <cellStyle name="Normal 2 79 13 2 11" xfId="21837" xr:uid="{C32E89F3-EFDE-4529-AAB4-E83EEF2E835F}"/>
    <cellStyle name="Normal 2 79 13 2 2" xfId="21838" xr:uid="{15AA62A0-A0FB-43C7-BB23-9A16B3BC1090}"/>
    <cellStyle name="Normal 2 79 13 2 2 2" xfId="21839" xr:uid="{A90C3B89-AD94-4291-A368-4C9D84D11D5E}"/>
    <cellStyle name="Normal 2 79 13 2 2 2 2" xfId="21840" xr:uid="{C5849DAD-F60E-4B64-9B2C-DE92D1267214}"/>
    <cellStyle name="Normal 2 79 13 2 2 2 3" xfId="21841" xr:uid="{4E0CA790-A334-4903-BE52-87149CC80647}"/>
    <cellStyle name="Normal 2 79 13 2 2 2 4" xfId="21842" xr:uid="{5F3712C2-83B0-42C8-9376-950E0AFEB5AD}"/>
    <cellStyle name="Normal 2 79 13 2 2 3" xfId="21843" xr:uid="{3998B20C-5D10-48F5-8B64-18D7EC760B48}"/>
    <cellStyle name="Normal 2 79 13 2 2 4" xfId="21844" xr:uid="{C15897F9-DD95-4A57-9600-2FB93C44C240}"/>
    <cellStyle name="Normal 2 79 13 2 2 5" xfId="21845" xr:uid="{91592402-704F-445B-A66B-6D93EBE77B1F}"/>
    <cellStyle name="Normal 2 79 13 2 2 6" xfId="21846" xr:uid="{B054DF30-011A-4852-9011-0C598DADF16D}"/>
    <cellStyle name="Normal 2 79 13 2 3" xfId="21847" xr:uid="{6E9C01E9-45FD-47B0-BA44-3AB0A813B50B}"/>
    <cellStyle name="Normal 2 79 13 2 4" xfId="21848" xr:uid="{B9648411-1F8E-494A-A293-93CEF6E0BFFE}"/>
    <cellStyle name="Normal 2 79 13 2 5" xfId="21849" xr:uid="{B3D72662-58CB-456D-BE2F-7CB6F07A158B}"/>
    <cellStyle name="Normal 2 79 13 2 6" xfId="21850" xr:uid="{A15DD702-5454-4656-8AC8-7C5B6EB14461}"/>
    <cellStyle name="Normal 2 79 13 2 7" xfId="21851" xr:uid="{1530A750-4132-4F10-9497-EAD54CB3DD8B}"/>
    <cellStyle name="Normal 2 79 13 2 8" xfId="21852" xr:uid="{C7A00C14-5328-4452-81F2-DC41FDFE1ACA}"/>
    <cellStyle name="Normal 2 79 13 2 8 2" xfId="21853" xr:uid="{F2601247-A2BE-485D-AA03-561C8AECD90A}"/>
    <cellStyle name="Normal 2 79 13 2 8 3" xfId="21854" xr:uid="{D25F7860-CF54-420C-9677-8626F414D77E}"/>
    <cellStyle name="Normal 2 79 13 2 8 4" xfId="21855" xr:uid="{113130F6-C399-4105-8085-A02716388CBB}"/>
    <cellStyle name="Normal 2 79 13 2 9" xfId="21856" xr:uid="{3651C32B-1355-4C2A-A216-01E93EE76EEA}"/>
    <cellStyle name="Normal 2 79 13 3" xfId="21857" xr:uid="{909C2C2B-88B0-4C3A-AB32-CEB7E2E7970D}"/>
    <cellStyle name="Normal 2 79 13 3 2" xfId="21858" xr:uid="{1D302791-1FA4-4FDF-AC24-D8BFCF312D0F}"/>
    <cellStyle name="Normal 2 79 13 3 2 2" xfId="21859" xr:uid="{C9929FA6-5557-42B5-8B4E-E6F1C144E16B}"/>
    <cellStyle name="Normal 2 79 13 3 2 3" xfId="21860" xr:uid="{9B232900-3717-452E-96EB-F02B7881EF1D}"/>
    <cellStyle name="Normal 2 79 13 3 2 4" xfId="21861" xr:uid="{D986119E-4A70-43E3-9D2C-A73D2DC266CB}"/>
    <cellStyle name="Normal 2 79 13 3 3" xfId="21862" xr:uid="{892FF72C-92A4-4BB6-B0BE-C388B70D9091}"/>
    <cellStyle name="Normal 2 79 13 3 4" xfId="21863" xr:uid="{80856A8B-3E7B-4EE7-A256-DD10AF35D3CE}"/>
    <cellStyle name="Normal 2 79 13 3 5" xfId="21864" xr:uid="{3DD4EEAF-E778-4281-9C59-BEE95F09A33B}"/>
    <cellStyle name="Normal 2 79 13 3 6" xfId="21865" xr:uid="{8304B9FC-6706-44A7-801D-9D3CC8EE5003}"/>
    <cellStyle name="Normal 2 79 13 4" xfId="21866" xr:uid="{F28226D4-213B-4F4A-8D26-DA2E8205AA9E}"/>
    <cellStyle name="Normal 2 79 13 5" xfId="21867" xr:uid="{7688CB66-93F6-45B0-B86E-6ED973E52FCE}"/>
    <cellStyle name="Normal 2 79 13 6" xfId="21868" xr:uid="{B28C198A-F827-4264-9E48-0826BC305872}"/>
    <cellStyle name="Normal 2 79 13 7" xfId="21869" xr:uid="{A0DAF326-010B-4190-9D4D-27217F43092D}"/>
    <cellStyle name="Normal 2 79 13 8" xfId="21870" xr:uid="{3995DB1C-D52B-4439-AE85-59FBD9F16A98}"/>
    <cellStyle name="Normal 2 79 13 8 2" xfId="21871" xr:uid="{DA42FE79-AC85-490E-A5D5-58C64E90A924}"/>
    <cellStyle name="Normal 2 79 13 8 3" xfId="21872" xr:uid="{8C01565C-B1B5-477C-8730-DEEE9509AB55}"/>
    <cellStyle name="Normal 2 79 13 8 4" xfId="21873" xr:uid="{60565125-4522-4AAC-961E-2CA7056FA119}"/>
    <cellStyle name="Normal 2 79 13 9" xfId="21874" xr:uid="{3C2FD13C-2B48-4FB2-A41B-ADE4EAB49D12}"/>
    <cellStyle name="Normal 2 79 14" xfId="21875" xr:uid="{45B48A6F-98F9-4BBC-ACEF-0053B877B00B}"/>
    <cellStyle name="Normal 2 79 15" xfId="21876" xr:uid="{23C050F8-0503-4781-9923-38C7FEB8DCE9}"/>
    <cellStyle name="Normal 2 79 15 2" xfId="21877" xr:uid="{E88723B3-4240-4642-895B-662E6DB11136}"/>
    <cellStyle name="Normal 2 79 15 2 2" xfId="21878" xr:uid="{D4431FA3-769D-484F-8C94-B2504CB24DC9}"/>
    <cellStyle name="Normal 2 79 15 2 3" xfId="21879" xr:uid="{13AA3796-9D2C-449B-9F14-FB501F79E44C}"/>
    <cellStyle name="Normal 2 79 15 2 4" xfId="21880" xr:uid="{1176CF3A-85F3-47B8-8208-5C77ECCE0D3B}"/>
    <cellStyle name="Normal 2 79 15 3" xfId="21881" xr:uid="{301513F6-74AA-4D38-B955-868BEB11E70F}"/>
    <cellStyle name="Normal 2 79 15 4" xfId="21882" xr:uid="{9018B199-CDF1-4968-BEF9-76949EB0965B}"/>
    <cellStyle name="Normal 2 79 15 5" xfId="21883" xr:uid="{8DA2640C-28BC-4356-96D0-F47D17543971}"/>
    <cellStyle name="Normal 2 79 15 6" xfId="21884" xr:uid="{75BCEB78-7617-4BC3-BD00-36A16E5B376B}"/>
    <cellStyle name="Normal 2 79 16" xfId="21885" xr:uid="{35B1B40D-599A-4655-B9D0-4015D577C416}"/>
    <cellStyle name="Normal 2 79 17" xfId="21886" xr:uid="{F21B5AE1-605C-49B0-95DD-F099633DB927}"/>
    <cellStyle name="Normal 2 79 18" xfId="21887" xr:uid="{33BB9224-2BF5-4C24-9EBC-2F1C01E8ACA9}"/>
    <cellStyle name="Normal 2 79 19" xfId="21888" xr:uid="{C46813CC-51CE-4744-9507-BBCB15C40063}"/>
    <cellStyle name="Normal 2 79 2" xfId="21889" xr:uid="{21532543-6FA8-40AC-9DF0-162F703B1F93}"/>
    <cellStyle name="Normal 2 79 2 10" xfId="21890" xr:uid="{8853608F-0E2B-4B69-849D-32F23D8FD77E}"/>
    <cellStyle name="Normal 2 79 2 11" xfId="21891" xr:uid="{C5F45EA5-25F9-4274-AAB3-970DDE9AA1FA}"/>
    <cellStyle name="Normal 2 79 2 12" xfId="21892" xr:uid="{6819960D-EFFD-4627-B5C9-2D4A99F5469A}"/>
    <cellStyle name="Normal 2 79 2 13" xfId="21893" xr:uid="{2169DF59-BC1D-4ACB-8072-F847B5C434E0}"/>
    <cellStyle name="Normal 2 79 2 13 2" xfId="21894" xr:uid="{FCC77F81-F9BA-4AE4-8F1B-396176CBAFB4}"/>
    <cellStyle name="Normal 2 79 2 13 3" xfId="21895" xr:uid="{29202CD2-E193-4A75-AA97-984A7525D506}"/>
    <cellStyle name="Normal 2 79 2 13 4" xfId="21896" xr:uid="{FB00BC7D-05F4-4EC5-ABAE-2E722F1CA25C}"/>
    <cellStyle name="Normal 2 79 2 14" xfId="21897" xr:uid="{981AA25A-43C9-4510-AF0B-A128B0251BA2}"/>
    <cellStyle name="Normal 2 79 2 15" xfId="21898" xr:uid="{2A59C565-DB5D-4CCB-B080-A59FFFF304B2}"/>
    <cellStyle name="Normal 2 79 2 16" xfId="21899" xr:uid="{3F7EFA15-B164-4BB4-9792-1A3D1D228C01}"/>
    <cellStyle name="Normal 2 79 2 2" xfId="21900" xr:uid="{EE31CF29-43A6-4149-B6F8-BB71281AFB14}"/>
    <cellStyle name="Normal 2 79 2 2 10" xfId="21901" xr:uid="{D19CA31C-0965-4380-80EA-EB9F75A0FCFE}"/>
    <cellStyle name="Normal 2 79 2 2 11" xfId="21902" xr:uid="{3F65B18F-CBEA-4408-9961-BDE816D12134}"/>
    <cellStyle name="Normal 2 79 2 2 11 2" xfId="21903" xr:uid="{6073F67B-C174-4EAF-93F8-0C86F66EDD7D}"/>
    <cellStyle name="Normal 2 79 2 2 11 3" xfId="21904" xr:uid="{0339474E-E373-4E31-90A5-839ED9AD8D5A}"/>
    <cellStyle name="Normal 2 79 2 2 11 4" xfId="21905" xr:uid="{87DC92AD-0969-45A5-9F22-7FA06583ACBF}"/>
    <cellStyle name="Normal 2 79 2 2 12" xfId="21906" xr:uid="{80D8AEA7-7E60-43C2-BB35-6CD32FAA7B45}"/>
    <cellStyle name="Normal 2 79 2 2 13" xfId="21907" xr:uid="{DED5A650-9A19-4068-8410-D17A21BF0257}"/>
    <cellStyle name="Normal 2 79 2 2 14" xfId="21908" xr:uid="{5AE839DA-9C6D-4A50-BF05-C1BC9A5D2413}"/>
    <cellStyle name="Normal 2 79 2 2 2" xfId="21909" xr:uid="{32859880-74F9-445A-9645-7613B007E7BC}"/>
    <cellStyle name="Normal 2 79 2 2 2 10" xfId="21910" xr:uid="{F8460CE3-423A-4EB6-B3F3-635A73E91E4E}"/>
    <cellStyle name="Normal 2 79 2 2 2 11" xfId="21911" xr:uid="{F1339F99-8D71-4CFF-938A-B3803F6A8CFC}"/>
    <cellStyle name="Normal 2 79 2 2 2 2" xfId="21912" xr:uid="{DD8C2B30-5A3F-4C30-80ED-5F623888B661}"/>
    <cellStyle name="Normal 2 79 2 2 2 2 10" xfId="21913" xr:uid="{D5AF504C-7C6A-4D6C-8B3D-8806E3BBE7A8}"/>
    <cellStyle name="Normal 2 79 2 2 2 2 11" xfId="21914" xr:uid="{306CF22D-57A3-4002-86C0-CD59D19E5753}"/>
    <cellStyle name="Normal 2 79 2 2 2 2 2" xfId="21915" xr:uid="{74D48B21-4AAF-4B5C-9171-58DBFB183868}"/>
    <cellStyle name="Normal 2 79 2 2 2 2 2 2" xfId="21916" xr:uid="{68B8562C-63E5-4021-8712-2CD721A38018}"/>
    <cellStyle name="Normal 2 79 2 2 2 2 2 2 2" xfId="21917" xr:uid="{BB083B07-5630-4F02-824E-6A400BF472B4}"/>
    <cellStyle name="Normal 2 79 2 2 2 2 2 2 3" xfId="21918" xr:uid="{B2FC3059-169E-494A-A997-0E235FCDAA99}"/>
    <cellStyle name="Normal 2 79 2 2 2 2 2 2 4" xfId="21919" xr:uid="{C542E9FD-A68A-4FC4-83E8-5B55C22250CC}"/>
    <cellStyle name="Normal 2 79 2 2 2 2 2 3" xfId="21920" xr:uid="{8DFBECB8-3A4C-4D0C-9E7F-0A4B32B74C19}"/>
    <cellStyle name="Normal 2 79 2 2 2 2 2 4" xfId="21921" xr:uid="{1E5912AB-548F-482A-988C-62A5F6F3001F}"/>
    <cellStyle name="Normal 2 79 2 2 2 2 2 5" xfId="21922" xr:uid="{84596076-5F5E-4253-BA7A-511C487E46A3}"/>
    <cellStyle name="Normal 2 79 2 2 2 2 2 6" xfId="21923" xr:uid="{C21880A4-7140-4FA6-A8F0-486E2A20D7C0}"/>
    <cellStyle name="Normal 2 79 2 2 2 2 3" xfId="21924" xr:uid="{AA1303F1-4DFA-4EEE-BFAB-8ACE1A5D9EE8}"/>
    <cellStyle name="Normal 2 79 2 2 2 2 4" xfId="21925" xr:uid="{373FC08A-62B3-4A43-8E11-28F3D6CFFBA7}"/>
    <cellStyle name="Normal 2 79 2 2 2 2 5" xfId="21926" xr:uid="{DB4480BA-F50B-4993-88CB-9251B2654E1D}"/>
    <cellStyle name="Normal 2 79 2 2 2 2 6" xfId="21927" xr:uid="{340E899F-6809-4A82-BB50-11A782083A2F}"/>
    <cellStyle name="Normal 2 79 2 2 2 2 7" xfId="21928" xr:uid="{E1085BBA-90AC-4E2B-A8AE-A581DC457387}"/>
    <cellStyle name="Normal 2 79 2 2 2 2 8" xfId="21929" xr:uid="{2A68CAB9-ED82-4952-AEDC-B5AC979CE106}"/>
    <cellStyle name="Normal 2 79 2 2 2 2 8 2" xfId="21930" xr:uid="{0C949A4A-70CB-4C3F-8D62-1033B4E36303}"/>
    <cellStyle name="Normal 2 79 2 2 2 2 8 3" xfId="21931" xr:uid="{E7BDFA02-24D2-4193-9E6D-0E4A7D340059}"/>
    <cellStyle name="Normal 2 79 2 2 2 2 8 4" xfId="21932" xr:uid="{458D181D-7107-4A0B-9F8C-DCA35CF9857B}"/>
    <cellStyle name="Normal 2 79 2 2 2 2 9" xfId="21933" xr:uid="{F2C44023-FB9A-4E85-A0D0-EB3013C2AA0C}"/>
    <cellStyle name="Normal 2 79 2 2 2 3" xfId="21934" xr:uid="{5CE90CB2-F80C-498C-9721-53C072B1AC17}"/>
    <cellStyle name="Normal 2 79 2 2 2 3 2" xfId="21935" xr:uid="{1896CBDA-3491-45E8-9FAA-2493A8550EB7}"/>
    <cellStyle name="Normal 2 79 2 2 2 3 2 2" xfId="21936" xr:uid="{B1701035-DB75-4019-BEAE-B9E507A3A696}"/>
    <cellStyle name="Normal 2 79 2 2 2 3 2 3" xfId="21937" xr:uid="{369D5C4A-DF86-411B-85D0-6B1FBC879C0E}"/>
    <cellStyle name="Normal 2 79 2 2 2 3 2 4" xfId="21938" xr:uid="{A451293B-D38B-4E9F-8944-E4326A173D57}"/>
    <cellStyle name="Normal 2 79 2 2 2 3 3" xfId="21939" xr:uid="{8B14BF76-C071-48FC-8F07-8EC66100AF7E}"/>
    <cellStyle name="Normal 2 79 2 2 2 3 4" xfId="21940" xr:uid="{61F5E334-41C0-4D5B-A2B6-C50D472922D4}"/>
    <cellStyle name="Normal 2 79 2 2 2 3 5" xfId="21941" xr:uid="{D5715F94-0218-4592-9465-A607E5E02D91}"/>
    <cellStyle name="Normal 2 79 2 2 2 3 6" xfId="21942" xr:uid="{F8EC5685-C850-41EA-8076-7DA74926BB52}"/>
    <cellStyle name="Normal 2 79 2 2 2 4" xfId="21943" xr:uid="{5D238754-526C-4CA2-BDE9-0BF533C9D90D}"/>
    <cellStyle name="Normal 2 79 2 2 2 5" xfId="21944" xr:uid="{EBD76FA7-ED20-477C-81E9-C65373F77F76}"/>
    <cellStyle name="Normal 2 79 2 2 2 6" xfId="21945" xr:uid="{51FEE946-B295-4A08-A1A0-6E947967CA85}"/>
    <cellStyle name="Normal 2 79 2 2 2 7" xfId="21946" xr:uid="{2182377E-4806-475A-8B70-FD1E1675F657}"/>
    <cellStyle name="Normal 2 79 2 2 2 8" xfId="21947" xr:uid="{EAA6868A-0F24-4DCD-9E32-82FA9907C310}"/>
    <cellStyle name="Normal 2 79 2 2 2 8 2" xfId="21948" xr:uid="{80E536DB-A01C-4B2C-AB6D-74B5D8DEDF6F}"/>
    <cellStyle name="Normal 2 79 2 2 2 8 3" xfId="21949" xr:uid="{478D45E0-2F99-4DC2-AC80-D36EA4ACA506}"/>
    <cellStyle name="Normal 2 79 2 2 2 8 4" xfId="21950" xr:uid="{AEBA3997-BBEE-4401-B1A6-F9264A2D5824}"/>
    <cellStyle name="Normal 2 79 2 2 2 9" xfId="21951" xr:uid="{10803B29-B1FC-40CB-87A3-A6C26F8BF254}"/>
    <cellStyle name="Normal 2 79 2 2 3" xfId="21952" xr:uid="{F52FBABB-0018-4AB3-AB38-0FC03F5B3630}"/>
    <cellStyle name="Normal 2 79 2 2 4" xfId="21953" xr:uid="{A743BC0F-172F-4E83-A11A-B3EB3DF96B3E}"/>
    <cellStyle name="Normal 2 79 2 2 5" xfId="21954" xr:uid="{4ABB18E0-4D59-4403-8B69-BC4FCE701170}"/>
    <cellStyle name="Normal 2 79 2 2 5 2" xfId="21955" xr:uid="{22D53CA1-F927-4F6A-9227-50D3B9B4C8BD}"/>
    <cellStyle name="Normal 2 79 2 2 5 2 2" xfId="21956" xr:uid="{3B50ECCA-DA17-4FB7-B9E0-CCA314CD22C9}"/>
    <cellStyle name="Normal 2 79 2 2 5 2 3" xfId="21957" xr:uid="{6B712940-8B16-4AAE-A9B4-D0079C596F8B}"/>
    <cellStyle name="Normal 2 79 2 2 5 2 4" xfId="21958" xr:uid="{54A4FE15-37D3-4EE4-BB08-99AA7725A1CA}"/>
    <cellStyle name="Normal 2 79 2 2 5 3" xfId="21959" xr:uid="{E2DF111B-3030-40B9-837D-4459910FB85C}"/>
    <cellStyle name="Normal 2 79 2 2 5 4" xfId="21960" xr:uid="{2D7FD20A-5231-4A01-BB20-E3D902B46D61}"/>
    <cellStyle name="Normal 2 79 2 2 5 5" xfId="21961" xr:uid="{8DC6A6B9-86C7-4379-B5E9-18B9985B9022}"/>
    <cellStyle name="Normal 2 79 2 2 5 6" xfId="21962" xr:uid="{B2AB2271-12BD-4151-B76F-7B6D59CED0B3}"/>
    <cellStyle name="Normal 2 79 2 2 6" xfId="21963" xr:uid="{832078DD-2800-4A17-9C1C-BF75179EC786}"/>
    <cellStyle name="Normal 2 79 2 2 7" xfId="21964" xr:uid="{BD3E60C4-87D0-4751-8031-861A685E20A5}"/>
    <cellStyle name="Normal 2 79 2 2 8" xfId="21965" xr:uid="{3A7FC420-A5A8-4BE1-9BEE-A2F731366DED}"/>
    <cellStyle name="Normal 2 79 2 2 9" xfId="21966" xr:uid="{899880E7-3D4D-40A6-B760-A89065014BA9}"/>
    <cellStyle name="Normal 2 79 2 3" xfId="21967" xr:uid="{4AC80DB9-7084-41E1-97C6-CB4021D5DB0A}"/>
    <cellStyle name="Normal 2 79 2 4" xfId="21968" xr:uid="{1D42F607-7F89-4CBE-9DD7-8E2A97A8C7F4}"/>
    <cellStyle name="Normal 2 79 2 5" xfId="21969" xr:uid="{35A6FC8C-BCFB-49D0-9C9B-295953CA4BD6}"/>
    <cellStyle name="Normal 2 79 2 5 10" xfId="21970" xr:uid="{DDF4B979-856B-4C27-903F-84A224580095}"/>
    <cellStyle name="Normal 2 79 2 5 11" xfId="21971" xr:uid="{89689AB1-9A47-4C69-9325-83690809A160}"/>
    <cellStyle name="Normal 2 79 2 5 2" xfId="21972" xr:uid="{E8F04654-6476-4C0E-9864-E25D30B1C4A8}"/>
    <cellStyle name="Normal 2 79 2 5 2 10" xfId="21973" xr:uid="{E642D1D1-3310-465E-803E-874B485AB7A4}"/>
    <cellStyle name="Normal 2 79 2 5 2 11" xfId="21974" xr:uid="{8BFEC407-4FE4-4725-83DA-BF3D10B2F090}"/>
    <cellStyle name="Normal 2 79 2 5 2 2" xfId="21975" xr:uid="{8B149079-FAD8-417A-8768-480A9F8921A6}"/>
    <cellStyle name="Normal 2 79 2 5 2 2 2" xfId="21976" xr:uid="{6E408B0F-1885-4555-8FAA-DCEFB2160EA6}"/>
    <cellStyle name="Normal 2 79 2 5 2 2 2 2" xfId="21977" xr:uid="{9F9B4BD0-8C4E-433E-A586-7D7956FED739}"/>
    <cellStyle name="Normal 2 79 2 5 2 2 2 3" xfId="21978" xr:uid="{F7D0650E-6106-4F07-9A60-A506226D3F7F}"/>
    <cellStyle name="Normal 2 79 2 5 2 2 2 4" xfId="21979" xr:uid="{362AF31C-F3F6-4740-B038-3C09C737D46F}"/>
    <cellStyle name="Normal 2 79 2 5 2 2 3" xfId="21980" xr:uid="{CEDF284B-0391-4F9D-825B-B6EFA0E27938}"/>
    <cellStyle name="Normal 2 79 2 5 2 2 4" xfId="21981" xr:uid="{51E5D962-BB8E-48C9-82A6-E91524A97258}"/>
    <cellStyle name="Normal 2 79 2 5 2 2 5" xfId="21982" xr:uid="{74DCBE4D-1060-4F3E-9B89-FFD814395F16}"/>
    <cellStyle name="Normal 2 79 2 5 2 2 6" xfId="21983" xr:uid="{896A52B9-5E2F-4CF9-AFC0-630960E22359}"/>
    <cellStyle name="Normal 2 79 2 5 2 3" xfId="21984" xr:uid="{9F4AC502-D2A7-4F8D-A915-160A51279D2E}"/>
    <cellStyle name="Normal 2 79 2 5 2 4" xfId="21985" xr:uid="{743D14C7-3BE6-4E87-B0D2-0EF56E8217F9}"/>
    <cellStyle name="Normal 2 79 2 5 2 5" xfId="21986" xr:uid="{71EC030E-9054-416C-B91C-022B0C803C36}"/>
    <cellStyle name="Normal 2 79 2 5 2 6" xfId="21987" xr:uid="{55126900-17DC-484A-A667-2B835FCC89C1}"/>
    <cellStyle name="Normal 2 79 2 5 2 7" xfId="21988" xr:uid="{54738078-587C-4DCB-8534-696C2A0E2C4E}"/>
    <cellStyle name="Normal 2 79 2 5 2 8" xfId="21989" xr:uid="{F6B869A4-EFB9-439C-8707-C9FDC9C9CB73}"/>
    <cellStyle name="Normal 2 79 2 5 2 8 2" xfId="21990" xr:uid="{E71D619E-DC06-43D7-84D3-C6D2FAD1CB61}"/>
    <cellStyle name="Normal 2 79 2 5 2 8 3" xfId="21991" xr:uid="{17B52C32-0D86-4043-98E6-5211D18B0816}"/>
    <cellStyle name="Normal 2 79 2 5 2 8 4" xfId="21992" xr:uid="{3D872EDC-782C-40D9-90EF-BAF8C15446A5}"/>
    <cellStyle name="Normal 2 79 2 5 2 9" xfId="21993" xr:uid="{5A6CA9AC-907C-425C-878D-8C382F099B0F}"/>
    <cellStyle name="Normal 2 79 2 5 3" xfId="21994" xr:uid="{EC2A5C4D-822A-408B-BFF2-E69E318C2455}"/>
    <cellStyle name="Normal 2 79 2 5 3 2" xfId="21995" xr:uid="{55FAA7E0-5363-446D-B3CB-63A944E02B4E}"/>
    <cellStyle name="Normal 2 79 2 5 3 2 2" xfId="21996" xr:uid="{1A3B033A-3AEC-4140-B92F-A247D0F24070}"/>
    <cellStyle name="Normal 2 79 2 5 3 2 3" xfId="21997" xr:uid="{43AF3CAD-335C-456E-9AAA-B56AE3E7185D}"/>
    <cellStyle name="Normal 2 79 2 5 3 2 4" xfId="21998" xr:uid="{FFE4584E-D237-4A3E-BCE8-5D0FDCB5B250}"/>
    <cellStyle name="Normal 2 79 2 5 3 3" xfId="21999" xr:uid="{6E95BBD9-21B5-48D2-A648-335A7FF86763}"/>
    <cellStyle name="Normal 2 79 2 5 3 4" xfId="22000" xr:uid="{8B1E3FFB-A1CB-45F1-82EB-E317A3CC71EE}"/>
    <cellStyle name="Normal 2 79 2 5 3 5" xfId="22001" xr:uid="{4FBB2469-050C-406F-98CD-44C1D581DF7C}"/>
    <cellStyle name="Normal 2 79 2 5 3 6" xfId="22002" xr:uid="{9E560C08-12E5-44FB-BB41-0F5EA83D9638}"/>
    <cellStyle name="Normal 2 79 2 5 4" xfId="22003" xr:uid="{E888CA28-D687-4B19-A84F-A355D9F893FD}"/>
    <cellStyle name="Normal 2 79 2 5 5" xfId="22004" xr:uid="{23E5B5D9-AA87-42BA-9441-547E79D50A35}"/>
    <cellStyle name="Normal 2 79 2 5 6" xfId="22005" xr:uid="{25CE2D7E-1E82-4EB7-8856-9CF5F38F4DBA}"/>
    <cellStyle name="Normal 2 79 2 5 7" xfId="22006" xr:uid="{F4EE729D-27F9-4E6D-A446-9D47854CE57F}"/>
    <cellStyle name="Normal 2 79 2 5 8" xfId="22007" xr:uid="{14E5B04A-0EDF-48D4-993F-EB6D11672B5D}"/>
    <cellStyle name="Normal 2 79 2 5 8 2" xfId="22008" xr:uid="{5D4A7DFE-5CBD-4F14-B596-BF0409F44CB4}"/>
    <cellStyle name="Normal 2 79 2 5 8 3" xfId="22009" xr:uid="{3E95CE71-2053-42F0-98AB-59E30425850C}"/>
    <cellStyle name="Normal 2 79 2 5 8 4" xfId="22010" xr:uid="{A7ACB2C3-6B42-46FD-95DF-A31A352FFE53}"/>
    <cellStyle name="Normal 2 79 2 5 9" xfId="22011" xr:uid="{CB326623-A067-4197-8E7C-38F54CC488A9}"/>
    <cellStyle name="Normal 2 79 2 6" xfId="22012" xr:uid="{B4955BCF-4BF3-48EE-A393-2F1A632742D2}"/>
    <cellStyle name="Normal 2 79 2 7" xfId="22013" xr:uid="{16D51847-6CAC-43D2-A3CC-AC6087C90DBB}"/>
    <cellStyle name="Normal 2 79 2 7 2" xfId="22014" xr:uid="{E7FD7B9C-B601-4B2E-B0B0-FA685C40AFF7}"/>
    <cellStyle name="Normal 2 79 2 7 2 2" xfId="22015" xr:uid="{443BBD3D-E898-4487-8CA2-E66020B3F76C}"/>
    <cellStyle name="Normal 2 79 2 7 2 3" xfId="22016" xr:uid="{014A9542-0839-4161-B778-897EFEB95482}"/>
    <cellStyle name="Normal 2 79 2 7 2 4" xfId="22017" xr:uid="{918C6A70-ACE8-4F5C-ADAB-754F8821981B}"/>
    <cellStyle name="Normal 2 79 2 7 3" xfId="22018" xr:uid="{16605F3C-0B3E-4E12-85FE-C3E596083EC3}"/>
    <cellStyle name="Normal 2 79 2 7 4" xfId="22019" xr:uid="{0A19BEAA-BE64-4318-9650-A7B65C17A9F2}"/>
    <cellStyle name="Normal 2 79 2 7 5" xfId="22020" xr:uid="{C0ED5A78-06F0-4557-9A66-77A3A9BA22E0}"/>
    <cellStyle name="Normal 2 79 2 7 6" xfId="22021" xr:uid="{86CAAF85-AF94-48CE-974F-0A2EFB85D489}"/>
    <cellStyle name="Normal 2 79 2 8" xfId="22022" xr:uid="{A6CF4C95-01E1-4B79-8D1D-83DF53B5222A}"/>
    <cellStyle name="Normal 2 79 2 9" xfId="22023" xr:uid="{F13303E9-B8ED-4960-898C-4D62C5F23444}"/>
    <cellStyle name="Normal 2 79 20" xfId="22024" xr:uid="{6D9AE238-DEE0-451F-B98F-1DCB699B3250}"/>
    <cellStyle name="Normal 2 79 21" xfId="22025" xr:uid="{B2D8654E-1DD7-4AFE-8681-07EB7E6BCE8F}"/>
    <cellStyle name="Normal 2 79 21 2" xfId="22026" xr:uid="{41C2AF62-1D0C-4402-9C5B-E95EBC14807E}"/>
    <cellStyle name="Normal 2 79 21 3" xfId="22027" xr:uid="{72AB1D54-B330-4458-84CC-AFE7779FE25D}"/>
    <cellStyle name="Normal 2 79 21 4" xfId="22028" xr:uid="{D9D77070-03C7-49A3-AB7D-959119EDA248}"/>
    <cellStyle name="Normal 2 79 22" xfId="22029" xr:uid="{2DE15610-7589-4F2A-8EF0-1CAE5EFF83A8}"/>
    <cellStyle name="Normal 2 79 23" xfId="22030" xr:uid="{503FB2AB-9088-4B83-9232-99E7BA2E92B3}"/>
    <cellStyle name="Normal 2 79 24" xfId="22031" xr:uid="{600CF000-ADEB-41A9-914E-559A1D2D677B}"/>
    <cellStyle name="Normal 2 79 3" xfId="22032" xr:uid="{0A7C2A9B-3A45-4C2E-9DA0-D59DD72EC844}"/>
    <cellStyle name="Normal 2 79 4" xfId="22033" xr:uid="{49F5B502-1304-40FE-ABEA-B756E34D4FB9}"/>
    <cellStyle name="Normal 2 79 5" xfId="22034" xr:uid="{D9AE6E54-D2EC-4946-877F-78CDFBC86850}"/>
    <cellStyle name="Normal 2 79 6" xfId="22035" xr:uid="{0DF7A802-86B2-4CC2-BE59-6545CE7E1C59}"/>
    <cellStyle name="Normal 2 79 7" xfId="22036" xr:uid="{A4497930-3397-431D-9204-026C67F9208A}"/>
    <cellStyle name="Normal 2 79 8" xfId="22037" xr:uid="{15902C8C-FAEA-470A-BAFD-E972628A8580}"/>
    <cellStyle name="Normal 2 79 9" xfId="22038" xr:uid="{95EEB453-D972-46C9-8449-1099ED3EFA33}"/>
    <cellStyle name="Normal 2 8" xfId="22039" xr:uid="{36A1B8D5-5A0B-4A96-9D7A-BC981A4F796B}"/>
    <cellStyle name="Normal 2 8 2" xfId="22040" xr:uid="{2B8BF86F-8667-4868-8FDF-B38A5B91AB4B}"/>
    <cellStyle name="Normal 2 8 3" xfId="22041" xr:uid="{7985962A-89B5-4DA1-96C6-4C8D857B3EB6}"/>
    <cellStyle name="Normal 2 8 4" xfId="22042" xr:uid="{77A335FA-0C89-471D-B64E-9304C81E7392}"/>
    <cellStyle name="Normal 2 80" xfId="22043" xr:uid="{9E1695FF-C8FA-4B71-ADDD-A1FB81841673}"/>
    <cellStyle name="Normal 2 80 10" xfId="22044" xr:uid="{8BB92AE4-5501-48B7-9463-12984CBD04F8}"/>
    <cellStyle name="Normal 2 80 11" xfId="22045" xr:uid="{932D7EEF-E035-4876-8840-196B6112CBA5}"/>
    <cellStyle name="Normal 2 80 12" xfId="22046" xr:uid="{E9074B68-2930-4EB5-BCEE-E4B5706A968A}"/>
    <cellStyle name="Normal 2 80 13" xfId="22047" xr:uid="{A84ECC3D-AEDE-4E70-A420-62E17E6870CC}"/>
    <cellStyle name="Normal 2 80 13 2" xfId="22048" xr:uid="{748CDEA5-0490-4736-B18B-3CC15CBF1694}"/>
    <cellStyle name="Normal 2 80 13 3" xfId="22049" xr:uid="{9375E319-0195-4CD6-A680-9181C9E9D9FF}"/>
    <cellStyle name="Normal 2 80 13 4" xfId="22050" xr:uid="{C5014A18-2338-44CA-A2B3-22ACE928FB57}"/>
    <cellStyle name="Normal 2 80 14" xfId="22051" xr:uid="{29EF69F1-FBB8-46EF-842D-F7DBF7197CAC}"/>
    <cellStyle name="Normal 2 80 15" xfId="22052" xr:uid="{93972095-C9D3-4D79-BE09-506330CF40FE}"/>
    <cellStyle name="Normal 2 80 16" xfId="22053" xr:uid="{9A2A0B9A-D04B-49A3-99D7-32C8B0357F8C}"/>
    <cellStyle name="Normal 2 80 2" xfId="22054" xr:uid="{0C87008E-8DC0-4950-94C9-DD9BA0B828CC}"/>
    <cellStyle name="Normal 2 80 2 10" xfId="22055" xr:uid="{E084B676-ED74-4621-BB5F-4BC92A846A69}"/>
    <cellStyle name="Normal 2 80 2 11" xfId="22056" xr:uid="{2249E89D-B917-4705-82FA-9039DF72D2E6}"/>
    <cellStyle name="Normal 2 80 2 11 2" xfId="22057" xr:uid="{3F79EF86-8F7B-4A58-8AB5-1F0F1B0D7E3D}"/>
    <cellStyle name="Normal 2 80 2 11 3" xfId="22058" xr:uid="{0ADD2A80-8382-4E0B-B09A-769545ECF932}"/>
    <cellStyle name="Normal 2 80 2 11 4" xfId="22059" xr:uid="{99439E48-E3D0-4AD4-A93C-38CACDE942E4}"/>
    <cellStyle name="Normal 2 80 2 12" xfId="22060" xr:uid="{F7B3B5CE-6E0A-4EB4-9C5E-C673A9C63D34}"/>
    <cellStyle name="Normal 2 80 2 13" xfId="22061" xr:uid="{E615F7FD-A8FC-4ED0-A826-627A79EAB367}"/>
    <cellStyle name="Normal 2 80 2 14" xfId="22062" xr:uid="{34BF08FD-9186-4472-AD7B-221C0CC8193D}"/>
    <cellStyle name="Normal 2 80 2 2" xfId="22063" xr:uid="{9D5CAAB5-170C-4371-AE53-95225CD8794D}"/>
    <cellStyle name="Normal 2 80 2 2 10" xfId="22064" xr:uid="{921428FC-E128-4D95-BF85-CA2EB7192DAB}"/>
    <cellStyle name="Normal 2 80 2 2 11" xfId="22065" xr:uid="{F904FE22-C8E5-4E56-8C1C-E4D5BE2A771A}"/>
    <cellStyle name="Normal 2 80 2 2 2" xfId="22066" xr:uid="{C1CF4E69-B691-4A37-A0BB-7D37BEE4B176}"/>
    <cellStyle name="Normal 2 80 2 2 2 10" xfId="22067" xr:uid="{8D3FB4A6-ED9F-4D00-A416-7FAF755C0D54}"/>
    <cellStyle name="Normal 2 80 2 2 2 11" xfId="22068" xr:uid="{D29C5708-050B-4C50-AE1B-1B58E1A6D273}"/>
    <cellStyle name="Normal 2 80 2 2 2 2" xfId="22069" xr:uid="{7B077DC7-9214-4322-AFA1-DF3BD3D2D924}"/>
    <cellStyle name="Normal 2 80 2 2 2 2 2" xfId="22070" xr:uid="{2DB129CF-88FA-433B-9B0A-A1E2C6F39D96}"/>
    <cellStyle name="Normal 2 80 2 2 2 2 2 2" xfId="22071" xr:uid="{F2DFDD6C-F733-403C-BC4F-14A6EED11BA2}"/>
    <cellStyle name="Normal 2 80 2 2 2 2 2 3" xfId="22072" xr:uid="{5A4EEB3B-D428-4136-8549-1C0A2391E9E8}"/>
    <cellStyle name="Normal 2 80 2 2 2 2 2 4" xfId="22073" xr:uid="{31F784AF-DD9D-4841-8AC4-1DE4125F39E8}"/>
    <cellStyle name="Normal 2 80 2 2 2 2 3" xfId="22074" xr:uid="{E3EBE006-B008-41ED-8F89-B54FDB75AAD9}"/>
    <cellStyle name="Normal 2 80 2 2 2 2 4" xfId="22075" xr:uid="{0F5AAAE4-025D-49EA-9353-8C0553DBBB23}"/>
    <cellStyle name="Normal 2 80 2 2 2 2 5" xfId="22076" xr:uid="{2B5621F3-FD81-4CBF-9690-D640F9B7D59E}"/>
    <cellStyle name="Normal 2 80 2 2 2 2 6" xfId="22077" xr:uid="{C44BCD0D-40D6-4455-BAA6-9BD7A3498948}"/>
    <cellStyle name="Normal 2 80 2 2 2 3" xfId="22078" xr:uid="{414540CD-4D29-4271-8AA7-4C932C89016E}"/>
    <cellStyle name="Normal 2 80 2 2 2 4" xfId="22079" xr:uid="{BA96F127-5533-4D0C-AAB1-40E3828610A0}"/>
    <cellStyle name="Normal 2 80 2 2 2 5" xfId="22080" xr:uid="{7CDD84D3-858A-4249-8563-0AD1485F54D5}"/>
    <cellStyle name="Normal 2 80 2 2 2 6" xfId="22081" xr:uid="{CDD189F0-BE0B-41F6-96BF-2D9DC90A1311}"/>
    <cellStyle name="Normal 2 80 2 2 2 7" xfId="22082" xr:uid="{79DEAF91-6856-4E9F-8599-FCC0BA85E53B}"/>
    <cellStyle name="Normal 2 80 2 2 2 8" xfId="22083" xr:uid="{4A04974B-F122-49E4-9A08-0744FE3BEE74}"/>
    <cellStyle name="Normal 2 80 2 2 2 8 2" xfId="22084" xr:uid="{A4F261F1-71F3-4179-A623-58174053C79A}"/>
    <cellStyle name="Normal 2 80 2 2 2 8 3" xfId="22085" xr:uid="{D8FB7210-7EAA-4C5C-AC00-53CFC908FE73}"/>
    <cellStyle name="Normal 2 80 2 2 2 8 4" xfId="22086" xr:uid="{3DF7B589-700D-4C39-BC19-51C1847354CF}"/>
    <cellStyle name="Normal 2 80 2 2 2 9" xfId="22087" xr:uid="{AD3BAF42-7351-47A9-B689-D269FB7C83CC}"/>
    <cellStyle name="Normal 2 80 2 2 3" xfId="22088" xr:uid="{3E9E2DDE-DD57-4A09-AF99-90EE41FBE5EA}"/>
    <cellStyle name="Normal 2 80 2 2 3 2" xfId="22089" xr:uid="{B7E749C4-E6A2-4A08-9F36-EA721ECD8C3E}"/>
    <cellStyle name="Normal 2 80 2 2 3 2 2" xfId="22090" xr:uid="{49C23526-A565-4CFC-A754-2E805709E07D}"/>
    <cellStyle name="Normal 2 80 2 2 3 2 3" xfId="22091" xr:uid="{239CC6B2-D31C-474B-A6DC-6E4DC0978B24}"/>
    <cellStyle name="Normal 2 80 2 2 3 2 4" xfId="22092" xr:uid="{FBE90487-7BC0-48A9-A2B0-EFCC18044923}"/>
    <cellStyle name="Normal 2 80 2 2 3 3" xfId="22093" xr:uid="{37FFB69D-C5C1-49C8-AFAE-5E162D08342E}"/>
    <cellStyle name="Normal 2 80 2 2 3 4" xfId="22094" xr:uid="{63AA0DD0-B1AC-450C-9E92-B4A058681A31}"/>
    <cellStyle name="Normal 2 80 2 2 3 5" xfId="22095" xr:uid="{41E96569-1152-4EFD-A7F3-1F21030EBCD6}"/>
    <cellStyle name="Normal 2 80 2 2 3 6" xfId="22096" xr:uid="{260ABE1F-9867-462F-AF04-183D8D796156}"/>
    <cellStyle name="Normal 2 80 2 2 4" xfId="22097" xr:uid="{86ED5582-0592-455D-AA53-BADE0081C78D}"/>
    <cellStyle name="Normal 2 80 2 2 5" xfId="22098" xr:uid="{09965DAC-1600-4AF4-B22C-9B0C644102ED}"/>
    <cellStyle name="Normal 2 80 2 2 6" xfId="22099" xr:uid="{A4EEA0A8-307A-4C0B-B339-8F3F23CF6E0A}"/>
    <cellStyle name="Normal 2 80 2 2 7" xfId="22100" xr:uid="{3FD64B56-7B07-4928-83A4-D6650EB74B8C}"/>
    <cellStyle name="Normal 2 80 2 2 8" xfId="22101" xr:uid="{8ABFFCDC-73BF-4977-93A5-F37170BCB2AE}"/>
    <cellStyle name="Normal 2 80 2 2 8 2" xfId="22102" xr:uid="{ED5E0C8B-ACE6-421C-B8F8-E64E0239F0B6}"/>
    <cellStyle name="Normal 2 80 2 2 8 3" xfId="22103" xr:uid="{22940745-22F3-4E50-A212-AADEA8526866}"/>
    <cellStyle name="Normal 2 80 2 2 8 4" xfId="22104" xr:uid="{853FA7E4-7E1D-46A9-8006-E7841C06FC0F}"/>
    <cellStyle name="Normal 2 80 2 2 9" xfId="22105" xr:uid="{D68B1D8E-B392-4591-8B93-62163E4E3230}"/>
    <cellStyle name="Normal 2 80 2 3" xfId="22106" xr:uid="{3D265A92-22D8-436F-AC20-33523513AC92}"/>
    <cellStyle name="Normal 2 80 2 4" xfId="22107" xr:uid="{A82D899C-51A2-49FC-8DBA-EC0ED009827B}"/>
    <cellStyle name="Normal 2 80 2 5" xfId="22108" xr:uid="{5E2F0782-4685-4CED-A024-7A5EB3D838A5}"/>
    <cellStyle name="Normal 2 80 2 5 2" xfId="22109" xr:uid="{268F780A-7170-47C4-ACE9-EEDA2F2AD1FD}"/>
    <cellStyle name="Normal 2 80 2 5 2 2" xfId="22110" xr:uid="{C7F62475-4835-4385-B0C4-F8F60EE2676F}"/>
    <cellStyle name="Normal 2 80 2 5 2 3" xfId="22111" xr:uid="{F63922AB-2624-45F1-A872-30E4528C3A0F}"/>
    <cellStyle name="Normal 2 80 2 5 2 4" xfId="22112" xr:uid="{626F996B-0273-4448-A326-391737F42499}"/>
    <cellStyle name="Normal 2 80 2 5 3" xfId="22113" xr:uid="{A9BC2CD9-31BD-4E82-9518-989D55610CA6}"/>
    <cellStyle name="Normal 2 80 2 5 4" xfId="22114" xr:uid="{819929EE-F753-4D37-B8E6-600E84516F85}"/>
    <cellStyle name="Normal 2 80 2 5 5" xfId="22115" xr:uid="{EC928FDA-5770-4396-8FFE-CA9803FE8602}"/>
    <cellStyle name="Normal 2 80 2 5 6" xfId="22116" xr:uid="{06151569-DDBB-4A68-A024-B495F7724A2C}"/>
    <cellStyle name="Normal 2 80 2 6" xfId="22117" xr:uid="{8CCC0E83-2D2A-4A78-AAEF-EC9EA2973693}"/>
    <cellStyle name="Normal 2 80 2 7" xfId="22118" xr:uid="{2C5F11D6-EE26-4570-939C-5CADFD6CC00C}"/>
    <cellStyle name="Normal 2 80 2 8" xfId="22119" xr:uid="{F134C1CB-6633-4C88-B843-9A9E06BC18EE}"/>
    <cellStyle name="Normal 2 80 2 9" xfId="22120" xr:uid="{032E8CD8-829C-40FF-AB16-E0E4145D47C2}"/>
    <cellStyle name="Normal 2 80 3" xfId="22121" xr:uid="{2A1FD4F9-2F05-45D3-AAB9-F60963E9CAC6}"/>
    <cellStyle name="Normal 2 80 4" xfId="22122" xr:uid="{02FFB8BB-2414-4A16-A4AF-D807BDF9F926}"/>
    <cellStyle name="Normal 2 80 5" xfId="22123" xr:uid="{8C802B12-9BC1-4E1E-80E1-098F6DA77E40}"/>
    <cellStyle name="Normal 2 80 5 10" xfId="22124" xr:uid="{775CC357-5862-4520-A5BA-17129169AD46}"/>
    <cellStyle name="Normal 2 80 5 11" xfId="22125" xr:uid="{19169A27-D4E4-49E1-AA90-1DA16CBED52C}"/>
    <cellStyle name="Normal 2 80 5 2" xfId="22126" xr:uid="{FCF76BDB-24ED-41B4-854E-5FB68D703478}"/>
    <cellStyle name="Normal 2 80 5 2 10" xfId="22127" xr:uid="{B6377BC6-8DDE-4CA4-A18F-E81C58B4408B}"/>
    <cellStyle name="Normal 2 80 5 2 11" xfId="22128" xr:uid="{CACDE24F-9D2B-4514-B620-19D94B973FC6}"/>
    <cellStyle name="Normal 2 80 5 2 2" xfId="22129" xr:uid="{1A023DC9-B020-48EA-A87C-A3BF4302A233}"/>
    <cellStyle name="Normal 2 80 5 2 2 2" xfId="22130" xr:uid="{83476AA9-E121-4328-973E-7A9FC28FA5F0}"/>
    <cellStyle name="Normal 2 80 5 2 2 2 2" xfId="22131" xr:uid="{BBA1E43E-316E-47EB-8A26-D9B99286E983}"/>
    <cellStyle name="Normal 2 80 5 2 2 2 3" xfId="22132" xr:uid="{5A6BB121-9352-46F0-A5FF-743EFB29E13B}"/>
    <cellStyle name="Normal 2 80 5 2 2 2 4" xfId="22133" xr:uid="{304C1178-FB5F-4486-A9FB-7A3BB86B320E}"/>
    <cellStyle name="Normal 2 80 5 2 2 3" xfId="22134" xr:uid="{6FFDF226-2E42-43AC-B73E-0019A6427188}"/>
    <cellStyle name="Normal 2 80 5 2 2 4" xfId="22135" xr:uid="{D3ADFC6F-AEE6-4442-A231-588970C240B3}"/>
    <cellStyle name="Normal 2 80 5 2 2 5" xfId="22136" xr:uid="{E55D5666-C52C-48CA-B9E6-0D9584995D7E}"/>
    <cellStyle name="Normal 2 80 5 2 2 6" xfId="22137" xr:uid="{D7D02E46-B39B-4214-98A3-A9A7EA66C56A}"/>
    <cellStyle name="Normal 2 80 5 2 3" xfId="22138" xr:uid="{770A7B2F-C8CB-45AD-B53F-20860B18138D}"/>
    <cellStyle name="Normal 2 80 5 2 4" xfId="22139" xr:uid="{BD5B5975-A746-4866-8656-40EEA567F83A}"/>
    <cellStyle name="Normal 2 80 5 2 5" xfId="22140" xr:uid="{B2AF5FFD-424F-4E1E-8FFC-D31736B2F19D}"/>
    <cellStyle name="Normal 2 80 5 2 6" xfId="22141" xr:uid="{D637F394-DC6D-479C-BE3B-71383B19C5D7}"/>
    <cellStyle name="Normal 2 80 5 2 7" xfId="22142" xr:uid="{834D486E-B1AA-4E73-985A-18ADF5D26198}"/>
    <cellStyle name="Normal 2 80 5 2 8" xfId="22143" xr:uid="{961438E7-9A22-4F6F-A834-40A1C511ABAE}"/>
    <cellStyle name="Normal 2 80 5 2 8 2" xfId="22144" xr:uid="{7EF11289-9449-466B-9CE4-93A900CB2C04}"/>
    <cellStyle name="Normal 2 80 5 2 8 3" xfId="22145" xr:uid="{00CAAC19-0EA0-45F4-A213-A1CFF588A277}"/>
    <cellStyle name="Normal 2 80 5 2 8 4" xfId="22146" xr:uid="{2255DE4B-B85A-48E7-9456-E0406142FCAF}"/>
    <cellStyle name="Normal 2 80 5 2 9" xfId="22147" xr:uid="{BECFC4A3-E82A-4088-B579-AE2FD5048582}"/>
    <cellStyle name="Normal 2 80 5 3" xfId="22148" xr:uid="{0B252750-397A-42D6-B99E-3E57B969528C}"/>
    <cellStyle name="Normal 2 80 5 3 2" xfId="22149" xr:uid="{3E8FDA9D-2DC4-4A38-8D8D-11E693A261BB}"/>
    <cellStyle name="Normal 2 80 5 3 2 2" xfId="22150" xr:uid="{EBEB112B-AA13-4F1E-8629-EAFE72D34F9D}"/>
    <cellStyle name="Normal 2 80 5 3 2 3" xfId="22151" xr:uid="{C523A5CA-024B-407E-9457-6E6AB7E24042}"/>
    <cellStyle name="Normal 2 80 5 3 2 4" xfId="22152" xr:uid="{89E037D9-E03B-4F30-9C16-035DD2E27084}"/>
    <cellStyle name="Normal 2 80 5 3 3" xfId="22153" xr:uid="{A9313FEB-FF9D-4F1F-B85D-E23587A54693}"/>
    <cellStyle name="Normal 2 80 5 3 4" xfId="22154" xr:uid="{B322F0E9-D5E2-48B7-AB77-860A391C174A}"/>
    <cellStyle name="Normal 2 80 5 3 5" xfId="22155" xr:uid="{7A649854-3635-4A0D-970C-D5DED4177646}"/>
    <cellStyle name="Normal 2 80 5 3 6" xfId="22156" xr:uid="{0D6DC837-CB47-4E6B-95EF-A6B9577CB417}"/>
    <cellStyle name="Normal 2 80 5 4" xfId="22157" xr:uid="{EEBF01B5-38DF-4DE3-819B-AF8155F54BA5}"/>
    <cellStyle name="Normal 2 80 5 5" xfId="22158" xr:uid="{A19B340A-9492-44C6-8833-5EE634286445}"/>
    <cellStyle name="Normal 2 80 5 6" xfId="22159" xr:uid="{99A2CF0E-E42D-457E-B766-4ECF216D0F08}"/>
    <cellStyle name="Normal 2 80 5 7" xfId="22160" xr:uid="{A7258043-4C8D-4057-95DD-F3CD526D1697}"/>
    <cellStyle name="Normal 2 80 5 8" xfId="22161" xr:uid="{DFB696CB-362E-4950-8476-A5DD9AB14041}"/>
    <cellStyle name="Normal 2 80 5 8 2" xfId="22162" xr:uid="{595A06C1-A806-410D-813C-FF9018E364F9}"/>
    <cellStyle name="Normal 2 80 5 8 3" xfId="22163" xr:uid="{47CEFDB6-41C2-4BD9-B526-60A528A2FE9A}"/>
    <cellStyle name="Normal 2 80 5 8 4" xfId="22164" xr:uid="{1D857D93-B2E6-42DB-9418-BD1998C4D38F}"/>
    <cellStyle name="Normal 2 80 5 9" xfId="22165" xr:uid="{B30F2DD4-9B2F-403E-8EB7-4941B176A015}"/>
    <cellStyle name="Normal 2 80 6" xfId="22166" xr:uid="{C1E59F7E-BE75-4EA9-A949-C66B64D6799C}"/>
    <cellStyle name="Normal 2 80 7" xfId="22167" xr:uid="{AC3D3D49-153B-4438-A5B7-8360075A6DFB}"/>
    <cellStyle name="Normal 2 80 7 2" xfId="22168" xr:uid="{159029F4-EAC8-44EA-85E4-9713B7442D03}"/>
    <cellStyle name="Normal 2 80 7 2 2" xfId="22169" xr:uid="{57BA8E0F-8226-4864-83E9-6A8D7D6C2D79}"/>
    <cellStyle name="Normal 2 80 7 2 3" xfId="22170" xr:uid="{AC85472A-7EFA-4301-874A-DBEB81F1C1F4}"/>
    <cellStyle name="Normal 2 80 7 2 4" xfId="22171" xr:uid="{5ECC5A51-6BA3-4302-BB8B-584E694F3A95}"/>
    <cellStyle name="Normal 2 80 7 3" xfId="22172" xr:uid="{8079A718-C2AB-4D15-8B2E-7E6C2821A6CF}"/>
    <cellStyle name="Normal 2 80 7 4" xfId="22173" xr:uid="{936F9ECC-A5E0-4E7D-BB96-96C7AF408512}"/>
    <cellStyle name="Normal 2 80 7 5" xfId="22174" xr:uid="{9FF0B2CC-8669-421F-AF0A-93271252C363}"/>
    <cellStyle name="Normal 2 80 7 6" xfId="22175" xr:uid="{8E734C1B-8DA7-496F-A2A2-1D8BE9E3E17D}"/>
    <cellStyle name="Normal 2 80 8" xfId="22176" xr:uid="{BBABC335-0D7B-4C13-BB2B-FDA988F36D25}"/>
    <cellStyle name="Normal 2 80 9" xfId="22177" xr:uid="{78CFDE44-834D-42FE-922F-4DF7CF26E6C3}"/>
    <cellStyle name="Normal 2 81" xfId="22178" xr:uid="{9186C3CB-3538-4D94-908D-04D3C9413FFF}"/>
    <cellStyle name="Normal 2 82" xfId="22179" xr:uid="{D596BE21-4B70-41A6-8E0A-8913861C8E32}"/>
    <cellStyle name="Normal 2 83" xfId="22180" xr:uid="{4828613F-D1E5-451F-8034-D79F53F28AEE}"/>
    <cellStyle name="Normal 2 84" xfId="22181" xr:uid="{5A5FAFAC-3383-4347-8AD8-0788687BC3A9}"/>
    <cellStyle name="Normal 2 85" xfId="22182" xr:uid="{7CFE2D62-D94D-46BC-97AB-B099D1F70698}"/>
    <cellStyle name="Normal 2 86" xfId="22183" xr:uid="{ABCD11C9-FF68-44B3-BE9B-279406E0C907}"/>
    <cellStyle name="Normal 2 87" xfId="22184" xr:uid="{50EC201B-94A2-454F-B2FD-8884ADB067BE}"/>
    <cellStyle name="Normal 2 88" xfId="22185" xr:uid="{C30F6B49-6C7A-409B-B5C1-1DE9FBEE155E}"/>
    <cellStyle name="Normal 2 88 10" xfId="22186" xr:uid="{0B85118B-19F0-43C0-A305-69B8BC796D91}"/>
    <cellStyle name="Normal 2 88 11" xfId="22187" xr:uid="{AC28EC73-B6F9-46EB-8682-1C87D371DEC1}"/>
    <cellStyle name="Normal 2 88 11 2" xfId="22188" xr:uid="{0DE0EB2A-4D7C-4B84-BEF6-643DDFB29CAD}"/>
    <cellStyle name="Normal 2 88 11 3" xfId="22189" xr:uid="{2DF00BB3-0A9F-4C8B-993B-D8328D6BF7C6}"/>
    <cellStyle name="Normal 2 88 11 4" xfId="22190" xr:uid="{2DDFFCA1-0724-47C2-8D0D-57537CFBA91B}"/>
    <cellStyle name="Normal 2 88 12" xfId="22191" xr:uid="{10923AF7-CA44-453E-BEC1-1A8C9A763C2A}"/>
    <cellStyle name="Normal 2 88 13" xfId="22192" xr:uid="{9B6DEA81-F57F-4906-B43F-5C8688A90234}"/>
    <cellStyle name="Normal 2 88 14" xfId="22193" xr:uid="{97D2892D-20C1-4103-B818-87203290B994}"/>
    <cellStyle name="Normal 2 88 2" xfId="22194" xr:uid="{D02116B0-7E23-4970-A274-033A13EE21C3}"/>
    <cellStyle name="Normal 2 88 2 10" xfId="22195" xr:uid="{079B1F92-6D3A-4430-B0F4-997947721114}"/>
    <cellStyle name="Normal 2 88 2 11" xfId="22196" xr:uid="{C3746746-1612-4B62-9ADD-50079CA73437}"/>
    <cellStyle name="Normal 2 88 2 2" xfId="22197" xr:uid="{D69FB390-7408-499C-934F-AA8DE5B44FBE}"/>
    <cellStyle name="Normal 2 88 2 2 10" xfId="22198" xr:uid="{92F8F070-0221-4FF8-8F3B-250F23846E3C}"/>
    <cellStyle name="Normal 2 88 2 2 11" xfId="22199" xr:uid="{878FC393-742D-40B2-B323-8360A728BCE8}"/>
    <cellStyle name="Normal 2 88 2 2 2" xfId="22200" xr:uid="{955CE7B5-8F1A-48C4-B47C-83EBF84BD63A}"/>
    <cellStyle name="Normal 2 88 2 2 2 2" xfId="22201" xr:uid="{EBD7D54E-2961-46F1-9C35-F92592D35D75}"/>
    <cellStyle name="Normal 2 88 2 2 2 2 2" xfId="22202" xr:uid="{317463C8-7368-437D-8F9F-6A1146435557}"/>
    <cellStyle name="Normal 2 88 2 2 2 2 3" xfId="22203" xr:uid="{8BAD4B10-7335-46A0-9A98-A87A13189855}"/>
    <cellStyle name="Normal 2 88 2 2 2 2 4" xfId="22204" xr:uid="{8256E06A-AF88-4468-A7A4-CD3B1601CDF0}"/>
    <cellStyle name="Normal 2 88 2 2 2 3" xfId="22205" xr:uid="{B99C7193-A9C7-4443-9C1C-308BE30C2ECF}"/>
    <cellStyle name="Normal 2 88 2 2 2 4" xfId="22206" xr:uid="{AD3E1FD7-DB46-4BC4-8447-67A9BE61C01F}"/>
    <cellStyle name="Normal 2 88 2 2 2 5" xfId="22207" xr:uid="{7F15FF00-FD67-4591-8194-DCB56116BAEE}"/>
    <cellStyle name="Normal 2 88 2 2 2 6" xfId="22208" xr:uid="{0DA5852F-C3BF-47A0-9107-B597BCEDF0D4}"/>
    <cellStyle name="Normal 2 88 2 2 3" xfId="22209" xr:uid="{4E6D0434-E2A9-4A84-83B8-64AA91D8ADD2}"/>
    <cellStyle name="Normal 2 88 2 2 4" xfId="22210" xr:uid="{06355B49-E3C4-45A4-A78C-27823A2C301D}"/>
    <cellStyle name="Normal 2 88 2 2 5" xfId="22211" xr:uid="{DBFBA213-C634-4D6B-8838-3BF694634D6C}"/>
    <cellStyle name="Normal 2 88 2 2 6" xfId="22212" xr:uid="{CF3D10E2-1F40-4836-AE94-28AB1B8CDDD9}"/>
    <cellStyle name="Normal 2 88 2 2 7" xfId="22213" xr:uid="{386D0C09-606D-4B02-828C-9C9D432D367E}"/>
    <cellStyle name="Normal 2 88 2 2 8" xfId="22214" xr:uid="{6D76349C-0555-4EA7-84BF-7975EC230AA1}"/>
    <cellStyle name="Normal 2 88 2 2 8 2" xfId="22215" xr:uid="{6138D82F-02B8-48A6-BEB0-B7F820FB0664}"/>
    <cellStyle name="Normal 2 88 2 2 8 3" xfId="22216" xr:uid="{86236C80-04D6-45A2-A768-F286B3F05F59}"/>
    <cellStyle name="Normal 2 88 2 2 8 4" xfId="22217" xr:uid="{97DF06B5-9F7F-48AD-B072-4EA7A1B9DD1E}"/>
    <cellStyle name="Normal 2 88 2 2 9" xfId="22218" xr:uid="{2588543D-1FAD-49FC-847F-166F8C7FA666}"/>
    <cellStyle name="Normal 2 88 2 3" xfId="22219" xr:uid="{08886771-AA9A-4D46-B700-3BCF59D31D71}"/>
    <cellStyle name="Normal 2 88 2 3 2" xfId="22220" xr:uid="{97AE0788-970E-4E90-B538-CC23329140CD}"/>
    <cellStyle name="Normal 2 88 2 3 2 2" xfId="22221" xr:uid="{52680584-66F5-45AC-B727-CAC04F8AECA2}"/>
    <cellStyle name="Normal 2 88 2 3 2 3" xfId="22222" xr:uid="{7504B6C3-EA50-4F19-A896-61D7374903ED}"/>
    <cellStyle name="Normal 2 88 2 3 2 4" xfId="22223" xr:uid="{7C69BE69-77EC-44FD-90EC-01A54F1BB7B3}"/>
    <cellStyle name="Normal 2 88 2 3 3" xfId="22224" xr:uid="{C97B45C1-8FEB-4EEE-BE11-7B14544CC994}"/>
    <cellStyle name="Normal 2 88 2 3 4" xfId="22225" xr:uid="{661AABD4-AE3D-4C54-ADDC-1ACD343DE012}"/>
    <cellStyle name="Normal 2 88 2 3 5" xfId="22226" xr:uid="{D97FBA51-433D-4E1A-9F14-E894FC4738DE}"/>
    <cellStyle name="Normal 2 88 2 3 6" xfId="22227" xr:uid="{795C6EDA-7A6D-4FC5-AD8F-18A63FEA823C}"/>
    <cellStyle name="Normal 2 88 2 4" xfId="22228" xr:uid="{12EBCB93-E9F2-43EC-BA7C-11788FFA8079}"/>
    <cellStyle name="Normal 2 88 2 5" xfId="22229" xr:uid="{D23F1841-CA47-4E86-86CC-CEFA86AE83EF}"/>
    <cellStyle name="Normal 2 88 2 6" xfId="22230" xr:uid="{4575F1EC-CE54-44BA-96B7-AFAFBF692ACA}"/>
    <cellStyle name="Normal 2 88 2 7" xfId="22231" xr:uid="{523FA122-3179-4310-AB18-26AD60CB843C}"/>
    <cellStyle name="Normal 2 88 2 8" xfId="22232" xr:uid="{56031A27-AEF2-40A0-A0A2-F43BB9078C9A}"/>
    <cellStyle name="Normal 2 88 2 8 2" xfId="22233" xr:uid="{E46D11AC-3A18-4414-A57F-517340FBDF7E}"/>
    <cellStyle name="Normal 2 88 2 8 3" xfId="22234" xr:uid="{9362A3D6-EC04-456F-8548-750CE13378E7}"/>
    <cellStyle name="Normal 2 88 2 8 4" xfId="22235" xr:uid="{8F4C0EB3-9AD8-4946-9B60-928DA478F48F}"/>
    <cellStyle name="Normal 2 88 2 9" xfId="22236" xr:uid="{44344803-12AF-4D38-A3EC-D3D37F81A684}"/>
    <cellStyle name="Normal 2 88 3" xfId="22237" xr:uid="{3BCB91C5-438A-414F-B2C6-CEB41E324740}"/>
    <cellStyle name="Normal 2 88 4" xfId="22238" xr:uid="{CAA05CA0-E463-4DD3-922D-BAD6BEDEBBDD}"/>
    <cellStyle name="Normal 2 88 5" xfId="22239" xr:uid="{678DB688-2A20-404A-AF56-C2AE7A5E27F8}"/>
    <cellStyle name="Normal 2 88 5 2" xfId="22240" xr:uid="{9BB526C0-0989-4534-A5EE-BFC799BBA11E}"/>
    <cellStyle name="Normal 2 88 5 2 2" xfId="22241" xr:uid="{AFBF58A0-97B6-4BA5-87D2-03B5C86E2A1D}"/>
    <cellStyle name="Normal 2 88 5 2 3" xfId="22242" xr:uid="{EFFD8C0E-1202-4D42-AE66-9A7ACBAA7AFF}"/>
    <cellStyle name="Normal 2 88 5 2 4" xfId="22243" xr:uid="{5727E495-2572-43E4-9C64-CC32A11B6731}"/>
    <cellStyle name="Normal 2 88 5 3" xfId="22244" xr:uid="{7A677B8A-336C-4786-8DBD-D98B5BEBA3C5}"/>
    <cellStyle name="Normal 2 88 5 4" xfId="22245" xr:uid="{8E4BE490-BBBA-47CF-AD89-7073222A5F16}"/>
    <cellStyle name="Normal 2 88 5 5" xfId="22246" xr:uid="{312B3FB4-31A2-4734-899D-31A8C8596193}"/>
    <cellStyle name="Normal 2 88 5 6" xfId="22247" xr:uid="{62B19A6C-4E01-48FF-87F5-3A1A8146E5A2}"/>
    <cellStyle name="Normal 2 88 6" xfId="22248" xr:uid="{59BB402B-BBE8-4ED5-8AF0-A2D02C83EBA1}"/>
    <cellStyle name="Normal 2 88 7" xfId="22249" xr:uid="{E947E235-B0F4-4B0F-9066-3A6920A94226}"/>
    <cellStyle name="Normal 2 88 8" xfId="22250" xr:uid="{D1345C0D-D614-43D1-9EBD-8258BD9D5981}"/>
    <cellStyle name="Normal 2 88 9" xfId="22251" xr:uid="{8B05905B-3609-4D2A-97FA-05D0416170E8}"/>
    <cellStyle name="Normal 2 89" xfId="22252" xr:uid="{321ED101-A46D-49A6-A345-698D181A2462}"/>
    <cellStyle name="Normal 2 9" xfId="22253" xr:uid="{6329991F-7A20-4D18-AC89-F9A759C2B791}"/>
    <cellStyle name="Normal 2 9 2" xfId="22254" xr:uid="{0FA53805-8B8A-4FA0-B813-3BC1EC164367}"/>
    <cellStyle name="Normal 2 9 3" xfId="22255" xr:uid="{3FA5D129-9953-4315-B3A0-0FA99A77071D}"/>
    <cellStyle name="Normal 2 90" xfId="22256" xr:uid="{CCA0C897-6079-4C53-9993-17D222F8F6B9}"/>
    <cellStyle name="Normal 2 90 10" xfId="22257" xr:uid="{3490F1A5-879B-4341-8B69-2370AD367001}"/>
    <cellStyle name="Normal 2 90 11" xfId="22258" xr:uid="{2836C5CD-C76D-4876-AC69-FF0E5E35E195}"/>
    <cellStyle name="Normal 2 90 2" xfId="22259" xr:uid="{7882A504-F1A8-4E4C-9FB4-F78B7A87897B}"/>
    <cellStyle name="Normal 2 90 2 10" xfId="22260" xr:uid="{BEEA6528-D0EB-49D4-83EA-0DD4D43A7D8D}"/>
    <cellStyle name="Normal 2 90 2 11" xfId="22261" xr:uid="{547F3138-03BA-441C-9B5A-6D4F04171ACF}"/>
    <cellStyle name="Normal 2 90 2 2" xfId="22262" xr:uid="{DB590EB1-E6C1-4759-9E77-462DBA5FCE5C}"/>
    <cellStyle name="Normal 2 90 2 2 2" xfId="22263" xr:uid="{ACDC41C4-1CAC-4A81-B515-8E12F39F9949}"/>
    <cellStyle name="Normal 2 90 2 2 2 2" xfId="22264" xr:uid="{3DED94DE-8528-41C6-8DB2-B7B088120FA7}"/>
    <cellStyle name="Normal 2 90 2 2 2 3" xfId="22265" xr:uid="{2E87861A-3B94-4A37-83C5-EC2D8A8EED4E}"/>
    <cellStyle name="Normal 2 90 2 2 2 4" xfId="22266" xr:uid="{D5A19429-29A9-42C7-87E9-3DA9DFE8CBA0}"/>
    <cellStyle name="Normal 2 90 2 2 3" xfId="22267" xr:uid="{DC67E4A8-A843-4136-9F30-5B8D7233F476}"/>
    <cellStyle name="Normal 2 90 2 2 4" xfId="22268" xr:uid="{99A413AD-E4A1-41D0-93C4-B4EF258D9DD9}"/>
    <cellStyle name="Normal 2 90 2 2 5" xfId="22269" xr:uid="{D6F85238-BFC1-4F4D-BEB0-4DCFA9C6863E}"/>
    <cellStyle name="Normal 2 90 2 2 6" xfId="22270" xr:uid="{29511370-F0D7-48E8-8FD8-F761D0848C9C}"/>
    <cellStyle name="Normal 2 90 2 3" xfId="22271" xr:uid="{3B92518C-B0DA-446F-AB0C-48931B1AED0A}"/>
    <cellStyle name="Normal 2 90 2 4" xfId="22272" xr:uid="{A8CCB270-B618-42F2-BE10-D6D1F1A7982A}"/>
    <cellStyle name="Normal 2 90 2 5" xfId="22273" xr:uid="{53052AAB-85CD-4831-B412-7B5B3D7EE214}"/>
    <cellStyle name="Normal 2 90 2 6" xfId="22274" xr:uid="{6C439A98-C0DC-4321-8E98-4A99A4F5E7A6}"/>
    <cellStyle name="Normal 2 90 2 7" xfId="22275" xr:uid="{0FB0464D-8714-4756-914E-4E0B74CF7751}"/>
    <cellStyle name="Normal 2 90 2 8" xfId="22276" xr:uid="{B35B73EB-62AC-4FE3-9FE9-CCF0DD55D176}"/>
    <cellStyle name="Normal 2 90 2 8 2" xfId="22277" xr:uid="{F1603741-FD00-42BC-8A0B-268071B34572}"/>
    <cellStyle name="Normal 2 90 2 8 3" xfId="22278" xr:uid="{43FCA0ED-6D6A-4A78-A004-F786E6E18D1C}"/>
    <cellStyle name="Normal 2 90 2 8 4" xfId="22279" xr:uid="{42F406E8-D3DD-4303-ADF3-2A78005D85A5}"/>
    <cellStyle name="Normal 2 90 2 9" xfId="22280" xr:uid="{9C0891F8-9FF2-45D4-A7B1-69925AFFB738}"/>
    <cellStyle name="Normal 2 90 3" xfId="22281" xr:uid="{36AEDC61-8E26-424F-89AF-DC0C4B0C362D}"/>
    <cellStyle name="Normal 2 90 3 2" xfId="22282" xr:uid="{2F918B98-1651-4290-B409-A86A673E1D7D}"/>
    <cellStyle name="Normal 2 90 3 2 2" xfId="22283" xr:uid="{997CDCB3-B2AA-422A-B87E-FECC26B2339C}"/>
    <cellStyle name="Normal 2 90 3 2 3" xfId="22284" xr:uid="{971A8F9F-E9F5-45E5-83CB-D26B6294FF76}"/>
    <cellStyle name="Normal 2 90 3 2 4" xfId="22285" xr:uid="{E0620DAE-F35F-4A3A-A05F-094CF6D2135D}"/>
    <cellStyle name="Normal 2 90 3 3" xfId="22286" xr:uid="{896CE8EA-2B83-4C2D-B4E1-FB52DB24A704}"/>
    <cellStyle name="Normal 2 90 3 4" xfId="22287" xr:uid="{772D8AC4-4896-4919-9DCA-3580B4B358C3}"/>
    <cellStyle name="Normal 2 90 3 5" xfId="22288" xr:uid="{111F3621-FE9E-4C51-BE7E-9928F92721F7}"/>
    <cellStyle name="Normal 2 90 3 6" xfId="22289" xr:uid="{997FD99E-B274-491C-86C3-A47526A7D4F8}"/>
    <cellStyle name="Normal 2 90 4" xfId="22290" xr:uid="{281EAB51-2704-4ADF-870E-D178D2658D0A}"/>
    <cellStyle name="Normal 2 90 5" xfId="22291" xr:uid="{84C4AE02-2544-4E69-847D-7062716A4328}"/>
    <cellStyle name="Normal 2 90 6" xfId="22292" xr:uid="{9FEC065B-33CD-4FE2-84B8-E1EE95418305}"/>
    <cellStyle name="Normal 2 90 7" xfId="22293" xr:uid="{562A1659-3223-46F2-B616-B8C08DCCE2CB}"/>
    <cellStyle name="Normal 2 90 8" xfId="22294" xr:uid="{7048C104-EEBD-4920-B272-6286BD756690}"/>
    <cellStyle name="Normal 2 90 8 2" xfId="22295" xr:uid="{CF3FE667-D01F-4A03-8D73-F8F23222264C}"/>
    <cellStyle name="Normal 2 90 8 3" xfId="22296" xr:uid="{A04E4413-FB51-464E-B5BF-8F6AA5F52A3F}"/>
    <cellStyle name="Normal 2 90 8 4" xfId="22297" xr:uid="{0E6FE029-35D6-4A5D-BED8-C59B37EDD8C2}"/>
    <cellStyle name="Normal 2 90 9" xfId="22298" xr:uid="{98D0EF9A-E116-4689-A6BF-088F2E2A1270}"/>
    <cellStyle name="Normal 2 91" xfId="22299" xr:uid="{BBAA309D-E931-4EE3-888E-3440E8087F4B}"/>
    <cellStyle name="Normal 2 92" xfId="22300" xr:uid="{A9542C77-D074-4989-B0E5-C5E76E7DC131}"/>
    <cellStyle name="Normal 2 92 2" xfId="22301" xr:uid="{AE2663EB-DCCC-4C2E-9C78-861AC92B8A8D}"/>
    <cellStyle name="Normal 2 92 2 2" xfId="22302" xr:uid="{EC3FDE1E-E411-4818-B195-D800D9679A23}"/>
    <cellStyle name="Normal 2 92 2 3" xfId="22303" xr:uid="{47BE5302-70D4-47C2-9924-7CB43CE1315D}"/>
    <cellStyle name="Normal 2 92 2 4" xfId="22304" xr:uid="{60891C7B-90AB-4792-814B-8EC716C310F9}"/>
    <cellStyle name="Normal 2 92 3" xfId="22305" xr:uid="{EFE6F678-4D1B-423F-BDF0-1D20BEB8ED28}"/>
    <cellStyle name="Normal 2 92 4" xfId="22306" xr:uid="{7CDE5611-A857-4B5E-9CBE-B419FA6EF42E}"/>
    <cellStyle name="Normal 2 92 5" xfId="22307" xr:uid="{F506B209-B660-448A-AAE4-CEF64BF2691C}"/>
    <cellStyle name="Normal 2 92 6" xfId="22308" xr:uid="{0C11FBCF-116E-4D96-8056-06D52F99A05A}"/>
    <cellStyle name="Normal 2 93" xfId="22309" xr:uid="{E8248B2E-A946-4A3F-9665-B9B513EDB8DA}"/>
    <cellStyle name="Normal 2 94" xfId="22310" xr:uid="{9E425275-7C83-48BD-B5FC-94D10E743256}"/>
    <cellStyle name="Normal 2 95" xfId="22311" xr:uid="{9BD333BA-2185-4036-B524-E953E4000264}"/>
    <cellStyle name="Normal 2 96" xfId="22312" xr:uid="{BB95C174-4C90-4854-94D6-7F6E795468EE}"/>
    <cellStyle name="Normal 2 97" xfId="22313" xr:uid="{7D8DC98C-1A8C-4A23-93AD-064590E0DBED}"/>
    <cellStyle name="Normal 2 98" xfId="22314" xr:uid="{70E4ACFB-61CE-4B4E-9A7D-0AD936ED55A1}"/>
    <cellStyle name="Normal 2 98 2" xfId="22315" xr:uid="{7FAD3ABC-F00F-4C7A-B571-57EAB4601F62}"/>
    <cellStyle name="Normal 2 98 3" xfId="22316" xr:uid="{84982D72-979B-4DBB-90E2-79E30F56CEBF}"/>
    <cellStyle name="Normal 2 98 4" xfId="22317" xr:uid="{515AAE7B-33BC-4FF6-9AFA-7F9F72433189}"/>
    <cellStyle name="Normal 2 99" xfId="22318" xr:uid="{81611627-CE59-47B4-BA40-6C5EE5FF6FBF}"/>
    <cellStyle name="Normal 2_110621 OBRoutput FSR transUpdate and tobacco jun25" xfId="22319" xr:uid="{7AD0D65F-D6F6-4407-B949-9AE90E93FF6D}"/>
    <cellStyle name="Normal 20" xfId="166" xr:uid="{EBAB5C99-4D41-4F35-838A-6359C9617045}"/>
    <cellStyle name="Normal 20 10" xfId="22320" xr:uid="{177BDE3F-8C59-4F37-A2BD-F69911B34217}"/>
    <cellStyle name="Normal 20 11" xfId="22321" xr:uid="{16582662-E203-4D0E-BD9D-32DEF6F0A174}"/>
    <cellStyle name="Normal 20 12" xfId="22322" xr:uid="{3D1DC755-00E9-4865-8E78-A5952AACDF17}"/>
    <cellStyle name="Normal 20 13" xfId="22323" xr:uid="{56903FE4-AA30-44A3-A0F1-F88EA54E0556}"/>
    <cellStyle name="Normal 20 14" xfId="22324" xr:uid="{46CCEDB5-8326-4F3C-8770-01015EFD9CD6}"/>
    <cellStyle name="Normal 20 15" xfId="22325" xr:uid="{F1CA1898-EF91-4FDD-8CA8-CE1A14A2A59B}"/>
    <cellStyle name="Normal 20 16" xfId="22326" xr:uid="{EFA1FCCE-3A6C-4032-B3A6-D6E2D8D97A40}"/>
    <cellStyle name="Normal 20 17" xfId="22327" xr:uid="{E690BB63-999D-4ED8-B941-AC013A7610E0}"/>
    <cellStyle name="Normal 20 18" xfId="22328" xr:uid="{F3A3FBA0-8AE7-42E7-B9F7-3A221F0DE762}"/>
    <cellStyle name="Normal 20 19" xfId="22329" xr:uid="{A4BC5E39-DE62-4332-8385-8B3F90F86EB7}"/>
    <cellStyle name="Normal 20 2" xfId="167" xr:uid="{009483D1-FD21-4B6C-8840-E82C3C36D52F}"/>
    <cellStyle name="Normal 20 2 2" xfId="22331" xr:uid="{0AA0B41B-1332-4900-AAFA-23EC84DC6B58}"/>
    <cellStyle name="Normal 20 2 2 2" xfId="22332" xr:uid="{FC2529C6-2BED-49BC-958E-00904D705699}"/>
    <cellStyle name="Normal 20 2 3" xfId="22333" xr:uid="{31EA2290-EF1F-4A80-B52D-6D4848F36D21}"/>
    <cellStyle name="Normal 20 2 4" xfId="22330" xr:uid="{42C54AA4-FB9D-463A-8B96-F84C5FDA1831}"/>
    <cellStyle name="Normal 20 20" xfId="22334" xr:uid="{44E57C4E-FA6D-471A-8ECA-862B7F4E2017}"/>
    <cellStyle name="Normal 20 21" xfId="22335" xr:uid="{450DD4DF-9332-4716-A9AD-2FF33D94BD47}"/>
    <cellStyle name="Normal 20 22" xfId="22336" xr:uid="{78800D80-76E9-427F-8D61-817A2A4E42C4}"/>
    <cellStyle name="Normal 20 23" xfId="22337" xr:uid="{ADF1C08C-525F-4E7D-96F8-040AA55DED2C}"/>
    <cellStyle name="Normal 20 3" xfId="22338" xr:uid="{A4A8CDB5-EE78-4542-A799-26B21B500CAA}"/>
    <cellStyle name="Normal 20 3 2" xfId="22339" xr:uid="{5CB80C54-5C32-4173-8522-29DFC25D91D7}"/>
    <cellStyle name="Normal 20 4" xfId="22340" xr:uid="{3CE73F21-E035-4DD4-B697-F8BD14A833CF}"/>
    <cellStyle name="Normal 20 5" xfId="22341" xr:uid="{FE529D38-6565-4BC4-B63F-7922081F903B}"/>
    <cellStyle name="Normal 20 6" xfId="22342" xr:uid="{B740D2E3-8651-4CE3-B8AF-6F4775BAB393}"/>
    <cellStyle name="Normal 20 7" xfId="22343" xr:uid="{A6E564D0-E93F-4C9F-95BB-91FE20009BC9}"/>
    <cellStyle name="Normal 20 8" xfId="22344" xr:uid="{D8F1B3EF-2655-4E7D-A531-77B875F532CE}"/>
    <cellStyle name="Normal 20 9" xfId="22345" xr:uid="{518BA9B6-BB37-4225-B57C-7E897E538085}"/>
    <cellStyle name="Normal 200" xfId="22346" xr:uid="{15863815-CB9A-4EE1-ABD6-1626CCE8D6DF}"/>
    <cellStyle name="Normal 201" xfId="22347" xr:uid="{0AAF59F5-EEC9-4F5A-BF4F-02A43AA695E8}"/>
    <cellStyle name="Normal 202" xfId="22348" xr:uid="{BFA36C33-1F87-435A-BBE9-E73875E0BE4B}"/>
    <cellStyle name="Normal 203" xfId="22349" xr:uid="{E7EBD055-3EF1-42F9-92B7-1A96A9CC194A}"/>
    <cellStyle name="Normal 204" xfId="22350" xr:uid="{2022CE7A-7F10-4CBA-9D79-A7CAC53A8AC9}"/>
    <cellStyle name="Normal 205" xfId="22351" xr:uid="{DCCF35FF-DF64-485D-BDED-D86357877956}"/>
    <cellStyle name="Normal 206" xfId="22352" xr:uid="{5A136A97-EE6B-4554-8738-F9FFC227261C}"/>
    <cellStyle name="Normal 207" xfId="22353" xr:uid="{EDF4FC99-457E-4104-843A-88906EBCCDE1}"/>
    <cellStyle name="Normal 208" xfId="22354" xr:uid="{C4969CBC-30DB-4527-8F0C-E94401796CC5}"/>
    <cellStyle name="Normal 208 2" xfId="22355" xr:uid="{56D081A9-837E-4D71-8CD0-331EF2D4DB8E}"/>
    <cellStyle name="Normal 208 3" xfId="22356" xr:uid="{CC824628-00B8-42FE-81BB-8C7FE09942CD}"/>
    <cellStyle name="Normal 208 4" xfId="22357" xr:uid="{7E0EE632-0F0A-40A3-8443-AA1C8F6878B8}"/>
    <cellStyle name="Normal 209" xfId="22358" xr:uid="{32A6EBF6-1950-4589-8AD4-581F2B5B6973}"/>
    <cellStyle name="Normal 209 2" xfId="22359" xr:uid="{079F77C6-7C70-40DB-A160-DF81D020015D}"/>
    <cellStyle name="Normal 209 2 2" xfId="22360" xr:uid="{F31FE904-1B41-46D1-9991-2EAB8987E646}"/>
    <cellStyle name="Normal 21" xfId="168" xr:uid="{254CCA99-4277-4087-88B8-6FDA076982DB}"/>
    <cellStyle name="Normal 21 10" xfId="22361" xr:uid="{F1FA9C05-CAC9-4A20-8711-E6266F143D11}"/>
    <cellStyle name="Normal 21 11" xfId="22362" xr:uid="{FA6DC5EB-861D-44E2-9452-E52EBDCD1F04}"/>
    <cellStyle name="Normal 21 12" xfId="22363" xr:uid="{AB250AC2-204D-4FC8-9B5B-F75081AE4BBF}"/>
    <cellStyle name="Normal 21 13" xfId="22364" xr:uid="{953A1111-775A-4CFF-8D47-F8D98AF5811D}"/>
    <cellStyle name="Normal 21 14" xfId="22365" xr:uid="{76402EEE-7A27-4969-8675-B2A909775FC4}"/>
    <cellStyle name="Normal 21 15" xfId="22366" xr:uid="{397E8844-A3E3-40AA-9379-4310A16CDF8A}"/>
    <cellStyle name="Normal 21 16" xfId="22367" xr:uid="{0E069521-2147-4E4C-AA68-2E5B58FB9ECE}"/>
    <cellStyle name="Normal 21 17" xfId="22368" xr:uid="{3B41EAD4-6D9E-4BC6-8D5B-45712AF1845E}"/>
    <cellStyle name="Normal 21 18" xfId="22369" xr:uid="{97FE029A-FFC9-4A86-A84B-863FBEE9EC71}"/>
    <cellStyle name="Normal 21 19" xfId="22370" xr:uid="{2699077A-F339-4C8E-97FC-9D5DFFB75065}"/>
    <cellStyle name="Normal 21 2" xfId="169" xr:uid="{6EE32126-AF07-41AF-BDB6-A460C03BF988}"/>
    <cellStyle name="Normal 21 2 2" xfId="22371" xr:uid="{C2B8943A-B6B2-471B-8957-369E0110BDF7}"/>
    <cellStyle name="Normal 21 20" xfId="22372" xr:uid="{8D5736A4-F11B-4628-BC50-ADCA7B8BA62B}"/>
    <cellStyle name="Normal 21 21" xfId="22373" xr:uid="{90DA9677-A917-41CA-95F3-72F3482B2872}"/>
    <cellStyle name="Normal 21 22" xfId="22374" xr:uid="{78ED223E-C692-4242-8A3F-8090C7D7FD8F}"/>
    <cellStyle name="Normal 21 23" xfId="22375" xr:uid="{2691D2A7-24E0-42DF-9672-F9706EE9037F}"/>
    <cellStyle name="Normal 21 3" xfId="170" xr:uid="{C363DCAB-7797-4BC9-AA54-26EF0FFD4CA1}"/>
    <cellStyle name="Normal 21 3 2" xfId="22376" xr:uid="{1875317E-6B99-4916-83E6-D3F7FDB97287}"/>
    <cellStyle name="Normal 21 4" xfId="22377" xr:uid="{036C0FF6-A0A4-4A09-819A-858A0AC2E361}"/>
    <cellStyle name="Normal 21 5" xfId="22378" xr:uid="{FAFB35DB-769B-46C3-B968-479BF3E6D1FB}"/>
    <cellStyle name="Normal 21 6" xfId="22379" xr:uid="{351F8069-8E7A-4DE0-9BF5-7E7CCB53BF1E}"/>
    <cellStyle name="Normal 21 7" xfId="22380" xr:uid="{433D46B1-AA06-4D33-B47D-44F3F21E1E85}"/>
    <cellStyle name="Normal 21 8" xfId="22381" xr:uid="{0DF27485-BDD5-4CEA-A71D-57E64746A48A}"/>
    <cellStyle name="Normal 21 9" xfId="22382" xr:uid="{50CEA5E3-F015-4799-B8EE-7D788A2BE640}"/>
    <cellStyle name="Normal 21_Book1" xfId="22383" xr:uid="{E38CE8B9-28E8-4685-924B-52F0A906DC3B}"/>
    <cellStyle name="Normal 210" xfId="22384" xr:uid="{2B1A4FDF-D085-4620-B777-5B70477AD4C1}"/>
    <cellStyle name="Normal 211" xfId="22385" xr:uid="{3ACD33BF-B44C-47C5-AF9F-54294319D74A}"/>
    <cellStyle name="Normal 212" xfId="22386" xr:uid="{C1E090DE-64C9-435B-B8DE-83230FD9685D}"/>
    <cellStyle name="Normal 213" xfId="22387" xr:uid="{6B102FFE-4900-4468-AD2B-E675E29061E8}"/>
    <cellStyle name="Normal 214" xfId="22388" xr:uid="{64D0FF7F-0C83-41E0-BB5D-B6F3C2277D52}"/>
    <cellStyle name="Normal 215" xfId="22389" xr:uid="{E39FBB2F-3050-4B7D-B7DA-AB6A6CA024EC}"/>
    <cellStyle name="Normal 216" xfId="22390" xr:uid="{11C7997B-153E-4151-9C42-1692D7D48B05}"/>
    <cellStyle name="Normal 217" xfId="22391" xr:uid="{5E15888E-399D-43A9-96CC-44FC784DFED1}"/>
    <cellStyle name="Normal 218" xfId="22392" xr:uid="{2F4F9B64-625B-49AF-84C9-83B5C6A4E90C}"/>
    <cellStyle name="Normal 219" xfId="22393" xr:uid="{179DCA32-96E5-408F-938A-476F6CB92488}"/>
    <cellStyle name="Normal 22" xfId="171" xr:uid="{BBFF6A70-A5DC-46D7-9C14-5D0BF4E6C5DC}"/>
    <cellStyle name="Normal 22 10" xfId="22394" xr:uid="{C0AFD424-2B73-4EC4-9DBE-BABFC47C6BE8}"/>
    <cellStyle name="Normal 22 11" xfId="22395" xr:uid="{DFB7133A-BBD4-4DB0-AE3B-347DC70229E3}"/>
    <cellStyle name="Normal 22 12" xfId="22396" xr:uid="{44250C4A-E01B-40E5-BDC1-124C88D1C00D}"/>
    <cellStyle name="Normal 22 13" xfId="22397" xr:uid="{52D942FC-36B3-4E2F-89F2-226388D3E92C}"/>
    <cellStyle name="Normal 22 14" xfId="22398" xr:uid="{ACEEBFBC-792B-4C03-8217-1A91B909E1F4}"/>
    <cellStyle name="Normal 22 15" xfId="22399" xr:uid="{76147397-0D40-449E-BF67-DAEA88768838}"/>
    <cellStyle name="Normal 22 16" xfId="22400" xr:uid="{855D029E-438A-4CBF-8BA6-44C6F86C5D28}"/>
    <cellStyle name="Normal 22 17" xfId="22401" xr:uid="{E0CB1CCE-28BA-45A5-B4AB-AC16BD1D09FA}"/>
    <cellStyle name="Normal 22 18" xfId="22402" xr:uid="{0FEA0553-DE7F-4E59-B18F-BE3E0E4E9962}"/>
    <cellStyle name="Normal 22 19" xfId="22403" xr:uid="{A3F66148-EC1B-48C9-8544-69E1012F9AA4}"/>
    <cellStyle name="Normal 22 2" xfId="172" xr:uid="{6E9493E1-A876-4865-8124-7848C24C302F}"/>
    <cellStyle name="Normal 22 2 2" xfId="22404" xr:uid="{9F9BD8A9-D599-40F2-BDB6-FA121D1CDB13}"/>
    <cellStyle name="Normal 22 20" xfId="22405" xr:uid="{B9E0B433-FB5B-4D3A-85BE-B436C1CF8C72}"/>
    <cellStyle name="Normal 22 21" xfId="22406" xr:uid="{06A6CF28-3DF2-43B3-AD19-5DCC9FE4C870}"/>
    <cellStyle name="Normal 22 22" xfId="22407" xr:uid="{26E07B2A-260D-46DA-B433-7E83EB09052E}"/>
    <cellStyle name="Normal 22 23" xfId="22408" xr:uid="{0887CBE8-06DE-45E1-9789-49960AD5B961}"/>
    <cellStyle name="Normal 22 3" xfId="173" xr:uid="{09331197-6BD7-45BE-971C-582E872AF471}"/>
    <cellStyle name="Normal 22 3 2" xfId="22409" xr:uid="{1C722FD2-4632-4CE8-B9CB-A5875A33D62B}"/>
    <cellStyle name="Normal 22 4" xfId="22410" xr:uid="{F83ECF2A-D0BB-4DFF-8934-EDDD40F71711}"/>
    <cellStyle name="Normal 22 5" xfId="22411" xr:uid="{5ECAAB73-48C4-466C-B588-641CC25AF25F}"/>
    <cellStyle name="Normal 22 6" xfId="22412" xr:uid="{4954C1AD-0BA9-4BDC-A696-35668545EA0B}"/>
    <cellStyle name="Normal 22 7" xfId="22413" xr:uid="{2EAB42A2-CBCD-48A1-AA5E-B82BBCDDCB34}"/>
    <cellStyle name="Normal 22 8" xfId="22414" xr:uid="{C93291E4-46A1-491F-8C7C-DEB0FADD6766}"/>
    <cellStyle name="Normal 22 9" xfId="22415" xr:uid="{6CE8DC13-F97D-4BC2-B1C8-83F047B17CB8}"/>
    <cellStyle name="Normal 22_Book1" xfId="22416" xr:uid="{C04A3692-9209-41CC-992E-1970D7F068D3}"/>
    <cellStyle name="Normal 220" xfId="22417" xr:uid="{73F5B562-92B5-404E-9E9E-80A6FEC05E84}"/>
    <cellStyle name="Normal 221" xfId="22418" xr:uid="{0AFB0C7A-F74B-431F-8FFF-27D617252AC3}"/>
    <cellStyle name="Normal 222" xfId="22419" xr:uid="{EEC10F71-89C2-4B87-950E-5243537C2DEB}"/>
    <cellStyle name="Normal 223" xfId="22420" xr:uid="{FB2D6734-F181-442A-94BA-8509754EF42A}"/>
    <cellStyle name="Normal 224" xfId="22421" xr:uid="{9B96E362-FC8E-4593-BC3F-B82430DEF598}"/>
    <cellStyle name="Normal 225" xfId="22422" xr:uid="{EC3172D7-441A-43DE-9936-C8EA46950B47}"/>
    <cellStyle name="Normal 226" xfId="362" xr:uid="{4AAEBC68-40EB-4F91-A16C-F2E2D26F12E4}"/>
    <cellStyle name="Normal 227" xfId="38067" xr:uid="{90037DA4-6E7D-4257-8032-5CB9C1D244E4}"/>
    <cellStyle name="Normal 228" xfId="38066" xr:uid="{E08ECE08-909E-417E-9717-303FE6DBAB34}"/>
    <cellStyle name="Normal 229" xfId="38072" xr:uid="{0C3DF9DA-B142-44AB-8597-C60EE681F64E}"/>
    <cellStyle name="Normal 23" xfId="174" xr:uid="{320CAF79-F3F9-455E-BEB4-0276E0FE21C8}"/>
    <cellStyle name="Normal 23 10" xfId="22423" xr:uid="{DF8A0DEF-A400-4671-ADD3-192BDF5A6D9B}"/>
    <cellStyle name="Normal 23 11" xfId="22424" xr:uid="{39A90C0F-0BB5-4E91-AC97-A68FD873AF02}"/>
    <cellStyle name="Normal 23 12" xfId="22425" xr:uid="{4A686F15-FBBA-472A-9110-8B2B60297E31}"/>
    <cellStyle name="Normal 23 13" xfId="22426" xr:uid="{2366D4C0-D875-40B5-95C1-7A553DDAC88C}"/>
    <cellStyle name="Normal 23 14" xfId="22427" xr:uid="{FB4A794F-8DA0-4950-989E-62E57EA08A50}"/>
    <cellStyle name="Normal 23 15" xfId="22428" xr:uid="{6ACB7FD4-A041-4300-9509-608357DC6395}"/>
    <cellStyle name="Normal 23 16" xfId="22429" xr:uid="{9BE2381A-D0DF-4525-8601-D7DCDA9BE442}"/>
    <cellStyle name="Normal 23 17" xfId="22430" xr:uid="{5CEBBADD-1800-4C18-8D2B-0315559962EF}"/>
    <cellStyle name="Normal 23 18" xfId="22431" xr:uid="{F33E7A7E-9A6A-436A-8969-711ADE6B9F1F}"/>
    <cellStyle name="Normal 23 19" xfId="22432" xr:uid="{A7EED0DE-2333-4446-9E38-F7FA2F4DE111}"/>
    <cellStyle name="Normal 23 2" xfId="175" xr:uid="{86430707-3888-4EBD-9914-90EC36166494}"/>
    <cellStyle name="Normal 23 2 2" xfId="22433" xr:uid="{A85A2297-A56E-4350-BB94-B57A520F100B}"/>
    <cellStyle name="Normal 23 20" xfId="22434" xr:uid="{13D30B59-3506-4232-AC5F-2585FDC3B259}"/>
    <cellStyle name="Normal 23 21" xfId="22435" xr:uid="{1D899F0A-5B49-46C3-9554-041604CE213F}"/>
    <cellStyle name="Normal 23 22" xfId="22436" xr:uid="{FC7DB891-0359-4EFF-98EE-01DB8F389807}"/>
    <cellStyle name="Normal 23 23" xfId="22437" xr:uid="{BF2504C1-1794-45FB-A1BB-B10C4D3FE5DE}"/>
    <cellStyle name="Normal 23 3" xfId="22438" xr:uid="{59A0D006-1B29-4941-AC7C-DBCC22CB6129}"/>
    <cellStyle name="Normal 23 4" xfId="22439" xr:uid="{E4775B6F-33A2-4A04-A6B6-577BA1AC9F49}"/>
    <cellStyle name="Normal 23 5" xfId="22440" xr:uid="{2547B9D3-A0A2-46A7-9476-C238DCB8D7FB}"/>
    <cellStyle name="Normal 23 6" xfId="22441" xr:uid="{BA0C55A2-C0FC-4A13-8942-577F5943649F}"/>
    <cellStyle name="Normal 23 7" xfId="22442" xr:uid="{55EE6A57-5957-4C0B-8A13-66C002656C0F}"/>
    <cellStyle name="Normal 23 8" xfId="22443" xr:uid="{A88E4907-7E17-492F-8A33-8CD772F67A91}"/>
    <cellStyle name="Normal 23 9" xfId="22444" xr:uid="{279F9640-DC5B-4FF6-8C21-87470F1C1270}"/>
    <cellStyle name="Normal 230" xfId="38075" xr:uid="{1E5D1586-AA6B-421F-AF85-9D5DCC619345}"/>
    <cellStyle name="Normal 231" xfId="38077" xr:uid="{BEE923D5-1B1F-4486-926A-A8B5BEEEA8E4}"/>
    <cellStyle name="Normal 232" xfId="38079" xr:uid="{8E92F15A-4D48-4B79-A7E4-79A53B1D5EB1}"/>
    <cellStyle name="Normal 233" xfId="38081" xr:uid="{D445DF40-86DE-4583-AE35-FB03D4E7CD77}"/>
    <cellStyle name="Normal 234" xfId="38083" xr:uid="{823F2914-9BDF-4C78-BDA1-3393F6B1018E}"/>
    <cellStyle name="Normal 235" xfId="38085" xr:uid="{C27BA08A-8520-4AA4-B5E8-1CB689872096}"/>
    <cellStyle name="Normal 236" xfId="38087" xr:uid="{48C6016A-62D0-4B26-929C-9FE4BB163A03}"/>
    <cellStyle name="Normal 237" xfId="38089" xr:uid="{EA31C4EC-171A-4E2F-A573-658D7A670EE4}"/>
    <cellStyle name="Normal 238" xfId="38091" xr:uid="{6759D77B-1FDF-43BA-B23E-B116C804BCE4}"/>
    <cellStyle name="Normal 239" xfId="38093" xr:uid="{500B7E21-5341-48CE-9FBE-32F45F935628}"/>
    <cellStyle name="Normal 24" xfId="176" xr:uid="{56C5FBDC-16D5-4F10-AD7A-254DCAC51467}"/>
    <cellStyle name="Normal 24 10" xfId="22446" xr:uid="{764D22D0-3A20-419F-9D54-7877E216D94B}"/>
    <cellStyle name="Normal 24 11" xfId="22447" xr:uid="{0BE90BB7-D541-4C6D-B424-C15E00077DA7}"/>
    <cellStyle name="Normal 24 12" xfId="22448" xr:uid="{BDA44A9D-F4E0-4073-95A9-85524599EA86}"/>
    <cellStyle name="Normal 24 13" xfId="22449" xr:uid="{640565A6-1932-4C4C-BFA6-A1AED4FC3AFB}"/>
    <cellStyle name="Normal 24 14" xfId="22450" xr:uid="{5B1EA2E2-BE6E-4E84-BAD8-38E971565F29}"/>
    <cellStyle name="Normal 24 15" xfId="22451" xr:uid="{3C873E5A-6EC3-4B10-B065-ECCE7EB4CB30}"/>
    <cellStyle name="Normal 24 16" xfId="22452" xr:uid="{97FE6C8B-3B48-44D9-A08B-9276EA6B26B6}"/>
    <cellStyle name="Normal 24 17" xfId="22453" xr:uid="{3CBF9790-4DD4-491E-8211-F611FC08259A}"/>
    <cellStyle name="Normal 24 18" xfId="22454" xr:uid="{8D5C81E6-050B-4F6D-87D6-EE2AE3036DD4}"/>
    <cellStyle name="Normal 24 19" xfId="22455" xr:uid="{F223FA40-1B46-46AA-AC7C-7D52FF3EEEA1}"/>
    <cellStyle name="Normal 24 2" xfId="177" xr:uid="{3FC6D950-F838-4DCF-AC95-1C6CC9FB9787}"/>
    <cellStyle name="Normal 24 2 2" xfId="22457" xr:uid="{43DF926A-CE36-4CAA-A561-F551E919158B}"/>
    <cellStyle name="Normal 24 2 3" xfId="22458" xr:uid="{774644C6-AFE3-4E73-95C4-768D3BFF7794}"/>
    <cellStyle name="Normal 24 2 4" xfId="22456" xr:uid="{E8237055-8ED1-4417-968D-D71304A867B8}"/>
    <cellStyle name="Normal 24 20" xfId="22459" xr:uid="{A0B9876D-9882-43A8-A051-1678AA2068F9}"/>
    <cellStyle name="Normal 24 21" xfId="22460" xr:uid="{B02AC231-163A-43CE-A132-6F14D04970D1}"/>
    <cellStyle name="Normal 24 22" xfId="22461" xr:uid="{58916157-4EA3-434B-B32C-3C56B947633C}"/>
    <cellStyle name="Normal 24 23" xfId="22462" xr:uid="{D8803C2F-4D4E-4A70-BF46-B73F57164BC3}"/>
    <cellStyle name="Normal 24 24" xfId="22463" xr:uid="{B1FFD6E0-0E78-4917-BDE2-2634FE429D86}"/>
    <cellStyle name="Normal 24 25" xfId="22464" xr:uid="{8D429A00-456C-48CE-A9F1-56F1A3CEE78F}"/>
    <cellStyle name="Normal 24 26" xfId="22445" xr:uid="{82256BA8-E3FB-4588-AF55-62D790609EC8}"/>
    <cellStyle name="Normal 24 3" xfId="22465" xr:uid="{A43A66C6-1A4D-4A1D-B519-46C7B3BAC072}"/>
    <cellStyle name="Normal 24 3 2" xfId="22466" xr:uid="{CC3B6D37-D8B4-41E0-B8BB-0AD350223FD1}"/>
    <cellStyle name="Normal 24 3 3" xfId="22467" xr:uid="{64AD0752-1DC0-4DDB-9A67-0DA1A209C151}"/>
    <cellStyle name="Normal 24 4" xfId="22468" xr:uid="{C8772AEF-6AE4-476E-8DDC-5ECE27735066}"/>
    <cellStyle name="Normal 24 5" xfId="22469" xr:uid="{3DA08AE0-46CD-464B-8A6A-779087A2D979}"/>
    <cellStyle name="Normal 24 6" xfId="22470" xr:uid="{5F200372-3876-471F-B54A-5D836E0DC9A4}"/>
    <cellStyle name="Normal 24 7" xfId="22471" xr:uid="{AEDAC37A-8ADA-4C27-B890-966C045FC897}"/>
    <cellStyle name="Normal 24 8" xfId="22472" xr:uid="{E60F16FE-CC07-4FDC-9F62-8346A2D24B08}"/>
    <cellStyle name="Normal 24 9" xfId="22473" xr:uid="{B763EEA7-83F5-4CC4-BA91-2100DCAA08E0}"/>
    <cellStyle name="Normal 240" xfId="38095" xr:uid="{C401B824-182B-42CE-B3B4-73245C48A6FA}"/>
    <cellStyle name="Normal 241" xfId="38097" xr:uid="{4EF59379-A9F6-4CF2-A17C-EF2B4DC8F1CA}"/>
    <cellStyle name="Normal 242" xfId="38099" xr:uid="{CD3BB71B-0FDF-46E1-B663-B3BFBB3446D6}"/>
    <cellStyle name="Normal 243" xfId="38101" xr:uid="{2EA9B412-8948-4A99-9CA4-B7BFDD1A7B43}"/>
    <cellStyle name="Normal 244" xfId="38103" xr:uid="{C7747433-9A66-4BA5-B996-F773223B20E7}"/>
    <cellStyle name="Normal 245" xfId="38105" xr:uid="{E6C843AC-C10C-4CBF-9D34-B72F4B78262B}"/>
    <cellStyle name="Normal 246" xfId="38107" xr:uid="{CF95FA2B-6480-4B16-8D0F-2E48C2D52017}"/>
    <cellStyle name="Normal 247" xfId="38109" xr:uid="{FFC07EE4-A9B6-41E9-BB95-765950E4D9D3}"/>
    <cellStyle name="Normal 248" xfId="38111" xr:uid="{6F3A0872-9DC8-4F99-89C8-132F926A146A}"/>
    <cellStyle name="Normal 249" xfId="38113" xr:uid="{37CFB297-19E8-4D52-8996-7FED0807E6A4}"/>
    <cellStyle name="Normal 25" xfId="178" xr:uid="{433F494C-9FB4-45E8-BE93-4B54DD172B8D}"/>
    <cellStyle name="Normal 25 10" xfId="22475" xr:uid="{CC9B1C7D-6313-4944-A9CB-9707AB536FAD}"/>
    <cellStyle name="Normal 25 11" xfId="22476" xr:uid="{3C8DDB37-3CA8-42BF-BD2D-EB27814D8A89}"/>
    <cellStyle name="Normal 25 12" xfId="22477" xr:uid="{633D34CF-00B9-45AA-83F8-EDCE572A54CB}"/>
    <cellStyle name="Normal 25 13" xfId="22478" xr:uid="{E0F55DDC-619C-449A-AEE4-0E1E35E2906E}"/>
    <cellStyle name="Normal 25 14" xfId="22479" xr:uid="{2CB4468C-5F15-4C48-A05F-5EA4F5F11CCF}"/>
    <cellStyle name="Normal 25 15" xfId="22480" xr:uid="{8D534B72-0B51-473A-9230-047C3F3923F2}"/>
    <cellStyle name="Normal 25 16" xfId="22481" xr:uid="{67DE306D-DC38-4CAF-9EC0-1C6AB1B2AA28}"/>
    <cellStyle name="Normal 25 17" xfId="22482" xr:uid="{94B65A28-7F86-4954-88CB-CA7F4D83179F}"/>
    <cellStyle name="Normal 25 18" xfId="22483" xr:uid="{30135985-2D2E-4C3C-A234-83EFFA5CCF66}"/>
    <cellStyle name="Normal 25 19" xfId="22484" xr:uid="{8CDB247E-164C-4C84-A64D-B772E30FE7B6}"/>
    <cellStyle name="Normal 25 2" xfId="179" xr:uid="{F1184030-914D-4D9C-A328-7E8828532EAB}"/>
    <cellStyle name="Normal 25 2 2" xfId="22485" xr:uid="{0663C3F4-76C8-41B1-A4C2-E10988A8E272}"/>
    <cellStyle name="Normal 25 20" xfId="22486" xr:uid="{E46938B1-9405-4DD4-B7A3-6A8F490E6D36}"/>
    <cellStyle name="Normal 25 21" xfId="22487" xr:uid="{6E719612-20DD-4CAE-84A5-7DDCD962E356}"/>
    <cellStyle name="Normal 25 22" xfId="22474" xr:uid="{8BB4B028-3D52-491C-A9D0-B15DBD7B87CF}"/>
    <cellStyle name="Normal 25 3" xfId="22488" xr:uid="{D221E6EE-314C-42C4-BB96-D0CC819E7EB6}"/>
    <cellStyle name="Normal 25 4" xfId="22489" xr:uid="{69519DCE-5AA4-4EC8-BC91-38910C95EAC3}"/>
    <cellStyle name="Normal 25 5" xfId="22490" xr:uid="{A154B894-DB7F-481A-AC2F-47623FDDA540}"/>
    <cellStyle name="Normal 25 6" xfId="22491" xr:uid="{95D8A96F-D301-42BE-A4C3-AE5639C35EAB}"/>
    <cellStyle name="Normal 25 7" xfId="22492" xr:uid="{D5B8322D-539D-459E-8B3A-ABFC0FDB3BE0}"/>
    <cellStyle name="Normal 25 8" xfId="22493" xr:uid="{43903C07-F0CA-4C80-A0F6-567AFBC4A808}"/>
    <cellStyle name="Normal 25 9" xfId="22494" xr:uid="{08E65542-6733-4050-93B4-CF8FFEF7A274}"/>
    <cellStyle name="Normal 250" xfId="38115" xr:uid="{C2214E06-272D-4156-8159-79D0A3CCE8A5}"/>
    <cellStyle name="Normal 251" xfId="38117" xr:uid="{81434DD7-7DBB-45C3-A5DF-C1B2342736EF}"/>
    <cellStyle name="Normal 252" xfId="38119" xr:uid="{AF1CE018-FF87-4FBF-BF14-C1C9A47B1115}"/>
    <cellStyle name="Normal 253" xfId="38121" xr:uid="{9D9C3363-3F53-4D3E-977F-78B0FD46DD20}"/>
    <cellStyle name="Normal 254" xfId="38123" xr:uid="{B4DD98DD-8BED-4029-B3D6-0BFBA43B66CF}"/>
    <cellStyle name="Normal 255" xfId="38124" xr:uid="{C79238B0-91B0-4662-8883-484315E6EDEF}"/>
    <cellStyle name="Normal 256" xfId="38125" xr:uid="{BD566937-C48D-4D65-92AA-BA4BCF88009A}"/>
    <cellStyle name="Normal 257" xfId="38127" xr:uid="{F41B0CB9-C6E2-4A22-98AC-5EC4C0728121}"/>
    <cellStyle name="Normal 258" xfId="38126" xr:uid="{57E729D1-4446-4EFD-BFCA-44D2ADD53F63}"/>
    <cellStyle name="Normal 259" xfId="38128" xr:uid="{E09AC370-7FE7-4C41-9887-B49BA36B2F94}"/>
    <cellStyle name="Normal 26" xfId="180" xr:uid="{501736BA-2756-42A0-8DDE-43DF073F2817}"/>
    <cellStyle name="Normal 26 10" xfId="22496" xr:uid="{30C2E32A-26AE-4805-802C-84B13A162B57}"/>
    <cellStyle name="Normal 26 11" xfId="22497" xr:uid="{E4C7816F-A965-421D-8F49-619AFCF94672}"/>
    <cellStyle name="Normal 26 12" xfId="22498" xr:uid="{8D87F1C2-354D-4743-9A5D-69CA164D4E9C}"/>
    <cellStyle name="Normal 26 13" xfId="22499" xr:uid="{E921FC87-860D-412B-94BF-61679A1B6E8C}"/>
    <cellStyle name="Normal 26 14" xfId="22500" xr:uid="{2743F751-245B-44AF-B5DE-AE8EC47C6B94}"/>
    <cellStyle name="Normal 26 15" xfId="22501" xr:uid="{C4BBB8AB-0317-4C4C-B3B4-4451712C44C1}"/>
    <cellStyle name="Normal 26 16" xfId="22502" xr:uid="{C3DDA6EE-E362-4D00-AD35-682132AFD1E5}"/>
    <cellStyle name="Normal 26 17" xfId="22503" xr:uid="{53489995-B9AB-4758-BE02-6FEC059E97E5}"/>
    <cellStyle name="Normal 26 18" xfId="22504" xr:uid="{B2DCA3FD-9C56-4960-8354-25AFFE597BF9}"/>
    <cellStyle name="Normal 26 19" xfId="22505" xr:uid="{22BBD8D4-E444-4EF7-BBD1-7BD71C822EFD}"/>
    <cellStyle name="Normal 26 2" xfId="181" xr:uid="{24979131-E8D8-4AC8-9B64-686AA2C733AB}"/>
    <cellStyle name="Normal 26 2 2" xfId="22506" xr:uid="{2092639C-DC89-49F2-91D5-E51021E6D201}"/>
    <cellStyle name="Normal 26 20" xfId="22507" xr:uid="{F8AA4ED8-931C-4D49-B778-3653328AA7FB}"/>
    <cellStyle name="Normal 26 21" xfId="22495" xr:uid="{AA9473F9-0731-4C22-AC0E-4F5B9E44208A}"/>
    <cellStyle name="Normal 26 3" xfId="22508" xr:uid="{4D8B3F1D-82AF-4C13-A32E-4F1C25E62539}"/>
    <cellStyle name="Normal 26 4" xfId="22509" xr:uid="{4CFCE681-0651-4CAC-9C5E-F6A2FB41EF79}"/>
    <cellStyle name="Normal 26 5" xfId="22510" xr:uid="{CF9B6356-5B7A-4E4E-B47B-751BD20E2F26}"/>
    <cellStyle name="Normal 26 6" xfId="22511" xr:uid="{99B80C3A-3026-4A85-BA37-EDA917DBB791}"/>
    <cellStyle name="Normal 26 7" xfId="22512" xr:uid="{8EF8C996-E3FA-4F9F-A165-A44BC8193138}"/>
    <cellStyle name="Normal 26 8" xfId="22513" xr:uid="{2C21A52C-1BBC-40B9-AE65-5CF3DD5B7577}"/>
    <cellStyle name="Normal 26 9" xfId="22514" xr:uid="{919A4164-3A61-4599-B8FE-84AE1AB650F1}"/>
    <cellStyle name="Normal 260" xfId="38129" xr:uid="{5BABFA69-A754-4CA6-8C27-2A6B19AAAF2A}"/>
    <cellStyle name="Normal 261" xfId="38130" xr:uid="{D6F7BF19-7355-42EC-BF20-1663B1EECCAD}"/>
    <cellStyle name="Normal 262" xfId="412" xr:uid="{CB176B82-ECE9-4AC9-B97C-EB14AFD3FBC1}"/>
    <cellStyle name="Normal 27" xfId="182" xr:uid="{0786CF9D-2D29-47FD-A58A-8CF821D03B59}"/>
    <cellStyle name="Normal 27 10" xfId="22516" xr:uid="{ACF185C2-D85B-4B3D-964C-BC2DDE4E2181}"/>
    <cellStyle name="Normal 27 11" xfId="22517" xr:uid="{FB3F1156-2012-496A-BA2A-4553BAB235A6}"/>
    <cellStyle name="Normal 27 12" xfId="22518" xr:uid="{8E84CFAF-A0B2-4C72-9F43-FB09C8406544}"/>
    <cellStyle name="Normal 27 13" xfId="22519" xr:uid="{6BFB5DAF-073D-4C66-A22E-B312EC82A0DC}"/>
    <cellStyle name="Normal 27 14" xfId="22520" xr:uid="{3BF8416E-B9A2-420E-95A4-EF43E76ED89F}"/>
    <cellStyle name="Normal 27 15" xfId="22521" xr:uid="{6982C4FA-B938-471D-95F2-325385B0FD92}"/>
    <cellStyle name="Normal 27 16" xfId="22522" xr:uid="{7729EB0B-0EED-4BDB-8623-F9606D9DF118}"/>
    <cellStyle name="Normal 27 17" xfId="22523" xr:uid="{0709F25B-C612-4508-A5E4-A299B258DEDD}"/>
    <cellStyle name="Normal 27 18" xfId="22524" xr:uid="{5180EF6C-E667-4C06-8A54-310ECEE55771}"/>
    <cellStyle name="Normal 27 19" xfId="22525" xr:uid="{436ADFCF-0582-4549-9305-3492F723EBDE}"/>
    <cellStyle name="Normal 27 2" xfId="183" xr:uid="{3ED20F25-F014-4078-891F-200F4A575EF5}"/>
    <cellStyle name="Normal 27 2 2" xfId="22526" xr:uid="{05B1AE13-BD2D-4294-948C-9AF67D7FCAF6}"/>
    <cellStyle name="Normal 27 20" xfId="22527" xr:uid="{56AC4C75-E266-4924-8954-A388CA2B2769}"/>
    <cellStyle name="Normal 27 21" xfId="22528" xr:uid="{0706ED2D-B43E-4988-B801-EACF6313A4AE}"/>
    <cellStyle name="Normal 27 22" xfId="22515" xr:uid="{16DE023D-77D0-4A19-BA48-9D77C6F7165E}"/>
    <cellStyle name="Normal 27 3" xfId="22529" xr:uid="{93418EF2-8025-4EF7-8262-BE9E5196CB21}"/>
    <cellStyle name="Normal 27 4" xfId="22530" xr:uid="{576E33FF-862F-44A5-830A-E120C3F23490}"/>
    <cellStyle name="Normal 27 5" xfId="22531" xr:uid="{D2152C71-363F-4261-BD7D-4D04E539B946}"/>
    <cellStyle name="Normal 27 6" xfId="22532" xr:uid="{CD6986C2-E586-4A4B-AED2-F92752E92BCC}"/>
    <cellStyle name="Normal 27 7" xfId="22533" xr:uid="{8E6A7ABA-94F3-45E3-9759-F809A96569C3}"/>
    <cellStyle name="Normal 27 8" xfId="22534" xr:uid="{21D4AC5D-7A23-40C0-A57F-9A13C84CB694}"/>
    <cellStyle name="Normal 27 9" xfId="22535" xr:uid="{D46E2680-FB39-44E9-A460-2D506D0BE7E2}"/>
    <cellStyle name="Normal 28" xfId="184" xr:uid="{1EE5332F-A5E0-4A2D-AC04-34CA18316C2D}"/>
    <cellStyle name="Normal 28 10" xfId="22537" xr:uid="{D84CDF5D-0C96-4428-B63E-03EC689A6FC0}"/>
    <cellStyle name="Normal 28 11" xfId="22538" xr:uid="{90A10CFD-0249-4108-BE1A-D653BEDE6ADA}"/>
    <cellStyle name="Normal 28 12" xfId="22539" xr:uid="{E1D2610F-D20C-4AB5-B46A-99023239817B}"/>
    <cellStyle name="Normal 28 13" xfId="22540" xr:uid="{DC9E3A05-3A5A-46D1-99FE-B8DBF5D09B0B}"/>
    <cellStyle name="Normal 28 14" xfId="22541" xr:uid="{94AA87A6-31B4-4492-9C44-8B39190BF276}"/>
    <cellStyle name="Normal 28 15" xfId="22542" xr:uid="{F2E0AB45-84F5-4421-913B-E951A99151AA}"/>
    <cellStyle name="Normal 28 16" xfId="22543" xr:uid="{D5727AF0-9A70-496E-94CA-593056301B45}"/>
    <cellStyle name="Normal 28 17" xfId="22544" xr:uid="{B5113C2D-5F84-4809-8714-CD72DCFAFABB}"/>
    <cellStyle name="Normal 28 18" xfId="22545" xr:uid="{70D3539F-C64A-4FEE-A6E0-976FAB7D1EC0}"/>
    <cellStyle name="Normal 28 19" xfId="22546" xr:uid="{553B72D9-F3C0-4B18-8CE4-131334EDB279}"/>
    <cellStyle name="Normal 28 2" xfId="185" xr:uid="{77A23339-F757-494D-8A38-72BAAF98C2CF}"/>
    <cellStyle name="Normal 28 2 10" xfId="22548" xr:uid="{38D61DAE-E551-465F-8D32-505F208E16BA}"/>
    <cellStyle name="Normal 28 2 11" xfId="22549" xr:uid="{7F0D04F8-FF48-4B75-8E14-B2C2C2627CC3}"/>
    <cellStyle name="Normal 28 2 12" xfId="22550" xr:uid="{1E49B757-E433-4038-8AB9-C5854FFD01FA}"/>
    <cellStyle name="Normal 28 2 13" xfId="22551" xr:uid="{1A4BAF3A-F868-455D-B7C0-B68104CC30E8}"/>
    <cellStyle name="Normal 28 2 14" xfId="22552" xr:uid="{9561E1FB-DB62-41DE-B571-B9A629413774}"/>
    <cellStyle name="Normal 28 2 15" xfId="22553" xr:uid="{1D99BD7A-83D1-4B8E-A9D7-613A16C1E767}"/>
    <cellStyle name="Normal 28 2 16" xfId="22554" xr:uid="{F6042228-370F-4FE8-BA63-26CF52371E51}"/>
    <cellStyle name="Normal 28 2 17" xfId="22555" xr:uid="{0086E052-0194-46B6-906B-128272B33611}"/>
    <cellStyle name="Normal 28 2 18" xfId="22556" xr:uid="{B8101D09-72E2-40E4-A3A7-67A419521E73}"/>
    <cellStyle name="Normal 28 2 19" xfId="22557" xr:uid="{B1A28887-C888-4D8C-A313-89CBC23A375D}"/>
    <cellStyle name="Normal 28 2 2" xfId="22558" xr:uid="{0FA7F7EB-8601-4492-B3C1-CAEEA7A8009D}"/>
    <cellStyle name="Normal 28 2 2 10" xfId="22559" xr:uid="{57E1AF5C-831F-4FEB-85F6-0C5D9AB881E0}"/>
    <cellStyle name="Normal 28 2 2 11" xfId="22560" xr:uid="{33A21F6A-B781-4ED1-950D-4B4831D8E0CC}"/>
    <cellStyle name="Normal 28 2 2 12" xfId="22561" xr:uid="{41B9DAEA-CB54-46C3-ADA1-2F8F8CDB0A09}"/>
    <cellStyle name="Normal 28 2 2 2" xfId="22562" xr:uid="{F6E65724-100F-4E54-8840-AE90F8391002}"/>
    <cellStyle name="Normal 28 2 2 2 10" xfId="22563" xr:uid="{008C9F89-FD7B-475A-A49C-94570B63B867}"/>
    <cellStyle name="Normal 28 2 2 2 11" xfId="22564" xr:uid="{31E1AC37-8740-4C8B-8FC6-AA7A6A67D35A}"/>
    <cellStyle name="Normal 28 2 2 2 12" xfId="22565" xr:uid="{B02C9647-52D1-4D3E-9033-47334FF61ED0}"/>
    <cellStyle name="Normal 28 2 2 2 2" xfId="22566" xr:uid="{1A70EF5B-D991-4570-BF29-88C1AD851BF0}"/>
    <cellStyle name="Normal 28 2 2 2 2 2" xfId="22567" xr:uid="{BF2677D0-1724-4284-BBFA-9813B9CEB8EB}"/>
    <cellStyle name="Normal 28 2 2 2 2 2 2" xfId="22568" xr:uid="{8D133014-2393-467F-ABB3-41F6782C3F8C}"/>
    <cellStyle name="Normal 28 2 2 2 2 2 2 2" xfId="22569" xr:uid="{376A58FB-D346-4BB2-BA76-48EF78A616E4}"/>
    <cellStyle name="Normal 28 2 2 2 2 2 2 2 2" xfId="22570" xr:uid="{4734B6D6-FF4B-4832-A3EF-BA73E390A1F9}"/>
    <cellStyle name="Normal 28 2 2 2 2 2 2 2 3" xfId="22571" xr:uid="{432A6564-2AF3-4782-A690-4402E1D56637}"/>
    <cellStyle name="Normal 28 2 2 2 2 2 2 2 4" xfId="22572" xr:uid="{BCA73EDA-1356-4FB4-96D7-A6CD646CA4F2}"/>
    <cellStyle name="Normal 28 2 2 2 2 2 2 2 5" xfId="22573" xr:uid="{CF9C952E-C7D9-4F4E-A988-B4F2FC4AB4E5}"/>
    <cellStyle name="Normal 28 2 2 2 2 2 2 2 6" xfId="22574" xr:uid="{7F4C30FD-FF25-4E3F-844E-398380E1B5CE}"/>
    <cellStyle name="Normal 28 2 2 2 2 2 2 3" xfId="22575" xr:uid="{45390197-D372-4BA6-94CE-E71DE63091A8}"/>
    <cellStyle name="Normal 28 2 2 2 2 2 2 4" xfId="22576" xr:uid="{E13D6464-832B-4243-8A7D-D76687295B87}"/>
    <cellStyle name="Normal 28 2 2 2 2 2 2 5" xfId="22577" xr:uid="{FE2CD048-9ADA-4FAF-AA2D-DBAE5D5B8346}"/>
    <cellStyle name="Normal 28 2 2 2 2 2 2 6" xfId="22578" xr:uid="{691835A1-60AC-49D0-AF80-C121D5A6CB76}"/>
    <cellStyle name="Normal 28 2 2 2 2 2 3" xfId="22579" xr:uid="{36283D46-757F-4682-B5FA-FC329A6FFE08}"/>
    <cellStyle name="Normal 28 2 2 2 2 2 4" xfId="22580" xr:uid="{FA5553CB-98A4-44DB-9772-77AB47D72580}"/>
    <cellStyle name="Normal 28 2 2 2 2 2 5" xfId="22581" xr:uid="{71995DBC-B006-4411-936E-DCAE696CB5AE}"/>
    <cellStyle name="Normal 28 2 2 2 2 2 6" xfId="22582" xr:uid="{5E5D0335-649D-446A-BF15-1FB25519A44F}"/>
    <cellStyle name="Normal 28 2 2 2 2 2 7" xfId="22583" xr:uid="{6E37F0EB-5CAC-47EA-81DD-64B767495BB4}"/>
    <cellStyle name="Normal 28 2 2 2 2 2 8" xfId="22584" xr:uid="{23C937AF-DECF-4D93-8212-41B2864442CB}"/>
    <cellStyle name="Normal 28 2 2 2 2 2 9" xfId="22585" xr:uid="{5254BA22-EB62-4A98-9FA2-CB086325B221}"/>
    <cellStyle name="Normal 28 2 2 2 2 3" xfId="22586" xr:uid="{C4B9D9E0-84E7-475B-941A-5DA30B616E08}"/>
    <cellStyle name="Normal 28 2 2 2 2 3 2" xfId="22587" xr:uid="{0FE746BD-C009-4627-A988-64CB62EDA7EE}"/>
    <cellStyle name="Normal 28 2 2 2 2 3 2 2" xfId="22588" xr:uid="{DA89188F-E3BF-4875-9ABF-CBBE05124AC7}"/>
    <cellStyle name="Normal 28 2 2 2 2 3 2 3" xfId="22589" xr:uid="{D3585EE3-D3CF-4A4F-AD20-CA4D8F834A38}"/>
    <cellStyle name="Normal 28 2 2 2 2 3 2 4" xfId="22590" xr:uid="{CA442867-72E1-40C4-9955-6BFA7694D656}"/>
    <cellStyle name="Normal 28 2 2 2 2 3 2 5" xfId="22591" xr:uid="{CD29C132-D01C-4833-AAA5-CC802E6CDE1C}"/>
    <cellStyle name="Normal 28 2 2 2 2 3 2 6" xfId="22592" xr:uid="{0C899B95-6233-4116-A504-904B068E0359}"/>
    <cellStyle name="Normal 28 2 2 2 2 3 3" xfId="22593" xr:uid="{87922290-79ED-40C9-BB79-1AB243E20922}"/>
    <cellStyle name="Normal 28 2 2 2 2 3 4" xfId="22594" xr:uid="{350580F2-3675-4D00-A8AD-B86982369FE7}"/>
    <cellStyle name="Normal 28 2 2 2 2 3 5" xfId="22595" xr:uid="{7CD46020-8F79-4FE7-B292-627411E3BCEC}"/>
    <cellStyle name="Normal 28 2 2 2 2 3 6" xfId="22596" xr:uid="{9C7F70D8-A0CA-4EF0-BD4A-6401E52B3A7E}"/>
    <cellStyle name="Normal 28 2 2 2 2 4" xfId="22597" xr:uid="{0D59EA2A-0663-4B70-A067-FA8F20945F91}"/>
    <cellStyle name="Normal 28 2 2 2 2 5" xfId="22598" xr:uid="{6CF941B8-72FC-4F78-921E-5ACD4C0C6382}"/>
    <cellStyle name="Normal 28 2 2 2 2 6" xfId="22599" xr:uid="{978892D3-825F-4845-96FE-6378F79E2F8B}"/>
    <cellStyle name="Normal 28 2 2 2 2 7" xfId="22600" xr:uid="{7AE12D1D-CC65-4B7C-8610-43DDDFC4F193}"/>
    <cellStyle name="Normal 28 2 2 2 2 8" xfId="22601" xr:uid="{15092C97-CF63-4128-8099-02B88DEE5906}"/>
    <cellStyle name="Normal 28 2 2 2 2 9" xfId="22602" xr:uid="{26A6E316-88A0-4DBE-8FED-157FAE62D5B3}"/>
    <cellStyle name="Normal 28 2 2 2 3" xfId="22603" xr:uid="{738FABF6-E8A7-4E12-ABFB-1B0D94EB01BF}"/>
    <cellStyle name="Normal 28 2 2 2 4" xfId="22604" xr:uid="{620ADBC8-C1D2-418C-9EF4-DDE7F59903EE}"/>
    <cellStyle name="Normal 28 2 2 2 5" xfId="22605" xr:uid="{57EE2C2A-E047-45EB-B63A-915AD3657106}"/>
    <cellStyle name="Normal 28 2 2 2 5 2" xfId="22606" xr:uid="{AAA71AA1-8589-4550-B15D-85C7CCF696B6}"/>
    <cellStyle name="Normal 28 2 2 2 5 2 2" xfId="22607" xr:uid="{7C11819C-CEEF-4340-BFC2-3E718B9A7440}"/>
    <cellStyle name="Normal 28 2 2 2 5 2 3" xfId="22608" xr:uid="{D7F9EB86-EB7E-4C5F-B93F-BEABA2CC7BEA}"/>
    <cellStyle name="Normal 28 2 2 2 5 2 4" xfId="22609" xr:uid="{B4798F20-7B8B-4DC8-9C47-180590CC0EC5}"/>
    <cellStyle name="Normal 28 2 2 2 5 2 5" xfId="22610" xr:uid="{23FAC3E4-47DD-487B-BFDE-5802AF9B1371}"/>
    <cellStyle name="Normal 28 2 2 2 5 2 6" xfId="22611" xr:uid="{D6F8C67B-BA68-4E33-9D3A-63B947192DFA}"/>
    <cellStyle name="Normal 28 2 2 2 5 3" xfId="22612" xr:uid="{D4041E6A-73A2-4666-9E48-D90991FD8AEE}"/>
    <cellStyle name="Normal 28 2 2 2 5 4" xfId="22613" xr:uid="{D60F78C5-2B83-47F6-883A-A1CB425D1C10}"/>
    <cellStyle name="Normal 28 2 2 2 5 5" xfId="22614" xr:uid="{906A0C00-17EE-496B-A34F-372910C8B12C}"/>
    <cellStyle name="Normal 28 2 2 2 5 6" xfId="22615" xr:uid="{3962F4E4-22D8-4AB5-9BD8-E2F7E8DE3449}"/>
    <cellStyle name="Normal 28 2 2 2 6" xfId="22616" xr:uid="{317BA4DC-5D23-4632-8494-48AEC0A9F217}"/>
    <cellStyle name="Normal 28 2 2 2 7" xfId="22617" xr:uid="{09060BE6-9217-4B6B-BD11-EED3EAECF0B9}"/>
    <cellStyle name="Normal 28 2 2 2 8" xfId="22618" xr:uid="{1CB6FC4D-BCF2-4541-BBEE-2FC34B039A17}"/>
    <cellStyle name="Normal 28 2 2 2 9" xfId="22619" xr:uid="{09B36A76-7018-4BF8-9C2E-87953376497D}"/>
    <cellStyle name="Normal 28 2 2 3" xfId="22620" xr:uid="{B9870687-D851-437B-A48E-1767B442766B}"/>
    <cellStyle name="Normal 28 2 2 3 2" xfId="22621" xr:uid="{FB16C2CB-DD15-4E52-8627-75462519F676}"/>
    <cellStyle name="Normal 28 2 2 3 2 2" xfId="22622" xr:uid="{03FEDB7F-0195-48FD-8F96-1AB0229A9716}"/>
    <cellStyle name="Normal 28 2 2 3 2 2 2" xfId="22623" xr:uid="{105E004E-AC7F-4D81-A732-07D7B2E7B511}"/>
    <cellStyle name="Normal 28 2 2 3 2 2 2 2" xfId="22624" xr:uid="{73EF9CC4-6C11-49A7-B460-4511409371AE}"/>
    <cellStyle name="Normal 28 2 2 3 2 2 2 3" xfId="22625" xr:uid="{7FB02789-A926-4D19-8EF7-27AD5351AF59}"/>
    <cellStyle name="Normal 28 2 2 3 2 2 2 4" xfId="22626" xr:uid="{1B5D149D-45AD-411F-9ED6-191F832781B2}"/>
    <cellStyle name="Normal 28 2 2 3 2 2 2 5" xfId="22627" xr:uid="{C419143C-8D94-4B88-A734-61D8A05C6F06}"/>
    <cellStyle name="Normal 28 2 2 3 2 2 2 6" xfId="22628" xr:uid="{21CBDA40-4379-4BB0-A9EA-79358F041AE0}"/>
    <cellStyle name="Normal 28 2 2 3 2 2 3" xfId="22629" xr:uid="{675B621B-226A-4092-9DE4-A60A2B3562A8}"/>
    <cellStyle name="Normal 28 2 2 3 2 2 4" xfId="22630" xr:uid="{4216DDCA-2FCC-477B-948F-E3ED2B986A50}"/>
    <cellStyle name="Normal 28 2 2 3 2 2 5" xfId="22631" xr:uid="{BBF74791-DF6A-4CFB-9A4C-982989F233F9}"/>
    <cellStyle name="Normal 28 2 2 3 2 2 6" xfId="22632" xr:uid="{04B8DEA5-5E03-4602-9975-007A832B3A23}"/>
    <cellStyle name="Normal 28 2 2 3 2 3" xfId="22633" xr:uid="{6D05E76D-66E7-4DF4-9830-A00AB506D6E0}"/>
    <cellStyle name="Normal 28 2 2 3 2 4" xfId="22634" xr:uid="{C7D6F8DD-0717-4EC1-9C4C-9E51060A0B5E}"/>
    <cellStyle name="Normal 28 2 2 3 2 5" xfId="22635" xr:uid="{7FA05B58-87A2-4C66-A2C8-FF61C1ECEAB7}"/>
    <cellStyle name="Normal 28 2 2 3 2 6" xfId="22636" xr:uid="{3666179F-F79B-4E61-BDC8-7F77055582A2}"/>
    <cellStyle name="Normal 28 2 2 3 2 7" xfId="22637" xr:uid="{F11505D0-C465-4EC9-9B32-521E01EA2A49}"/>
    <cellStyle name="Normal 28 2 2 3 2 8" xfId="22638" xr:uid="{D13BFC5D-FD44-4D9C-9DAB-9CF9AA33AA9F}"/>
    <cellStyle name="Normal 28 2 2 3 2 9" xfId="22639" xr:uid="{A0D27CDF-65F8-451F-953D-8C076936E5B6}"/>
    <cellStyle name="Normal 28 2 2 3 3" xfId="22640" xr:uid="{3D2EA7F4-C625-49C9-BAE3-0212D4A07E54}"/>
    <cellStyle name="Normal 28 2 2 3 3 2" xfId="22641" xr:uid="{B0AD06CF-9A37-4F02-9050-64816692043B}"/>
    <cellStyle name="Normal 28 2 2 3 3 2 2" xfId="22642" xr:uid="{6A0FBA20-0ABC-46A8-8D9B-02FF8F7BF0C0}"/>
    <cellStyle name="Normal 28 2 2 3 3 2 3" xfId="22643" xr:uid="{FCA08229-E1DC-44B3-8164-8689A69163DD}"/>
    <cellStyle name="Normal 28 2 2 3 3 2 4" xfId="22644" xr:uid="{B825C5CA-ED6F-406C-8CA9-F2E8BC868C84}"/>
    <cellStyle name="Normal 28 2 2 3 3 2 5" xfId="22645" xr:uid="{9EABBDF1-F450-4835-AD38-D79BDFCDD1FB}"/>
    <cellStyle name="Normal 28 2 2 3 3 2 6" xfId="22646" xr:uid="{DF5F23BE-043B-44B5-9765-0DA286822966}"/>
    <cellStyle name="Normal 28 2 2 3 3 3" xfId="22647" xr:uid="{05809D58-5B3A-4B7E-A786-F118D936925A}"/>
    <cellStyle name="Normal 28 2 2 3 3 4" xfId="22648" xr:uid="{ED32FEB3-43B7-434C-AAB8-CCA085B6974F}"/>
    <cellStyle name="Normal 28 2 2 3 3 5" xfId="22649" xr:uid="{EE3A9DD4-7FA9-4B53-838E-9A0B9AD31E35}"/>
    <cellStyle name="Normal 28 2 2 3 3 6" xfId="22650" xr:uid="{8F5F3703-088F-4B5A-A280-232E6E362EDB}"/>
    <cellStyle name="Normal 28 2 2 3 4" xfId="22651" xr:uid="{7EE003BB-FD3C-47C0-BB82-32C1B5D402E8}"/>
    <cellStyle name="Normal 28 2 2 3 5" xfId="22652" xr:uid="{FAE0B66C-AE98-4138-B17F-BB5B3732B6C8}"/>
    <cellStyle name="Normal 28 2 2 3 6" xfId="22653" xr:uid="{F7F893EA-2268-4518-A0E2-752FFE9E5ED4}"/>
    <cellStyle name="Normal 28 2 2 3 7" xfId="22654" xr:uid="{692DD6B2-25C3-4568-A3F3-74C735CDDF71}"/>
    <cellStyle name="Normal 28 2 2 3 8" xfId="22655" xr:uid="{49A5DB98-CC1E-4AB9-A0C6-2ED136276353}"/>
    <cellStyle name="Normal 28 2 2 3 9" xfId="22656" xr:uid="{8FDFEBF9-5C1F-49DF-B205-2C244FBB281A}"/>
    <cellStyle name="Normal 28 2 2 4" xfId="22657" xr:uid="{FC4EF93D-EA4D-48FE-960F-75CF62F4C431}"/>
    <cellStyle name="Normal 28 2 2 5" xfId="22658" xr:uid="{6D97280A-1DA0-4DE5-BB13-6D4555B8D597}"/>
    <cellStyle name="Normal 28 2 2 5 2" xfId="22659" xr:uid="{EC7667E3-D786-46E1-A5AE-66A36F9ABE0E}"/>
    <cellStyle name="Normal 28 2 2 5 2 2" xfId="22660" xr:uid="{8A105A03-179C-479D-9E1D-152980DAA9C3}"/>
    <cellStyle name="Normal 28 2 2 5 2 3" xfId="22661" xr:uid="{5BEBA4D8-50CB-42E0-9478-A1DEE6544DEC}"/>
    <cellStyle name="Normal 28 2 2 5 2 4" xfId="22662" xr:uid="{A2469186-FEC2-4FB2-85DA-3C019048803E}"/>
    <cellStyle name="Normal 28 2 2 5 2 5" xfId="22663" xr:uid="{DD400100-B55B-4045-BFE3-E838D6486F2E}"/>
    <cellStyle name="Normal 28 2 2 5 2 6" xfId="22664" xr:uid="{ACAE80A0-DEAF-4D40-B551-453E76661D3A}"/>
    <cellStyle name="Normal 28 2 2 5 3" xfId="22665" xr:uid="{EE90E8B6-61E4-4805-AD27-30F29ACC72C3}"/>
    <cellStyle name="Normal 28 2 2 5 4" xfId="22666" xr:uid="{8CC7342F-2A16-44AB-87C3-C3909ADD28DF}"/>
    <cellStyle name="Normal 28 2 2 5 5" xfId="22667" xr:uid="{E160A0B4-E14F-4382-AFC6-74288F7AD93D}"/>
    <cellStyle name="Normal 28 2 2 5 6" xfId="22668" xr:uid="{810262E5-9762-4160-B2A0-8B60C4B52F43}"/>
    <cellStyle name="Normal 28 2 2 6" xfId="22669" xr:uid="{E8F94CEE-2E25-4D29-9D05-D4D53F9D09D2}"/>
    <cellStyle name="Normal 28 2 2 7" xfId="22670" xr:uid="{13A053BB-4254-45C6-9A5D-EAAAD63A3FE8}"/>
    <cellStyle name="Normal 28 2 2 8" xfId="22671" xr:uid="{CA4E1FB8-13FF-4A91-AAA7-413AEBF9D832}"/>
    <cellStyle name="Normal 28 2 2 9" xfId="22672" xr:uid="{36087E71-E454-422C-A97C-AACDBB07762B}"/>
    <cellStyle name="Normal 28 2 20" xfId="22547" xr:uid="{F9E78DF9-669A-4BA1-BB67-529BF618C81C}"/>
    <cellStyle name="Normal 28 2 3" xfId="22673" xr:uid="{74BF89EB-60C1-410B-A3F2-B88D401AA188}"/>
    <cellStyle name="Normal 28 2 4" xfId="22674" xr:uid="{D08E3C5B-382F-4497-8425-CB57362B0C79}"/>
    <cellStyle name="Normal 28 2 5" xfId="22675" xr:uid="{C30965A3-3D92-4CE6-BC1F-3FE6119D74CC}"/>
    <cellStyle name="Normal 28 2 5 2" xfId="22676" xr:uid="{98F9F938-8DEA-4430-8E8F-8E710D144048}"/>
    <cellStyle name="Normal 28 2 5 2 2" xfId="22677" xr:uid="{43D894EC-9A7B-4B2E-B372-D91170179618}"/>
    <cellStyle name="Normal 28 2 5 2 2 2" xfId="22678" xr:uid="{1070E500-93CC-4D8E-84E7-EAE156BFB7F4}"/>
    <cellStyle name="Normal 28 2 5 2 2 2 2" xfId="22679" xr:uid="{9AEA1432-F517-4DF4-B3D9-6C90C9AE0F90}"/>
    <cellStyle name="Normal 28 2 5 2 2 2 3" xfId="22680" xr:uid="{8DD8F745-2FFF-4B24-A447-D02368A7F3AE}"/>
    <cellStyle name="Normal 28 2 5 2 2 2 4" xfId="22681" xr:uid="{BC2BB1D6-228F-45C6-B81D-F4C36EA28952}"/>
    <cellStyle name="Normal 28 2 5 2 2 2 5" xfId="22682" xr:uid="{15F32F87-681D-48DF-AEDC-8D8BC319BEBD}"/>
    <cellStyle name="Normal 28 2 5 2 2 2 6" xfId="22683" xr:uid="{87BB7C21-941C-4F71-9A2D-EB1359977D3F}"/>
    <cellStyle name="Normal 28 2 5 2 2 3" xfId="22684" xr:uid="{9E18F393-3372-4781-B3C0-6B638259862A}"/>
    <cellStyle name="Normal 28 2 5 2 2 4" xfId="22685" xr:uid="{A2761EA4-8E91-457F-8A47-184447B37219}"/>
    <cellStyle name="Normal 28 2 5 2 2 5" xfId="22686" xr:uid="{68213651-F1C7-4ADC-9C37-CD92D9DEF7CA}"/>
    <cellStyle name="Normal 28 2 5 2 2 6" xfId="22687" xr:uid="{1AECFBA4-5EBD-4706-8147-6CA7819F68C8}"/>
    <cellStyle name="Normal 28 2 5 2 3" xfId="22688" xr:uid="{E6DE158C-2675-4E97-94FE-ECE53A71916B}"/>
    <cellStyle name="Normal 28 2 5 2 4" xfId="22689" xr:uid="{44DA0CD5-0652-45E9-BBC0-1F3F7D968394}"/>
    <cellStyle name="Normal 28 2 5 2 5" xfId="22690" xr:uid="{89A30D6C-42F2-4E7E-9071-745FEE172839}"/>
    <cellStyle name="Normal 28 2 5 2 6" xfId="22691" xr:uid="{A50F1B77-49E6-409B-A0A6-66DA8FFC11A1}"/>
    <cellStyle name="Normal 28 2 5 2 7" xfId="22692" xr:uid="{47D32612-0141-4195-AAA1-E8D1CDF79B87}"/>
    <cellStyle name="Normal 28 2 5 2 8" xfId="22693" xr:uid="{DE525B93-94B1-49DC-A7A1-335618E74876}"/>
    <cellStyle name="Normal 28 2 5 2 9" xfId="22694" xr:uid="{1E125065-FF5C-40AA-9C03-996F195CB8D6}"/>
    <cellStyle name="Normal 28 2 5 3" xfId="22695" xr:uid="{30937AE3-097B-4068-B1D1-25C5862FE679}"/>
    <cellStyle name="Normal 28 2 5 3 2" xfId="22696" xr:uid="{983E89B1-6975-49E6-BAA5-438ED748C624}"/>
    <cellStyle name="Normal 28 2 5 3 2 2" xfId="22697" xr:uid="{5650AD91-78AF-41B0-B8DC-9CD1F9DC43E3}"/>
    <cellStyle name="Normal 28 2 5 3 2 3" xfId="22698" xr:uid="{8BB7F4AD-E677-4F49-A4B0-074FD1A3CA87}"/>
    <cellStyle name="Normal 28 2 5 3 2 4" xfId="22699" xr:uid="{71BC7402-428D-407E-BC91-2BCA6B5CE15E}"/>
    <cellStyle name="Normal 28 2 5 3 2 5" xfId="22700" xr:uid="{64C13257-F997-4EA0-8C7C-55618DA593C6}"/>
    <cellStyle name="Normal 28 2 5 3 2 6" xfId="22701" xr:uid="{649CD5B7-CEA1-4FCE-A622-7B6D356DB374}"/>
    <cellStyle name="Normal 28 2 5 3 3" xfId="22702" xr:uid="{4530AA05-3C80-403D-A905-084B2A924C36}"/>
    <cellStyle name="Normal 28 2 5 3 4" xfId="22703" xr:uid="{90F44CDB-39C4-49D2-9D04-DF75B7C0D03F}"/>
    <cellStyle name="Normal 28 2 5 3 5" xfId="22704" xr:uid="{5E22B7AC-CCD7-4960-87E5-BC2A35423FAE}"/>
    <cellStyle name="Normal 28 2 5 3 6" xfId="22705" xr:uid="{CF11B058-EAE0-409E-8BF3-8A69A2B6CBEF}"/>
    <cellStyle name="Normal 28 2 5 4" xfId="22706" xr:uid="{BA25DDAD-707C-4577-90E5-4CC966D9FB50}"/>
    <cellStyle name="Normal 28 2 5 5" xfId="22707" xr:uid="{CB720C21-4858-4D2C-AC55-46C62B53D772}"/>
    <cellStyle name="Normal 28 2 5 6" xfId="22708" xr:uid="{19116F0B-A8D2-42D0-9629-4939AEA84271}"/>
    <cellStyle name="Normal 28 2 5 7" xfId="22709" xr:uid="{139C4B19-471F-4757-A754-5E8B0ECD1468}"/>
    <cellStyle name="Normal 28 2 5 8" xfId="22710" xr:uid="{87C0CBE9-6EBB-422E-9E59-00097E030A9E}"/>
    <cellStyle name="Normal 28 2 5 9" xfId="22711" xr:uid="{1B6BA003-0739-43A8-8FF7-85B9AD9CEE66}"/>
    <cellStyle name="Normal 28 2 6" xfId="22712" xr:uid="{14DAD21D-236D-4EE2-8927-0B6CD80F9A31}"/>
    <cellStyle name="Normal 28 2 7" xfId="22713" xr:uid="{5E9AE235-BEEF-4543-B82A-E54F40F4C471}"/>
    <cellStyle name="Normal 28 2 8" xfId="22714" xr:uid="{3A4F4033-C396-4DFF-8A16-E8FEC39F9420}"/>
    <cellStyle name="Normal 28 2 8 2" xfId="22715" xr:uid="{D21F58AA-25EC-4BA4-ABBD-748B0C1C6E53}"/>
    <cellStyle name="Normal 28 2 8 2 2" xfId="22716" xr:uid="{DDD1EAFF-98A4-46D8-A381-A8C489F68FE0}"/>
    <cellStyle name="Normal 28 2 8 2 3" xfId="22717" xr:uid="{FAA74F69-9184-4D62-819B-E34BC1A9BDDB}"/>
    <cellStyle name="Normal 28 2 8 2 4" xfId="22718" xr:uid="{FC5114AB-1F58-40F7-B9A9-1967C9D2252E}"/>
    <cellStyle name="Normal 28 2 8 2 5" xfId="22719" xr:uid="{8D5D78BC-C78F-4E3C-AD9E-C092D7EA92D1}"/>
    <cellStyle name="Normal 28 2 8 2 6" xfId="22720" xr:uid="{B70A38B6-66D1-44CA-AD8C-13F57553A06A}"/>
    <cellStyle name="Normal 28 2 8 3" xfId="22721" xr:uid="{6259841F-D3C0-476E-820D-0ED38A084787}"/>
    <cellStyle name="Normal 28 2 8 4" xfId="22722" xr:uid="{EC1F1A49-12C6-4C51-BE75-97B21DE607E1}"/>
    <cellStyle name="Normal 28 2 8 5" xfId="22723" xr:uid="{44D5BF40-B131-4B6B-948E-3A8C1F01954B}"/>
    <cellStyle name="Normal 28 2 8 6" xfId="22724" xr:uid="{F5B8F50A-E464-4563-BA5A-8EA289F18AC6}"/>
    <cellStyle name="Normal 28 2 9" xfId="22725" xr:uid="{8535CC8A-945F-425E-84E5-179C79C768A2}"/>
    <cellStyle name="Normal 28 20" xfId="22726" xr:uid="{81FABDBF-A15C-41C9-8148-CC18D5498005}"/>
    <cellStyle name="Normal 28 21" xfId="22727" xr:uid="{0F4236A7-00DB-4DD3-A177-16DF06147CB8}"/>
    <cellStyle name="Normal 28 22" xfId="22536" xr:uid="{7EC1BCC0-08CC-45D5-850A-A7E19D35285E}"/>
    <cellStyle name="Normal 28 3" xfId="22728" xr:uid="{3EBDFF3A-7CDD-4997-980F-A5B9B7699D09}"/>
    <cellStyle name="Normal 28 3 10" xfId="22729" xr:uid="{ADA91B0C-CF3D-48A2-B5AD-322FDF103851}"/>
    <cellStyle name="Normal 28 3 11" xfId="22730" xr:uid="{A9153A6A-CDA4-4C96-8669-B61A3B0586A7}"/>
    <cellStyle name="Normal 28 3 12" xfId="22731" xr:uid="{00A102A7-BB93-4AC9-A0EF-E755B8EDCE06}"/>
    <cellStyle name="Normal 28 3 13" xfId="22732" xr:uid="{B870952D-0613-4BC8-9E61-3CE97BC4EE16}"/>
    <cellStyle name="Normal 28 3 14" xfId="22733" xr:uid="{0D15E5BF-9439-46EB-B88F-553DAC9923B1}"/>
    <cellStyle name="Normal 28 3 15" xfId="22734" xr:uid="{534DC9A1-06A1-438A-8A2F-D3DE8EF541A5}"/>
    <cellStyle name="Normal 28 3 16" xfId="22735" xr:uid="{A75FBF91-5E83-4193-A299-8CAF98DEA1F3}"/>
    <cellStyle name="Normal 28 3 2" xfId="22736" xr:uid="{320200BD-D25E-4696-9D1F-6FEE8B0064FD}"/>
    <cellStyle name="Normal 28 3 2 10" xfId="22737" xr:uid="{95C75033-869C-4B05-BCAC-EF289EB38D07}"/>
    <cellStyle name="Normal 28 3 2 11" xfId="22738" xr:uid="{8E5E3EB0-B93F-4C06-97B8-17CDB0DA438A}"/>
    <cellStyle name="Normal 28 3 2 12" xfId="22739" xr:uid="{DC01E477-AAA1-4380-82B8-A616B076F2F2}"/>
    <cellStyle name="Normal 28 3 2 2" xfId="22740" xr:uid="{48F02CB1-0D13-412F-B25D-0BA5469C238F}"/>
    <cellStyle name="Normal 28 3 2 2 2" xfId="22741" xr:uid="{CBB925D5-8E8C-4D68-89ED-37F0D555E1F3}"/>
    <cellStyle name="Normal 28 3 2 2 2 2" xfId="22742" xr:uid="{C441F553-CF3C-44AF-960F-516EDA034C4D}"/>
    <cellStyle name="Normal 28 3 2 2 2 2 2" xfId="22743" xr:uid="{3F4A4D83-1C73-4132-B696-F5D99458F037}"/>
    <cellStyle name="Normal 28 3 2 2 2 2 2 2" xfId="22744" xr:uid="{2AADAF7B-F5D5-4175-8A6F-797AA63FA665}"/>
    <cellStyle name="Normal 28 3 2 2 2 2 2 3" xfId="22745" xr:uid="{7457A2FB-83F3-46B1-A52B-E17C1E6F0EC9}"/>
    <cellStyle name="Normal 28 3 2 2 2 2 2 4" xfId="22746" xr:uid="{56385073-47DB-4BDA-B8D4-F00405FB9BD7}"/>
    <cellStyle name="Normal 28 3 2 2 2 2 2 5" xfId="22747" xr:uid="{3B65CF26-AF3C-4A17-95AE-F28D3305FC50}"/>
    <cellStyle name="Normal 28 3 2 2 2 2 2 6" xfId="22748" xr:uid="{4D39ADF3-5DE7-47BE-A5D1-B17F34ADA385}"/>
    <cellStyle name="Normal 28 3 2 2 2 2 3" xfId="22749" xr:uid="{D1C791DE-0DBA-4368-8C35-1ABD4450596E}"/>
    <cellStyle name="Normal 28 3 2 2 2 2 4" xfId="22750" xr:uid="{535E84C9-9234-47CD-BFEF-C2F298DC6228}"/>
    <cellStyle name="Normal 28 3 2 2 2 2 5" xfId="22751" xr:uid="{3D1CCFC4-7973-4FCB-85FD-3317FA10D263}"/>
    <cellStyle name="Normal 28 3 2 2 2 2 6" xfId="22752" xr:uid="{C5A41973-86F9-4405-8125-042B41CBB1E3}"/>
    <cellStyle name="Normal 28 3 2 2 2 3" xfId="22753" xr:uid="{545F92CE-72EE-49C4-B439-FA35FE3973B9}"/>
    <cellStyle name="Normal 28 3 2 2 2 4" xfId="22754" xr:uid="{574C74A8-4BCC-455D-A7C8-5AE46E0BE35D}"/>
    <cellStyle name="Normal 28 3 2 2 2 5" xfId="22755" xr:uid="{BD7A308A-FDEC-4416-8071-EE3797616EE5}"/>
    <cellStyle name="Normal 28 3 2 2 2 6" xfId="22756" xr:uid="{FEB92854-BDA6-4287-ABF8-58F88659A8E7}"/>
    <cellStyle name="Normal 28 3 2 2 2 7" xfId="22757" xr:uid="{BB90860A-398B-4BEE-BA31-20F264C10758}"/>
    <cellStyle name="Normal 28 3 2 2 2 8" xfId="22758" xr:uid="{2D7915F9-BD97-4E57-BF9E-F8E91C8A4863}"/>
    <cellStyle name="Normal 28 3 2 2 2 9" xfId="22759" xr:uid="{4934B345-C996-48C6-B3B3-6A7291204DA9}"/>
    <cellStyle name="Normal 28 3 2 2 3" xfId="22760" xr:uid="{92E9DC0E-A426-49D4-8F42-520C4FECFBC4}"/>
    <cellStyle name="Normal 28 3 2 2 3 2" xfId="22761" xr:uid="{13EEBF98-BD0D-48D0-A625-3171B43A4402}"/>
    <cellStyle name="Normal 28 3 2 2 3 2 2" xfId="22762" xr:uid="{169C74D9-C6A3-4CC8-88B2-E609DFE74118}"/>
    <cellStyle name="Normal 28 3 2 2 3 2 3" xfId="22763" xr:uid="{40CD02AD-6A2A-4823-8456-97343BADA0A6}"/>
    <cellStyle name="Normal 28 3 2 2 3 2 4" xfId="22764" xr:uid="{E6A8303E-68FC-4B8D-BB64-A3699CB6FCDA}"/>
    <cellStyle name="Normal 28 3 2 2 3 2 5" xfId="22765" xr:uid="{D7025D5C-A3A9-45CA-BD9B-F30E2CB796CD}"/>
    <cellStyle name="Normal 28 3 2 2 3 2 6" xfId="22766" xr:uid="{6078026B-76A2-4835-8194-6F387EC382C0}"/>
    <cellStyle name="Normal 28 3 2 2 3 3" xfId="22767" xr:uid="{372C6DDD-CFD5-44A9-A511-9D9B7679DDAF}"/>
    <cellStyle name="Normal 28 3 2 2 3 4" xfId="22768" xr:uid="{71916E47-CE80-420D-8706-69A89891CFA2}"/>
    <cellStyle name="Normal 28 3 2 2 3 5" xfId="22769" xr:uid="{AD56D49E-7EEF-44D2-8558-FD1A03CDF9E3}"/>
    <cellStyle name="Normal 28 3 2 2 3 6" xfId="22770" xr:uid="{DB84B136-35D6-4312-8206-5B1E41912905}"/>
    <cellStyle name="Normal 28 3 2 2 4" xfId="22771" xr:uid="{F685C467-B1FF-440E-96BB-BBE6DFEDA150}"/>
    <cellStyle name="Normal 28 3 2 2 5" xfId="22772" xr:uid="{035E694B-C000-4BC3-8C04-2FC155BFEC72}"/>
    <cellStyle name="Normal 28 3 2 2 6" xfId="22773" xr:uid="{960C86E4-D131-442E-AE14-25E36254696F}"/>
    <cellStyle name="Normal 28 3 2 2 7" xfId="22774" xr:uid="{93AD05AD-9263-4CAA-A4F2-D0033EC73AD2}"/>
    <cellStyle name="Normal 28 3 2 2 8" xfId="22775" xr:uid="{26BFC106-2A09-4448-BA77-001A814F5EDE}"/>
    <cellStyle name="Normal 28 3 2 2 9" xfId="22776" xr:uid="{705CF320-3048-448B-92CC-830712FB21BB}"/>
    <cellStyle name="Normal 28 3 2 3" xfId="22777" xr:uid="{A811F50E-8677-46EB-A606-AB84D539546F}"/>
    <cellStyle name="Normal 28 3 2 4" xfId="22778" xr:uid="{3F5BB264-2C40-4E2E-AAD6-40A9ABFBD96C}"/>
    <cellStyle name="Normal 28 3 2 5" xfId="22779" xr:uid="{2BD2DE26-0AED-4633-A39C-D5D819B08F1A}"/>
    <cellStyle name="Normal 28 3 2 5 2" xfId="22780" xr:uid="{2B7535A4-0DB9-43F5-A402-14B2616510A4}"/>
    <cellStyle name="Normal 28 3 2 5 2 2" xfId="22781" xr:uid="{429016CB-34D0-4A1A-AAD9-F00601A9A616}"/>
    <cellStyle name="Normal 28 3 2 5 2 3" xfId="22782" xr:uid="{6A50725D-B780-4238-874C-77ABA196A83D}"/>
    <cellStyle name="Normal 28 3 2 5 2 4" xfId="22783" xr:uid="{7B897046-4F09-4D8E-ADC9-CF71B37ABE76}"/>
    <cellStyle name="Normal 28 3 2 5 2 5" xfId="22784" xr:uid="{187FDC6F-232A-430C-B345-D73B6B45431F}"/>
    <cellStyle name="Normal 28 3 2 5 2 6" xfId="22785" xr:uid="{79C8AC1E-3E80-4390-8013-AD8636F232E6}"/>
    <cellStyle name="Normal 28 3 2 5 3" xfId="22786" xr:uid="{9A6A0116-6A31-4B12-A058-58A60DD112C0}"/>
    <cellStyle name="Normal 28 3 2 5 4" xfId="22787" xr:uid="{FAC59A66-3520-4E95-AD9E-F96F4623CBCD}"/>
    <cellStyle name="Normal 28 3 2 5 5" xfId="22788" xr:uid="{7C3D801E-69E3-470F-8237-7C61D372F5C6}"/>
    <cellStyle name="Normal 28 3 2 5 6" xfId="22789" xr:uid="{475EF05F-33D8-4B6C-B419-98C4714A6372}"/>
    <cellStyle name="Normal 28 3 2 6" xfId="22790" xr:uid="{55FE49D2-8CBB-468B-A2B6-8751811A560E}"/>
    <cellStyle name="Normal 28 3 2 7" xfId="22791" xr:uid="{744651EC-86A4-4A94-90DC-327CCC58B4D5}"/>
    <cellStyle name="Normal 28 3 2 8" xfId="22792" xr:uid="{1088D824-8DDC-4C89-8535-55C7A4DE2C85}"/>
    <cellStyle name="Normal 28 3 2 9" xfId="22793" xr:uid="{27DF1F33-BE12-47A4-A772-F9B6686DD954}"/>
    <cellStyle name="Normal 28 3 3" xfId="22794" xr:uid="{02F0F3AD-3F55-40B0-83C3-D6DB98181C4B}"/>
    <cellStyle name="Normal 28 3 3 2" xfId="22795" xr:uid="{5797F3A6-53CB-4356-A9AC-F199DB45920C}"/>
    <cellStyle name="Normal 28 3 3 2 2" xfId="22796" xr:uid="{FF885760-89DE-4A08-8F9A-96284C917E65}"/>
    <cellStyle name="Normal 28 3 3 2 2 2" xfId="22797" xr:uid="{E2E38133-E989-44F6-8769-B4426BE18867}"/>
    <cellStyle name="Normal 28 3 3 2 2 2 2" xfId="22798" xr:uid="{26384D8D-E542-4D80-9F64-E1703791F993}"/>
    <cellStyle name="Normal 28 3 3 2 2 2 3" xfId="22799" xr:uid="{BEB3B5DB-0DDB-4262-B4F4-FC5016C94AF8}"/>
    <cellStyle name="Normal 28 3 3 2 2 2 4" xfId="22800" xr:uid="{1B2A7FC3-1AD2-430B-8729-3CC3C289FEA1}"/>
    <cellStyle name="Normal 28 3 3 2 2 2 5" xfId="22801" xr:uid="{607D848B-1573-45F7-8FC2-5B208FB8F982}"/>
    <cellStyle name="Normal 28 3 3 2 2 2 6" xfId="22802" xr:uid="{9A95B45A-92A9-41B5-8788-EF261768C9A5}"/>
    <cellStyle name="Normal 28 3 3 2 2 3" xfId="22803" xr:uid="{64AE9277-A992-4872-8CB8-F299E53F2B4B}"/>
    <cellStyle name="Normal 28 3 3 2 2 4" xfId="22804" xr:uid="{EA595DEF-4FA1-4884-BD73-6FE1F7E9C4CE}"/>
    <cellStyle name="Normal 28 3 3 2 2 5" xfId="22805" xr:uid="{B80D649C-109B-4084-A37F-33F50C58BCBE}"/>
    <cellStyle name="Normal 28 3 3 2 2 6" xfId="22806" xr:uid="{37D17A5E-7EFB-49AE-B4A6-54EA065CAF4F}"/>
    <cellStyle name="Normal 28 3 3 2 3" xfId="22807" xr:uid="{880D3EF2-DE23-4AD8-A68F-94947E3EFB9E}"/>
    <cellStyle name="Normal 28 3 3 2 4" xfId="22808" xr:uid="{6811BF74-D34F-4F61-B9C3-D3B2F644EB50}"/>
    <cellStyle name="Normal 28 3 3 2 5" xfId="22809" xr:uid="{D31A78A8-FD25-4224-BECD-9CD573DDDE87}"/>
    <cellStyle name="Normal 28 3 3 2 6" xfId="22810" xr:uid="{0CA2F61D-973F-42AD-B53A-654975D980AC}"/>
    <cellStyle name="Normal 28 3 3 2 7" xfId="22811" xr:uid="{FF81C349-72A5-4765-9A70-66820D7A6547}"/>
    <cellStyle name="Normal 28 3 3 2 8" xfId="22812" xr:uid="{44418946-8991-4C39-A5E4-340F089E26B2}"/>
    <cellStyle name="Normal 28 3 3 2 9" xfId="22813" xr:uid="{5B58D2F2-46BF-40DC-8D9F-CA388FB51A0E}"/>
    <cellStyle name="Normal 28 3 3 3" xfId="22814" xr:uid="{2B1B07E8-AFCF-485E-BEE8-AF892D4E28DA}"/>
    <cellStyle name="Normal 28 3 3 3 2" xfId="22815" xr:uid="{A10F6C2F-EEBD-4738-A514-DAD8C29DF547}"/>
    <cellStyle name="Normal 28 3 3 3 2 2" xfId="22816" xr:uid="{5FDE1922-E5C0-4DEE-8B5F-935676DDA202}"/>
    <cellStyle name="Normal 28 3 3 3 2 3" xfId="22817" xr:uid="{91B52F89-158A-4AD7-8FB8-F751984FA50B}"/>
    <cellStyle name="Normal 28 3 3 3 2 4" xfId="22818" xr:uid="{D306C727-E219-43AD-B930-AB6844C45867}"/>
    <cellStyle name="Normal 28 3 3 3 2 5" xfId="22819" xr:uid="{FDA2B53C-692E-4D9E-9511-935FB348F35D}"/>
    <cellStyle name="Normal 28 3 3 3 2 6" xfId="22820" xr:uid="{9397EECE-5062-4FD2-9A5F-0D09BE25D252}"/>
    <cellStyle name="Normal 28 3 3 3 3" xfId="22821" xr:uid="{09F543DB-24AC-4E2B-8580-0278280B595C}"/>
    <cellStyle name="Normal 28 3 3 3 4" xfId="22822" xr:uid="{ECE0D0A1-D44A-42CC-9492-0C43FEBD63DD}"/>
    <cellStyle name="Normal 28 3 3 3 5" xfId="22823" xr:uid="{A95206B6-C1CF-4378-B0F0-D5E839E3769E}"/>
    <cellStyle name="Normal 28 3 3 3 6" xfId="22824" xr:uid="{E1191C35-188C-4C33-A4FA-C9D17DFD3A98}"/>
    <cellStyle name="Normal 28 3 3 4" xfId="22825" xr:uid="{F907B294-2F87-4453-A485-D0D6FC43792D}"/>
    <cellStyle name="Normal 28 3 3 5" xfId="22826" xr:uid="{619F02DD-BCB1-488B-B0B4-F9F3DE1526BB}"/>
    <cellStyle name="Normal 28 3 3 6" xfId="22827" xr:uid="{CD0F3701-EB43-431B-ABD0-9910A7621EA7}"/>
    <cellStyle name="Normal 28 3 3 7" xfId="22828" xr:uid="{4286AC06-4549-46B0-8424-119172D0195F}"/>
    <cellStyle name="Normal 28 3 3 8" xfId="22829" xr:uid="{61B9718A-14CE-4BB2-BF43-6F05FFAFAEB0}"/>
    <cellStyle name="Normal 28 3 3 9" xfId="22830" xr:uid="{88D0A3D3-65F2-414D-A3B3-6E3963074F2A}"/>
    <cellStyle name="Normal 28 3 4" xfId="22831" xr:uid="{4618A1A9-FE21-43CD-9D5C-CD46A20FD501}"/>
    <cellStyle name="Normal 28 3 5" xfId="22832" xr:uid="{9CC1666C-6290-44ED-9F5B-FC2AD07916C5}"/>
    <cellStyle name="Normal 28 3 5 2" xfId="22833" xr:uid="{81785F78-28D6-4EE3-85B4-24A56C98CB94}"/>
    <cellStyle name="Normal 28 3 5 2 2" xfId="22834" xr:uid="{9346FA40-3A8F-424E-96B7-EFB1EA5C98C6}"/>
    <cellStyle name="Normal 28 3 5 2 3" xfId="22835" xr:uid="{174DECDC-0B05-47B1-9BA8-D0A45412C43D}"/>
    <cellStyle name="Normal 28 3 5 2 4" xfId="22836" xr:uid="{BCF781D8-EB36-40B8-A2A4-C9F251343DC5}"/>
    <cellStyle name="Normal 28 3 5 2 5" xfId="22837" xr:uid="{9F7757F2-7B09-4B3B-B036-C294E6107560}"/>
    <cellStyle name="Normal 28 3 5 2 6" xfId="22838" xr:uid="{D0511B3C-8ABE-4DA4-A237-6248F7F24758}"/>
    <cellStyle name="Normal 28 3 5 3" xfId="22839" xr:uid="{9FBB8C81-5157-457B-A823-4173C7567876}"/>
    <cellStyle name="Normal 28 3 5 4" xfId="22840" xr:uid="{179CC909-992E-4F0F-BA46-8A1C0BB915A7}"/>
    <cellStyle name="Normal 28 3 5 5" xfId="22841" xr:uid="{AD70A330-6D81-4B9C-80BD-8CF188CC748B}"/>
    <cellStyle name="Normal 28 3 5 6" xfId="22842" xr:uid="{84F93456-3E6D-4FFB-AC15-991A99C61A58}"/>
    <cellStyle name="Normal 28 3 6" xfId="22843" xr:uid="{DFC72BA5-4B38-4633-9AC8-5E614842B176}"/>
    <cellStyle name="Normal 28 3 7" xfId="22844" xr:uid="{43ECCD7D-7460-40F9-B0D7-733FFA5CEBDD}"/>
    <cellStyle name="Normal 28 3 8" xfId="22845" xr:uid="{C0D90301-B72C-4B67-96DE-E809AB7FB077}"/>
    <cellStyle name="Normal 28 3 9" xfId="22846" xr:uid="{BF75B9DF-BC71-4573-B015-84C5122AD3AA}"/>
    <cellStyle name="Normal 28 4" xfId="22847" xr:uid="{06B5E22D-CD04-49A8-A0EE-02E4B851FB39}"/>
    <cellStyle name="Normal 28 4 2" xfId="22848" xr:uid="{701ECACA-D62A-4CE9-A856-873BA662B934}"/>
    <cellStyle name="Normal 28 4 3" xfId="22849" xr:uid="{135371D8-DA4B-41EC-A501-F561476AD1FE}"/>
    <cellStyle name="Normal 28 4 4" xfId="22850" xr:uid="{777F050F-11D2-475A-A0C5-9578B2C5939E}"/>
    <cellStyle name="Normal 28 4 5" xfId="22851" xr:uid="{C171F57B-9ACF-4E23-A6CB-DC71827D4369}"/>
    <cellStyle name="Normal 28 5" xfId="22852" xr:uid="{BD4DAB0F-515B-4CD1-85DF-35139C361D8B}"/>
    <cellStyle name="Normal 28 6" xfId="22853" xr:uid="{94EB75B5-927B-485D-A6C0-B65637DC80B6}"/>
    <cellStyle name="Normal 28 7" xfId="22854" xr:uid="{6C10D97B-A6C9-42DB-A508-FC3EC029D2BA}"/>
    <cellStyle name="Normal 28 8" xfId="22855" xr:uid="{D7DDA83B-19FD-4EEA-A6A8-CF9C859C3394}"/>
    <cellStyle name="Normal 28 9" xfId="22856" xr:uid="{F7623180-A17C-42F7-90CE-5D0BF719D70D}"/>
    <cellStyle name="Normal 29" xfId="186" xr:uid="{4913EE20-A313-4E25-B9AD-AFAAD5598366}"/>
    <cellStyle name="Normal 29 10" xfId="22858" xr:uid="{5549143A-12ED-4C30-B8B3-731769AB1FB3}"/>
    <cellStyle name="Normal 29 11" xfId="22859" xr:uid="{3ABB8648-973F-4779-BE3F-8FD7083958ED}"/>
    <cellStyle name="Normal 29 12" xfId="22860" xr:uid="{4E1C7A1F-17ED-48B2-9248-F77396E9FA13}"/>
    <cellStyle name="Normal 29 13" xfId="22861" xr:uid="{9303C175-C29E-4412-A5E2-B11B45AD1A85}"/>
    <cellStyle name="Normal 29 14" xfId="22862" xr:uid="{96522C8A-1349-4378-9373-C593E3BFF399}"/>
    <cellStyle name="Normal 29 15" xfId="22863" xr:uid="{785A9327-A17C-4AF8-A12F-B21A5695DD03}"/>
    <cellStyle name="Normal 29 16" xfId="22864" xr:uid="{26F95013-948E-43E8-BA8E-79052425A205}"/>
    <cellStyle name="Normal 29 17" xfId="22865" xr:uid="{1B3DA338-6838-49B2-85EA-906DC38EF453}"/>
    <cellStyle name="Normal 29 18" xfId="22866" xr:uid="{96ED0DF3-E1C2-4F16-AE14-FB01EDA73FC5}"/>
    <cellStyle name="Normal 29 19" xfId="22867" xr:uid="{C12D5EC0-7940-4D08-B6C1-221CC9CF8BD1}"/>
    <cellStyle name="Normal 29 2" xfId="22868" xr:uid="{BC9AA520-2ED4-4B42-9307-A9B278997AA4}"/>
    <cellStyle name="Normal 29 20" xfId="22869" xr:uid="{3D8812D5-D66E-4E57-9B66-8A1CE31332B4}"/>
    <cellStyle name="Normal 29 21" xfId="22870" xr:uid="{A432D9A6-0317-4944-9C88-361391A35C78}"/>
    <cellStyle name="Normal 29 22" xfId="22857" xr:uid="{2DE6E874-2050-4DF7-A90C-907814346CE5}"/>
    <cellStyle name="Normal 29 3" xfId="22871" xr:uid="{6F145B27-9DEF-4836-860B-C1A14C824A13}"/>
    <cellStyle name="Normal 29 4" xfId="22872" xr:uid="{B571E2C6-E3C1-414B-8DAF-D25292F2A3E5}"/>
    <cellStyle name="Normal 29 5" xfId="22873" xr:uid="{2EA866E5-7658-4529-A747-C5A24405E564}"/>
    <cellStyle name="Normal 29 6" xfId="22874" xr:uid="{A06D7E58-C4C7-45EA-B43B-B4402D657748}"/>
    <cellStyle name="Normal 29 7" xfId="22875" xr:uid="{6642DD08-DB08-47B5-9F90-92C6E3BA247F}"/>
    <cellStyle name="Normal 29 8" xfId="22876" xr:uid="{C4FA4807-DCD5-4F19-A562-3491CEC46FA0}"/>
    <cellStyle name="Normal 29 9" xfId="22877" xr:uid="{002026B9-993E-4643-BD2C-57868524A3BF}"/>
    <cellStyle name="Normal 3" xfId="187" xr:uid="{C520EFDC-DC30-4507-A8EE-179391640033}"/>
    <cellStyle name="Normal 3 10" xfId="188" xr:uid="{FC128738-4E6E-44BC-9BE5-79A3CA9D5AAF}"/>
    <cellStyle name="Normal 3 10 2" xfId="22880" xr:uid="{0D046C6B-3411-470C-927D-8C9074EE3EE7}"/>
    <cellStyle name="Normal 3 10 3" xfId="22881" xr:uid="{5743E06D-0C92-48B8-8B08-736634D45003}"/>
    <cellStyle name="Normal 3 10 4" xfId="22882" xr:uid="{F25B707C-5553-49D7-A1F3-0C34210835AC}"/>
    <cellStyle name="Normal 3 10 5" xfId="22879" xr:uid="{889D4037-DBCC-428F-BFF3-C1F286E275CA}"/>
    <cellStyle name="Normal 3 11" xfId="189" xr:uid="{C9DFB83B-1C59-489E-8CBF-82463D1DCBB0}"/>
    <cellStyle name="Normal 3 11 2" xfId="22884" xr:uid="{91B6861D-AE99-402B-A531-00E78942624E}"/>
    <cellStyle name="Normal 3 11 3" xfId="22885" xr:uid="{063E5AA5-2842-48D5-AB05-2367EB938595}"/>
    <cellStyle name="Normal 3 11 4" xfId="22886" xr:uid="{3D11E3F3-BC18-44C5-BF71-1916AD4FE2A8}"/>
    <cellStyle name="Normal 3 11 5" xfId="22883" xr:uid="{4A57EC0C-9221-4E26-B19D-0D56DB02FCBC}"/>
    <cellStyle name="Normal 3 12" xfId="190" xr:uid="{78D93F47-2BE3-49C1-8282-2263DFFE909D}"/>
    <cellStyle name="Normal 3 12 10" xfId="22888" xr:uid="{5EB85E85-DA20-4B24-9766-3EF82FDCCD1B}"/>
    <cellStyle name="Normal 3 12 11" xfId="22889" xr:uid="{308CAE55-CBE3-4F2E-AB8B-8856E8D40581}"/>
    <cellStyle name="Normal 3 12 12" xfId="22887" xr:uid="{C2846281-49BB-48BE-A9C1-DC59E3C6BC4F}"/>
    <cellStyle name="Normal 3 12 2" xfId="22890" xr:uid="{AA315226-C9B3-4658-9437-0CF484C81BBB}"/>
    <cellStyle name="Normal 3 12 2 10" xfId="22891" xr:uid="{D477CF56-E688-4EDF-A3B2-80BF62A4202B}"/>
    <cellStyle name="Normal 3 12 2 10 2" xfId="22892" xr:uid="{973C6667-480B-4CDB-843F-E6DD28FB7779}"/>
    <cellStyle name="Normal 3 12 2 10 3" xfId="22893" xr:uid="{3EA25E8E-A2AE-4DD7-8D8A-52B95BB76E2D}"/>
    <cellStyle name="Normal 3 12 2 10 4" xfId="22894" xr:uid="{CA744695-71DA-441D-826B-3178D84DB140}"/>
    <cellStyle name="Normal 3 12 2 10 5" xfId="22895" xr:uid="{941435FB-4A4E-4F12-9507-55D4092050ED}"/>
    <cellStyle name="Normal 3 12 2 10 6" xfId="22896" xr:uid="{5447B467-901F-44C5-B7D6-8E1C042DBC42}"/>
    <cellStyle name="Normal 3 12 2 11" xfId="22897" xr:uid="{C70ACEB7-B16C-48C5-84F1-E0E475176F01}"/>
    <cellStyle name="Normal 3 12 2 11 2" xfId="22898" xr:uid="{24014582-D6B5-4820-A472-71123C62F4DF}"/>
    <cellStyle name="Normal 3 12 2 11 3" xfId="22899" xr:uid="{D199FBE7-AC4D-41F6-9D40-C36BD0D69303}"/>
    <cellStyle name="Normal 3 12 2 11 4" xfId="22900" xr:uid="{2EF443F3-7CEF-4BF3-AE1C-8ADBDAF38B79}"/>
    <cellStyle name="Normal 3 12 2 11 5" xfId="22901" xr:uid="{7ADE9B26-B4BB-4F4E-9AA5-CD683361FF97}"/>
    <cellStyle name="Normal 3 12 2 11 6" xfId="22902" xr:uid="{3B961BE0-2B7E-4D8D-AF6B-09BD0C1B53FE}"/>
    <cellStyle name="Normal 3 12 2 12" xfId="22903" xr:uid="{FDB3D3E5-BF44-475A-9DA3-324B351334A0}"/>
    <cellStyle name="Normal 3 12 2 12 2" xfId="22904" xr:uid="{01AE1CFF-AA31-4963-892B-0623F7070438}"/>
    <cellStyle name="Normal 3 12 2 12 3" xfId="22905" xr:uid="{9CFCBC35-816C-4400-889F-1367BB599792}"/>
    <cellStyle name="Normal 3 12 2 12 4" xfId="22906" xr:uid="{38FA5B1E-1733-4BB2-8A41-9B84199F0C96}"/>
    <cellStyle name="Normal 3 12 2 12 5" xfId="22907" xr:uid="{C2BBB03E-3EC5-4610-9D30-6D5F69A8419B}"/>
    <cellStyle name="Normal 3 12 2 12 6" xfId="22908" xr:uid="{233807DD-532A-4334-BAA5-8E8670304049}"/>
    <cellStyle name="Normal 3 12 2 13" xfId="22909" xr:uid="{DC0E5EF3-A5B9-40F5-AFB2-3C8A6FBDABFC}"/>
    <cellStyle name="Normal 3 12 2 13 2" xfId="22910" xr:uid="{E680E749-B761-4288-B4CF-6709B94FFADC}"/>
    <cellStyle name="Normal 3 12 2 13 3" xfId="22911" xr:uid="{FBA37BC4-A9F1-46CF-B50D-C9FA46D4A9C6}"/>
    <cellStyle name="Normal 3 12 2 13 4" xfId="22912" xr:uid="{77B775ED-CEFD-4502-88F8-FBDA4E73DAF7}"/>
    <cellStyle name="Normal 3 12 2 13 5" xfId="22913" xr:uid="{A4E649E7-232F-4AF8-9728-DD31A938E80A}"/>
    <cellStyle name="Normal 3 12 2 13 6" xfId="22914" xr:uid="{16890C62-9BA1-4356-A1E2-24DBB3A8B449}"/>
    <cellStyle name="Normal 3 12 2 14" xfId="22915" xr:uid="{EC88F396-3C2A-40FA-AB6C-54A97A1B1C4E}"/>
    <cellStyle name="Normal 3 12 2 14 2" xfId="22916" xr:uid="{52AAC6B7-4463-498A-A015-5A78C39A89CF}"/>
    <cellStyle name="Normal 3 12 2 14 3" xfId="22917" xr:uid="{DB009B9A-2D79-4AD2-88C0-BE698100F846}"/>
    <cellStyle name="Normal 3 12 2 14 4" xfId="22918" xr:uid="{4AF16CD9-2B3A-4A5D-8F38-3F297BFC68A7}"/>
    <cellStyle name="Normal 3 12 2 14 5" xfId="22919" xr:uid="{5820E542-6A8C-4D22-ACFA-35E5EFF37B0E}"/>
    <cellStyle name="Normal 3 12 2 14 6" xfId="22920" xr:uid="{B1915509-EC73-4333-ABA8-BDA585C436C1}"/>
    <cellStyle name="Normal 3 12 2 15" xfId="22921" xr:uid="{B67218B9-7600-40BF-8592-0D860E6E22DA}"/>
    <cellStyle name="Normal 3 12 2 16" xfId="22922" xr:uid="{A82A5ECE-3EDE-41DB-84A2-7028C77E4A1B}"/>
    <cellStyle name="Normal 3 12 2 17" xfId="22923" xr:uid="{9D6A1F4C-39EA-423C-82F8-7194F4E933CA}"/>
    <cellStyle name="Normal 3 12 2 18" xfId="22924" xr:uid="{B05A3599-8F8F-48A8-9A2B-012C8799CC78}"/>
    <cellStyle name="Normal 3 12 2 19" xfId="22925" xr:uid="{32BF7412-46E7-4B0B-A663-D101C9A02739}"/>
    <cellStyle name="Normal 3 12 2 2" xfId="22926" xr:uid="{B11D8F5B-AEF7-4329-A0AD-1A3B3ADF9B81}"/>
    <cellStyle name="Normal 3 12 2 3" xfId="22927" xr:uid="{FD3D9753-F035-4822-8430-114397D222C1}"/>
    <cellStyle name="Normal 3 12 2 4" xfId="22928" xr:uid="{DB00820B-1D32-4CF0-A5F9-ADBFF74A282D}"/>
    <cellStyle name="Normal 3 12 2 5" xfId="22929" xr:uid="{7CE2EE3A-6C42-4361-A49C-06778AF17DF6}"/>
    <cellStyle name="Normal 3 12 2 6" xfId="22930" xr:uid="{14C77187-00FE-4A27-8CEA-92057699B933}"/>
    <cellStyle name="Normal 3 12 2 7" xfId="22931" xr:uid="{5D4018C2-E6B3-48A1-8CE2-56A2C573EE48}"/>
    <cellStyle name="Normal 3 12 2 8" xfId="22932" xr:uid="{DED4ABA7-68FE-4358-AF11-72FFB0E7BA29}"/>
    <cellStyle name="Normal 3 12 2 9" xfId="22933" xr:uid="{F21D10FC-6C68-43CC-83B0-6BFB18315A77}"/>
    <cellStyle name="Normal 3 12 3" xfId="22934" xr:uid="{934FCB0A-0A25-45E5-A5D1-0D89508E1599}"/>
    <cellStyle name="Normal 3 12 3 10" xfId="22935" xr:uid="{6D0B3488-AD96-4F93-9A8D-030C1098C247}"/>
    <cellStyle name="Normal 3 12 3 11" xfId="22936" xr:uid="{C0595C0A-31BC-4D97-B339-2BDAB308442F}"/>
    <cellStyle name="Normal 3 12 3 2" xfId="22937" xr:uid="{2C8D526C-40BB-4F82-9B57-AEE125842DB1}"/>
    <cellStyle name="Normal 3 12 3 2 2" xfId="22938" xr:uid="{FA10C922-631C-4015-ABAE-478A91DF9AD0}"/>
    <cellStyle name="Normal 3 12 3 2 3" xfId="22939" xr:uid="{52921132-3C4F-45DC-891D-953C6D26A1D4}"/>
    <cellStyle name="Normal 3 12 3 2 4" xfId="22940" xr:uid="{004C5997-4E61-44C4-BD64-079B5319EAEC}"/>
    <cellStyle name="Normal 3 12 3 2 5" xfId="22941" xr:uid="{1DE9AD27-4B05-4E1F-A3B7-9A037A69778B}"/>
    <cellStyle name="Normal 3 12 3 2 6" xfId="22942" xr:uid="{A8710893-EEA1-4CC7-82DA-3C0DC713A540}"/>
    <cellStyle name="Normal 3 12 3 3" xfId="22943" xr:uid="{474917C9-1C56-45E3-B249-663824A58F19}"/>
    <cellStyle name="Normal 3 12 3 3 2" xfId="22944" xr:uid="{C3A2055A-E74B-4730-9A13-7CC469E2B87B}"/>
    <cellStyle name="Normal 3 12 3 3 3" xfId="22945" xr:uid="{A79CC630-9632-4330-BAC4-F7F606B9D7AA}"/>
    <cellStyle name="Normal 3 12 3 3 4" xfId="22946" xr:uid="{C9655F56-377A-46A6-B1E9-C171EA09CCF2}"/>
    <cellStyle name="Normal 3 12 3 3 5" xfId="22947" xr:uid="{3939E9ED-95E4-4C68-A4A0-1B3E9A1CFBBE}"/>
    <cellStyle name="Normal 3 12 3 3 6" xfId="22948" xr:uid="{6693FEF4-A16E-454F-AFD7-78C00D6DA09B}"/>
    <cellStyle name="Normal 3 12 3 4" xfId="22949" xr:uid="{1CEAF642-4DD0-469E-B632-8064518DDCBF}"/>
    <cellStyle name="Normal 3 12 3 4 2" xfId="22950" xr:uid="{9EE8BD8A-C0DF-404F-B5B6-F1E4F0423972}"/>
    <cellStyle name="Normal 3 12 3 4 3" xfId="22951" xr:uid="{5591740E-D1EF-4C34-A0B4-4106A94B4A0C}"/>
    <cellStyle name="Normal 3 12 3 4 4" xfId="22952" xr:uid="{A5EA75CE-5055-413A-BD02-D598565B9043}"/>
    <cellStyle name="Normal 3 12 3 4 5" xfId="22953" xr:uid="{211D229D-F80F-463E-BD87-C2551EB1E675}"/>
    <cellStyle name="Normal 3 12 3 4 6" xfId="22954" xr:uid="{03DA61FC-C910-497F-BDEB-53A98943D8A5}"/>
    <cellStyle name="Normal 3 12 3 5" xfId="22955" xr:uid="{AC81FF99-40AB-4AE3-9FE5-AAFE2DC4E32F}"/>
    <cellStyle name="Normal 3 12 3 5 2" xfId="22956" xr:uid="{9E0406F6-3D1F-4E71-A51B-F45E9C0DEF6F}"/>
    <cellStyle name="Normal 3 12 3 5 3" xfId="22957" xr:uid="{393338DB-005F-4EE5-9472-13C669E58964}"/>
    <cellStyle name="Normal 3 12 3 5 4" xfId="22958" xr:uid="{01F1DBEA-0D4C-480A-A1FE-EC5F199CAC01}"/>
    <cellStyle name="Normal 3 12 3 5 5" xfId="22959" xr:uid="{E53D48F9-AAE4-43DA-B6BD-1A16345F91C7}"/>
    <cellStyle name="Normal 3 12 3 5 6" xfId="22960" xr:uid="{35430E8D-932F-45F1-829B-8F504F3A4670}"/>
    <cellStyle name="Normal 3 12 3 6" xfId="22961" xr:uid="{79185475-7FE5-4D23-AF60-71DBEFC95787}"/>
    <cellStyle name="Normal 3 12 3 6 2" xfId="22962" xr:uid="{20DF3BAE-014D-4DF1-8F69-3B59D2DC6D8C}"/>
    <cellStyle name="Normal 3 12 3 6 3" xfId="22963" xr:uid="{046F9710-C4BD-45E6-9D15-DE63D6F64800}"/>
    <cellStyle name="Normal 3 12 3 6 4" xfId="22964" xr:uid="{7FECE9B2-E306-4EB9-AC41-8EAF002C96D9}"/>
    <cellStyle name="Normal 3 12 3 6 5" xfId="22965" xr:uid="{7C7D225D-349F-445F-A1B9-815ABCDD0C6E}"/>
    <cellStyle name="Normal 3 12 3 6 6" xfId="22966" xr:uid="{DF38765D-3CB3-470C-98F3-496F6755C137}"/>
    <cellStyle name="Normal 3 12 3 7" xfId="22967" xr:uid="{E97870A9-C1FA-4F36-BBCB-D44FE6668241}"/>
    <cellStyle name="Normal 3 12 3 8" xfId="22968" xr:uid="{299F0716-76B4-450A-B852-B8962B946E35}"/>
    <cellStyle name="Normal 3 12 3 9" xfId="22969" xr:uid="{07CC2A6F-425F-4016-AA6B-80A5419F1CDB}"/>
    <cellStyle name="Normal 3 12 4" xfId="22970" xr:uid="{DB20781D-E258-4593-910F-B875F725FE4D}"/>
    <cellStyle name="Normal 3 12 4 10" xfId="22971" xr:uid="{4477D56E-67B7-4FFA-B350-7CE413B52880}"/>
    <cellStyle name="Normal 3 12 4 11" xfId="22972" xr:uid="{60368D64-6EB0-4D58-8081-56B9D3F0244C}"/>
    <cellStyle name="Normal 3 12 4 2" xfId="22973" xr:uid="{A55CFA89-6291-4BA8-8D9A-07531F11E1CE}"/>
    <cellStyle name="Normal 3 12 4 2 2" xfId="22974" xr:uid="{6C5337EB-332A-44B4-A098-718D2A3D5186}"/>
    <cellStyle name="Normal 3 12 4 2 3" xfId="22975" xr:uid="{7FF0D459-115C-4C23-B784-1CA9D87FA36D}"/>
    <cellStyle name="Normal 3 12 4 2 4" xfId="22976" xr:uid="{BC70178C-46E4-4D94-97EE-554F09D6BC29}"/>
    <cellStyle name="Normal 3 12 4 2 5" xfId="22977" xr:uid="{8B6214F1-CD38-4A60-AEA6-FB60767317CB}"/>
    <cellStyle name="Normal 3 12 4 2 6" xfId="22978" xr:uid="{B44270D3-3861-4047-A655-0C34766BA2F6}"/>
    <cellStyle name="Normal 3 12 4 3" xfId="22979" xr:uid="{2FF0FD95-625A-45EB-9307-2075DFCE9C28}"/>
    <cellStyle name="Normal 3 12 4 3 2" xfId="22980" xr:uid="{40EB9DD7-2551-413E-AA59-91F999B1E2C7}"/>
    <cellStyle name="Normal 3 12 4 3 3" xfId="22981" xr:uid="{21A30D4F-F06E-44BC-A262-32DFBC79EDA5}"/>
    <cellStyle name="Normal 3 12 4 3 4" xfId="22982" xr:uid="{28670C5B-631C-4C00-8792-BC687761714B}"/>
    <cellStyle name="Normal 3 12 4 3 5" xfId="22983" xr:uid="{F3CD9937-B57D-4C86-81D0-3EE899B3FB6B}"/>
    <cellStyle name="Normal 3 12 4 3 6" xfId="22984" xr:uid="{2243A2F1-3A9B-4182-9CB6-E223E792E76B}"/>
    <cellStyle name="Normal 3 12 4 4" xfId="22985" xr:uid="{08192571-DC58-4EEF-8EC6-A72E77EC79BF}"/>
    <cellStyle name="Normal 3 12 4 4 2" xfId="22986" xr:uid="{9DB9D076-199F-4E17-875B-D23F61795B1F}"/>
    <cellStyle name="Normal 3 12 4 4 3" xfId="22987" xr:uid="{883D3451-407A-4901-ADC6-85D695BA6D7E}"/>
    <cellStyle name="Normal 3 12 4 4 4" xfId="22988" xr:uid="{3D2745A7-FCFE-436B-BE54-8398ED876A70}"/>
    <cellStyle name="Normal 3 12 4 4 5" xfId="22989" xr:uid="{DE78193A-70DE-454C-8C90-D74D78325AB3}"/>
    <cellStyle name="Normal 3 12 4 4 6" xfId="22990" xr:uid="{AE3C7838-3D6D-4B37-ADC1-CE6670335003}"/>
    <cellStyle name="Normal 3 12 4 5" xfId="22991" xr:uid="{8A6B2B98-FACD-4911-9E57-33DBFD5C6A9C}"/>
    <cellStyle name="Normal 3 12 4 5 2" xfId="22992" xr:uid="{5EF737CD-390B-4366-810D-A4E53AC88F71}"/>
    <cellStyle name="Normal 3 12 4 5 3" xfId="22993" xr:uid="{0FD185EB-DB39-4A08-ADC0-FC1B03E17186}"/>
    <cellStyle name="Normal 3 12 4 5 4" xfId="22994" xr:uid="{82FF0C12-09F2-40A7-9C01-EC7B5E3E6756}"/>
    <cellStyle name="Normal 3 12 4 5 5" xfId="22995" xr:uid="{8F9AE32A-C368-49E2-A5A5-C5EBCB4CDA31}"/>
    <cellStyle name="Normal 3 12 4 5 6" xfId="22996" xr:uid="{75A34CF0-B13D-4FBB-9B84-B7505AAA950D}"/>
    <cellStyle name="Normal 3 12 4 6" xfId="22997" xr:uid="{20111EE6-5E6F-4764-A052-AD6CC6D7F0E9}"/>
    <cellStyle name="Normal 3 12 4 6 2" xfId="22998" xr:uid="{DB42BE81-2A5E-45CD-8A36-063552A31DF7}"/>
    <cellStyle name="Normal 3 12 4 6 3" xfId="22999" xr:uid="{93D3814B-A6CA-4790-A0AE-6A3410E452B5}"/>
    <cellStyle name="Normal 3 12 4 6 4" xfId="23000" xr:uid="{A109FA4E-56C3-4952-8823-9FFFE04DAEDF}"/>
    <cellStyle name="Normal 3 12 4 6 5" xfId="23001" xr:uid="{F60049B4-D6BD-4104-8035-79E0D6964228}"/>
    <cellStyle name="Normal 3 12 4 6 6" xfId="23002" xr:uid="{F4D05459-9B35-49A6-8250-D592D08AFC8F}"/>
    <cellStyle name="Normal 3 12 4 7" xfId="23003" xr:uid="{C8B62815-6A92-4A6E-A2D3-8A793F25102E}"/>
    <cellStyle name="Normal 3 12 4 8" xfId="23004" xr:uid="{E88FA06A-9946-4436-9F23-66D4289B557B}"/>
    <cellStyle name="Normal 3 12 4 9" xfId="23005" xr:uid="{CA27C9F4-15D0-4204-BD8B-338D6A5F4BDB}"/>
    <cellStyle name="Normal 3 12 5" xfId="23006" xr:uid="{FD730041-9E3D-4A8D-87C2-4FA2BCAB3189}"/>
    <cellStyle name="Normal 3 12 5 10" xfId="23007" xr:uid="{51E86768-7F63-438E-B65A-1AAE43FEDB7A}"/>
    <cellStyle name="Normal 3 12 5 11" xfId="23008" xr:uid="{399E6650-5FAE-4C63-9360-9BFC726F0A45}"/>
    <cellStyle name="Normal 3 12 5 2" xfId="23009" xr:uid="{142DECE8-6C0E-4F07-B52E-F9E6790F12D1}"/>
    <cellStyle name="Normal 3 12 5 2 2" xfId="23010" xr:uid="{F66236C5-A131-4F6D-861D-401A744CD5F0}"/>
    <cellStyle name="Normal 3 12 5 2 3" xfId="23011" xr:uid="{C81BBDE3-1A60-44C6-B92B-B3609496CE04}"/>
    <cellStyle name="Normal 3 12 5 2 4" xfId="23012" xr:uid="{BC8B9ED4-EADF-43D3-A3F8-1EE9F5DDFABD}"/>
    <cellStyle name="Normal 3 12 5 2 5" xfId="23013" xr:uid="{BF0F0600-C22F-4B42-86F9-8C61FDBEE070}"/>
    <cellStyle name="Normal 3 12 5 2 6" xfId="23014" xr:uid="{6AA6214C-6AE4-49D1-9288-76E6FDED4A39}"/>
    <cellStyle name="Normal 3 12 5 3" xfId="23015" xr:uid="{AC811C53-9E71-4E3E-BF6F-DAFC7788D25B}"/>
    <cellStyle name="Normal 3 12 5 3 2" xfId="23016" xr:uid="{F648D31F-6EFB-4A72-890A-5B11C94E622A}"/>
    <cellStyle name="Normal 3 12 5 3 3" xfId="23017" xr:uid="{05AA1F38-063A-4834-88A3-406DC844B264}"/>
    <cellStyle name="Normal 3 12 5 3 4" xfId="23018" xr:uid="{95D583CE-D9E4-4A66-9FEE-5F249990508D}"/>
    <cellStyle name="Normal 3 12 5 3 5" xfId="23019" xr:uid="{AF924AE5-FC7C-4D7F-92B5-EA9B332604F1}"/>
    <cellStyle name="Normal 3 12 5 3 6" xfId="23020" xr:uid="{C8F8750B-32BE-4413-9701-1FD1C281269F}"/>
    <cellStyle name="Normal 3 12 5 4" xfId="23021" xr:uid="{5A8C8337-D1ED-42DB-9296-0485A7B506B0}"/>
    <cellStyle name="Normal 3 12 5 4 2" xfId="23022" xr:uid="{CC96F50C-DC62-4226-8EB0-AC920677B3D8}"/>
    <cellStyle name="Normal 3 12 5 4 3" xfId="23023" xr:uid="{2A19751B-984F-4261-938A-21E33FE6CDE8}"/>
    <cellStyle name="Normal 3 12 5 4 4" xfId="23024" xr:uid="{152BCCB8-A3B8-4A55-AA93-EF240A4719EA}"/>
    <cellStyle name="Normal 3 12 5 4 5" xfId="23025" xr:uid="{D51AA91D-CAD1-4611-895D-92DF84121ECD}"/>
    <cellStyle name="Normal 3 12 5 4 6" xfId="23026" xr:uid="{1E8E1E0C-F052-4C47-AD03-02C0FA1754D5}"/>
    <cellStyle name="Normal 3 12 5 5" xfId="23027" xr:uid="{1ECD1BDC-8BB6-4345-BF9A-22A182F7A513}"/>
    <cellStyle name="Normal 3 12 5 5 2" xfId="23028" xr:uid="{176EDF3A-1167-49F2-A602-B56A825B781A}"/>
    <cellStyle name="Normal 3 12 5 5 3" xfId="23029" xr:uid="{D6DAA1D4-47A0-437D-A427-D6877CC95600}"/>
    <cellStyle name="Normal 3 12 5 5 4" xfId="23030" xr:uid="{1EDEBC6B-34FE-4698-A304-8AF63554EB32}"/>
    <cellStyle name="Normal 3 12 5 5 5" xfId="23031" xr:uid="{3BE93D55-E684-41D8-951F-2FCA0D439C2B}"/>
    <cellStyle name="Normal 3 12 5 5 6" xfId="23032" xr:uid="{6FF69C53-829A-44CD-90D9-8D28990308CA}"/>
    <cellStyle name="Normal 3 12 5 6" xfId="23033" xr:uid="{8916295A-B9BB-4AD8-8321-D1A76F252C12}"/>
    <cellStyle name="Normal 3 12 5 6 2" xfId="23034" xr:uid="{3CFE5630-4B22-45B5-97F1-D0CA4AD1F062}"/>
    <cellStyle name="Normal 3 12 5 6 3" xfId="23035" xr:uid="{DF3C13A1-F83D-43B7-AFCC-AA7E7568E2EE}"/>
    <cellStyle name="Normal 3 12 5 6 4" xfId="23036" xr:uid="{D6722FD3-104B-4881-B031-B11F1C337A12}"/>
    <cellStyle name="Normal 3 12 5 6 5" xfId="23037" xr:uid="{F361E020-EEE0-4A93-AADC-8EF85D5D5689}"/>
    <cellStyle name="Normal 3 12 5 6 6" xfId="23038" xr:uid="{4662EA3D-43B8-486F-9135-6FEFA736110D}"/>
    <cellStyle name="Normal 3 12 5 7" xfId="23039" xr:uid="{0C7F3D36-B82B-4541-A6D7-B669E5058062}"/>
    <cellStyle name="Normal 3 12 5 8" xfId="23040" xr:uid="{F1AFB91D-63A7-40AE-ADD1-CD98C36DAFD9}"/>
    <cellStyle name="Normal 3 12 5 9" xfId="23041" xr:uid="{E8BD85D7-F02B-4767-9DB6-6457364D773F}"/>
    <cellStyle name="Normal 3 12 6" xfId="23042" xr:uid="{99E44E6F-AE34-4263-9C6B-E9E204560A3F}"/>
    <cellStyle name="Normal 3 12 6 10" xfId="23043" xr:uid="{F977259B-7E87-4AE0-9B67-52C39A3B4510}"/>
    <cellStyle name="Normal 3 12 6 11" xfId="23044" xr:uid="{1EABF7D9-3F33-4C20-A909-FE17CA4E5DC7}"/>
    <cellStyle name="Normal 3 12 6 2" xfId="23045" xr:uid="{FB77BF3A-831A-44F5-9317-9196533AD6A5}"/>
    <cellStyle name="Normal 3 12 6 2 2" xfId="23046" xr:uid="{9FAAD291-676A-4E23-9D0A-FB54C8E1332D}"/>
    <cellStyle name="Normal 3 12 6 2 3" xfId="23047" xr:uid="{48935C30-4BF9-437F-B73B-E9E283391F23}"/>
    <cellStyle name="Normal 3 12 6 2 4" xfId="23048" xr:uid="{4441F6D3-35C2-4F35-9867-76CB0CF90648}"/>
    <cellStyle name="Normal 3 12 6 2 5" xfId="23049" xr:uid="{CFCFD0EF-A16D-4933-8E42-B5B59CB805A4}"/>
    <cellStyle name="Normal 3 12 6 2 6" xfId="23050" xr:uid="{EE17BB2C-3D13-4C9C-9D76-3F8415034424}"/>
    <cellStyle name="Normal 3 12 6 3" xfId="23051" xr:uid="{97B4B5DB-72EE-44C6-AB56-412FA7652EAC}"/>
    <cellStyle name="Normal 3 12 6 3 2" xfId="23052" xr:uid="{8F51543D-23ED-419F-85F4-94FDF5D04BA2}"/>
    <cellStyle name="Normal 3 12 6 3 3" xfId="23053" xr:uid="{F0B7028C-5C07-4DC8-BD4D-470745C25C20}"/>
    <cellStyle name="Normal 3 12 6 3 4" xfId="23054" xr:uid="{7A9C940B-E852-4B7D-82AA-43C7B637710A}"/>
    <cellStyle name="Normal 3 12 6 3 5" xfId="23055" xr:uid="{0F63AC86-7627-48D0-B058-06F6EE126896}"/>
    <cellStyle name="Normal 3 12 6 3 6" xfId="23056" xr:uid="{2CAF5C58-7257-46A7-A945-10CD2B357F8A}"/>
    <cellStyle name="Normal 3 12 6 4" xfId="23057" xr:uid="{20605961-5E32-4925-990F-C5265B5C23F9}"/>
    <cellStyle name="Normal 3 12 6 4 2" xfId="23058" xr:uid="{7DF35F4A-17AA-4B97-B0C0-8FFE10A14A2C}"/>
    <cellStyle name="Normal 3 12 6 4 3" xfId="23059" xr:uid="{BFACEE2A-0CE9-4A7A-808D-C4D6E00D078C}"/>
    <cellStyle name="Normal 3 12 6 4 4" xfId="23060" xr:uid="{E5F4D06D-CA86-45EB-A16F-2DE08CE824A8}"/>
    <cellStyle name="Normal 3 12 6 4 5" xfId="23061" xr:uid="{16E56E48-CD85-49BF-9C9D-D319059BA568}"/>
    <cellStyle name="Normal 3 12 6 4 6" xfId="23062" xr:uid="{A1540EA6-7039-4DE2-ABE2-EB935DB5BBC1}"/>
    <cellStyle name="Normal 3 12 6 5" xfId="23063" xr:uid="{37DA87B6-981E-4851-A5C1-2FC0E09BA4E9}"/>
    <cellStyle name="Normal 3 12 6 5 2" xfId="23064" xr:uid="{FAC01567-BCE4-4748-B43C-BD9E3F8F12B3}"/>
    <cellStyle name="Normal 3 12 6 5 3" xfId="23065" xr:uid="{992B5182-65C8-4EC2-8B16-518FD315BA67}"/>
    <cellStyle name="Normal 3 12 6 5 4" xfId="23066" xr:uid="{98AD8D5E-EC01-42E1-AD6C-D894D4E1D74B}"/>
    <cellStyle name="Normal 3 12 6 5 5" xfId="23067" xr:uid="{D9D5343D-D02A-4301-BA95-C74F86AE933E}"/>
    <cellStyle name="Normal 3 12 6 5 6" xfId="23068" xr:uid="{87D5FF30-C97F-4C16-9EDE-F49B15BFACB9}"/>
    <cellStyle name="Normal 3 12 6 6" xfId="23069" xr:uid="{8ED45EBD-7B27-4ED2-83E3-69DD38E9A5B0}"/>
    <cellStyle name="Normal 3 12 6 6 2" xfId="23070" xr:uid="{5B7A985B-C1B6-4A78-8406-1F545A515FCF}"/>
    <cellStyle name="Normal 3 12 6 6 3" xfId="23071" xr:uid="{85386B42-7818-422C-8071-CA765DD46443}"/>
    <cellStyle name="Normal 3 12 6 6 4" xfId="23072" xr:uid="{BB378D31-60ED-477A-A99B-D223DEA85354}"/>
    <cellStyle name="Normal 3 12 6 6 5" xfId="23073" xr:uid="{6B876924-D0D8-4D3C-B4AB-65F04FBBFE27}"/>
    <cellStyle name="Normal 3 12 6 6 6" xfId="23074" xr:uid="{5E973DBE-6707-4AB6-9305-E114AC27E839}"/>
    <cellStyle name="Normal 3 12 6 7" xfId="23075" xr:uid="{50445FCB-295F-4F57-BF64-A3F181687FB1}"/>
    <cellStyle name="Normal 3 12 6 8" xfId="23076" xr:uid="{598DCC63-B28F-4CBB-B2B0-58825228E1D8}"/>
    <cellStyle name="Normal 3 12 6 9" xfId="23077" xr:uid="{AE30A4A2-D0F0-4701-A31B-CCFC49417A83}"/>
    <cellStyle name="Normal 3 12 7" xfId="23078" xr:uid="{3529CA0D-AAF0-4F8A-B43A-3D3DB8A709E8}"/>
    <cellStyle name="Normal 3 12 7 10" xfId="23079" xr:uid="{B281A545-25B7-479C-BE2D-5D708928EC93}"/>
    <cellStyle name="Normal 3 12 7 11" xfId="23080" xr:uid="{DE5D883C-3865-4F24-8AB4-604B94B11F66}"/>
    <cellStyle name="Normal 3 12 7 2" xfId="23081" xr:uid="{F02EEBFF-55DD-45A6-8F3E-4502F2F1F4B2}"/>
    <cellStyle name="Normal 3 12 7 2 2" xfId="23082" xr:uid="{4648E013-E2FE-4769-80AB-9DCBC5C4EE4A}"/>
    <cellStyle name="Normal 3 12 7 2 3" xfId="23083" xr:uid="{822BF3EE-6092-4670-97B1-4B607F78C3B2}"/>
    <cellStyle name="Normal 3 12 7 2 4" xfId="23084" xr:uid="{9EC83CD6-3B01-4B73-9D83-209E8CFE9155}"/>
    <cellStyle name="Normal 3 12 7 2 5" xfId="23085" xr:uid="{D40D7C02-2570-4526-9298-6DE4217B2D63}"/>
    <cellStyle name="Normal 3 12 7 2 6" xfId="23086" xr:uid="{F22080EA-EE23-4EF3-B5C3-9AF9F9403771}"/>
    <cellStyle name="Normal 3 12 7 3" xfId="23087" xr:uid="{2D29252C-F26A-45C1-9B60-AF02B2828979}"/>
    <cellStyle name="Normal 3 12 7 3 2" xfId="23088" xr:uid="{DF1649EC-DE3E-46DB-AE34-B0183FB0D3D5}"/>
    <cellStyle name="Normal 3 12 7 3 3" xfId="23089" xr:uid="{A8F28179-54C0-4AF7-8B22-A3E34F928170}"/>
    <cellStyle name="Normal 3 12 7 3 4" xfId="23090" xr:uid="{FC9A93AB-A4AE-4A1A-98FB-3B6C2D90F892}"/>
    <cellStyle name="Normal 3 12 7 3 5" xfId="23091" xr:uid="{06322A12-89F3-4BA2-A8CC-6DCCC7C77ED3}"/>
    <cellStyle name="Normal 3 12 7 3 6" xfId="23092" xr:uid="{F0C7638C-3F63-4D23-9180-10C64968AA46}"/>
    <cellStyle name="Normal 3 12 7 4" xfId="23093" xr:uid="{B6498D16-342F-403B-90CB-A379DB89A8F6}"/>
    <cellStyle name="Normal 3 12 7 4 2" xfId="23094" xr:uid="{761E17E3-AB04-4553-BF88-E5546A741ED6}"/>
    <cellStyle name="Normal 3 12 7 4 3" xfId="23095" xr:uid="{FCD9A189-D391-4FB5-B1B7-5E33E126C8C0}"/>
    <cellStyle name="Normal 3 12 7 4 4" xfId="23096" xr:uid="{E1DAF61E-70E1-4A8D-AF7A-9861C0DE5D10}"/>
    <cellStyle name="Normal 3 12 7 4 5" xfId="23097" xr:uid="{352EC3A1-6F8C-40E2-B0D5-0EF00981FE6F}"/>
    <cellStyle name="Normal 3 12 7 4 6" xfId="23098" xr:uid="{CFA6A4B5-8965-4A63-9F42-6E3B7BFC7911}"/>
    <cellStyle name="Normal 3 12 7 5" xfId="23099" xr:uid="{A69DD180-11A7-4BF5-A1EE-82D68A263C00}"/>
    <cellStyle name="Normal 3 12 7 5 2" xfId="23100" xr:uid="{0C7CA93E-61DC-4464-A7D5-38089374CCBD}"/>
    <cellStyle name="Normal 3 12 7 5 3" xfId="23101" xr:uid="{D6F5D6AE-7701-43BC-908D-B17BB7CD1688}"/>
    <cellStyle name="Normal 3 12 7 5 4" xfId="23102" xr:uid="{DCAB5C78-AEB1-4E22-A8E1-5ABAD892F92C}"/>
    <cellStyle name="Normal 3 12 7 5 5" xfId="23103" xr:uid="{9A57762B-B14F-4B68-B707-0861E5C4F559}"/>
    <cellStyle name="Normal 3 12 7 5 6" xfId="23104" xr:uid="{4A7D1776-CDFC-449D-B948-592B0C150096}"/>
    <cellStyle name="Normal 3 12 7 6" xfId="23105" xr:uid="{A6876DD7-2460-4260-B965-FD950608650B}"/>
    <cellStyle name="Normal 3 12 7 6 2" xfId="23106" xr:uid="{0704C1F7-4A90-4874-B3A6-199FEF216183}"/>
    <cellStyle name="Normal 3 12 7 6 3" xfId="23107" xr:uid="{864DEA99-FBA9-4193-9157-1A19DF8425C1}"/>
    <cellStyle name="Normal 3 12 7 6 4" xfId="23108" xr:uid="{1F28D89C-811D-4FAC-8EED-4BB89A21DD1A}"/>
    <cellStyle name="Normal 3 12 7 6 5" xfId="23109" xr:uid="{C941E5B8-BBC7-45F6-AA83-9CE91221E6C0}"/>
    <cellStyle name="Normal 3 12 7 6 6" xfId="23110" xr:uid="{199B26D7-983E-4D31-8D89-51710C1802C1}"/>
    <cellStyle name="Normal 3 12 7 7" xfId="23111" xr:uid="{F8D7E6A2-B8DD-41B2-AB81-F8A8A692C77E}"/>
    <cellStyle name="Normal 3 12 7 8" xfId="23112" xr:uid="{DA9B3501-0D43-46ED-8875-B5702FD31C73}"/>
    <cellStyle name="Normal 3 12 7 9" xfId="23113" xr:uid="{6A82EE38-34DC-4A44-863B-DFB7D293B930}"/>
    <cellStyle name="Normal 3 12 8" xfId="23114" xr:uid="{C56B4290-1FD8-4798-BAFD-FC9BB4736529}"/>
    <cellStyle name="Normal 3 12 8 10" xfId="23115" xr:uid="{BA069274-16D5-4747-AAE9-C335C949C00B}"/>
    <cellStyle name="Normal 3 12 8 11" xfId="23116" xr:uid="{03AD261C-E044-4AEC-986F-70E1AA9EFBAE}"/>
    <cellStyle name="Normal 3 12 8 2" xfId="23117" xr:uid="{A5D9A33D-4C02-4365-9F33-2A1700305D4F}"/>
    <cellStyle name="Normal 3 12 8 2 2" xfId="23118" xr:uid="{8CEA0543-7D84-4218-A4D0-C9AD6255903A}"/>
    <cellStyle name="Normal 3 12 8 2 3" xfId="23119" xr:uid="{7C9079B6-B1A5-46FE-AC79-DF43193EBD9D}"/>
    <cellStyle name="Normal 3 12 8 2 4" xfId="23120" xr:uid="{C98F92A4-60CE-4BF2-84BD-0D00E4DB5E95}"/>
    <cellStyle name="Normal 3 12 8 2 5" xfId="23121" xr:uid="{7A3786AD-20F6-4463-9347-C389358742F6}"/>
    <cellStyle name="Normal 3 12 8 2 6" xfId="23122" xr:uid="{C706A399-CB3F-43E5-A2D1-3342C4FFDCA6}"/>
    <cellStyle name="Normal 3 12 8 3" xfId="23123" xr:uid="{7C902F73-CCAA-47FD-AEBB-D6AA1A8F47A3}"/>
    <cellStyle name="Normal 3 12 8 3 2" xfId="23124" xr:uid="{40900959-526E-4560-B5B2-49E5A720E85C}"/>
    <cellStyle name="Normal 3 12 8 3 3" xfId="23125" xr:uid="{ACBC956A-A680-46A3-94F4-7DF7E476F561}"/>
    <cellStyle name="Normal 3 12 8 3 4" xfId="23126" xr:uid="{89B9C309-AD51-4AA0-BECE-639D460C529A}"/>
    <cellStyle name="Normal 3 12 8 3 5" xfId="23127" xr:uid="{504709B0-AE98-4ED5-8514-49AF736D631D}"/>
    <cellStyle name="Normal 3 12 8 3 6" xfId="23128" xr:uid="{221A796C-614C-4309-B54D-82AAF89E7946}"/>
    <cellStyle name="Normal 3 12 8 4" xfId="23129" xr:uid="{0A0BD4B5-27EC-4DBF-97E1-4F982408350F}"/>
    <cellStyle name="Normal 3 12 8 4 2" xfId="23130" xr:uid="{BEAAA5B9-373C-428E-B451-D4194DB48669}"/>
    <cellStyle name="Normal 3 12 8 4 3" xfId="23131" xr:uid="{295FFDF3-C6A9-4EF9-96CE-1FEFE7676824}"/>
    <cellStyle name="Normal 3 12 8 4 4" xfId="23132" xr:uid="{FFA98B5E-2CB4-492C-AEB3-8B7393DDCDA0}"/>
    <cellStyle name="Normal 3 12 8 4 5" xfId="23133" xr:uid="{2181720A-A371-4CC7-BCB8-1996EB3F6541}"/>
    <cellStyle name="Normal 3 12 8 4 6" xfId="23134" xr:uid="{88B30451-6007-4105-B4C3-FD8E1797B314}"/>
    <cellStyle name="Normal 3 12 8 5" xfId="23135" xr:uid="{C640C8A0-FE76-4C7D-B5EA-3C85CA515D7E}"/>
    <cellStyle name="Normal 3 12 8 5 2" xfId="23136" xr:uid="{21EA3AAA-A685-4B93-B45B-6F3EB700A55D}"/>
    <cellStyle name="Normal 3 12 8 5 3" xfId="23137" xr:uid="{E9FAF75C-6E4F-48FF-B1C3-BCA5FAF3F8C3}"/>
    <cellStyle name="Normal 3 12 8 5 4" xfId="23138" xr:uid="{34AB5DC6-7234-4F60-9745-44407A412EBF}"/>
    <cellStyle name="Normal 3 12 8 5 5" xfId="23139" xr:uid="{3E9688AD-2115-4845-ACD8-508D1BBD0C51}"/>
    <cellStyle name="Normal 3 12 8 5 6" xfId="23140" xr:uid="{31202A44-B169-4E19-A09E-A30CCA8169BD}"/>
    <cellStyle name="Normal 3 12 8 6" xfId="23141" xr:uid="{32B7C7B9-5561-4F9A-8B88-BA175A70FC43}"/>
    <cellStyle name="Normal 3 12 8 6 2" xfId="23142" xr:uid="{93E43D6D-805A-404F-83DD-4FDFD6183070}"/>
    <cellStyle name="Normal 3 12 8 6 3" xfId="23143" xr:uid="{5005B8F5-3EBC-4716-B11A-FE97F219671B}"/>
    <cellStyle name="Normal 3 12 8 6 4" xfId="23144" xr:uid="{4D955FB9-C3FA-4733-8289-1A8B03F6C038}"/>
    <cellStyle name="Normal 3 12 8 6 5" xfId="23145" xr:uid="{5D5DA6F3-91D6-477C-BEF0-069A5C0D45B9}"/>
    <cellStyle name="Normal 3 12 8 6 6" xfId="23146" xr:uid="{5525808F-D840-4EF5-AC4E-8B185152A266}"/>
    <cellStyle name="Normal 3 12 8 7" xfId="23147" xr:uid="{E538C8DB-89F5-49AB-B113-5FAB341420AF}"/>
    <cellStyle name="Normal 3 12 8 8" xfId="23148" xr:uid="{ED344115-5B9C-4D38-9D56-9A6F968E6AF5}"/>
    <cellStyle name="Normal 3 12 8 9" xfId="23149" xr:uid="{9373B52B-92D7-4A7A-9DFA-3ACBFBD547B3}"/>
    <cellStyle name="Normal 3 12 9" xfId="23150" xr:uid="{BA1492F9-02D2-46AE-BCDD-183E0000CB34}"/>
    <cellStyle name="Normal 3 12 9 10" xfId="23151" xr:uid="{AAAAC5B1-4506-4995-9209-5FD1118253E7}"/>
    <cellStyle name="Normal 3 12 9 11" xfId="23152" xr:uid="{8F5E1A79-B07A-4516-9ADE-A16AF8D9D0D7}"/>
    <cellStyle name="Normal 3 12 9 2" xfId="23153" xr:uid="{2AED4822-A42B-44BA-92ED-3C0D6BAEB872}"/>
    <cellStyle name="Normal 3 12 9 2 2" xfId="23154" xr:uid="{1A4AAE1B-0052-404D-9F61-EB4D6B523CB7}"/>
    <cellStyle name="Normal 3 12 9 2 3" xfId="23155" xr:uid="{32A124E0-7973-466B-B67B-4989C91BF8BE}"/>
    <cellStyle name="Normal 3 12 9 2 4" xfId="23156" xr:uid="{D3EA306B-514C-407E-A9CE-2A7117AADFB4}"/>
    <cellStyle name="Normal 3 12 9 2 5" xfId="23157" xr:uid="{B82F49D9-D2BE-47E0-BAC1-1FDE7F181B0B}"/>
    <cellStyle name="Normal 3 12 9 2 6" xfId="23158" xr:uid="{EF1B33B0-611D-4DCC-B2B9-7F3CF1A4A92A}"/>
    <cellStyle name="Normal 3 12 9 3" xfId="23159" xr:uid="{F0192511-002C-4AE7-8500-349B7A2E5928}"/>
    <cellStyle name="Normal 3 12 9 3 2" xfId="23160" xr:uid="{993145E1-ED50-4D1E-8375-46FDD5518966}"/>
    <cellStyle name="Normal 3 12 9 3 3" xfId="23161" xr:uid="{F50F952F-A76E-4D38-ADFE-CA9CCD12E988}"/>
    <cellStyle name="Normal 3 12 9 3 4" xfId="23162" xr:uid="{F726F6D7-59C9-45AA-8EAF-DF5450482C27}"/>
    <cellStyle name="Normal 3 12 9 3 5" xfId="23163" xr:uid="{F395369D-B775-4B5F-BE39-34778C71BB9E}"/>
    <cellStyle name="Normal 3 12 9 3 6" xfId="23164" xr:uid="{92067376-4487-4655-84BA-AEA8FD412606}"/>
    <cellStyle name="Normal 3 12 9 4" xfId="23165" xr:uid="{B85B3583-0134-4A15-B9C2-27D77E7BD9B4}"/>
    <cellStyle name="Normal 3 12 9 4 2" xfId="23166" xr:uid="{BC75860D-66AF-4708-AEB6-BC4D51B4262F}"/>
    <cellStyle name="Normal 3 12 9 4 3" xfId="23167" xr:uid="{0A97E19E-B23F-43B2-845A-60599DE595F9}"/>
    <cellStyle name="Normal 3 12 9 4 4" xfId="23168" xr:uid="{2B6E1742-06F4-4D1B-B90F-DB796FEACFC3}"/>
    <cellStyle name="Normal 3 12 9 4 5" xfId="23169" xr:uid="{941BBD93-5CD4-4B26-96F8-3E9151590CF7}"/>
    <cellStyle name="Normal 3 12 9 4 6" xfId="23170" xr:uid="{4E57C344-1798-4CAF-9E9F-188F1EC95027}"/>
    <cellStyle name="Normal 3 12 9 5" xfId="23171" xr:uid="{64A81439-CD27-4FC7-BF42-9E1743A1C138}"/>
    <cellStyle name="Normal 3 12 9 5 2" xfId="23172" xr:uid="{A3917044-FE34-4FF9-9E1A-16AD901EB7DA}"/>
    <cellStyle name="Normal 3 12 9 5 3" xfId="23173" xr:uid="{F67A8180-47D9-4F01-9579-96B947761347}"/>
    <cellStyle name="Normal 3 12 9 5 4" xfId="23174" xr:uid="{48D11F29-3630-40F9-AE7D-9ABC02D34331}"/>
    <cellStyle name="Normal 3 12 9 5 5" xfId="23175" xr:uid="{079B92CC-8504-483E-AD42-F695FEA169AB}"/>
    <cellStyle name="Normal 3 12 9 5 6" xfId="23176" xr:uid="{D630DE72-7DB1-4892-8252-1E6644927FE2}"/>
    <cellStyle name="Normal 3 12 9 6" xfId="23177" xr:uid="{B8308516-5935-4E0E-BBC2-784B64A923B1}"/>
    <cellStyle name="Normal 3 12 9 6 2" xfId="23178" xr:uid="{6CE69D11-EF42-403F-BBEE-BC2489C8EA1F}"/>
    <cellStyle name="Normal 3 12 9 6 3" xfId="23179" xr:uid="{237F19BF-425C-4D00-9EC8-E0186A3BD910}"/>
    <cellStyle name="Normal 3 12 9 6 4" xfId="23180" xr:uid="{DC2E0F8D-B586-4BD5-B518-A9FFBF8C6F8A}"/>
    <cellStyle name="Normal 3 12 9 6 5" xfId="23181" xr:uid="{D6425DEA-4B04-4DC7-AC0C-3513CF757498}"/>
    <cellStyle name="Normal 3 12 9 6 6" xfId="23182" xr:uid="{8756865B-2630-4A12-B88E-14411C938BC9}"/>
    <cellStyle name="Normal 3 12 9 7" xfId="23183" xr:uid="{47AFA758-DB8B-4971-AC3A-5C6022EB6D79}"/>
    <cellStyle name="Normal 3 12 9 8" xfId="23184" xr:uid="{AD79B8F0-9463-4BC0-88DC-0824EAEC39B5}"/>
    <cellStyle name="Normal 3 12 9 9" xfId="23185" xr:uid="{7077629F-20AC-44B7-99D7-3DE98DF5FCDC}"/>
    <cellStyle name="Normal 3 13" xfId="23186" xr:uid="{4F77BB8D-1BB8-4680-ACD8-691A28769EA4}"/>
    <cellStyle name="Normal 3 13 2" xfId="23187" xr:uid="{B98DFA7C-6630-4B3C-B3BF-62D3311423E4}"/>
    <cellStyle name="Normal 3 13 3" xfId="23188" xr:uid="{F9B1C650-9109-40D2-AA50-4AF6D0E8FA9B}"/>
    <cellStyle name="Normal 3 14" xfId="23189" xr:uid="{17918732-4A78-4C7D-82DF-E4DD9C67767B}"/>
    <cellStyle name="Normal 3 14 2" xfId="23190" xr:uid="{8812D11B-DFED-4DA1-AD4D-F8EDF6348674}"/>
    <cellStyle name="Normal 3 14 3" xfId="23191" xr:uid="{899E2C64-CA15-4375-9D92-F380AA785623}"/>
    <cellStyle name="Normal 3 15" xfId="23192" xr:uid="{21162D53-FB19-4DE0-BEB8-A4D37F4C6991}"/>
    <cellStyle name="Normal 3 15 2" xfId="23193" xr:uid="{5E5A07F7-D1FD-46FB-952B-D8ACAB43FA37}"/>
    <cellStyle name="Normal 3 15 3" xfId="23194" xr:uid="{2097F89E-192B-4F7D-A73A-C24906F2704C}"/>
    <cellStyle name="Normal 3 16" xfId="23195" xr:uid="{4C4C5DE2-29EB-4790-AE97-59CD4B4E62DD}"/>
    <cellStyle name="Normal 3 16 2" xfId="23196" xr:uid="{6C27E069-58A7-40D4-96AA-E9D8F3E558E9}"/>
    <cellStyle name="Normal 3 16 3" xfId="23197" xr:uid="{E2A7C04F-0CAB-491C-ACEC-86FCC768844A}"/>
    <cellStyle name="Normal 3 17" xfId="23198" xr:uid="{CD54DEB3-E626-416A-A775-464FB54AA84E}"/>
    <cellStyle name="Normal 3 17 2" xfId="23199" xr:uid="{61C80098-4448-4A0A-83A4-597CCDF25A13}"/>
    <cellStyle name="Normal 3 18" xfId="23200" xr:uid="{92BEB508-D15D-4D4B-B06E-C05A39869607}"/>
    <cellStyle name="Normal 3 18 2" xfId="23201" xr:uid="{2FAD646D-EB64-4AF8-B578-FADA24142DB9}"/>
    <cellStyle name="Normal 3 19" xfId="23202" xr:uid="{4E9DD2E5-D35E-4836-8832-E0E048188EE8}"/>
    <cellStyle name="Normal 3 19 2" xfId="23203" xr:uid="{FE962C00-27A5-418A-9804-BD1FB181E063}"/>
    <cellStyle name="Normal 3 2" xfId="191" xr:uid="{345B2E27-0218-4B2A-B473-1EBF39C05307}"/>
    <cellStyle name="Normal 3 2 10" xfId="23205" xr:uid="{5DBB188D-20B6-49DA-96AC-6FBFF9957BFA}"/>
    <cellStyle name="Normal 3 2 10 10" xfId="23206" xr:uid="{91EC5D9B-2AD8-4FDC-86DC-F314D1096019}"/>
    <cellStyle name="Normal 3 2 10 11" xfId="23207" xr:uid="{FDCEB667-4CF4-4C9C-856F-221A4DB44547}"/>
    <cellStyle name="Normal 3 2 10 12" xfId="23208" xr:uid="{2CB7835E-A279-405A-AFB8-E61B4BD82FB0}"/>
    <cellStyle name="Normal 3 2 10 2" xfId="23209" xr:uid="{60FAA001-8896-453E-AD0B-AEB3E12E7127}"/>
    <cellStyle name="Normal 3 2 10 2 2" xfId="23210" xr:uid="{A7178A86-9045-471E-B259-224E54B8B01E}"/>
    <cellStyle name="Normal 3 2 10 2 3" xfId="23211" xr:uid="{DEAA47F4-AE3E-488D-9031-D7C15AA1464F}"/>
    <cellStyle name="Normal 3 2 10 2 4" xfId="23212" xr:uid="{9C7448D9-F6D2-4273-9C90-D59CF8C776DC}"/>
    <cellStyle name="Normal 3 2 10 2 5" xfId="23213" xr:uid="{D2944A74-7EE3-4C33-9C6B-76F020F8B666}"/>
    <cellStyle name="Normal 3 2 10 2 6" xfId="23214" xr:uid="{BD9EE5A1-E7A5-4733-8038-6FD9EDCC1B0E}"/>
    <cellStyle name="Normal 3 2 10 3" xfId="23215" xr:uid="{A8FDB639-BE42-44F7-BCBA-551A861B842C}"/>
    <cellStyle name="Normal 3 2 10 3 2" xfId="23216" xr:uid="{67B274A0-0716-485A-AA4A-59780D4236A4}"/>
    <cellStyle name="Normal 3 2 10 3 3" xfId="23217" xr:uid="{F760DA45-5363-4404-A196-195C75AF7720}"/>
    <cellStyle name="Normal 3 2 10 3 4" xfId="23218" xr:uid="{78B35204-BEEE-4FCE-A4C1-E2F3B76B4309}"/>
    <cellStyle name="Normal 3 2 10 3 5" xfId="23219" xr:uid="{229FF994-5235-4187-BA5D-FB617C280FDC}"/>
    <cellStyle name="Normal 3 2 10 3 6" xfId="23220" xr:uid="{77020190-C355-42EC-A507-239291B74379}"/>
    <cellStyle name="Normal 3 2 10 4" xfId="23221" xr:uid="{D62F0FDA-B65D-4A7D-A434-CE3D81D91EF8}"/>
    <cellStyle name="Normal 3 2 10 4 2" xfId="23222" xr:uid="{5A9651D2-7347-4F23-A6A6-30A4D30019F5}"/>
    <cellStyle name="Normal 3 2 10 4 3" xfId="23223" xr:uid="{0C87163C-FB99-4DEC-8E9A-A0C08BC9B478}"/>
    <cellStyle name="Normal 3 2 10 4 4" xfId="23224" xr:uid="{86EA2934-9332-4F43-B1BF-8C0B402CD561}"/>
    <cellStyle name="Normal 3 2 10 4 5" xfId="23225" xr:uid="{FA4210B3-22D8-4955-95C5-203F861DF3B4}"/>
    <cellStyle name="Normal 3 2 10 4 6" xfId="23226" xr:uid="{E8D119A5-6BE5-42E6-949C-9E1B97513747}"/>
    <cellStyle name="Normal 3 2 10 5" xfId="23227" xr:uid="{4C26B8CC-3581-4C0D-8EEB-21098E2814BC}"/>
    <cellStyle name="Normal 3 2 10 5 2" xfId="23228" xr:uid="{6C139861-3F4D-477E-8F87-D8CB185A8091}"/>
    <cellStyle name="Normal 3 2 10 5 3" xfId="23229" xr:uid="{99F68172-C7D0-48AE-993A-A9435B33C44B}"/>
    <cellStyle name="Normal 3 2 10 5 4" xfId="23230" xr:uid="{6202F948-F898-4F3A-B8C0-7ADCB64AA2B7}"/>
    <cellStyle name="Normal 3 2 10 5 5" xfId="23231" xr:uid="{C44DD802-C7C1-44DF-811F-972B49775BB5}"/>
    <cellStyle name="Normal 3 2 10 5 6" xfId="23232" xr:uid="{B07B772A-B894-49FA-BF18-898A2E3A8F91}"/>
    <cellStyle name="Normal 3 2 10 6" xfId="23233" xr:uid="{027BE7EB-D2EE-4958-8EEE-689B6491CF64}"/>
    <cellStyle name="Normal 3 2 10 6 2" xfId="23234" xr:uid="{D2F2F60D-B477-48FA-A4EE-5C19500D1C9A}"/>
    <cellStyle name="Normal 3 2 10 6 3" xfId="23235" xr:uid="{5F853949-748B-482F-941E-AC795BDB7ED9}"/>
    <cellStyle name="Normal 3 2 10 6 4" xfId="23236" xr:uid="{0F06E828-871C-4F42-9503-6AFC3BDE2590}"/>
    <cellStyle name="Normal 3 2 10 6 5" xfId="23237" xr:uid="{8D56CAEC-CD97-4D88-90AB-EC171BFC22BB}"/>
    <cellStyle name="Normal 3 2 10 6 6" xfId="23238" xr:uid="{18F9917C-6469-47D2-9EEE-BC4B9488BC44}"/>
    <cellStyle name="Normal 3 2 10 7" xfId="23239" xr:uid="{C3EAACC0-F93A-43C7-AA9C-6F2A2EFBE832}"/>
    <cellStyle name="Normal 3 2 10 8" xfId="23240" xr:uid="{4D7283DF-8DCF-4233-8E8B-85704D22859D}"/>
    <cellStyle name="Normal 3 2 10 9" xfId="23241" xr:uid="{2D6E8FC6-65A1-44C3-B8EA-AFF19EA5F360}"/>
    <cellStyle name="Normal 3 2 100" xfId="23242" xr:uid="{D0B90A5C-3CBB-4D10-9C0D-5F0FEFCC1690}"/>
    <cellStyle name="Normal 3 2 101" xfId="23243" xr:uid="{2E20E9EF-1229-4CC1-9D1F-6DDDFD1223B3}"/>
    <cellStyle name="Normal 3 2 102" xfId="23244" xr:uid="{F010B2B6-8828-445C-8623-46F773303400}"/>
    <cellStyle name="Normal 3 2 103" xfId="23245" xr:uid="{7FD296FA-4B23-4189-BA89-2A8DCA342EBE}"/>
    <cellStyle name="Normal 3 2 104" xfId="23246" xr:uid="{B9D7CE35-FAF9-4CD2-AAC2-3B699EC26464}"/>
    <cellStyle name="Normal 3 2 105" xfId="23247" xr:uid="{7CF13518-1C89-40C5-8F4B-C3D5FCE5CDD8}"/>
    <cellStyle name="Normal 3 2 106" xfId="23248" xr:uid="{71FD2F27-5DBD-4A66-A2B4-EFFBF959364F}"/>
    <cellStyle name="Normal 3 2 107" xfId="23249" xr:uid="{3CAC92EF-DCD7-4507-96A9-38623E8386B6}"/>
    <cellStyle name="Normal 3 2 108" xfId="23250" xr:uid="{A361097E-F3C1-49E7-974D-FE634DF0552E}"/>
    <cellStyle name="Normal 3 2 109" xfId="23251" xr:uid="{5764FFB7-9D2D-404E-B2C9-AB7EB6C9F0AC}"/>
    <cellStyle name="Normal 3 2 11" xfId="23252" xr:uid="{6BB9FBBC-B8F0-49D9-AC86-E8019F5755F5}"/>
    <cellStyle name="Normal 3 2 11 10" xfId="23253" xr:uid="{C89783DD-1921-42B5-BC18-61D34A1282E1}"/>
    <cellStyle name="Normal 3 2 11 11" xfId="23254" xr:uid="{1C7DAEE3-AB19-4AC1-911A-A37883CDD898}"/>
    <cellStyle name="Normal 3 2 11 2" xfId="23255" xr:uid="{AB639945-B017-4918-BDAE-2BEF52D74FE4}"/>
    <cellStyle name="Normal 3 2 11 2 2" xfId="23256" xr:uid="{BD7CC6CB-E545-4756-836C-5F1A98ACCF00}"/>
    <cellStyle name="Normal 3 2 11 2 3" xfId="23257" xr:uid="{FC527048-9C9F-427D-8EAE-045358CE63F0}"/>
    <cellStyle name="Normal 3 2 11 2 4" xfId="23258" xr:uid="{F0B39542-50D8-4AFB-BDD6-42A13968118B}"/>
    <cellStyle name="Normal 3 2 11 2 5" xfId="23259" xr:uid="{16E705E6-F2F1-4C75-8D44-8ADE7F9740A4}"/>
    <cellStyle name="Normal 3 2 11 2 6" xfId="23260" xr:uid="{76D33D5F-D025-460B-882F-C0E316E0C304}"/>
    <cellStyle name="Normal 3 2 11 3" xfId="23261" xr:uid="{748EA605-F164-461D-87E1-150B7087A976}"/>
    <cellStyle name="Normal 3 2 11 3 2" xfId="23262" xr:uid="{9D8124C3-423D-4908-B2DB-3AE367F50574}"/>
    <cellStyle name="Normal 3 2 11 3 3" xfId="23263" xr:uid="{274F26D3-60A1-4C25-B056-7F400C194F02}"/>
    <cellStyle name="Normal 3 2 11 3 4" xfId="23264" xr:uid="{4764FB90-041E-4134-B5CF-F91E77D2B3C2}"/>
    <cellStyle name="Normal 3 2 11 3 5" xfId="23265" xr:uid="{3E3531AA-39F5-4C4F-B088-A2F79AB1994E}"/>
    <cellStyle name="Normal 3 2 11 3 6" xfId="23266" xr:uid="{845D21AA-A0DF-4246-BA22-66549624B736}"/>
    <cellStyle name="Normal 3 2 11 4" xfId="23267" xr:uid="{1E52BC19-6BF5-4853-90EA-1ABE8C440F97}"/>
    <cellStyle name="Normal 3 2 11 4 2" xfId="23268" xr:uid="{72769ABE-65CC-486B-B54E-0A88BEEF522F}"/>
    <cellStyle name="Normal 3 2 11 4 3" xfId="23269" xr:uid="{BA43418A-1231-4AD3-9FB4-8AB3C0437940}"/>
    <cellStyle name="Normal 3 2 11 4 4" xfId="23270" xr:uid="{5DAF1C3B-0BBA-4DD6-8F05-6A9A875A36E8}"/>
    <cellStyle name="Normal 3 2 11 4 5" xfId="23271" xr:uid="{BEE88CD7-4E9A-46F5-8948-1FA717CDDBFB}"/>
    <cellStyle name="Normal 3 2 11 4 6" xfId="23272" xr:uid="{DFAA29E5-BA47-4CCB-A399-E0C753BD22DC}"/>
    <cellStyle name="Normal 3 2 11 5" xfId="23273" xr:uid="{41DADFAF-5744-45C4-8F58-739B364948FD}"/>
    <cellStyle name="Normal 3 2 11 5 2" xfId="23274" xr:uid="{E06576FB-FB48-44B9-9931-19C80DCFCB64}"/>
    <cellStyle name="Normal 3 2 11 5 3" xfId="23275" xr:uid="{52014F92-CF05-4788-B812-9326EA7930CB}"/>
    <cellStyle name="Normal 3 2 11 5 4" xfId="23276" xr:uid="{3C0484DB-F01F-4E0B-98A7-A722701F1B4B}"/>
    <cellStyle name="Normal 3 2 11 5 5" xfId="23277" xr:uid="{114CD3D3-E916-4752-8EF8-115C2F21821C}"/>
    <cellStyle name="Normal 3 2 11 5 6" xfId="23278" xr:uid="{125F40C5-382D-4CBC-85A4-3A27A0C1DF6F}"/>
    <cellStyle name="Normal 3 2 11 6" xfId="23279" xr:uid="{BC26E556-2703-4F62-B8BA-E184988F8D93}"/>
    <cellStyle name="Normal 3 2 11 6 2" xfId="23280" xr:uid="{AB9B675D-482D-4DA3-945E-0A65CE524F00}"/>
    <cellStyle name="Normal 3 2 11 6 3" xfId="23281" xr:uid="{E234E1AE-64E5-40DA-9DF8-56D9293BE7B3}"/>
    <cellStyle name="Normal 3 2 11 6 4" xfId="23282" xr:uid="{791C9A23-65E1-44CB-9A9D-91FB6E1ED7D0}"/>
    <cellStyle name="Normal 3 2 11 6 5" xfId="23283" xr:uid="{FC4A5B06-646C-45A0-8C29-CA4FBC689D8D}"/>
    <cellStyle name="Normal 3 2 11 6 6" xfId="23284" xr:uid="{4BFE7E50-D4FD-4916-8885-4B96B933806E}"/>
    <cellStyle name="Normal 3 2 11 7" xfId="23285" xr:uid="{C0BB7C75-E9FB-45D2-A215-C3EE16A3270A}"/>
    <cellStyle name="Normal 3 2 11 8" xfId="23286" xr:uid="{65E27F4F-8FE4-44CC-9A72-9AB45778F3C4}"/>
    <cellStyle name="Normal 3 2 11 9" xfId="23287" xr:uid="{0A662565-D222-45CF-8841-E770C00CCB4A}"/>
    <cellStyle name="Normal 3 2 110" xfId="23288" xr:uid="{BB2C5578-5F91-4686-A1CE-96BA811974BA}"/>
    <cellStyle name="Normal 3 2 111" xfId="23289" xr:uid="{84DB0DAF-C487-4029-958D-F259D6A89FDB}"/>
    <cellStyle name="Normal 3 2 112" xfId="23290" xr:uid="{D693AEC4-EDD5-4C07-BC28-B46DC68BBE0D}"/>
    <cellStyle name="Normal 3 2 113" xfId="23291" xr:uid="{5BD4BE9D-3FF0-40C4-AD15-9DC4C8004536}"/>
    <cellStyle name="Normal 3 2 114" xfId="23292" xr:uid="{2A945FC5-057D-4F3C-B0ED-1E5F60B293E8}"/>
    <cellStyle name="Normal 3 2 115" xfId="23293" xr:uid="{6431617A-F7CC-4B51-8044-DA3F346800CA}"/>
    <cellStyle name="Normal 3 2 116" xfId="23294" xr:uid="{27B96027-6A7B-4236-A9FF-E9B1270FCEE5}"/>
    <cellStyle name="Normal 3 2 117" xfId="23295" xr:uid="{99865DEC-BB05-4EA4-B286-B68FC3E3C04F}"/>
    <cellStyle name="Normal 3 2 118" xfId="23296" xr:uid="{F2002924-C4BC-4B10-AA37-34872C0746AA}"/>
    <cellStyle name="Normal 3 2 119" xfId="23297" xr:uid="{D88AFC03-A144-4CF4-9D57-2563BEEA0ED5}"/>
    <cellStyle name="Normal 3 2 119 2" xfId="23298" xr:uid="{818A34C3-4E30-4CCC-8FA8-5F9E70450644}"/>
    <cellStyle name="Normal 3 2 119 3" xfId="23299" xr:uid="{1BA0AD84-A435-438F-984D-6EEA8721B277}"/>
    <cellStyle name="Normal 3 2 119 4" xfId="23300" xr:uid="{C0A6E4FB-4EF6-4166-9F07-A26AC4F74F24}"/>
    <cellStyle name="Normal 3 2 12" xfId="23301" xr:uid="{325F9D5B-B85A-43AC-BA44-9F7B87D3F1EB}"/>
    <cellStyle name="Normal 3 2 12 10" xfId="23302" xr:uid="{80BA375E-55EB-42B8-86BC-67CE331E26BC}"/>
    <cellStyle name="Normal 3 2 12 10 2" xfId="23303" xr:uid="{78AFF301-81C2-460E-9746-F60298CA1727}"/>
    <cellStyle name="Normal 3 2 12 10 3" xfId="23304" xr:uid="{F9714B24-A14A-4B11-A4AC-E4D65B4EE563}"/>
    <cellStyle name="Normal 3 2 12 10 4" xfId="23305" xr:uid="{BE704DB3-CB29-4ABA-8DB8-DA79265DC9A5}"/>
    <cellStyle name="Normal 3 2 12 10 5" xfId="23306" xr:uid="{5B7242A1-E1ED-4444-81A8-CD8E8DA4D602}"/>
    <cellStyle name="Normal 3 2 12 10 6" xfId="23307" xr:uid="{5C0043FF-C477-42F6-B175-D01505742685}"/>
    <cellStyle name="Normal 3 2 12 11" xfId="23308" xr:uid="{25CD83B9-537F-41F8-9A51-3AF7EADECA3F}"/>
    <cellStyle name="Normal 3 2 12 11 2" xfId="23309" xr:uid="{03706275-C6C0-430D-AAE6-24BAC587E27C}"/>
    <cellStyle name="Normal 3 2 12 11 3" xfId="23310" xr:uid="{7421D05F-88D2-45D3-9198-9F93ED43650E}"/>
    <cellStyle name="Normal 3 2 12 11 4" xfId="23311" xr:uid="{F8C7CE88-AA41-4E24-9FAE-625DC5993BD7}"/>
    <cellStyle name="Normal 3 2 12 11 5" xfId="23312" xr:uid="{6DC1CCA3-A4B1-4E4A-BF22-DB3B186EF96A}"/>
    <cellStyle name="Normal 3 2 12 11 6" xfId="23313" xr:uid="{5BCB04D2-6AE0-47AD-B3DE-21416D63A3AA}"/>
    <cellStyle name="Normal 3 2 12 12" xfId="23314" xr:uid="{9DDD1FF9-C145-481A-A0B0-CBB4D2841998}"/>
    <cellStyle name="Normal 3 2 12 12 2" xfId="23315" xr:uid="{86F10388-5BE6-4A12-A68F-C0D49A9CA4C0}"/>
    <cellStyle name="Normal 3 2 12 12 3" xfId="23316" xr:uid="{8B4990CA-0D0B-4BD5-B290-4E352A2F8CFD}"/>
    <cellStyle name="Normal 3 2 12 12 4" xfId="23317" xr:uid="{27999813-8935-4152-A34F-27B3AF3FF426}"/>
    <cellStyle name="Normal 3 2 12 12 5" xfId="23318" xr:uid="{84678AC1-467C-40C5-93E5-BD9570E5CABD}"/>
    <cellStyle name="Normal 3 2 12 12 6" xfId="23319" xr:uid="{ADAA052F-8FA6-4CFC-BACA-00BD29AD63CA}"/>
    <cellStyle name="Normal 3 2 12 13" xfId="23320" xr:uid="{BEBECBCB-8965-4073-9801-E3CBE544BBA5}"/>
    <cellStyle name="Normal 3 2 12 13 2" xfId="23321" xr:uid="{F070920E-6F53-4CF8-AC75-6251EC6C3EDC}"/>
    <cellStyle name="Normal 3 2 12 13 3" xfId="23322" xr:uid="{6A9E0DBB-167A-453E-B40C-81A374562359}"/>
    <cellStyle name="Normal 3 2 12 13 4" xfId="23323" xr:uid="{DD4192BC-D4EE-462A-9716-9068CE8ABE5F}"/>
    <cellStyle name="Normal 3 2 12 13 5" xfId="23324" xr:uid="{2E9B13DB-9830-4D80-B9B9-747450C1BB24}"/>
    <cellStyle name="Normal 3 2 12 13 6" xfId="23325" xr:uid="{349138DB-09A4-47C5-9290-6CF568324509}"/>
    <cellStyle name="Normal 3 2 12 14" xfId="23326" xr:uid="{9DAA55EE-9EFF-4143-AADA-AEE106ECE8CA}"/>
    <cellStyle name="Normal 3 2 12 14 2" xfId="23327" xr:uid="{3819378F-88BC-48D9-8B8A-19890EEAA5B0}"/>
    <cellStyle name="Normal 3 2 12 14 3" xfId="23328" xr:uid="{CF23003D-97A1-4DD9-A139-A8179A969ADB}"/>
    <cellStyle name="Normal 3 2 12 14 4" xfId="23329" xr:uid="{131EA838-DA9B-401A-A67A-47C9332266D9}"/>
    <cellStyle name="Normal 3 2 12 14 5" xfId="23330" xr:uid="{4452D389-3938-4D14-8F7E-A6D4A205A1F6}"/>
    <cellStyle name="Normal 3 2 12 14 6" xfId="23331" xr:uid="{6ADA1F28-DC79-441F-84F2-235C89A36B2E}"/>
    <cellStyle name="Normal 3 2 12 15" xfId="23332" xr:uid="{5A099239-3141-474D-9D83-3FCEB9103A0F}"/>
    <cellStyle name="Normal 3 2 12 16" xfId="23333" xr:uid="{D9C3C9F1-B1C8-447A-8B40-476DFBCEDA8F}"/>
    <cellStyle name="Normal 3 2 12 17" xfId="23334" xr:uid="{538E82F0-C3D8-4185-B47A-50F9E1858F7E}"/>
    <cellStyle name="Normal 3 2 12 18" xfId="23335" xr:uid="{21EAC6A1-8D2E-46C6-AD4F-B722EE0ECF41}"/>
    <cellStyle name="Normal 3 2 12 19" xfId="23336" xr:uid="{BEB3B098-3425-49BE-B935-EB83DEBB8D48}"/>
    <cellStyle name="Normal 3 2 12 2" xfId="23337" xr:uid="{100A257A-8EDA-4494-B1BD-4A2B06FA7369}"/>
    <cellStyle name="Normal 3 2 12 2 2" xfId="23338" xr:uid="{A580EF2C-86C8-46FD-A862-594C579F872B}"/>
    <cellStyle name="Normal 3 2 12 2 2 10" xfId="23339" xr:uid="{A7F59D34-8AAF-4AD2-AAAF-97F2E4F37851}"/>
    <cellStyle name="Normal 3 2 12 2 2 11" xfId="23340" xr:uid="{24EDE7C3-14EA-45F1-A13E-0DE8908F7183}"/>
    <cellStyle name="Normal 3 2 12 2 2 2" xfId="23341" xr:uid="{D3EF5911-147B-40E4-98E5-D1433ACC4AD2}"/>
    <cellStyle name="Normal 3 2 12 2 2 2 2" xfId="23342" xr:uid="{7CF679FA-062C-4B02-9829-FC5CD5686FE8}"/>
    <cellStyle name="Normal 3 2 12 2 2 2 3" xfId="23343" xr:uid="{FD7AEA3E-3624-41A5-B53C-DD9E96A5DF2A}"/>
    <cellStyle name="Normal 3 2 12 2 2 2 4" xfId="23344" xr:uid="{EFFF0F56-131A-4DA1-8D2F-7CD1962A6640}"/>
    <cellStyle name="Normal 3 2 12 2 2 2 5" xfId="23345" xr:uid="{A23F83BA-50C0-4D92-A4AF-10EF8DC4E10F}"/>
    <cellStyle name="Normal 3 2 12 2 2 2 6" xfId="23346" xr:uid="{964BAE53-06CF-4F58-9C79-B2773161C7B2}"/>
    <cellStyle name="Normal 3 2 12 2 2 3" xfId="23347" xr:uid="{D536F548-62A1-486D-B333-9D0B8418D619}"/>
    <cellStyle name="Normal 3 2 12 2 2 3 2" xfId="23348" xr:uid="{CE077726-BB53-438B-BB51-2F5F93CE973B}"/>
    <cellStyle name="Normal 3 2 12 2 2 3 3" xfId="23349" xr:uid="{AA5993D2-8D6E-430D-9EE6-BF9AF7A31980}"/>
    <cellStyle name="Normal 3 2 12 2 2 3 4" xfId="23350" xr:uid="{F753DA93-2716-4103-8DF5-6F852C54AB9D}"/>
    <cellStyle name="Normal 3 2 12 2 2 3 5" xfId="23351" xr:uid="{17720201-53B3-49F5-B1B2-8AF6C0879EC8}"/>
    <cellStyle name="Normal 3 2 12 2 2 3 6" xfId="23352" xr:uid="{50049AE7-38A0-458E-84E7-985F8671BB69}"/>
    <cellStyle name="Normal 3 2 12 2 2 4" xfId="23353" xr:uid="{D9096248-C538-4C5B-BCD9-0E7B26C5B8CB}"/>
    <cellStyle name="Normal 3 2 12 2 2 4 2" xfId="23354" xr:uid="{085E57F5-EB32-4CEE-BF43-DB81032BA625}"/>
    <cellStyle name="Normal 3 2 12 2 2 4 3" xfId="23355" xr:uid="{AEC23A0D-6A90-40F9-A532-CE8AA0171AA6}"/>
    <cellStyle name="Normal 3 2 12 2 2 4 4" xfId="23356" xr:uid="{EDB099CB-5F3E-4F65-BDEF-EB65523F66C2}"/>
    <cellStyle name="Normal 3 2 12 2 2 4 5" xfId="23357" xr:uid="{40BBE3CE-9562-431F-8886-70BF4410C153}"/>
    <cellStyle name="Normal 3 2 12 2 2 4 6" xfId="23358" xr:uid="{FCC8C276-30A1-4003-B1F2-5FF143315A10}"/>
    <cellStyle name="Normal 3 2 12 2 2 5" xfId="23359" xr:uid="{65AA406A-B16F-4D3D-BCC0-86F653DC38AA}"/>
    <cellStyle name="Normal 3 2 12 2 2 5 2" xfId="23360" xr:uid="{E458C8A9-B557-43F4-930F-156182C796FA}"/>
    <cellStyle name="Normal 3 2 12 2 2 5 3" xfId="23361" xr:uid="{6D8C8AB2-56CF-4343-8708-A6E3C1961F47}"/>
    <cellStyle name="Normal 3 2 12 2 2 5 4" xfId="23362" xr:uid="{770B7B7A-C7BE-4E42-9773-E7C00655A0EC}"/>
    <cellStyle name="Normal 3 2 12 2 2 5 5" xfId="23363" xr:uid="{693A9DD8-C9B3-42A8-AC2D-52BB28B51E99}"/>
    <cellStyle name="Normal 3 2 12 2 2 5 6" xfId="23364" xr:uid="{4B35589C-B27B-4415-B3E7-0F0A9FD62617}"/>
    <cellStyle name="Normal 3 2 12 2 2 6" xfId="23365" xr:uid="{7D2BCA5A-DC6E-456F-8C26-F6BCDE9EB5C3}"/>
    <cellStyle name="Normal 3 2 12 2 2 6 2" xfId="23366" xr:uid="{B7B6E47D-30F4-4F90-BBFD-77C94B1BF2BF}"/>
    <cellStyle name="Normal 3 2 12 2 2 6 3" xfId="23367" xr:uid="{401866DC-3893-4E0B-B9B6-950A70F7F9C2}"/>
    <cellStyle name="Normal 3 2 12 2 2 6 4" xfId="23368" xr:uid="{D0DEF5FC-CBE3-4B84-B211-D0C52910BD24}"/>
    <cellStyle name="Normal 3 2 12 2 2 6 5" xfId="23369" xr:uid="{AEA96126-01AD-4676-9F8D-F3ED25FCC2DC}"/>
    <cellStyle name="Normal 3 2 12 2 2 6 6" xfId="23370" xr:uid="{59B35D99-00B8-4242-883B-DF5E1E760492}"/>
    <cellStyle name="Normal 3 2 12 2 2 7" xfId="23371" xr:uid="{E02794EC-1A63-4437-ACC7-8A859B514595}"/>
    <cellStyle name="Normal 3 2 12 2 2 8" xfId="23372" xr:uid="{61613295-FF8E-4ECB-B755-E497219CF060}"/>
    <cellStyle name="Normal 3 2 12 2 2 9" xfId="23373" xr:uid="{5A965332-3EB9-4748-BE21-BB6A80282930}"/>
    <cellStyle name="Normal 3 2 12 2 3" xfId="23374" xr:uid="{73AFF526-0E48-4263-B5DC-67F2728CF6B5}"/>
    <cellStyle name="Normal 3 2 12 2 3 10" xfId="23375" xr:uid="{CC398354-A700-4852-BBA9-0D5DE75EFF4B}"/>
    <cellStyle name="Normal 3 2 12 2 3 11" xfId="23376" xr:uid="{586FB18A-68CD-44E2-BA6D-63E26F2C0D01}"/>
    <cellStyle name="Normal 3 2 12 2 3 2" xfId="23377" xr:uid="{B809E87E-C65B-4EC2-8C65-09F9BDD7C862}"/>
    <cellStyle name="Normal 3 2 12 2 3 2 2" xfId="23378" xr:uid="{6DE8F039-1EFA-4BDD-9CDA-14CEC472FCCF}"/>
    <cellStyle name="Normal 3 2 12 2 3 2 3" xfId="23379" xr:uid="{148DC09A-29DB-4194-BC2B-35637DF7760F}"/>
    <cellStyle name="Normal 3 2 12 2 3 2 4" xfId="23380" xr:uid="{4F2CB48F-ABF2-45DA-BCA5-73ADB54D1AA3}"/>
    <cellStyle name="Normal 3 2 12 2 3 2 5" xfId="23381" xr:uid="{938E7CC7-7AEE-4E33-A036-8D59D984BBD8}"/>
    <cellStyle name="Normal 3 2 12 2 3 2 6" xfId="23382" xr:uid="{0FB55330-4E24-4252-9C51-8A3A5A61AB66}"/>
    <cellStyle name="Normal 3 2 12 2 3 3" xfId="23383" xr:uid="{B2EA6453-E1E7-4B9C-AB1B-F7EE4781A5A4}"/>
    <cellStyle name="Normal 3 2 12 2 3 3 2" xfId="23384" xr:uid="{B0AC8DEC-3719-4DCE-B6C0-010D60B28C89}"/>
    <cellStyle name="Normal 3 2 12 2 3 3 3" xfId="23385" xr:uid="{D9473E7C-B959-4D1B-B529-5D33CCD8ECD5}"/>
    <cellStyle name="Normal 3 2 12 2 3 3 4" xfId="23386" xr:uid="{2A15B6DC-8492-4882-9A38-DEF4EAF1BDBA}"/>
    <cellStyle name="Normal 3 2 12 2 3 3 5" xfId="23387" xr:uid="{5FF4D8C6-64BE-4C87-AD1E-FDC24220BDD9}"/>
    <cellStyle name="Normal 3 2 12 2 3 3 6" xfId="23388" xr:uid="{B9C05740-948B-470A-9144-C17BE87634FF}"/>
    <cellStyle name="Normal 3 2 12 2 3 4" xfId="23389" xr:uid="{DAEEB83C-A086-4034-9F96-A254F1350038}"/>
    <cellStyle name="Normal 3 2 12 2 3 4 2" xfId="23390" xr:uid="{86A78813-270D-44D3-8D58-988C75EEE3A2}"/>
    <cellStyle name="Normal 3 2 12 2 3 4 3" xfId="23391" xr:uid="{1B5675E8-EA5C-4190-A398-C741D80185B6}"/>
    <cellStyle name="Normal 3 2 12 2 3 4 4" xfId="23392" xr:uid="{140E820C-E94C-4CBA-B0B6-1C19B186CBD1}"/>
    <cellStyle name="Normal 3 2 12 2 3 4 5" xfId="23393" xr:uid="{A8057E92-EB82-4865-813B-1565E5ECFB3D}"/>
    <cellStyle name="Normal 3 2 12 2 3 4 6" xfId="23394" xr:uid="{8EFE6F64-52E8-45B2-A7ED-ADDB61D7AE3E}"/>
    <cellStyle name="Normal 3 2 12 2 3 5" xfId="23395" xr:uid="{49E63AC6-966C-464D-BA7C-E0AB667B790C}"/>
    <cellStyle name="Normal 3 2 12 2 3 5 2" xfId="23396" xr:uid="{D6073DC4-09B3-431F-AE1D-384C9F656299}"/>
    <cellStyle name="Normal 3 2 12 2 3 5 3" xfId="23397" xr:uid="{70BBD962-8C36-43D8-9DF2-0B8B101C4787}"/>
    <cellStyle name="Normal 3 2 12 2 3 5 4" xfId="23398" xr:uid="{9937E541-1EDF-46F1-A700-3721E200B1B6}"/>
    <cellStyle name="Normal 3 2 12 2 3 5 5" xfId="23399" xr:uid="{F274C571-B85D-4644-A25E-F53EF6B9F95D}"/>
    <cellStyle name="Normal 3 2 12 2 3 5 6" xfId="23400" xr:uid="{17D50874-B5CB-4D4D-B7BB-A97B0F083875}"/>
    <cellStyle name="Normal 3 2 12 2 3 6" xfId="23401" xr:uid="{7F59B326-EF95-4DC4-9578-1536184144C9}"/>
    <cellStyle name="Normal 3 2 12 2 3 6 2" xfId="23402" xr:uid="{CC576785-E5AE-4A05-A67A-C5F849220DCC}"/>
    <cellStyle name="Normal 3 2 12 2 3 6 3" xfId="23403" xr:uid="{66743B65-8C38-4243-83A7-7321070ACEAE}"/>
    <cellStyle name="Normal 3 2 12 2 3 6 4" xfId="23404" xr:uid="{BB0229FD-9525-433C-AEA2-82BAA4D655E3}"/>
    <cellStyle name="Normal 3 2 12 2 3 6 5" xfId="23405" xr:uid="{FFC20A20-9B7F-4AF1-A440-5733F6411CDC}"/>
    <cellStyle name="Normal 3 2 12 2 3 6 6" xfId="23406" xr:uid="{30DDD49C-9AA4-45E1-8297-40A05186DB2E}"/>
    <cellStyle name="Normal 3 2 12 2 3 7" xfId="23407" xr:uid="{3852B149-AC39-4041-B346-1AEDCA116FE9}"/>
    <cellStyle name="Normal 3 2 12 2 3 8" xfId="23408" xr:uid="{98B47C47-F9D3-4D03-9216-8F0C404BEB3F}"/>
    <cellStyle name="Normal 3 2 12 2 3 9" xfId="23409" xr:uid="{C04B4AF7-8815-4ADC-9315-6C03BF545982}"/>
    <cellStyle name="Normal 3 2 12 2 4" xfId="23410" xr:uid="{2C6C00DC-AE02-4E2F-AE1A-1B9A813E957C}"/>
    <cellStyle name="Normal 3 2 12 2 4 10" xfId="23411" xr:uid="{49F04F2D-BC1B-4310-90C6-45665662635A}"/>
    <cellStyle name="Normal 3 2 12 2 4 11" xfId="23412" xr:uid="{9BBD349E-6CA1-45A9-A684-5DBBE3A4231B}"/>
    <cellStyle name="Normal 3 2 12 2 4 2" xfId="23413" xr:uid="{97E492F3-D02D-4882-A8B1-D5CBAAAC0059}"/>
    <cellStyle name="Normal 3 2 12 2 4 2 2" xfId="23414" xr:uid="{33DFA4B3-0480-4CE7-AE1F-70DCBB4DAE4A}"/>
    <cellStyle name="Normal 3 2 12 2 4 2 3" xfId="23415" xr:uid="{6824A9C1-B762-463A-AB53-0D40A265D95E}"/>
    <cellStyle name="Normal 3 2 12 2 4 2 4" xfId="23416" xr:uid="{E3FA0FC1-28FE-4F88-9A17-A3574B858C8C}"/>
    <cellStyle name="Normal 3 2 12 2 4 2 5" xfId="23417" xr:uid="{4B25FE4F-B325-4DB8-9DD0-C11769245AB7}"/>
    <cellStyle name="Normal 3 2 12 2 4 2 6" xfId="23418" xr:uid="{2E3CB53F-0755-44E2-AF77-FFFA7A0240C9}"/>
    <cellStyle name="Normal 3 2 12 2 4 3" xfId="23419" xr:uid="{CD5E53BB-B3C7-4BA8-AA53-D70015E7CABC}"/>
    <cellStyle name="Normal 3 2 12 2 4 3 2" xfId="23420" xr:uid="{D020EC44-5683-4D50-8AB8-4A32DFA35CC1}"/>
    <cellStyle name="Normal 3 2 12 2 4 3 3" xfId="23421" xr:uid="{C53AEECA-9184-4A41-89F3-65BCBC58CD81}"/>
    <cellStyle name="Normal 3 2 12 2 4 3 4" xfId="23422" xr:uid="{4E38D20E-2635-4D56-ABA8-5C92CFD0CE2D}"/>
    <cellStyle name="Normal 3 2 12 2 4 3 5" xfId="23423" xr:uid="{8C478FE7-5076-47B6-A36F-496058F1DF58}"/>
    <cellStyle name="Normal 3 2 12 2 4 3 6" xfId="23424" xr:uid="{072968B5-B064-40B5-8483-F1F344DF94F9}"/>
    <cellStyle name="Normal 3 2 12 2 4 4" xfId="23425" xr:uid="{F376D3B8-7E74-4EAE-946D-C0F0F783D715}"/>
    <cellStyle name="Normal 3 2 12 2 4 4 2" xfId="23426" xr:uid="{F40464CD-4466-4D0A-A2C1-D3EFF5CC2A83}"/>
    <cellStyle name="Normal 3 2 12 2 4 4 3" xfId="23427" xr:uid="{F8E1AAD3-86CF-4FF6-BDD5-DCE1AA38BAAD}"/>
    <cellStyle name="Normal 3 2 12 2 4 4 4" xfId="23428" xr:uid="{5A08E30F-7927-42BF-8AE4-5398A50C6A96}"/>
    <cellStyle name="Normal 3 2 12 2 4 4 5" xfId="23429" xr:uid="{607EDA2E-404D-4AEF-B382-8C0EB5D5B284}"/>
    <cellStyle name="Normal 3 2 12 2 4 4 6" xfId="23430" xr:uid="{F8BC8253-379B-4C97-B6BF-187FEE98FF24}"/>
    <cellStyle name="Normal 3 2 12 2 4 5" xfId="23431" xr:uid="{E0B27268-C354-4CD9-A35B-639D8F99F678}"/>
    <cellStyle name="Normal 3 2 12 2 4 5 2" xfId="23432" xr:uid="{89EBB4B5-6B77-4FDF-AA91-227428E5B73D}"/>
    <cellStyle name="Normal 3 2 12 2 4 5 3" xfId="23433" xr:uid="{835A6C2A-A730-4066-BC95-51CD5486B399}"/>
    <cellStyle name="Normal 3 2 12 2 4 5 4" xfId="23434" xr:uid="{4C20CC89-5713-4CE8-869D-0D40E7320D9C}"/>
    <cellStyle name="Normal 3 2 12 2 4 5 5" xfId="23435" xr:uid="{C93989C0-D3FF-485A-94B0-084F4E532815}"/>
    <cellStyle name="Normal 3 2 12 2 4 5 6" xfId="23436" xr:uid="{FA9FCC83-43C8-416A-9032-FD8507BFC8DB}"/>
    <cellStyle name="Normal 3 2 12 2 4 6" xfId="23437" xr:uid="{CB75C376-F37E-4690-ADDC-C5D6927E3543}"/>
    <cellStyle name="Normal 3 2 12 2 4 6 2" xfId="23438" xr:uid="{749B9DA4-45C7-491E-AA2B-90F0F20222E1}"/>
    <cellStyle name="Normal 3 2 12 2 4 6 3" xfId="23439" xr:uid="{F8B81D55-476E-473A-B5B9-30E3CF6EF0A9}"/>
    <cellStyle name="Normal 3 2 12 2 4 6 4" xfId="23440" xr:uid="{42D4C6F2-1AFC-402D-AD97-69D41A1291F3}"/>
    <cellStyle name="Normal 3 2 12 2 4 6 5" xfId="23441" xr:uid="{6DF08CDD-6D80-413C-A367-18B1C118584F}"/>
    <cellStyle name="Normal 3 2 12 2 4 6 6" xfId="23442" xr:uid="{5CB3E901-0126-48E7-BB56-E05032BE7A39}"/>
    <cellStyle name="Normal 3 2 12 2 4 7" xfId="23443" xr:uid="{DD085133-748C-4436-9754-426A5890D974}"/>
    <cellStyle name="Normal 3 2 12 2 4 8" xfId="23444" xr:uid="{EFF86679-C2E5-4F0A-858E-AAC90C215104}"/>
    <cellStyle name="Normal 3 2 12 2 4 9" xfId="23445" xr:uid="{0C87D88F-40FB-4972-8840-0E5F0740F7F8}"/>
    <cellStyle name="Normal 3 2 12 2 5" xfId="23446" xr:uid="{7BA42FBF-4512-45FC-B7DB-263EDBCA3A80}"/>
    <cellStyle name="Normal 3 2 12 2 5 10" xfId="23447" xr:uid="{C6FBB127-B3DA-4280-BFF8-557F06D6AB77}"/>
    <cellStyle name="Normal 3 2 12 2 5 11" xfId="23448" xr:uid="{F20E9961-DF20-4450-AA43-F31925AA3003}"/>
    <cellStyle name="Normal 3 2 12 2 5 2" xfId="23449" xr:uid="{D4CCC05B-D9C8-4003-931C-7EC82E19C003}"/>
    <cellStyle name="Normal 3 2 12 2 5 2 2" xfId="23450" xr:uid="{A3E3B31A-A2ED-4280-A77C-AA3ED8EE9DF5}"/>
    <cellStyle name="Normal 3 2 12 2 5 2 3" xfId="23451" xr:uid="{A3CC4844-B715-41E4-8EF7-0CB22EF2B40B}"/>
    <cellStyle name="Normal 3 2 12 2 5 2 4" xfId="23452" xr:uid="{F38F3C64-A1F2-467C-81CC-D25B6E6EE609}"/>
    <cellStyle name="Normal 3 2 12 2 5 2 5" xfId="23453" xr:uid="{F060F33F-9553-4C06-8760-55962A18ACDD}"/>
    <cellStyle name="Normal 3 2 12 2 5 2 6" xfId="23454" xr:uid="{3071B2F6-8E95-4DDC-91FE-E4B5ADD03CC7}"/>
    <cellStyle name="Normal 3 2 12 2 5 3" xfId="23455" xr:uid="{EA8C3E00-9CB5-4C3B-BBDA-69E5FDD737A9}"/>
    <cellStyle name="Normal 3 2 12 2 5 3 2" xfId="23456" xr:uid="{E1ABF754-2C51-45A0-8171-7775B1D0FC2D}"/>
    <cellStyle name="Normal 3 2 12 2 5 3 3" xfId="23457" xr:uid="{4A13A0D3-8CFB-4680-80B6-D35F9C2949A3}"/>
    <cellStyle name="Normal 3 2 12 2 5 3 4" xfId="23458" xr:uid="{6C5EC4C8-E504-41FF-9964-4313C2DAE98A}"/>
    <cellStyle name="Normal 3 2 12 2 5 3 5" xfId="23459" xr:uid="{3B438E8A-949C-45CE-BE39-40A1E62AF998}"/>
    <cellStyle name="Normal 3 2 12 2 5 3 6" xfId="23460" xr:uid="{BF7D08D5-B294-49E4-82A5-2227F9F9FC7B}"/>
    <cellStyle name="Normal 3 2 12 2 5 4" xfId="23461" xr:uid="{C53A97F7-0128-4CDD-975B-6178C97CDEC9}"/>
    <cellStyle name="Normal 3 2 12 2 5 4 2" xfId="23462" xr:uid="{2A25D6D8-EDB1-4C89-8BA1-DF8AE864774D}"/>
    <cellStyle name="Normal 3 2 12 2 5 4 3" xfId="23463" xr:uid="{CBF6174D-5A10-45FE-B900-221587DD11D2}"/>
    <cellStyle name="Normal 3 2 12 2 5 4 4" xfId="23464" xr:uid="{22E5F0C9-A784-4364-B5DC-5B6EA1AE9ED2}"/>
    <cellStyle name="Normal 3 2 12 2 5 4 5" xfId="23465" xr:uid="{245F7F90-8B7C-4492-A895-B52D1C217D1C}"/>
    <cellStyle name="Normal 3 2 12 2 5 4 6" xfId="23466" xr:uid="{41F3CE96-8353-4A0C-BC63-926F6BB16509}"/>
    <cellStyle name="Normal 3 2 12 2 5 5" xfId="23467" xr:uid="{4A91065D-1013-4B43-83A1-B1A7744749C0}"/>
    <cellStyle name="Normal 3 2 12 2 5 5 2" xfId="23468" xr:uid="{616CD81C-1443-416A-B1FE-C97598CA8DE2}"/>
    <cellStyle name="Normal 3 2 12 2 5 5 3" xfId="23469" xr:uid="{1A751E9A-7B0A-4A6A-BB3B-E518891FC673}"/>
    <cellStyle name="Normal 3 2 12 2 5 5 4" xfId="23470" xr:uid="{93958E7F-FAF5-40B9-8004-67040AD69C86}"/>
    <cellStyle name="Normal 3 2 12 2 5 5 5" xfId="23471" xr:uid="{24B62CDF-4BCF-4694-893D-4D96FDC2F626}"/>
    <cellStyle name="Normal 3 2 12 2 5 5 6" xfId="23472" xr:uid="{C1FE06C5-8C71-4456-8CC0-3180120D9A81}"/>
    <cellStyle name="Normal 3 2 12 2 5 6" xfId="23473" xr:uid="{DD33DBFA-CC9C-4E8A-A91B-8A5A2DFA7154}"/>
    <cellStyle name="Normal 3 2 12 2 5 6 2" xfId="23474" xr:uid="{63498F85-610E-4C9D-93C8-7F2491454BFF}"/>
    <cellStyle name="Normal 3 2 12 2 5 6 3" xfId="23475" xr:uid="{1327F225-12E7-4C32-B708-F6674827C5A6}"/>
    <cellStyle name="Normal 3 2 12 2 5 6 4" xfId="23476" xr:uid="{AD83BB4A-BE3E-4709-AE1F-06F087DC9487}"/>
    <cellStyle name="Normal 3 2 12 2 5 6 5" xfId="23477" xr:uid="{F690010A-685B-43F8-A433-A760DA46ACAD}"/>
    <cellStyle name="Normal 3 2 12 2 5 6 6" xfId="23478" xr:uid="{96395833-C1A6-48CA-91A5-8403251AA3BA}"/>
    <cellStyle name="Normal 3 2 12 2 5 7" xfId="23479" xr:uid="{A0DC99A6-B068-434F-A227-243EF83E5FA4}"/>
    <cellStyle name="Normal 3 2 12 2 5 8" xfId="23480" xr:uid="{6C1A31A1-209B-4554-BBD5-43468983B7AD}"/>
    <cellStyle name="Normal 3 2 12 2 5 9" xfId="23481" xr:uid="{AA85C586-4E20-4CF2-B844-BD3B4516AA46}"/>
    <cellStyle name="Normal 3 2 12 2 6" xfId="23482" xr:uid="{25F05F5C-9564-4CBE-BD4F-5AD0899A2FDA}"/>
    <cellStyle name="Normal 3 2 12 2 6 10" xfId="23483" xr:uid="{CE503430-64C6-4617-9875-D2C99A07FA2D}"/>
    <cellStyle name="Normal 3 2 12 2 6 11" xfId="23484" xr:uid="{F80B13D4-2478-48E2-BEF9-D4FB45ED67A5}"/>
    <cellStyle name="Normal 3 2 12 2 6 2" xfId="23485" xr:uid="{4FB68349-2F0D-43D5-9205-A12F25E6A153}"/>
    <cellStyle name="Normal 3 2 12 2 6 2 2" xfId="23486" xr:uid="{25B18FEA-BE5F-418E-8159-288F700B6FC2}"/>
    <cellStyle name="Normal 3 2 12 2 6 2 3" xfId="23487" xr:uid="{664D4101-EB07-430B-A2D6-A8DE79971A84}"/>
    <cellStyle name="Normal 3 2 12 2 6 2 4" xfId="23488" xr:uid="{61933E52-513E-4FE3-8C76-E95C950C2F21}"/>
    <cellStyle name="Normal 3 2 12 2 6 2 5" xfId="23489" xr:uid="{F0823497-E84E-467B-AE11-A4731B71BFA8}"/>
    <cellStyle name="Normal 3 2 12 2 6 2 6" xfId="23490" xr:uid="{1AB1D90A-8DC5-4DF7-B2BC-EDF0A8259FB5}"/>
    <cellStyle name="Normal 3 2 12 2 6 3" xfId="23491" xr:uid="{5398462C-A85F-4D6A-B03F-E57D9AC66524}"/>
    <cellStyle name="Normal 3 2 12 2 6 3 2" xfId="23492" xr:uid="{2607A5C1-A3BE-46ED-82AA-7DDB45117BD8}"/>
    <cellStyle name="Normal 3 2 12 2 6 3 3" xfId="23493" xr:uid="{9E500C15-27AD-48E3-8CEA-5963A957D17E}"/>
    <cellStyle name="Normal 3 2 12 2 6 3 4" xfId="23494" xr:uid="{C1C50314-7EF3-4B17-BFC5-37ED7470DA26}"/>
    <cellStyle name="Normal 3 2 12 2 6 3 5" xfId="23495" xr:uid="{CB0ACCF5-64BB-491A-83AA-7E22B3912CDB}"/>
    <cellStyle name="Normal 3 2 12 2 6 3 6" xfId="23496" xr:uid="{09E9788A-EAA2-451A-8AD6-352215F975BD}"/>
    <cellStyle name="Normal 3 2 12 2 6 4" xfId="23497" xr:uid="{A3283170-CBD3-453D-8B32-34F27EB53AEA}"/>
    <cellStyle name="Normal 3 2 12 2 6 4 2" xfId="23498" xr:uid="{BB8CFA9B-C5B2-489F-9DAA-116135F77A2E}"/>
    <cellStyle name="Normal 3 2 12 2 6 4 3" xfId="23499" xr:uid="{904A5C39-7EF8-46A0-B43E-7330D62C7086}"/>
    <cellStyle name="Normal 3 2 12 2 6 4 4" xfId="23500" xr:uid="{734BEC5D-D019-4889-B284-F1B390228933}"/>
    <cellStyle name="Normal 3 2 12 2 6 4 5" xfId="23501" xr:uid="{20293D6B-AC33-4E50-8401-A71E49F360D5}"/>
    <cellStyle name="Normal 3 2 12 2 6 4 6" xfId="23502" xr:uid="{56AD60CA-7826-4759-B383-AAC4EB16F4A9}"/>
    <cellStyle name="Normal 3 2 12 2 6 5" xfId="23503" xr:uid="{4AD1B6AC-9A8E-4472-A9E5-6BB45002B6CB}"/>
    <cellStyle name="Normal 3 2 12 2 6 5 2" xfId="23504" xr:uid="{C4F233C3-6276-46CA-9516-755F96D8F563}"/>
    <cellStyle name="Normal 3 2 12 2 6 5 3" xfId="23505" xr:uid="{C8D99E5D-C788-4AA1-8517-2E9D5B738505}"/>
    <cellStyle name="Normal 3 2 12 2 6 5 4" xfId="23506" xr:uid="{D7B812D4-EFF0-4E3A-A9DD-522C07387904}"/>
    <cellStyle name="Normal 3 2 12 2 6 5 5" xfId="23507" xr:uid="{2F5559DB-6643-4176-8A98-29E8B6C9C6F8}"/>
    <cellStyle name="Normal 3 2 12 2 6 5 6" xfId="23508" xr:uid="{7D6CC629-139F-46C4-81BB-AE8FA643D53C}"/>
    <cellStyle name="Normal 3 2 12 2 6 6" xfId="23509" xr:uid="{9976C43F-FD33-4766-8117-53D4324F0C19}"/>
    <cellStyle name="Normal 3 2 12 2 6 6 2" xfId="23510" xr:uid="{1AB718EA-7F7E-45D3-93A6-D683E58B4AD9}"/>
    <cellStyle name="Normal 3 2 12 2 6 6 3" xfId="23511" xr:uid="{1014B6D7-43F4-40C0-BEAF-CCD7BC46FECC}"/>
    <cellStyle name="Normal 3 2 12 2 6 6 4" xfId="23512" xr:uid="{380041AA-0E44-4720-A365-B4FF13B93E91}"/>
    <cellStyle name="Normal 3 2 12 2 6 6 5" xfId="23513" xr:uid="{3235F68E-0C86-4CB5-B342-CEC7662AF770}"/>
    <cellStyle name="Normal 3 2 12 2 6 6 6" xfId="23514" xr:uid="{BE87EC60-7055-41D4-8E27-77CA12EFBE49}"/>
    <cellStyle name="Normal 3 2 12 2 6 7" xfId="23515" xr:uid="{6ADDF7FE-107B-4458-9806-11E5473B8575}"/>
    <cellStyle name="Normal 3 2 12 2 6 8" xfId="23516" xr:uid="{884F8A9C-AB50-4DF1-801A-D4DBB35205BB}"/>
    <cellStyle name="Normal 3 2 12 2 6 9" xfId="23517" xr:uid="{EBCEFC67-DF80-4D94-9D76-C944CEAD04F2}"/>
    <cellStyle name="Normal 3 2 12 2 7" xfId="23518" xr:uid="{B360751F-1D0A-44ED-8C80-22763F71059E}"/>
    <cellStyle name="Normal 3 2 12 2 7 10" xfId="23519" xr:uid="{BB56982B-E8E5-46F9-AAD0-BC66F958B760}"/>
    <cellStyle name="Normal 3 2 12 2 7 11" xfId="23520" xr:uid="{962F3AFF-1B10-48C8-A99B-593564151834}"/>
    <cellStyle name="Normal 3 2 12 2 7 2" xfId="23521" xr:uid="{BAE02229-1163-4ECC-8504-FCC6C466E1A1}"/>
    <cellStyle name="Normal 3 2 12 2 7 2 2" xfId="23522" xr:uid="{1699EC94-ED49-46B5-8129-00255BADAA26}"/>
    <cellStyle name="Normal 3 2 12 2 7 2 3" xfId="23523" xr:uid="{AA9D6072-ECAC-45E6-91D5-6BB3592ED6D3}"/>
    <cellStyle name="Normal 3 2 12 2 7 2 4" xfId="23524" xr:uid="{B47ACF1D-CB2F-4501-A608-9F8DE8C7721F}"/>
    <cellStyle name="Normal 3 2 12 2 7 2 5" xfId="23525" xr:uid="{20A81397-C94B-43C7-834A-738B3D5FFD5F}"/>
    <cellStyle name="Normal 3 2 12 2 7 2 6" xfId="23526" xr:uid="{E984F88F-F6F5-4893-8330-96E66BFC3809}"/>
    <cellStyle name="Normal 3 2 12 2 7 3" xfId="23527" xr:uid="{DBDC75A9-67B9-45E8-AB5D-3A5DAE4186BC}"/>
    <cellStyle name="Normal 3 2 12 2 7 3 2" xfId="23528" xr:uid="{C03A2960-C788-4404-850C-6DF276F26342}"/>
    <cellStyle name="Normal 3 2 12 2 7 3 3" xfId="23529" xr:uid="{2A8C5AC7-CE94-44B4-87B2-FEAD22D5F04C}"/>
    <cellStyle name="Normal 3 2 12 2 7 3 4" xfId="23530" xr:uid="{ABA90BB9-6917-4A4E-9552-34DFEE846720}"/>
    <cellStyle name="Normal 3 2 12 2 7 3 5" xfId="23531" xr:uid="{DF4C9B1E-B6F0-4F26-BD9C-14F75064C152}"/>
    <cellStyle name="Normal 3 2 12 2 7 3 6" xfId="23532" xr:uid="{B2701477-3888-425A-894E-00F943F8AD3A}"/>
    <cellStyle name="Normal 3 2 12 2 7 4" xfId="23533" xr:uid="{1A83ED96-3C80-4F37-BB51-F0B89D294AA8}"/>
    <cellStyle name="Normal 3 2 12 2 7 4 2" xfId="23534" xr:uid="{D59CC3FD-DBDF-4812-BCDC-A55F0E480756}"/>
    <cellStyle name="Normal 3 2 12 2 7 4 3" xfId="23535" xr:uid="{B155CAF1-B422-44A5-B391-5534592B64B9}"/>
    <cellStyle name="Normal 3 2 12 2 7 4 4" xfId="23536" xr:uid="{6A35BB05-BFC3-4280-8E22-658C46E1F2E3}"/>
    <cellStyle name="Normal 3 2 12 2 7 4 5" xfId="23537" xr:uid="{516CA82F-3A76-4A5D-9CB4-34392F08CCE4}"/>
    <cellStyle name="Normal 3 2 12 2 7 4 6" xfId="23538" xr:uid="{A3FF3F40-56E2-452D-B03A-FB6926BDB92B}"/>
    <cellStyle name="Normal 3 2 12 2 7 5" xfId="23539" xr:uid="{04C83E32-35C1-446A-8AF3-A991C296CE8A}"/>
    <cellStyle name="Normal 3 2 12 2 7 5 2" xfId="23540" xr:uid="{4060C613-1903-4598-B2FB-0A655B5AEE2E}"/>
    <cellStyle name="Normal 3 2 12 2 7 5 3" xfId="23541" xr:uid="{933D85C3-1D3A-433D-8290-41AC9FB6C432}"/>
    <cellStyle name="Normal 3 2 12 2 7 5 4" xfId="23542" xr:uid="{932C1F55-D659-45D7-AF44-C2F18E9B90C9}"/>
    <cellStyle name="Normal 3 2 12 2 7 5 5" xfId="23543" xr:uid="{BE748E08-7CDC-463D-983E-09B5351525F8}"/>
    <cellStyle name="Normal 3 2 12 2 7 5 6" xfId="23544" xr:uid="{20AD464B-0048-4F1E-B484-83FF93BD7FBE}"/>
    <cellStyle name="Normal 3 2 12 2 7 6" xfId="23545" xr:uid="{249AC741-E19F-4E62-B2B7-03A41EDD35B5}"/>
    <cellStyle name="Normal 3 2 12 2 7 6 2" xfId="23546" xr:uid="{194D9113-5073-4B6D-9376-F8FB720070C1}"/>
    <cellStyle name="Normal 3 2 12 2 7 6 3" xfId="23547" xr:uid="{EE6BB9F8-60C5-4023-9770-765B6AEF4F5C}"/>
    <cellStyle name="Normal 3 2 12 2 7 6 4" xfId="23548" xr:uid="{6390B036-29BB-4DA9-989F-3551A27C3B96}"/>
    <cellStyle name="Normal 3 2 12 2 7 6 5" xfId="23549" xr:uid="{5A4443BF-B78A-4D68-8124-FCB915818F13}"/>
    <cellStyle name="Normal 3 2 12 2 7 6 6" xfId="23550" xr:uid="{0FF416AA-C519-46AA-812C-4B47EA75DB30}"/>
    <cellStyle name="Normal 3 2 12 2 7 7" xfId="23551" xr:uid="{7965FCED-CE1D-4053-8AEC-E68AAA6ACFCA}"/>
    <cellStyle name="Normal 3 2 12 2 7 8" xfId="23552" xr:uid="{D85AFABB-7A90-4D72-9C1E-691203411945}"/>
    <cellStyle name="Normal 3 2 12 2 7 9" xfId="23553" xr:uid="{A8820C5B-6026-4BFE-8ECB-6E7EE3404999}"/>
    <cellStyle name="Normal 3 2 12 2 8" xfId="23554" xr:uid="{514BF123-BADF-40AC-AD24-3DC3B6BD13A7}"/>
    <cellStyle name="Normal 3 2 12 2 8 10" xfId="23555" xr:uid="{0C432008-95FA-48D3-9A1B-55B587F41583}"/>
    <cellStyle name="Normal 3 2 12 2 8 11" xfId="23556" xr:uid="{1F697486-228F-4684-A583-FB9195CB9479}"/>
    <cellStyle name="Normal 3 2 12 2 8 2" xfId="23557" xr:uid="{F265C123-2828-4AE8-A2CE-5BE3CA89E712}"/>
    <cellStyle name="Normal 3 2 12 2 8 2 2" xfId="23558" xr:uid="{9E7C7A50-9195-43BA-83D7-E1F24179FE70}"/>
    <cellStyle name="Normal 3 2 12 2 8 2 3" xfId="23559" xr:uid="{76492FE8-10B5-451A-B978-D93CB96C2A17}"/>
    <cellStyle name="Normal 3 2 12 2 8 2 4" xfId="23560" xr:uid="{AC01DD87-D642-475A-8FAE-2046F6FC55F9}"/>
    <cellStyle name="Normal 3 2 12 2 8 2 5" xfId="23561" xr:uid="{7CDD4872-6876-4EAE-9162-89F600405E5C}"/>
    <cellStyle name="Normal 3 2 12 2 8 2 6" xfId="23562" xr:uid="{2B1318C8-F0B5-4BA4-B2DF-1BFE81D6B14C}"/>
    <cellStyle name="Normal 3 2 12 2 8 3" xfId="23563" xr:uid="{334E3A81-9927-48EC-965F-9F2F0B1E3421}"/>
    <cellStyle name="Normal 3 2 12 2 8 3 2" xfId="23564" xr:uid="{0FDBEBCF-9B59-4F1C-B320-02565049DB54}"/>
    <cellStyle name="Normal 3 2 12 2 8 3 3" xfId="23565" xr:uid="{A1A5DFF1-4368-4255-9A23-7EC34015423D}"/>
    <cellStyle name="Normal 3 2 12 2 8 3 4" xfId="23566" xr:uid="{6B8F9DD8-2B60-43CE-B86E-9405064C98DB}"/>
    <cellStyle name="Normal 3 2 12 2 8 3 5" xfId="23567" xr:uid="{46F92B04-1C59-489D-9020-64A484F4EE72}"/>
    <cellStyle name="Normal 3 2 12 2 8 3 6" xfId="23568" xr:uid="{4B621F4E-3851-4CAA-9DDC-A66D301A2121}"/>
    <cellStyle name="Normal 3 2 12 2 8 4" xfId="23569" xr:uid="{E011DD89-D368-4C21-983A-E66C95863AC7}"/>
    <cellStyle name="Normal 3 2 12 2 8 4 2" xfId="23570" xr:uid="{C5207603-C9AF-4D03-884B-4ADB94A65F0B}"/>
    <cellStyle name="Normal 3 2 12 2 8 4 3" xfId="23571" xr:uid="{138BF945-B98F-4935-BF0E-AA2DB6D2A35F}"/>
    <cellStyle name="Normal 3 2 12 2 8 4 4" xfId="23572" xr:uid="{DB149256-EF1D-4F0F-8301-54C809EBEAD0}"/>
    <cellStyle name="Normal 3 2 12 2 8 4 5" xfId="23573" xr:uid="{41AA5523-D79E-46DB-894F-FC55B88ECB04}"/>
    <cellStyle name="Normal 3 2 12 2 8 4 6" xfId="23574" xr:uid="{2978B845-2510-47AA-8CE4-5CEE1994206D}"/>
    <cellStyle name="Normal 3 2 12 2 8 5" xfId="23575" xr:uid="{CB904FE4-6A91-4AD0-8B9F-E7973F60C9F6}"/>
    <cellStyle name="Normal 3 2 12 2 8 5 2" xfId="23576" xr:uid="{260B2419-97F9-499C-9DFE-3E9F6C91153B}"/>
    <cellStyle name="Normal 3 2 12 2 8 5 3" xfId="23577" xr:uid="{325923AA-24CB-4051-BC3B-770F59388B13}"/>
    <cellStyle name="Normal 3 2 12 2 8 5 4" xfId="23578" xr:uid="{50B0C1D0-1A2D-4637-9A22-C86B2A00C5C1}"/>
    <cellStyle name="Normal 3 2 12 2 8 5 5" xfId="23579" xr:uid="{2B277730-4F23-4518-80B8-50A7F52AB99F}"/>
    <cellStyle name="Normal 3 2 12 2 8 5 6" xfId="23580" xr:uid="{BE283C07-810F-4D53-8719-2A6AB8F6C34C}"/>
    <cellStyle name="Normal 3 2 12 2 8 6" xfId="23581" xr:uid="{839F800D-2F18-4EB8-8E1E-A9AEA547A1E3}"/>
    <cellStyle name="Normal 3 2 12 2 8 6 2" xfId="23582" xr:uid="{06F297F3-2ED9-4288-957D-93346F2054D3}"/>
    <cellStyle name="Normal 3 2 12 2 8 6 3" xfId="23583" xr:uid="{5517F4E3-ABAE-496D-9B21-205D457D58AF}"/>
    <cellStyle name="Normal 3 2 12 2 8 6 4" xfId="23584" xr:uid="{E6848818-5BBF-4D96-A079-CDC2C86D1477}"/>
    <cellStyle name="Normal 3 2 12 2 8 6 5" xfId="23585" xr:uid="{0E002C0B-14CD-4FBD-850E-869B643EBAEA}"/>
    <cellStyle name="Normal 3 2 12 2 8 6 6" xfId="23586" xr:uid="{6E92A3D4-ABC4-4CF5-8DE8-CE4F6FFC9A1B}"/>
    <cellStyle name="Normal 3 2 12 2 8 7" xfId="23587" xr:uid="{AD5EB6CB-8419-49AA-AF86-B6060B99E45F}"/>
    <cellStyle name="Normal 3 2 12 2 8 8" xfId="23588" xr:uid="{338D81EC-013D-477B-9441-EDACD956B82F}"/>
    <cellStyle name="Normal 3 2 12 2 8 9" xfId="23589" xr:uid="{767257BE-A583-4B06-BC62-4F233B940C41}"/>
    <cellStyle name="Normal 3 2 12 2 9" xfId="23590" xr:uid="{A7C4B597-7694-4307-8988-DC518B97EB16}"/>
    <cellStyle name="Normal 3 2 12 2 9 10" xfId="23591" xr:uid="{47051DBA-CDC5-4283-9CE8-C3E3C8CC6D48}"/>
    <cellStyle name="Normal 3 2 12 2 9 11" xfId="23592" xr:uid="{4C7A82D3-6A79-41AE-86BD-6B4D473DA888}"/>
    <cellStyle name="Normal 3 2 12 2 9 2" xfId="23593" xr:uid="{5881E831-7FE5-4F27-B032-BAC9D7DE976C}"/>
    <cellStyle name="Normal 3 2 12 2 9 2 2" xfId="23594" xr:uid="{A37F7765-304E-4C9F-99C8-F91539C4E06C}"/>
    <cellStyle name="Normal 3 2 12 2 9 2 3" xfId="23595" xr:uid="{EF2A34E0-0A89-482F-8F75-1994B2C2D500}"/>
    <cellStyle name="Normal 3 2 12 2 9 2 4" xfId="23596" xr:uid="{A37DCF5F-1539-4674-9757-A53648EE98B3}"/>
    <cellStyle name="Normal 3 2 12 2 9 2 5" xfId="23597" xr:uid="{69BD47B4-2908-4A26-A025-BCDF14CC576C}"/>
    <cellStyle name="Normal 3 2 12 2 9 2 6" xfId="23598" xr:uid="{0F76F57A-AF59-45B4-8704-90F5C54CE242}"/>
    <cellStyle name="Normal 3 2 12 2 9 3" xfId="23599" xr:uid="{B1B7B7EE-98D0-4E63-AD6C-001E47CF4B77}"/>
    <cellStyle name="Normal 3 2 12 2 9 3 2" xfId="23600" xr:uid="{9E713D46-67C8-411C-966F-853B6A9D921D}"/>
    <cellStyle name="Normal 3 2 12 2 9 3 3" xfId="23601" xr:uid="{3D2E4939-85DB-43F4-B010-8063BA83B9C9}"/>
    <cellStyle name="Normal 3 2 12 2 9 3 4" xfId="23602" xr:uid="{E460C3F5-4754-4664-A7AD-AF55700E45DE}"/>
    <cellStyle name="Normal 3 2 12 2 9 3 5" xfId="23603" xr:uid="{76430791-F413-47A3-A4F3-CF6CE706248D}"/>
    <cellStyle name="Normal 3 2 12 2 9 3 6" xfId="23604" xr:uid="{3971B9E8-2E83-450B-8C1D-FB582433793F}"/>
    <cellStyle name="Normal 3 2 12 2 9 4" xfId="23605" xr:uid="{41D3894B-1B23-4342-BA37-60C9A32BE8CC}"/>
    <cellStyle name="Normal 3 2 12 2 9 4 2" xfId="23606" xr:uid="{5087F5CD-FE7D-40DF-9E4F-24E03F7DFDF2}"/>
    <cellStyle name="Normal 3 2 12 2 9 4 3" xfId="23607" xr:uid="{4085FC7F-4DE6-4DBA-98B8-ECA8B9D013A5}"/>
    <cellStyle name="Normal 3 2 12 2 9 4 4" xfId="23608" xr:uid="{14465016-E9CC-489E-AD47-D5E09984793C}"/>
    <cellStyle name="Normal 3 2 12 2 9 4 5" xfId="23609" xr:uid="{BA656690-017E-494E-8341-089EC915B4AF}"/>
    <cellStyle name="Normal 3 2 12 2 9 4 6" xfId="23610" xr:uid="{BA3D6BE3-4741-49C0-91A3-2780BF700AF5}"/>
    <cellStyle name="Normal 3 2 12 2 9 5" xfId="23611" xr:uid="{AF453353-5ECB-45A3-84AD-391F85705A8F}"/>
    <cellStyle name="Normal 3 2 12 2 9 5 2" xfId="23612" xr:uid="{5C2EAC33-DF8D-43B6-A40B-3330AD3F8EFE}"/>
    <cellStyle name="Normal 3 2 12 2 9 5 3" xfId="23613" xr:uid="{B4AB118F-A235-4A3F-9F40-0EC7EFC94C48}"/>
    <cellStyle name="Normal 3 2 12 2 9 5 4" xfId="23614" xr:uid="{DF8B80A2-60F7-42D8-B689-1000B55D628B}"/>
    <cellStyle name="Normal 3 2 12 2 9 5 5" xfId="23615" xr:uid="{2BBD3F26-2634-4148-9E27-DEE5E8F4DB44}"/>
    <cellStyle name="Normal 3 2 12 2 9 5 6" xfId="23616" xr:uid="{69AA06BD-0F1E-4C3D-B93D-7B4E00353D65}"/>
    <cellStyle name="Normal 3 2 12 2 9 6" xfId="23617" xr:uid="{3F9CF1B6-2165-49C6-A853-16A5E220F412}"/>
    <cellStyle name="Normal 3 2 12 2 9 6 2" xfId="23618" xr:uid="{78835D4E-6424-4160-A15D-1BE21D2F9D70}"/>
    <cellStyle name="Normal 3 2 12 2 9 6 3" xfId="23619" xr:uid="{6BEED09D-CA1D-46D2-8A98-BAE59752FB29}"/>
    <cellStyle name="Normal 3 2 12 2 9 6 4" xfId="23620" xr:uid="{22122BC3-3A7C-49E4-8E1D-981A5197116E}"/>
    <cellStyle name="Normal 3 2 12 2 9 6 5" xfId="23621" xr:uid="{F1D808D1-C188-43C2-A69F-7401353E53DF}"/>
    <cellStyle name="Normal 3 2 12 2 9 6 6" xfId="23622" xr:uid="{B32BD1C5-A66E-4468-9737-B371250A046B}"/>
    <cellStyle name="Normal 3 2 12 2 9 7" xfId="23623" xr:uid="{E3A39E71-D99E-40AB-AED0-D98BB2F1A55C}"/>
    <cellStyle name="Normal 3 2 12 2 9 8" xfId="23624" xr:uid="{ACAFDB7A-C1C3-4A6E-BC88-7AEF0F0B3E18}"/>
    <cellStyle name="Normal 3 2 12 2 9 9" xfId="23625" xr:uid="{282F89EB-869A-40DE-9B2D-00D2C2928B09}"/>
    <cellStyle name="Normal 3 2 12 3" xfId="23626" xr:uid="{9E58AD80-6184-4E65-A8B4-9EF2F36E4C6D}"/>
    <cellStyle name="Normal 3 2 12 4" xfId="23627" xr:uid="{55D54047-E90B-40FB-96A8-289EF9714804}"/>
    <cellStyle name="Normal 3 2 12 5" xfId="23628" xr:uid="{69774847-AE21-42BF-B84C-572D78C8FBBC}"/>
    <cellStyle name="Normal 3 2 12 6" xfId="23629" xr:uid="{FB64580F-999B-42AC-8097-7DA18A88F97B}"/>
    <cellStyle name="Normal 3 2 12 7" xfId="23630" xr:uid="{EC2064CD-9B3E-4C40-BA3B-445C365C6BC1}"/>
    <cellStyle name="Normal 3 2 12 8" xfId="23631" xr:uid="{2831C77C-AE97-4C1F-BABB-859C7534B8B4}"/>
    <cellStyle name="Normal 3 2 12 9" xfId="23632" xr:uid="{2780A5BF-F6A4-4B9F-8E59-42B3197FE790}"/>
    <cellStyle name="Normal 3 2 120" xfId="23633" xr:uid="{3FBFDDA0-7267-4DE5-A789-C3E13F68B136}"/>
    <cellStyle name="Normal 3 2 121" xfId="23634" xr:uid="{CEF48EFD-41D9-4C75-9597-6118DCF83260}"/>
    <cellStyle name="Normal 3 2 122" xfId="23635" xr:uid="{42E64032-7421-4320-AB99-49F2DC07C88E}"/>
    <cellStyle name="Normal 3 2 123" xfId="23636" xr:uid="{88B361B2-CB3F-49F1-877D-5BF8A47538D9}"/>
    <cellStyle name="Normal 3 2 124" xfId="23204" xr:uid="{77231456-9B4D-4153-A46D-777D5132559C}"/>
    <cellStyle name="Normal 3 2 13" xfId="23637" xr:uid="{DE4746FA-EAB4-4322-90B3-443ECDFDF9F0}"/>
    <cellStyle name="Normal 3 2 13 10" xfId="23638" xr:uid="{81315C5F-96A1-48F2-8859-9A079864F339}"/>
    <cellStyle name="Normal 3 2 13 11" xfId="23639" xr:uid="{B9DE1695-5601-4025-A713-371730399503}"/>
    <cellStyle name="Normal 3 2 13 2" xfId="23640" xr:uid="{9B28B82E-7AEC-4808-8A1C-0AD60E22D078}"/>
    <cellStyle name="Normal 3 2 13 2 2" xfId="23641" xr:uid="{AB2D2EE8-FF81-4540-AF22-F99203D75557}"/>
    <cellStyle name="Normal 3 2 13 2 3" xfId="23642" xr:uid="{607C4AC9-2514-46AD-8B48-5C65E6AA2EA4}"/>
    <cellStyle name="Normal 3 2 13 2 4" xfId="23643" xr:uid="{8C896FFA-FA3F-4D90-BE84-575F62ED7669}"/>
    <cellStyle name="Normal 3 2 13 2 5" xfId="23644" xr:uid="{885F1A08-D99D-44F1-A57F-08F6C202FFBE}"/>
    <cellStyle name="Normal 3 2 13 2 6" xfId="23645" xr:uid="{E3813069-5284-4588-8636-A6E2C4174178}"/>
    <cellStyle name="Normal 3 2 13 3" xfId="23646" xr:uid="{2A974D9B-C21E-40A6-A5D3-4872EAF5A4B8}"/>
    <cellStyle name="Normal 3 2 13 3 2" xfId="23647" xr:uid="{D7CBA4AE-F072-4F01-BF0E-A39D232BD0C6}"/>
    <cellStyle name="Normal 3 2 13 3 3" xfId="23648" xr:uid="{CB875C3F-310B-475C-8ADE-9820088D6648}"/>
    <cellStyle name="Normal 3 2 13 3 4" xfId="23649" xr:uid="{1E785F89-11B8-4A5F-9B48-9F6B1154CF3B}"/>
    <cellStyle name="Normal 3 2 13 3 5" xfId="23650" xr:uid="{3B60FE9C-0F07-4F83-9594-DB4753D7996C}"/>
    <cellStyle name="Normal 3 2 13 3 6" xfId="23651" xr:uid="{5AAB1661-8B1E-4A95-9E5A-0FDF9D986398}"/>
    <cellStyle name="Normal 3 2 13 4" xfId="23652" xr:uid="{FB21909C-4AC1-4A0B-93A0-61EC05BA2031}"/>
    <cellStyle name="Normal 3 2 13 4 2" xfId="23653" xr:uid="{21532EBB-6B8B-465C-BF1A-1087B7BD8F38}"/>
    <cellStyle name="Normal 3 2 13 4 3" xfId="23654" xr:uid="{BFF1E14B-701F-4168-B600-A6EB64574C4E}"/>
    <cellStyle name="Normal 3 2 13 4 4" xfId="23655" xr:uid="{5E2F41B5-C81C-4264-8EFC-BD63287A2FD0}"/>
    <cellStyle name="Normal 3 2 13 4 5" xfId="23656" xr:uid="{977041EA-0F2B-4FC2-98A4-310355F2A57C}"/>
    <cellStyle name="Normal 3 2 13 4 6" xfId="23657" xr:uid="{C54BE4CD-58A6-4471-9263-AAEF44B17F1A}"/>
    <cellStyle name="Normal 3 2 13 5" xfId="23658" xr:uid="{C1928742-AC7E-4888-8A5A-54DA8E2F290E}"/>
    <cellStyle name="Normal 3 2 13 5 2" xfId="23659" xr:uid="{3DC20E73-4091-433B-881B-252753C332E2}"/>
    <cellStyle name="Normal 3 2 13 5 3" xfId="23660" xr:uid="{ECB8CE0A-129C-4793-A43A-D72E338F352F}"/>
    <cellStyle name="Normal 3 2 13 5 4" xfId="23661" xr:uid="{FCE2AFF3-AE63-446E-93F3-4432A06ABAE8}"/>
    <cellStyle name="Normal 3 2 13 5 5" xfId="23662" xr:uid="{6D7C4CF3-5E58-431F-A26D-FE7F13DE44A2}"/>
    <cellStyle name="Normal 3 2 13 5 6" xfId="23663" xr:uid="{9BD896EC-84F5-40A5-A84F-CD8625E3BD2D}"/>
    <cellStyle name="Normal 3 2 13 6" xfId="23664" xr:uid="{1E7B1100-9923-4D50-8A63-C45B5F925649}"/>
    <cellStyle name="Normal 3 2 13 6 2" xfId="23665" xr:uid="{F6DA2608-7E0B-4C52-80D9-380B6D094230}"/>
    <cellStyle name="Normal 3 2 13 6 3" xfId="23666" xr:uid="{B7851D7C-C368-4F7C-849E-A8585DE59E7D}"/>
    <cellStyle name="Normal 3 2 13 6 4" xfId="23667" xr:uid="{EB4A111D-A4F2-4D18-AB88-58400B9C03F3}"/>
    <cellStyle name="Normal 3 2 13 6 5" xfId="23668" xr:uid="{B4707C90-4BC0-49AE-AE68-57A428416466}"/>
    <cellStyle name="Normal 3 2 13 6 6" xfId="23669" xr:uid="{B1DA71FF-5C06-4654-BAF8-2D780498B376}"/>
    <cellStyle name="Normal 3 2 13 7" xfId="23670" xr:uid="{F4F054D3-0509-490A-A2D6-0A874525364D}"/>
    <cellStyle name="Normal 3 2 13 8" xfId="23671" xr:uid="{CFD8AA11-6589-440A-9408-F1734CE534A7}"/>
    <cellStyle name="Normal 3 2 13 9" xfId="23672" xr:uid="{B1477B4E-3111-484E-808D-1CEBB7F043CC}"/>
    <cellStyle name="Normal 3 2 14" xfId="23673" xr:uid="{DD55F118-52C6-45DC-9E88-C2312D912354}"/>
    <cellStyle name="Normal 3 2 14 10" xfId="23674" xr:uid="{B112672C-0033-4229-9BBD-DFDC909246B0}"/>
    <cellStyle name="Normal 3 2 14 11" xfId="23675" xr:uid="{F11506DD-DF87-4A96-93E4-096ECA03FD11}"/>
    <cellStyle name="Normal 3 2 14 2" xfId="23676" xr:uid="{BE5BEDE7-D51D-41CD-A59C-00B750CA1B70}"/>
    <cellStyle name="Normal 3 2 14 2 2" xfId="23677" xr:uid="{6389A703-D611-4163-9F02-BA2E417B278F}"/>
    <cellStyle name="Normal 3 2 14 2 3" xfId="23678" xr:uid="{60304DB5-AC2B-4B49-A253-86F8FF501B53}"/>
    <cellStyle name="Normal 3 2 14 2 4" xfId="23679" xr:uid="{831EA4BA-E7DB-4FC1-ADCF-E1364F4A8C4F}"/>
    <cellStyle name="Normal 3 2 14 2 5" xfId="23680" xr:uid="{8D3DCCCC-9D88-4E26-BE40-989ECD88DAF5}"/>
    <cellStyle name="Normal 3 2 14 2 6" xfId="23681" xr:uid="{56ED5C4D-2B1E-4D9E-807C-CBFA306792D0}"/>
    <cellStyle name="Normal 3 2 14 3" xfId="23682" xr:uid="{A73B973A-97DE-4457-A08F-363CA152B4A8}"/>
    <cellStyle name="Normal 3 2 14 3 2" xfId="23683" xr:uid="{2AE600E7-51C7-4B19-B0FD-821F2E271080}"/>
    <cellStyle name="Normal 3 2 14 3 3" xfId="23684" xr:uid="{A6242EE4-C1C0-428B-9F05-85EBB3AD2A3C}"/>
    <cellStyle name="Normal 3 2 14 3 4" xfId="23685" xr:uid="{3D712313-47CA-4279-B379-26F00654CE45}"/>
    <cellStyle name="Normal 3 2 14 3 5" xfId="23686" xr:uid="{BDF7A7F0-3DC8-4914-86B5-3865A3290416}"/>
    <cellStyle name="Normal 3 2 14 3 6" xfId="23687" xr:uid="{E6707DB9-34F5-4136-983B-1247246761C2}"/>
    <cellStyle name="Normal 3 2 14 4" xfId="23688" xr:uid="{AEDE9714-E5E3-4FFC-A127-CD15472965E2}"/>
    <cellStyle name="Normal 3 2 14 4 2" xfId="23689" xr:uid="{E99A26C8-2577-48CF-88DF-B8BB599360B1}"/>
    <cellStyle name="Normal 3 2 14 4 3" xfId="23690" xr:uid="{1F1F33CC-56ED-4FA0-8A47-827597D3673C}"/>
    <cellStyle name="Normal 3 2 14 4 4" xfId="23691" xr:uid="{7E482341-52E9-4CF2-9C68-F70FAE6BB5C0}"/>
    <cellStyle name="Normal 3 2 14 4 5" xfId="23692" xr:uid="{D3FE4288-80B9-43E8-ADA6-531343EA5301}"/>
    <cellStyle name="Normal 3 2 14 4 6" xfId="23693" xr:uid="{E8735385-535C-45A5-AFD3-B2FE48B31325}"/>
    <cellStyle name="Normal 3 2 14 5" xfId="23694" xr:uid="{93CDDCB2-FE10-40D8-84EC-3EED316B3858}"/>
    <cellStyle name="Normal 3 2 14 5 2" xfId="23695" xr:uid="{266B647E-DA7C-46BB-86CE-D9E8CC437516}"/>
    <cellStyle name="Normal 3 2 14 5 3" xfId="23696" xr:uid="{32132769-E3B4-4E2B-ADEE-D75C57B55578}"/>
    <cellStyle name="Normal 3 2 14 5 4" xfId="23697" xr:uid="{E67E9140-4BE5-470F-A016-8C452CEB0D11}"/>
    <cellStyle name="Normal 3 2 14 5 5" xfId="23698" xr:uid="{9D11B3F0-0932-49B8-88F4-BA0AE018C3FB}"/>
    <cellStyle name="Normal 3 2 14 5 6" xfId="23699" xr:uid="{683D732A-A0E7-4FAF-B6FD-9E69EDDBE045}"/>
    <cellStyle name="Normal 3 2 14 6" xfId="23700" xr:uid="{7CE17FD2-8E30-4FBE-8C10-11EF08DC7F03}"/>
    <cellStyle name="Normal 3 2 14 6 2" xfId="23701" xr:uid="{1FA21D93-D996-4D90-A914-07A9532934C4}"/>
    <cellStyle name="Normal 3 2 14 6 3" xfId="23702" xr:uid="{924B823E-B4B4-435A-A261-AB7A616AB1AC}"/>
    <cellStyle name="Normal 3 2 14 6 4" xfId="23703" xr:uid="{896F2BF6-76BA-4368-AF06-9C706F3F7F3A}"/>
    <cellStyle name="Normal 3 2 14 6 5" xfId="23704" xr:uid="{F9831B25-FCFC-490E-8926-8CCA71979869}"/>
    <cellStyle name="Normal 3 2 14 6 6" xfId="23705" xr:uid="{B58FF718-7FE6-4DB1-AC5C-2FF5C723F12B}"/>
    <cellStyle name="Normal 3 2 14 7" xfId="23706" xr:uid="{AF61FC34-8C41-4DDE-8018-BA042D8F1220}"/>
    <cellStyle name="Normal 3 2 14 8" xfId="23707" xr:uid="{23979642-79E5-4398-A818-A8A756935173}"/>
    <cellStyle name="Normal 3 2 14 9" xfId="23708" xr:uid="{C9F9FB7F-811A-450C-A33A-CE3871F73730}"/>
    <cellStyle name="Normal 3 2 15" xfId="23709" xr:uid="{0D9D3089-75A2-4C56-80CA-5AA72CBAE1F7}"/>
    <cellStyle name="Normal 3 2 15 10" xfId="23710" xr:uid="{6E5765AE-055B-4E4F-ACB2-A967CA307086}"/>
    <cellStyle name="Normal 3 2 15 11" xfId="23711" xr:uid="{3D8E3080-C87C-4A85-B29C-5F1429A31FE0}"/>
    <cellStyle name="Normal 3 2 15 2" xfId="23712" xr:uid="{7F8C155E-0EEC-4B7D-8A66-03265B1C986F}"/>
    <cellStyle name="Normal 3 2 15 2 2" xfId="23713" xr:uid="{9C24376A-F1C8-4783-97AF-A9E04F885121}"/>
    <cellStyle name="Normal 3 2 15 2 3" xfId="23714" xr:uid="{22061148-8CBC-44E7-80AC-6F2B0BFC6EE2}"/>
    <cellStyle name="Normal 3 2 15 2 4" xfId="23715" xr:uid="{DD96645F-0B8E-4442-9A81-943BDFABB6B1}"/>
    <cellStyle name="Normal 3 2 15 2 5" xfId="23716" xr:uid="{D50D413F-7BBC-4629-91D7-9112E7643677}"/>
    <cellStyle name="Normal 3 2 15 2 6" xfId="23717" xr:uid="{AA2B111D-F768-4B79-B0F6-FB2B73CB9386}"/>
    <cellStyle name="Normal 3 2 15 3" xfId="23718" xr:uid="{19674DAE-3BBB-48A3-8A35-D26EE55112BD}"/>
    <cellStyle name="Normal 3 2 15 3 2" xfId="23719" xr:uid="{A20E1D14-4549-4604-9D78-33C32078F6DE}"/>
    <cellStyle name="Normal 3 2 15 3 3" xfId="23720" xr:uid="{4AB3AFE3-A8FA-4CAE-AD24-1F570340B071}"/>
    <cellStyle name="Normal 3 2 15 3 4" xfId="23721" xr:uid="{BA73A067-6A58-4FB4-955B-5AB425E24E35}"/>
    <cellStyle name="Normal 3 2 15 3 5" xfId="23722" xr:uid="{BE4870D4-38E9-4A03-8C17-8FBDC9ACA1F7}"/>
    <cellStyle name="Normal 3 2 15 3 6" xfId="23723" xr:uid="{339F5DE8-7206-4230-A70C-52B7DB768820}"/>
    <cellStyle name="Normal 3 2 15 4" xfId="23724" xr:uid="{BCF964F0-69C8-4F4D-B2AE-D2EF698EE76C}"/>
    <cellStyle name="Normal 3 2 15 4 2" xfId="23725" xr:uid="{84086857-C003-40A4-8AD1-7FE9E9A13321}"/>
    <cellStyle name="Normal 3 2 15 4 3" xfId="23726" xr:uid="{B448745A-139D-4841-A9F2-9C06A00FE21B}"/>
    <cellStyle name="Normal 3 2 15 4 4" xfId="23727" xr:uid="{FF24F5D3-C76C-411F-ACF2-A675D5BB8EA5}"/>
    <cellStyle name="Normal 3 2 15 4 5" xfId="23728" xr:uid="{BD422585-08D4-457F-8BA4-C56B3E7A7AAB}"/>
    <cellStyle name="Normal 3 2 15 4 6" xfId="23729" xr:uid="{527DA088-82B1-447E-AF18-D2E9496D823A}"/>
    <cellStyle name="Normal 3 2 15 5" xfId="23730" xr:uid="{1F602230-F2FE-4C40-8B8D-9B2D77BAE59A}"/>
    <cellStyle name="Normal 3 2 15 5 2" xfId="23731" xr:uid="{F5EDA9C9-BE86-4343-8ABF-80FBAF7362E8}"/>
    <cellStyle name="Normal 3 2 15 5 3" xfId="23732" xr:uid="{8C1478A5-BB93-4ADD-9B4D-F99488BC10A6}"/>
    <cellStyle name="Normal 3 2 15 5 4" xfId="23733" xr:uid="{C5D3C2ED-FA08-42DB-90BA-ADA274FE6C9C}"/>
    <cellStyle name="Normal 3 2 15 5 5" xfId="23734" xr:uid="{E979E6FC-8CD3-454F-A835-B8850527CF96}"/>
    <cellStyle name="Normal 3 2 15 5 6" xfId="23735" xr:uid="{C4B45869-D88F-4138-8B35-D7F2DBE08EC5}"/>
    <cellStyle name="Normal 3 2 15 6" xfId="23736" xr:uid="{F098EBFB-3590-4573-AD7C-674DDEBB9C1A}"/>
    <cellStyle name="Normal 3 2 15 6 2" xfId="23737" xr:uid="{E774BE45-45BB-418F-8E42-621EFA68F44F}"/>
    <cellStyle name="Normal 3 2 15 6 3" xfId="23738" xr:uid="{DD39393A-C250-415F-8E96-8AB51869FDDD}"/>
    <cellStyle name="Normal 3 2 15 6 4" xfId="23739" xr:uid="{40A292A3-1A08-451E-AF17-A34016BC69DC}"/>
    <cellStyle name="Normal 3 2 15 6 5" xfId="23740" xr:uid="{5154CF96-09FE-4949-A2FB-F157B046CD1E}"/>
    <cellStyle name="Normal 3 2 15 6 6" xfId="23741" xr:uid="{8EACC053-9B71-4DF1-9843-D133B867EEBC}"/>
    <cellStyle name="Normal 3 2 15 7" xfId="23742" xr:uid="{208CFFB9-B567-4001-8AD0-FF71BA82255E}"/>
    <cellStyle name="Normal 3 2 15 8" xfId="23743" xr:uid="{9769BA67-4059-455F-835F-1A89EB1BD926}"/>
    <cellStyle name="Normal 3 2 15 9" xfId="23744" xr:uid="{58A60DE1-8381-49D0-B9C1-24AE5DDDD5C9}"/>
    <cellStyle name="Normal 3 2 16" xfId="23745" xr:uid="{1643B550-C979-4941-86B4-1A4F33A41C88}"/>
    <cellStyle name="Normal 3 2 16 10" xfId="23746" xr:uid="{3EF76295-907B-46ED-A406-D2711D41D406}"/>
    <cellStyle name="Normal 3 2 16 11" xfId="23747" xr:uid="{B9670515-4825-4EDB-937F-2DB0AF3F9A73}"/>
    <cellStyle name="Normal 3 2 16 2" xfId="23748" xr:uid="{3C831B3C-A8C6-47A8-AD46-0A66BB37FC97}"/>
    <cellStyle name="Normal 3 2 16 2 2" xfId="23749" xr:uid="{0F94AAA0-60FE-4487-B60C-FD597F5823FC}"/>
    <cellStyle name="Normal 3 2 16 2 3" xfId="23750" xr:uid="{E19C2EFB-FCB0-4709-B910-923691D0B7CC}"/>
    <cellStyle name="Normal 3 2 16 2 4" xfId="23751" xr:uid="{3DB55F28-3A36-4C31-94F5-8E4F36366A5A}"/>
    <cellStyle name="Normal 3 2 16 2 5" xfId="23752" xr:uid="{C2D5BEF5-109F-4570-9091-329418A1F00F}"/>
    <cellStyle name="Normal 3 2 16 2 6" xfId="23753" xr:uid="{3F403EDC-B98B-401B-8166-ED2211E87385}"/>
    <cellStyle name="Normal 3 2 16 3" xfId="23754" xr:uid="{EFF770CD-02AD-4934-9633-B409BB7F60FD}"/>
    <cellStyle name="Normal 3 2 16 3 2" xfId="23755" xr:uid="{1EA755E5-76F5-4704-831F-B87BF0A533C1}"/>
    <cellStyle name="Normal 3 2 16 3 3" xfId="23756" xr:uid="{8522B69B-F711-41AF-96A1-8D9C9F2BF97B}"/>
    <cellStyle name="Normal 3 2 16 3 4" xfId="23757" xr:uid="{EDF6CC6D-D6DC-4179-8B0C-6009E5A1D13A}"/>
    <cellStyle name="Normal 3 2 16 3 5" xfId="23758" xr:uid="{7C621ACB-F512-4158-A316-0349F097F835}"/>
    <cellStyle name="Normal 3 2 16 3 6" xfId="23759" xr:uid="{CE63ABD0-2784-4E0C-B87B-C9449A1A0AF1}"/>
    <cellStyle name="Normal 3 2 16 4" xfId="23760" xr:uid="{3BC40A61-0504-4E73-AB43-BDE6A8DE87DC}"/>
    <cellStyle name="Normal 3 2 16 4 2" xfId="23761" xr:uid="{9E62C7A2-19AE-4DBB-ADF1-ECB1DEE602E4}"/>
    <cellStyle name="Normal 3 2 16 4 3" xfId="23762" xr:uid="{AB3E2453-9DCF-411F-9C37-5DE70B3EDC42}"/>
    <cellStyle name="Normal 3 2 16 4 4" xfId="23763" xr:uid="{DD84490D-C854-4278-97B7-85EE40D12CC4}"/>
    <cellStyle name="Normal 3 2 16 4 5" xfId="23764" xr:uid="{16B8290B-06A7-4C36-9B7D-ADE11745092F}"/>
    <cellStyle name="Normal 3 2 16 4 6" xfId="23765" xr:uid="{CB3732AF-663C-4322-AB4E-A6AFF8B1E7F8}"/>
    <cellStyle name="Normal 3 2 16 5" xfId="23766" xr:uid="{47E21A61-7515-4C96-8D32-5C7B476F3AF1}"/>
    <cellStyle name="Normal 3 2 16 5 2" xfId="23767" xr:uid="{D5C7C846-DD10-463D-B61C-81C518E568BF}"/>
    <cellStyle name="Normal 3 2 16 5 3" xfId="23768" xr:uid="{D005F80F-4D86-4B60-AA36-7394C0D5D87D}"/>
    <cellStyle name="Normal 3 2 16 5 4" xfId="23769" xr:uid="{6EDAD2DD-78D2-4317-A26E-1AFB2699698E}"/>
    <cellStyle name="Normal 3 2 16 5 5" xfId="23770" xr:uid="{98DB31AA-BABD-4834-AF20-2B98E3949F46}"/>
    <cellStyle name="Normal 3 2 16 5 6" xfId="23771" xr:uid="{BAC17ACD-CF09-48D7-A8FC-E160B3CCCCCB}"/>
    <cellStyle name="Normal 3 2 16 6" xfId="23772" xr:uid="{A39C3DCC-EC58-4CF6-AFB3-79782F53AC3D}"/>
    <cellStyle name="Normal 3 2 16 6 2" xfId="23773" xr:uid="{9E59A274-56C2-4857-A12A-DA8272D7C8FC}"/>
    <cellStyle name="Normal 3 2 16 6 3" xfId="23774" xr:uid="{4276D007-602B-4739-A639-C5B7791C9788}"/>
    <cellStyle name="Normal 3 2 16 6 4" xfId="23775" xr:uid="{EF2AAC3B-7886-4368-AF05-93A29923D088}"/>
    <cellStyle name="Normal 3 2 16 6 5" xfId="23776" xr:uid="{135C176D-89E3-45C6-81EF-A1A4DADE98D1}"/>
    <cellStyle name="Normal 3 2 16 6 6" xfId="23777" xr:uid="{FD608CE4-C19C-4993-BB7A-2711C670165A}"/>
    <cellStyle name="Normal 3 2 16 7" xfId="23778" xr:uid="{578DAD14-6E9B-4020-AB36-6FBB21194B12}"/>
    <cellStyle name="Normal 3 2 16 8" xfId="23779" xr:uid="{007FDFEA-850E-41B7-B2C2-08B65E9C0676}"/>
    <cellStyle name="Normal 3 2 16 9" xfId="23780" xr:uid="{ACA1A04F-CE76-481D-B00E-14EE903D97B5}"/>
    <cellStyle name="Normal 3 2 17" xfId="23781" xr:uid="{CA9DA17A-26FE-46AD-89C8-571C74D9DDEF}"/>
    <cellStyle name="Normal 3 2 17 10" xfId="23782" xr:uid="{1E3A5483-30D1-4497-B30E-258B77AC67E0}"/>
    <cellStyle name="Normal 3 2 17 11" xfId="23783" xr:uid="{A8769D9E-3262-44DF-9AD6-27FFBF96C463}"/>
    <cellStyle name="Normal 3 2 17 2" xfId="23784" xr:uid="{723B4076-3F1A-4CC4-98AE-3BDDE48AB7C0}"/>
    <cellStyle name="Normal 3 2 17 2 2" xfId="23785" xr:uid="{DAF317C4-6915-4A05-A7A8-19C93C41FBAD}"/>
    <cellStyle name="Normal 3 2 17 2 3" xfId="23786" xr:uid="{E048E15E-2F85-477B-9858-EF8DC3F7259C}"/>
    <cellStyle name="Normal 3 2 17 2 4" xfId="23787" xr:uid="{2BC03E0F-F4EF-4B80-9F0C-EDA799C70EFA}"/>
    <cellStyle name="Normal 3 2 17 2 5" xfId="23788" xr:uid="{FC2D9C8F-4B1A-4FAD-B0E2-64C322785F5C}"/>
    <cellStyle name="Normal 3 2 17 2 6" xfId="23789" xr:uid="{ECFF0FE2-7A24-4ECE-8A26-5DDDABA6DA15}"/>
    <cellStyle name="Normal 3 2 17 3" xfId="23790" xr:uid="{56D363F9-2E32-4B17-872E-82B02628191D}"/>
    <cellStyle name="Normal 3 2 17 3 2" xfId="23791" xr:uid="{DC6E3513-E48D-4C6F-A5AA-B9A50099B7C3}"/>
    <cellStyle name="Normal 3 2 17 3 3" xfId="23792" xr:uid="{06809643-2783-4F82-AE69-F234B387B392}"/>
    <cellStyle name="Normal 3 2 17 3 4" xfId="23793" xr:uid="{BF6D0354-90BA-49D9-9F0D-CE4D796BB3E4}"/>
    <cellStyle name="Normal 3 2 17 3 5" xfId="23794" xr:uid="{76BCB4D1-C7C5-4692-A606-CBC80AA8FE79}"/>
    <cellStyle name="Normal 3 2 17 3 6" xfId="23795" xr:uid="{E1038616-C0C8-426E-B9E6-86DF104E60BC}"/>
    <cellStyle name="Normal 3 2 17 4" xfId="23796" xr:uid="{6F8AE526-A33B-47EC-891D-5F0D198DF88B}"/>
    <cellStyle name="Normal 3 2 17 4 2" xfId="23797" xr:uid="{8FB71771-274F-436D-B118-3D28372805AB}"/>
    <cellStyle name="Normal 3 2 17 4 3" xfId="23798" xr:uid="{DFD04AEE-381A-4FBC-A202-E4452AE27208}"/>
    <cellStyle name="Normal 3 2 17 4 4" xfId="23799" xr:uid="{7C50F6A2-FD85-42E4-8ECF-BB41534DA4E0}"/>
    <cellStyle name="Normal 3 2 17 4 5" xfId="23800" xr:uid="{032E9A00-E22F-4D63-88DB-52917BA5E08C}"/>
    <cellStyle name="Normal 3 2 17 4 6" xfId="23801" xr:uid="{D256772A-B8CF-487E-8757-FCA9FB91AC81}"/>
    <cellStyle name="Normal 3 2 17 5" xfId="23802" xr:uid="{E6FF45A5-9B25-4AE9-8130-4F575BCA5915}"/>
    <cellStyle name="Normal 3 2 17 5 2" xfId="23803" xr:uid="{ACBC1E35-C7B2-434A-B4FE-E6FAE7D20F15}"/>
    <cellStyle name="Normal 3 2 17 5 3" xfId="23804" xr:uid="{83E76DA3-72CF-40FD-92B7-755812CAB88A}"/>
    <cellStyle name="Normal 3 2 17 5 4" xfId="23805" xr:uid="{181EBBD9-84F7-48A3-96D5-AB9C15C558FA}"/>
    <cellStyle name="Normal 3 2 17 5 5" xfId="23806" xr:uid="{C7BB9492-A5D0-4DE0-8F0B-494591746BE5}"/>
    <cellStyle name="Normal 3 2 17 5 6" xfId="23807" xr:uid="{C4F3E0E8-41A1-439A-BA25-26E3F3473097}"/>
    <cellStyle name="Normal 3 2 17 6" xfId="23808" xr:uid="{ADB6B6BB-8F77-4916-A784-5EFB156393AE}"/>
    <cellStyle name="Normal 3 2 17 6 2" xfId="23809" xr:uid="{7E9DBBDF-4B22-4034-AA0A-791C44D89E7B}"/>
    <cellStyle name="Normal 3 2 17 6 3" xfId="23810" xr:uid="{52AFAE3B-BA8F-465F-A046-426220684CF1}"/>
    <cellStyle name="Normal 3 2 17 6 4" xfId="23811" xr:uid="{667FB13C-3237-4BC3-9BEA-BA4002814556}"/>
    <cellStyle name="Normal 3 2 17 6 5" xfId="23812" xr:uid="{27436529-C315-44E6-9D58-18DBDF453B05}"/>
    <cellStyle name="Normal 3 2 17 6 6" xfId="23813" xr:uid="{07909F90-C44E-4E4F-9FD2-B3D297D2E9A0}"/>
    <cellStyle name="Normal 3 2 17 7" xfId="23814" xr:uid="{09B9D9BC-69D1-4200-86E7-FF1D6F7FFBF8}"/>
    <cellStyle name="Normal 3 2 17 8" xfId="23815" xr:uid="{BECC85A8-F39A-4174-8B50-F47CCE40B4EC}"/>
    <cellStyle name="Normal 3 2 17 9" xfId="23816" xr:uid="{7B70A924-17E1-4E0D-91C3-601F4E7432B4}"/>
    <cellStyle name="Normal 3 2 18" xfId="23817" xr:uid="{06AEFC8B-9604-4394-B714-99BC791F0C30}"/>
    <cellStyle name="Normal 3 2 18 10" xfId="23818" xr:uid="{6BB355DA-DD61-4E85-94AC-71ABFB274F9C}"/>
    <cellStyle name="Normal 3 2 18 11" xfId="23819" xr:uid="{96E147B7-90F6-4AC4-821E-CC0770FAB187}"/>
    <cellStyle name="Normal 3 2 18 2" xfId="23820" xr:uid="{5259D1DD-D90E-4751-8571-94874F369C91}"/>
    <cellStyle name="Normal 3 2 18 2 2" xfId="23821" xr:uid="{0D886ED4-4DDC-460A-9750-5116B1D04B01}"/>
    <cellStyle name="Normal 3 2 18 2 3" xfId="23822" xr:uid="{82A9BA7F-71AD-430D-B881-B8F7C0E4AFAA}"/>
    <cellStyle name="Normal 3 2 18 2 4" xfId="23823" xr:uid="{94609E49-09BD-45C1-85C8-EF3CD9A7BEED}"/>
    <cellStyle name="Normal 3 2 18 2 5" xfId="23824" xr:uid="{524BCA67-1839-4122-8F52-7C8DAEC3025A}"/>
    <cellStyle name="Normal 3 2 18 2 6" xfId="23825" xr:uid="{76565CE0-FA4F-4308-A9FA-1ED0F5D07097}"/>
    <cellStyle name="Normal 3 2 18 3" xfId="23826" xr:uid="{489A08D7-CD7F-43F4-B641-132EDB4370A5}"/>
    <cellStyle name="Normal 3 2 18 3 2" xfId="23827" xr:uid="{090B76E1-5B7A-4BDE-BAEA-74AD007FF958}"/>
    <cellStyle name="Normal 3 2 18 3 3" xfId="23828" xr:uid="{7F55DF9D-BA35-4775-B7FB-99CBB2C51363}"/>
    <cellStyle name="Normal 3 2 18 3 4" xfId="23829" xr:uid="{845570AB-F8E1-47FF-B371-75FE63BEA106}"/>
    <cellStyle name="Normal 3 2 18 3 5" xfId="23830" xr:uid="{0669D560-013F-44F3-B803-38247D878C6D}"/>
    <cellStyle name="Normal 3 2 18 3 6" xfId="23831" xr:uid="{1A59043C-C437-4179-B9AE-BAB8E89577A8}"/>
    <cellStyle name="Normal 3 2 18 4" xfId="23832" xr:uid="{07FEDE2F-B2FB-4AA7-A7FC-393B6B892F23}"/>
    <cellStyle name="Normal 3 2 18 4 2" xfId="23833" xr:uid="{5B71B2E1-D7CA-41E1-9842-2DDAFF44DAF6}"/>
    <cellStyle name="Normal 3 2 18 4 3" xfId="23834" xr:uid="{2D7B9B7F-2FD0-4FDB-BCAF-453ADBA55473}"/>
    <cellStyle name="Normal 3 2 18 4 4" xfId="23835" xr:uid="{3049603B-B616-4FD0-B92E-DD305763B916}"/>
    <cellStyle name="Normal 3 2 18 4 5" xfId="23836" xr:uid="{EEF0E696-465D-425F-936D-C3C622DE68FE}"/>
    <cellStyle name="Normal 3 2 18 4 6" xfId="23837" xr:uid="{AA2F90A3-078A-4541-8ABD-3FAB95529805}"/>
    <cellStyle name="Normal 3 2 18 5" xfId="23838" xr:uid="{F655149B-11E4-42B1-B8FA-80A3FB1D45D1}"/>
    <cellStyle name="Normal 3 2 18 5 2" xfId="23839" xr:uid="{4CC70E3F-6068-407A-8268-D60150B249EF}"/>
    <cellStyle name="Normal 3 2 18 5 3" xfId="23840" xr:uid="{5C7BA22A-2D43-4C78-BADD-30154E445BE0}"/>
    <cellStyle name="Normal 3 2 18 5 4" xfId="23841" xr:uid="{9F09BE5F-DC0A-443E-8164-01FE496696B7}"/>
    <cellStyle name="Normal 3 2 18 5 5" xfId="23842" xr:uid="{A0AA16F2-17C0-4074-98DF-14B0A25F1E83}"/>
    <cellStyle name="Normal 3 2 18 5 6" xfId="23843" xr:uid="{80DD535F-2D0F-4179-8EF5-82E81B72E2D7}"/>
    <cellStyle name="Normal 3 2 18 6" xfId="23844" xr:uid="{DAA461B5-C630-4D7C-B09A-B48151F5A8FA}"/>
    <cellStyle name="Normal 3 2 18 6 2" xfId="23845" xr:uid="{FD8567C6-9E89-4381-8667-9A0D3417D78B}"/>
    <cellStyle name="Normal 3 2 18 6 3" xfId="23846" xr:uid="{2217DE30-1DE6-421E-A03D-A72EAAC1D09D}"/>
    <cellStyle name="Normal 3 2 18 6 4" xfId="23847" xr:uid="{119289C7-C33A-483B-B29F-1420429A3A55}"/>
    <cellStyle name="Normal 3 2 18 6 5" xfId="23848" xr:uid="{2297B3C4-6D97-40A4-9B2D-13CDEB69EA21}"/>
    <cellStyle name="Normal 3 2 18 6 6" xfId="23849" xr:uid="{B218DD08-66BD-4AC6-AD7A-A4F160E83C86}"/>
    <cellStyle name="Normal 3 2 18 7" xfId="23850" xr:uid="{629B5DF8-BF0F-4C32-BBE7-0035FFB4BF2A}"/>
    <cellStyle name="Normal 3 2 18 8" xfId="23851" xr:uid="{6AAA7F97-A066-407E-B4DB-7686B4A0FC05}"/>
    <cellStyle name="Normal 3 2 18 9" xfId="23852" xr:uid="{35AAB141-E879-4ECE-99F6-B1E09F200C17}"/>
    <cellStyle name="Normal 3 2 19" xfId="23853" xr:uid="{09AAC69E-5293-4A24-BF8C-BE3BF139E79A}"/>
    <cellStyle name="Normal 3 2 19 10" xfId="23854" xr:uid="{92C4E873-FA2F-4570-B3CC-7F4E36226622}"/>
    <cellStyle name="Normal 3 2 19 11" xfId="23855" xr:uid="{C8D6A39D-0BFA-4435-8D5E-952BB5A41175}"/>
    <cellStyle name="Normal 3 2 19 2" xfId="23856" xr:uid="{856A75B0-81AD-4958-A9B0-1B43586E72FC}"/>
    <cellStyle name="Normal 3 2 19 2 2" xfId="23857" xr:uid="{F78EB03E-9C1C-4BE7-9C7C-FEF8343ADB2C}"/>
    <cellStyle name="Normal 3 2 19 2 3" xfId="23858" xr:uid="{1AA99DBA-5A8E-4D6B-AA6F-31FDE48C0C9C}"/>
    <cellStyle name="Normal 3 2 19 2 4" xfId="23859" xr:uid="{7497AB6E-67B1-4C1D-AE91-AEE4443A5CD8}"/>
    <cellStyle name="Normal 3 2 19 2 5" xfId="23860" xr:uid="{34688A68-6F7C-4898-A2F8-3BBAAA2EAA73}"/>
    <cellStyle name="Normal 3 2 19 2 6" xfId="23861" xr:uid="{72FE1114-99F7-437C-BC8A-A791C24AF8E8}"/>
    <cellStyle name="Normal 3 2 19 3" xfId="23862" xr:uid="{4E7F97AB-9B14-44A5-AEFC-C3E676BD31C5}"/>
    <cellStyle name="Normal 3 2 19 3 2" xfId="23863" xr:uid="{2011F495-04F0-4A1F-BA0A-86AB91B4C08C}"/>
    <cellStyle name="Normal 3 2 19 3 3" xfId="23864" xr:uid="{1B6657E6-8B59-4026-8BA6-64D2E94B5402}"/>
    <cellStyle name="Normal 3 2 19 3 4" xfId="23865" xr:uid="{0E00661C-12C8-4611-8EB4-60ACEBB6D9F2}"/>
    <cellStyle name="Normal 3 2 19 3 5" xfId="23866" xr:uid="{BDA5BB80-8303-4605-A43E-B5D696B9636D}"/>
    <cellStyle name="Normal 3 2 19 3 6" xfId="23867" xr:uid="{D1749E0E-363B-4764-BB57-278239C5B79B}"/>
    <cellStyle name="Normal 3 2 19 4" xfId="23868" xr:uid="{05683A94-D5BC-4B99-A81D-E6BF34CCF23C}"/>
    <cellStyle name="Normal 3 2 19 4 2" xfId="23869" xr:uid="{12E36CFC-B127-46FB-9B12-F45F5A924C37}"/>
    <cellStyle name="Normal 3 2 19 4 3" xfId="23870" xr:uid="{1126FCBE-DCF1-49AA-A23F-5CF810AE2639}"/>
    <cellStyle name="Normal 3 2 19 4 4" xfId="23871" xr:uid="{1C793BD7-D2A6-447C-BB08-031CF039792B}"/>
    <cellStyle name="Normal 3 2 19 4 5" xfId="23872" xr:uid="{A16C9160-499C-4871-8B46-9C053B26339E}"/>
    <cellStyle name="Normal 3 2 19 4 6" xfId="23873" xr:uid="{F0FC0BA3-8ECA-4D9A-AE94-569E463477F1}"/>
    <cellStyle name="Normal 3 2 19 5" xfId="23874" xr:uid="{2F09D6C5-4BA9-43CE-A8C5-0AB5CBA31058}"/>
    <cellStyle name="Normal 3 2 19 5 2" xfId="23875" xr:uid="{549F581D-5ACF-47A6-BC68-6CD7EA5B2571}"/>
    <cellStyle name="Normal 3 2 19 5 3" xfId="23876" xr:uid="{0C1343AF-8158-4F98-BFF6-72C167FA06C3}"/>
    <cellStyle name="Normal 3 2 19 5 4" xfId="23877" xr:uid="{BFDAD687-17A2-40F7-A010-1693D5AAF456}"/>
    <cellStyle name="Normal 3 2 19 5 5" xfId="23878" xr:uid="{AEADC2B1-E106-45D7-8E35-26F4F82DBEF1}"/>
    <cellStyle name="Normal 3 2 19 5 6" xfId="23879" xr:uid="{7F19EFE6-1F33-42B1-9EC0-5FFCA8021732}"/>
    <cellStyle name="Normal 3 2 19 6" xfId="23880" xr:uid="{41D61931-2F5C-4528-A345-7DBAB98FD46F}"/>
    <cellStyle name="Normal 3 2 19 6 2" xfId="23881" xr:uid="{AA3E43BF-D255-4712-8856-49DFE0C7E57C}"/>
    <cellStyle name="Normal 3 2 19 6 3" xfId="23882" xr:uid="{676C3BAC-44DD-4525-BC48-F2BEC545B2A3}"/>
    <cellStyle name="Normal 3 2 19 6 4" xfId="23883" xr:uid="{2CB1AC90-3B42-431D-8C8B-2E09358973D9}"/>
    <cellStyle name="Normal 3 2 19 6 5" xfId="23884" xr:uid="{762A291A-B58B-415A-BB25-6830D61847A7}"/>
    <cellStyle name="Normal 3 2 19 6 6" xfId="23885" xr:uid="{F75F086D-2080-47C7-946A-9FF3B6C23D00}"/>
    <cellStyle name="Normal 3 2 19 7" xfId="23886" xr:uid="{D86890D7-B759-4862-AA9A-B3F0D1CAD556}"/>
    <cellStyle name="Normal 3 2 19 8" xfId="23887" xr:uid="{D1DA5B99-8E97-4B8D-9189-6162A84C9AC1}"/>
    <cellStyle name="Normal 3 2 19 9" xfId="23888" xr:uid="{6706AA9E-91D4-42CB-8530-02754652C212}"/>
    <cellStyle name="Normal 3 2 2" xfId="192" xr:uid="{E7B894B6-7790-49D3-BD3B-913A09344C0C}"/>
    <cellStyle name="Normal 3 2 2 10" xfId="23890" xr:uid="{BCFF1D0A-5885-454B-BB3C-3960D6555B51}"/>
    <cellStyle name="Normal 3 2 2 11" xfId="23891" xr:uid="{86F31E44-F96C-47AD-B548-EA508D2C0095}"/>
    <cellStyle name="Normal 3 2 2 12" xfId="23892" xr:uid="{4925F03F-C768-47E1-892E-542AD9548A64}"/>
    <cellStyle name="Normal 3 2 2 13" xfId="23893" xr:uid="{9FBD7005-D47D-475F-A8D7-D6547813FA96}"/>
    <cellStyle name="Normal 3 2 2 14" xfId="23894" xr:uid="{6814615D-28CF-49E3-96AD-59BEDFDD7E75}"/>
    <cellStyle name="Normal 3 2 2 15" xfId="23895" xr:uid="{A20035AA-51B3-4EAF-BCF7-702478038F30}"/>
    <cellStyle name="Normal 3 2 2 16" xfId="23896" xr:uid="{FC37486C-0DBD-4073-AD7C-4A03C584D3C3}"/>
    <cellStyle name="Normal 3 2 2 17" xfId="23897" xr:uid="{82E917A4-5386-4F56-98FA-360C43CF8EC9}"/>
    <cellStyle name="Normal 3 2 2 18" xfId="23898" xr:uid="{0B832D09-CB8A-40B0-A4F0-AED2D9AD3BBF}"/>
    <cellStyle name="Normal 3 2 2 18 2" xfId="23899" xr:uid="{D83BFD52-316E-46D5-80ED-230E38C0F25A}"/>
    <cellStyle name="Normal 3 2 2 18 2 2" xfId="23900" xr:uid="{7124D8CB-99FB-41F5-BCBC-129D33E47551}"/>
    <cellStyle name="Normal 3 2 2 18 2 2 2" xfId="23901" xr:uid="{EDC6B5DE-50E9-4AD0-A27B-C53A6DD58885}"/>
    <cellStyle name="Normal 3 2 2 18 2 2 2 2" xfId="23902" xr:uid="{3DB25381-99A5-4D67-A23C-69B745E9D9A6}"/>
    <cellStyle name="Normal 3 2 2 18 2 2 2 3" xfId="23903" xr:uid="{4B4BA007-D8B1-45F8-AEF8-7E0CD85D48CF}"/>
    <cellStyle name="Normal 3 2 2 18 2 2 2 4" xfId="23904" xr:uid="{8ECFEF06-8FFA-4526-B4D7-5677ED33D0BA}"/>
    <cellStyle name="Normal 3 2 2 18 2 2 2 5" xfId="23905" xr:uid="{F761DF6C-7F41-49EF-9BEC-D97F5851683B}"/>
    <cellStyle name="Normal 3 2 2 18 2 2 2 6" xfId="23906" xr:uid="{E2108B01-76B0-415A-B3E7-DB8CAF44FECD}"/>
    <cellStyle name="Normal 3 2 2 18 2 3" xfId="23907" xr:uid="{D8A82ACF-988B-4D33-BC5B-99B94CF617E4}"/>
    <cellStyle name="Normal 3 2 2 18 2 4" xfId="23908" xr:uid="{5D556810-29C4-4A39-B4E8-4B65F0C6B82B}"/>
    <cellStyle name="Normal 3 2 2 18 2 5" xfId="23909" xr:uid="{C169DFD9-A158-49C0-88A8-0C8F04C1630C}"/>
    <cellStyle name="Normal 3 2 2 18 2 6" xfId="23910" xr:uid="{7AFDE478-058B-49F8-8970-E2F27B21BBB1}"/>
    <cellStyle name="Normal 3 2 2 18 2 7" xfId="23911" xr:uid="{5E47A75F-13F9-4F58-A8DB-722A2D842DC5}"/>
    <cellStyle name="Normal 3 2 2 18 3" xfId="23912" xr:uid="{076F0263-C3F7-4CCD-A7BE-4C2A42583574}"/>
    <cellStyle name="Normal 3 2 2 18 3 2" xfId="23913" xr:uid="{B8C67B68-F7BF-46DF-BCBE-5099B3F6E705}"/>
    <cellStyle name="Normal 3 2 2 18 3 3" xfId="23914" xr:uid="{6480D228-DE0D-465D-B885-03F3DC3AADA3}"/>
    <cellStyle name="Normal 3 2 2 18 3 4" xfId="23915" xr:uid="{4D855E77-E08E-4A28-A2B5-FA1706BBB9B2}"/>
    <cellStyle name="Normal 3 2 2 18 3 5" xfId="23916" xr:uid="{4A2CB46F-4FA7-41C8-959B-7439B9ED51A1}"/>
    <cellStyle name="Normal 3 2 2 18 3 6" xfId="23917" xr:uid="{DE7DEC79-D1B4-42E0-BE01-CDFCB7A29DDA}"/>
    <cellStyle name="Normal 3 2 2 18 4" xfId="23918" xr:uid="{18018E56-F76E-46D9-A18A-4D7F3F4140C0}"/>
    <cellStyle name="Normal 3 2 2 18 4 2" xfId="23919" xr:uid="{C40FD43A-C551-4E48-9655-9CE082C23BE7}"/>
    <cellStyle name="Normal 3 2 2 18 4 3" xfId="23920" xr:uid="{E8F16ED4-C60D-445F-9E34-F1D1064CB5E1}"/>
    <cellStyle name="Normal 3 2 2 18 4 4" xfId="23921" xr:uid="{31474FAC-CB9D-406F-B627-0ABB50505E1F}"/>
    <cellStyle name="Normal 3 2 2 18 4 5" xfId="23922" xr:uid="{9522C68C-799A-4353-B2C1-BF5FEE6FA4E9}"/>
    <cellStyle name="Normal 3 2 2 18 4 6" xfId="23923" xr:uid="{85F16A01-5E41-4E7B-8DD2-95013FC14084}"/>
    <cellStyle name="Normal 3 2 2 18 5" xfId="23924" xr:uid="{5B563613-B695-4A30-9F4D-AD113682FCAD}"/>
    <cellStyle name="Normal 3 2 2 18 5 2" xfId="23925" xr:uid="{33149E77-79D3-457A-B283-5595A0895FA6}"/>
    <cellStyle name="Normal 3 2 2 18 5 3" xfId="23926" xr:uid="{E28F9618-8B0A-40FD-AD7C-C19E209AA2CE}"/>
    <cellStyle name="Normal 3 2 2 18 5 4" xfId="23927" xr:uid="{6BCCBA8D-819E-4175-9110-EDF3D8D25148}"/>
    <cellStyle name="Normal 3 2 2 18 5 5" xfId="23928" xr:uid="{1B2C45CB-F9FA-4C8D-93AD-0D50DA515F5A}"/>
    <cellStyle name="Normal 3 2 2 18 5 6" xfId="23929" xr:uid="{453DC079-E312-4D2F-B8EF-7BF67DD64119}"/>
    <cellStyle name="Normal 3 2 2 18 6" xfId="23930" xr:uid="{184F0C3C-DBD2-4CAE-8AE3-CF7B8A2F233A}"/>
    <cellStyle name="Normal 3 2 2 18 6 2" xfId="23931" xr:uid="{62F3B74D-2A14-4ABB-B08C-D2EC546771DB}"/>
    <cellStyle name="Normal 3 2 2 18 6 3" xfId="23932" xr:uid="{3EE6ABE0-DFFB-45DB-8BD4-86952FC8260B}"/>
    <cellStyle name="Normal 3 2 2 18 6 4" xfId="23933" xr:uid="{66D3396F-B8FB-4E6E-8E7B-1DF8079A3245}"/>
    <cellStyle name="Normal 3 2 2 18 6 5" xfId="23934" xr:uid="{CCFE1D2B-A262-4807-A731-EEEF68E2C69D}"/>
    <cellStyle name="Normal 3 2 2 18 6 6" xfId="23935" xr:uid="{6A055338-9538-44FE-954C-A6182D20710F}"/>
    <cellStyle name="Normal 3 2 2 19" xfId="23936" xr:uid="{600592B9-A140-449A-B75B-AC3C27A13B0D}"/>
    <cellStyle name="Normal 3 2 2 19 2" xfId="23937" xr:uid="{6D2675E5-68F8-465D-8CC1-DE02EB984A78}"/>
    <cellStyle name="Normal 3 2 2 19 2 2" xfId="23938" xr:uid="{94E52AD3-5550-47B3-8622-E28D31138CEF}"/>
    <cellStyle name="Normal 3 2 2 19 2 3" xfId="23939" xr:uid="{6686037A-964F-459E-96A6-AADC04AE5C5D}"/>
    <cellStyle name="Normal 3 2 2 19 2 4" xfId="23940" xr:uid="{1F7924B7-6C04-4CB4-8988-11E531010422}"/>
    <cellStyle name="Normal 3 2 2 19 2 5" xfId="23941" xr:uid="{91AA2503-F78F-4394-80C4-275AD3A25AF9}"/>
    <cellStyle name="Normal 3 2 2 19 2 6" xfId="23942" xr:uid="{9BD80DD6-3070-4884-B1F4-4809CEA7A92C}"/>
    <cellStyle name="Normal 3 2 2 19 2 7" xfId="23943" xr:uid="{E093F512-E207-4DBD-A53F-A93C4176D9C7}"/>
    <cellStyle name="Normal 3 2 2 2" xfId="23944" xr:uid="{389E024C-F870-49A2-9078-D2E2559E8F7F}"/>
    <cellStyle name="Normal 3 2 2 2 10" xfId="23945" xr:uid="{6A9D56DA-3153-41E9-808D-F68C0E6005A8}"/>
    <cellStyle name="Normal 3 2 2 2 10 10" xfId="23946" xr:uid="{1A213462-FBAD-464A-A8D8-32259AEF552C}"/>
    <cellStyle name="Normal 3 2 2 2 10 11" xfId="23947" xr:uid="{B64F9A6D-108C-47D3-BCFF-8BECA9866EC8}"/>
    <cellStyle name="Normal 3 2 2 2 10 2" xfId="23948" xr:uid="{EDDFE251-21B8-4F4D-B0FC-C7AC55990CE3}"/>
    <cellStyle name="Normal 3 2 2 2 10 2 2" xfId="23949" xr:uid="{6195101F-818F-40F2-9F93-24432D1D5B96}"/>
    <cellStyle name="Normal 3 2 2 2 10 2 3" xfId="23950" xr:uid="{5C8DEB19-9B07-46E4-BD54-07C67E6C436A}"/>
    <cellStyle name="Normal 3 2 2 2 10 2 4" xfId="23951" xr:uid="{AE6AE5D0-A633-4B2A-988A-D829266EE286}"/>
    <cellStyle name="Normal 3 2 2 2 10 2 5" xfId="23952" xr:uid="{F7BC928D-17DC-4C42-8412-228DB46C4712}"/>
    <cellStyle name="Normal 3 2 2 2 10 2 6" xfId="23953" xr:uid="{FDAA25EB-BCEF-4A7E-82CA-2F1E43456181}"/>
    <cellStyle name="Normal 3 2 2 2 10 3" xfId="23954" xr:uid="{40B13A97-B020-49D6-96B3-C4199C0F378E}"/>
    <cellStyle name="Normal 3 2 2 2 10 3 2" xfId="23955" xr:uid="{D1BCEDE5-A6BD-413F-B61C-A96AB0B40D7D}"/>
    <cellStyle name="Normal 3 2 2 2 10 3 3" xfId="23956" xr:uid="{2AFE1C13-B980-4021-A283-F36ACD28687C}"/>
    <cellStyle name="Normal 3 2 2 2 10 3 4" xfId="23957" xr:uid="{74F35023-66BB-4881-9B1C-57E290F21F92}"/>
    <cellStyle name="Normal 3 2 2 2 10 3 5" xfId="23958" xr:uid="{C48DCED9-FF91-4234-8C07-130991665A5F}"/>
    <cellStyle name="Normal 3 2 2 2 10 3 6" xfId="23959" xr:uid="{A67D36FB-1D91-4564-BB0A-BAEFB9B9E2EF}"/>
    <cellStyle name="Normal 3 2 2 2 10 4" xfId="23960" xr:uid="{1FFC2B7E-F031-4140-B75B-44A5E326D87F}"/>
    <cellStyle name="Normal 3 2 2 2 10 4 2" xfId="23961" xr:uid="{8E8A43C3-C9BB-4595-A69C-E700A40B3CE6}"/>
    <cellStyle name="Normal 3 2 2 2 10 4 3" xfId="23962" xr:uid="{094D0F6C-7008-455C-9D00-E7747F096612}"/>
    <cellStyle name="Normal 3 2 2 2 10 4 4" xfId="23963" xr:uid="{FC13E0D6-672A-4F78-9B79-8B1A0998D134}"/>
    <cellStyle name="Normal 3 2 2 2 10 4 5" xfId="23964" xr:uid="{505A2E58-D449-49FD-BB01-3BDC3ED2504D}"/>
    <cellStyle name="Normal 3 2 2 2 10 4 6" xfId="23965" xr:uid="{DFC58407-BD49-41E5-9108-AF31BC426BCA}"/>
    <cellStyle name="Normal 3 2 2 2 10 5" xfId="23966" xr:uid="{B7450D78-43B2-41E9-8B2B-7E54848293FA}"/>
    <cellStyle name="Normal 3 2 2 2 10 5 2" xfId="23967" xr:uid="{05AE5BD5-D32E-484C-87CC-160DD56B1C38}"/>
    <cellStyle name="Normal 3 2 2 2 10 5 3" xfId="23968" xr:uid="{53D2A91C-3355-4396-806B-DB485AFF4265}"/>
    <cellStyle name="Normal 3 2 2 2 10 5 4" xfId="23969" xr:uid="{1FA1D428-6AD7-48F5-B901-A22F10299104}"/>
    <cellStyle name="Normal 3 2 2 2 10 5 5" xfId="23970" xr:uid="{8479000B-0D13-4958-826D-C130328CF994}"/>
    <cellStyle name="Normal 3 2 2 2 10 5 6" xfId="23971" xr:uid="{FC83E61E-C3F3-42B1-B451-BAA2497BF661}"/>
    <cellStyle name="Normal 3 2 2 2 10 6" xfId="23972" xr:uid="{279DAA44-DE14-46A3-AE9B-99E07B83B81F}"/>
    <cellStyle name="Normal 3 2 2 2 10 6 2" xfId="23973" xr:uid="{D5AC3633-635E-4C99-9EF0-FD15DC75B367}"/>
    <cellStyle name="Normal 3 2 2 2 10 6 3" xfId="23974" xr:uid="{6E372D6A-B56E-4FF9-8973-CBA51D7D7866}"/>
    <cellStyle name="Normal 3 2 2 2 10 6 4" xfId="23975" xr:uid="{52C8FD0A-CB34-4C60-80C9-1E6680A6EBA0}"/>
    <cellStyle name="Normal 3 2 2 2 10 6 5" xfId="23976" xr:uid="{8E2FF77C-D69C-413D-A495-74A2C43E2D35}"/>
    <cellStyle name="Normal 3 2 2 2 10 6 6" xfId="23977" xr:uid="{694914F9-F76B-4C5E-818B-C77F4484E2B6}"/>
    <cellStyle name="Normal 3 2 2 2 10 7" xfId="23978" xr:uid="{D08B1867-4031-41BF-9AB2-FE38AC226612}"/>
    <cellStyle name="Normal 3 2 2 2 10 8" xfId="23979" xr:uid="{AD2219DB-7168-45CF-B06E-2CEDA5E4355C}"/>
    <cellStyle name="Normal 3 2 2 2 10 9" xfId="23980" xr:uid="{2173BE24-9882-464E-94BA-EEB876D55418}"/>
    <cellStyle name="Normal 3 2 2 2 11" xfId="23981" xr:uid="{DA40EE1A-609E-46B3-86E2-455DC788784F}"/>
    <cellStyle name="Normal 3 2 2 2 11 10" xfId="23982" xr:uid="{D983ED1A-CB2A-4DA7-9AED-5A3BEF5FA0B0}"/>
    <cellStyle name="Normal 3 2 2 2 11 11" xfId="23983" xr:uid="{40D291B9-642B-431C-B466-0DAC565C5774}"/>
    <cellStyle name="Normal 3 2 2 2 11 2" xfId="23984" xr:uid="{8A451126-3DD6-4642-9808-1CFF00D43507}"/>
    <cellStyle name="Normal 3 2 2 2 11 2 2" xfId="23985" xr:uid="{40740D1A-56F0-4D0D-9B08-561CD55D1D00}"/>
    <cellStyle name="Normal 3 2 2 2 11 2 3" xfId="23986" xr:uid="{333D00F6-6856-47F9-908C-BFF226963600}"/>
    <cellStyle name="Normal 3 2 2 2 11 2 4" xfId="23987" xr:uid="{4768519B-C3A5-4B98-AF43-D9712854E0AD}"/>
    <cellStyle name="Normal 3 2 2 2 11 2 5" xfId="23988" xr:uid="{69D91E24-BD8F-4F22-B0A3-E9F39E92438F}"/>
    <cellStyle name="Normal 3 2 2 2 11 2 6" xfId="23989" xr:uid="{339B471D-BE55-417E-92D1-1ED555AB0026}"/>
    <cellStyle name="Normal 3 2 2 2 11 3" xfId="23990" xr:uid="{0180CE57-6483-4C93-ADA5-B44A350EE3B9}"/>
    <cellStyle name="Normal 3 2 2 2 11 3 2" xfId="23991" xr:uid="{C96ED986-3E60-42FB-B777-26FD966FBE5F}"/>
    <cellStyle name="Normal 3 2 2 2 11 3 3" xfId="23992" xr:uid="{E9FCA3DF-8A5B-4C17-BC24-3A0A116F435C}"/>
    <cellStyle name="Normal 3 2 2 2 11 3 4" xfId="23993" xr:uid="{5F405E29-3C38-49F8-804A-44C6388528E0}"/>
    <cellStyle name="Normal 3 2 2 2 11 3 5" xfId="23994" xr:uid="{9B8C9EC0-CADF-4797-9BA7-2EE6893CE5AA}"/>
    <cellStyle name="Normal 3 2 2 2 11 3 6" xfId="23995" xr:uid="{F26467BD-B1DC-49BD-95BB-AC0934F07899}"/>
    <cellStyle name="Normal 3 2 2 2 11 4" xfId="23996" xr:uid="{A7C08184-7712-4958-94EF-5E0DBD2E198F}"/>
    <cellStyle name="Normal 3 2 2 2 11 4 2" xfId="23997" xr:uid="{E8B5DFAD-EBA8-4319-8FB9-B802A3955FCB}"/>
    <cellStyle name="Normal 3 2 2 2 11 4 3" xfId="23998" xr:uid="{760E3E45-0D9B-46A1-8BDD-3E405EF93680}"/>
    <cellStyle name="Normal 3 2 2 2 11 4 4" xfId="23999" xr:uid="{28F5893E-DBC2-4182-9C1E-0CD3DC9E4081}"/>
    <cellStyle name="Normal 3 2 2 2 11 4 5" xfId="24000" xr:uid="{7B81DF92-1D12-46C0-893C-8647B3CBEB9B}"/>
    <cellStyle name="Normal 3 2 2 2 11 4 6" xfId="24001" xr:uid="{3BA23751-693A-4AAA-80B4-212673F993C9}"/>
    <cellStyle name="Normal 3 2 2 2 11 5" xfId="24002" xr:uid="{D3FCED4A-F0F8-4738-9F2A-32371DD1F3BA}"/>
    <cellStyle name="Normal 3 2 2 2 11 5 2" xfId="24003" xr:uid="{61D8D4E0-0D72-45ED-BBD7-8BCF2FC83A2A}"/>
    <cellStyle name="Normal 3 2 2 2 11 5 3" xfId="24004" xr:uid="{B5B5F05B-6534-48AA-B85D-3D4CC3B45249}"/>
    <cellStyle name="Normal 3 2 2 2 11 5 4" xfId="24005" xr:uid="{CCCEC265-F3CE-4E42-A666-33A0096598BF}"/>
    <cellStyle name="Normal 3 2 2 2 11 5 5" xfId="24006" xr:uid="{498FADEF-4170-452C-8BCC-D6092AE6932C}"/>
    <cellStyle name="Normal 3 2 2 2 11 5 6" xfId="24007" xr:uid="{0F10355F-E480-4B48-A0A3-92D71B0056E0}"/>
    <cellStyle name="Normal 3 2 2 2 11 6" xfId="24008" xr:uid="{54448086-1275-44B5-962F-DB6988BA549F}"/>
    <cellStyle name="Normal 3 2 2 2 11 6 2" xfId="24009" xr:uid="{B868D769-7055-415A-B351-8D01BB0A5D02}"/>
    <cellStyle name="Normal 3 2 2 2 11 6 3" xfId="24010" xr:uid="{8DD1D169-8249-4ABB-B7E1-DECE8636BECD}"/>
    <cellStyle name="Normal 3 2 2 2 11 6 4" xfId="24011" xr:uid="{07B92524-974A-4BAC-84EF-EEB10EFFBCAD}"/>
    <cellStyle name="Normal 3 2 2 2 11 6 5" xfId="24012" xr:uid="{CA6A8953-3111-4775-B818-B1E1646243FE}"/>
    <cellStyle name="Normal 3 2 2 2 11 6 6" xfId="24013" xr:uid="{1E1118B3-B221-4BE0-A33F-7B03076A1D2A}"/>
    <cellStyle name="Normal 3 2 2 2 11 7" xfId="24014" xr:uid="{57546D41-3667-4131-AC3F-8844C9D568B1}"/>
    <cellStyle name="Normal 3 2 2 2 11 8" xfId="24015" xr:uid="{5FCDEE29-59AF-4B3C-9474-DF626319FD28}"/>
    <cellStyle name="Normal 3 2 2 2 11 9" xfId="24016" xr:uid="{C646C9BF-1A28-4812-B1CB-09692A73D507}"/>
    <cellStyle name="Normal 3 2 2 2 12" xfId="24017" xr:uid="{6AB31ACE-B347-4DC8-9DB9-859C6CD6DA66}"/>
    <cellStyle name="Normal 3 2 2 2 12 10" xfId="24018" xr:uid="{CD90F0CF-6C4E-4198-97D4-917373DA8BFC}"/>
    <cellStyle name="Normal 3 2 2 2 12 11" xfId="24019" xr:uid="{16B6248D-72FF-44D8-805A-3B6BC15F7446}"/>
    <cellStyle name="Normal 3 2 2 2 12 2" xfId="24020" xr:uid="{8CE760D9-8E51-4169-97C2-AC452B4DE75B}"/>
    <cellStyle name="Normal 3 2 2 2 12 2 2" xfId="24021" xr:uid="{89A446F7-0FBA-4530-8C72-3B8D03A965AD}"/>
    <cellStyle name="Normal 3 2 2 2 12 2 3" xfId="24022" xr:uid="{9684AE25-CD65-415C-8E6F-6EA6B5D75266}"/>
    <cellStyle name="Normal 3 2 2 2 12 2 4" xfId="24023" xr:uid="{B1E7D776-31BF-47DA-8FCB-D32FD801F079}"/>
    <cellStyle name="Normal 3 2 2 2 12 2 5" xfId="24024" xr:uid="{A04161E4-2833-48A3-ADC4-55C61E53DD23}"/>
    <cellStyle name="Normal 3 2 2 2 12 2 6" xfId="24025" xr:uid="{106B73AA-9892-4C42-B247-54363E7423BE}"/>
    <cellStyle name="Normal 3 2 2 2 12 3" xfId="24026" xr:uid="{AD4A6CE4-D0C5-4627-AAD9-C246022A0B4F}"/>
    <cellStyle name="Normal 3 2 2 2 12 3 2" xfId="24027" xr:uid="{3F54EB2F-7E04-4662-8220-70514246CBCF}"/>
    <cellStyle name="Normal 3 2 2 2 12 3 3" xfId="24028" xr:uid="{90CF9480-1030-4BC2-9E36-E2A3DBE7E79E}"/>
    <cellStyle name="Normal 3 2 2 2 12 3 4" xfId="24029" xr:uid="{04FA8CF3-126C-43C4-AE66-9EBE6F90E771}"/>
    <cellStyle name="Normal 3 2 2 2 12 3 5" xfId="24030" xr:uid="{F8354129-ECE5-4567-9F73-1EF9FE935EA3}"/>
    <cellStyle name="Normal 3 2 2 2 12 3 6" xfId="24031" xr:uid="{0ECCEF17-A6D2-4323-91E8-F79380A68FD0}"/>
    <cellStyle name="Normal 3 2 2 2 12 4" xfId="24032" xr:uid="{E999B86B-2145-4648-88FB-1CF3CBB159FF}"/>
    <cellStyle name="Normal 3 2 2 2 12 4 2" xfId="24033" xr:uid="{837796DF-31BB-486B-A061-2DC6D791ECBB}"/>
    <cellStyle name="Normal 3 2 2 2 12 4 3" xfId="24034" xr:uid="{2B52FBCD-9249-4A3E-8D07-A591D2C6CE4D}"/>
    <cellStyle name="Normal 3 2 2 2 12 4 4" xfId="24035" xr:uid="{38C2226E-8215-47C4-9279-9F537F617B0C}"/>
    <cellStyle name="Normal 3 2 2 2 12 4 5" xfId="24036" xr:uid="{537FAA1D-7539-4FD5-A370-469F571773AC}"/>
    <cellStyle name="Normal 3 2 2 2 12 4 6" xfId="24037" xr:uid="{F814D357-D0CB-4E4A-89FA-445F9DD18490}"/>
    <cellStyle name="Normal 3 2 2 2 12 5" xfId="24038" xr:uid="{0BD2F42B-B2C1-40EF-8C55-380F81523963}"/>
    <cellStyle name="Normal 3 2 2 2 12 5 2" xfId="24039" xr:uid="{F9F9247A-54D7-47C4-9377-8350D98EABA8}"/>
    <cellStyle name="Normal 3 2 2 2 12 5 3" xfId="24040" xr:uid="{3D9BE01F-E23E-4AB9-AC84-CD7EF194FFEF}"/>
    <cellStyle name="Normal 3 2 2 2 12 5 4" xfId="24041" xr:uid="{B140399B-E1C8-459B-814C-20D258B019FA}"/>
    <cellStyle name="Normal 3 2 2 2 12 5 5" xfId="24042" xr:uid="{7A407976-3A76-48F0-95DD-FEE6041D65AB}"/>
    <cellStyle name="Normal 3 2 2 2 12 5 6" xfId="24043" xr:uid="{55125A36-719F-42DA-AEF0-CBD13A11A599}"/>
    <cellStyle name="Normal 3 2 2 2 12 6" xfId="24044" xr:uid="{B5B85897-0A34-4A3F-B383-99FBCC009E40}"/>
    <cellStyle name="Normal 3 2 2 2 12 6 2" xfId="24045" xr:uid="{962E24CC-DB80-4B7E-9E84-2725B42CF3D7}"/>
    <cellStyle name="Normal 3 2 2 2 12 6 3" xfId="24046" xr:uid="{D6321B37-BE03-45B3-AFDF-4881F15E99BE}"/>
    <cellStyle name="Normal 3 2 2 2 12 6 4" xfId="24047" xr:uid="{063797B9-E615-4468-8F03-AAB503EF0E86}"/>
    <cellStyle name="Normal 3 2 2 2 12 6 5" xfId="24048" xr:uid="{87B90341-38BD-4B40-BF5B-3EE388C9413E}"/>
    <cellStyle name="Normal 3 2 2 2 12 6 6" xfId="24049" xr:uid="{130BB247-87B4-4399-AF28-0E617A0C5457}"/>
    <cellStyle name="Normal 3 2 2 2 12 7" xfId="24050" xr:uid="{F7527156-73D1-4CCA-8215-AECFE815E2D7}"/>
    <cellStyle name="Normal 3 2 2 2 12 8" xfId="24051" xr:uid="{8043C866-DF18-4815-B800-CCB1181305C5}"/>
    <cellStyle name="Normal 3 2 2 2 12 9" xfId="24052" xr:uid="{09C72FFF-212B-47D1-B475-45A36D8C1793}"/>
    <cellStyle name="Normal 3 2 2 2 13" xfId="24053" xr:uid="{39CFE6A2-320B-4CA6-BF6F-CC3BB20E8942}"/>
    <cellStyle name="Normal 3 2 2 2 13 10" xfId="24054" xr:uid="{11F898B5-4561-45B6-A427-321B1B023C1E}"/>
    <cellStyle name="Normal 3 2 2 2 13 11" xfId="24055" xr:uid="{76B11289-6349-4438-868A-BA621BA36E03}"/>
    <cellStyle name="Normal 3 2 2 2 13 2" xfId="24056" xr:uid="{A3E945DD-0D20-4D68-90FE-20F08B2F59D6}"/>
    <cellStyle name="Normal 3 2 2 2 13 2 2" xfId="24057" xr:uid="{3F827FB9-B5CC-43EB-B618-835A5748BFF6}"/>
    <cellStyle name="Normal 3 2 2 2 13 2 3" xfId="24058" xr:uid="{A042B8D5-96F3-4FD5-941B-4B9A7E009459}"/>
    <cellStyle name="Normal 3 2 2 2 13 2 4" xfId="24059" xr:uid="{9C947D28-B8B6-4CF3-8882-ED18DBD659E7}"/>
    <cellStyle name="Normal 3 2 2 2 13 2 5" xfId="24060" xr:uid="{760B0006-2167-424A-8845-8D16CCB4E843}"/>
    <cellStyle name="Normal 3 2 2 2 13 2 6" xfId="24061" xr:uid="{5638AAAE-B1D2-4216-B705-1118F94FA806}"/>
    <cellStyle name="Normal 3 2 2 2 13 3" xfId="24062" xr:uid="{DCBA12C9-BF24-448C-8ED7-B6DFCB8A2D07}"/>
    <cellStyle name="Normal 3 2 2 2 13 3 2" xfId="24063" xr:uid="{A76D7E31-2F91-40F1-BC0B-79B6E4411668}"/>
    <cellStyle name="Normal 3 2 2 2 13 3 3" xfId="24064" xr:uid="{10F67545-DC3C-481D-85C1-3C92A09A0FA2}"/>
    <cellStyle name="Normal 3 2 2 2 13 3 4" xfId="24065" xr:uid="{C9B12E99-2D71-4A6F-80E5-9FDBB4B61076}"/>
    <cellStyle name="Normal 3 2 2 2 13 3 5" xfId="24066" xr:uid="{9639A813-5636-4167-9F09-FE51AA6FBEDA}"/>
    <cellStyle name="Normal 3 2 2 2 13 3 6" xfId="24067" xr:uid="{31147EA9-A9F2-412C-BFB1-115B8B3C8589}"/>
    <cellStyle name="Normal 3 2 2 2 13 4" xfId="24068" xr:uid="{5A124891-D3F2-4B86-9B7E-FF632189F1C5}"/>
    <cellStyle name="Normal 3 2 2 2 13 4 2" xfId="24069" xr:uid="{71E7A2F5-B76A-436F-BAAC-030664E9C5BC}"/>
    <cellStyle name="Normal 3 2 2 2 13 4 3" xfId="24070" xr:uid="{92D5C7AB-B32C-4AC5-B66A-8209AB41AB43}"/>
    <cellStyle name="Normal 3 2 2 2 13 4 4" xfId="24071" xr:uid="{83EC7E4F-84FF-448A-BC58-DB15C4194F08}"/>
    <cellStyle name="Normal 3 2 2 2 13 4 5" xfId="24072" xr:uid="{14CB06F1-7040-447C-A54C-E08EB0E58A84}"/>
    <cellStyle name="Normal 3 2 2 2 13 4 6" xfId="24073" xr:uid="{53C08949-F21C-415E-97EC-0E949350DBD3}"/>
    <cellStyle name="Normal 3 2 2 2 13 5" xfId="24074" xr:uid="{90221034-13D7-42AD-A1B6-18E45BF03F73}"/>
    <cellStyle name="Normal 3 2 2 2 13 5 2" xfId="24075" xr:uid="{2AA1C73F-B9F1-4939-83AF-6A23832252DE}"/>
    <cellStyle name="Normal 3 2 2 2 13 5 3" xfId="24076" xr:uid="{989FFE12-F17E-4B3B-9FA6-FAF56E23B30C}"/>
    <cellStyle name="Normal 3 2 2 2 13 5 4" xfId="24077" xr:uid="{8558E226-143C-4AC6-96BA-A56B974E43AF}"/>
    <cellStyle name="Normal 3 2 2 2 13 5 5" xfId="24078" xr:uid="{959E5DC5-DE08-4454-897C-85344E18220E}"/>
    <cellStyle name="Normal 3 2 2 2 13 5 6" xfId="24079" xr:uid="{0910C139-237F-4614-A8A8-E3276BCF7BD2}"/>
    <cellStyle name="Normal 3 2 2 2 13 6" xfId="24080" xr:uid="{EB0B3C02-E763-45C7-9216-32960B094D8F}"/>
    <cellStyle name="Normal 3 2 2 2 13 6 2" xfId="24081" xr:uid="{D9272A95-4532-428E-AB94-9791383B433B}"/>
    <cellStyle name="Normal 3 2 2 2 13 6 3" xfId="24082" xr:uid="{ADA676B4-4650-4D01-AF1A-F51D8A544528}"/>
    <cellStyle name="Normal 3 2 2 2 13 6 4" xfId="24083" xr:uid="{4F9689ED-645D-4F6C-9CA4-F27C9EF1AFAB}"/>
    <cellStyle name="Normal 3 2 2 2 13 6 5" xfId="24084" xr:uid="{7B4FC067-C3C1-4E92-9E7E-BBE1754EFB69}"/>
    <cellStyle name="Normal 3 2 2 2 13 6 6" xfId="24085" xr:uid="{49D82975-5959-474D-97C0-E3002ACDEA45}"/>
    <cellStyle name="Normal 3 2 2 2 13 7" xfId="24086" xr:uid="{DCF07976-F54E-430E-A561-4DCD0817E5EC}"/>
    <cellStyle name="Normal 3 2 2 2 13 8" xfId="24087" xr:uid="{C93C61A9-26D9-47AC-96C1-9605EB7EC04D}"/>
    <cellStyle name="Normal 3 2 2 2 13 9" xfId="24088" xr:uid="{F4F64203-B01C-4183-B343-8BC49A67A176}"/>
    <cellStyle name="Normal 3 2 2 2 14" xfId="24089" xr:uid="{2DF4C678-10A5-485D-9017-D8286651AB2A}"/>
    <cellStyle name="Normal 3 2 2 2 14 10" xfId="24090" xr:uid="{49002432-FD4D-4233-A6C5-BDEF58B2E167}"/>
    <cellStyle name="Normal 3 2 2 2 14 11" xfId="24091" xr:uid="{CBC6DA8B-5C00-4A4F-86E1-1C34F56E177F}"/>
    <cellStyle name="Normal 3 2 2 2 14 2" xfId="24092" xr:uid="{3548F6A2-AAE8-43DD-99D8-C015446C3C34}"/>
    <cellStyle name="Normal 3 2 2 2 14 2 2" xfId="24093" xr:uid="{817F3FFD-0BEA-493D-A6DE-A25B95860A8D}"/>
    <cellStyle name="Normal 3 2 2 2 14 2 3" xfId="24094" xr:uid="{137C679A-7F90-4CD0-91C5-E970C882B4E8}"/>
    <cellStyle name="Normal 3 2 2 2 14 2 4" xfId="24095" xr:uid="{7B76D68A-6328-46FC-B50F-E0EAC3DCD1FC}"/>
    <cellStyle name="Normal 3 2 2 2 14 2 5" xfId="24096" xr:uid="{A0187BF5-8A67-437E-804D-F956AF89202B}"/>
    <cellStyle name="Normal 3 2 2 2 14 2 6" xfId="24097" xr:uid="{3047582E-0BFA-478A-BD10-DF0BD403E250}"/>
    <cellStyle name="Normal 3 2 2 2 14 3" xfId="24098" xr:uid="{F857D894-3737-4686-8364-69496BA56B8F}"/>
    <cellStyle name="Normal 3 2 2 2 14 3 2" xfId="24099" xr:uid="{4CAAEC42-93A4-487D-BFF4-1F538E49F08A}"/>
    <cellStyle name="Normal 3 2 2 2 14 3 3" xfId="24100" xr:uid="{D585A5E2-0BC9-424F-AEAD-E343CC29A2BE}"/>
    <cellStyle name="Normal 3 2 2 2 14 3 4" xfId="24101" xr:uid="{6862BB40-0E91-44F6-8722-FB8D05ECE563}"/>
    <cellStyle name="Normal 3 2 2 2 14 3 5" xfId="24102" xr:uid="{856E3C2B-ACB2-4133-B6BB-A7E43C2C04C6}"/>
    <cellStyle name="Normal 3 2 2 2 14 3 6" xfId="24103" xr:uid="{1A01936A-6422-4AE0-BC52-EF0440DCEE77}"/>
    <cellStyle name="Normal 3 2 2 2 14 4" xfId="24104" xr:uid="{2F134580-8C57-4E79-8747-28B3FFBCC8A9}"/>
    <cellStyle name="Normal 3 2 2 2 14 4 2" xfId="24105" xr:uid="{E8E7B41F-1735-4645-8445-480B058DE321}"/>
    <cellStyle name="Normal 3 2 2 2 14 4 3" xfId="24106" xr:uid="{67FD2F95-FF0C-4C4B-86C1-447F0EB5864F}"/>
    <cellStyle name="Normal 3 2 2 2 14 4 4" xfId="24107" xr:uid="{4D0B6529-5F06-4DA8-AABD-122C28992469}"/>
    <cellStyle name="Normal 3 2 2 2 14 4 5" xfId="24108" xr:uid="{F5778A37-C885-4479-A5D0-C1F35F94A09D}"/>
    <cellStyle name="Normal 3 2 2 2 14 4 6" xfId="24109" xr:uid="{51E393A4-2500-4A12-A30D-4B2CB9F2204F}"/>
    <cellStyle name="Normal 3 2 2 2 14 5" xfId="24110" xr:uid="{FA5BE5BF-F6FE-48A0-87EA-23451ADA1A91}"/>
    <cellStyle name="Normal 3 2 2 2 14 5 2" xfId="24111" xr:uid="{34534EFA-BE30-4964-9340-3DBEA42F57F5}"/>
    <cellStyle name="Normal 3 2 2 2 14 5 3" xfId="24112" xr:uid="{06AF2A48-5DFE-42A2-B2CD-65E7756A11BF}"/>
    <cellStyle name="Normal 3 2 2 2 14 5 4" xfId="24113" xr:uid="{E33469DD-EB6A-4137-BA48-C67AD1D06BA7}"/>
    <cellStyle name="Normal 3 2 2 2 14 5 5" xfId="24114" xr:uid="{E4855861-2F93-4FE6-8242-5A08F893F98E}"/>
    <cellStyle name="Normal 3 2 2 2 14 5 6" xfId="24115" xr:uid="{309596B5-0E59-43B2-B544-EE7D8693D174}"/>
    <cellStyle name="Normal 3 2 2 2 14 6" xfId="24116" xr:uid="{32C2617F-B565-4483-A7A5-F00DC4D6D053}"/>
    <cellStyle name="Normal 3 2 2 2 14 6 2" xfId="24117" xr:uid="{02016CEA-E72E-4769-B23F-E6E13238DCDD}"/>
    <cellStyle name="Normal 3 2 2 2 14 6 3" xfId="24118" xr:uid="{3AA5513C-CBE8-4E3F-BAE6-412753353CBA}"/>
    <cellStyle name="Normal 3 2 2 2 14 6 4" xfId="24119" xr:uid="{2EA9392E-DF5A-495A-9B46-CF51702F43BC}"/>
    <cellStyle name="Normal 3 2 2 2 14 6 5" xfId="24120" xr:uid="{91354DE2-D84A-44A8-8D58-334D6B064436}"/>
    <cellStyle name="Normal 3 2 2 2 14 6 6" xfId="24121" xr:uid="{15AD2D1D-9ADE-4E36-ABBE-6AEA78E17C01}"/>
    <cellStyle name="Normal 3 2 2 2 14 7" xfId="24122" xr:uid="{BA9BD1C6-4155-46CC-B657-E4365A9F4CA0}"/>
    <cellStyle name="Normal 3 2 2 2 14 8" xfId="24123" xr:uid="{5609F8E6-3F9F-42B1-AC14-6650194CA832}"/>
    <cellStyle name="Normal 3 2 2 2 14 9" xfId="24124" xr:uid="{EAB3C6E1-9C3D-499F-9228-2C56AF301838}"/>
    <cellStyle name="Normal 3 2 2 2 15" xfId="24125" xr:uid="{5874F1C6-85D8-490E-A024-130E47332F94}"/>
    <cellStyle name="Normal 3 2 2 2 15 10" xfId="24126" xr:uid="{6705F4B6-7D7D-4AB8-973E-BF3538B459BB}"/>
    <cellStyle name="Normal 3 2 2 2 15 11" xfId="24127" xr:uid="{D7B93347-1E48-4A4A-9465-FF8B97A0268B}"/>
    <cellStyle name="Normal 3 2 2 2 15 2" xfId="24128" xr:uid="{8BB223BF-53C6-449D-B68F-B9D9BD9865E2}"/>
    <cellStyle name="Normal 3 2 2 2 15 2 2" xfId="24129" xr:uid="{960B2F52-CBFB-4224-AFAA-0B02B63B80A4}"/>
    <cellStyle name="Normal 3 2 2 2 15 2 3" xfId="24130" xr:uid="{7C87DA00-3031-46E9-9093-42AB7AF15E6F}"/>
    <cellStyle name="Normal 3 2 2 2 15 2 4" xfId="24131" xr:uid="{0253CEC7-94B8-4CB7-8651-EBC245E14FDA}"/>
    <cellStyle name="Normal 3 2 2 2 15 2 5" xfId="24132" xr:uid="{F55C3865-D98F-4EF9-A4D7-B6873EA762DF}"/>
    <cellStyle name="Normal 3 2 2 2 15 2 6" xfId="24133" xr:uid="{394B9B97-97C0-49E2-8E3F-73EFD3C0FE53}"/>
    <cellStyle name="Normal 3 2 2 2 15 3" xfId="24134" xr:uid="{6D3EB1CE-8761-4B33-87C6-F3A892D4FBFA}"/>
    <cellStyle name="Normal 3 2 2 2 15 3 2" xfId="24135" xr:uid="{904D3867-F059-4B37-AF6A-530A41B5CD8C}"/>
    <cellStyle name="Normal 3 2 2 2 15 3 3" xfId="24136" xr:uid="{61E76243-BE3B-457E-9EA2-DE7B67206F76}"/>
    <cellStyle name="Normal 3 2 2 2 15 3 4" xfId="24137" xr:uid="{90385C7B-EE39-4DB3-809D-F99E232FF982}"/>
    <cellStyle name="Normal 3 2 2 2 15 3 5" xfId="24138" xr:uid="{E4ADDF43-01F5-4D68-A2D2-3FCE87167854}"/>
    <cellStyle name="Normal 3 2 2 2 15 3 6" xfId="24139" xr:uid="{24B43902-620B-460F-87D4-4F020894F3EE}"/>
    <cellStyle name="Normal 3 2 2 2 15 4" xfId="24140" xr:uid="{2319A791-447E-4172-9010-3B3367701594}"/>
    <cellStyle name="Normal 3 2 2 2 15 4 2" xfId="24141" xr:uid="{3D8BB194-80DF-45F1-99A1-116A3CC33D71}"/>
    <cellStyle name="Normal 3 2 2 2 15 4 3" xfId="24142" xr:uid="{F31D3383-F8DF-4DDC-B537-57D13BCF1E92}"/>
    <cellStyle name="Normal 3 2 2 2 15 4 4" xfId="24143" xr:uid="{023E6974-5F58-41BE-8D08-35F978762C7A}"/>
    <cellStyle name="Normal 3 2 2 2 15 4 5" xfId="24144" xr:uid="{FA2A083D-C2AE-4938-B0D9-37E49F73DC65}"/>
    <cellStyle name="Normal 3 2 2 2 15 4 6" xfId="24145" xr:uid="{EBE6743F-8709-48C0-9B42-47066D219177}"/>
    <cellStyle name="Normal 3 2 2 2 15 5" xfId="24146" xr:uid="{ECB8F732-25C2-42EA-8147-56A07CF1EB30}"/>
    <cellStyle name="Normal 3 2 2 2 15 5 2" xfId="24147" xr:uid="{DFDB96B8-14C6-43C3-A14B-45736D67D23B}"/>
    <cellStyle name="Normal 3 2 2 2 15 5 3" xfId="24148" xr:uid="{C0436839-6A71-4706-8C85-A6B625C4951B}"/>
    <cellStyle name="Normal 3 2 2 2 15 5 4" xfId="24149" xr:uid="{B1142DBF-9C41-4FDA-94A5-CF4082632DDE}"/>
    <cellStyle name="Normal 3 2 2 2 15 5 5" xfId="24150" xr:uid="{53EAA326-3B09-4E92-BD76-DE46435D825A}"/>
    <cellStyle name="Normal 3 2 2 2 15 5 6" xfId="24151" xr:uid="{4A5C50DB-A68F-4D73-9DEB-0CC2FC898209}"/>
    <cellStyle name="Normal 3 2 2 2 15 6" xfId="24152" xr:uid="{C7D0283F-82FD-4266-9F22-17FCBEA9BB06}"/>
    <cellStyle name="Normal 3 2 2 2 15 6 2" xfId="24153" xr:uid="{7ABF0BA1-B1E1-48F3-9699-57BBF52BFD36}"/>
    <cellStyle name="Normal 3 2 2 2 15 6 3" xfId="24154" xr:uid="{B5C29138-4C9A-484A-82ED-BA37D0AF0579}"/>
    <cellStyle name="Normal 3 2 2 2 15 6 4" xfId="24155" xr:uid="{75F22794-D7D9-469D-BFC2-2EE89C9966A8}"/>
    <cellStyle name="Normal 3 2 2 2 15 6 5" xfId="24156" xr:uid="{9885CC0A-E561-42FD-821B-0446F39F76A5}"/>
    <cellStyle name="Normal 3 2 2 2 15 6 6" xfId="24157" xr:uid="{123E7276-CF38-424F-91A3-5B7DA308339F}"/>
    <cellStyle name="Normal 3 2 2 2 15 7" xfId="24158" xr:uid="{27F864FF-126D-4DF6-92B0-DF79E6510CF8}"/>
    <cellStyle name="Normal 3 2 2 2 15 8" xfId="24159" xr:uid="{A4364270-2497-4650-B002-B2E2BC3433FA}"/>
    <cellStyle name="Normal 3 2 2 2 15 9" xfId="24160" xr:uid="{6F8F5BAA-FFD7-4340-95F1-A46D086A2DAA}"/>
    <cellStyle name="Normal 3 2 2 2 16" xfId="24161" xr:uid="{37BE78BC-26E4-45B8-889D-527A22C2FFD4}"/>
    <cellStyle name="Normal 3 2 2 2 16 10" xfId="24162" xr:uid="{2555E3D1-1C21-446B-9C0E-91FF2B8F773A}"/>
    <cellStyle name="Normal 3 2 2 2 16 11" xfId="24163" xr:uid="{93F38D69-3F94-49C6-A7B8-0FCE0439ACBF}"/>
    <cellStyle name="Normal 3 2 2 2 16 2" xfId="24164" xr:uid="{43173F89-7C99-4FF7-8416-AD3C504ECAF0}"/>
    <cellStyle name="Normal 3 2 2 2 16 2 2" xfId="24165" xr:uid="{84F1384F-6516-4052-A704-3B7E4CE0B772}"/>
    <cellStyle name="Normal 3 2 2 2 16 2 3" xfId="24166" xr:uid="{F4DBA8AD-B7ED-45FA-8929-6865601D336B}"/>
    <cellStyle name="Normal 3 2 2 2 16 2 4" xfId="24167" xr:uid="{58AAA182-67E8-4DD0-A7AF-F6C1950C056E}"/>
    <cellStyle name="Normal 3 2 2 2 16 2 5" xfId="24168" xr:uid="{6F4A43A2-FBE5-47D4-8C55-9493E5D25533}"/>
    <cellStyle name="Normal 3 2 2 2 16 2 6" xfId="24169" xr:uid="{2E75BFB4-0251-4610-9B6E-FCA0DAD95582}"/>
    <cellStyle name="Normal 3 2 2 2 16 3" xfId="24170" xr:uid="{11BBAE1A-7FB3-4D2E-88DF-0F6C66E1CC07}"/>
    <cellStyle name="Normal 3 2 2 2 16 3 2" xfId="24171" xr:uid="{AB6FF425-3538-4286-BF32-9A6EF60A5E31}"/>
    <cellStyle name="Normal 3 2 2 2 16 3 3" xfId="24172" xr:uid="{1DC4D62E-FAB9-400D-9809-602B5B2B7C59}"/>
    <cellStyle name="Normal 3 2 2 2 16 3 4" xfId="24173" xr:uid="{73E711D7-0211-4FBE-B699-75B798980639}"/>
    <cellStyle name="Normal 3 2 2 2 16 3 5" xfId="24174" xr:uid="{B3FA7EA6-5F18-46D0-A881-6488813BA25C}"/>
    <cellStyle name="Normal 3 2 2 2 16 3 6" xfId="24175" xr:uid="{9DC83CE8-8CB5-41F4-989E-88DCD407738A}"/>
    <cellStyle name="Normal 3 2 2 2 16 4" xfId="24176" xr:uid="{08AF7969-3915-40C6-883C-1E2BB8574EC1}"/>
    <cellStyle name="Normal 3 2 2 2 16 4 2" xfId="24177" xr:uid="{91D41AB6-B709-4CA7-A59A-DCB6F76481A8}"/>
    <cellStyle name="Normal 3 2 2 2 16 4 3" xfId="24178" xr:uid="{021D5296-6136-47C0-9111-2BCD9C2419B4}"/>
    <cellStyle name="Normal 3 2 2 2 16 4 4" xfId="24179" xr:uid="{819C709D-E288-42F7-B73D-365D621F24BF}"/>
    <cellStyle name="Normal 3 2 2 2 16 4 5" xfId="24180" xr:uid="{313289A7-97EB-45B3-8B2A-EA8EFC627D8A}"/>
    <cellStyle name="Normal 3 2 2 2 16 4 6" xfId="24181" xr:uid="{7C283D53-F2E9-4CCF-A265-EF4F693465BB}"/>
    <cellStyle name="Normal 3 2 2 2 16 5" xfId="24182" xr:uid="{DEBE2F83-BE35-41C6-8800-CA11EEADFF10}"/>
    <cellStyle name="Normal 3 2 2 2 16 5 2" xfId="24183" xr:uid="{91AE38FB-CB82-4A9E-8212-86A92AB7D5D5}"/>
    <cellStyle name="Normal 3 2 2 2 16 5 3" xfId="24184" xr:uid="{F2E902DE-61C1-42E9-ADDB-B533505053DC}"/>
    <cellStyle name="Normal 3 2 2 2 16 5 4" xfId="24185" xr:uid="{8A822EAC-CD9A-44D3-9A71-4B72CCAED077}"/>
    <cellStyle name="Normal 3 2 2 2 16 5 5" xfId="24186" xr:uid="{F91267B3-FCD2-4A91-9D94-244F709D6889}"/>
    <cellStyle name="Normal 3 2 2 2 16 5 6" xfId="24187" xr:uid="{D1E1F53D-E0EC-4280-AF7B-C259424EF166}"/>
    <cellStyle name="Normal 3 2 2 2 16 6" xfId="24188" xr:uid="{83DF07EC-ABE7-48FB-AFF3-8D854BC3BB20}"/>
    <cellStyle name="Normal 3 2 2 2 16 6 2" xfId="24189" xr:uid="{BC2310BC-A627-4EB8-80F9-2E095AED9EB1}"/>
    <cellStyle name="Normal 3 2 2 2 16 6 3" xfId="24190" xr:uid="{5116C0C4-026D-4C85-B1D1-972A7AAA5C15}"/>
    <cellStyle name="Normal 3 2 2 2 16 6 4" xfId="24191" xr:uid="{C3665291-AF74-45AD-B850-5F58E2804896}"/>
    <cellStyle name="Normal 3 2 2 2 16 6 5" xfId="24192" xr:uid="{364CB09F-093A-484B-8A47-EDA466AB5DF8}"/>
    <cellStyle name="Normal 3 2 2 2 16 6 6" xfId="24193" xr:uid="{A14CDF8A-F999-4C37-B418-DE6F5B8EBBA8}"/>
    <cellStyle name="Normal 3 2 2 2 16 7" xfId="24194" xr:uid="{8C91D740-03B4-4E28-9B30-2A1D5F484BAE}"/>
    <cellStyle name="Normal 3 2 2 2 16 8" xfId="24195" xr:uid="{78502C6B-EA17-4BAA-9263-088D0D376301}"/>
    <cellStyle name="Normal 3 2 2 2 16 9" xfId="24196" xr:uid="{AE767DC9-EFA7-4D54-B308-CC93DF8372CF}"/>
    <cellStyle name="Normal 3 2 2 2 17" xfId="24197" xr:uid="{08680D44-721E-43D0-A590-D9863ACAFEB5}"/>
    <cellStyle name="Normal 3 2 2 2 17 10" xfId="24198" xr:uid="{06A63C94-A32C-4A78-B078-F636A90875D7}"/>
    <cellStyle name="Normal 3 2 2 2 17 11" xfId="24199" xr:uid="{B523C412-6155-4681-8FFD-BFC1E1B5E707}"/>
    <cellStyle name="Normal 3 2 2 2 17 2" xfId="24200" xr:uid="{F8CF7451-3335-40A6-B12F-A3D7471D75A6}"/>
    <cellStyle name="Normal 3 2 2 2 17 2 2" xfId="24201" xr:uid="{CEA4CC7C-CC73-4179-A63C-BC6913598283}"/>
    <cellStyle name="Normal 3 2 2 2 17 2 3" xfId="24202" xr:uid="{918AA10D-9EFA-4A71-8E47-9D42F158A909}"/>
    <cellStyle name="Normal 3 2 2 2 17 2 4" xfId="24203" xr:uid="{EC4568C5-5BF3-485D-908E-945DE917A399}"/>
    <cellStyle name="Normal 3 2 2 2 17 2 5" xfId="24204" xr:uid="{AFF7DBF4-3476-4799-A41E-2744824947DC}"/>
    <cellStyle name="Normal 3 2 2 2 17 2 6" xfId="24205" xr:uid="{EFCE52B6-4B6F-4DDB-8393-8A9AF83CD98A}"/>
    <cellStyle name="Normal 3 2 2 2 17 3" xfId="24206" xr:uid="{4D6645D6-29F1-4D1D-9727-EBA73D6A239B}"/>
    <cellStyle name="Normal 3 2 2 2 17 3 2" xfId="24207" xr:uid="{8AC96FCE-58E9-4AF0-B768-73014F07163F}"/>
    <cellStyle name="Normal 3 2 2 2 17 3 3" xfId="24208" xr:uid="{B48B123B-B84A-4213-8A64-732F08E6D763}"/>
    <cellStyle name="Normal 3 2 2 2 17 3 4" xfId="24209" xr:uid="{9B4F2B85-F494-45B0-B903-18903517BE59}"/>
    <cellStyle name="Normal 3 2 2 2 17 3 5" xfId="24210" xr:uid="{AFB9E68B-7D7D-44D1-958A-7646DF0B3D15}"/>
    <cellStyle name="Normal 3 2 2 2 17 3 6" xfId="24211" xr:uid="{C1CD357C-F121-404D-897F-EA975A6AB99A}"/>
    <cellStyle name="Normal 3 2 2 2 17 4" xfId="24212" xr:uid="{F40323DC-0D7E-474A-AAD5-6A626601ADCB}"/>
    <cellStyle name="Normal 3 2 2 2 17 4 2" xfId="24213" xr:uid="{D4CA0ADB-0051-4CE9-8814-E2351E038140}"/>
    <cellStyle name="Normal 3 2 2 2 17 4 3" xfId="24214" xr:uid="{B14EE17A-9DBE-4F11-818D-C12F24EAFADA}"/>
    <cellStyle name="Normal 3 2 2 2 17 4 4" xfId="24215" xr:uid="{9E35A5DB-3FA1-47C0-8B76-4BB0389C510F}"/>
    <cellStyle name="Normal 3 2 2 2 17 4 5" xfId="24216" xr:uid="{022C4CD7-6999-42FA-960A-F24AEB7BEA3D}"/>
    <cellStyle name="Normal 3 2 2 2 17 4 6" xfId="24217" xr:uid="{5E4297AD-35A9-4B9D-97B0-787D429F30E9}"/>
    <cellStyle name="Normal 3 2 2 2 17 5" xfId="24218" xr:uid="{BB731E35-F2ED-4863-822A-A42260FCE772}"/>
    <cellStyle name="Normal 3 2 2 2 17 5 2" xfId="24219" xr:uid="{87A4492A-A6ED-4D46-8E55-9E2DB22D8AB7}"/>
    <cellStyle name="Normal 3 2 2 2 17 5 3" xfId="24220" xr:uid="{CA78A14A-D0B9-4034-9EF6-5D8A49313972}"/>
    <cellStyle name="Normal 3 2 2 2 17 5 4" xfId="24221" xr:uid="{517F3A57-40CE-4E34-9354-A3A99EC0F0DA}"/>
    <cellStyle name="Normal 3 2 2 2 17 5 5" xfId="24222" xr:uid="{277C257A-38EE-4197-8A96-C02C1248054F}"/>
    <cellStyle name="Normal 3 2 2 2 17 5 6" xfId="24223" xr:uid="{8361C87A-EEFA-4259-B976-52CA4683D254}"/>
    <cellStyle name="Normal 3 2 2 2 17 6" xfId="24224" xr:uid="{1529B82E-0D80-4B9A-AF20-C79BD1F48FA6}"/>
    <cellStyle name="Normal 3 2 2 2 17 6 2" xfId="24225" xr:uid="{4A3090D1-0FA8-4BF8-9F5D-B0BB33AA0030}"/>
    <cellStyle name="Normal 3 2 2 2 17 6 3" xfId="24226" xr:uid="{48E09E5A-683D-4CA4-8F73-F11222F6412B}"/>
    <cellStyle name="Normal 3 2 2 2 17 6 4" xfId="24227" xr:uid="{E5685135-F95D-4A8E-92F3-ABF096FB3CF7}"/>
    <cellStyle name="Normal 3 2 2 2 17 6 5" xfId="24228" xr:uid="{8D39A90A-7DBC-49B8-A9E3-5CB3991570BD}"/>
    <cellStyle name="Normal 3 2 2 2 17 6 6" xfId="24229" xr:uid="{3ABB4643-28D2-4DB6-B208-1D7E0450826E}"/>
    <cellStyle name="Normal 3 2 2 2 17 7" xfId="24230" xr:uid="{E3B21E4E-53D3-4F6F-B85E-2C2658E56C0C}"/>
    <cellStyle name="Normal 3 2 2 2 17 8" xfId="24231" xr:uid="{F7A4EC39-0875-4561-AE48-27180DCA6BC4}"/>
    <cellStyle name="Normal 3 2 2 2 17 9" xfId="24232" xr:uid="{4E42F6D6-B523-4DEB-9031-84273818FC3F}"/>
    <cellStyle name="Normal 3 2 2 2 18" xfId="24233" xr:uid="{8CA53669-7EE2-4432-AE64-3C8B69FB6F15}"/>
    <cellStyle name="Normal 3 2 2 2 18 10" xfId="24234" xr:uid="{D3A4063B-5ADD-4FC8-B169-E923A94EAE11}"/>
    <cellStyle name="Normal 3 2 2 2 18 11" xfId="24235" xr:uid="{E5928379-E836-4244-976E-6F898BCAAB05}"/>
    <cellStyle name="Normal 3 2 2 2 18 2" xfId="24236" xr:uid="{A4EFEB89-3725-402D-88B5-00CB61730EAF}"/>
    <cellStyle name="Normal 3 2 2 2 18 2 2" xfId="24237" xr:uid="{3BC73A97-1E16-471E-A819-231E139ADABE}"/>
    <cellStyle name="Normal 3 2 2 2 18 2 2 2" xfId="24238" xr:uid="{F5A744E7-D266-4BF8-A596-DD5291867CD5}"/>
    <cellStyle name="Normal 3 2 2 2 18 2 2 3" xfId="24239" xr:uid="{1C617262-464B-4817-8285-F11AEFB78DA1}"/>
    <cellStyle name="Normal 3 2 2 2 18 2 2 4" xfId="24240" xr:uid="{92A056A6-AFAF-41D5-AEFD-E82166E1AFD2}"/>
    <cellStyle name="Normal 3 2 2 2 18 2 2 5" xfId="24241" xr:uid="{7D69D9F3-11FB-4F01-831A-788FA6BFEA4B}"/>
    <cellStyle name="Normal 3 2 2 2 18 2 2 6" xfId="24242" xr:uid="{1E5311F3-E324-41D9-8F23-3E84ADFAFB48}"/>
    <cellStyle name="Normal 3 2 2 2 18 2 2 7" xfId="24243" xr:uid="{FD66BDAA-7DC3-443B-BE5F-CD8E4E7CAD81}"/>
    <cellStyle name="Normal 3 2 2 2 18 3" xfId="24244" xr:uid="{8CA4FD66-938F-4595-B057-EBE937ED4143}"/>
    <cellStyle name="Normal 3 2 2 2 18 4" xfId="24245" xr:uid="{D9FE60F3-132B-475F-A863-3B42F304ABC0}"/>
    <cellStyle name="Normal 3 2 2 2 18 5" xfId="24246" xr:uid="{5C8AE11A-4E2E-4F4A-8175-403E5ED2BB10}"/>
    <cellStyle name="Normal 3 2 2 2 18 6" xfId="24247" xr:uid="{2FE557AC-96E3-4C81-82A0-576EEFCAC568}"/>
    <cellStyle name="Normal 3 2 2 2 18 7" xfId="24248" xr:uid="{37FDC8B3-D3B9-4E1C-9EDE-65FDB234C0FB}"/>
    <cellStyle name="Normal 3 2 2 2 18 8" xfId="24249" xr:uid="{21CD09FF-A25E-4961-8E2E-D454E1E7D7F1}"/>
    <cellStyle name="Normal 3 2 2 2 18 9" xfId="24250" xr:uid="{B26FE584-B210-4115-B449-B855B9F03823}"/>
    <cellStyle name="Normal 3 2 2 2 19" xfId="24251" xr:uid="{5169032F-A952-4B17-8EAE-AC66E6AEBE60}"/>
    <cellStyle name="Normal 3 2 2 2 19 2" xfId="24252" xr:uid="{C1207CBA-ACA6-49DF-A198-5DE0A9AAC0D2}"/>
    <cellStyle name="Normal 3 2 2 2 19 2 2" xfId="24253" xr:uid="{ACF21859-9365-43BA-9837-E860D94CF2F0}"/>
    <cellStyle name="Normal 3 2 2 2 19 2 2 2" xfId="24254" xr:uid="{E3D34EB8-019E-4E27-8856-9AF249EE3F9A}"/>
    <cellStyle name="Normal 3 2 2 2 19 2 2 3" xfId="24255" xr:uid="{3EFBA94C-9525-441C-A559-69D17969321B}"/>
    <cellStyle name="Normal 3 2 2 2 19 2 2 4" xfId="24256" xr:uid="{1BE79995-BB3B-43BD-A115-99F34B7F0392}"/>
    <cellStyle name="Normal 3 2 2 2 19 2 2 5" xfId="24257" xr:uid="{57BB544E-5505-4E7B-9A53-D85D05C181F3}"/>
    <cellStyle name="Normal 3 2 2 2 19 2 2 6" xfId="24258" xr:uid="{0522D9C4-57D0-49C1-B6C9-8EBE05E5477F}"/>
    <cellStyle name="Normal 3 2 2 2 19 3" xfId="24259" xr:uid="{1A013BFA-D793-4711-A048-C40919E9C827}"/>
    <cellStyle name="Normal 3 2 2 2 19 4" xfId="24260" xr:uid="{DFD05E10-7562-47AA-A45B-490C9BF06404}"/>
    <cellStyle name="Normal 3 2 2 2 19 5" xfId="24261" xr:uid="{15D4ADD5-136B-4E48-9496-CBC6C524123C}"/>
    <cellStyle name="Normal 3 2 2 2 19 6" xfId="24262" xr:uid="{A78189C0-153F-45A4-842D-BE8D00C99E35}"/>
    <cellStyle name="Normal 3 2 2 2 19 7" xfId="24263" xr:uid="{25BE53CA-991E-4686-931C-CF7D58006694}"/>
    <cellStyle name="Normal 3 2 2 2 2" xfId="24264" xr:uid="{C380A1C0-F77B-47F3-92DD-D7C0CDBCBA07}"/>
    <cellStyle name="Normal 3 2 2 2 2 10" xfId="24265" xr:uid="{234945F5-ACD4-4826-BB8A-36F54BE0DD36}"/>
    <cellStyle name="Normal 3 2 2 2 2 10 2" xfId="24266" xr:uid="{FBC2B957-88D7-4FAD-93E9-BA1175795431}"/>
    <cellStyle name="Normal 3 2 2 2 2 10 2 2" xfId="24267" xr:uid="{46D941D0-EF0B-4BD5-A07B-12109DC24D21}"/>
    <cellStyle name="Normal 3 2 2 2 2 10 2 2 2" xfId="24268" xr:uid="{66FC0DF1-E54B-47ED-8ADB-7B24A235FE11}"/>
    <cellStyle name="Normal 3 2 2 2 2 10 2 2 2 2" xfId="24269" xr:uid="{91A51BCB-BE6F-4632-8AA7-5DB32996FEC8}"/>
    <cellStyle name="Normal 3 2 2 2 2 10 2 2 2 3" xfId="24270" xr:uid="{6CC0C88F-29B9-4A28-843B-53860AB44601}"/>
    <cellStyle name="Normal 3 2 2 2 2 10 2 2 2 4" xfId="24271" xr:uid="{9B7DDFFF-B3FE-4FF7-A557-041282E6CEDB}"/>
    <cellStyle name="Normal 3 2 2 2 2 10 2 2 2 5" xfId="24272" xr:uid="{2BBB3976-32B9-403F-85FD-549A608CF1B4}"/>
    <cellStyle name="Normal 3 2 2 2 2 10 2 2 2 6" xfId="24273" xr:uid="{ACD8800D-A275-4B49-940A-91182A3DF38F}"/>
    <cellStyle name="Normal 3 2 2 2 2 10 2 3" xfId="24274" xr:uid="{4A5A4E86-2BF0-46E1-8778-B314FDCEF23C}"/>
    <cellStyle name="Normal 3 2 2 2 2 10 2 4" xfId="24275" xr:uid="{81F3DB54-003E-4E9A-BAFA-00C7CD39A89E}"/>
    <cellStyle name="Normal 3 2 2 2 2 10 2 5" xfId="24276" xr:uid="{915FE970-0ED9-433C-AA4C-19767314A353}"/>
    <cellStyle name="Normal 3 2 2 2 2 10 2 6" xfId="24277" xr:uid="{CB153430-3BF6-45F3-966A-AD5FC287CDFA}"/>
    <cellStyle name="Normal 3 2 2 2 2 10 2 7" xfId="24278" xr:uid="{3896CEB3-B891-4D8B-A5F2-87FF79D49B48}"/>
    <cellStyle name="Normal 3 2 2 2 2 10 3" xfId="24279" xr:uid="{918D6AB8-8865-4FDF-A3B8-BE1961909199}"/>
    <cellStyle name="Normal 3 2 2 2 2 10 3 2" xfId="24280" xr:uid="{74EB1DF3-6E48-4965-987C-60AD30A901D6}"/>
    <cellStyle name="Normal 3 2 2 2 2 10 3 3" xfId="24281" xr:uid="{44FD12D8-18E6-4ABE-AC7D-195FDB71AAA2}"/>
    <cellStyle name="Normal 3 2 2 2 2 10 3 4" xfId="24282" xr:uid="{24F7CD72-CA19-4DC8-B690-6EF2D9884C12}"/>
    <cellStyle name="Normal 3 2 2 2 2 10 3 5" xfId="24283" xr:uid="{7097C1E0-1491-4DB2-8383-3380A3807559}"/>
    <cellStyle name="Normal 3 2 2 2 2 10 3 6" xfId="24284" xr:uid="{10223C4C-4BB0-4D49-81A3-684FE5707883}"/>
    <cellStyle name="Normal 3 2 2 2 2 10 4" xfId="24285" xr:uid="{64EE5854-6FB3-43C7-92E9-0D52AB133E37}"/>
    <cellStyle name="Normal 3 2 2 2 2 10 4 2" xfId="24286" xr:uid="{2D32C0BD-B235-4DC2-B079-5C2FDEF56708}"/>
    <cellStyle name="Normal 3 2 2 2 2 10 4 3" xfId="24287" xr:uid="{5AF0E63E-9187-4A7C-B016-C3D27CFC6089}"/>
    <cellStyle name="Normal 3 2 2 2 2 10 4 4" xfId="24288" xr:uid="{799027F3-4A9C-47C5-9E47-B888BA482C5D}"/>
    <cellStyle name="Normal 3 2 2 2 2 10 4 5" xfId="24289" xr:uid="{60376202-3353-4D8A-BB32-0F70928C564C}"/>
    <cellStyle name="Normal 3 2 2 2 2 10 4 6" xfId="24290" xr:uid="{955AD91D-E56B-4810-826E-D9B6AF958025}"/>
    <cellStyle name="Normal 3 2 2 2 2 10 5" xfId="24291" xr:uid="{F59A0455-928E-4FF0-A7A6-165E3E53BB0E}"/>
    <cellStyle name="Normal 3 2 2 2 2 10 5 2" xfId="24292" xr:uid="{2B463C86-E131-4525-A624-0E11B90CECB5}"/>
    <cellStyle name="Normal 3 2 2 2 2 10 5 3" xfId="24293" xr:uid="{00F74EAD-C315-4F3A-BB17-62E6F8E1E734}"/>
    <cellStyle name="Normal 3 2 2 2 2 10 5 4" xfId="24294" xr:uid="{EAAC0798-C3F4-451A-BD90-A38BB6399F77}"/>
    <cellStyle name="Normal 3 2 2 2 2 10 5 5" xfId="24295" xr:uid="{31191823-171A-40C7-B797-4369217EF9DD}"/>
    <cellStyle name="Normal 3 2 2 2 2 10 5 6" xfId="24296" xr:uid="{F420FDF7-FCDD-4932-87D8-E308D91B82F3}"/>
    <cellStyle name="Normal 3 2 2 2 2 10 6" xfId="24297" xr:uid="{81FCF765-D7CE-4470-AC41-5699530A8F97}"/>
    <cellStyle name="Normal 3 2 2 2 2 10 6 2" xfId="24298" xr:uid="{E903F00B-DC7E-4812-B43C-881F221C17B9}"/>
    <cellStyle name="Normal 3 2 2 2 2 10 6 3" xfId="24299" xr:uid="{2AE88981-59BF-4422-B6E2-DCF32777F0BB}"/>
    <cellStyle name="Normal 3 2 2 2 2 10 6 4" xfId="24300" xr:uid="{FCBBBCBD-4459-4880-9EFA-BEEA8D354406}"/>
    <cellStyle name="Normal 3 2 2 2 2 10 6 5" xfId="24301" xr:uid="{1FF618D6-8591-47A1-9B0C-788E1BEF276A}"/>
    <cellStyle name="Normal 3 2 2 2 2 10 6 6" xfId="24302" xr:uid="{01C9F8C3-A0CD-4C2A-9FD0-573BEFB36A69}"/>
    <cellStyle name="Normal 3 2 2 2 2 11" xfId="24303" xr:uid="{15F73AA7-B24F-4779-AC7A-DC279A485CBB}"/>
    <cellStyle name="Normal 3 2 2 2 2 11 2" xfId="24304" xr:uid="{031D9FBF-6671-4142-8EBD-67B81451ACE6}"/>
    <cellStyle name="Normal 3 2 2 2 2 11 2 2" xfId="24305" xr:uid="{6CA65F17-8358-49A8-9676-6EF43579F7F2}"/>
    <cellStyle name="Normal 3 2 2 2 2 11 2 3" xfId="24306" xr:uid="{98AF884A-9A3A-4B18-B25D-8E76969BEA78}"/>
    <cellStyle name="Normal 3 2 2 2 2 11 2 4" xfId="24307" xr:uid="{9DAB2078-459D-48BD-8E55-D13D33E25E56}"/>
    <cellStyle name="Normal 3 2 2 2 2 11 2 5" xfId="24308" xr:uid="{302B4F69-920E-4A9C-A7C4-2328FF0FFC3C}"/>
    <cellStyle name="Normal 3 2 2 2 2 11 2 6" xfId="24309" xr:uid="{0DEDE15F-64F6-4CB2-A210-5B02FDA636E8}"/>
    <cellStyle name="Normal 3 2 2 2 2 11 2 7" xfId="24310" xr:uid="{E2F2B4B0-9E7D-44F8-B6C3-69D5CB3CD141}"/>
    <cellStyle name="Normal 3 2 2 2 2 12" xfId="24311" xr:uid="{CA0DCBA1-B96D-479F-9776-2D2A3023AFEA}"/>
    <cellStyle name="Normal 3 2 2 2 2 13" xfId="24312" xr:uid="{35C2F7ED-787D-4FCE-8F21-8BF53B9DE32E}"/>
    <cellStyle name="Normal 3 2 2 2 2 14" xfId="24313" xr:uid="{3DF6D33D-78A1-4628-9229-E683A0233E31}"/>
    <cellStyle name="Normal 3 2 2 2 2 15" xfId="24314" xr:uid="{D1F604D4-9F54-4494-97B1-183185E238DA}"/>
    <cellStyle name="Normal 3 2 2 2 2 16" xfId="24315" xr:uid="{16E95FA5-C265-4F4C-81B9-F996217198CA}"/>
    <cellStyle name="Normal 3 2 2 2 2 17" xfId="24316" xr:uid="{050FD31B-EFCB-4C6C-8C40-0765D5D636FB}"/>
    <cellStyle name="Normal 3 2 2 2 2 18" xfId="24317" xr:uid="{FB77BBD7-1444-4CCB-9D21-620EF5E1850F}"/>
    <cellStyle name="Normal 3 2 2 2 2 19" xfId="24318" xr:uid="{952670CD-3549-4407-8F58-F75A6636993E}"/>
    <cellStyle name="Normal 3 2 2 2 2 2" xfId="24319" xr:uid="{1E7BF6BB-4D49-493B-951B-47B7A883D10A}"/>
    <cellStyle name="Normal 3 2 2 2 2 2 10" xfId="24320" xr:uid="{08843643-F877-4C8C-BCB7-5499D6267989}"/>
    <cellStyle name="Normal 3 2 2 2 2 2 10 10" xfId="24321" xr:uid="{EE62FE64-F7BF-4636-AE9B-E369C4D06E72}"/>
    <cellStyle name="Normal 3 2 2 2 2 2 10 11" xfId="24322" xr:uid="{0D4DE02A-E1A1-4521-B8C1-60F06E5A0011}"/>
    <cellStyle name="Normal 3 2 2 2 2 2 10 2" xfId="24323" xr:uid="{601688BB-6C0B-4148-968D-891C06177419}"/>
    <cellStyle name="Normal 3 2 2 2 2 2 10 2 2" xfId="24324" xr:uid="{B948C0DF-8307-4BE1-9ABC-2B9F1D71971D}"/>
    <cellStyle name="Normal 3 2 2 2 2 2 10 2 2 2" xfId="24325" xr:uid="{ECD83A3E-2DFE-457E-93BD-EE3E0639A38D}"/>
    <cellStyle name="Normal 3 2 2 2 2 2 10 2 2 3" xfId="24326" xr:uid="{F783C101-B967-44BD-83F8-78FA8F1E2BCD}"/>
    <cellStyle name="Normal 3 2 2 2 2 2 10 2 2 4" xfId="24327" xr:uid="{0B9BB982-B974-412B-9055-E9A9CA725C13}"/>
    <cellStyle name="Normal 3 2 2 2 2 2 10 2 2 5" xfId="24328" xr:uid="{76BF6D0E-9615-411B-845B-D6E1B0F58D82}"/>
    <cellStyle name="Normal 3 2 2 2 2 2 10 2 2 6" xfId="24329" xr:uid="{555C10D6-8EC1-4D54-9848-DA07771316DF}"/>
    <cellStyle name="Normal 3 2 2 2 2 2 10 2 2 7" xfId="24330" xr:uid="{E424899A-F76C-4884-8A12-EFE7CAD95F01}"/>
    <cellStyle name="Normal 3 2 2 2 2 2 10 3" xfId="24331" xr:uid="{FEBA8BC7-1C05-4AAC-8EB5-2783490C7BB2}"/>
    <cellStyle name="Normal 3 2 2 2 2 2 10 4" xfId="24332" xr:uid="{7FF8A37B-9666-4DF3-A492-F5523F96F5EC}"/>
    <cellStyle name="Normal 3 2 2 2 2 2 10 5" xfId="24333" xr:uid="{92D776F9-3CDF-4B73-A7F1-8434C1B2AFB1}"/>
    <cellStyle name="Normal 3 2 2 2 2 2 10 6" xfId="24334" xr:uid="{4D9BEA50-4BB8-43EA-B7B5-A2C2F1C5ED3F}"/>
    <cellStyle name="Normal 3 2 2 2 2 2 10 7" xfId="24335" xr:uid="{7F16170B-60FF-48DA-8E8A-B58020CAE2F7}"/>
    <cellStyle name="Normal 3 2 2 2 2 2 10 8" xfId="24336" xr:uid="{9BAD61A3-BD9F-4948-8775-EF80D4AE5579}"/>
    <cellStyle name="Normal 3 2 2 2 2 2 10 9" xfId="24337" xr:uid="{E522768C-96F3-4781-9BD6-1E455438B6A9}"/>
    <cellStyle name="Normal 3 2 2 2 2 2 11" xfId="24338" xr:uid="{CC851EBE-1555-45A6-A334-01EBE31CFF07}"/>
    <cellStyle name="Normal 3 2 2 2 2 2 11 2" xfId="24339" xr:uid="{4853B87B-C2EA-45CB-9308-0E38F5E44C13}"/>
    <cellStyle name="Normal 3 2 2 2 2 2 11 2 2" xfId="24340" xr:uid="{C8215FE5-65F7-42A2-87D7-CEFB8309CD54}"/>
    <cellStyle name="Normal 3 2 2 2 2 2 11 2 2 2" xfId="24341" xr:uid="{9C051890-9F90-42C3-A6C1-73C5EC35E8CA}"/>
    <cellStyle name="Normal 3 2 2 2 2 2 11 2 2 3" xfId="24342" xr:uid="{E74CF80D-FA92-4619-A267-6ACAA3540F8E}"/>
    <cellStyle name="Normal 3 2 2 2 2 2 11 2 2 4" xfId="24343" xr:uid="{E09E92C4-23E6-4C23-8B8E-561FF3123DC5}"/>
    <cellStyle name="Normal 3 2 2 2 2 2 11 2 2 5" xfId="24344" xr:uid="{1DD832FC-680D-4D50-9F2A-21D7F646F639}"/>
    <cellStyle name="Normal 3 2 2 2 2 2 11 2 2 6" xfId="24345" xr:uid="{DA19E3AC-773E-460C-9F4C-195FFB8519D9}"/>
    <cellStyle name="Normal 3 2 2 2 2 2 11 3" xfId="24346" xr:uid="{648411B1-5CFB-4155-B5E8-C97B837B09E8}"/>
    <cellStyle name="Normal 3 2 2 2 2 2 11 4" xfId="24347" xr:uid="{7E3332D0-4AD9-4BAC-A8BE-55EB14A70CE1}"/>
    <cellStyle name="Normal 3 2 2 2 2 2 11 5" xfId="24348" xr:uid="{1D2857E5-436D-4A19-B93F-A57104A2A54E}"/>
    <cellStyle name="Normal 3 2 2 2 2 2 11 6" xfId="24349" xr:uid="{F4786697-6F27-44ED-8285-BB51EB638AB1}"/>
    <cellStyle name="Normal 3 2 2 2 2 2 11 7" xfId="24350" xr:uid="{CBFD858B-0176-404F-A719-6AC33E0CF351}"/>
    <cellStyle name="Normal 3 2 2 2 2 2 12" xfId="24351" xr:uid="{33033055-29B4-47AD-863C-5665E19BB5A2}"/>
    <cellStyle name="Normal 3 2 2 2 2 2 12 2" xfId="24352" xr:uid="{33B03033-98D9-4B5B-8198-AD011344B344}"/>
    <cellStyle name="Normal 3 2 2 2 2 2 12 3" xfId="24353" xr:uid="{DC08057A-03D8-4783-A535-A02BD5FA5992}"/>
    <cellStyle name="Normal 3 2 2 2 2 2 12 4" xfId="24354" xr:uid="{F390A3C3-6B10-4994-9972-9155A134417E}"/>
    <cellStyle name="Normal 3 2 2 2 2 2 12 5" xfId="24355" xr:uid="{D37F5B9C-2BE5-4095-AE2F-66EA86AB8BD1}"/>
    <cellStyle name="Normal 3 2 2 2 2 2 12 6" xfId="24356" xr:uid="{B8BF0F7C-957F-491E-B9D4-F5FC8A84F4A1}"/>
    <cellStyle name="Normal 3 2 2 2 2 2 13" xfId="24357" xr:uid="{7BB804BC-B36A-450A-8ACC-3363FC552165}"/>
    <cellStyle name="Normal 3 2 2 2 2 2 13 2" xfId="24358" xr:uid="{9D99314E-BD98-4454-A2FC-B3307BB01D75}"/>
    <cellStyle name="Normal 3 2 2 2 2 2 13 3" xfId="24359" xr:uid="{70E65371-7B1B-40DA-9D55-3040FC880612}"/>
    <cellStyle name="Normal 3 2 2 2 2 2 13 4" xfId="24360" xr:uid="{3D805716-A8B9-46DA-968E-00F06646916E}"/>
    <cellStyle name="Normal 3 2 2 2 2 2 13 5" xfId="24361" xr:uid="{BD6F30F4-D449-4C24-A9E6-3856A7BFCBED}"/>
    <cellStyle name="Normal 3 2 2 2 2 2 13 6" xfId="24362" xr:uid="{E2FA5907-0A72-4638-B748-336D51BED0E2}"/>
    <cellStyle name="Normal 3 2 2 2 2 2 14" xfId="24363" xr:uid="{E24B07E8-9F01-455E-8DFE-FBA93DD4E57A}"/>
    <cellStyle name="Normal 3 2 2 2 2 2 14 2" xfId="24364" xr:uid="{6BB38860-6CE5-476C-B6ED-FA3C2D660A4D}"/>
    <cellStyle name="Normal 3 2 2 2 2 2 14 3" xfId="24365" xr:uid="{CACFE5A1-B1B7-43AF-9414-8868C3F615A8}"/>
    <cellStyle name="Normal 3 2 2 2 2 2 14 4" xfId="24366" xr:uid="{0DF52F9C-037D-4F00-B71D-CB260A8363D2}"/>
    <cellStyle name="Normal 3 2 2 2 2 2 14 5" xfId="24367" xr:uid="{C80AE576-B903-44A5-BD0E-C7D9A2C8FDF9}"/>
    <cellStyle name="Normal 3 2 2 2 2 2 14 6" xfId="24368" xr:uid="{1368963B-D5CA-4A70-9F03-972F3C15DD17}"/>
    <cellStyle name="Normal 3 2 2 2 2 2 15" xfId="24369" xr:uid="{0A9A4059-5A98-4411-ABF8-DD8F85F7C98D}"/>
    <cellStyle name="Normal 3 2 2 2 2 2 16" xfId="24370" xr:uid="{32F71C1B-0850-4E93-81CB-FDE469C45E24}"/>
    <cellStyle name="Normal 3 2 2 2 2 2 17" xfId="24371" xr:uid="{A3B5CB0F-ED55-49E6-B598-F8A5B851420C}"/>
    <cellStyle name="Normal 3 2 2 2 2 2 18" xfId="24372" xr:uid="{39522203-7D47-4E3A-A192-51B724EB8759}"/>
    <cellStyle name="Normal 3 2 2 2 2 2 19" xfId="24373" xr:uid="{06008A5F-50D8-4F58-B5CC-C067EFE429A1}"/>
    <cellStyle name="Normal 3 2 2 2 2 2 2" xfId="24374" xr:uid="{D0713ABE-6E5F-4F69-8376-2479AE98DC7C}"/>
    <cellStyle name="Normal 3 2 2 2 2 2 2 10" xfId="24375" xr:uid="{C3003308-8635-4B6F-BDC9-4E3BA0E0F10B}"/>
    <cellStyle name="Normal 3 2 2 2 2 2 2 11" xfId="24376" xr:uid="{171AAC6F-4D22-47DE-9DF2-4E993FF2F9C2}"/>
    <cellStyle name="Normal 3 2 2 2 2 2 2 12" xfId="24377" xr:uid="{67551BE7-3019-4476-8AD0-91AF12423F8A}"/>
    <cellStyle name="Normal 3 2 2 2 2 2 2 13" xfId="24378" xr:uid="{F00FDBBC-00C3-49DF-8379-819B591CE851}"/>
    <cellStyle name="Normal 3 2 2 2 2 2 2 13 10" xfId="24379" xr:uid="{DDC8EF5F-5B18-45FF-9A6B-D368A786F7D1}"/>
    <cellStyle name="Normal 3 2 2 2 2 2 2 13 11" xfId="24380" xr:uid="{BB0B3A06-2151-47F7-9602-4378018456F9}"/>
    <cellStyle name="Normal 3 2 2 2 2 2 2 13 11 10" xfId="24381" xr:uid="{F9CA4FE5-3A05-4C72-A94A-4589D68F98BF}"/>
    <cellStyle name="Normal 3 2 2 2 2 2 2 13 11 11" xfId="24382" xr:uid="{5716D311-0934-4C84-B392-98337476B64E}"/>
    <cellStyle name="Normal 3 2 2 2 2 2 2 13 11 11 2" xfId="24383" xr:uid="{F53C151A-4DBF-4B12-83BF-E3506705EE5A}"/>
    <cellStyle name="Normal 3 2 2 2 2 2 2 13 11 11 3" xfId="24384" xr:uid="{CDA15796-D1E8-47D5-A009-F56AE03544F4}"/>
    <cellStyle name="Normal 3 2 2 2 2 2 2 13 11 11 4" xfId="24385" xr:uid="{3A083F78-2739-470A-AAD9-5636BAF6E9CB}"/>
    <cellStyle name="Normal 3 2 2 2 2 2 2 13 11 12" xfId="24386" xr:uid="{A85DC4C7-6328-4E6E-A459-D67C13B2FA50}"/>
    <cellStyle name="Normal 3 2 2 2 2 2 2 13 11 13" xfId="24387" xr:uid="{53DED65F-EFB5-42FE-9999-BAA2B190B886}"/>
    <cellStyle name="Normal 3 2 2 2 2 2 2 13 11 14" xfId="24388" xr:uid="{47EDB6BA-C253-48DB-8062-21CAFF64E985}"/>
    <cellStyle name="Normal 3 2 2 2 2 2 2 13 11 2" xfId="24389" xr:uid="{B26C3F62-87EF-437D-B8E9-63BC697E8959}"/>
    <cellStyle name="Normal 3 2 2 2 2 2 2 13 11 2 10" xfId="24390" xr:uid="{C4239D34-0C07-4E20-ABD7-9BD3006023DC}"/>
    <cellStyle name="Normal 3 2 2 2 2 2 2 13 11 2 11" xfId="24391" xr:uid="{81154F54-97B6-421C-9656-9A3539EED1EE}"/>
    <cellStyle name="Normal 3 2 2 2 2 2 2 13 11 2 2" xfId="24392" xr:uid="{337C4723-0CE3-48BD-B198-BC34E19C7EDA}"/>
    <cellStyle name="Normal 3 2 2 2 2 2 2 13 11 2 2 10" xfId="24393" xr:uid="{03AA668D-2996-493B-8A53-1091901F8DEB}"/>
    <cellStyle name="Normal 3 2 2 2 2 2 2 13 11 2 2 11" xfId="24394" xr:uid="{95225896-CB0D-4083-9112-E67EA8DB29AF}"/>
    <cellStyle name="Normal 3 2 2 2 2 2 2 13 11 2 2 2" xfId="24395" xr:uid="{D8D9D571-3F62-46CC-A9E1-105686A707F4}"/>
    <cellStyle name="Normal 3 2 2 2 2 2 2 13 11 2 2 2 2" xfId="24396" xr:uid="{9218A9ED-BC78-4D81-B497-3FD30E4CB1A5}"/>
    <cellStyle name="Normal 3 2 2 2 2 2 2 13 11 2 2 2 2 2" xfId="24397" xr:uid="{7BC81130-9644-4EC5-B8E1-56A282392F3A}"/>
    <cellStyle name="Normal 3 2 2 2 2 2 2 13 11 2 2 2 2 3" xfId="24398" xr:uid="{BB61F501-4A50-4EB0-8AE8-98A5E55D71E7}"/>
    <cellStyle name="Normal 3 2 2 2 2 2 2 13 11 2 2 2 2 4" xfId="24399" xr:uid="{FEED7726-D8B3-47D0-9A11-C71644557A4D}"/>
    <cellStyle name="Normal 3 2 2 2 2 2 2 13 11 2 2 2 3" xfId="24400" xr:uid="{7FAE3852-AB28-4FA4-8F24-7D72A8872C3B}"/>
    <cellStyle name="Normal 3 2 2 2 2 2 2 13 11 2 2 2 4" xfId="24401" xr:uid="{A09D24CB-6A08-4620-A78D-FDCE51A9069C}"/>
    <cellStyle name="Normal 3 2 2 2 2 2 2 13 11 2 2 2 5" xfId="24402" xr:uid="{F4BBFEB1-E362-40B4-99AF-A715F2C161EC}"/>
    <cellStyle name="Normal 3 2 2 2 2 2 2 13 11 2 2 2 6" xfId="24403" xr:uid="{80CD8EC5-8267-4A8B-ADC8-6E8138F4CA8C}"/>
    <cellStyle name="Normal 3 2 2 2 2 2 2 13 11 2 2 3" xfId="24404" xr:uid="{9275AACA-CF4B-42E9-83B3-F4577CC2CC93}"/>
    <cellStyle name="Normal 3 2 2 2 2 2 2 13 11 2 2 4" xfId="24405" xr:uid="{2B168107-2EBB-4C32-AEE9-F9424E12E517}"/>
    <cellStyle name="Normal 3 2 2 2 2 2 2 13 11 2 2 5" xfId="24406" xr:uid="{01D5DC59-0411-49DC-86D5-304894867A0D}"/>
    <cellStyle name="Normal 3 2 2 2 2 2 2 13 11 2 2 6" xfId="24407" xr:uid="{E46AD178-7AC1-494A-84CB-86D4A0287092}"/>
    <cellStyle name="Normal 3 2 2 2 2 2 2 13 11 2 2 7" xfId="24408" xr:uid="{B0F742DB-99DE-4DA0-82A3-EC0919090D92}"/>
    <cellStyle name="Normal 3 2 2 2 2 2 2 13 11 2 2 8" xfId="24409" xr:uid="{2EC1F1ED-1962-4316-8C1B-2C359DF5035C}"/>
    <cellStyle name="Normal 3 2 2 2 2 2 2 13 11 2 2 8 2" xfId="24410" xr:uid="{D89E12D1-6F34-44DF-ADDE-4F70E0C1747F}"/>
    <cellStyle name="Normal 3 2 2 2 2 2 2 13 11 2 2 8 3" xfId="24411" xr:uid="{4033A978-0D8B-4DC1-BA18-61F9F3D3B16C}"/>
    <cellStyle name="Normal 3 2 2 2 2 2 2 13 11 2 2 8 4" xfId="24412" xr:uid="{FDE79AE3-D20C-4B91-8887-FF646C26DCAD}"/>
    <cellStyle name="Normal 3 2 2 2 2 2 2 13 11 2 2 9" xfId="24413" xr:uid="{57AB06C9-0FDF-404C-930D-F0CC47D1353A}"/>
    <cellStyle name="Normal 3 2 2 2 2 2 2 13 11 2 3" xfId="24414" xr:uid="{AA888AF5-DF05-41A8-A81D-6561FC7720A8}"/>
    <cellStyle name="Normal 3 2 2 2 2 2 2 13 11 2 3 2" xfId="24415" xr:uid="{DB249D16-9811-476D-9FA1-61C8585D3386}"/>
    <cellStyle name="Normal 3 2 2 2 2 2 2 13 11 2 3 2 2" xfId="24416" xr:uid="{E4ABF0F3-A471-4E0E-8C5A-0ACAE11252DA}"/>
    <cellStyle name="Normal 3 2 2 2 2 2 2 13 11 2 3 2 3" xfId="24417" xr:uid="{C415E9DA-D092-4DBE-8F6D-93ED2B8BF327}"/>
    <cellStyle name="Normal 3 2 2 2 2 2 2 13 11 2 3 2 4" xfId="24418" xr:uid="{1D4D3C21-301E-4978-8291-0D2C8364A486}"/>
    <cellStyle name="Normal 3 2 2 2 2 2 2 13 11 2 3 3" xfId="24419" xr:uid="{5675D109-CCC8-4D6D-AC8A-3F4CBCB9E3B0}"/>
    <cellStyle name="Normal 3 2 2 2 2 2 2 13 11 2 3 4" xfId="24420" xr:uid="{BB023318-037D-41A0-8556-91482C17F00A}"/>
    <cellStyle name="Normal 3 2 2 2 2 2 2 13 11 2 3 5" xfId="24421" xr:uid="{64F723E1-BD4C-450C-ABAF-BB30E2FA9EC1}"/>
    <cellStyle name="Normal 3 2 2 2 2 2 2 13 11 2 3 6" xfId="24422" xr:uid="{596709B8-686B-42BB-8064-DA479FCB39EB}"/>
    <cellStyle name="Normal 3 2 2 2 2 2 2 13 11 2 4" xfId="24423" xr:uid="{D435EFAB-9D90-4759-8065-646469C74DFE}"/>
    <cellStyle name="Normal 3 2 2 2 2 2 2 13 11 2 5" xfId="24424" xr:uid="{433FB62C-4D99-4C2E-8D2E-F2E108C738DE}"/>
    <cellStyle name="Normal 3 2 2 2 2 2 2 13 11 2 6" xfId="24425" xr:uid="{3D4AA2B3-3769-4E20-A110-CA9FD2C4E903}"/>
    <cellStyle name="Normal 3 2 2 2 2 2 2 13 11 2 7" xfId="24426" xr:uid="{BE984706-06AB-44E8-8867-D0D3F67FF1AB}"/>
    <cellStyle name="Normal 3 2 2 2 2 2 2 13 11 2 8" xfId="24427" xr:uid="{ED96339F-16FB-4B59-AEBC-C28D57386BAF}"/>
    <cellStyle name="Normal 3 2 2 2 2 2 2 13 11 2 8 2" xfId="24428" xr:uid="{2A5C93D8-83F7-42A8-B577-BCFA5522EA34}"/>
    <cellStyle name="Normal 3 2 2 2 2 2 2 13 11 2 8 3" xfId="24429" xr:uid="{A418CBA8-E031-425F-8D26-1978699DEC97}"/>
    <cellStyle name="Normal 3 2 2 2 2 2 2 13 11 2 8 4" xfId="24430" xr:uid="{A00BD78D-D899-4F72-B095-30B38F5E4576}"/>
    <cellStyle name="Normal 3 2 2 2 2 2 2 13 11 2 9" xfId="24431" xr:uid="{F6634545-1235-41E1-A705-74A539AA6149}"/>
    <cellStyle name="Normal 3 2 2 2 2 2 2 13 11 3" xfId="24432" xr:uid="{5FFDA4C7-7901-42EF-B063-B87C16165DD9}"/>
    <cellStyle name="Normal 3 2 2 2 2 2 2 13 11 4" xfId="24433" xr:uid="{465A534F-3B09-47D0-84A6-69B99C163AF1}"/>
    <cellStyle name="Normal 3 2 2 2 2 2 2 13 11 5" xfId="24434" xr:uid="{6DD684BE-CE80-4663-9533-9612917336D9}"/>
    <cellStyle name="Normal 3 2 2 2 2 2 2 13 11 5 2" xfId="24435" xr:uid="{F525425B-9AE5-475C-B7AA-CF09686513B5}"/>
    <cellStyle name="Normal 3 2 2 2 2 2 2 13 11 5 2 2" xfId="24436" xr:uid="{0F45C4E6-7F42-4D26-8BBF-46C018ABA889}"/>
    <cellStyle name="Normal 3 2 2 2 2 2 2 13 11 5 2 3" xfId="24437" xr:uid="{6169C84A-C5C7-4B5E-A4DF-105056976ED8}"/>
    <cellStyle name="Normal 3 2 2 2 2 2 2 13 11 5 2 4" xfId="24438" xr:uid="{757B4044-CDA5-4ACF-95F3-904DD7839F97}"/>
    <cellStyle name="Normal 3 2 2 2 2 2 2 13 11 5 3" xfId="24439" xr:uid="{961F147D-5DCE-40D9-87E7-639A7D3120CB}"/>
    <cellStyle name="Normal 3 2 2 2 2 2 2 13 11 5 4" xfId="24440" xr:uid="{29D36A30-7018-4A21-9DD7-A9149950A1B1}"/>
    <cellStyle name="Normal 3 2 2 2 2 2 2 13 11 5 5" xfId="24441" xr:uid="{74049670-501C-4175-8B8A-DD5B95C30092}"/>
    <cellStyle name="Normal 3 2 2 2 2 2 2 13 11 5 6" xfId="24442" xr:uid="{C9BD76EA-48BC-4A1D-B2F3-CAB932915B74}"/>
    <cellStyle name="Normal 3 2 2 2 2 2 2 13 11 6" xfId="24443" xr:uid="{56A69BBE-8AE7-4E8C-8775-27747B6C885C}"/>
    <cellStyle name="Normal 3 2 2 2 2 2 2 13 11 7" xfId="24444" xr:uid="{6DBC416D-18E4-439D-A8D3-F514CF511756}"/>
    <cellStyle name="Normal 3 2 2 2 2 2 2 13 11 8" xfId="24445" xr:uid="{23BAF67E-B951-4EB7-81AC-070DB462793D}"/>
    <cellStyle name="Normal 3 2 2 2 2 2 2 13 11 9" xfId="24446" xr:uid="{B0DE79E1-B0D6-40CE-A355-7B7E8BDA9E47}"/>
    <cellStyle name="Normal 3 2 2 2 2 2 2 13 12" xfId="24447" xr:uid="{17338FCF-6898-4809-A160-E17BCDC59171}"/>
    <cellStyle name="Normal 3 2 2 2 2 2 2 13 13" xfId="24448" xr:uid="{1B77E4A0-2C95-4CA1-904E-F32487CE3A58}"/>
    <cellStyle name="Normal 3 2 2 2 2 2 2 13 13 10" xfId="24449" xr:uid="{3A7A288E-5E1D-4D76-980F-B732ACFC8FC0}"/>
    <cellStyle name="Normal 3 2 2 2 2 2 2 13 13 11" xfId="24450" xr:uid="{FD5C65A1-37D1-498C-A880-3B84E7BE83FD}"/>
    <cellStyle name="Normal 3 2 2 2 2 2 2 13 13 2" xfId="24451" xr:uid="{E466125B-E433-40F0-915F-E93220C3E789}"/>
    <cellStyle name="Normal 3 2 2 2 2 2 2 13 13 2 10" xfId="24452" xr:uid="{D1703929-8673-4C26-ADFA-E48A863E5555}"/>
    <cellStyle name="Normal 3 2 2 2 2 2 2 13 13 2 11" xfId="24453" xr:uid="{92C767C0-8CBC-4CD2-9B7C-138FFA26860C}"/>
    <cellStyle name="Normal 3 2 2 2 2 2 2 13 13 2 2" xfId="24454" xr:uid="{15DA6A0E-F59F-44F1-A14A-19C975858B02}"/>
    <cellStyle name="Normal 3 2 2 2 2 2 2 13 13 2 2 2" xfId="24455" xr:uid="{F4DF8A94-EB5B-4156-AA93-18D950D75E6D}"/>
    <cellStyle name="Normal 3 2 2 2 2 2 2 13 13 2 2 2 2" xfId="24456" xr:uid="{CC1480B2-02F1-465F-8E4D-01338A231EA5}"/>
    <cellStyle name="Normal 3 2 2 2 2 2 2 13 13 2 2 2 3" xfId="24457" xr:uid="{7F4E42F0-D865-45D2-92B4-4236733CFCFB}"/>
    <cellStyle name="Normal 3 2 2 2 2 2 2 13 13 2 2 2 4" xfId="24458" xr:uid="{E81C990D-B388-40C7-BC36-1DF0AF13C199}"/>
    <cellStyle name="Normal 3 2 2 2 2 2 2 13 13 2 2 3" xfId="24459" xr:uid="{7966E7D9-7BEF-460C-B23E-53AF2F40AA07}"/>
    <cellStyle name="Normal 3 2 2 2 2 2 2 13 13 2 2 4" xfId="24460" xr:uid="{0CECA3B1-E315-4D04-AD63-0FE4887FBFE3}"/>
    <cellStyle name="Normal 3 2 2 2 2 2 2 13 13 2 2 5" xfId="24461" xr:uid="{450C8723-84A1-4234-B6FF-B9FD56548BED}"/>
    <cellStyle name="Normal 3 2 2 2 2 2 2 13 13 2 2 6" xfId="24462" xr:uid="{F1F4C714-13E8-4377-83B2-0E2598FD2C2B}"/>
    <cellStyle name="Normal 3 2 2 2 2 2 2 13 13 2 3" xfId="24463" xr:uid="{ED6948C8-CD2E-45D7-9496-7569BAA9E07A}"/>
    <cellStyle name="Normal 3 2 2 2 2 2 2 13 13 2 4" xfId="24464" xr:uid="{082A1114-542E-49A1-A90E-65CC9845F226}"/>
    <cellStyle name="Normal 3 2 2 2 2 2 2 13 13 2 5" xfId="24465" xr:uid="{35DE6F2D-8AAC-4766-8C66-C19BE6E7DC31}"/>
    <cellStyle name="Normal 3 2 2 2 2 2 2 13 13 2 6" xfId="24466" xr:uid="{96F4BC5B-5D12-4FA0-8375-152511CAFCD8}"/>
    <cellStyle name="Normal 3 2 2 2 2 2 2 13 13 2 7" xfId="24467" xr:uid="{A731A6F1-B932-4AA0-B5E1-CA757CE9DB2C}"/>
    <cellStyle name="Normal 3 2 2 2 2 2 2 13 13 2 8" xfId="24468" xr:uid="{58A3D6C5-65FE-4633-B833-0B2DC1C7C194}"/>
    <cellStyle name="Normal 3 2 2 2 2 2 2 13 13 2 8 2" xfId="24469" xr:uid="{E4545533-726E-4018-BFD3-322768EDDE7D}"/>
    <cellStyle name="Normal 3 2 2 2 2 2 2 13 13 2 8 3" xfId="24470" xr:uid="{B2C3D3F3-B608-415B-BA95-19244C1FA1B8}"/>
    <cellStyle name="Normal 3 2 2 2 2 2 2 13 13 2 8 4" xfId="24471" xr:uid="{5362A05B-D879-4477-8DB2-BD952963F281}"/>
    <cellStyle name="Normal 3 2 2 2 2 2 2 13 13 2 9" xfId="24472" xr:uid="{2EC68B16-A20D-4791-8428-77AA608C4857}"/>
    <cellStyle name="Normal 3 2 2 2 2 2 2 13 13 3" xfId="24473" xr:uid="{035E13BB-7EB6-48AE-ADE3-52CD41484C4F}"/>
    <cellStyle name="Normal 3 2 2 2 2 2 2 13 13 3 2" xfId="24474" xr:uid="{1E8D6AE0-CD56-43E7-8356-41A8F9F45270}"/>
    <cellStyle name="Normal 3 2 2 2 2 2 2 13 13 3 2 2" xfId="24475" xr:uid="{C0BE5829-141F-44C9-966E-E09312BBD422}"/>
    <cellStyle name="Normal 3 2 2 2 2 2 2 13 13 3 2 3" xfId="24476" xr:uid="{D74FD7A6-ED3C-43AB-B563-959C2117D755}"/>
    <cellStyle name="Normal 3 2 2 2 2 2 2 13 13 3 2 4" xfId="24477" xr:uid="{8A382180-7CDB-4176-9BF8-8A03A62D42E3}"/>
    <cellStyle name="Normal 3 2 2 2 2 2 2 13 13 3 3" xfId="24478" xr:uid="{37A23766-554B-4CA8-8B75-9EC95254BA0B}"/>
    <cellStyle name="Normal 3 2 2 2 2 2 2 13 13 3 4" xfId="24479" xr:uid="{41D32632-C636-4EAB-80BB-FFDC31117FC9}"/>
    <cellStyle name="Normal 3 2 2 2 2 2 2 13 13 3 5" xfId="24480" xr:uid="{A934F359-072C-4D07-8FF2-5E27066F1BDD}"/>
    <cellStyle name="Normal 3 2 2 2 2 2 2 13 13 3 6" xfId="24481" xr:uid="{1FF67459-64BA-4582-ACB4-28A372083FA3}"/>
    <cellStyle name="Normal 3 2 2 2 2 2 2 13 13 4" xfId="24482" xr:uid="{EDB9FEAD-9D89-4E35-A113-1B149AC47BB2}"/>
    <cellStyle name="Normal 3 2 2 2 2 2 2 13 13 5" xfId="24483" xr:uid="{ACAC8252-1AB9-4E9A-9FF4-DA23FED5E37C}"/>
    <cellStyle name="Normal 3 2 2 2 2 2 2 13 13 6" xfId="24484" xr:uid="{2829F2B5-0C27-4F05-B290-7DF9E9F1555B}"/>
    <cellStyle name="Normal 3 2 2 2 2 2 2 13 13 7" xfId="24485" xr:uid="{40D99A72-844F-4E15-BC07-0F4A19A95C64}"/>
    <cellStyle name="Normal 3 2 2 2 2 2 2 13 13 8" xfId="24486" xr:uid="{58E8C7B8-667D-49E6-8EE6-0E67F6D33DE3}"/>
    <cellStyle name="Normal 3 2 2 2 2 2 2 13 13 8 2" xfId="24487" xr:uid="{1F6F33CA-7B1C-4B29-AF3C-8A82CFD9EEE9}"/>
    <cellStyle name="Normal 3 2 2 2 2 2 2 13 13 8 3" xfId="24488" xr:uid="{E4D08A7C-F835-4008-B5D3-87B892322960}"/>
    <cellStyle name="Normal 3 2 2 2 2 2 2 13 13 8 4" xfId="24489" xr:uid="{4DFCFEB6-BCBA-4D02-A10E-DFFCB768B837}"/>
    <cellStyle name="Normal 3 2 2 2 2 2 2 13 13 9" xfId="24490" xr:uid="{50F69E7B-9A5F-443F-BEF8-62344161B89E}"/>
    <cellStyle name="Normal 3 2 2 2 2 2 2 13 14" xfId="24491" xr:uid="{F5D30A0E-5638-4266-A835-F21208E98EAA}"/>
    <cellStyle name="Normal 3 2 2 2 2 2 2 13 15" xfId="24492" xr:uid="{708C506A-136D-4C98-8936-FB9E7113EAD2}"/>
    <cellStyle name="Normal 3 2 2 2 2 2 2 13 15 2" xfId="24493" xr:uid="{911DE421-66FE-446A-999F-63101577B0BB}"/>
    <cellStyle name="Normal 3 2 2 2 2 2 2 13 15 2 2" xfId="24494" xr:uid="{93C5CD3B-890A-4BAB-93A2-4E18073C7D67}"/>
    <cellStyle name="Normal 3 2 2 2 2 2 2 13 15 2 3" xfId="24495" xr:uid="{6413D921-BDA1-4189-956C-B08949F4D475}"/>
    <cellStyle name="Normal 3 2 2 2 2 2 2 13 15 2 4" xfId="24496" xr:uid="{2CFD85D9-4449-4DC4-B5C2-92321DC60326}"/>
    <cellStyle name="Normal 3 2 2 2 2 2 2 13 15 3" xfId="24497" xr:uid="{D9C6F15A-B819-4BE6-BFEF-D1D59216EAD1}"/>
    <cellStyle name="Normal 3 2 2 2 2 2 2 13 15 4" xfId="24498" xr:uid="{2CD195DA-C701-4086-904E-24F4923B1F4E}"/>
    <cellStyle name="Normal 3 2 2 2 2 2 2 13 15 5" xfId="24499" xr:uid="{5A3175ED-0658-47E6-BCB8-55FAB5B3A63E}"/>
    <cellStyle name="Normal 3 2 2 2 2 2 2 13 15 6" xfId="24500" xr:uid="{4DCEDF14-CE78-469F-B1E5-91897B2C4AE3}"/>
    <cellStyle name="Normal 3 2 2 2 2 2 2 13 16" xfId="24501" xr:uid="{965CA266-7E3D-4FDA-90DD-DAAB62050BA0}"/>
    <cellStyle name="Normal 3 2 2 2 2 2 2 13 17" xfId="24502" xr:uid="{7C5F4BC7-3CBB-45CD-8533-225923B16FE0}"/>
    <cellStyle name="Normal 3 2 2 2 2 2 2 13 18" xfId="24503" xr:uid="{0722003A-C5A2-490C-B559-290ADE39761A}"/>
    <cellStyle name="Normal 3 2 2 2 2 2 2 13 19" xfId="24504" xr:uid="{B01A63AC-547E-47D9-864F-57E3775A7646}"/>
    <cellStyle name="Normal 3 2 2 2 2 2 2 13 2" xfId="24505" xr:uid="{C988A1B9-D5E2-44F3-8F0B-6AF9E9EB3B5F}"/>
    <cellStyle name="Normal 3 2 2 2 2 2 2 13 2 10" xfId="24506" xr:uid="{56C634E5-550F-44B6-9C4D-365F8A583212}"/>
    <cellStyle name="Normal 3 2 2 2 2 2 2 13 2 11" xfId="24507" xr:uid="{81B6EB3E-6B21-45C5-813A-69C7EAAB9F24}"/>
    <cellStyle name="Normal 3 2 2 2 2 2 2 13 2 12" xfId="24508" xr:uid="{E879E99E-4128-40E9-85CC-D4739AF78F1B}"/>
    <cellStyle name="Normal 3 2 2 2 2 2 2 13 2 13" xfId="24509" xr:uid="{AFA68E70-AFE7-4C97-AC6C-6EE677F2C706}"/>
    <cellStyle name="Normal 3 2 2 2 2 2 2 13 2 13 2" xfId="24510" xr:uid="{83253C92-14A8-496B-A1B4-16C7B19DB6D4}"/>
    <cellStyle name="Normal 3 2 2 2 2 2 2 13 2 13 3" xfId="24511" xr:uid="{C27DE024-1AB4-4B04-A735-69F63BEF4CC2}"/>
    <cellStyle name="Normal 3 2 2 2 2 2 2 13 2 13 4" xfId="24512" xr:uid="{EAB11AFD-69F5-4EF1-B404-12734FDF9278}"/>
    <cellStyle name="Normal 3 2 2 2 2 2 2 13 2 14" xfId="24513" xr:uid="{E1A14756-78A6-4079-A6F5-30543DCE99A8}"/>
    <cellStyle name="Normal 3 2 2 2 2 2 2 13 2 15" xfId="24514" xr:uid="{C507C36F-36C6-49F4-994E-6B311893BC4D}"/>
    <cellStyle name="Normal 3 2 2 2 2 2 2 13 2 16" xfId="24515" xr:uid="{D793EA60-5C51-4DF9-A98E-D48DD1DA8B97}"/>
    <cellStyle name="Normal 3 2 2 2 2 2 2 13 2 2" xfId="24516" xr:uid="{B733A892-60BD-4FD4-9140-C7399AE58C74}"/>
    <cellStyle name="Normal 3 2 2 2 2 2 2 13 2 2 10" xfId="24517" xr:uid="{3181E99B-440E-4ED1-9C93-48D450754ADD}"/>
    <cellStyle name="Normal 3 2 2 2 2 2 2 13 2 2 11" xfId="24518" xr:uid="{C279DF94-BBA7-4A25-AC2F-A6F84E23D19A}"/>
    <cellStyle name="Normal 3 2 2 2 2 2 2 13 2 2 11 2" xfId="24519" xr:uid="{C6BD4267-3AE2-49EF-9B86-465B3C4CCCBE}"/>
    <cellStyle name="Normal 3 2 2 2 2 2 2 13 2 2 11 3" xfId="24520" xr:uid="{B79EF3CE-486C-4AF9-A354-D09CF9A53FFD}"/>
    <cellStyle name="Normal 3 2 2 2 2 2 2 13 2 2 11 4" xfId="24521" xr:uid="{A4D9642B-AE4C-4B3F-829C-8CDB848A82EC}"/>
    <cellStyle name="Normal 3 2 2 2 2 2 2 13 2 2 12" xfId="24522" xr:uid="{034F43B7-0BB8-4C24-BEF5-7FF22BF4D2E1}"/>
    <cellStyle name="Normal 3 2 2 2 2 2 2 13 2 2 13" xfId="24523" xr:uid="{8F1DE097-C8B3-4C83-AF44-23F958E5E3DB}"/>
    <cellStyle name="Normal 3 2 2 2 2 2 2 13 2 2 14" xfId="24524" xr:uid="{3CE3F3F0-C96C-4519-B375-153D7CB353B7}"/>
    <cellStyle name="Normal 3 2 2 2 2 2 2 13 2 2 2" xfId="24525" xr:uid="{270EE096-6A60-4F41-BCD1-C10F0F5B490E}"/>
    <cellStyle name="Normal 3 2 2 2 2 2 2 13 2 2 2 10" xfId="24526" xr:uid="{EF6697E1-E5B9-4F42-B169-055E0ECBECFC}"/>
    <cellStyle name="Normal 3 2 2 2 2 2 2 13 2 2 2 11" xfId="24527" xr:uid="{1D683FE4-6FE8-41DE-856C-C0345FCDFBE8}"/>
    <cellStyle name="Normal 3 2 2 2 2 2 2 13 2 2 2 2" xfId="24528" xr:uid="{C8716E24-77B2-460E-960E-893D8D025AA5}"/>
    <cellStyle name="Normal 3 2 2 2 2 2 2 13 2 2 2 2 10" xfId="24529" xr:uid="{5D9A41DA-67C6-42C3-A6AE-5C7AB764EFA3}"/>
    <cellStyle name="Normal 3 2 2 2 2 2 2 13 2 2 2 2 11" xfId="24530" xr:uid="{32202B1C-898C-43F1-B9AF-9D9BDA1B4221}"/>
    <cellStyle name="Normal 3 2 2 2 2 2 2 13 2 2 2 2 2" xfId="24531" xr:uid="{391B1BBE-82DA-4B78-AE93-8F22773A5734}"/>
    <cellStyle name="Normal 3 2 2 2 2 2 2 13 2 2 2 2 2 2" xfId="24532" xr:uid="{C5D7224F-221F-4E24-B0CB-615E2816BD1E}"/>
    <cellStyle name="Normal 3 2 2 2 2 2 2 13 2 2 2 2 2 2 2" xfId="24533" xr:uid="{1BD6BF7C-7C35-41D7-8363-3C39F419AE7E}"/>
    <cellStyle name="Normal 3 2 2 2 2 2 2 13 2 2 2 2 2 2 3" xfId="24534" xr:uid="{A8967582-B75A-4216-B7A2-96B53D3AECD6}"/>
    <cellStyle name="Normal 3 2 2 2 2 2 2 13 2 2 2 2 2 2 4" xfId="24535" xr:uid="{B9FA856B-BD04-4DEC-B7C7-86FC5E074268}"/>
    <cellStyle name="Normal 3 2 2 2 2 2 2 13 2 2 2 2 2 3" xfId="24536" xr:uid="{E41DFBB4-E732-40B5-90E8-E08E62AEF5F8}"/>
    <cellStyle name="Normal 3 2 2 2 2 2 2 13 2 2 2 2 2 4" xfId="24537" xr:uid="{A0F02343-E0A2-4634-9FFC-A479235993FB}"/>
    <cellStyle name="Normal 3 2 2 2 2 2 2 13 2 2 2 2 2 5" xfId="24538" xr:uid="{4B290057-B23F-4935-84FE-96B26420E35C}"/>
    <cellStyle name="Normal 3 2 2 2 2 2 2 13 2 2 2 2 2 6" xfId="24539" xr:uid="{31FD5793-F108-4896-88F0-E3A685F94209}"/>
    <cellStyle name="Normal 3 2 2 2 2 2 2 13 2 2 2 2 3" xfId="24540" xr:uid="{3CDE1C53-3B93-46D5-A41E-400DC1DE7DEC}"/>
    <cellStyle name="Normal 3 2 2 2 2 2 2 13 2 2 2 2 4" xfId="24541" xr:uid="{390A1409-0C64-470B-951B-14738257D3BF}"/>
    <cellStyle name="Normal 3 2 2 2 2 2 2 13 2 2 2 2 5" xfId="24542" xr:uid="{465B1108-2AB1-4027-8DA7-86D025BAFCF2}"/>
    <cellStyle name="Normal 3 2 2 2 2 2 2 13 2 2 2 2 6" xfId="24543" xr:uid="{AB5377DE-A998-405D-8B0E-EB40BB287C8D}"/>
    <cellStyle name="Normal 3 2 2 2 2 2 2 13 2 2 2 2 7" xfId="24544" xr:uid="{811A1010-8E38-4815-A1E4-69B364B36BCC}"/>
    <cellStyle name="Normal 3 2 2 2 2 2 2 13 2 2 2 2 8" xfId="24545" xr:uid="{E07EAA96-13B0-46E7-88DF-2D3B59FBB73B}"/>
    <cellStyle name="Normal 3 2 2 2 2 2 2 13 2 2 2 2 8 2" xfId="24546" xr:uid="{186EE5A1-8F6E-4D5B-87D2-35C9E2A7FDA4}"/>
    <cellStyle name="Normal 3 2 2 2 2 2 2 13 2 2 2 2 8 3" xfId="24547" xr:uid="{FA9F4BC2-7F24-4B29-84A5-E310D515BD27}"/>
    <cellStyle name="Normal 3 2 2 2 2 2 2 13 2 2 2 2 8 4" xfId="24548" xr:uid="{F9F064A9-7365-40D9-B8DB-6D36D825DB25}"/>
    <cellStyle name="Normal 3 2 2 2 2 2 2 13 2 2 2 2 9" xfId="24549" xr:uid="{F767FB5F-CBDF-4701-9009-FC861222EF13}"/>
    <cellStyle name="Normal 3 2 2 2 2 2 2 13 2 2 2 3" xfId="24550" xr:uid="{72796A42-9D10-4E8A-A75E-22901F3E9E42}"/>
    <cellStyle name="Normal 3 2 2 2 2 2 2 13 2 2 2 3 2" xfId="24551" xr:uid="{424E72AF-06E8-43E2-BE19-CB526D4303B3}"/>
    <cellStyle name="Normal 3 2 2 2 2 2 2 13 2 2 2 3 2 2" xfId="24552" xr:uid="{AA114D0F-DE12-4B69-B5A5-97C62ABA5F54}"/>
    <cellStyle name="Normal 3 2 2 2 2 2 2 13 2 2 2 3 2 3" xfId="24553" xr:uid="{476BE7FB-9CE8-4CEB-90F2-297E4E6645F1}"/>
    <cellStyle name="Normal 3 2 2 2 2 2 2 13 2 2 2 3 2 4" xfId="24554" xr:uid="{76845BFA-5C9E-4ED2-B89E-9776E47A89E7}"/>
    <cellStyle name="Normal 3 2 2 2 2 2 2 13 2 2 2 3 3" xfId="24555" xr:uid="{30864C43-A6DD-4CAD-815C-2A60FEE81711}"/>
    <cellStyle name="Normal 3 2 2 2 2 2 2 13 2 2 2 3 4" xfId="24556" xr:uid="{14EEA7DF-9B91-4A56-BCAF-F7EA20316FCF}"/>
    <cellStyle name="Normal 3 2 2 2 2 2 2 13 2 2 2 3 5" xfId="24557" xr:uid="{64034D29-A639-4BE2-ACD9-7333918AF672}"/>
    <cellStyle name="Normal 3 2 2 2 2 2 2 13 2 2 2 3 6" xfId="24558" xr:uid="{E7F665FF-504B-41C5-AFAE-C2F5D137559A}"/>
    <cellStyle name="Normal 3 2 2 2 2 2 2 13 2 2 2 4" xfId="24559" xr:uid="{B28545BE-C910-460D-B734-A8FCF5A13C3F}"/>
    <cellStyle name="Normal 3 2 2 2 2 2 2 13 2 2 2 5" xfId="24560" xr:uid="{0BD76034-6580-420E-9B0A-34393622BEAD}"/>
    <cellStyle name="Normal 3 2 2 2 2 2 2 13 2 2 2 6" xfId="24561" xr:uid="{85A78B12-D5BD-45DA-ABC4-B84A45D5F6A2}"/>
    <cellStyle name="Normal 3 2 2 2 2 2 2 13 2 2 2 7" xfId="24562" xr:uid="{7A361C5F-D398-4C6E-AB3D-A5997DF4ED6E}"/>
    <cellStyle name="Normal 3 2 2 2 2 2 2 13 2 2 2 8" xfId="24563" xr:uid="{7255CD7D-6D21-43BA-A555-607819AE1A64}"/>
    <cellStyle name="Normal 3 2 2 2 2 2 2 13 2 2 2 8 2" xfId="24564" xr:uid="{5E272CD9-4695-422E-BD86-DF011A54E947}"/>
    <cellStyle name="Normal 3 2 2 2 2 2 2 13 2 2 2 8 3" xfId="24565" xr:uid="{BB6DE17D-3021-456D-8487-B71E30A1FBA1}"/>
    <cellStyle name="Normal 3 2 2 2 2 2 2 13 2 2 2 8 4" xfId="24566" xr:uid="{77A5DE33-8364-402F-8A54-B3B2EA361998}"/>
    <cellStyle name="Normal 3 2 2 2 2 2 2 13 2 2 2 9" xfId="24567" xr:uid="{09551CF9-E6F3-4A33-B1BF-4E6FD17256B7}"/>
    <cellStyle name="Normal 3 2 2 2 2 2 2 13 2 2 3" xfId="24568" xr:uid="{F91D746F-74C3-4D6D-87C0-EF27C04DA8C3}"/>
    <cellStyle name="Normal 3 2 2 2 2 2 2 13 2 2 4" xfId="24569" xr:uid="{D5726548-316B-498E-A74F-CC68C3528BB7}"/>
    <cellStyle name="Normal 3 2 2 2 2 2 2 13 2 2 5" xfId="24570" xr:uid="{A2452D0D-3F7C-4CCE-A2B9-14D002ED1DFB}"/>
    <cellStyle name="Normal 3 2 2 2 2 2 2 13 2 2 5 2" xfId="24571" xr:uid="{B084694B-7CA7-4783-B1F9-64745F2AC523}"/>
    <cellStyle name="Normal 3 2 2 2 2 2 2 13 2 2 5 2 2" xfId="24572" xr:uid="{85329B67-0CC5-455F-8B1E-23DD57751244}"/>
    <cellStyle name="Normal 3 2 2 2 2 2 2 13 2 2 5 2 3" xfId="24573" xr:uid="{4256F06B-2598-45A0-8ABB-6C6FA9BA0426}"/>
    <cellStyle name="Normal 3 2 2 2 2 2 2 13 2 2 5 2 4" xfId="24574" xr:uid="{168CD598-D247-455A-B7D5-B08546984F89}"/>
    <cellStyle name="Normal 3 2 2 2 2 2 2 13 2 2 5 3" xfId="24575" xr:uid="{D3838581-A30D-4E38-A61E-FAD8D20BBE3B}"/>
    <cellStyle name="Normal 3 2 2 2 2 2 2 13 2 2 5 4" xfId="24576" xr:uid="{233AC213-71A5-458D-81A4-B9C65DAC391A}"/>
    <cellStyle name="Normal 3 2 2 2 2 2 2 13 2 2 5 5" xfId="24577" xr:uid="{39144382-CDCE-4E5B-AB98-2B5E3A677F1F}"/>
    <cellStyle name="Normal 3 2 2 2 2 2 2 13 2 2 5 6" xfId="24578" xr:uid="{D47B4259-CA85-4BAB-BBA7-D264A6EA1CD9}"/>
    <cellStyle name="Normal 3 2 2 2 2 2 2 13 2 2 6" xfId="24579" xr:uid="{1C280270-A2DF-4D2D-8EE2-AD4861B08A48}"/>
    <cellStyle name="Normal 3 2 2 2 2 2 2 13 2 2 7" xfId="24580" xr:uid="{F42EF512-5942-4E5E-8AF4-AED7336ED300}"/>
    <cellStyle name="Normal 3 2 2 2 2 2 2 13 2 2 8" xfId="24581" xr:uid="{B98441E1-5671-406A-B176-4962868A7819}"/>
    <cellStyle name="Normal 3 2 2 2 2 2 2 13 2 2 9" xfId="24582" xr:uid="{58C76124-95A2-464F-9DBE-927BD7545CD7}"/>
    <cellStyle name="Normal 3 2 2 2 2 2 2 13 2 3" xfId="24583" xr:uid="{85269A01-E7A8-4029-9E1E-71160ECCF59F}"/>
    <cellStyle name="Normal 3 2 2 2 2 2 2 13 2 4" xfId="24584" xr:uid="{E29BCB99-6687-4205-9929-BCE0300E1DD4}"/>
    <cellStyle name="Normal 3 2 2 2 2 2 2 13 2 5" xfId="24585" xr:uid="{B31EF84C-5520-4DC8-B662-4673552E6687}"/>
    <cellStyle name="Normal 3 2 2 2 2 2 2 13 2 5 10" xfId="24586" xr:uid="{33299A63-D53A-4131-8B31-9E60D523E2AE}"/>
    <cellStyle name="Normal 3 2 2 2 2 2 2 13 2 5 11" xfId="24587" xr:uid="{8ADA20A1-D4FA-4973-9C4C-2743C5D75CFB}"/>
    <cellStyle name="Normal 3 2 2 2 2 2 2 13 2 5 2" xfId="24588" xr:uid="{7FECD472-A7FF-47D0-9B3C-ADEDC12C6778}"/>
    <cellStyle name="Normal 3 2 2 2 2 2 2 13 2 5 2 10" xfId="24589" xr:uid="{A7C8D17E-2A1F-453F-A424-A9F53250E951}"/>
    <cellStyle name="Normal 3 2 2 2 2 2 2 13 2 5 2 11" xfId="24590" xr:uid="{0C7E5E53-CAAA-4F70-BAED-8D7770461A0A}"/>
    <cellStyle name="Normal 3 2 2 2 2 2 2 13 2 5 2 2" xfId="24591" xr:uid="{2AF14995-F35C-4264-BDA5-788E244F96BB}"/>
    <cellStyle name="Normal 3 2 2 2 2 2 2 13 2 5 2 2 2" xfId="24592" xr:uid="{D65EE9E3-743F-4E17-9299-FFF33A3DDDC6}"/>
    <cellStyle name="Normal 3 2 2 2 2 2 2 13 2 5 2 2 2 2" xfId="24593" xr:uid="{BB052C1A-818A-47CC-9A56-5A7FEA754BE1}"/>
    <cellStyle name="Normal 3 2 2 2 2 2 2 13 2 5 2 2 2 3" xfId="24594" xr:uid="{31D5A6EC-4D97-41D2-A1A1-13A442CAD6BB}"/>
    <cellStyle name="Normal 3 2 2 2 2 2 2 13 2 5 2 2 2 4" xfId="24595" xr:uid="{373A7C99-9FBF-4587-941C-12D7C9A575F0}"/>
    <cellStyle name="Normal 3 2 2 2 2 2 2 13 2 5 2 2 3" xfId="24596" xr:uid="{9C20E215-0537-4A23-9A45-4B8166812551}"/>
    <cellStyle name="Normal 3 2 2 2 2 2 2 13 2 5 2 2 4" xfId="24597" xr:uid="{E43C5BE0-7F2F-416F-8905-578705C97F7E}"/>
    <cellStyle name="Normal 3 2 2 2 2 2 2 13 2 5 2 2 5" xfId="24598" xr:uid="{D793FB40-3660-4371-9A4C-C59A32C7FCBC}"/>
    <cellStyle name="Normal 3 2 2 2 2 2 2 13 2 5 2 2 6" xfId="24599" xr:uid="{920283A3-CC2B-4071-BCFE-E7166B27005A}"/>
    <cellStyle name="Normal 3 2 2 2 2 2 2 13 2 5 2 3" xfId="24600" xr:uid="{43382F6F-D6B3-4E1E-A230-54D13F38C756}"/>
    <cellStyle name="Normal 3 2 2 2 2 2 2 13 2 5 2 4" xfId="24601" xr:uid="{D47E8993-3412-46D9-AB5E-175F59A8398A}"/>
    <cellStyle name="Normal 3 2 2 2 2 2 2 13 2 5 2 5" xfId="24602" xr:uid="{36757136-C9AB-47A9-B8DD-CF95FB4415C1}"/>
    <cellStyle name="Normal 3 2 2 2 2 2 2 13 2 5 2 6" xfId="24603" xr:uid="{ADFE6A02-12A7-4F3F-A02C-DAD0CF19C4D1}"/>
    <cellStyle name="Normal 3 2 2 2 2 2 2 13 2 5 2 7" xfId="24604" xr:uid="{4BE2BE5A-6E0F-4910-8632-212953DBBF3B}"/>
    <cellStyle name="Normal 3 2 2 2 2 2 2 13 2 5 2 8" xfId="24605" xr:uid="{FEC7A895-EC56-4363-A6A8-C740C5E9DBE9}"/>
    <cellStyle name="Normal 3 2 2 2 2 2 2 13 2 5 2 8 2" xfId="24606" xr:uid="{CDD0F5CE-67CE-4870-A3CB-7765C81E7222}"/>
    <cellStyle name="Normal 3 2 2 2 2 2 2 13 2 5 2 8 3" xfId="24607" xr:uid="{3D91C864-D52F-4E22-B9F2-D12CB103C24A}"/>
    <cellStyle name="Normal 3 2 2 2 2 2 2 13 2 5 2 8 4" xfId="24608" xr:uid="{AFD0D513-13B0-45DB-98CE-59783C37B252}"/>
    <cellStyle name="Normal 3 2 2 2 2 2 2 13 2 5 2 9" xfId="24609" xr:uid="{B4485B7B-94DC-45D8-A0DE-807B413251CE}"/>
    <cellStyle name="Normal 3 2 2 2 2 2 2 13 2 5 3" xfId="24610" xr:uid="{86A6A620-F2D7-4633-A3C9-150739DE494D}"/>
    <cellStyle name="Normal 3 2 2 2 2 2 2 13 2 5 3 2" xfId="24611" xr:uid="{4CF1DD5E-85B3-4F31-99FC-ACDB1A166D25}"/>
    <cellStyle name="Normal 3 2 2 2 2 2 2 13 2 5 3 2 2" xfId="24612" xr:uid="{A2A47780-65D5-4AC0-8D88-C4EDC12EDBD9}"/>
    <cellStyle name="Normal 3 2 2 2 2 2 2 13 2 5 3 2 3" xfId="24613" xr:uid="{5BE2A975-1311-43F5-B45F-30BF7CD821EC}"/>
    <cellStyle name="Normal 3 2 2 2 2 2 2 13 2 5 3 2 4" xfId="24614" xr:uid="{9903E975-F6A4-42BA-9DA5-44CF40567522}"/>
    <cellStyle name="Normal 3 2 2 2 2 2 2 13 2 5 3 3" xfId="24615" xr:uid="{E7B82430-47DA-4F8C-9767-7204B208544F}"/>
    <cellStyle name="Normal 3 2 2 2 2 2 2 13 2 5 3 4" xfId="24616" xr:uid="{F3CF4407-056A-442D-B382-F202627A2D44}"/>
    <cellStyle name="Normal 3 2 2 2 2 2 2 13 2 5 3 5" xfId="24617" xr:uid="{765AD281-5BB0-435E-AF07-019F56C9328D}"/>
    <cellStyle name="Normal 3 2 2 2 2 2 2 13 2 5 3 6" xfId="24618" xr:uid="{906A0D3D-6613-40A4-84B7-07F411625537}"/>
    <cellStyle name="Normal 3 2 2 2 2 2 2 13 2 5 4" xfId="24619" xr:uid="{2C43370C-37FB-48DB-A2AB-7ECEB3565902}"/>
    <cellStyle name="Normal 3 2 2 2 2 2 2 13 2 5 5" xfId="24620" xr:uid="{26EFE547-C1D2-4969-A6B1-BB25D57C7390}"/>
    <cellStyle name="Normal 3 2 2 2 2 2 2 13 2 5 6" xfId="24621" xr:uid="{E6F1822F-17C5-4422-9E3F-1EB86D38FCEA}"/>
    <cellStyle name="Normal 3 2 2 2 2 2 2 13 2 5 7" xfId="24622" xr:uid="{1E1CFC43-AC34-4BC9-A6DF-2AA9589CF44A}"/>
    <cellStyle name="Normal 3 2 2 2 2 2 2 13 2 5 8" xfId="24623" xr:uid="{CBB54C79-46C1-425C-ACB7-A5F928CC7293}"/>
    <cellStyle name="Normal 3 2 2 2 2 2 2 13 2 5 8 2" xfId="24624" xr:uid="{7A8B490B-7B3F-4A1C-B169-1BF15A257BBA}"/>
    <cellStyle name="Normal 3 2 2 2 2 2 2 13 2 5 8 3" xfId="24625" xr:uid="{48938415-A5C8-4244-929E-D3F9E17B7D22}"/>
    <cellStyle name="Normal 3 2 2 2 2 2 2 13 2 5 8 4" xfId="24626" xr:uid="{35C2E6B4-1868-47AA-8A46-697441B70A76}"/>
    <cellStyle name="Normal 3 2 2 2 2 2 2 13 2 5 9" xfId="24627" xr:uid="{5E0AA212-50BC-442C-B520-15DD415EAB49}"/>
    <cellStyle name="Normal 3 2 2 2 2 2 2 13 2 6" xfId="24628" xr:uid="{EDC43E7D-C515-4F86-AAA5-B377DA64B438}"/>
    <cellStyle name="Normal 3 2 2 2 2 2 2 13 2 7" xfId="24629" xr:uid="{08B20F87-CB30-402D-9755-A4E088D2BC83}"/>
    <cellStyle name="Normal 3 2 2 2 2 2 2 13 2 7 2" xfId="24630" xr:uid="{198EC767-E350-47AC-B2E3-263571A54DE7}"/>
    <cellStyle name="Normal 3 2 2 2 2 2 2 13 2 7 2 2" xfId="24631" xr:uid="{F8548E64-5F2D-4482-9A13-55506F788695}"/>
    <cellStyle name="Normal 3 2 2 2 2 2 2 13 2 7 2 3" xfId="24632" xr:uid="{8599D81F-242A-49B6-9866-FCB98BBB8FCA}"/>
    <cellStyle name="Normal 3 2 2 2 2 2 2 13 2 7 2 4" xfId="24633" xr:uid="{71FAC57D-5636-4CF5-ABD5-A18C2570A148}"/>
    <cellStyle name="Normal 3 2 2 2 2 2 2 13 2 7 3" xfId="24634" xr:uid="{464A4B15-024E-4911-9BAC-805FC703439A}"/>
    <cellStyle name="Normal 3 2 2 2 2 2 2 13 2 7 4" xfId="24635" xr:uid="{7D9E742E-85FA-41B7-907E-4E05A786064A}"/>
    <cellStyle name="Normal 3 2 2 2 2 2 2 13 2 7 5" xfId="24636" xr:uid="{5221927B-1B3E-4398-9F81-8CB5A450BCFE}"/>
    <cellStyle name="Normal 3 2 2 2 2 2 2 13 2 7 6" xfId="24637" xr:uid="{3DAA60CD-E7D4-434D-9D66-D7DD8D46765A}"/>
    <cellStyle name="Normal 3 2 2 2 2 2 2 13 2 8" xfId="24638" xr:uid="{301D4C51-C878-4B0B-876C-F255ED8E72E6}"/>
    <cellStyle name="Normal 3 2 2 2 2 2 2 13 2 9" xfId="24639" xr:uid="{294B38C6-F083-4249-9EB9-9C41D45AE4E3}"/>
    <cellStyle name="Normal 3 2 2 2 2 2 2 13 20" xfId="24640" xr:uid="{115F7052-E31A-4691-BFC3-23B19892D76F}"/>
    <cellStyle name="Normal 3 2 2 2 2 2 2 13 21" xfId="24641" xr:uid="{BF1BC597-5854-44AD-ADAE-CE0D482FD6C9}"/>
    <cellStyle name="Normal 3 2 2 2 2 2 2 13 21 2" xfId="24642" xr:uid="{64450EA7-9491-400C-992F-20E1C72A9FAD}"/>
    <cellStyle name="Normal 3 2 2 2 2 2 2 13 21 3" xfId="24643" xr:uid="{8AF0EF07-A58A-47F5-9977-3B39B59CA939}"/>
    <cellStyle name="Normal 3 2 2 2 2 2 2 13 21 4" xfId="24644" xr:uid="{398A7094-3F62-4627-8000-D69DD8051195}"/>
    <cellStyle name="Normal 3 2 2 2 2 2 2 13 22" xfId="24645" xr:uid="{3EDE1D30-00D8-49F2-B0CD-6E0136181088}"/>
    <cellStyle name="Normal 3 2 2 2 2 2 2 13 23" xfId="24646" xr:uid="{1CA27C73-59AA-4645-8EEC-90A806D62E14}"/>
    <cellStyle name="Normal 3 2 2 2 2 2 2 13 24" xfId="24647" xr:uid="{2102CFCC-54E5-43CB-B54B-9F19D386115B}"/>
    <cellStyle name="Normal 3 2 2 2 2 2 2 13 3" xfId="24648" xr:uid="{FE0C1CFB-9D02-469B-8B18-E3E6251AFB5C}"/>
    <cellStyle name="Normal 3 2 2 2 2 2 2 13 4" xfId="24649" xr:uid="{DABA83D2-66C4-41CA-A468-EBEE1AAA9B01}"/>
    <cellStyle name="Normal 3 2 2 2 2 2 2 13 5" xfId="24650" xr:uid="{6A0E170A-FEB7-4782-A5D3-2F460E75D4E6}"/>
    <cellStyle name="Normal 3 2 2 2 2 2 2 13 6" xfId="24651" xr:uid="{701C24A7-DAF1-4C79-BF0B-31369F209400}"/>
    <cellStyle name="Normal 3 2 2 2 2 2 2 13 7" xfId="24652" xr:uid="{D82BA8C8-9978-4E42-AA46-F14FF28AC5B6}"/>
    <cellStyle name="Normal 3 2 2 2 2 2 2 13 8" xfId="24653" xr:uid="{E235BE71-E3B0-4AF9-B4AA-0F94B9EFA0C5}"/>
    <cellStyle name="Normal 3 2 2 2 2 2 2 13 9" xfId="24654" xr:uid="{11E6BFB4-2562-44F9-9523-48288A90B3C8}"/>
    <cellStyle name="Normal 3 2 2 2 2 2 2 14" xfId="24655" xr:uid="{0145CAA6-C819-4B4A-81DD-F82CC1CC1405}"/>
    <cellStyle name="Normal 3 2 2 2 2 2 2 14 10" xfId="24656" xr:uid="{E7CA73FB-5C54-400B-BFB5-573A2783E156}"/>
    <cellStyle name="Normal 3 2 2 2 2 2 2 14 11" xfId="24657" xr:uid="{0E7A798A-CCAD-4A67-B3B9-5B351BF4DA2C}"/>
    <cellStyle name="Normal 3 2 2 2 2 2 2 14 12" xfId="24658" xr:uid="{370BA611-2E06-4A85-B90E-F73556206923}"/>
    <cellStyle name="Normal 3 2 2 2 2 2 2 14 13" xfId="24659" xr:uid="{76994695-936B-4922-A782-0D03BE2146F2}"/>
    <cellStyle name="Normal 3 2 2 2 2 2 2 14 13 2" xfId="24660" xr:uid="{FFDAC5DA-B1DA-4152-AAA3-0217D804339C}"/>
    <cellStyle name="Normal 3 2 2 2 2 2 2 14 13 3" xfId="24661" xr:uid="{9FF67924-48F0-4EB4-B884-878D931DC0F0}"/>
    <cellStyle name="Normal 3 2 2 2 2 2 2 14 13 4" xfId="24662" xr:uid="{C7D7B846-0E54-4669-B64F-12EE8DAA466C}"/>
    <cellStyle name="Normal 3 2 2 2 2 2 2 14 14" xfId="24663" xr:uid="{398366D4-BC74-4D90-B8A6-770B2BA2167D}"/>
    <cellStyle name="Normal 3 2 2 2 2 2 2 14 15" xfId="24664" xr:uid="{447377D5-5FC7-43DE-BB6F-B909CDE883A2}"/>
    <cellStyle name="Normal 3 2 2 2 2 2 2 14 16" xfId="24665" xr:uid="{264ED066-A773-4FB5-9B28-40911B4770A4}"/>
    <cellStyle name="Normal 3 2 2 2 2 2 2 14 2" xfId="24666" xr:uid="{DE982B14-A5A1-4167-BCB7-A44FE6230B41}"/>
    <cellStyle name="Normal 3 2 2 2 2 2 2 14 2 10" xfId="24667" xr:uid="{D6676B5F-DB0B-4660-96EA-A7E918EFEA77}"/>
    <cellStyle name="Normal 3 2 2 2 2 2 2 14 2 11" xfId="24668" xr:uid="{A3211FA0-7942-41B5-8F5B-465CDEFC8E81}"/>
    <cellStyle name="Normal 3 2 2 2 2 2 2 14 2 11 2" xfId="24669" xr:uid="{80791835-B64A-470E-9127-46140977DEE8}"/>
    <cellStyle name="Normal 3 2 2 2 2 2 2 14 2 11 3" xfId="24670" xr:uid="{D94DBB8E-C881-4190-AEC3-87D270749848}"/>
    <cellStyle name="Normal 3 2 2 2 2 2 2 14 2 11 4" xfId="24671" xr:uid="{C0A13E63-393D-4EC2-8EC0-8BC0249CACAF}"/>
    <cellStyle name="Normal 3 2 2 2 2 2 2 14 2 12" xfId="24672" xr:uid="{587BB07B-A7CC-4C7D-9A28-B08FCB357F1F}"/>
    <cellStyle name="Normal 3 2 2 2 2 2 2 14 2 13" xfId="24673" xr:uid="{A3185082-A0D0-4CCF-9F5A-7192E86DD222}"/>
    <cellStyle name="Normal 3 2 2 2 2 2 2 14 2 14" xfId="24674" xr:uid="{217AAEE0-4DD4-46A4-B0EF-163FC01D7134}"/>
    <cellStyle name="Normal 3 2 2 2 2 2 2 14 2 2" xfId="24675" xr:uid="{A2D766B4-1877-4E32-9EDE-C8AEB1C2CF87}"/>
    <cellStyle name="Normal 3 2 2 2 2 2 2 14 2 2 10" xfId="24676" xr:uid="{B98A90EC-288C-4493-A3A5-20F686F52384}"/>
    <cellStyle name="Normal 3 2 2 2 2 2 2 14 2 2 11" xfId="24677" xr:uid="{1F573528-1F64-4ED5-B726-AB476AE4BA35}"/>
    <cellStyle name="Normal 3 2 2 2 2 2 2 14 2 2 2" xfId="24678" xr:uid="{5A586D4C-DBF0-4775-BA60-0CBD65BC27AE}"/>
    <cellStyle name="Normal 3 2 2 2 2 2 2 14 2 2 2 10" xfId="24679" xr:uid="{7301B479-BAB0-42E2-BBF1-63A832DC2AAA}"/>
    <cellStyle name="Normal 3 2 2 2 2 2 2 14 2 2 2 11" xfId="24680" xr:uid="{7B3A078D-DC64-4CB2-A9E1-8F849E53FD49}"/>
    <cellStyle name="Normal 3 2 2 2 2 2 2 14 2 2 2 2" xfId="24681" xr:uid="{6E07DE08-FEC9-4425-9AA8-BDBFF3D2E094}"/>
    <cellStyle name="Normal 3 2 2 2 2 2 2 14 2 2 2 2 2" xfId="24682" xr:uid="{2F00D604-09E7-44C0-B950-97757C23DA65}"/>
    <cellStyle name="Normal 3 2 2 2 2 2 2 14 2 2 2 2 2 2" xfId="24683" xr:uid="{ECEA0EAF-D6C0-4801-9442-3BFB7E2D1B07}"/>
    <cellStyle name="Normal 3 2 2 2 2 2 2 14 2 2 2 2 2 3" xfId="24684" xr:uid="{058CFB1A-8B9D-483D-A4C3-871687C87876}"/>
    <cellStyle name="Normal 3 2 2 2 2 2 2 14 2 2 2 2 2 4" xfId="24685" xr:uid="{87F86090-300D-4E35-86C7-003C1880D5D9}"/>
    <cellStyle name="Normal 3 2 2 2 2 2 2 14 2 2 2 2 3" xfId="24686" xr:uid="{309E30B3-6696-49F3-9D3D-3F123D90B338}"/>
    <cellStyle name="Normal 3 2 2 2 2 2 2 14 2 2 2 2 4" xfId="24687" xr:uid="{03790904-CEE2-42CA-9ED3-01F31A40EC48}"/>
    <cellStyle name="Normal 3 2 2 2 2 2 2 14 2 2 2 2 5" xfId="24688" xr:uid="{C430E3D8-B5D2-4C40-A7ED-93C7FC4928E8}"/>
    <cellStyle name="Normal 3 2 2 2 2 2 2 14 2 2 2 2 6" xfId="24689" xr:uid="{EAB0CFA6-45E1-46D4-8F7B-D683B083375C}"/>
    <cellStyle name="Normal 3 2 2 2 2 2 2 14 2 2 2 3" xfId="24690" xr:uid="{84452275-16BE-4566-97CB-C6836AFC157A}"/>
    <cellStyle name="Normal 3 2 2 2 2 2 2 14 2 2 2 4" xfId="24691" xr:uid="{1757F9A0-DE8E-4E13-87F1-CE402EDBA2E8}"/>
    <cellStyle name="Normal 3 2 2 2 2 2 2 14 2 2 2 5" xfId="24692" xr:uid="{07970BCC-3AC2-4E6C-ADF5-C3A7AEDB9C27}"/>
    <cellStyle name="Normal 3 2 2 2 2 2 2 14 2 2 2 6" xfId="24693" xr:uid="{D2328B33-E379-490C-AC48-9B89F08CA14E}"/>
    <cellStyle name="Normal 3 2 2 2 2 2 2 14 2 2 2 7" xfId="24694" xr:uid="{24BB8CA3-0CF3-4FDE-8FEE-AD7EADE556CA}"/>
    <cellStyle name="Normal 3 2 2 2 2 2 2 14 2 2 2 8" xfId="24695" xr:uid="{9C276C9A-D028-4603-82E6-AE0DEABAA215}"/>
    <cellStyle name="Normal 3 2 2 2 2 2 2 14 2 2 2 8 2" xfId="24696" xr:uid="{96AA51DA-DED8-435E-91E3-8E8BFD1579D6}"/>
    <cellStyle name="Normal 3 2 2 2 2 2 2 14 2 2 2 8 3" xfId="24697" xr:uid="{3AC4566A-EC4B-45F9-82B0-253B9BB3F96A}"/>
    <cellStyle name="Normal 3 2 2 2 2 2 2 14 2 2 2 8 4" xfId="24698" xr:uid="{1BB837DE-F3EE-424E-BD6F-A933B00318E4}"/>
    <cellStyle name="Normal 3 2 2 2 2 2 2 14 2 2 2 9" xfId="24699" xr:uid="{218852A0-6F10-46EA-B5B0-51801EC4578C}"/>
    <cellStyle name="Normal 3 2 2 2 2 2 2 14 2 2 3" xfId="24700" xr:uid="{6C7ABCD2-0233-46A9-99F8-14E0A2D64B0D}"/>
    <cellStyle name="Normal 3 2 2 2 2 2 2 14 2 2 3 2" xfId="24701" xr:uid="{DEEC22DA-4C43-4B7B-A338-072917A8B161}"/>
    <cellStyle name="Normal 3 2 2 2 2 2 2 14 2 2 3 2 2" xfId="24702" xr:uid="{0FB94348-2EBC-495A-97C3-9FCD337AF28B}"/>
    <cellStyle name="Normal 3 2 2 2 2 2 2 14 2 2 3 2 3" xfId="24703" xr:uid="{5D67D445-9496-4A77-B523-D72D25350BCB}"/>
    <cellStyle name="Normal 3 2 2 2 2 2 2 14 2 2 3 2 4" xfId="24704" xr:uid="{9C389BA8-E4C6-41A4-AC5C-64E92C467FA1}"/>
    <cellStyle name="Normal 3 2 2 2 2 2 2 14 2 2 3 3" xfId="24705" xr:uid="{A3420C75-F98F-4AAA-ADAB-426F02AAF1F6}"/>
    <cellStyle name="Normal 3 2 2 2 2 2 2 14 2 2 3 4" xfId="24706" xr:uid="{6B978699-B8A6-4E79-887B-3B9CFCA60092}"/>
    <cellStyle name="Normal 3 2 2 2 2 2 2 14 2 2 3 5" xfId="24707" xr:uid="{A4071A12-1E3C-4E6F-AD98-6151B97625DA}"/>
    <cellStyle name="Normal 3 2 2 2 2 2 2 14 2 2 3 6" xfId="24708" xr:uid="{04C6BA91-BF33-4D1F-B296-E69D07C7FFC4}"/>
    <cellStyle name="Normal 3 2 2 2 2 2 2 14 2 2 4" xfId="24709" xr:uid="{BDD0EF16-94D9-4A35-AF5C-2B3C60B304F7}"/>
    <cellStyle name="Normal 3 2 2 2 2 2 2 14 2 2 5" xfId="24710" xr:uid="{136D82C3-51DC-42FF-A67F-D53D2D51D15B}"/>
    <cellStyle name="Normal 3 2 2 2 2 2 2 14 2 2 6" xfId="24711" xr:uid="{585A6A88-B531-4C37-B9FD-715B9D14640F}"/>
    <cellStyle name="Normal 3 2 2 2 2 2 2 14 2 2 7" xfId="24712" xr:uid="{7A145446-3B8C-4B86-9476-03537FB2590F}"/>
    <cellStyle name="Normal 3 2 2 2 2 2 2 14 2 2 8" xfId="24713" xr:uid="{DEFAA183-94AA-4003-8020-F700FDB8D55F}"/>
    <cellStyle name="Normal 3 2 2 2 2 2 2 14 2 2 8 2" xfId="24714" xr:uid="{7478003B-16E3-418A-8951-F4C8D91CE728}"/>
    <cellStyle name="Normal 3 2 2 2 2 2 2 14 2 2 8 3" xfId="24715" xr:uid="{10053EC9-2F75-4430-A5B3-2161B6EA34FC}"/>
    <cellStyle name="Normal 3 2 2 2 2 2 2 14 2 2 8 4" xfId="24716" xr:uid="{F3A78643-4229-4E09-A2B3-FCFAA3BFBF3A}"/>
    <cellStyle name="Normal 3 2 2 2 2 2 2 14 2 2 9" xfId="24717" xr:uid="{23490339-D3B8-41E2-B3ED-BECC4A53C65D}"/>
    <cellStyle name="Normal 3 2 2 2 2 2 2 14 2 3" xfId="24718" xr:uid="{87DB5154-18FC-4D7E-862C-D4DC1A60FE31}"/>
    <cellStyle name="Normal 3 2 2 2 2 2 2 14 2 4" xfId="24719" xr:uid="{CBBAE5FA-8F51-4438-AE6D-A763018BD005}"/>
    <cellStyle name="Normal 3 2 2 2 2 2 2 14 2 5" xfId="24720" xr:uid="{E1B36B2A-F8EA-440B-997E-33F1BAAA52E0}"/>
    <cellStyle name="Normal 3 2 2 2 2 2 2 14 2 5 2" xfId="24721" xr:uid="{EC724C8D-8DA0-4D59-A1B7-C6E477E7CB2C}"/>
    <cellStyle name="Normal 3 2 2 2 2 2 2 14 2 5 2 2" xfId="24722" xr:uid="{9F91802D-90EA-432A-86FF-2F8A47426C2C}"/>
    <cellStyle name="Normal 3 2 2 2 2 2 2 14 2 5 2 3" xfId="24723" xr:uid="{628CBD82-D803-49F5-BCB4-CABF46D0E69D}"/>
    <cellStyle name="Normal 3 2 2 2 2 2 2 14 2 5 2 4" xfId="24724" xr:uid="{6800F218-89AD-4B2D-8F99-160D64897143}"/>
    <cellStyle name="Normal 3 2 2 2 2 2 2 14 2 5 3" xfId="24725" xr:uid="{1F8F878A-476D-4F4F-9469-1D0A19ACB71B}"/>
    <cellStyle name="Normal 3 2 2 2 2 2 2 14 2 5 4" xfId="24726" xr:uid="{83210AB2-D775-4062-B752-58731B9841D1}"/>
    <cellStyle name="Normal 3 2 2 2 2 2 2 14 2 5 5" xfId="24727" xr:uid="{C2C3452F-2B23-4999-8588-467F2DFAC7AF}"/>
    <cellStyle name="Normal 3 2 2 2 2 2 2 14 2 5 6" xfId="24728" xr:uid="{23343159-71B3-44C1-B846-604DBFA1D4F4}"/>
    <cellStyle name="Normal 3 2 2 2 2 2 2 14 2 6" xfId="24729" xr:uid="{12EB897C-50F0-4D1D-BD6D-5FDEFDD28502}"/>
    <cellStyle name="Normal 3 2 2 2 2 2 2 14 2 7" xfId="24730" xr:uid="{D539EBC3-71A1-4296-99AA-544ED134E899}"/>
    <cellStyle name="Normal 3 2 2 2 2 2 2 14 2 8" xfId="24731" xr:uid="{E15404CB-4012-48FA-934A-C03AFB4C4877}"/>
    <cellStyle name="Normal 3 2 2 2 2 2 2 14 2 9" xfId="24732" xr:uid="{7795F967-FC0D-4B94-9E8E-A371ACFDAD56}"/>
    <cellStyle name="Normal 3 2 2 2 2 2 2 14 3" xfId="24733" xr:uid="{CB551A56-FEA5-4C21-AB13-35E9DCC8D089}"/>
    <cellStyle name="Normal 3 2 2 2 2 2 2 14 4" xfId="24734" xr:uid="{08E809B5-002C-44D5-B249-107FED04F628}"/>
    <cellStyle name="Normal 3 2 2 2 2 2 2 14 5" xfId="24735" xr:uid="{6D57A8B2-67AD-4EA0-800F-B81F509CBF8D}"/>
    <cellStyle name="Normal 3 2 2 2 2 2 2 14 5 10" xfId="24736" xr:uid="{AB5DDD98-65CF-434C-BF5B-9786DEC3EC91}"/>
    <cellStyle name="Normal 3 2 2 2 2 2 2 14 5 11" xfId="24737" xr:uid="{86A59EA3-F5AB-463E-96F0-29ECC712C34B}"/>
    <cellStyle name="Normal 3 2 2 2 2 2 2 14 5 2" xfId="24738" xr:uid="{F4509C22-4143-4469-9C98-59F51C2B092E}"/>
    <cellStyle name="Normal 3 2 2 2 2 2 2 14 5 2 10" xfId="24739" xr:uid="{91D4E7FA-C028-4B8F-AEA8-C2C325AA8485}"/>
    <cellStyle name="Normal 3 2 2 2 2 2 2 14 5 2 11" xfId="24740" xr:uid="{0D556508-F41D-4769-9C96-0A61A470E235}"/>
    <cellStyle name="Normal 3 2 2 2 2 2 2 14 5 2 2" xfId="24741" xr:uid="{E39FC0DD-2AF6-432A-898C-585D32F21D2E}"/>
    <cellStyle name="Normal 3 2 2 2 2 2 2 14 5 2 2 2" xfId="24742" xr:uid="{5ECC9B80-F9DC-4C0C-A3AC-56A124DAE1B5}"/>
    <cellStyle name="Normal 3 2 2 2 2 2 2 14 5 2 2 2 2" xfId="24743" xr:uid="{004068AD-EB98-43FF-A9C3-3A13C16925CC}"/>
    <cellStyle name="Normal 3 2 2 2 2 2 2 14 5 2 2 2 3" xfId="24744" xr:uid="{8EBE8DF1-BF4A-4A4D-AAC1-138035C3D226}"/>
    <cellStyle name="Normal 3 2 2 2 2 2 2 14 5 2 2 2 4" xfId="24745" xr:uid="{B7ACA830-F35C-4A85-8B37-E9E8B6DA1D51}"/>
    <cellStyle name="Normal 3 2 2 2 2 2 2 14 5 2 2 3" xfId="24746" xr:uid="{FC5279E6-DF46-4EBA-9E39-6BA97E24ABE1}"/>
    <cellStyle name="Normal 3 2 2 2 2 2 2 14 5 2 2 4" xfId="24747" xr:uid="{382755BF-1907-426C-98B1-25D4B3815417}"/>
    <cellStyle name="Normal 3 2 2 2 2 2 2 14 5 2 2 5" xfId="24748" xr:uid="{B38EEF1B-A1A7-4E3A-9C8A-B8E40DA210ED}"/>
    <cellStyle name="Normal 3 2 2 2 2 2 2 14 5 2 2 6" xfId="24749" xr:uid="{BAF408A6-9EFE-4FC1-B240-ACEEA2080BDB}"/>
    <cellStyle name="Normal 3 2 2 2 2 2 2 14 5 2 3" xfId="24750" xr:uid="{60173367-552B-4E01-B166-59DB46914D23}"/>
    <cellStyle name="Normal 3 2 2 2 2 2 2 14 5 2 4" xfId="24751" xr:uid="{96542F87-B9AE-4BD3-8C6C-8770B9D8D86B}"/>
    <cellStyle name="Normal 3 2 2 2 2 2 2 14 5 2 5" xfId="24752" xr:uid="{6CE6ACEB-C9E5-4642-B8C7-6B353734A650}"/>
    <cellStyle name="Normal 3 2 2 2 2 2 2 14 5 2 6" xfId="24753" xr:uid="{2DC0F7F5-B92E-4BBA-BA43-72590632DB7F}"/>
    <cellStyle name="Normal 3 2 2 2 2 2 2 14 5 2 7" xfId="24754" xr:uid="{463233D5-CC29-497D-A433-1A1AD1896355}"/>
    <cellStyle name="Normal 3 2 2 2 2 2 2 14 5 2 8" xfId="24755" xr:uid="{6F322DE6-D6FB-4240-BDBC-12CA7A2E3237}"/>
    <cellStyle name="Normal 3 2 2 2 2 2 2 14 5 2 8 2" xfId="24756" xr:uid="{162C4E6F-7948-42B0-BB75-FD5DF0549EDE}"/>
    <cellStyle name="Normal 3 2 2 2 2 2 2 14 5 2 8 3" xfId="24757" xr:uid="{10BED66F-2BCE-40F7-8B7B-847917205CA4}"/>
    <cellStyle name="Normal 3 2 2 2 2 2 2 14 5 2 8 4" xfId="24758" xr:uid="{A5D93DC9-EC06-436F-9A1E-5A7F62FE4F8A}"/>
    <cellStyle name="Normal 3 2 2 2 2 2 2 14 5 2 9" xfId="24759" xr:uid="{77B6FA2A-BDE6-4A13-823A-3D59210525A1}"/>
    <cellStyle name="Normal 3 2 2 2 2 2 2 14 5 3" xfId="24760" xr:uid="{D78C0093-2071-423C-AA41-B8E9B56C82F0}"/>
    <cellStyle name="Normal 3 2 2 2 2 2 2 14 5 3 2" xfId="24761" xr:uid="{C768632B-9172-4A62-8AEF-CC427B339216}"/>
    <cellStyle name="Normal 3 2 2 2 2 2 2 14 5 3 2 2" xfId="24762" xr:uid="{784EA83B-B2D8-4E2C-9126-BAC75EC1C4B7}"/>
    <cellStyle name="Normal 3 2 2 2 2 2 2 14 5 3 2 3" xfId="24763" xr:uid="{C5B257C6-0CF6-43A9-A81D-93407041CD1F}"/>
    <cellStyle name="Normal 3 2 2 2 2 2 2 14 5 3 2 4" xfId="24764" xr:uid="{366CEDA8-7159-4046-B24E-F49B4240D7A0}"/>
    <cellStyle name="Normal 3 2 2 2 2 2 2 14 5 3 3" xfId="24765" xr:uid="{4B084731-A3DD-4A7E-AF34-7F28DD42B7A3}"/>
    <cellStyle name="Normal 3 2 2 2 2 2 2 14 5 3 4" xfId="24766" xr:uid="{C5286127-D89D-40E6-9AEE-EB737E32E226}"/>
    <cellStyle name="Normal 3 2 2 2 2 2 2 14 5 3 5" xfId="24767" xr:uid="{9C64AB3E-2197-4BD4-AB6B-974D5A212A76}"/>
    <cellStyle name="Normal 3 2 2 2 2 2 2 14 5 3 6" xfId="24768" xr:uid="{03589A69-4114-4921-85DF-83441DE5E6BD}"/>
    <cellStyle name="Normal 3 2 2 2 2 2 2 14 5 4" xfId="24769" xr:uid="{7A31DB46-E1FC-4DBD-88FE-F24DC48FE419}"/>
    <cellStyle name="Normal 3 2 2 2 2 2 2 14 5 5" xfId="24770" xr:uid="{DB25F53E-C989-47AC-BC42-628890F3A62C}"/>
    <cellStyle name="Normal 3 2 2 2 2 2 2 14 5 6" xfId="24771" xr:uid="{B006486F-42E7-47FE-9D3C-F9807F6FAE44}"/>
    <cellStyle name="Normal 3 2 2 2 2 2 2 14 5 7" xfId="24772" xr:uid="{53CEA3AF-1A7F-4B7F-A94B-D169C4EEA672}"/>
    <cellStyle name="Normal 3 2 2 2 2 2 2 14 5 8" xfId="24773" xr:uid="{62674F8C-21E3-4077-A81B-B43BE976661D}"/>
    <cellStyle name="Normal 3 2 2 2 2 2 2 14 5 8 2" xfId="24774" xr:uid="{7EA8FBBE-122B-47C7-BF42-75C5B135741B}"/>
    <cellStyle name="Normal 3 2 2 2 2 2 2 14 5 8 3" xfId="24775" xr:uid="{C364D60E-EF78-4114-94C6-D00115168C1E}"/>
    <cellStyle name="Normal 3 2 2 2 2 2 2 14 5 8 4" xfId="24776" xr:uid="{26541022-FCD9-4A56-935A-D9D174027E78}"/>
    <cellStyle name="Normal 3 2 2 2 2 2 2 14 5 9" xfId="24777" xr:uid="{4DED93B6-ED3B-47E9-9E2A-5EC64DDCF23F}"/>
    <cellStyle name="Normal 3 2 2 2 2 2 2 14 6" xfId="24778" xr:uid="{009F14CE-8368-447A-85ED-003EE338F50C}"/>
    <cellStyle name="Normal 3 2 2 2 2 2 2 14 7" xfId="24779" xr:uid="{E6593626-1DEE-413F-8214-6B2F4588F13E}"/>
    <cellStyle name="Normal 3 2 2 2 2 2 2 14 7 2" xfId="24780" xr:uid="{C06E6245-2F9E-41AD-86BF-8127CDDA9005}"/>
    <cellStyle name="Normal 3 2 2 2 2 2 2 14 7 2 2" xfId="24781" xr:uid="{35FF5B38-DE4D-42D6-9013-679BDD51B22B}"/>
    <cellStyle name="Normal 3 2 2 2 2 2 2 14 7 2 3" xfId="24782" xr:uid="{485F8571-AFC4-47FD-B744-D4962A839844}"/>
    <cellStyle name="Normal 3 2 2 2 2 2 2 14 7 2 4" xfId="24783" xr:uid="{3702416F-BE09-4188-953B-55481693917A}"/>
    <cellStyle name="Normal 3 2 2 2 2 2 2 14 7 3" xfId="24784" xr:uid="{F4405D50-91BC-4E88-ACA6-9846D217D5BD}"/>
    <cellStyle name="Normal 3 2 2 2 2 2 2 14 7 4" xfId="24785" xr:uid="{C70B516B-5FDF-4825-BE24-AB848399E3AE}"/>
    <cellStyle name="Normal 3 2 2 2 2 2 2 14 7 5" xfId="24786" xr:uid="{BB77CDDC-A3A4-4ACF-B7D8-C7E2872425CB}"/>
    <cellStyle name="Normal 3 2 2 2 2 2 2 14 7 6" xfId="24787" xr:uid="{42320D70-5E8D-4BD2-B198-E8AD51B19A2C}"/>
    <cellStyle name="Normal 3 2 2 2 2 2 2 14 8" xfId="24788" xr:uid="{25BB6508-CF53-4B79-9B60-0A19B010A20C}"/>
    <cellStyle name="Normal 3 2 2 2 2 2 2 14 9" xfId="24789" xr:uid="{9FC7079C-4270-4769-A211-B5CCE7ACF039}"/>
    <cellStyle name="Normal 3 2 2 2 2 2 2 15" xfId="24790" xr:uid="{7F166D12-4B6F-474C-A1A9-59D79C42797A}"/>
    <cellStyle name="Normal 3 2 2 2 2 2 2 16" xfId="24791" xr:uid="{CD962BBC-00AE-4589-A66A-E1CED88668F6}"/>
    <cellStyle name="Normal 3 2 2 2 2 2 2 17" xfId="24792" xr:uid="{C1D05E74-3C74-4744-AE7E-FD929F621458}"/>
    <cellStyle name="Normal 3 2 2 2 2 2 2 18" xfId="24793" xr:uid="{68C9BDE4-CA79-4B8F-AF68-8C8F0D7DFB09}"/>
    <cellStyle name="Normal 3 2 2 2 2 2 2 19" xfId="24794" xr:uid="{FE0E3FF2-1CB4-4561-89F7-9D40150D4563}"/>
    <cellStyle name="Normal 3 2 2 2 2 2 2 2" xfId="24795" xr:uid="{93893C2A-7356-4CE0-9450-6BB3D179D24D}"/>
    <cellStyle name="Normal 3 2 2 2 2 2 2 2 10" xfId="24796" xr:uid="{0D409F7E-C628-4544-AAED-744DE16FB712}"/>
    <cellStyle name="Normal 3 2 2 2 2 2 2 2 11" xfId="24797" xr:uid="{B72B385A-AE3C-4A31-BE8D-386335AA446B}"/>
    <cellStyle name="Normal 3 2 2 2 2 2 2 2 12" xfId="24798" xr:uid="{E23D5C4B-5B76-4EDB-BBBB-457EEEF33C43}"/>
    <cellStyle name="Normal 3 2 2 2 2 2 2 2 12 10" xfId="24799" xr:uid="{3BCF4456-0125-432F-A672-ACA48933C8BA}"/>
    <cellStyle name="Normal 3 2 2 2 2 2 2 2 12 11" xfId="24800" xr:uid="{D7EFB3A7-CFB9-4AFA-8D48-C361A038F416}"/>
    <cellStyle name="Normal 3 2 2 2 2 2 2 2 12 11 10" xfId="24801" xr:uid="{5A5FAF27-D7E9-4321-9DE2-21E140AB8538}"/>
    <cellStyle name="Normal 3 2 2 2 2 2 2 2 12 11 11" xfId="24802" xr:uid="{E5969E13-0072-4F8D-93A1-6AB2CA57EDC4}"/>
    <cellStyle name="Normal 3 2 2 2 2 2 2 2 12 11 11 2" xfId="24803" xr:uid="{F22A717A-23B6-48DA-8247-89D95AE7149E}"/>
    <cellStyle name="Normal 3 2 2 2 2 2 2 2 12 11 11 3" xfId="24804" xr:uid="{442EE53C-88BC-41B9-9943-0D0AE8CB9CB1}"/>
    <cellStyle name="Normal 3 2 2 2 2 2 2 2 12 11 11 4" xfId="24805" xr:uid="{4FBFB592-1E71-413C-AA3D-23A2033125A7}"/>
    <cellStyle name="Normal 3 2 2 2 2 2 2 2 12 11 12" xfId="24806" xr:uid="{EB61221F-03C2-432B-95A1-ED4A26FD9802}"/>
    <cellStyle name="Normal 3 2 2 2 2 2 2 2 12 11 13" xfId="24807" xr:uid="{ACE5DBD7-2DCF-439A-B4DC-B62E2ADD6F35}"/>
    <cellStyle name="Normal 3 2 2 2 2 2 2 2 12 11 14" xfId="24808" xr:uid="{47B1A59B-05DF-4B92-B658-FE57D3622945}"/>
    <cellStyle name="Normal 3 2 2 2 2 2 2 2 12 11 2" xfId="24809" xr:uid="{2D071A44-33EF-49BC-9970-D12493885F47}"/>
    <cellStyle name="Normal 3 2 2 2 2 2 2 2 12 11 2 10" xfId="24810" xr:uid="{55790EFD-36BA-4609-9993-FCB8253AA23F}"/>
    <cellStyle name="Normal 3 2 2 2 2 2 2 2 12 11 2 11" xfId="24811" xr:uid="{286D14C0-4649-4143-8C15-B65928029379}"/>
    <cellStyle name="Normal 3 2 2 2 2 2 2 2 12 11 2 2" xfId="24812" xr:uid="{DA66EBCE-067C-4FF0-8425-913AA1BB2710}"/>
    <cellStyle name="Normal 3 2 2 2 2 2 2 2 12 11 2 2 10" xfId="24813" xr:uid="{0D916838-2AA1-43EA-BBD8-5E2675EE76BE}"/>
    <cellStyle name="Normal 3 2 2 2 2 2 2 2 12 11 2 2 11" xfId="24814" xr:uid="{FF3B980E-2D95-4649-BE2C-9469AF6812EF}"/>
    <cellStyle name="Normal 3 2 2 2 2 2 2 2 12 11 2 2 2" xfId="24815" xr:uid="{DA0D0887-69F8-413E-B303-5D72183CC7BD}"/>
    <cellStyle name="Normal 3 2 2 2 2 2 2 2 12 11 2 2 2 2" xfId="24816" xr:uid="{17AD5DC5-33EE-4DA4-B8D6-BABD67286E4B}"/>
    <cellStyle name="Normal 3 2 2 2 2 2 2 2 12 11 2 2 2 2 2" xfId="24817" xr:uid="{FF17231C-FE97-4EF8-A476-9EB0E6813A13}"/>
    <cellStyle name="Normal 3 2 2 2 2 2 2 2 12 11 2 2 2 2 3" xfId="24818" xr:uid="{E369BC11-A697-4139-BB2C-D06D2399BB1F}"/>
    <cellStyle name="Normal 3 2 2 2 2 2 2 2 12 11 2 2 2 2 4" xfId="24819" xr:uid="{99C7F5B4-FF7A-4056-8662-4CDB13FB0C1D}"/>
    <cellStyle name="Normal 3 2 2 2 2 2 2 2 12 11 2 2 2 3" xfId="24820" xr:uid="{A7DD7D4C-A7C0-4756-9D45-875C939FA1E1}"/>
    <cellStyle name="Normal 3 2 2 2 2 2 2 2 12 11 2 2 2 4" xfId="24821" xr:uid="{599C2D2B-59E2-43CC-A855-96BBAEA3F62D}"/>
    <cellStyle name="Normal 3 2 2 2 2 2 2 2 12 11 2 2 2 5" xfId="24822" xr:uid="{C7F94438-0C8E-4601-A1CB-A8F516043CB4}"/>
    <cellStyle name="Normal 3 2 2 2 2 2 2 2 12 11 2 2 2 6" xfId="24823" xr:uid="{0746FF9C-5214-4C0E-98EB-8CBD26FE1CA4}"/>
    <cellStyle name="Normal 3 2 2 2 2 2 2 2 12 11 2 2 3" xfId="24824" xr:uid="{AD63E83E-7FBA-414B-8C58-040E866F94E0}"/>
    <cellStyle name="Normal 3 2 2 2 2 2 2 2 12 11 2 2 4" xfId="24825" xr:uid="{B05EE071-7FF5-4F40-BC81-90F5CB8342E7}"/>
    <cellStyle name="Normal 3 2 2 2 2 2 2 2 12 11 2 2 5" xfId="24826" xr:uid="{F577A38C-7CCE-4529-AB35-45BE1A86893D}"/>
    <cellStyle name="Normal 3 2 2 2 2 2 2 2 12 11 2 2 6" xfId="24827" xr:uid="{87F52713-C426-42C8-AB0D-CA05D889FC5B}"/>
    <cellStyle name="Normal 3 2 2 2 2 2 2 2 12 11 2 2 7" xfId="24828" xr:uid="{27B5271F-4B67-4A37-944B-362A117DFAAC}"/>
    <cellStyle name="Normal 3 2 2 2 2 2 2 2 12 11 2 2 8" xfId="24829" xr:uid="{8F611510-3628-4A8E-8B74-869230CA18C0}"/>
    <cellStyle name="Normal 3 2 2 2 2 2 2 2 12 11 2 2 8 2" xfId="24830" xr:uid="{7A319CF4-A01F-4177-A2B1-C919FCEAE1BE}"/>
    <cellStyle name="Normal 3 2 2 2 2 2 2 2 12 11 2 2 8 3" xfId="24831" xr:uid="{B39BE145-2005-4079-9460-89CD1414F244}"/>
    <cellStyle name="Normal 3 2 2 2 2 2 2 2 12 11 2 2 8 4" xfId="24832" xr:uid="{9C275E8E-B434-491C-9A4A-FED21A86A7B3}"/>
    <cellStyle name="Normal 3 2 2 2 2 2 2 2 12 11 2 2 9" xfId="24833" xr:uid="{8C91CC33-7F98-4057-85CF-C07B14CE881E}"/>
    <cellStyle name="Normal 3 2 2 2 2 2 2 2 12 11 2 3" xfId="24834" xr:uid="{449AA2FE-3BAF-4ECF-9613-BC04EA12752D}"/>
    <cellStyle name="Normal 3 2 2 2 2 2 2 2 12 11 2 3 2" xfId="24835" xr:uid="{F5B92E56-E687-40E4-B35B-6FDFDD371793}"/>
    <cellStyle name="Normal 3 2 2 2 2 2 2 2 12 11 2 3 2 2" xfId="24836" xr:uid="{8AB08BE3-56CA-4647-8FE3-EF0951A23B4D}"/>
    <cellStyle name="Normal 3 2 2 2 2 2 2 2 12 11 2 3 2 3" xfId="24837" xr:uid="{02F2406F-09B4-4E2D-868C-F09CDA195B2F}"/>
    <cellStyle name="Normal 3 2 2 2 2 2 2 2 12 11 2 3 2 4" xfId="24838" xr:uid="{959599CE-8C76-4F5C-B2D4-D1CB5BA107F5}"/>
    <cellStyle name="Normal 3 2 2 2 2 2 2 2 12 11 2 3 3" xfId="24839" xr:uid="{73FFBD9D-40F6-4082-AD0C-ACEA34320E31}"/>
    <cellStyle name="Normal 3 2 2 2 2 2 2 2 12 11 2 3 4" xfId="24840" xr:uid="{0B783F34-8763-48E6-8FC0-19B7E0DA9860}"/>
    <cellStyle name="Normal 3 2 2 2 2 2 2 2 12 11 2 3 5" xfId="24841" xr:uid="{AAA57CE2-40AD-4B18-AE60-14CA06388A47}"/>
    <cellStyle name="Normal 3 2 2 2 2 2 2 2 12 11 2 3 6" xfId="24842" xr:uid="{5CAC1795-2DA9-4C68-A22C-16E662AD6060}"/>
    <cellStyle name="Normal 3 2 2 2 2 2 2 2 12 11 2 4" xfId="24843" xr:uid="{2C95A688-6D3F-4970-A52C-9D39D4C0AE69}"/>
    <cellStyle name="Normal 3 2 2 2 2 2 2 2 12 11 2 5" xfId="24844" xr:uid="{4DAF97C9-AAA9-4825-9D0E-C3B864EAFA56}"/>
    <cellStyle name="Normal 3 2 2 2 2 2 2 2 12 11 2 6" xfId="24845" xr:uid="{6016D18A-C971-4CEA-884C-7A26239E5503}"/>
    <cellStyle name="Normal 3 2 2 2 2 2 2 2 12 11 2 7" xfId="24846" xr:uid="{6F3B3617-2D46-4885-8F47-42BCF48B0EA8}"/>
    <cellStyle name="Normal 3 2 2 2 2 2 2 2 12 11 2 8" xfId="24847" xr:uid="{66C515C8-2FFB-4744-94B2-F49CF5000119}"/>
    <cellStyle name="Normal 3 2 2 2 2 2 2 2 12 11 2 8 2" xfId="24848" xr:uid="{37BA2FAC-AB18-42B0-B03F-C7CEB59DB5E8}"/>
    <cellStyle name="Normal 3 2 2 2 2 2 2 2 12 11 2 8 3" xfId="24849" xr:uid="{AE70968C-B2A2-4CFB-921C-3EBD613CA908}"/>
    <cellStyle name="Normal 3 2 2 2 2 2 2 2 12 11 2 8 4" xfId="24850" xr:uid="{6E57CAF0-15F6-4434-B0BF-7E480800D5EA}"/>
    <cellStyle name="Normal 3 2 2 2 2 2 2 2 12 11 2 9" xfId="24851" xr:uid="{93E7BEE9-E6FB-4793-B624-F07D6D8DE37B}"/>
    <cellStyle name="Normal 3 2 2 2 2 2 2 2 12 11 3" xfId="24852" xr:uid="{ADADD0E6-13EB-4B97-BB0D-D6C00336A3B6}"/>
    <cellStyle name="Normal 3 2 2 2 2 2 2 2 12 11 4" xfId="24853" xr:uid="{D299D713-AEBF-4111-A1F1-3ED4DBEC2402}"/>
    <cellStyle name="Normal 3 2 2 2 2 2 2 2 12 11 5" xfId="24854" xr:uid="{418B2A8D-B9E3-45D8-8F62-C055FBA51EA5}"/>
    <cellStyle name="Normal 3 2 2 2 2 2 2 2 12 11 5 2" xfId="24855" xr:uid="{BBD05F3A-C735-4262-BD84-5DEF1E975803}"/>
    <cellStyle name="Normal 3 2 2 2 2 2 2 2 12 11 5 2 2" xfId="24856" xr:uid="{D75C3671-3922-4728-9EB5-6079C8DC3219}"/>
    <cellStyle name="Normal 3 2 2 2 2 2 2 2 12 11 5 2 3" xfId="24857" xr:uid="{42D233E4-864F-4732-A9C0-40A6543D7B44}"/>
    <cellStyle name="Normal 3 2 2 2 2 2 2 2 12 11 5 2 4" xfId="24858" xr:uid="{B7B45EC5-0C23-4921-B090-925BEBADBC0B}"/>
    <cellStyle name="Normal 3 2 2 2 2 2 2 2 12 11 5 3" xfId="24859" xr:uid="{5CCD7B12-9215-44FC-9FB1-E794BC889737}"/>
    <cellStyle name="Normal 3 2 2 2 2 2 2 2 12 11 5 4" xfId="24860" xr:uid="{2C64239D-E747-4599-B94C-8371B2A4C9DF}"/>
    <cellStyle name="Normal 3 2 2 2 2 2 2 2 12 11 5 5" xfId="24861" xr:uid="{6B7373F2-6567-446B-9D68-E1D45A8E6752}"/>
    <cellStyle name="Normal 3 2 2 2 2 2 2 2 12 11 5 6" xfId="24862" xr:uid="{F688B93A-A09A-43BC-8E52-2D2A95880CD7}"/>
    <cellStyle name="Normal 3 2 2 2 2 2 2 2 12 11 6" xfId="24863" xr:uid="{E823E6F6-465D-4065-B336-8CCC8C41A932}"/>
    <cellStyle name="Normal 3 2 2 2 2 2 2 2 12 11 7" xfId="24864" xr:uid="{A3E105C8-6C94-4CB3-96CC-6B11F3DDBE83}"/>
    <cellStyle name="Normal 3 2 2 2 2 2 2 2 12 11 8" xfId="24865" xr:uid="{5B04F116-43CB-4050-BC74-81A6D9B5B1E1}"/>
    <cellStyle name="Normal 3 2 2 2 2 2 2 2 12 11 9" xfId="24866" xr:uid="{5D9178C7-0E6C-43C5-B1F0-B7B4B9E053AE}"/>
    <cellStyle name="Normal 3 2 2 2 2 2 2 2 12 12" xfId="24867" xr:uid="{467DDE48-C543-4298-904B-4E744979FD05}"/>
    <cellStyle name="Normal 3 2 2 2 2 2 2 2 12 13" xfId="24868" xr:uid="{FEED690D-475D-407E-B7D4-4BCCC640ECBD}"/>
    <cellStyle name="Normal 3 2 2 2 2 2 2 2 12 13 10" xfId="24869" xr:uid="{144EAEC5-CFF0-4CA3-8EFA-A8C23F689E73}"/>
    <cellStyle name="Normal 3 2 2 2 2 2 2 2 12 13 11" xfId="24870" xr:uid="{DE4E2675-F724-4864-8A31-3933D18EAAD8}"/>
    <cellStyle name="Normal 3 2 2 2 2 2 2 2 12 13 2" xfId="24871" xr:uid="{EF224A72-C3A2-41FF-B2C4-7A04E3EAC690}"/>
    <cellStyle name="Normal 3 2 2 2 2 2 2 2 12 13 2 10" xfId="24872" xr:uid="{E2B16266-2BE4-49F9-98A3-BF4EBBD27D4B}"/>
    <cellStyle name="Normal 3 2 2 2 2 2 2 2 12 13 2 11" xfId="24873" xr:uid="{2E9B3509-B470-4161-AF32-D69D996FCEFF}"/>
    <cellStyle name="Normal 3 2 2 2 2 2 2 2 12 13 2 2" xfId="24874" xr:uid="{66666983-7758-46CB-942C-DBD4407627A6}"/>
    <cellStyle name="Normal 3 2 2 2 2 2 2 2 12 13 2 2 2" xfId="24875" xr:uid="{80BFBB04-4F97-4392-9FB2-B179F932D7A6}"/>
    <cellStyle name="Normal 3 2 2 2 2 2 2 2 12 13 2 2 2 2" xfId="24876" xr:uid="{BA31C99F-247C-456D-9D0E-90518791C9BB}"/>
    <cellStyle name="Normal 3 2 2 2 2 2 2 2 12 13 2 2 2 3" xfId="24877" xr:uid="{30ECCA92-4C24-4994-96FC-B7B1AD0A13AA}"/>
    <cellStyle name="Normal 3 2 2 2 2 2 2 2 12 13 2 2 2 4" xfId="24878" xr:uid="{A87D3FA5-45F9-46D3-A707-1E7E37FB449F}"/>
    <cellStyle name="Normal 3 2 2 2 2 2 2 2 12 13 2 2 3" xfId="24879" xr:uid="{FC596082-6032-4048-AA03-E6A3E00AFA52}"/>
    <cellStyle name="Normal 3 2 2 2 2 2 2 2 12 13 2 2 4" xfId="24880" xr:uid="{1B8833D6-5CF6-4161-B31D-91A8D9365B4D}"/>
    <cellStyle name="Normal 3 2 2 2 2 2 2 2 12 13 2 2 5" xfId="24881" xr:uid="{8D5692DC-8B08-4790-9D09-B63DCDC40C27}"/>
    <cellStyle name="Normal 3 2 2 2 2 2 2 2 12 13 2 2 6" xfId="24882" xr:uid="{7E371645-2AE3-4163-8CB9-A9B9ED0B6202}"/>
    <cellStyle name="Normal 3 2 2 2 2 2 2 2 12 13 2 3" xfId="24883" xr:uid="{077536ED-6BE3-42E7-8D9F-0795B4AB2882}"/>
    <cellStyle name="Normal 3 2 2 2 2 2 2 2 12 13 2 4" xfId="24884" xr:uid="{08014CC5-866C-44C3-AB6B-C9CE9D9DBE96}"/>
    <cellStyle name="Normal 3 2 2 2 2 2 2 2 12 13 2 5" xfId="24885" xr:uid="{BC95717F-4061-4FBF-A0F5-C07594BF42C4}"/>
    <cellStyle name="Normal 3 2 2 2 2 2 2 2 12 13 2 6" xfId="24886" xr:uid="{F3449F5F-B719-4214-B867-670E6154D503}"/>
    <cellStyle name="Normal 3 2 2 2 2 2 2 2 12 13 2 7" xfId="24887" xr:uid="{C1F617D6-0577-488C-B810-0B65FEA61C2F}"/>
    <cellStyle name="Normal 3 2 2 2 2 2 2 2 12 13 2 8" xfId="24888" xr:uid="{6B2EAA81-ED09-4AFF-A444-2EAEE01660E0}"/>
    <cellStyle name="Normal 3 2 2 2 2 2 2 2 12 13 2 8 2" xfId="24889" xr:uid="{BC753261-FEB3-485D-8D4B-4F8A6EB8F80E}"/>
    <cellStyle name="Normal 3 2 2 2 2 2 2 2 12 13 2 8 3" xfId="24890" xr:uid="{2A05D79F-7E5A-4678-952F-0984D1BC3CA8}"/>
    <cellStyle name="Normal 3 2 2 2 2 2 2 2 12 13 2 8 4" xfId="24891" xr:uid="{FA1A7F56-E0CA-4BBF-AEB8-4266A968A887}"/>
    <cellStyle name="Normal 3 2 2 2 2 2 2 2 12 13 2 9" xfId="24892" xr:uid="{9E1C78E3-BD5E-4356-8A2E-444AFF0A1487}"/>
    <cellStyle name="Normal 3 2 2 2 2 2 2 2 12 13 3" xfId="24893" xr:uid="{EE5EF8FC-24E1-4316-BD3F-49E3B3D734E4}"/>
    <cellStyle name="Normal 3 2 2 2 2 2 2 2 12 13 3 2" xfId="24894" xr:uid="{65F7E2FD-452E-403A-8CA9-A4A97CB79339}"/>
    <cellStyle name="Normal 3 2 2 2 2 2 2 2 12 13 3 2 2" xfId="24895" xr:uid="{B3DCB530-C516-40EB-A7FD-1A8342EA84FC}"/>
    <cellStyle name="Normal 3 2 2 2 2 2 2 2 12 13 3 2 3" xfId="24896" xr:uid="{841D764F-6DC4-43F0-B814-2A16E4413A1F}"/>
    <cellStyle name="Normal 3 2 2 2 2 2 2 2 12 13 3 2 4" xfId="24897" xr:uid="{3B6DCCF2-7DB6-49E3-A8B7-B755EBF31A49}"/>
    <cellStyle name="Normal 3 2 2 2 2 2 2 2 12 13 3 3" xfId="24898" xr:uid="{5843CCAE-CAB9-4F69-A1AC-3AB25699A314}"/>
    <cellStyle name="Normal 3 2 2 2 2 2 2 2 12 13 3 4" xfId="24899" xr:uid="{E3FF1F57-F4D9-4BE7-9658-785CD4B7B5CD}"/>
    <cellStyle name="Normal 3 2 2 2 2 2 2 2 12 13 3 5" xfId="24900" xr:uid="{43C50072-5E15-4805-ABDB-40AC14A2B1CB}"/>
    <cellStyle name="Normal 3 2 2 2 2 2 2 2 12 13 3 6" xfId="24901" xr:uid="{9B6EDC6D-7C0A-478C-ADBF-D97C4E4C8634}"/>
    <cellStyle name="Normal 3 2 2 2 2 2 2 2 12 13 4" xfId="24902" xr:uid="{EB722B32-1D69-4757-B7BB-9A09E634C99C}"/>
    <cellStyle name="Normal 3 2 2 2 2 2 2 2 12 13 5" xfId="24903" xr:uid="{378DA79B-EF02-429E-B7A4-34E0881F4D43}"/>
    <cellStyle name="Normal 3 2 2 2 2 2 2 2 12 13 6" xfId="24904" xr:uid="{F4DDF890-C196-4052-8801-7F021CD72900}"/>
    <cellStyle name="Normal 3 2 2 2 2 2 2 2 12 13 7" xfId="24905" xr:uid="{D8449285-72AB-47A9-A604-2A823EAB049C}"/>
    <cellStyle name="Normal 3 2 2 2 2 2 2 2 12 13 8" xfId="24906" xr:uid="{20B4585C-4BFC-4656-A83E-A047C6903DF1}"/>
    <cellStyle name="Normal 3 2 2 2 2 2 2 2 12 13 8 2" xfId="24907" xr:uid="{2A9ED43F-04DB-4CD5-8ADB-0EC06A9C6B61}"/>
    <cellStyle name="Normal 3 2 2 2 2 2 2 2 12 13 8 3" xfId="24908" xr:uid="{5872F741-A0EB-45F2-B675-7110619AFDC0}"/>
    <cellStyle name="Normal 3 2 2 2 2 2 2 2 12 13 8 4" xfId="24909" xr:uid="{596D9DC1-3AD8-4F24-B95D-ED7D2018AE68}"/>
    <cellStyle name="Normal 3 2 2 2 2 2 2 2 12 13 9" xfId="24910" xr:uid="{52A54A59-93BF-40EF-9369-B630F0EB155A}"/>
    <cellStyle name="Normal 3 2 2 2 2 2 2 2 12 14" xfId="24911" xr:uid="{A8D34A68-E6C1-4B58-A34E-96D1FB182605}"/>
    <cellStyle name="Normal 3 2 2 2 2 2 2 2 12 15" xfId="24912" xr:uid="{5DBB8B3B-6492-446B-BE23-2D0FAE7819FA}"/>
    <cellStyle name="Normal 3 2 2 2 2 2 2 2 12 15 2" xfId="24913" xr:uid="{1D81C5D0-1D5E-442B-B0E3-8BEC5BE0771C}"/>
    <cellStyle name="Normal 3 2 2 2 2 2 2 2 12 15 2 2" xfId="24914" xr:uid="{55B58BB1-C85E-4C97-B823-6A39661B6201}"/>
    <cellStyle name="Normal 3 2 2 2 2 2 2 2 12 15 2 3" xfId="24915" xr:uid="{9D225A35-2324-485C-BF20-814F41F8B127}"/>
    <cellStyle name="Normal 3 2 2 2 2 2 2 2 12 15 2 4" xfId="24916" xr:uid="{D002A63B-E977-4F8B-8667-0A82684DFC60}"/>
    <cellStyle name="Normal 3 2 2 2 2 2 2 2 12 15 3" xfId="24917" xr:uid="{1B7D7C51-23C7-45B2-BCC2-BB026913DDD9}"/>
    <cellStyle name="Normal 3 2 2 2 2 2 2 2 12 15 4" xfId="24918" xr:uid="{3132A0CA-2B01-4639-BEFA-2EC12F4F73AD}"/>
    <cellStyle name="Normal 3 2 2 2 2 2 2 2 12 15 5" xfId="24919" xr:uid="{B95560F2-87D8-4535-B355-7E589B08D717}"/>
    <cellStyle name="Normal 3 2 2 2 2 2 2 2 12 15 6" xfId="24920" xr:uid="{65F5A9AE-0E53-4752-A531-7E2C6E660DD2}"/>
    <cellStyle name="Normal 3 2 2 2 2 2 2 2 12 16" xfId="24921" xr:uid="{8506D764-973B-4D57-9DCF-111B04E61933}"/>
    <cellStyle name="Normal 3 2 2 2 2 2 2 2 12 17" xfId="24922" xr:uid="{91905781-AC2E-46A7-AF82-C66B5C43A511}"/>
    <cellStyle name="Normal 3 2 2 2 2 2 2 2 12 18" xfId="24923" xr:uid="{6C09C27F-C0CF-432E-8211-21D68C077B76}"/>
    <cellStyle name="Normal 3 2 2 2 2 2 2 2 12 19" xfId="24924" xr:uid="{808EC327-7C99-4D61-8E2E-06358FD9F5C8}"/>
    <cellStyle name="Normal 3 2 2 2 2 2 2 2 12 2" xfId="24925" xr:uid="{D9315EBC-D488-4F3D-984C-48E3D197ED65}"/>
    <cellStyle name="Normal 3 2 2 2 2 2 2 2 12 2 10" xfId="24926" xr:uid="{C075F0D4-AA22-4DAF-BE3D-A5ECA0AE38AD}"/>
    <cellStyle name="Normal 3 2 2 2 2 2 2 2 12 2 11" xfId="24927" xr:uid="{01C48D61-837A-457C-9016-4A0018E3E964}"/>
    <cellStyle name="Normal 3 2 2 2 2 2 2 2 12 2 12" xfId="24928" xr:uid="{BF3CFB18-2865-46E5-9FC2-3306A4075017}"/>
    <cellStyle name="Normal 3 2 2 2 2 2 2 2 12 2 13" xfId="24929" xr:uid="{472E1E19-5ECC-428F-83EB-2A51153E15BE}"/>
    <cellStyle name="Normal 3 2 2 2 2 2 2 2 12 2 13 2" xfId="24930" xr:uid="{EED03430-9128-4232-8B91-E693CA35FEEA}"/>
    <cellStyle name="Normal 3 2 2 2 2 2 2 2 12 2 13 3" xfId="24931" xr:uid="{A238C8F2-F922-4827-B98B-03E5EF9D5511}"/>
    <cellStyle name="Normal 3 2 2 2 2 2 2 2 12 2 13 4" xfId="24932" xr:uid="{940B247E-EF25-4B6F-B5E3-BCD9351593AB}"/>
    <cellStyle name="Normal 3 2 2 2 2 2 2 2 12 2 14" xfId="24933" xr:uid="{2DD5B1AE-EDC6-43CE-AECF-FD9F6F769484}"/>
    <cellStyle name="Normal 3 2 2 2 2 2 2 2 12 2 15" xfId="24934" xr:uid="{23BF9F19-88E6-4FD9-891A-881E31567C21}"/>
    <cellStyle name="Normal 3 2 2 2 2 2 2 2 12 2 16" xfId="24935" xr:uid="{42BF2501-49C9-4074-874C-23AB192C4131}"/>
    <cellStyle name="Normal 3 2 2 2 2 2 2 2 12 2 2" xfId="24936" xr:uid="{93A75B72-81CB-4A6F-835D-2C39028D1172}"/>
    <cellStyle name="Normal 3 2 2 2 2 2 2 2 12 2 2 10" xfId="24937" xr:uid="{B9215CBC-71A3-4378-8C15-3051B012924E}"/>
    <cellStyle name="Normal 3 2 2 2 2 2 2 2 12 2 2 11" xfId="24938" xr:uid="{BBA60F6E-B7FF-4A32-A03B-F57A24137E29}"/>
    <cellStyle name="Normal 3 2 2 2 2 2 2 2 12 2 2 11 2" xfId="24939" xr:uid="{957183E8-9B41-4AD7-B19A-57B6DB35F07F}"/>
    <cellStyle name="Normal 3 2 2 2 2 2 2 2 12 2 2 11 3" xfId="24940" xr:uid="{6CE22D4A-938D-4045-971E-66BA1C23605F}"/>
    <cellStyle name="Normal 3 2 2 2 2 2 2 2 12 2 2 11 4" xfId="24941" xr:uid="{7148D47A-15C1-491D-BA7D-CEFCF06AE71B}"/>
    <cellStyle name="Normal 3 2 2 2 2 2 2 2 12 2 2 12" xfId="24942" xr:uid="{86247DBD-CA9F-4092-9E7D-3BADF0225661}"/>
    <cellStyle name="Normal 3 2 2 2 2 2 2 2 12 2 2 13" xfId="24943" xr:uid="{580CE25E-E93F-4ADB-A366-88F27D81EB53}"/>
    <cellStyle name="Normal 3 2 2 2 2 2 2 2 12 2 2 14" xfId="24944" xr:uid="{0FBCAA2A-1552-462F-95F4-D17436B82355}"/>
    <cellStyle name="Normal 3 2 2 2 2 2 2 2 12 2 2 2" xfId="24945" xr:uid="{0B52E744-4A08-43D6-92BE-87CC1AC75F44}"/>
    <cellStyle name="Normal 3 2 2 2 2 2 2 2 12 2 2 2 10" xfId="24946" xr:uid="{24B779AE-6EB6-4495-908C-B421D86D35C0}"/>
    <cellStyle name="Normal 3 2 2 2 2 2 2 2 12 2 2 2 11" xfId="24947" xr:uid="{565849DD-377B-4653-B9FA-CBB834D56118}"/>
    <cellStyle name="Normal 3 2 2 2 2 2 2 2 12 2 2 2 2" xfId="24948" xr:uid="{05E7E4AE-8200-4069-8298-80532F711508}"/>
    <cellStyle name="Normal 3 2 2 2 2 2 2 2 12 2 2 2 2 10" xfId="24949" xr:uid="{42735DEE-9C82-4E37-99F9-8D60AFCB5335}"/>
    <cellStyle name="Normal 3 2 2 2 2 2 2 2 12 2 2 2 2 11" xfId="24950" xr:uid="{0C0C9E59-795E-4E1F-AA34-B324F77868EC}"/>
    <cellStyle name="Normal 3 2 2 2 2 2 2 2 12 2 2 2 2 2" xfId="24951" xr:uid="{5DCF1FC7-0537-43E3-93D4-5CF1F4A0E35A}"/>
    <cellStyle name="Normal 3 2 2 2 2 2 2 2 12 2 2 2 2 2 2" xfId="24952" xr:uid="{6CA58C0D-593B-48D3-ABAE-523361E4DB51}"/>
    <cellStyle name="Normal 3 2 2 2 2 2 2 2 12 2 2 2 2 2 2 2" xfId="24953" xr:uid="{835F5B80-C512-45D7-9A22-6E0786B50987}"/>
    <cellStyle name="Normal 3 2 2 2 2 2 2 2 12 2 2 2 2 2 2 3" xfId="24954" xr:uid="{93CFF410-25DC-4C9C-B2A5-31775F6E44E3}"/>
    <cellStyle name="Normal 3 2 2 2 2 2 2 2 12 2 2 2 2 2 2 4" xfId="24955" xr:uid="{CB05BD75-D19A-4151-8A8A-976F4943F794}"/>
    <cellStyle name="Normal 3 2 2 2 2 2 2 2 12 2 2 2 2 2 3" xfId="24956" xr:uid="{0AA3CE56-AD24-4245-9616-FE27516D9619}"/>
    <cellStyle name="Normal 3 2 2 2 2 2 2 2 12 2 2 2 2 2 4" xfId="24957" xr:uid="{BCB7F8EF-19B5-487D-8857-B8C88FB7294D}"/>
    <cellStyle name="Normal 3 2 2 2 2 2 2 2 12 2 2 2 2 2 5" xfId="24958" xr:uid="{A54B954B-70DE-4A6C-BC71-CE929697C140}"/>
    <cellStyle name="Normal 3 2 2 2 2 2 2 2 12 2 2 2 2 2 6" xfId="24959" xr:uid="{F89D95A1-20C3-4DCE-B8FB-AF3194C06E76}"/>
    <cellStyle name="Normal 3 2 2 2 2 2 2 2 12 2 2 2 2 3" xfId="24960" xr:uid="{373930A6-85FB-40C3-944D-C8FFEB58DF3F}"/>
    <cellStyle name="Normal 3 2 2 2 2 2 2 2 12 2 2 2 2 4" xfId="24961" xr:uid="{60F798BA-5530-4722-83D0-E6A020BC8D91}"/>
    <cellStyle name="Normal 3 2 2 2 2 2 2 2 12 2 2 2 2 5" xfId="24962" xr:uid="{2961A803-0C1C-4259-AECF-0EF61731274D}"/>
    <cellStyle name="Normal 3 2 2 2 2 2 2 2 12 2 2 2 2 6" xfId="24963" xr:uid="{D4F0B65B-6730-492B-AF4C-81BA58A78A27}"/>
    <cellStyle name="Normal 3 2 2 2 2 2 2 2 12 2 2 2 2 7" xfId="24964" xr:uid="{247670CB-6F07-4B67-9F2B-DA2565BE91C5}"/>
    <cellStyle name="Normal 3 2 2 2 2 2 2 2 12 2 2 2 2 8" xfId="24965" xr:uid="{F2062ECE-0A06-4080-B31F-A8EA935BF662}"/>
    <cellStyle name="Normal 3 2 2 2 2 2 2 2 12 2 2 2 2 8 2" xfId="24966" xr:uid="{99B6D4B0-F747-468C-8787-D887EC970548}"/>
    <cellStyle name="Normal 3 2 2 2 2 2 2 2 12 2 2 2 2 8 3" xfId="24967" xr:uid="{26453F54-BE86-4EE9-8D01-D2021FBC3F12}"/>
    <cellStyle name="Normal 3 2 2 2 2 2 2 2 12 2 2 2 2 8 4" xfId="24968" xr:uid="{57168EB6-70AA-4135-A70B-4B36DB0EEAFD}"/>
    <cellStyle name="Normal 3 2 2 2 2 2 2 2 12 2 2 2 2 9" xfId="24969" xr:uid="{3B28C8FC-9E54-465C-8B6A-8EFE81F452B6}"/>
    <cellStyle name="Normal 3 2 2 2 2 2 2 2 12 2 2 2 3" xfId="24970" xr:uid="{0BDA1DFD-B1E2-4FC1-9AA6-B2060BF60E53}"/>
    <cellStyle name="Normal 3 2 2 2 2 2 2 2 12 2 2 2 3 2" xfId="24971" xr:uid="{8F7BE4DB-B89D-4F63-8E30-665787239527}"/>
    <cellStyle name="Normal 3 2 2 2 2 2 2 2 12 2 2 2 3 2 2" xfId="24972" xr:uid="{D66D0C8B-20DA-4342-93AF-44D186AA5471}"/>
    <cellStyle name="Normal 3 2 2 2 2 2 2 2 12 2 2 2 3 2 3" xfId="24973" xr:uid="{4DF90749-37C2-41E7-8582-69760B196A27}"/>
    <cellStyle name="Normal 3 2 2 2 2 2 2 2 12 2 2 2 3 2 4" xfId="24974" xr:uid="{72FEA84F-74A4-4200-B6DB-A3AF81E06DF6}"/>
    <cellStyle name="Normal 3 2 2 2 2 2 2 2 12 2 2 2 3 3" xfId="24975" xr:uid="{D8B486E0-78A2-4253-9D62-7532C93F6B6B}"/>
    <cellStyle name="Normal 3 2 2 2 2 2 2 2 12 2 2 2 3 4" xfId="24976" xr:uid="{7C858F7E-7EEB-4407-9B15-63B8AA98FBEF}"/>
    <cellStyle name="Normal 3 2 2 2 2 2 2 2 12 2 2 2 3 5" xfId="24977" xr:uid="{F9E9DFC3-64D8-440F-9B5A-FA451F083A9E}"/>
    <cellStyle name="Normal 3 2 2 2 2 2 2 2 12 2 2 2 3 6" xfId="24978" xr:uid="{D9321AF1-0F3A-4462-8C8E-1F096D514C73}"/>
    <cellStyle name="Normal 3 2 2 2 2 2 2 2 12 2 2 2 4" xfId="24979" xr:uid="{67B20654-E9CC-4FB0-BE79-3C3DC7FAE56B}"/>
    <cellStyle name="Normal 3 2 2 2 2 2 2 2 12 2 2 2 5" xfId="24980" xr:uid="{7A21F1FF-A05A-44A0-A38A-D1BF7A852DED}"/>
    <cellStyle name="Normal 3 2 2 2 2 2 2 2 12 2 2 2 6" xfId="24981" xr:uid="{217C2376-48EB-4C99-AF81-5E51B569876A}"/>
    <cellStyle name="Normal 3 2 2 2 2 2 2 2 12 2 2 2 7" xfId="24982" xr:uid="{85351872-3836-4871-AD97-837E7AB18C95}"/>
    <cellStyle name="Normal 3 2 2 2 2 2 2 2 12 2 2 2 8" xfId="24983" xr:uid="{B3FCF60E-4F88-4C52-92F0-57C5BD13B68C}"/>
    <cellStyle name="Normal 3 2 2 2 2 2 2 2 12 2 2 2 8 2" xfId="24984" xr:uid="{9C4747F2-514D-4E3B-B197-70E93C293B20}"/>
    <cellStyle name="Normal 3 2 2 2 2 2 2 2 12 2 2 2 8 3" xfId="24985" xr:uid="{C56B912D-BBA3-4C82-B4DC-0360C3C35193}"/>
    <cellStyle name="Normal 3 2 2 2 2 2 2 2 12 2 2 2 8 4" xfId="24986" xr:uid="{CFE975D7-B954-4EA3-AB19-27508BEEEBD5}"/>
    <cellStyle name="Normal 3 2 2 2 2 2 2 2 12 2 2 2 9" xfId="24987" xr:uid="{C68DF46C-F9FA-4C7B-B903-7F25DC43453C}"/>
    <cellStyle name="Normal 3 2 2 2 2 2 2 2 12 2 2 3" xfId="24988" xr:uid="{ECBC7375-0BD6-4FBC-BDE0-EBFF9E9FAE7F}"/>
    <cellStyle name="Normal 3 2 2 2 2 2 2 2 12 2 2 4" xfId="24989" xr:uid="{B5DD6016-FB20-4F72-9323-8B6BEF29FC68}"/>
    <cellStyle name="Normal 3 2 2 2 2 2 2 2 12 2 2 5" xfId="24990" xr:uid="{F9AA32DF-8F30-42F6-BA4F-9B763D9C44C5}"/>
    <cellStyle name="Normal 3 2 2 2 2 2 2 2 12 2 2 5 2" xfId="24991" xr:uid="{10AA2366-7B50-44E3-A0B4-17D14638CC5A}"/>
    <cellStyle name="Normal 3 2 2 2 2 2 2 2 12 2 2 5 2 2" xfId="24992" xr:uid="{171A078B-3853-41FD-838D-717E76059A1B}"/>
    <cellStyle name="Normal 3 2 2 2 2 2 2 2 12 2 2 5 2 3" xfId="24993" xr:uid="{89ACF216-358F-40DA-99E4-6595CDAAB27D}"/>
    <cellStyle name="Normal 3 2 2 2 2 2 2 2 12 2 2 5 2 4" xfId="24994" xr:uid="{4948A611-EFCC-435A-B4BC-D844A6BFDDFD}"/>
    <cellStyle name="Normal 3 2 2 2 2 2 2 2 12 2 2 5 3" xfId="24995" xr:uid="{6166600A-BA1F-42B2-B8A0-6FF1891902EC}"/>
    <cellStyle name="Normal 3 2 2 2 2 2 2 2 12 2 2 5 4" xfId="24996" xr:uid="{5997D999-4846-4C93-A3C8-A1EEB15E4F92}"/>
    <cellStyle name="Normal 3 2 2 2 2 2 2 2 12 2 2 5 5" xfId="24997" xr:uid="{5FBF7C50-1AB6-4B54-A02A-726FCE7B236F}"/>
    <cellStyle name="Normal 3 2 2 2 2 2 2 2 12 2 2 5 6" xfId="24998" xr:uid="{E648F020-29DD-46E6-96CD-30FAC527BE1C}"/>
    <cellStyle name="Normal 3 2 2 2 2 2 2 2 12 2 2 6" xfId="24999" xr:uid="{636D3701-5CDB-4A3B-8166-7AE49BDE2529}"/>
    <cellStyle name="Normal 3 2 2 2 2 2 2 2 12 2 2 7" xfId="25000" xr:uid="{E2BA1F03-BF3D-454C-96A6-F79FAEBD8C63}"/>
    <cellStyle name="Normal 3 2 2 2 2 2 2 2 12 2 2 8" xfId="25001" xr:uid="{86AA2B91-5A14-482C-9B71-5BB90712AC80}"/>
    <cellStyle name="Normal 3 2 2 2 2 2 2 2 12 2 2 9" xfId="25002" xr:uid="{0FDB1985-04B2-497E-8E63-D8D41DDE95BC}"/>
    <cellStyle name="Normal 3 2 2 2 2 2 2 2 12 2 3" xfId="25003" xr:uid="{78211F3C-1C89-4BBD-9D77-52131DA1B91B}"/>
    <cellStyle name="Normal 3 2 2 2 2 2 2 2 12 2 4" xfId="25004" xr:uid="{4821351C-38D6-4012-A206-1B0B5509A768}"/>
    <cellStyle name="Normal 3 2 2 2 2 2 2 2 12 2 5" xfId="25005" xr:uid="{5B93A805-F1BB-4649-8C3E-676BFB991637}"/>
    <cellStyle name="Normal 3 2 2 2 2 2 2 2 12 2 5 10" xfId="25006" xr:uid="{02B5001D-53A9-4AAE-841D-B247B371969A}"/>
    <cellStyle name="Normal 3 2 2 2 2 2 2 2 12 2 5 11" xfId="25007" xr:uid="{53662FFC-4432-4DC2-8F68-84055AB06B79}"/>
    <cellStyle name="Normal 3 2 2 2 2 2 2 2 12 2 5 2" xfId="25008" xr:uid="{DC04A1D7-02C6-4BED-91D9-FC5B60C5D685}"/>
    <cellStyle name="Normal 3 2 2 2 2 2 2 2 12 2 5 2 10" xfId="25009" xr:uid="{53DD16FE-AA0E-4B34-B6A8-C90DF5316149}"/>
    <cellStyle name="Normal 3 2 2 2 2 2 2 2 12 2 5 2 11" xfId="25010" xr:uid="{45F654D2-57CE-4672-AC79-340A0B29AE64}"/>
    <cellStyle name="Normal 3 2 2 2 2 2 2 2 12 2 5 2 2" xfId="25011" xr:uid="{466E55BD-C026-4306-840D-E52F50EF7198}"/>
    <cellStyle name="Normal 3 2 2 2 2 2 2 2 12 2 5 2 2 2" xfId="25012" xr:uid="{01443FF9-C096-4D0F-BC84-AB9129264B96}"/>
    <cellStyle name="Normal 3 2 2 2 2 2 2 2 12 2 5 2 2 2 2" xfId="25013" xr:uid="{B891E237-AD24-470C-91E6-2A88F036F1C1}"/>
    <cellStyle name="Normal 3 2 2 2 2 2 2 2 12 2 5 2 2 2 3" xfId="25014" xr:uid="{8DDA715E-7A7D-4BEC-8AAF-BB01C7465CDE}"/>
    <cellStyle name="Normal 3 2 2 2 2 2 2 2 12 2 5 2 2 2 4" xfId="25015" xr:uid="{F7C667EF-3F7F-4798-AEF3-5448D713F37A}"/>
    <cellStyle name="Normal 3 2 2 2 2 2 2 2 12 2 5 2 2 3" xfId="25016" xr:uid="{7A0D5668-BEAB-494E-816B-D8CBE9EF4062}"/>
    <cellStyle name="Normal 3 2 2 2 2 2 2 2 12 2 5 2 2 4" xfId="25017" xr:uid="{9E964957-EEC6-44F0-AC0B-07E5D773EF5F}"/>
    <cellStyle name="Normal 3 2 2 2 2 2 2 2 12 2 5 2 2 5" xfId="25018" xr:uid="{5625C6DD-FE88-4849-B37F-8F23843EF43E}"/>
    <cellStyle name="Normal 3 2 2 2 2 2 2 2 12 2 5 2 2 6" xfId="25019" xr:uid="{5C8E5525-E1F3-49BA-BE01-B9628254ABD4}"/>
    <cellStyle name="Normal 3 2 2 2 2 2 2 2 12 2 5 2 3" xfId="25020" xr:uid="{FFCA659F-CAE2-4231-BB1F-947D8661A7A9}"/>
    <cellStyle name="Normal 3 2 2 2 2 2 2 2 12 2 5 2 4" xfId="25021" xr:uid="{4AC16173-E0E9-4F88-9EC2-6BB818E24547}"/>
    <cellStyle name="Normal 3 2 2 2 2 2 2 2 12 2 5 2 5" xfId="25022" xr:uid="{616ADABA-1E9A-4BB7-8FDA-6CCBD31CFB54}"/>
    <cellStyle name="Normal 3 2 2 2 2 2 2 2 12 2 5 2 6" xfId="25023" xr:uid="{3AF15DBC-5877-4D52-B5B0-A8171F129B1C}"/>
    <cellStyle name="Normal 3 2 2 2 2 2 2 2 12 2 5 2 7" xfId="25024" xr:uid="{7DB7D447-0B45-42E0-B23C-1A39E51AADD3}"/>
    <cellStyle name="Normal 3 2 2 2 2 2 2 2 12 2 5 2 8" xfId="25025" xr:uid="{D11C0A35-F057-4D15-9A3F-BC8139951C64}"/>
    <cellStyle name="Normal 3 2 2 2 2 2 2 2 12 2 5 2 8 2" xfId="25026" xr:uid="{D227C237-57D4-43C6-937A-99135F03ED84}"/>
    <cellStyle name="Normal 3 2 2 2 2 2 2 2 12 2 5 2 8 3" xfId="25027" xr:uid="{0E18148D-B595-4D20-AA7D-6392B9E6934B}"/>
    <cellStyle name="Normal 3 2 2 2 2 2 2 2 12 2 5 2 8 4" xfId="25028" xr:uid="{BCB3FEF3-1F56-45EB-AD0D-E6627416FBD3}"/>
    <cellStyle name="Normal 3 2 2 2 2 2 2 2 12 2 5 2 9" xfId="25029" xr:uid="{8BF0E0A2-71B5-41C1-AD9A-92C1A5A20202}"/>
    <cellStyle name="Normal 3 2 2 2 2 2 2 2 12 2 5 3" xfId="25030" xr:uid="{815868C9-7C02-43F6-A3E8-F320B358B197}"/>
    <cellStyle name="Normal 3 2 2 2 2 2 2 2 12 2 5 3 2" xfId="25031" xr:uid="{40DC2882-83A4-4183-9045-6934B50156F7}"/>
    <cellStyle name="Normal 3 2 2 2 2 2 2 2 12 2 5 3 2 2" xfId="25032" xr:uid="{D1483319-6100-4A38-9C9C-1206190F12D6}"/>
    <cellStyle name="Normal 3 2 2 2 2 2 2 2 12 2 5 3 2 3" xfId="25033" xr:uid="{732FF6A2-C26D-4F00-826B-C904DA523534}"/>
    <cellStyle name="Normal 3 2 2 2 2 2 2 2 12 2 5 3 2 4" xfId="25034" xr:uid="{F1DCD4AE-24F7-4AB4-8D22-337E2527596D}"/>
    <cellStyle name="Normal 3 2 2 2 2 2 2 2 12 2 5 3 3" xfId="25035" xr:uid="{E00C342E-94C4-42F6-B5E9-D1C6B99526D9}"/>
    <cellStyle name="Normal 3 2 2 2 2 2 2 2 12 2 5 3 4" xfId="25036" xr:uid="{87195494-C455-4A66-82A5-4DBF8F230D7C}"/>
    <cellStyle name="Normal 3 2 2 2 2 2 2 2 12 2 5 3 5" xfId="25037" xr:uid="{8BC0F75A-CA29-4C65-845B-1A65AEAE6833}"/>
    <cellStyle name="Normal 3 2 2 2 2 2 2 2 12 2 5 3 6" xfId="25038" xr:uid="{AB67C444-5686-4D8A-B919-0E6F79C39B65}"/>
    <cellStyle name="Normal 3 2 2 2 2 2 2 2 12 2 5 4" xfId="25039" xr:uid="{EDB822EB-D1E3-4392-BD46-85F8DA92939B}"/>
    <cellStyle name="Normal 3 2 2 2 2 2 2 2 12 2 5 5" xfId="25040" xr:uid="{B21DD8E1-45A5-4F47-A2B0-FE7256C0785C}"/>
    <cellStyle name="Normal 3 2 2 2 2 2 2 2 12 2 5 6" xfId="25041" xr:uid="{B25AB480-24EE-43D1-AB89-300A23748F0C}"/>
    <cellStyle name="Normal 3 2 2 2 2 2 2 2 12 2 5 7" xfId="25042" xr:uid="{95F8D6D4-FA23-45AF-B8BC-57BC3F69A91B}"/>
    <cellStyle name="Normal 3 2 2 2 2 2 2 2 12 2 5 8" xfId="25043" xr:uid="{0F8F51AD-10DD-4D64-938D-8125128394CF}"/>
    <cellStyle name="Normal 3 2 2 2 2 2 2 2 12 2 5 8 2" xfId="25044" xr:uid="{B3138936-FC9C-4876-8E02-FBADC55679A7}"/>
    <cellStyle name="Normal 3 2 2 2 2 2 2 2 12 2 5 8 3" xfId="25045" xr:uid="{A0C2C561-36D4-427B-AA46-1725E015B31F}"/>
    <cellStyle name="Normal 3 2 2 2 2 2 2 2 12 2 5 8 4" xfId="25046" xr:uid="{07A3B0E2-1E60-468D-9A1A-7E988D474B50}"/>
    <cellStyle name="Normal 3 2 2 2 2 2 2 2 12 2 5 9" xfId="25047" xr:uid="{15E9B701-EC48-4FF5-9ACF-0B459800BF92}"/>
    <cellStyle name="Normal 3 2 2 2 2 2 2 2 12 2 6" xfId="25048" xr:uid="{6623DFE7-FAE8-4570-B866-FFAC2E9A00F9}"/>
    <cellStyle name="Normal 3 2 2 2 2 2 2 2 12 2 7" xfId="25049" xr:uid="{CFEF1963-9F2B-4833-BB37-035198DAF3CF}"/>
    <cellStyle name="Normal 3 2 2 2 2 2 2 2 12 2 7 2" xfId="25050" xr:uid="{85D386C3-690B-466F-AF12-5810F690A27F}"/>
    <cellStyle name="Normal 3 2 2 2 2 2 2 2 12 2 7 2 2" xfId="25051" xr:uid="{A679C4B6-FE91-4AF9-A17D-C80BED3268A2}"/>
    <cellStyle name="Normal 3 2 2 2 2 2 2 2 12 2 7 2 3" xfId="25052" xr:uid="{A033A7C4-A01F-467B-9AEC-55F0FABDFE43}"/>
    <cellStyle name="Normal 3 2 2 2 2 2 2 2 12 2 7 2 4" xfId="25053" xr:uid="{48F2BADE-6C92-4A5E-8506-DCE4EA862D89}"/>
    <cellStyle name="Normal 3 2 2 2 2 2 2 2 12 2 7 3" xfId="25054" xr:uid="{0CC2E748-A9B0-4C4A-8CD1-074A72A3B32C}"/>
    <cellStyle name="Normal 3 2 2 2 2 2 2 2 12 2 7 4" xfId="25055" xr:uid="{43F1125E-0FD3-4368-9523-D00A7C4E6E02}"/>
    <cellStyle name="Normal 3 2 2 2 2 2 2 2 12 2 7 5" xfId="25056" xr:uid="{A3F26C18-F409-48FF-A7C0-264725B55E50}"/>
    <cellStyle name="Normal 3 2 2 2 2 2 2 2 12 2 7 6" xfId="25057" xr:uid="{4C0305DD-4DD1-4FEB-AC8F-C8974C7C927F}"/>
    <cellStyle name="Normal 3 2 2 2 2 2 2 2 12 2 8" xfId="25058" xr:uid="{02B70742-201A-410F-9CA3-3872F7424F7E}"/>
    <cellStyle name="Normal 3 2 2 2 2 2 2 2 12 2 9" xfId="25059" xr:uid="{37A4C1F3-E767-4FB0-82C9-2C55F024A6C2}"/>
    <cellStyle name="Normal 3 2 2 2 2 2 2 2 12 20" xfId="25060" xr:uid="{0671D41D-3F14-454F-805C-00C0C6014FA2}"/>
    <cellStyle name="Normal 3 2 2 2 2 2 2 2 12 21" xfId="25061" xr:uid="{5AFDE707-075E-411B-B107-BBC75333C51A}"/>
    <cellStyle name="Normal 3 2 2 2 2 2 2 2 12 21 2" xfId="25062" xr:uid="{245E4683-ACC9-4906-8B61-972F155ECCDB}"/>
    <cellStyle name="Normal 3 2 2 2 2 2 2 2 12 21 3" xfId="25063" xr:uid="{1828060A-FED9-404C-B429-18126CC6A68F}"/>
    <cellStyle name="Normal 3 2 2 2 2 2 2 2 12 21 4" xfId="25064" xr:uid="{13F33E50-F4FB-4AD5-8D27-B397B138F9BD}"/>
    <cellStyle name="Normal 3 2 2 2 2 2 2 2 12 22" xfId="25065" xr:uid="{9905BF7B-96EB-4E34-A747-6E2A53996A10}"/>
    <cellStyle name="Normal 3 2 2 2 2 2 2 2 12 23" xfId="25066" xr:uid="{FBB9C4D1-8ABD-45D4-B1DE-435E2B45C423}"/>
    <cellStyle name="Normal 3 2 2 2 2 2 2 2 12 24" xfId="25067" xr:uid="{765B04BA-7597-40B8-9292-252187863C06}"/>
    <cellStyle name="Normal 3 2 2 2 2 2 2 2 12 3" xfId="25068" xr:uid="{CF4717E1-09FD-49E1-88CC-1906F1EFB5FB}"/>
    <cellStyle name="Normal 3 2 2 2 2 2 2 2 12 4" xfId="25069" xr:uid="{9D311ADC-3A22-4EDE-A3AD-007D90C97EC6}"/>
    <cellStyle name="Normal 3 2 2 2 2 2 2 2 12 5" xfId="25070" xr:uid="{AD20C7E8-DBB5-4E55-9738-CD40BE191ED1}"/>
    <cellStyle name="Normal 3 2 2 2 2 2 2 2 12 6" xfId="25071" xr:uid="{DBE917F3-B903-4001-8971-505A15C01ABC}"/>
    <cellStyle name="Normal 3 2 2 2 2 2 2 2 12 7" xfId="25072" xr:uid="{B64CD695-EDF3-4783-BCA2-89969AB39971}"/>
    <cellStyle name="Normal 3 2 2 2 2 2 2 2 12 8" xfId="25073" xr:uid="{277499DF-FE0E-443F-AC77-91BFDFB29CBC}"/>
    <cellStyle name="Normal 3 2 2 2 2 2 2 2 12 9" xfId="25074" xr:uid="{4BACF662-6776-4551-822B-F1A1AE4FE941}"/>
    <cellStyle name="Normal 3 2 2 2 2 2 2 2 13" xfId="25075" xr:uid="{B82A2708-C33B-416C-85A4-3023F1E3BE22}"/>
    <cellStyle name="Normal 3 2 2 2 2 2 2 2 13 10" xfId="25076" xr:uid="{A128F004-8099-4EF9-B4BF-C2E8D81F54CD}"/>
    <cellStyle name="Normal 3 2 2 2 2 2 2 2 13 11" xfId="25077" xr:uid="{7B50744C-ECA2-4444-9605-36283B66375B}"/>
    <cellStyle name="Normal 3 2 2 2 2 2 2 2 13 12" xfId="25078" xr:uid="{1C2E0A97-0C8A-4476-BBAD-8DAD8A67964C}"/>
    <cellStyle name="Normal 3 2 2 2 2 2 2 2 13 13" xfId="25079" xr:uid="{44A2EEFC-070D-4C9C-9D98-F56910D55513}"/>
    <cellStyle name="Normal 3 2 2 2 2 2 2 2 13 13 2" xfId="25080" xr:uid="{6F798AF8-1230-4D83-BE5D-66FB9C995AD2}"/>
    <cellStyle name="Normal 3 2 2 2 2 2 2 2 13 13 3" xfId="25081" xr:uid="{F4BE9886-C4FC-442C-B6AA-E9A34A4BE57D}"/>
    <cellStyle name="Normal 3 2 2 2 2 2 2 2 13 13 4" xfId="25082" xr:uid="{741CFE78-A468-4547-8E63-90A41AB4FDC4}"/>
    <cellStyle name="Normal 3 2 2 2 2 2 2 2 13 14" xfId="25083" xr:uid="{DFDE5A78-FECE-411F-BDA2-2930DD29C43F}"/>
    <cellStyle name="Normal 3 2 2 2 2 2 2 2 13 15" xfId="25084" xr:uid="{21046C0A-11FD-4DAF-B648-E348DAC0D015}"/>
    <cellStyle name="Normal 3 2 2 2 2 2 2 2 13 16" xfId="25085" xr:uid="{FE6FE49D-3269-4012-A69A-120FE2C4C11B}"/>
    <cellStyle name="Normal 3 2 2 2 2 2 2 2 13 2" xfId="25086" xr:uid="{0DB70CE5-EBB4-4FBC-B797-5AC0D33CE307}"/>
    <cellStyle name="Normal 3 2 2 2 2 2 2 2 13 2 10" xfId="25087" xr:uid="{C96F0640-F0BF-4256-BA5A-F44CA5EF1D3F}"/>
    <cellStyle name="Normal 3 2 2 2 2 2 2 2 13 2 11" xfId="25088" xr:uid="{29301BDD-4472-4294-8E92-137FBB606A43}"/>
    <cellStyle name="Normal 3 2 2 2 2 2 2 2 13 2 11 2" xfId="25089" xr:uid="{0963FFC2-ABF8-4BD1-8464-6568C0FC4A00}"/>
    <cellStyle name="Normal 3 2 2 2 2 2 2 2 13 2 11 3" xfId="25090" xr:uid="{44304D1A-4EA3-4643-B904-1133BEAD6EE1}"/>
    <cellStyle name="Normal 3 2 2 2 2 2 2 2 13 2 11 4" xfId="25091" xr:uid="{21B26227-D6EE-44BA-9D23-34E26E97079F}"/>
    <cellStyle name="Normal 3 2 2 2 2 2 2 2 13 2 12" xfId="25092" xr:uid="{69A51C14-571D-4D56-B3D3-672BE609E9DA}"/>
    <cellStyle name="Normal 3 2 2 2 2 2 2 2 13 2 13" xfId="25093" xr:uid="{07BB2D30-FB42-4001-A8A1-C0B76C8AE1DB}"/>
    <cellStyle name="Normal 3 2 2 2 2 2 2 2 13 2 14" xfId="25094" xr:uid="{4BBB38A9-DDBD-46D9-82BF-9C3CB31EC56F}"/>
    <cellStyle name="Normal 3 2 2 2 2 2 2 2 13 2 2" xfId="25095" xr:uid="{977303D3-8EFB-400F-9436-DDC72F1AF4CE}"/>
    <cellStyle name="Normal 3 2 2 2 2 2 2 2 13 2 2 10" xfId="25096" xr:uid="{E062C39C-7422-4E63-8B3E-D1EF6C9FE883}"/>
    <cellStyle name="Normal 3 2 2 2 2 2 2 2 13 2 2 11" xfId="25097" xr:uid="{2217B609-BBDF-48F8-8870-818766DA4E3D}"/>
    <cellStyle name="Normal 3 2 2 2 2 2 2 2 13 2 2 2" xfId="25098" xr:uid="{29F1DB76-DA39-4E3A-B986-33D85BD4FC97}"/>
    <cellStyle name="Normal 3 2 2 2 2 2 2 2 13 2 2 2 10" xfId="25099" xr:uid="{F1D248B2-57F8-4F02-BDB7-5EAA0A6C076B}"/>
    <cellStyle name="Normal 3 2 2 2 2 2 2 2 13 2 2 2 11" xfId="25100" xr:uid="{6F4EFA4F-E7B3-4EED-A88B-C51654B5275C}"/>
    <cellStyle name="Normal 3 2 2 2 2 2 2 2 13 2 2 2 2" xfId="25101" xr:uid="{D6C994FE-AE6C-4769-A561-D904CE1A0513}"/>
    <cellStyle name="Normal 3 2 2 2 2 2 2 2 13 2 2 2 2 2" xfId="25102" xr:uid="{A646DE57-60A1-4206-AFB7-8B49AFE75D0E}"/>
    <cellStyle name="Normal 3 2 2 2 2 2 2 2 13 2 2 2 2 2 2" xfId="25103" xr:uid="{ED7882B9-18A7-4938-A3DD-F440174DC0BA}"/>
    <cellStyle name="Normal 3 2 2 2 2 2 2 2 13 2 2 2 2 2 3" xfId="25104" xr:uid="{F269D5DB-C3E9-4FDD-A3FF-E5DF82E0B636}"/>
    <cellStyle name="Normal 3 2 2 2 2 2 2 2 13 2 2 2 2 2 4" xfId="25105" xr:uid="{BE1FD796-B35C-43D4-B5CC-9E2D0414E415}"/>
    <cellStyle name="Normal 3 2 2 2 2 2 2 2 13 2 2 2 2 3" xfId="25106" xr:uid="{4A1050F2-E1E8-4E29-A0A5-BE69943F2088}"/>
    <cellStyle name="Normal 3 2 2 2 2 2 2 2 13 2 2 2 2 4" xfId="25107" xr:uid="{7173819A-9176-4D4C-83A8-B00F81C98DC0}"/>
    <cellStyle name="Normal 3 2 2 2 2 2 2 2 13 2 2 2 2 5" xfId="25108" xr:uid="{58BF0367-DC11-4F5B-B289-93D04F664CD6}"/>
    <cellStyle name="Normal 3 2 2 2 2 2 2 2 13 2 2 2 2 6" xfId="25109" xr:uid="{AC292CF8-1E61-4726-9DB9-AEF08296B25D}"/>
    <cellStyle name="Normal 3 2 2 2 2 2 2 2 13 2 2 2 3" xfId="25110" xr:uid="{C0FFBA25-B6DE-4CE7-98A9-54A3831CE2C8}"/>
    <cellStyle name="Normal 3 2 2 2 2 2 2 2 13 2 2 2 4" xfId="25111" xr:uid="{514E9196-55C9-4E18-82F4-EF31A4BCA324}"/>
    <cellStyle name="Normal 3 2 2 2 2 2 2 2 13 2 2 2 5" xfId="25112" xr:uid="{F4F39C9F-8B46-4471-B45B-57A150F45473}"/>
    <cellStyle name="Normal 3 2 2 2 2 2 2 2 13 2 2 2 6" xfId="25113" xr:uid="{C9C68980-0D67-4926-ADA6-BA6710978FC9}"/>
    <cellStyle name="Normal 3 2 2 2 2 2 2 2 13 2 2 2 7" xfId="25114" xr:uid="{AE0DCBC3-C029-43D3-A9EA-7BDF86F01319}"/>
    <cellStyle name="Normal 3 2 2 2 2 2 2 2 13 2 2 2 8" xfId="25115" xr:uid="{8A7BE10C-D933-4AFE-9314-117725DCE03D}"/>
    <cellStyle name="Normal 3 2 2 2 2 2 2 2 13 2 2 2 8 2" xfId="25116" xr:uid="{F4A1666F-D4C1-4153-BAAB-6D3E520FDD35}"/>
    <cellStyle name="Normal 3 2 2 2 2 2 2 2 13 2 2 2 8 3" xfId="25117" xr:uid="{0C75C4FD-1B8E-4394-B0ED-B09C704C22B8}"/>
    <cellStyle name="Normal 3 2 2 2 2 2 2 2 13 2 2 2 8 4" xfId="25118" xr:uid="{A6EDBBC5-8341-4ED2-8FB1-5D5D072E260D}"/>
    <cellStyle name="Normal 3 2 2 2 2 2 2 2 13 2 2 2 9" xfId="25119" xr:uid="{A357C653-79D0-455F-9784-2F33909FEFD7}"/>
    <cellStyle name="Normal 3 2 2 2 2 2 2 2 13 2 2 3" xfId="25120" xr:uid="{59501F6E-C8B5-47DF-B8BD-576BBE1ECE29}"/>
    <cellStyle name="Normal 3 2 2 2 2 2 2 2 13 2 2 3 2" xfId="25121" xr:uid="{453BC6A4-5866-4738-B9F1-4253A003E0EE}"/>
    <cellStyle name="Normal 3 2 2 2 2 2 2 2 13 2 2 3 2 2" xfId="25122" xr:uid="{16C02AAD-11BB-407D-B5A6-D824D7B249FD}"/>
    <cellStyle name="Normal 3 2 2 2 2 2 2 2 13 2 2 3 2 3" xfId="25123" xr:uid="{31EBB168-F1C7-4667-A618-1B7F9B0B536D}"/>
    <cellStyle name="Normal 3 2 2 2 2 2 2 2 13 2 2 3 2 4" xfId="25124" xr:uid="{DD1E55A9-07D2-42AD-B98C-FB0DFF86DA1A}"/>
    <cellStyle name="Normal 3 2 2 2 2 2 2 2 13 2 2 3 3" xfId="25125" xr:uid="{AC7BB707-8647-437A-8D0A-10D1F4F59557}"/>
    <cellStyle name="Normal 3 2 2 2 2 2 2 2 13 2 2 3 4" xfId="25126" xr:uid="{846E77B3-EF1F-47FD-8725-FBF084E88D46}"/>
    <cellStyle name="Normal 3 2 2 2 2 2 2 2 13 2 2 3 5" xfId="25127" xr:uid="{28DDB6F3-B094-4972-9BD9-DB6A8339B402}"/>
    <cellStyle name="Normal 3 2 2 2 2 2 2 2 13 2 2 3 6" xfId="25128" xr:uid="{E8238466-50BB-4B9C-90AB-3BE66D8EEA9B}"/>
    <cellStyle name="Normal 3 2 2 2 2 2 2 2 13 2 2 4" xfId="25129" xr:uid="{25E1FA96-F6F1-4AF4-BF53-412A4C2CC58F}"/>
    <cellStyle name="Normal 3 2 2 2 2 2 2 2 13 2 2 5" xfId="25130" xr:uid="{98B09989-0769-4A46-B5FE-BBF61DF2C9EE}"/>
    <cellStyle name="Normal 3 2 2 2 2 2 2 2 13 2 2 6" xfId="25131" xr:uid="{3AB3BB18-9C77-421E-B9BC-2D80600EA5FA}"/>
    <cellStyle name="Normal 3 2 2 2 2 2 2 2 13 2 2 7" xfId="25132" xr:uid="{01E77427-B99F-4207-AEE7-D20874F5F45D}"/>
    <cellStyle name="Normal 3 2 2 2 2 2 2 2 13 2 2 8" xfId="25133" xr:uid="{F9BCA231-9FA6-4751-B95E-984D96FE6D52}"/>
    <cellStyle name="Normal 3 2 2 2 2 2 2 2 13 2 2 8 2" xfId="25134" xr:uid="{87AE59E0-2C85-4C39-BA04-3F42CD54E0F7}"/>
    <cellStyle name="Normal 3 2 2 2 2 2 2 2 13 2 2 8 3" xfId="25135" xr:uid="{27E6AC14-D5E5-4CE3-B459-12F94865E41C}"/>
    <cellStyle name="Normal 3 2 2 2 2 2 2 2 13 2 2 8 4" xfId="25136" xr:uid="{25B5D561-B29A-4971-9060-702FB7CA7AC2}"/>
    <cellStyle name="Normal 3 2 2 2 2 2 2 2 13 2 2 9" xfId="25137" xr:uid="{95A2D784-F68B-4848-8CF4-F74C59BBE9F5}"/>
    <cellStyle name="Normal 3 2 2 2 2 2 2 2 13 2 3" xfId="25138" xr:uid="{820E36FA-8E3E-4F75-846D-470674FCC17E}"/>
    <cellStyle name="Normal 3 2 2 2 2 2 2 2 13 2 4" xfId="25139" xr:uid="{7A7F58C3-C588-4093-A7E4-65DF12FF3277}"/>
    <cellStyle name="Normal 3 2 2 2 2 2 2 2 13 2 5" xfId="25140" xr:uid="{6A60A6E9-AD15-4014-AEC7-98488DE163E2}"/>
    <cellStyle name="Normal 3 2 2 2 2 2 2 2 13 2 5 2" xfId="25141" xr:uid="{91EB7C41-8727-4D1C-BFD9-80281590A46E}"/>
    <cellStyle name="Normal 3 2 2 2 2 2 2 2 13 2 5 2 2" xfId="25142" xr:uid="{E092A9E1-47AC-451F-B042-1B3364AD62BD}"/>
    <cellStyle name="Normal 3 2 2 2 2 2 2 2 13 2 5 2 3" xfId="25143" xr:uid="{E16C4597-77BA-432F-A7AA-44B814063061}"/>
    <cellStyle name="Normal 3 2 2 2 2 2 2 2 13 2 5 2 4" xfId="25144" xr:uid="{65AD2719-E869-46D1-A6B7-3D85CBE0E5E8}"/>
    <cellStyle name="Normal 3 2 2 2 2 2 2 2 13 2 5 3" xfId="25145" xr:uid="{51D2425E-0C92-4156-ABCB-1066ED1DA9D8}"/>
    <cellStyle name="Normal 3 2 2 2 2 2 2 2 13 2 5 4" xfId="25146" xr:uid="{F3C3575D-88D6-4198-838A-F1BD6C2F323A}"/>
    <cellStyle name="Normal 3 2 2 2 2 2 2 2 13 2 5 5" xfId="25147" xr:uid="{6EDA64FF-283C-4417-9C13-8944136E2718}"/>
    <cellStyle name="Normal 3 2 2 2 2 2 2 2 13 2 5 6" xfId="25148" xr:uid="{96DDD5ED-B469-479A-AD4E-8EDC94D409C7}"/>
    <cellStyle name="Normal 3 2 2 2 2 2 2 2 13 2 6" xfId="25149" xr:uid="{04DD893C-5B54-4F45-BDE7-AF6C1E0C014E}"/>
    <cellStyle name="Normal 3 2 2 2 2 2 2 2 13 2 7" xfId="25150" xr:uid="{5DB201FB-1A1A-4F08-9723-FD8F7EC54343}"/>
    <cellStyle name="Normal 3 2 2 2 2 2 2 2 13 2 8" xfId="25151" xr:uid="{B633F796-E4E9-41BF-9A32-EFCF626CBC81}"/>
    <cellStyle name="Normal 3 2 2 2 2 2 2 2 13 2 9" xfId="25152" xr:uid="{A8CD0E15-09A7-47C2-B36F-108F6356CFC4}"/>
    <cellStyle name="Normal 3 2 2 2 2 2 2 2 13 3" xfId="25153" xr:uid="{B5CE06B3-F8AE-4084-9216-E0EB3BF1D31C}"/>
    <cellStyle name="Normal 3 2 2 2 2 2 2 2 13 4" xfId="25154" xr:uid="{CB657B66-A6AF-4061-902A-B9127B8CBBD9}"/>
    <cellStyle name="Normal 3 2 2 2 2 2 2 2 13 5" xfId="25155" xr:uid="{4A4731BF-76FA-41AA-8F75-41A49495956E}"/>
    <cellStyle name="Normal 3 2 2 2 2 2 2 2 13 5 10" xfId="25156" xr:uid="{A05746AA-1D9E-416B-8C4A-D97F6B24BFDE}"/>
    <cellStyle name="Normal 3 2 2 2 2 2 2 2 13 5 11" xfId="25157" xr:uid="{A2FD09B3-E19D-47C9-978A-7A19AF20BCE7}"/>
    <cellStyle name="Normal 3 2 2 2 2 2 2 2 13 5 2" xfId="25158" xr:uid="{7652D988-3CE1-42B1-BFD0-2CEBD1087579}"/>
    <cellStyle name="Normal 3 2 2 2 2 2 2 2 13 5 2 10" xfId="25159" xr:uid="{55A197CC-F23B-4B4B-91A3-DDB58C69B5E8}"/>
    <cellStyle name="Normal 3 2 2 2 2 2 2 2 13 5 2 11" xfId="25160" xr:uid="{7575BE4A-2103-4A37-AB17-A9188853B6B3}"/>
    <cellStyle name="Normal 3 2 2 2 2 2 2 2 13 5 2 2" xfId="25161" xr:uid="{96295983-3DE2-45F3-91A7-106D59718A8A}"/>
    <cellStyle name="Normal 3 2 2 2 2 2 2 2 13 5 2 2 2" xfId="25162" xr:uid="{E500B5F1-F061-45E4-9937-DE3B69B6DBE4}"/>
    <cellStyle name="Normal 3 2 2 2 2 2 2 2 13 5 2 2 2 2" xfId="25163" xr:uid="{8F5AC03B-DE4D-4398-AB94-69BF3A369DEB}"/>
    <cellStyle name="Normal 3 2 2 2 2 2 2 2 13 5 2 2 2 3" xfId="25164" xr:uid="{E1ED4CAE-B8E3-483E-8D54-AFD897D923F2}"/>
    <cellStyle name="Normal 3 2 2 2 2 2 2 2 13 5 2 2 2 4" xfId="25165" xr:uid="{C0520006-1CAB-468D-A49D-DE96F0CB7299}"/>
    <cellStyle name="Normal 3 2 2 2 2 2 2 2 13 5 2 2 3" xfId="25166" xr:uid="{0A3B4AEF-7670-4C80-8BB7-BBDD23AC498F}"/>
    <cellStyle name="Normal 3 2 2 2 2 2 2 2 13 5 2 2 4" xfId="25167" xr:uid="{1365007C-C213-4D79-A064-6A559C5556A4}"/>
    <cellStyle name="Normal 3 2 2 2 2 2 2 2 13 5 2 2 5" xfId="25168" xr:uid="{74CBB87F-32A8-453D-83A2-10654CD72E10}"/>
    <cellStyle name="Normal 3 2 2 2 2 2 2 2 13 5 2 2 6" xfId="25169" xr:uid="{329C11C3-06FF-4FC3-A5DA-906588234030}"/>
    <cellStyle name="Normal 3 2 2 2 2 2 2 2 13 5 2 3" xfId="25170" xr:uid="{ED58D146-1C22-4D3E-9B7D-0EE07D9B1242}"/>
    <cellStyle name="Normal 3 2 2 2 2 2 2 2 13 5 2 4" xfId="25171" xr:uid="{6FD742F2-D86D-4342-9FE0-53EF1EF118AC}"/>
    <cellStyle name="Normal 3 2 2 2 2 2 2 2 13 5 2 5" xfId="25172" xr:uid="{4FB1A8DD-6FD9-44F0-8669-A6D43CA92C1B}"/>
    <cellStyle name="Normal 3 2 2 2 2 2 2 2 13 5 2 6" xfId="25173" xr:uid="{05521508-FEDF-485F-A8BE-8A448D8F0E83}"/>
    <cellStyle name="Normal 3 2 2 2 2 2 2 2 13 5 2 7" xfId="25174" xr:uid="{C8A0612C-0F04-409F-9A53-9085E89EEEAA}"/>
    <cellStyle name="Normal 3 2 2 2 2 2 2 2 13 5 2 8" xfId="25175" xr:uid="{426A9626-8134-452C-ABC4-37A67FB94A04}"/>
    <cellStyle name="Normal 3 2 2 2 2 2 2 2 13 5 2 8 2" xfId="25176" xr:uid="{92CA7275-59FB-4FB3-98D8-E84BB7858FF2}"/>
    <cellStyle name="Normal 3 2 2 2 2 2 2 2 13 5 2 8 3" xfId="25177" xr:uid="{ACD8BA9E-F32C-4919-905E-48C9590175E2}"/>
    <cellStyle name="Normal 3 2 2 2 2 2 2 2 13 5 2 8 4" xfId="25178" xr:uid="{A45EDCCC-965E-442D-A49E-A1C2FF7D7530}"/>
    <cellStyle name="Normal 3 2 2 2 2 2 2 2 13 5 2 9" xfId="25179" xr:uid="{C5E5826A-9BF2-4DF6-B2C3-1555EED48AD2}"/>
    <cellStyle name="Normal 3 2 2 2 2 2 2 2 13 5 3" xfId="25180" xr:uid="{6763594F-917D-4D96-8A3E-F10FF6834465}"/>
    <cellStyle name="Normal 3 2 2 2 2 2 2 2 13 5 3 2" xfId="25181" xr:uid="{9116E5BA-35CA-4786-A733-1863AD83BB29}"/>
    <cellStyle name="Normal 3 2 2 2 2 2 2 2 13 5 3 2 2" xfId="25182" xr:uid="{69CD4505-6B51-42C8-A15E-CC03E2246753}"/>
    <cellStyle name="Normal 3 2 2 2 2 2 2 2 13 5 3 2 3" xfId="25183" xr:uid="{48CE11C7-7590-4A7E-A845-5A7D46D78EF3}"/>
    <cellStyle name="Normal 3 2 2 2 2 2 2 2 13 5 3 2 4" xfId="25184" xr:uid="{FF165DB0-C5F8-4505-85E5-1404AA27F3A6}"/>
    <cellStyle name="Normal 3 2 2 2 2 2 2 2 13 5 3 3" xfId="25185" xr:uid="{CDA9F6DC-94DD-433A-8F9C-74CCABC22F84}"/>
    <cellStyle name="Normal 3 2 2 2 2 2 2 2 13 5 3 4" xfId="25186" xr:uid="{D0D41F52-EE85-4410-BC2D-563AB832FE44}"/>
    <cellStyle name="Normal 3 2 2 2 2 2 2 2 13 5 3 5" xfId="25187" xr:uid="{B7C9BAB0-71FB-45D1-ACC3-C7E6ACDFDD1E}"/>
    <cellStyle name="Normal 3 2 2 2 2 2 2 2 13 5 3 6" xfId="25188" xr:uid="{EA6DAA7F-AB5E-4BBD-AF6B-5BE9C537FA07}"/>
    <cellStyle name="Normal 3 2 2 2 2 2 2 2 13 5 4" xfId="25189" xr:uid="{EBAA67B9-E1B7-4632-B752-5E5EF2B74C28}"/>
    <cellStyle name="Normal 3 2 2 2 2 2 2 2 13 5 5" xfId="25190" xr:uid="{961CAE83-547D-4446-B627-3877700B395F}"/>
    <cellStyle name="Normal 3 2 2 2 2 2 2 2 13 5 6" xfId="25191" xr:uid="{63279E4A-A145-4465-B004-E33320522D00}"/>
    <cellStyle name="Normal 3 2 2 2 2 2 2 2 13 5 7" xfId="25192" xr:uid="{B2840C3A-B4B9-473D-905E-06D784A44D0C}"/>
    <cellStyle name="Normal 3 2 2 2 2 2 2 2 13 5 8" xfId="25193" xr:uid="{E7D70DBC-6F8D-4919-8967-ECFB8AF18B80}"/>
    <cellStyle name="Normal 3 2 2 2 2 2 2 2 13 5 8 2" xfId="25194" xr:uid="{30EF27F1-4EB1-471E-AA22-D96171F08A51}"/>
    <cellStyle name="Normal 3 2 2 2 2 2 2 2 13 5 8 3" xfId="25195" xr:uid="{AFBCE77C-8CBF-4EEC-9E75-5406D8D5CD3B}"/>
    <cellStyle name="Normal 3 2 2 2 2 2 2 2 13 5 8 4" xfId="25196" xr:uid="{38BEB483-4EAF-4EB9-B75D-2F7E88EA6FCD}"/>
    <cellStyle name="Normal 3 2 2 2 2 2 2 2 13 5 9" xfId="25197" xr:uid="{8CDF4372-C01C-4B67-A1DD-AA9EDEEBCA1B}"/>
    <cellStyle name="Normal 3 2 2 2 2 2 2 2 13 6" xfId="25198" xr:uid="{896407F5-C985-4FF7-92DD-D6D874B4BB9A}"/>
    <cellStyle name="Normal 3 2 2 2 2 2 2 2 13 7" xfId="25199" xr:uid="{94B7B295-EA5C-4A63-9418-6BB8D99501CC}"/>
    <cellStyle name="Normal 3 2 2 2 2 2 2 2 13 7 2" xfId="25200" xr:uid="{1C914ED4-E918-4D30-A4C5-04C33CABBA6D}"/>
    <cellStyle name="Normal 3 2 2 2 2 2 2 2 13 7 2 2" xfId="25201" xr:uid="{F5CFEB80-964D-4DBB-B060-266E38BB2605}"/>
    <cellStyle name="Normal 3 2 2 2 2 2 2 2 13 7 2 3" xfId="25202" xr:uid="{31B5BB16-C3C3-4CD1-97FD-C82C2E6B2567}"/>
    <cellStyle name="Normal 3 2 2 2 2 2 2 2 13 7 2 4" xfId="25203" xr:uid="{F36F9AFB-B268-4E0A-997E-6E9227642094}"/>
    <cellStyle name="Normal 3 2 2 2 2 2 2 2 13 7 3" xfId="25204" xr:uid="{57083967-244B-497B-8853-ED6D14EEBB4C}"/>
    <cellStyle name="Normal 3 2 2 2 2 2 2 2 13 7 4" xfId="25205" xr:uid="{46B1CC04-E188-4E40-9450-7B3C9BB5B73D}"/>
    <cellStyle name="Normal 3 2 2 2 2 2 2 2 13 7 5" xfId="25206" xr:uid="{34AF52A6-FE93-46C4-A3AE-150BCEE609ED}"/>
    <cellStyle name="Normal 3 2 2 2 2 2 2 2 13 7 6" xfId="25207" xr:uid="{8E2F43B1-3094-49F4-8047-6137017B8431}"/>
    <cellStyle name="Normal 3 2 2 2 2 2 2 2 13 8" xfId="25208" xr:uid="{805BD247-D7C1-4D20-90DE-EE38B5FD1C87}"/>
    <cellStyle name="Normal 3 2 2 2 2 2 2 2 13 9" xfId="25209" xr:uid="{D4632B82-55FF-4AA3-ABA5-E3A439DFA9B8}"/>
    <cellStyle name="Normal 3 2 2 2 2 2 2 2 14" xfId="25210" xr:uid="{84775A27-79FE-4199-A78A-E24C243E2D77}"/>
    <cellStyle name="Normal 3 2 2 2 2 2 2 2 15" xfId="25211" xr:uid="{7860C60F-8103-448C-9DEB-B96E4FF031C0}"/>
    <cellStyle name="Normal 3 2 2 2 2 2 2 2 16" xfId="25212" xr:uid="{20FC9628-B305-48B2-BF11-A8477D12E318}"/>
    <cellStyle name="Normal 3 2 2 2 2 2 2 2 17" xfId="25213" xr:uid="{73B38F37-7B90-4806-8480-40695BD0A412}"/>
    <cellStyle name="Normal 3 2 2 2 2 2 2 2 18" xfId="25214" xr:uid="{10B832BB-DCD3-49D5-8537-EC1BDE080056}"/>
    <cellStyle name="Normal 3 2 2 2 2 2 2 2 19" xfId="25215" xr:uid="{3E359292-2CC2-430F-8B8C-DBB4687B0E3E}"/>
    <cellStyle name="Normal 3 2 2 2 2 2 2 2 2" xfId="25216" xr:uid="{D4E64EDA-B2A3-4DEE-9C4D-029E5A13303C}"/>
    <cellStyle name="Normal 3 2 2 2 2 2 2 2 2 10" xfId="25217" xr:uid="{91AE1ED4-F853-4F2B-97F4-6414994EC48B}"/>
    <cellStyle name="Normal 3 2 2 2 2 2 2 2 2 11" xfId="25218" xr:uid="{00449E05-6ADD-407D-B5BA-F5FA98CF3728}"/>
    <cellStyle name="Normal 3 2 2 2 2 2 2 2 2 12" xfId="25219" xr:uid="{D69F2518-739C-40AC-87A1-0D5DAFEF5277}"/>
    <cellStyle name="Normal 3 2 2 2 2 2 2 2 2 13" xfId="25220" xr:uid="{3501BE32-374B-4477-84C8-8E6AA4AF2020}"/>
    <cellStyle name="Normal 3 2 2 2 2 2 2 2 2 14" xfId="25221" xr:uid="{731A3873-FAD0-4117-B909-367A86E64D55}"/>
    <cellStyle name="Normal 3 2 2 2 2 2 2 2 2 15" xfId="25222" xr:uid="{9DE1ABD7-3D7F-4FC3-8CC0-CA6E76753739}"/>
    <cellStyle name="Normal 3 2 2 2 2 2 2 2 2 16" xfId="25223" xr:uid="{DF64BA8E-18C6-4933-A016-740801E62FD6}"/>
    <cellStyle name="Normal 3 2 2 2 2 2 2 2 2 17" xfId="25224" xr:uid="{C2ED918F-1AD0-477F-B30B-2495F474381A}"/>
    <cellStyle name="Normal 3 2 2 2 2 2 2 2 2 17 10" xfId="25225" xr:uid="{AC261BFA-C956-4ACF-9B9D-4FBDF379FF5A}"/>
    <cellStyle name="Normal 3 2 2 2 2 2 2 2 2 17 11" xfId="25226" xr:uid="{D4C71B58-FB9D-4143-9414-C32A6526CB01}"/>
    <cellStyle name="Normal 3 2 2 2 2 2 2 2 2 17 11 2" xfId="25227" xr:uid="{8B87F5B0-7674-4D91-A36D-2F478F712FED}"/>
    <cellStyle name="Normal 3 2 2 2 2 2 2 2 2 17 11 3" xfId="25228" xr:uid="{D02BBB79-C95D-4454-94A5-5169FD7D6FA9}"/>
    <cellStyle name="Normal 3 2 2 2 2 2 2 2 2 17 11 4" xfId="25229" xr:uid="{F3964552-4206-45C4-856F-4F52B56D3D9C}"/>
    <cellStyle name="Normal 3 2 2 2 2 2 2 2 2 17 12" xfId="25230" xr:uid="{D6CC56AA-26C9-4641-AC3C-9621D68AB379}"/>
    <cellStyle name="Normal 3 2 2 2 2 2 2 2 2 17 13" xfId="25231" xr:uid="{A17F1503-D546-4A5E-A529-8708708010F1}"/>
    <cellStyle name="Normal 3 2 2 2 2 2 2 2 2 17 14" xfId="25232" xr:uid="{5328489B-2FFC-4C06-AE74-A2F70E2DC69B}"/>
    <cellStyle name="Normal 3 2 2 2 2 2 2 2 2 17 2" xfId="25233" xr:uid="{8F895652-9ACE-4354-8AB3-DDBB8956CC45}"/>
    <cellStyle name="Normal 3 2 2 2 2 2 2 2 2 17 2 10" xfId="25234" xr:uid="{E5F9221D-37B6-443C-9CC3-5110BED86623}"/>
    <cellStyle name="Normal 3 2 2 2 2 2 2 2 2 17 2 11" xfId="25235" xr:uid="{12EBA14E-0CC5-4F8C-8A24-311F11C4C249}"/>
    <cellStyle name="Normal 3 2 2 2 2 2 2 2 2 17 2 2" xfId="25236" xr:uid="{07C180D3-FECD-4E8C-94AE-F81A1D157646}"/>
    <cellStyle name="Normal 3 2 2 2 2 2 2 2 2 17 2 2 10" xfId="25237" xr:uid="{DD938FDD-DAD7-4CC8-B121-9F68D010A5C4}"/>
    <cellStyle name="Normal 3 2 2 2 2 2 2 2 2 17 2 2 11" xfId="25238" xr:uid="{3E760EF7-8929-4C63-9D49-E33806082AA1}"/>
    <cellStyle name="Normal 3 2 2 2 2 2 2 2 2 17 2 2 2" xfId="25239" xr:uid="{E72C27FB-EDF7-4B98-81E5-6C9DC43BAF11}"/>
    <cellStyle name="Normal 3 2 2 2 2 2 2 2 2 17 2 2 2 2" xfId="25240" xr:uid="{10BC963B-3614-42F5-959D-D6C6910D27FD}"/>
    <cellStyle name="Normal 3 2 2 2 2 2 2 2 2 17 2 2 2 2 2" xfId="25241" xr:uid="{AA89A591-746F-4392-B33D-1C00F06DD14A}"/>
    <cellStyle name="Normal 3 2 2 2 2 2 2 2 2 17 2 2 2 2 3" xfId="25242" xr:uid="{B8816C72-6CBA-4632-A50F-139450661FFD}"/>
    <cellStyle name="Normal 3 2 2 2 2 2 2 2 2 17 2 2 2 2 4" xfId="25243" xr:uid="{4DAFD88C-1305-4DC9-A598-DF97FA2713E9}"/>
    <cellStyle name="Normal 3 2 2 2 2 2 2 2 2 17 2 2 2 3" xfId="25244" xr:uid="{D02041FA-B88C-4173-BAB7-EC87C3D3CD03}"/>
    <cellStyle name="Normal 3 2 2 2 2 2 2 2 2 17 2 2 2 4" xfId="25245" xr:uid="{D55A56D4-5133-49F1-920C-2A284FAF2269}"/>
    <cellStyle name="Normal 3 2 2 2 2 2 2 2 2 17 2 2 2 5" xfId="25246" xr:uid="{D07084B2-5264-47D9-9708-B5BAA0DAFA89}"/>
    <cellStyle name="Normal 3 2 2 2 2 2 2 2 2 17 2 2 2 6" xfId="25247" xr:uid="{AEE63EC6-0496-43B5-B6D9-E8F1193F5ED4}"/>
    <cellStyle name="Normal 3 2 2 2 2 2 2 2 2 17 2 2 3" xfId="25248" xr:uid="{F728D2F3-A406-4CEE-ABD3-8EBF80F89FC8}"/>
    <cellStyle name="Normal 3 2 2 2 2 2 2 2 2 17 2 2 4" xfId="25249" xr:uid="{999FBCBB-B32C-4A34-885C-2289C88F0DAB}"/>
    <cellStyle name="Normal 3 2 2 2 2 2 2 2 2 17 2 2 5" xfId="25250" xr:uid="{DB8E382C-0A8A-4731-95EC-039CF60E6648}"/>
    <cellStyle name="Normal 3 2 2 2 2 2 2 2 2 17 2 2 6" xfId="25251" xr:uid="{14C4D8B8-A14A-4695-8F1F-40E32808DF5E}"/>
    <cellStyle name="Normal 3 2 2 2 2 2 2 2 2 17 2 2 7" xfId="25252" xr:uid="{A2AD4376-DE1D-401B-985B-19FB167ECF2B}"/>
    <cellStyle name="Normal 3 2 2 2 2 2 2 2 2 17 2 2 8" xfId="25253" xr:uid="{4E3760F6-6BCC-413C-8216-88A9E077627B}"/>
    <cellStyle name="Normal 3 2 2 2 2 2 2 2 2 17 2 2 8 2" xfId="25254" xr:uid="{F1D66DA7-6D6B-4D9A-B145-9BF76C886830}"/>
    <cellStyle name="Normal 3 2 2 2 2 2 2 2 2 17 2 2 8 3" xfId="25255" xr:uid="{2D0FE4A9-88D4-4755-9510-33101B5077D6}"/>
    <cellStyle name="Normal 3 2 2 2 2 2 2 2 2 17 2 2 8 4" xfId="25256" xr:uid="{276A67F4-F1C7-40A7-A23D-C897E52F6EC0}"/>
    <cellStyle name="Normal 3 2 2 2 2 2 2 2 2 17 2 2 9" xfId="25257" xr:uid="{465BC4F7-7497-4B05-9310-632819603963}"/>
    <cellStyle name="Normal 3 2 2 2 2 2 2 2 2 17 2 3" xfId="25258" xr:uid="{95847F7D-778B-4A1E-9D2D-B3E67B37B867}"/>
    <cellStyle name="Normal 3 2 2 2 2 2 2 2 2 17 2 3 2" xfId="25259" xr:uid="{18C872A9-A672-4176-9BAB-FF8EA3642A15}"/>
    <cellStyle name="Normal 3 2 2 2 2 2 2 2 2 17 2 3 2 2" xfId="25260" xr:uid="{1B143D2C-B468-41F0-AC00-DB3F05874F02}"/>
    <cellStyle name="Normal 3 2 2 2 2 2 2 2 2 17 2 3 2 3" xfId="25261" xr:uid="{420672C7-5141-431B-A832-438AFBE9517D}"/>
    <cellStyle name="Normal 3 2 2 2 2 2 2 2 2 17 2 3 2 4" xfId="25262" xr:uid="{0572D66A-6C16-4152-93CE-F3CBEE1B850C}"/>
    <cellStyle name="Normal 3 2 2 2 2 2 2 2 2 17 2 3 3" xfId="25263" xr:uid="{E16E1982-529F-4D95-8307-9C5621CBCA28}"/>
    <cellStyle name="Normal 3 2 2 2 2 2 2 2 2 17 2 3 4" xfId="25264" xr:uid="{8698B6DE-E89A-42F4-9617-1E2E22880B83}"/>
    <cellStyle name="Normal 3 2 2 2 2 2 2 2 2 17 2 3 5" xfId="25265" xr:uid="{9974BC5A-7353-484B-BE28-51FAACA735F3}"/>
    <cellStyle name="Normal 3 2 2 2 2 2 2 2 2 17 2 3 6" xfId="25266" xr:uid="{BE1C69B1-4A79-4CF2-8DD6-2C8A2D413138}"/>
    <cellStyle name="Normal 3 2 2 2 2 2 2 2 2 17 2 4" xfId="25267" xr:uid="{3473E352-3D25-4936-93E1-A496923321FA}"/>
    <cellStyle name="Normal 3 2 2 2 2 2 2 2 2 17 2 5" xfId="25268" xr:uid="{B456E31A-FE91-4F2E-AF33-F1BE57F7EA03}"/>
    <cellStyle name="Normal 3 2 2 2 2 2 2 2 2 17 2 6" xfId="25269" xr:uid="{28A3E686-B26F-487F-9201-5AC1F0D03714}"/>
    <cellStyle name="Normal 3 2 2 2 2 2 2 2 2 17 2 7" xfId="25270" xr:uid="{ED1DCB40-A5A8-4407-AEDB-B5F99F5DAB6C}"/>
    <cellStyle name="Normal 3 2 2 2 2 2 2 2 2 17 2 8" xfId="25271" xr:uid="{02DAC704-2FB0-452D-B3CB-C6DBC9B47581}"/>
    <cellStyle name="Normal 3 2 2 2 2 2 2 2 2 17 2 8 2" xfId="25272" xr:uid="{BEB6A302-8F7C-44C6-8F33-0D34856CA594}"/>
    <cellStyle name="Normal 3 2 2 2 2 2 2 2 2 17 2 8 3" xfId="25273" xr:uid="{6E44DD45-3047-403A-A3B0-FBF1C5ED0FD4}"/>
    <cellStyle name="Normal 3 2 2 2 2 2 2 2 2 17 2 8 4" xfId="25274" xr:uid="{C02AC92E-9CAB-47FF-9528-888632B44FD9}"/>
    <cellStyle name="Normal 3 2 2 2 2 2 2 2 2 17 2 9" xfId="25275" xr:uid="{48A9FCFB-336C-4E46-9883-60982F2613D6}"/>
    <cellStyle name="Normal 3 2 2 2 2 2 2 2 2 17 3" xfId="25276" xr:uid="{AF68E17A-EC07-40CB-98E8-5CEE5C1F92FF}"/>
    <cellStyle name="Normal 3 2 2 2 2 2 2 2 2 17 4" xfId="25277" xr:uid="{19A4BA4B-CF3E-4F2E-8F8D-99E54EAFDFAC}"/>
    <cellStyle name="Normal 3 2 2 2 2 2 2 2 2 17 5" xfId="25278" xr:uid="{F65E055C-76CD-49CA-836F-D4290155CDEF}"/>
    <cellStyle name="Normal 3 2 2 2 2 2 2 2 2 17 5 2" xfId="25279" xr:uid="{B39A9553-109D-43B2-B826-9AAF5E0A1FD9}"/>
    <cellStyle name="Normal 3 2 2 2 2 2 2 2 2 17 5 2 2" xfId="25280" xr:uid="{E5A5FD5D-923A-430F-A940-5B72D31B9931}"/>
    <cellStyle name="Normal 3 2 2 2 2 2 2 2 2 17 5 2 3" xfId="25281" xr:uid="{16D17366-C5FD-4E62-909F-13B6DA9930BF}"/>
    <cellStyle name="Normal 3 2 2 2 2 2 2 2 2 17 5 2 4" xfId="25282" xr:uid="{41FFACA2-C9BF-4329-9B62-1CF72064ECBD}"/>
    <cellStyle name="Normal 3 2 2 2 2 2 2 2 2 17 5 3" xfId="25283" xr:uid="{4A5DCF09-7D87-4EFC-AD93-DD316BC51BEA}"/>
    <cellStyle name="Normal 3 2 2 2 2 2 2 2 2 17 5 4" xfId="25284" xr:uid="{9E3B2957-35FF-4A3F-AD82-46A68649C52F}"/>
    <cellStyle name="Normal 3 2 2 2 2 2 2 2 2 17 5 5" xfId="25285" xr:uid="{534985FA-6B9C-432A-B638-242F30B28D0F}"/>
    <cellStyle name="Normal 3 2 2 2 2 2 2 2 2 17 5 6" xfId="25286" xr:uid="{7485FA72-004C-4767-B3DF-F31CBDB3E4D3}"/>
    <cellStyle name="Normal 3 2 2 2 2 2 2 2 2 17 6" xfId="25287" xr:uid="{3D94FC90-A94F-48D8-85B3-EA26E58AEC8B}"/>
    <cellStyle name="Normal 3 2 2 2 2 2 2 2 2 17 7" xfId="25288" xr:uid="{B9DCF99F-0923-4103-B3AD-656CEE0FE59E}"/>
    <cellStyle name="Normal 3 2 2 2 2 2 2 2 2 17 8" xfId="25289" xr:uid="{15DF122A-1A74-414F-9D65-650DFE208222}"/>
    <cellStyle name="Normal 3 2 2 2 2 2 2 2 2 17 9" xfId="25290" xr:uid="{D369A11A-B7B3-4FBE-B235-6FFB00ADAEA0}"/>
    <cellStyle name="Normal 3 2 2 2 2 2 2 2 2 18" xfId="25291" xr:uid="{8983F884-97BC-40FE-8B69-9C58F68FB1DB}"/>
    <cellStyle name="Normal 3 2 2 2 2 2 2 2 2 19" xfId="25292" xr:uid="{1C4A3033-825C-4DCD-B711-4C8DE59CA908}"/>
    <cellStyle name="Normal 3 2 2 2 2 2 2 2 2 19 10" xfId="25293" xr:uid="{BF64C6D8-9F65-42F9-86DA-7F19F38C9F2F}"/>
    <cellStyle name="Normal 3 2 2 2 2 2 2 2 2 19 11" xfId="25294" xr:uid="{73DA13E9-005A-4C61-8184-2B543AFB36F4}"/>
    <cellStyle name="Normal 3 2 2 2 2 2 2 2 2 19 2" xfId="25295" xr:uid="{A79E254B-EF58-45AA-A87A-A3CF157678B0}"/>
    <cellStyle name="Normal 3 2 2 2 2 2 2 2 2 19 2 10" xfId="25296" xr:uid="{C1473887-4576-4763-AD19-98CED42238E1}"/>
    <cellStyle name="Normal 3 2 2 2 2 2 2 2 2 19 2 11" xfId="25297" xr:uid="{64BB7002-33F1-4155-B774-CEDAFF005002}"/>
    <cellStyle name="Normal 3 2 2 2 2 2 2 2 2 19 2 2" xfId="25298" xr:uid="{B3B06419-A753-4710-A111-5923885EE413}"/>
    <cellStyle name="Normal 3 2 2 2 2 2 2 2 2 19 2 2 2" xfId="25299" xr:uid="{C7F6CD02-EAC5-4AAB-90F8-3C18A4BF4759}"/>
    <cellStyle name="Normal 3 2 2 2 2 2 2 2 2 19 2 2 2 2" xfId="25300" xr:uid="{87AA7319-5616-41A0-9C13-5DB02336E7B3}"/>
    <cellStyle name="Normal 3 2 2 2 2 2 2 2 2 19 2 2 2 3" xfId="25301" xr:uid="{AE6466F2-CD4A-4F43-A242-F1F6A595F8F9}"/>
    <cellStyle name="Normal 3 2 2 2 2 2 2 2 2 19 2 2 2 4" xfId="25302" xr:uid="{AE7FF5DB-657C-4E72-A505-DCB474A46C29}"/>
    <cellStyle name="Normal 3 2 2 2 2 2 2 2 2 19 2 2 3" xfId="25303" xr:uid="{E71CB047-6777-4651-BE59-C3463571A12C}"/>
    <cellStyle name="Normal 3 2 2 2 2 2 2 2 2 19 2 2 4" xfId="25304" xr:uid="{CDE3C71A-64D4-44FB-9A5E-3F518B591C90}"/>
    <cellStyle name="Normal 3 2 2 2 2 2 2 2 2 19 2 2 5" xfId="25305" xr:uid="{533A7219-0004-4A7F-B90A-835F2FB825D6}"/>
    <cellStyle name="Normal 3 2 2 2 2 2 2 2 2 19 2 2 6" xfId="25306" xr:uid="{B9DDFD10-3EBA-409B-B587-60E4820574D8}"/>
    <cellStyle name="Normal 3 2 2 2 2 2 2 2 2 19 2 3" xfId="25307" xr:uid="{116EBA4D-7B64-4119-B180-0A61270DBCC2}"/>
    <cellStyle name="Normal 3 2 2 2 2 2 2 2 2 19 2 4" xfId="25308" xr:uid="{7ED21CC1-7A3D-4D07-818A-E8A52612C69B}"/>
    <cellStyle name="Normal 3 2 2 2 2 2 2 2 2 19 2 5" xfId="25309" xr:uid="{9583616F-566B-4418-80BC-F245FF511778}"/>
    <cellStyle name="Normal 3 2 2 2 2 2 2 2 2 19 2 6" xfId="25310" xr:uid="{6B5D792F-88B0-4268-8238-443BE8AA9FB5}"/>
    <cellStyle name="Normal 3 2 2 2 2 2 2 2 2 19 2 7" xfId="25311" xr:uid="{CD3E2912-159B-4AEB-B044-8E8EAEF88E68}"/>
    <cellStyle name="Normal 3 2 2 2 2 2 2 2 2 19 2 8" xfId="25312" xr:uid="{39098D54-19F4-4DB7-96D0-728CF87B5793}"/>
    <cellStyle name="Normal 3 2 2 2 2 2 2 2 2 19 2 8 2" xfId="25313" xr:uid="{ABF6D73F-5C28-4623-ABA4-0EDE1A2872B7}"/>
    <cellStyle name="Normal 3 2 2 2 2 2 2 2 2 19 2 8 3" xfId="25314" xr:uid="{D13AC937-946C-45CC-AFF8-58902560CC18}"/>
    <cellStyle name="Normal 3 2 2 2 2 2 2 2 2 19 2 8 4" xfId="25315" xr:uid="{AF1135FE-B9F1-4475-9307-3C9AEAD178E9}"/>
    <cellStyle name="Normal 3 2 2 2 2 2 2 2 2 19 2 9" xfId="25316" xr:uid="{42807D0C-B65C-4404-B407-0E7F74BFAF02}"/>
    <cellStyle name="Normal 3 2 2 2 2 2 2 2 2 19 3" xfId="25317" xr:uid="{583B16FA-F610-4B3C-BEF2-73381C11CA81}"/>
    <cellStyle name="Normal 3 2 2 2 2 2 2 2 2 19 3 2" xfId="25318" xr:uid="{D637872E-A640-4090-A805-49ADA787088A}"/>
    <cellStyle name="Normal 3 2 2 2 2 2 2 2 2 19 3 2 2" xfId="25319" xr:uid="{955E0B6C-5F4B-4190-885B-05D4DD925C83}"/>
    <cellStyle name="Normal 3 2 2 2 2 2 2 2 2 19 3 2 3" xfId="25320" xr:uid="{EE833385-25AB-4426-9A31-219DF4A3686D}"/>
    <cellStyle name="Normal 3 2 2 2 2 2 2 2 2 19 3 2 4" xfId="25321" xr:uid="{2058F0E7-8362-4805-A7F5-911EFB7FCD0C}"/>
    <cellStyle name="Normal 3 2 2 2 2 2 2 2 2 19 3 3" xfId="25322" xr:uid="{160830FE-5DE0-42D3-A638-D2FDB0DE3502}"/>
    <cellStyle name="Normal 3 2 2 2 2 2 2 2 2 19 3 4" xfId="25323" xr:uid="{3C692815-2C96-4335-BB6E-B8D1B02115E8}"/>
    <cellStyle name="Normal 3 2 2 2 2 2 2 2 2 19 3 5" xfId="25324" xr:uid="{F25E377C-E073-44BD-8A9A-5BCBC3DDF680}"/>
    <cellStyle name="Normal 3 2 2 2 2 2 2 2 2 19 3 6" xfId="25325" xr:uid="{90E4C2C9-6B8A-4AF1-9BF6-CFE4A0BC3F6F}"/>
    <cellStyle name="Normal 3 2 2 2 2 2 2 2 2 19 4" xfId="25326" xr:uid="{787AD3E4-FF7D-4FC0-8BD1-4E7DE958061E}"/>
    <cellStyle name="Normal 3 2 2 2 2 2 2 2 2 19 5" xfId="25327" xr:uid="{602B3F21-4269-46F5-8BE9-AF3EE0F86B16}"/>
    <cellStyle name="Normal 3 2 2 2 2 2 2 2 2 19 6" xfId="25328" xr:uid="{B89B35F3-D109-4C2F-9C18-A6ADEDA62B07}"/>
    <cellStyle name="Normal 3 2 2 2 2 2 2 2 2 19 7" xfId="25329" xr:uid="{53722E2F-2424-4985-BCA6-30BA873C7987}"/>
    <cellStyle name="Normal 3 2 2 2 2 2 2 2 2 19 8" xfId="25330" xr:uid="{D6AA02FA-C587-4604-ACF7-5ACB70394E2F}"/>
    <cellStyle name="Normal 3 2 2 2 2 2 2 2 2 19 8 2" xfId="25331" xr:uid="{4490E091-F2B5-4267-9F50-F2C9D4E73378}"/>
    <cellStyle name="Normal 3 2 2 2 2 2 2 2 2 19 8 3" xfId="25332" xr:uid="{503AE0F7-0985-4CAA-8FB8-D8DBB2FDAC03}"/>
    <cellStyle name="Normal 3 2 2 2 2 2 2 2 2 19 8 4" xfId="25333" xr:uid="{0B78D8CC-5484-4DF4-908E-1952ED72DE7E}"/>
    <cellStyle name="Normal 3 2 2 2 2 2 2 2 2 19 9" xfId="25334" xr:uid="{5D0D508E-5E3D-47E7-A171-C67C9A26A150}"/>
    <cellStyle name="Normal 3 2 2 2 2 2 2 2 2 2" xfId="25335" xr:uid="{20CD1B05-C469-4E29-84E6-82099B75EC0D}"/>
    <cellStyle name="Normal 3 2 2 2 2 2 2 2 2 2 10" xfId="25336" xr:uid="{04E80118-1B4D-40CC-A5E1-0433724ABA07}"/>
    <cellStyle name="Normal 3 2 2 2 2 2 2 2 2 2 11" xfId="25337" xr:uid="{866B2F54-B3F9-42DF-BA9B-5CD100909096}"/>
    <cellStyle name="Normal 3 2 2 2 2 2 2 2 2 2 12" xfId="25338" xr:uid="{AAC1A155-87D8-4F6A-8463-F41F7577AF4D}"/>
    <cellStyle name="Normal 3 2 2 2 2 2 2 2 2 2 13" xfId="25339" xr:uid="{95BF5244-90F6-4B05-B763-C48900EC001A}"/>
    <cellStyle name="Normal 3 2 2 2 2 2 2 2 2 2 14" xfId="25340" xr:uid="{D65E4828-B91D-4980-8FC3-9CBE77458AFE}"/>
    <cellStyle name="Normal 3 2 2 2 2 2 2 2 2 2 15" xfId="25341" xr:uid="{662EB772-7847-457F-9ADE-87D185CFE42C}"/>
    <cellStyle name="Normal 3 2 2 2 2 2 2 2 2 2 16" xfId="25342" xr:uid="{AD5AF260-8D0E-4799-94F8-2C8594720D84}"/>
    <cellStyle name="Normal 3 2 2 2 2 2 2 2 2 2 17" xfId="25343" xr:uid="{3DCAB0CF-3FEA-4C21-B7D0-055041E5D242}"/>
    <cellStyle name="Normal 3 2 2 2 2 2 2 2 2 2 17 10" xfId="25344" xr:uid="{C28F3470-127C-405E-9DE3-A46E306D713A}"/>
    <cellStyle name="Normal 3 2 2 2 2 2 2 2 2 2 17 11" xfId="25345" xr:uid="{2BFEDA1B-7F8F-4A70-9F40-579846BECAF3}"/>
    <cellStyle name="Normal 3 2 2 2 2 2 2 2 2 2 17 11 2" xfId="25346" xr:uid="{F95054C4-C960-43FA-817D-ECB3FAD7F0AE}"/>
    <cellStyle name="Normal 3 2 2 2 2 2 2 2 2 2 17 11 3" xfId="25347" xr:uid="{FBA38C8D-99C1-4520-8EED-7B9E69F8F077}"/>
    <cellStyle name="Normal 3 2 2 2 2 2 2 2 2 2 17 11 4" xfId="25348" xr:uid="{B0950CDE-6DB3-42DB-9E15-A9F50D96448D}"/>
    <cellStyle name="Normal 3 2 2 2 2 2 2 2 2 2 17 12" xfId="25349" xr:uid="{D25D0816-BD37-4AA0-BB48-2C6578F8D49D}"/>
    <cellStyle name="Normal 3 2 2 2 2 2 2 2 2 2 17 13" xfId="25350" xr:uid="{96872C8B-E7A9-4913-8B90-EBA2CD265101}"/>
    <cellStyle name="Normal 3 2 2 2 2 2 2 2 2 2 17 14" xfId="25351" xr:uid="{99D431ED-C6BF-4E53-864F-08507CA574EE}"/>
    <cellStyle name="Normal 3 2 2 2 2 2 2 2 2 2 17 2" xfId="25352" xr:uid="{D1898B25-E687-450C-9FD7-BB545C45C625}"/>
    <cellStyle name="Normal 3 2 2 2 2 2 2 2 2 2 17 2 10" xfId="25353" xr:uid="{483E4436-A149-42BF-9F87-442135F4D4AB}"/>
    <cellStyle name="Normal 3 2 2 2 2 2 2 2 2 2 17 2 11" xfId="25354" xr:uid="{A49D15AF-6A49-44F0-A648-578E35DFAAB1}"/>
    <cellStyle name="Normal 3 2 2 2 2 2 2 2 2 2 17 2 2" xfId="25355" xr:uid="{9F587C5F-7EDE-4AFF-9D12-F422185EC6BF}"/>
    <cellStyle name="Normal 3 2 2 2 2 2 2 2 2 2 17 2 2 10" xfId="25356" xr:uid="{9CCDC571-1849-44E4-AE34-BCBFD1DB5BD7}"/>
    <cellStyle name="Normal 3 2 2 2 2 2 2 2 2 2 17 2 2 11" xfId="25357" xr:uid="{5143B85A-3BA6-4820-9E16-C56BBB8351C2}"/>
    <cellStyle name="Normal 3 2 2 2 2 2 2 2 2 2 17 2 2 2" xfId="25358" xr:uid="{4E5B3B96-6E66-431D-9D77-EFEA7277915D}"/>
    <cellStyle name="Normal 3 2 2 2 2 2 2 2 2 2 17 2 2 2 2" xfId="25359" xr:uid="{FD0B3B40-9222-4614-9661-125F2ACE2E8D}"/>
    <cellStyle name="Normal 3 2 2 2 2 2 2 2 2 2 17 2 2 2 2 2" xfId="25360" xr:uid="{E5B8FCB6-49BE-4F51-88EF-0BF348E94BD3}"/>
    <cellStyle name="Normal 3 2 2 2 2 2 2 2 2 2 17 2 2 2 2 3" xfId="25361" xr:uid="{608DA9E7-9EED-4EC5-9FB6-1C73744CF119}"/>
    <cellStyle name="Normal 3 2 2 2 2 2 2 2 2 2 17 2 2 2 2 4" xfId="25362" xr:uid="{9CD70DAA-FEB3-419A-A14B-F04D198EE349}"/>
    <cellStyle name="Normal 3 2 2 2 2 2 2 2 2 2 17 2 2 2 3" xfId="25363" xr:uid="{8AF3EC66-C256-42CD-92B5-39B3C6A98FD0}"/>
    <cellStyle name="Normal 3 2 2 2 2 2 2 2 2 2 17 2 2 2 4" xfId="25364" xr:uid="{C862D62F-8708-4658-9C0C-466F06B24F72}"/>
    <cellStyle name="Normal 3 2 2 2 2 2 2 2 2 2 17 2 2 2 5" xfId="25365" xr:uid="{45C3505D-3F72-461A-AF7A-436C6E502E12}"/>
    <cellStyle name="Normal 3 2 2 2 2 2 2 2 2 2 17 2 2 2 6" xfId="25366" xr:uid="{0FB94344-DADA-4AC1-A9B2-3FB967F6A9CA}"/>
    <cellStyle name="Normal 3 2 2 2 2 2 2 2 2 2 17 2 2 3" xfId="25367" xr:uid="{7298DE26-AFCD-4556-A8AA-42CD3EEC9A3C}"/>
    <cellStyle name="Normal 3 2 2 2 2 2 2 2 2 2 17 2 2 4" xfId="25368" xr:uid="{5FAB0B67-A8A7-49BD-B89F-08B3252106E2}"/>
    <cellStyle name="Normal 3 2 2 2 2 2 2 2 2 2 17 2 2 5" xfId="25369" xr:uid="{D3061A6B-3928-4424-85CB-40B32CD29A82}"/>
    <cellStyle name="Normal 3 2 2 2 2 2 2 2 2 2 17 2 2 6" xfId="25370" xr:uid="{27FF21AE-F9FC-41F6-BEC7-492CB30AEA62}"/>
    <cellStyle name="Normal 3 2 2 2 2 2 2 2 2 2 17 2 2 7" xfId="25371" xr:uid="{C0906C5B-0F14-43F5-B1AC-7C459717FCDA}"/>
    <cellStyle name="Normal 3 2 2 2 2 2 2 2 2 2 17 2 2 8" xfId="25372" xr:uid="{A71F3AEE-DB0B-4827-9BAA-E1CCF32FF7D5}"/>
    <cellStyle name="Normal 3 2 2 2 2 2 2 2 2 2 17 2 2 8 2" xfId="25373" xr:uid="{39E83657-9A1B-4646-979F-71702745938E}"/>
    <cellStyle name="Normal 3 2 2 2 2 2 2 2 2 2 17 2 2 8 3" xfId="25374" xr:uid="{4C3B8110-033B-42DA-A8B7-47E16B51F744}"/>
    <cellStyle name="Normal 3 2 2 2 2 2 2 2 2 2 17 2 2 8 4" xfId="25375" xr:uid="{F96226BA-5B55-4437-B800-16A9CAD6A471}"/>
    <cellStyle name="Normal 3 2 2 2 2 2 2 2 2 2 17 2 2 9" xfId="25376" xr:uid="{563A735E-3E34-4AC0-803D-EA3F6274F005}"/>
    <cellStyle name="Normal 3 2 2 2 2 2 2 2 2 2 17 2 3" xfId="25377" xr:uid="{513D639A-D155-44AB-B31F-E4C96533BB28}"/>
    <cellStyle name="Normal 3 2 2 2 2 2 2 2 2 2 17 2 3 2" xfId="25378" xr:uid="{D7794B45-2358-4F16-A1AE-11CDEE60CB11}"/>
    <cellStyle name="Normal 3 2 2 2 2 2 2 2 2 2 17 2 3 2 2" xfId="25379" xr:uid="{290B3EA3-CA4F-4A17-A1DB-69099AD3393D}"/>
    <cellStyle name="Normal 3 2 2 2 2 2 2 2 2 2 17 2 3 2 3" xfId="25380" xr:uid="{02B32948-7998-42E2-84C4-3FBDE0EFC0AB}"/>
    <cellStyle name="Normal 3 2 2 2 2 2 2 2 2 2 17 2 3 2 4" xfId="25381" xr:uid="{0B953411-6E41-4FD7-B6DF-1A44D9A8DBD2}"/>
    <cellStyle name="Normal 3 2 2 2 2 2 2 2 2 2 17 2 3 3" xfId="25382" xr:uid="{4A750FD7-5E7B-42B2-BB1A-5961B4276B3F}"/>
    <cellStyle name="Normal 3 2 2 2 2 2 2 2 2 2 17 2 3 4" xfId="25383" xr:uid="{C7187C58-4E51-4ED3-9D15-B0D82DBB7425}"/>
    <cellStyle name="Normal 3 2 2 2 2 2 2 2 2 2 17 2 3 5" xfId="25384" xr:uid="{2373D42F-8761-45A6-96A3-BCB1BDBDDDE1}"/>
    <cellStyle name="Normal 3 2 2 2 2 2 2 2 2 2 17 2 3 6" xfId="25385" xr:uid="{50B95650-71AF-4534-A188-20D62E919489}"/>
    <cellStyle name="Normal 3 2 2 2 2 2 2 2 2 2 17 2 4" xfId="25386" xr:uid="{4F1D83DC-D1BC-472A-ACBF-F67B9373FCF3}"/>
    <cellStyle name="Normal 3 2 2 2 2 2 2 2 2 2 17 2 5" xfId="25387" xr:uid="{A0BF23BD-AE8E-4277-9497-A2C2420D7628}"/>
    <cellStyle name="Normal 3 2 2 2 2 2 2 2 2 2 17 2 6" xfId="25388" xr:uid="{CEDBFBAB-1DC0-4244-9ECF-5F5ED78CDD48}"/>
    <cellStyle name="Normal 3 2 2 2 2 2 2 2 2 2 17 2 7" xfId="25389" xr:uid="{9936A3FD-7EFE-46FC-9181-164CAEBDDD3E}"/>
    <cellStyle name="Normal 3 2 2 2 2 2 2 2 2 2 17 2 8" xfId="25390" xr:uid="{9B65B799-CAC6-48BD-A30A-D18727874D89}"/>
    <cellStyle name="Normal 3 2 2 2 2 2 2 2 2 2 17 2 8 2" xfId="25391" xr:uid="{ABE10DBB-E0AD-4389-8A45-489C3B98979E}"/>
    <cellStyle name="Normal 3 2 2 2 2 2 2 2 2 2 17 2 8 3" xfId="25392" xr:uid="{BD9D3B41-A359-42BD-B8F4-4530E3BAFCDB}"/>
    <cellStyle name="Normal 3 2 2 2 2 2 2 2 2 2 17 2 8 4" xfId="25393" xr:uid="{B283BF1E-6D1D-4938-AC3E-3A8047B0CF59}"/>
    <cellStyle name="Normal 3 2 2 2 2 2 2 2 2 2 17 2 9" xfId="25394" xr:uid="{43C0F6A6-CC5D-4FE6-BF27-2AC7A528E252}"/>
    <cellStyle name="Normal 3 2 2 2 2 2 2 2 2 2 17 3" xfId="25395" xr:uid="{72B18720-806F-4E18-9322-18EF65B48FB3}"/>
    <cellStyle name="Normal 3 2 2 2 2 2 2 2 2 2 17 4" xfId="25396" xr:uid="{928AC266-17BA-4AC4-89B5-09B77B7EBA22}"/>
    <cellStyle name="Normal 3 2 2 2 2 2 2 2 2 2 17 5" xfId="25397" xr:uid="{0CEFD78C-8D51-472F-A789-3D974E10E2E4}"/>
    <cellStyle name="Normal 3 2 2 2 2 2 2 2 2 2 17 5 2" xfId="25398" xr:uid="{44AE5531-96EC-494A-8C49-BBC2E65BEAEC}"/>
    <cellStyle name="Normal 3 2 2 2 2 2 2 2 2 2 17 5 2 2" xfId="25399" xr:uid="{6A5F9157-D76D-4BE9-9600-D8E34BF23DA2}"/>
    <cellStyle name="Normal 3 2 2 2 2 2 2 2 2 2 17 5 2 3" xfId="25400" xr:uid="{9159D0B4-91F4-492C-8310-3C837A424B09}"/>
    <cellStyle name="Normal 3 2 2 2 2 2 2 2 2 2 17 5 2 4" xfId="25401" xr:uid="{96EBF4A2-7DC6-4192-AE58-5D96E812137E}"/>
    <cellStyle name="Normal 3 2 2 2 2 2 2 2 2 2 17 5 3" xfId="25402" xr:uid="{F9776473-690C-464F-B83A-B39F5672E324}"/>
    <cellStyle name="Normal 3 2 2 2 2 2 2 2 2 2 17 5 4" xfId="25403" xr:uid="{7987D6C0-850E-4568-B0B9-3F236E4F945D}"/>
    <cellStyle name="Normal 3 2 2 2 2 2 2 2 2 2 17 5 5" xfId="25404" xr:uid="{2D52823A-40EE-4A45-B087-565C385654E4}"/>
    <cellStyle name="Normal 3 2 2 2 2 2 2 2 2 2 17 5 6" xfId="25405" xr:uid="{83C319DC-2FAA-4199-B5B2-5314780482F7}"/>
    <cellStyle name="Normal 3 2 2 2 2 2 2 2 2 2 17 6" xfId="25406" xr:uid="{5555C4C1-C81F-436B-8822-B189D5F62C9C}"/>
    <cellStyle name="Normal 3 2 2 2 2 2 2 2 2 2 17 7" xfId="25407" xr:uid="{46C3E3B6-FBA4-49BF-B0DC-F7EC0F9C69CA}"/>
    <cellStyle name="Normal 3 2 2 2 2 2 2 2 2 2 17 8" xfId="25408" xr:uid="{D587990E-8A65-4FAE-B217-E39E0CBBE0CE}"/>
    <cellStyle name="Normal 3 2 2 2 2 2 2 2 2 2 17 9" xfId="25409" xr:uid="{C9F90139-401B-456F-83F2-2E00C29CFCE8}"/>
    <cellStyle name="Normal 3 2 2 2 2 2 2 2 2 2 18" xfId="25410" xr:uid="{0365FDD8-B7C3-4357-95D1-9AEE7605C15A}"/>
    <cellStyle name="Normal 3 2 2 2 2 2 2 2 2 2 19" xfId="25411" xr:uid="{F7631208-DD57-4FBD-AC93-4D2018B7368A}"/>
    <cellStyle name="Normal 3 2 2 2 2 2 2 2 2 2 19 10" xfId="25412" xr:uid="{F3EAA8D2-24B0-4301-A69D-004CED0602B5}"/>
    <cellStyle name="Normal 3 2 2 2 2 2 2 2 2 2 19 11" xfId="25413" xr:uid="{1D957A1F-3063-4954-AB0B-26D1E7B3ECE9}"/>
    <cellStyle name="Normal 3 2 2 2 2 2 2 2 2 2 19 2" xfId="25414" xr:uid="{6B742600-3983-4609-AC29-B41871776429}"/>
    <cellStyle name="Normal 3 2 2 2 2 2 2 2 2 2 19 2 10" xfId="25415" xr:uid="{96F74C18-D7B4-47BF-969C-6E7A87C3C843}"/>
    <cellStyle name="Normal 3 2 2 2 2 2 2 2 2 2 19 2 11" xfId="25416" xr:uid="{34A6609B-4E74-4B13-8443-D0757502D2D6}"/>
    <cellStyle name="Normal 3 2 2 2 2 2 2 2 2 2 19 2 2" xfId="25417" xr:uid="{0E7CF328-01BC-4600-85AB-EC1D1E74D008}"/>
    <cellStyle name="Normal 3 2 2 2 2 2 2 2 2 2 19 2 2 2" xfId="25418" xr:uid="{C545FDE3-2EE3-4935-A3AE-12468CD95A24}"/>
    <cellStyle name="Normal 3 2 2 2 2 2 2 2 2 2 19 2 2 2 2" xfId="25419" xr:uid="{4E431849-4101-46DD-A01C-D33E917C2FEE}"/>
    <cellStyle name="Normal 3 2 2 2 2 2 2 2 2 2 19 2 2 2 3" xfId="25420" xr:uid="{C33B3B00-7711-4F93-AE71-B537E8551E0F}"/>
    <cellStyle name="Normal 3 2 2 2 2 2 2 2 2 2 19 2 2 2 4" xfId="25421" xr:uid="{F80D939E-589D-432C-95C2-409E3E8A709F}"/>
    <cellStyle name="Normal 3 2 2 2 2 2 2 2 2 2 19 2 2 3" xfId="25422" xr:uid="{E3DBD7A4-4FC1-46CF-BDF8-48B4B2954D7F}"/>
    <cellStyle name="Normal 3 2 2 2 2 2 2 2 2 2 19 2 2 4" xfId="25423" xr:uid="{7BA3CF8C-2482-484D-92E3-8DD427FD93AE}"/>
    <cellStyle name="Normal 3 2 2 2 2 2 2 2 2 2 19 2 2 5" xfId="25424" xr:uid="{1F049D22-5F96-4081-932D-30210F05138B}"/>
    <cellStyle name="Normal 3 2 2 2 2 2 2 2 2 2 19 2 2 6" xfId="25425" xr:uid="{ABE7E38C-D16A-4CED-9DEA-11FE50456247}"/>
    <cellStyle name="Normal 3 2 2 2 2 2 2 2 2 2 19 2 3" xfId="25426" xr:uid="{E30131AC-1EB0-4175-9D58-F15F99D1CBE6}"/>
    <cellStyle name="Normal 3 2 2 2 2 2 2 2 2 2 19 2 4" xfId="25427" xr:uid="{BF31B0EC-FBD1-48E7-B84C-C44487482617}"/>
    <cellStyle name="Normal 3 2 2 2 2 2 2 2 2 2 19 2 5" xfId="25428" xr:uid="{E902EFC4-51FD-44C4-A418-FA4BB5A51823}"/>
    <cellStyle name="Normal 3 2 2 2 2 2 2 2 2 2 19 2 6" xfId="25429" xr:uid="{80ECDAC8-F058-414C-885F-ECB10504B5C6}"/>
    <cellStyle name="Normal 3 2 2 2 2 2 2 2 2 2 19 2 7" xfId="25430" xr:uid="{4F81FBCB-73C9-47DD-8F4F-B633967BAC1A}"/>
    <cellStyle name="Normal 3 2 2 2 2 2 2 2 2 2 19 2 8" xfId="25431" xr:uid="{79790931-A30B-4F10-9C2A-333719211A48}"/>
    <cellStyle name="Normal 3 2 2 2 2 2 2 2 2 2 19 2 8 2" xfId="25432" xr:uid="{A0779000-6643-442A-9F48-9A5982AEEF33}"/>
    <cellStyle name="Normal 3 2 2 2 2 2 2 2 2 2 19 2 8 3" xfId="25433" xr:uid="{6655AD4E-D5DB-49F8-B61E-74C56DDB6C33}"/>
    <cellStyle name="Normal 3 2 2 2 2 2 2 2 2 2 19 2 8 4" xfId="25434" xr:uid="{17370304-A440-4ECA-9A03-0D10CB967CDC}"/>
    <cellStyle name="Normal 3 2 2 2 2 2 2 2 2 2 19 2 9" xfId="25435" xr:uid="{C15A9EA7-9B39-4EDC-A563-482BAAF2A1D7}"/>
    <cellStyle name="Normal 3 2 2 2 2 2 2 2 2 2 19 3" xfId="25436" xr:uid="{221C8D31-CA4E-41E3-8AFB-C17B29629A8A}"/>
    <cellStyle name="Normal 3 2 2 2 2 2 2 2 2 2 19 3 2" xfId="25437" xr:uid="{2DB07076-E95A-4EDA-8073-222FDFCEB3EA}"/>
    <cellStyle name="Normal 3 2 2 2 2 2 2 2 2 2 19 3 2 2" xfId="25438" xr:uid="{5C288BBD-1E36-4DF0-BC0C-A5C8D7C41ABF}"/>
    <cellStyle name="Normal 3 2 2 2 2 2 2 2 2 2 19 3 2 3" xfId="25439" xr:uid="{E09CC0F7-2718-4A8E-AB7B-C5B8C9593EC9}"/>
    <cellStyle name="Normal 3 2 2 2 2 2 2 2 2 2 19 3 2 4" xfId="25440" xr:uid="{A05B12D7-8740-4703-A468-D775EF9374F2}"/>
    <cellStyle name="Normal 3 2 2 2 2 2 2 2 2 2 19 3 3" xfId="25441" xr:uid="{BA6D932D-249F-4487-A07B-4CF4EB4BBC82}"/>
    <cellStyle name="Normal 3 2 2 2 2 2 2 2 2 2 19 3 4" xfId="25442" xr:uid="{AD1A2D3A-9E9E-4EA7-B88F-1090CA3015A8}"/>
    <cellStyle name="Normal 3 2 2 2 2 2 2 2 2 2 19 3 5" xfId="25443" xr:uid="{E29B19D0-BE8F-447E-BDC9-6C3A548F0CAC}"/>
    <cellStyle name="Normal 3 2 2 2 2 2 2 2 2 2 19 3 6" xfId="25444" xr:uid="{5C5D0932-0981-4C49-BCD2-F3828EB6FAA9}"/>
    <cellStyle name="Normal 3 2 2 2 2 2 2 2 2 2 19 4" xfId="25445" xr:uid="{91B429C9-5320-462E-8A60-876FC1484E2B}"/>
    <cellStyle name="Normal 3 2 2 2 2 2 2 2 2 2 19 5" xfId="25446" xr:uid="{E0EFBD04-51F0-4736-B18E-DAADB5ABFBFA}"/>
    <cellStyle name="Normal 3 2 2 2 2 2 2 2 2 2 19 6" xfId="25447" xr:uid="{9CEBD577-38A3-4972-8911-0AE4D5B44C1D}"/>
    <cellStyle name="Normal 3 2 2 2 2 2 2 2 2 2 19 7" xfId="25448" xr:uid="{46A05F6C-E836-4897-9FD3-EB8BD570067B}"/>
    <cellStyle name="Normal 3 2 2 2 2 2 2 2 2 2 19 8" xfId="25449" xr:uid="{C4220470-2804-40B8-B63C-D7B54568EA22}"/>
    <cellStyle name="Normal 3 2 2 2 2 2 2 2 2 2 19 8 2" xfId="25450" xr:uid="{BCBB02C9-9E1D-4ED9-AFEB-8975D5578C98}"/>
    <cellStyle name="Normal 3 2 2 2 2 2 2 2 2 2 19 8 3" xfId="25451" xr:uid="{DAE2E19B-680F-46C1-A839-0CE12F38B53D}"/>
    <cellStyle name="Normal 3 2 2 2 2 2 2 2 2 2 19 8 4" xfId="25452" xr:uid="{2B4A994C-086D-4523-BA3E-FC4A693674CC}"/>
    <cellStyle name="Normal 3 2 2 2 2 2 2 2 2 2 19 9" xfId="25453" xr:uid="{227C444F-D892-4FF6-B7E8-44E2D967D721}"/>
    <cellStyle name="Normal 3 2 2 2 2 2 2 2 2 2 2" xfId="25454" xr:uid="{F1E5A5CF-7078-4AA1-AF56-A917873E3E33}"/>
    <cellStyle name="Normal 3 2 2 2 2 2 2 2 2 2 2 10" xfId="25455" xr:uid="{FD31BCFF-35A8-4078-B26F-F2FE4973B783}"/>
    <cellStyle name="Normal 3 2 2 2 2 2 2 2 2 2 2 11" xfId="25456" xr:uid="{CB91AC69-2D4A-4B30-ABF0-3C0B63A407A1}"/>
    <cellStyle name="Normal 3 2 2 2 2 2 2 2 2 2 2 12" xfId="25457" xr:uid="{D2084F0B-DD31-456C-A29E-C778346D0AFE}"/>
    <cellStyle name="Normal 3 2 2 2 2 2 2 2 2 2 2 13" xfId="25458" xr:uid="{BF1262FC-7DCF-44CA-BC61-E05EC33C3FBE}"/>
    <cellStyle name="Normal 3 2 2 2 2 2 2 2 2 2 2 14" xfId="25459" xr:uid="{6E9B8BAC-5936-4A91-A0F1-4EE01BB6E432}"/>
    <cellStyle name="Normal 3 2 2 2 2 2 2 2 2 2 2 15" xfId="25460" xr:uid="{ECAC351F-6AF6-42EE-AA1D-00EB7133D8AA}"/>
    <cellStyle name="Normal 3 2 2 2 2 2 2 2 2 2 2 16" xfId="25461" xr:uid="{00C6B58C-0D3D-4132-94EE-E246941B891C}"/>
    <cellStyle name="Normal 3 2 2 2 2 2 2 2 2 2 2 16 10" xfId="25462" xr:uid="{98347697-DB9D-4D42-9468-01A8920BD63B}"/>
    <cellStyle name="Normal 3 2 2 2 2 2 2 2 2 2 2 16 11" xfId="25463" xr:uid="{7042A1B6-D540-4BB3-A5D4-51561810AF94}"/>
    <cellStyle name="Normal 3 2 2 2 2 2 2 2 2 2 2 16 11 2" xfId="25464" xr:uid="{B9AD39F7-CE32-40B3-8854-B7179DC215E4}"/>
    <cellStyle name="Normal 3 2 2 2 2 2 2 2 2 2 2 16 11 3" xfId="25465" xr:uid="{A5A2CA0A-6DE3-4834-8A08-DC2CD0C1443F}"/>
    <cellStyle name="Normal 3 2 2 2 2 2 2 2 2 2 2 16 11 4" xfId="25466" xr:uid="{D42037B3-6DDE-40E9-BBA5-70DC97E394BB}"/>
    <cellStyle name="Normal 3 2 2 2 2 2 2 2 2 2 2 16 12" xfId="25467" xr:uid="{B22EB7E1-4A5F-46CC-A4A9-40B04AE814B6}"/>
    <cellStyle name="Normal 3 2 2 2 2 2 2 2 2 2 2 16 13" xfId="25468" xr:uid="{EE68215E-6402-4C03-B4AC-A4102B9C78D8}"/>
    <cellStyle name="Normal 3 2 2 2 2 2 2 2 2 2 2 16 14" xfId="25469" xr:uid="{F3BE220D-2D70-4B80-AF50-F31ABC43EE76}"/>
    <cellStyle name="Normal 3 2 2 2 2 2 2 2 2 2 2 16 2" xfId="25470" xr:uid="{162D4D6C-94C2-4075-9EE2-D2E1E85A762A}"/>
    <cellStyle name="Normal 3 2 2 2 2 2 2 2 2 2 2 16 2 10" xfId="25471" xr:uid="{C113CC4B-CA3B-40EA-BC19-0EB2351B1052}"/>
    <cellStyle name="Normal 3 2 2 2 2 2 2 2 2 2 2 16 2 11" xfId="25472" xr:uid="{7E1A3DCC-21AA-4DF5-914C-36569D51375D}"/>
    <cellStyle name="Normal 3 2 2 2 2 2 2 2 2 2 2 16 2 2" xfId="25473" xr:uid="{D252F1C9-55FC-4592-A575-3E51F3C42747}"/>
    <cellStyle name="Normal 3 2 2 2 2 2 2 2 2 2 2 16 2 2 10" xfId="25474" xr:uid="{34023651-6A5A-4694-9C15-5CC0C19B507E}"/>
    <cellStyle name="Normal 3 2 2 2 2 2 2 2 2 2 2 16 2 2 11" xfId="25475" xr:uid="{7C5A0295-5672-4B31-97E8-B71035711B99}"/>
    <cellStyle name="Normal 3 2 2 2 2 2 2 2 2 2 2 16 2 2 2" xfId="25476" xr:uid="{8E143A91-D66F-4CFA-A63E-BE4E345FE3D1}"/>
    <cellStyle name="Normal 3 2 2 2 2 2 2 2 2 2 2 16 2 2 2 2" xfId="25477" xr:uid="{1F5FEDAD-F9F2-46CE-B5DB-3AB0EF221679}"/>
    <cellStyle name="Normal 3 2 2 2 2 2 2 2 2 2 2 16 2 2 2 2 2" xfId="25478" xr:uid="{855DCC64-7D94-4C01-82E0-05017C1EB6CC}"/>
    <cellStyle name="Normal 3 2 2 2 2 2 2 2 2 2 2 16 2 2 2 2 3" xfId="25479" xr:uid="{571D9FFB-2C71-44C3-BF70-58B0863A6BC4}"/>
    <cellStyle name="Normal 3 2 2 2 2 2 2 2 2 2 2 16 2 2 2 2 4" xfId="25480" xr:uid="{B627DEEC-6C6A-4E7D-A246-DA123F514137}"/>
    <cellStyle name="Normal 3 2 2 2 2 2 2 2 2 2 2 16 2 2 2 3" xfId="25481" xr:uid="{F831EEDB-C6C6-4B6D-9713-D207D4085169}"/>
    <cellStyle name="Normal 3 2 2 2 2 2 2 2 2 2 2 16 2 2 2 4" xfId="25482" xr:uid="{E29BE298-C909-45B4-9494-31CC72682775}"/>
    <cellStyle name="Normal 3 2 2 2 2 2 2 2 2 2 2 16 2 2 2 5" xfId="25483" xr:uid="{5A641621-F704-4564-9338-204BE303CF32}"/>
    <cellStyle name="Normal 3 2 2 2 2 2 2 2 2 2 2 16 2 2 2 6" xfId="25484" xr:uid="{99ACE1E1-D02A-42AF-858A-C580E4C327AA}"/>
    <cellStyle name="Normal 3 2 2 2 2 2 2 2 2 2 2 16 2 2 3" xfId="25485" xr:uid="{FD32AE47-2AFD-44F6-B4EC-933C59A30192}"/>
    <cellStyle name="Normal 3 2 2 2 2 2 2 2 2 2 2 16 2 2 4" xfId="25486" xr:uid="{78E19514-ED13-4A8F-8E2A-29BEDFEF29F2}"/>
    <cellStyle name="Normal 3 2 2 2 2 2 2 2 2 2 2 16 2 2 5" xfId="25487" xr:uid="{FB830434-7D7F-47A8-9CFE-F02277A8EFBB}"/>
    <cellStyle name="Normal 3 2 2 2 2 2 2 2 2 2 2 16 2 2 6" xfId="25488" xr:uid="{F733CC02-8D22-4B57-A8BA-26FFEE011A5D}"/>
    <cellStyle name="Normal 3 2 2 2 2 2 2 2 2 2 2 16 2 2 7" xfId="25489" xr:uid="{4ABE71C6-848B-4475-9A7C-F82A47324563}"/>
    <cellStyle name="Normal 3 2 2 2 2 2 2 2 2 2 2 16 2 2 8" xfId="25490" xr:uid="{3AFB894E-8B7B-444F-B98C-A92B965CA740}"/>
    <cellStyle name="Normal 3 2 2 2 2 2 2 2 2 2 2 16 2 2 8 2" xfId="25491" xr:uid="{5B356497-3B58-4DF7-BD46-BEAF5731AC50}"/>
    <cellStyle name="Normal 3 2 2 2 2 2 2 2 2 2 2 16 2 2 8 3" xfId="25492" xr:uid="{EB9E2ACF-35CE-453F-B4B0-02D8C1688F2D}"/>
    <cellStyle name="Normal 3 2 2 2 2 2 2 2 2 2 2 16 2 2 8 4" xfId="25493" xr:uid="{06EFBA46-6CE3-48F0-910C-4F66C0170A4C}"/>
    <cellStyle name="Normal 3 2 2 2 2 2 2 2 2 2 2 16 2 2 9" xfId="25494" xr:uid="{7AE401A5-6432-4CE2-8277-A4FFEA581BA9}"/>
    <cellStyle name="Normal 3 2 2 2 2 2 2 2 2 2 2 16 2 3" xfId="25495" xr:uid="{17D01539-BB27-4883-9C0C-D1C175559714}"/>
    <cellStyle name="Normal 3 2 2 2 2 2 2 2 2 2 2 16 2 3 2" xfId="25496" xr:uid="{163EB0EA-CD68-40AC-9697-F151A8A2D9AE}"/>
    <cellStyle name="Normal 3 2 2 2 2 2 2 2 2 2 2 16 2 3 2 2" xfId="25497" xr:uid="{89500BCC-B56A-4F1F-A219-293E2113E43B}"/>
    <cellStyle name="Normal 3 2 2 2 2 2 2 2 2 2 2 16 2 3 2 3" xfId="25498" xr:uid="{80AD68A4-398F-451B-92CC-F34CA5DE71FA}"/>
    <cellStyle name="Normal 3 2 2 2 2 2 2 2 2 2 2 16 2 3 2 4" xfId="25499" xr:uid="{136BEEC4-A2E0-4039-BA35-DFBE2D1A6FC9}"/>
    <cellStyle name="Normal 3 2 2 2 2 2 2 2 2 2 2 16 2 3 3" xfId="25500" xr:uid="{785C7240-5477-4ACC-BBE4-8CC78D445381}"/>
    <cellStyle name="Normal 3 2 2 2 2 2 2 2 2 2 2 16 2 3 4" xfId="25501" xr:uid="{6009A182-C5B6-431E-AD20-CE160721D5D1}"/>
    <cellStyle name="Normal 3 2 2 2 2 2 2 2 2 2 2 16 2 3 5" xfId="25502" xr:uid="{22BEA77A-9501-4681-A6F2-96EC9EE08CEC}"/>
    <cellStyle name="Normal 3 2 2 2 2 2 2 2 2 2 2 16 2 3 6" xfId="25503" xr:uid="{C6D89770-E083-48F5-A037-C5DFDEB53F47}"/>
    <cellStyle name="Normal 3 2 2 2 2 2 2 2 2 2 2 16 2 4" xfId="25504" xr:uid="{01C79F51-476A-49E4-921B-6131901A5FCB}"/>
    <cellStyle name="Normal 3 2 2 2 2 2 2 2 2 2 2 16 2 5" xfId="25505" xr:uid="{E5B36635-67D2-4274-8F1B-31F867F19E6D}"/>
    <cellStyle name="Normal 3 2 2 2 2 2 2 2 2 2 2 16 2 6" xfId="25506" xr:uid="{7B901293-9ED5-440B-834D-729567988247}"/>
    <cellStyle name="Normal 3 2 2 2 2 2 2 2 2 2 2 16 2 7" xfId="25507" xr:uid="{2761B340-E330-4BD9-9A53-F109E3197C3E}"/>
    <cellStyle name="Normal 3 2 2 2 2 2 2 2 2 2 2 16 2 8" xfId="25508" xr:uid="{00352392-1322-45AB-B325-FA10A66E8C18}"/>
    <cellStyle name="Normal 3 2 2 2 2 2 2 2 2 2 2 16 2 8 2" xfId="25509" xr:uid="{E989B279-5C51-4701-8898-5F40A52C4AED}"/>
    <cellStyle name="Normal 3 2 2 2 2 2 2 2 2 2 2 16 2 8 3" xfId="25510" xr:uid="{4359B960-F603-460B-AA0E-9D4950302BDB}"/>
    <cellStyle name="Normal 3 2 2 2 2 2 2 2 2 2 2 16 2 8 4" xfId="25511" xr:uid="{9FD8B710-A448-468D-9962-5E90B594A49D}"/>
    <cellStyle name="Normal 3 2 2 2 2 2 2 2 2 2 2 16 2 9" xfId="25512" xr:uid="{09713E43-8904-497A-A6D4-232C9459F561}"/>
    <cellStyle name="Normal 3 2 2 2 2 2 2 2 2 2 2 16 3" xfId="25513" xr:uid="{B39A41DE-8669-4388-82F7-0202889EA8FC}"/>
    <cellStyle name="Normal 3 2 2 2 2 2 2 2 2 2 2 16 4" xfId="25514" xr:uid="{AD8C841D-48EB-4FDF-BA10-8C308944DB09}"/>
    <cellStyle name="Normal 3 2 2 2 2 2 2 2 2 2 2 16 5" xfId="25515" xr:uid="{4172CD20-1DA1-4514-94EC-A2EA497F7D46}"/>
    <cellStyle name="Normal 3 2 2 2 2 2 2 2 2 2 2 16 5 2" xfId="25516" xr:uid="{06DADEEA-9B4B-4D01-A6DB-EE83C60C8F78}"/>
    <cellStyle name="Normal 3 2 2 2 2 2 2 2 2 2 2 16 5 2 2" xfId="25517" xr:uid="{46867376-6B90-442F-AD09-65B81B5F213B}"/>
    <cellStyle name="Normal 3 2 2 2 2 2 2 2 2 2 2 16 5 2 3" xfId="25518" xr:uid="{9B81B65A-C7D4-46A4-A060-C7FE7F77EE73}"/>
    <cellStyle name="Normal 3 2 2 2 2 2 2 2 2 2 2 16 5 2 4" xfId="25519" xr:uid="{ABC4DFEF-B4EA-4C7E-8F07-2E3C9F85E91F}"/>
    <cellStyle name="Normal 3 2 2 2 2 2 2 2 2 2 2 16 5 3" xfId="25520" xr:uid="{D3F8B713-BE61-49A0-921A-C681C1433C7D}"/>
    <cellStyle name="Normal 3 2 2 2 2 2 2 2 2 2 2 16 5 4" xfId="25521" xr:uid="{01172F7B-5EAE-40C1-9DBC-41D13856EA3A}"/>
    <cellStyle name="Normal 3 2 2 2 2 2 2 2 2 2 2 16 5 5" xfId="25522" xr:uid="{C8B56759-8EA1-42EE-B0AD-A759DC469D26}"/>
    <cellStyle name="Normal 3 2 2 2 2 2 2 2 2 2 2 16 5 6" xfId="25523" xr:uid="{C51ACBC4-2B14-4C28-9145-4FCA20C8B657}"/>
    <cellStyle name="Normal 3 2 2 2 2 2 2 2 2 2 2 16 6" xfId="25524" xr:uid="{0FB372BC-EF4F-43BF-BA57-6FEF17D8988F}"/>
    <cellStyle name="Normal 3 2 2 2 2 2 2 2 2 2 2 16 7" xfId="25525" xr:uid="{53727D7A-57B6-4991-9D92-4F6C66E56981}"/>
    <cellStyle name="Normal 3 2 2 2 2 2 2 2 2 2 2 16 8" xfId="25526" xr:uid="{AC00A74C-1496-4267-9038-14196A06B873}"/>
    <cellStyle name="Normal 3 2 2 2 2 2 2 2 2 2 2 16 9" xfId="25527" xr:uid="{E78D17F6-7A05-41A5-B72C-9904116576DD}"/>
    <cellStyle name="Normal 3 2 2 2 2 2 2 2 2 2 2 17" xfId="25528" xr:uid="{0127D5E9-9E46-4720-8FAB-7A73903F4E2C}"/>
    <cellStyle name="Normal 3 2 2 2 2 2 2 2 2 2 2 18" xfId="25529" xr:uid="{4371766C-AEFC-449B-AB3A-3A610C1CEC3F}"/>
    <cellStyle name="Normal 3 2 2 2 2 2 2 2 2 2 2 18 10" xfId="25530" xr:uid="{8E7171A9-9DC7-4EF1-BE46-889398BA2FC4}"/>
    <cellStyle name="Normal 3 2 2 2 2 2 2 2 2 2 2 18 11" xfId="25531" xr:uid="{5D9FCCF0-9A19-4D81-AA99-1BAF517FD0C3}"/>
    <cellStyle name="Normal 3 2 2 2 2 2 2 2 2 2 2 18 2" xfId="25532" xr:uid="{C33AD43E-45C6-44A4-B5E6-D2ED14F74803}"/>
    <cellStyle name="Normal 3 2 2 2 2 2 2 2 2 2 2 18 2 10" xfId="25533" xr:uid="{B77F13F2-B0AF-45EF-967D-C21FD0841FD0}"/>
    <cellStyle name="Normal 3 2 2 2 2 2 2 2 2 2 2 18 2 11" xfId="25534" xr:uid="{B85850AC-4347-489F-B24B-1679E2645B66}"/>
    <cellStyle name="Normal 3 2 2 2 2 2 2 2 2 2 2 18 2 2" xfId="25535" xr:uid="{8A0E328D-2D04-4D1D-8760-E21F4FDC983C}"/>
    <cellStyle name="Normal 3 2 2 2 2 2 2 2 2 2 2 18 2 2 2" xfId="25536" xr:uid="{1F9BE067-81EF-412D-9FA9-580AC0E146C8}"/>
    <cellStyle name="Normal 3 2 2 2 2 2 2 2 2 2 2 18 2 2 2 2" xfId="25537" xr:uid="{3E4B79C9-E8AA-4894-B8CC-4FD8533E0324}"/>
    <cellStyle name="Normal 3 2 2 2 2 2 2 2 2 2 2 18 2 2 2 3" xfId="25538" xr:uid="{FA978352-041B-4BFC-BA93-5BA14E4B678F}"/>
    <cellStyle name="Normal 3 2 2 2 2 2 2 2 2 2 2 18 2 2 2 4" xfId="25539" xr:uid="{170CA199-36B1-4A55-99C9-7FF859DAAC60}"/>
    <cellStyle name="Normal 3 2 2 2 2 2 2 2 2 2 2 18 2 2 3" xfId="25540" xr:uid="{A2D408C5-65B0-4781-9DB2-3FF50E613BD0}"/>
    <cellStyle name="Normal 3 2 2 2 2 2 2 2 2 2 2 18 2 2 4" xfId="25541" xr:uid="{5ADED2C8-AF18-47DD-9591-69DB3AAE31EC}"/>
    <cellStyle name="Normal 3 2 2 2 2 2 2 2 2 2 2 18 2 2 5" xfId="25542" xr:uid="{E1CE76AF-2F24-43D8-A0C0-9E8522087456}"/>
    <cellStyle name="Normal 3 2 2 2 2 2 2 2 2 2 2 18 2 2 6" xfId="25543" xr:uid="{B2700FC4-B63E-45E7-9171-3B36D9D2474C}"/>
    <cellStyle name="Normal 3 2 2 2 2 2 2 2 2 2 2 18 2 3" xfId="25544" xr:uid="{556814CD-AF09-4205-A98C-73A10B46852A}"/>
    <cellStyle name="Normal 3 2 2 2 2 2 2 2 2 2 2 18 2 4" xfId="25545" xr:uid="{3EFF7B7B-C479-46DE-B549-9AC971BDF51E}"/>
    <cellStyle name="Normal 3 2 2 2 2 2 2 2 2 2 2 18 2 5" xfId="25546" xr:uid="{0205B1DB-1173-47C5-94FC-F6AB2E9B4B63}"/>
    <cellStyle name="Normal 3 2 2 2 2 2 2 2 2 2 2 18 2 6" xfId="25547" xr:uid="{4F15D6D8-650E-4619-8F40-BA5C2206BCC8}"/>
    <cellStyle name="Normal 3 2 2 2 2 2 2 2 2 2 2 18 2 7" xfId="25548" xr:uid="{6CDF549B-8DD9-4E26-BA25-82D664DB13FA}"/>
    <cellStyle name="Normal 3 2 2 2 2 2 2 2 2 2 2 18 2 8" xfId="25549" xr:uid="{F12920FD-95B2-49CC-8FD1-FCB0C08B0433}"/>
    <cellStyle name="Normal 3 2 2 2 2 2 2 2 2 2 2 18 2 8 2" xfId="25550" xr:uid="{D253DA17-01FD-4EF6-8FFA-B82145F55997}"/>
    <cellStyle name="Normal 3 2 2 2 2 2 2 2 2 2 2 18 2 8 3" xfId="25551" xr:uid="{B433F4A1-77B5-4851-9A34-955EEFFDAD76}"/>
    <cellStyle name="Normal 3 2 2 2 2 2 2 2 2 2 2 18 2 8 4" xfId="25552" xr:uid="{52BA9E73-F04E-43A2-B602-6601087A5E1F}"/>
    <cellStyle name="Normal 3 2 2 2 2 2 2 2 2 2 2 18 2 9" xfId="25553" xr:uid="{70CDF9A3-B9F0-48E9-ABB7-1F4E8B7066A8}"/>
    <cellStyle name="Normal 3 2 2 2 2 2 2 2 2 2 2 18 3" xfId="25554" xr:uid="{5F04CFFB-D0A7-49EA-930D-11CF36543966}"/>
    <cellStyle name="Normal 3 2 2 2 2 2 2 2 2 2 2 18 3 2" xfId="25555" xr:uid="{211F93D3-CEFA-46DE-A1C1-8ED358B8F50C}"/>
    <cellStyle name="Normal 3 2 2 2 2 2 2 2 2 2 2 18 3 2 2" xfId="25556" xr:uid="{A923E362-CB6B-46DE-A86B-8DAEBAC54276}"/>
    <cellStyle name="Normal 3 2 2 2 2 2 2 2 2 2 2 18 3 2 3" xfId="25557" xr:uid="{4F15DF91-7649-44BA-B537-372717EF9499}"/>
    <cellStyle name="Normal 3 2 2 2 2 2 2 2 2 2 2 18 3 2 4" xfId="25558" xr:uid="{88621F23-A93E-4740-87BD-3C4BEE9185D0}"/>
    <cellStyle name="Normal 3 2 2 2 2 2 2 2 2 2 2 18 3 3" xfId="25559" xr:uid="{7D5F4CF6-21FD-4BA1-BC73-4C9BDAF8939E}"/>
    <cellStyle name="Normal 3 2 2 2 2 2 2 2 2 2 2 18 3 4" xfId="25560" xr:uid="{4449486D-8DA1-43B5-A404-204D0F045EA2}"/>
    <cellStyle name="Normal 3 2 2 2 2 2 2 2 2 2 2 18 3 5" xfId="25561" xr:uid="{4F472515-0C95-4D49-9A2F-A1D0086D5B49}"/>
    <cellStyle name="Normal 3 2 2 2 2 2 2 2 2 2 2 18 3 6" xfId="25562" xr:uid="{6174CF05-45B4-425C-A9E4-39FC4D30C1FE}"/>
    <cellStyle name="Normal 3 2 2 2 2 2 2 2 2 2 2 18 4" xfId="25563" xr:uid="{34D795D0-7A0F-4470-ADBA-310C091F65C8}"/>
    <cellStyle name="Normal 3 2 2 2 2 2 2 2 2 2 2 18 5" xfId="25564" xr:uid="{6B0C6A76-39D0-45D4-A925-E4A45E8176E0}"/>
    <cellStyle name="Normal 3 2 2 2 2 2 2 2 2 2 2 18 6" xfId="25565" xr:uid="{B1AF3671-B8BF-4404-8911-C13A1B910C3C}"/>
    <cellStyle name="Normal 3 2 2 2 2 2 2 2 2 2 2 18 7" xfId="25566" xr:uid="{F7E65BB8-48A6-40C9-8B30-0F5ABF8B8147}"/>
    <cellStyle name="Normal 3 2 2 2 2 2 2 2 2 2 2 18 8" xfId="25567" xr:uid="{C1F074B7-2B19-472A-A47F-C952E3C8E0A5}"/>
    <cellStyle name="Normal 3 2 2 2 2 2 2 2 2 2 2 18 8 2" xfId="25568" xr:uid="{CD5B84FA-3041-4143-A84E-F66513BC62A5}"/>
    <cellStyle name="Normal 3 2 2 2 2 2 2 2 2 2 2 18 8 3" xfId="25569" xr:uid="{175B3729-1D32-42AD-9FB3-DD576403DF8E}"/>
    <cellStyle name="Normal 3 2 2 2 2 2 2 2 2 2 2 18 8 4" xfId="25570" xr:uid="{C0FDDBE3-24EE-4F08-BCE0-D0C22F149A75}"/>
    <cellStyle name="Normal 3 2 2 2 2 2 2 2 2 2 2 18 9" xfId="25571" xr:uid="{A3CFE191-5583-40E3-9451-87C6B29DF42D}"/>
    <cellStyle name="Normal 3 2 2 2 2 2 2 2 2 2 2 19" xfId="25572" xr:uid="{8D234E4E-FEE6-4106-A837-DFABB2F8E2AD}"/>
    <cellStyle name="Normal 3 2 2 2 2 2 2 2 2 2 2 2" xfId="25573" xr:uid="{D7B3E7D7-C6CB-47F7-904E-DC32F280777A}"/>
    <cellStyle name="Normal 3 2 2 2 2 2 2 2 2 2 2 2 10" xfId="25574" xr:uid="{B10C8B1D-A683-4AD0-A422-D0F62A73AF77}"/>
    <cellStyle name="Normal 3 2 2 2 2 2 2 2 2 2 2 2 11" xfId="25575" xr:uid="{0E3585BC-61B9-4A47-8187-754A2FD59558}"/>
    <cellStyle name="Normal 3 2 2 2 2 2 2 2 2 2 2 2 12" xfId="25576" xr:uid="{4404AFE4-FD89-400B-B668-9212910F87BD}"/>
    <cellStyle name="Normal 3 2 2 2 2 2 2 2 2 2 2 2 13" xfId="25577" xr:uid="{207B23BD-F8F3-4D8A-8057-361E144A9BF4}"/>
    <cellStyle name="Normal 3 2 2 2 2 2 2 2 2 2 2 2 14" xfId="25578" xr:uid="{B44740E4-1287-4301-9F50-127043F8F6D7}"/>
    <cellStyle name="Normal 3 2 2 2 2 2 2 2 2 2 2 2 15" xfId="25579" xr:uid="{3D8BBF64-BC7F-4496-A90D-8FB2205AD483}"/>
    <cellStyle name="Normal 3 2 2 2 2 2 2 2 2 2 2 2 16" xfId="25580" xr:uid="{0D5142BA-FB2A-4C5C-9D70-B7D507A4E661}"/>
    <cellStyle name="Normal 3 2 2 2 2 2 2 2 2 2 2 2 16 10" xfId="25581" xr:uid="{F97A5E4E-37A2-4985-9623-F7676434977F}"/>
    <cellStyle name="Normal 3 2 2 2 2 2 2 2 2 2 2 2 16 11" xfId="25582" xr:uid="{3866A5EC-A520-4FDF-BCB4-33EEFEF4EAD2}"/>
    <cellStyle name="Normal 3 2 2 2 2 2 2 2 2 2 2 2 16 11 2" xfId="25583" xr:uid="{0D64D26A-76AA-4C4D-A948-C088AFB36B9F}"/>
    <cellStyle name="Normal 3 2 2 2 2 2 2 2 2 2 2 2 16 11 3" xfId="25584" xr:uid="{788D128F-CB3C-4E4A-B97D-7D123B1D1F50}"/>
    <cellStyle name="Normal 3 2 2 2 2 2 2 2 2 2 2 2 16 11 4" xfId="25585" xr:uid="{E47CC968-450D-4616-934B-AD1E2EC36E3F}"/>
    <cellStyle name="Normal 3 2 2 2 2 2 2 2 2 2 2 2 16 12" xfId="25586" xr:uid="{90FD46A6-0511-4C59-AEC8-F5AAC08F1007}"/>
    <cellStyle name="Normal 3 2 2 2 2 2 2 2 2 2 2 2 16 13" xfId="25587" xr:uid="{FC21CA72-7245-4187-B893-08BEAC883E4D}"/>
    <cellStyle name="Normal 3 2 2 2 2 2 2 2 2 2 2 2 16 14" xfId="25588" xr:uid="{6267651E-AB5B-4667-9813-30C903017B74}"/>
    <cellStyle name="Normal 3 2 2 2 2 2 2 2 2 2 2 2 16 2" xfId="25589" xr:uid="{D4DFA134-C83B-4EB2-8266-56531BAC8D11}"/>
    <cellStyle name="Normal 3 2 2 2 2 2 2 2 2 2 2 2 16 2 10" xfId="25590" xr:uid="{742C8B3F-5CE2-452B-9469-F0E2AA28870F}"/>
    <cellStyle name="Normal 3 2 2 2 2 2 2 2 2 2 2 2 16 2 11" xfId="25591" xr:uid="{C8D16522-0290-49B2-9869-68D5EEC4B3AF}"/>
    <cellStyle name="Normal 3 2 2 2 2 2 2 2 2 2 2 2 16 2 2" xfId="25592" xr:uid="{0251C512-B777-440A-8B31-E3EBD79C088F}"/>
    <cellStyle name="Normal 3 2 2 2 2 2 2 2 2 2 2 2 16 2 2 10" xfId="25593" xr:uid="{F5868A80-6301-4B88-B895-9377B11477D3}"/>
    <cellStyle name="Normal 3 2 2 2 2 2 2 2 2 2 2 2 16 2 2 11" xfId="25594" xr:uid="{BE18A746-19F5-4C26-8037-831AE12EC147}"/>
    <cellStyle name="Normal 3 2 2 2 2 2 2 2 2 2 2 2 16 2 2 2" xfId="25595" xr:uid="{ABADFFD4-D4EA-40EC-9248-E12959008A99}"/>
    <cellStyle name="Normal 3 2 2 2 2 2 2 2 2 2 2 2 16 2 2 2 2" xfId="25596" xr:uid="{7AADF3D3-E700-471A-85E4-34A72ADCFBEB}"/>
    <cellStyle name="Normal 3 2 2 2 2 2 2 2 2 2 2 2 16 2 2 2 2 2" xfId="25597" xr:uid="{92039347-46D9-41EA-A085-117675D5BB13}"/>
    <cellStyle name="Normal 3 2 2 2 2 2 2 2 2 2 2 2 16 2 2 2 2 3" xfId="25598" xr:uid="{8590C9A9-2EC2-4433-B24F-807B28163F4F}"/>
    <cellStyle name="Normal 3 2 2 2 2 2 2 2 2 2 2 2 16 2 2 2 2 4" xfId="25599" xr:uid="{0C2D32DD-1554-49C4-AC07-766EB52DCB15}"/>
    <cellStyle name="Normal 3 2 2 2 2 2 2 2 2 2 2 2 16 2 2 2 3" xfId="25600" xr:uid="{427C6529-8BE5-4CE5-9BA2-3716BCFC34E8}"/>
    <cellStyle name="Normal 3 2 2 2 2 2 2 2 2 2 2 2 16 2 2 2 4" xfId="25601" xr:uid="{C3376C12-0025-45ED-83A6-839F36851954}"/>
    <cellStyle name="Normal 3 2 2 2 2 2 2 2 2 2 2 2 16 2 2 2 5" xfId="25602" xr:uid="{3AA741EC-F37E-443A-82E5-C0D2C4C2C872}"/>
    <cellStyle name="Normal 3 2 2 2 2 2 2 2 2 2 2 2 16 2 2 2 6" xfId="25603" xr:uid="{2DC70C0F-550E-4B31-946A-99FAEA733C27}"/>
    <cellStyle name="Normal 3 2 2 2 2 2 2 2 2 2 2 2 16 2 2 3" xfId="25604" xr:uid="{6042AE29-283A-4718-B2FA-DEC80F28D5F4}"/>
    <cellStyle name="Normal 3 2 2 2 2 2 2 2 2 2 2 2 16 2 2 4" xfId="25605" xr:uid="{D2AF8297-863C-4B4B-B56A-6785B96A1950}"/>
    <cellStyle name="Normal 3 2 2 2 2 2 2 2 2 2 2 2 16 2 2 5" xfId="25606" xr:uid="{76E8C4C5-D52A-49EC-81ED-C5F8D8DC20B0}"/>
    <cellStyle name="Normal 3 2 2 2 2 2 2 2 2 2 2 2 16 2 2 6" xfId="25607" xr:uid="{F583F80B-8BC8-403C-93B7-D6A0D6DC33FB}"/>
    <cellStyle name="Normal 3 2 2 2 2 2 2 2 2 2 2 2 16 2 2 7" xfId="25608" xr:uid="{0DE52E51-EF32-43CD-B6FC-0F3CBA481D24}"/>
    <cellStyle name="Normal 3 2 2 2 2 2 2 2 2 2 2 2 16 2 2 8" xfId="25609" xr:uid="{0F39EA86-E1F5-45D2-A3A9-1194D5EB901D}"/>
    <cellStyle name="Normal 3 2 2 2 2 2 2 2 2 2 2 2 16 2 2 8 2" xfId="25610" xr:uid="{1C82B2C4-23B9-48E0-AF53-2F9960E32A5B}"/>
    <cellStyle name="Normal 3 2 2 2 2 2 2 2 2 2 2 2 16 2 2 8 3" xfId="25611" xr:uid="{E5F9B0E2-5FEA-47E3-AF33-F5923FB4B7DA}"/>
    <cellStyle name="Normal 3 2 2 2 2 2 2 2 2 2 2 2 16 2 2 8 4" xfId="25612" xr:uid="{17726AF1-7871-42FE-B82E-A8FF467A9716}"/>
    <cellStyle name="Normal 3 2 2 2 2 2 2 2 2 2 2 2 16 2 2 9" xfId="25613" xr:uid="{4A644AF2-8126-4BA4-9641-9A4326E09C09}"/>
    <cellStyle name="Normal 3 2 2 2 2 2 2 2 2 2 2 2 16 2 3" xfId="25614" xr:uid="{FD8B4F16-BD5E-4DAA-8BF9-1CBE0242F876}"/>
    <cellStyle name="Normal 3 2 2 2 2 2 2 2 2 2 2 2 16 2 3 2" xfId="25615" xr:uid="{5F76C8D0-0A7C-4C4B-98CC-C554C91135B9}"/>
    <cellStyle name="Normal 3 2 2 2 2 2 2 2 2 2 2 2 16 2 3 2 2" xfId="25616" xr:uid="{5BF631C9-F64B-437F-8EF3-187D95E2D3B8}"/>
    <cellStyle name="Normal 3 2 2 2 2 2 2 2 2 2 2 2 16 2 3 2 3" xfId="25617" xr:uid="{0081A4C6-D1AB-4B6B-A942-D154A0055B20}"/>
    <cellStyle name="Normal 3 2 2 2 2 2 2 2 2 2 2 2 16 2 3 2 4" xfId="25618" xr:uid="{FA6C3DA8-DB7B-46B1-8186-70209849DCD1}"/>
    <cellStyle name="Normal 3 2 2 2 2 2 2 2 2 2 2 2 16 2 3 3" xfId="25619" xr:uid="{2A8222AE-614C-4FF9-9BD4-E0DFC6B47597}"/>
    <cellStyle name="Normal 3 2 2 2 2 2 2 2 2 2 2 2 16 2 3 4" xfId="25620" xr:uid="{4D9DA9FC-EE9D-4CD8-83FF-508F0A30B4F4}"/>
    <cellStyle name="Normal 3 2 2 2 2 2 2 2 2 2 2 2 16 2 3 5" xfId="25621" xr:uid="{863962FD-6A61-4128-B947-61F56FDF1EAC}"/>
    <cellStyle name="Normal 3 2 2 2 2 2 2 2 2 2 2 2 16 2 3 6" xfId="25622" xr:uid="{14567854-A8F5-4578-A72D-4FB4878C7D37}"/>
    <cellStyle name="Normal 3 2 2 2 2 2 2 2 2 2 2 2 16 2 4" xfId="25623" xr:uid="{A946FC9B-87DA-4EDF-AAAB-787141DC7F3A}"/>
    <cellStyle name="Normal 3 2 2 2 2 2 2 2 2 2 2 2 16 2 5" xfId="25624" xr:uid="{3FD0F0C6-B5C4-4B69-9783-B17155DB8E4E}"/>
    <cellStyle name="Normal 3 2 2 2 2 2 2 2 2 2 2 2 16 2 6" xfId="25625" xr:uid="{D2EB85C5-2361-48E2-9171-A71A2198FE28}"/>
    <cellStyle name="Normal 3 2 2 2 2 2 2 2 2 2 2 2 16 2 7" xfId="25626" xr:uid="{AB8EFADE-A251-4D7E-83EE-80DD07CBA958}"/>
    <cellStyle name="Normal 3 2 2 2 2 2 2 2 2 2 2 2 16 2 8" xfId="25627" xr:uid="{63E22C3C-2367-4AF1-8815-0DD41D5BA8EC}"/>
    <cellStyle name="Normal 3 2 2 2 2 2 2 2 2 2 2 2 16 2 8 2" xfId="25628" xr:uid="{B1A9384A-323C-4681-9CF7-F1E1F1F00CBB}"/>
    <cellStyle name="Normal 3 2 2 2 2 2 2 2 2 2 2 2 16 2 8 3" xfId="25629" xr:uid="{4AA538DD-D631-477A-8A09-68487A32D884}"/>
    <cellStyle name="Normal 3 2 2 2 2 2 2 2 2 2 2 2 16 2 8 4" xfId="25630" xr:uid="{BB02D87C-F5AE-4DAC-8D97-2A796C83D06F}"/>
    <cellStyle name="Normal 3 2 2 2 2 2 2 2 2 2 2 2 16 2 9" xfId="25631" xr:uid="{009D223C-37A4-46F1-A8C4-793A6C60D47F}"/>
    <cellStyle name="Normal 3 2 2 2 2 2 2 2 2 2 2 2 16 3" xfId="25632" xr:uid="{3C8B515C-EE19-4BA6-94EA-7591679DE14B}"/>
    <cellStyle name="Normal 3 2 2 2 2 2 2 2 2 2 2 2 16 4" xfId="25633" xr:uid="{4BC0C326-8B13-4AEF-86BC-A9BBBF5233B4}"/>
    <cellStyle name="Normal 3 2 2 2 2 2 2 2 2 2 2 2 16 5" xfId="25634" xr:uid="{CB09AEEC-5954-4B3C-B477-E94A3A42A798}"/>
    <cellStyle name="Normal 3 2 2 2 2 2 2 2 2 2 2 2 16 5 2" xfId="25635" xr:uid="{DF70EED8-EE6B-4D1C-A477-BB57F4B90EF2}"/>
    <cellStyle name="Normal 3 2 2 2 2 2 2 2 2 2 2 2 16 5 2 2" xfId="25636" xr:uid="{73F9E5D8-FC57-4B59-B0AB-0519E9A2139C}"/>
    <cellStyle name="Normal 3 2 2 2 2 2 2 2 2 2 2 2 16 5 2 3" xfId="25637" xr:uid="{CB156510-BF47-4E9C-919A-014C2595EE5A}"/>
    <cellStyle name="Normal 3 2 2 2 2 2 2 2 2 2 2 2 16 5 2 4" xfId="25638" xr:uid="{62A56057-3DB0-4BE3-81E3-27E7CCD363F8}"/>
    <cellStyle name="Normal 3 2 2 2 2 2 2 2 2 2 2 2 16 5 3" xfId="25639" xr:uid="{C8F2EEFD-68C6-42EC-8772-97CA08FDD880}"/>
    <cellStyle name="Normal 3 2 2 2 2 2 2 2 2 2 2 2 16 5 4" xfId="25640" xr:uid="{A3BDD43B-878C-4382-BF1C-CDF980B3EB4F}"/>
    <cellStyle name="Normal 3 2 2 2 2 2 2 2 2 2 2 2 16 5 5" xfId="25641" xr:uid="{F7582A57-1EA3-4444-BC68-3D7DEDC29BDF}"/>
    <cellStyle name="Normal 3 2 2 2 2 2 2 2 2 2 2 2 16 5 6" xfId="25642" xr:uid="{A9CC0883-1FDD-4E26-96AF-073B2D440E5F}"/>
    <cellStyle name="Normal 3 2 2 2 2 2 2 2 2 2 2 2 16 6" xfId="25643" xr:uid="{93190E7E-B8EC-4960-90F1-410E866822E3}"/>
    <cellStyle name="Normal 3 2 2 2 2 2 2 2 2 2 2 2 16 7" xfId="25644" xr:uid="{373D8E5F-B884-4520-8EC9-A5D239642429}"/>
    <cellStyle name="Normal 3 2 2 2 2 2 2 2 2 2 2 2 16 8" xfId="25645" xr:uid="{E7F9F97B-D59D-4A4C-AA60-B321087BBE08}"/>
    <cellStyle name="Normal 3 2 2 2 2 2 2 2 2 2 2 2 16 9" xfId="25646" xr:uid="{ACA94A7E-10FC-43D7-B877-5AC2695B68C3}"/>
    <cellStyle name="Normal 3 2 2 2 2 2 2 2 2 2 2 2 17" xfId="25647" xr:uid="{3DA12A78-26D8-4DA3-90DA-2480018D3CCC}"/>
    <cellStyle name="Normal 3 2 2 2 2 2 2 2 2 2 2 2 18" xfId="25648" xr:uid="{7F0B952C-AA91-47D3-B41D-30F757C55281}"/>
    <cellStyle name="Normal 3 2 2 2 2 2 2 2 2 2 2 2 18 10" xfId="25649" xr:uid="{87B0C2D9-35B0-4FE2-80AF-05898B7856BD}"/>
    <cellStyle name="Normal 3 2 2 2 2 2 2 2 2 2 2 2 18 11" xfId="25650" xr:uid="{C510F13B-01E6-415E-BCBA-F1AA99338151}"/>
    <cellStyle name="Normal 3 2 2 2 2 2 2 2 2 2 2 2 18 2" xfId="25651" xr:uid="{4B9C830D-532D-45F7-B685-9AF8E3CB6D6B}"/>
    <cellStyle name="Normal 3 2 2 2 2 2 2 2 2 2 2 2 18 2 10" xfId="25652" xr:uid="{54031954-6BDD-4B4C-943A-58161B8615C5}"/>
    <cellStyle name="Normal 3 2 2 2 2 2 2 2 2 2 2 2 18 2 11" xfId="25653" xr:uid="{E88FC922-91AB-42BF-8E34-90EA22949D5E}"/>
    <cellStyle name="Normal 3 2 2 2 2 2 2 2 2 2 2 2 18 2 2" xfId="25654" xr:uid="{3D2DA2EA-0933-45D5-A208-31D0ABF06A57}"/>
    <cellStyle name="Normal 3 2 2 2 2 2 2 2 2 2 2 2 18 2 2 2" xfId="25655" xr:uid="{EB642C99-9EC7-4232-AD00-06B86C24E94D}"/>
    <cellStyle name="Normal 3 2 2 2 2 2 2 2 2 2 2 2 18 2 2 2 2" xfId="25656" xr:uid="{BC9903A0-9456-4855-961F-A62E21D0DD84}"/>
    <cellStyle name="Normal 3 2 2 2 2 2 2 2 2 2 2 2 18 2 2 2 3" xfId="25657" xr:uid="{AAF28A0B-FEBA-469C-9D70-C21FFE2F55FD}"/>
    <cellStyle name="Normal 3 2 2 2 2 2 2 2 2 2 2 2 18 2 2 2 4" xfId="25658" xr:uid="{C5EB4AF6-8C54-4C5D-B42A-763E57C09895}"/>
    <cellStyle name="Normal 3 2 2 2 2 2 2 2 2 2 2 2 18 2 2 3" xfId="25659" xr:uid="{2511C0A5-F76A-486B-A21A-14A994C00564}"/>
    <cellStyle name="Normal 3 2 2 2 2 2 2 2 2 2 2 2 18 2 2 4" xfId="25660" xr:uid="{E1B98D00-696F-419F-B65B-56B831A2F83F}"/>
    <cellStyle name="Normal 3 2 2 2 2 2 2 2 2 2 2 2 18 2 2 5" xfId="25661" xr:uid="{7137F7A1-FFF2-4433-967C-3070F3B10DF7}"/>
    <cellStyle name="Normal 3 2 2 2 2 2 2 2 2 2 2 2 18 2 2 6" xfId="25662" xr:uid="{CCD41EF5-9B40-4591-A028-D3CAD2D09678}"/>
    <cellStyle name="Normal 3 2 2 2 2 2 2 2 2 2 2 2 18 2 3" xfId="25663" xr:uid="{7BEB41A7-F472-42E8-8E87-1560193F8121}"/>
    <cellStyle name="Normal 3 2 2 2 2 2 2 2 2 2 2 2 18 2 4" xfId="25664" xr:uid="{C381DAE4-D9AA-4A2B-900C-06AD5557CE72}"/>
    <cellStyle name="Normal 3 2 2 2 2 2 2 2 2 2 2 2 18 2 5" xfId="25665" xr:uid="{39D0F582-1C76-49C8-B827-72522854B2F1}"/>
    <cellStyle name="Normal 3 2 2 2 2 2 2 2 2 2 2 2 18 2 6" xfId="25666" xr:uid="{72E5052B-85E5-4C1B-8471-5C29C9BEBE2E}"/>
    <cellStyle name="Normal 3 2 2 2 2 2 2 2 2 2 2 2 18 2 7" xfId="25667" xr:uid="{199DD73C-ABBD-4005-98AE-245E5C1F3C35}"/>
    <cellStyle name="Normal 3 2 2 2 2 2 2 2 2 2 2 2 18 2 8" xfId="25668" xr:uid="{52EDE9FF-C589-4946-A5E7-B9DC8D637820}"/>
    <cellStyle name="Normal 3 2 2 2 2 2 2 2 2 2 2 2 18 2 8 2" xfId="25669" xr:uid="{AFA5B053-FE97-4D4E-8BA4-258751AB5234}"/>
    <cellStyle name="Normal 3 2 2 2 2 2 2 2 2 2 2 2 18 2 8 3" xfId="25670" xr:uid="{0619CB9B-6179-484F-A9B8-D84F667BAF63}"/>
    <cellStyle name="Normal 3 2 2 2 2 2 2 2 2 2 2 2 18 2 8 4" xfId="25671" xr:uid="{87CD404C-D6EA-4438-91C0-CF4D3981FF7F}"/>
    <cellStyle name="Normal 3 2 2 2 2 2 2 2 2 2 2 2 18 2 9" xfId="25672" xr:uid="{BEB5A4AF-CD99-4F98-B6BC-B6BE536E162D}"/>
    <cellStyle name="Normal 3 2 2 2 2 2 2 2 2 2 2 2 18 3" xfId="25673" xr:uid="{B6EB4100-1282-48CA-AF6C-50103CF4EFFC}"/>
    <cellStyle name="Normal 3 2 2 2 2 2 2 2 2 2 2 2 18 3 2" xfId="25674" xr:uid="{1E92D7BE-B00F-41A6-B989-80338F593612}"/>
    <cellStyle name="Normal 3 2 2 2 2 2 2 2 2 2 2 2 18 3 2 2" xfId="25675" xr:uid="{AF2714F2-B42B-475D-9BC3-5E8788DF5E60}"/>
    <cellStyle name="Normal 3 2 2 2 2 2 2 2 2 2 2 2 18 3 2 3" xfId="25676" xr:uid="{7B2EC9EA-EE13-42C4-B975-A9FFE97A90B1}"/>
    <cellStyle name="Normal 3 2 2 2 2 2 2 2 2 2 2 2 18 3 2 4" xfId="25677" xr:uid="{4ADAF8F2-0C17-4EB0-8095-3C3849CEBBA6}"/>
    <cellStyle name="Normal 3 2 2 2 2 2 2 2 2 2 2 2 18 3 3" xfId="25678" xr:uid="{D9D4B948-8276-4247-901C-BF76E20EC2E4}"/>
    <cellStyle name="Normal 3 2 2 2 2 2 2 2 2 2 2 2 18 3 4" xfId="25679" xr:uid="{FD818278-B941-49EB-A6C2-03AEDF988553}"/>
    <cellStyle name="Normal 3 2 2 2 2 2 2 2 2 2 2 2 18 3 5" xfId="25680" xr:uid="{5AEA9C4F-516C-496F-B22C-74DA6C550697}"/>
    <cellStyle name="Normal 3 2 2 2 2 2 2 2 2 2 2 2 18 3 6" xfId="25681" xr:uid="{349DFE7C-59CA-4E0A-82F8-06A073FCE3CA}"/>
    <cellStyle name="Normal 3 2 2 2 2 2 2 2 2 2 2 2 18 4" xfId="25682" xr:uid="{99AD8175-6032-43CE-9BC8-E94BB1E535A8}"/>
    <cellStyle name="Normal 3 2 2 2 2 2 2 2 2 2 2 2 18 5" xfId="25683" xr:uid="{DF8C508A-7D05-4902-B150-29D8018EABFE}"/>
    <cellStyle name="Normal 3 2 2 2 2 2 2 2 2 2 2 2 18 6" xfId="25684" xr:uid="{B5CBEF06-4261-443E-9036-666BE6BE88CA}"/>
    <cellStyle name="Normal 3 2 2 2 2 2 2 2 2 2 2 2 18 7" xfId="25685" xr:uid="{5613F310-5DE8-46CF-840E-D9A46C58E9DD}"/>
    <cellStyle name="Normal 3 2 2 2 2 2 2 2 2 2 2 2 18 8" xfId="25686" xr:uid="{7812235F-F4F4-40B2-B01B-58C056B20C0A}"/>
    <cellStyle name="Normal 3 2 2 2 2 2 2 2 2 2 2 2 18 8 2" xfId="25687" xr:uid="{8090D708-EDA1-435E-8869-7FFCA21BE163}"/>
    <cellStyle name="Normal 3 2 2 2 2 2 2 2 2 2 2 2 18 8 3" xfId="25688" xr:uid="{7B35DE37-15BF-45C3-9E3E-C3C5E5E63007}"/>
    <cellStyle name="Normal 3 2 2 2 2 2 2 2 2 2 2 2 18 8 4" xfId="25689" xr:uid="{4238B03C-2494-4231-B6AA-BE211008E473}"/>
    <cellStyle name="Normal 3 2 2 2 2 2 2 2 2 2 2 2 18 9" xfId="25690" xr:uid="{8A796923-883C-4FC3-8418-A1C4FF470388}"/>
    <cellStyle name="Normal 3 2 2 2 2 2 2 2 2 2 2 2 19" xfId="25691" xr:uid="{51EAFE49-2A9D-4046-947C-687A7F9FC268}"/>
    <cellStyle name="Normal 3 2 2 2 2 2 2 2 2 2 2 2 2" xfId="25692" xr:uid="{A2AD3530-3691-4768-83A5-14ABE16DCEA8}"/>
    <cellStyle name="Normal 3 2 2 2 2 2 2 2 2 2 2 2 2 10" xfId="25693" xr:uid="{589DB4D7-4C17-4DE3-9F86-7B21271086FA}"/>
    <cellStyle name="Normal 3 2 2 2 2 2 2 2 2 2 2 2 2 11" xfId="25694" xr:uid="{3FA6CE8F-71F2-4836-AA13-EAA8074F683B}"/>
    <cellStyle name="Normal 3 2 2 2 2 2 2 2 2 2 2 2 2 12" xfId="25695" xr:uid="{E45C1339-7BA5-4A3F-9A44-59EF04D58CCF}"/>
    <cellStyle name="Normal 3 2 2 2 2 2 2 2 2 2 2 2 2 12 10" xfId="25696" xr:uid="{456720C0-7C9D-4CBB-A342-00AA09081628}"/>
    <cellStyle name="Normal 3 2 2 2 2 2 2 2 2 2 2 2 2 12 11" xfId="25697" xr:uid="{B5C6FBFF-B350-424C-A383-948631580E3F}"/>
    <cellStyle name="Normal 3 2 2 2 2 2 2 2 2 2 2 2 2 12 11 2" xfId="25698" xr:uid="{A544DCF8-15CF-45D6-8571-2D01ADEA7845}"/>
    <cellStyle name="Normal 3 2 2 2 2 2 2 2 2 2 2 2 2 12 11 3" xfId="25699" xr:uid="{C640F68F-3BC3-405F-94C6-C24A804FB459}"/>
    <cellStyle name="Normal 3 2 2 2 2 2 2 2 2 2 2 2 2 12 11 4" xfId="25700" xr:uid="{8AD30A65-3718-4723-95B0-C7930BD82896}"/>
    <cellStyle name="Normal 3 2 2 2 2 2 2 2 2 2 2 2 2 12 12" xfId="25701" xr:uid="{99C7A2BC-5DF8-4E7D-99E6-3CC95AAA78ED}"/>
    <cellStyle name="Normal 3 2 2 2 2 2 2 2 2 2 2 2 2 12 13" xfId="25702" xr:uid="{E9F9C25C-5B09-42F4-BEC5-4D59BFF7DEDF}"/>
    <cellStyle name="Normal 3 2 2 2 2 2 2 2 2 2 2 2 2 12 14" xfId="25703" xr:uid="{A185B20D-36F2-4B80-8340-69671FA616C3}"/>
    <cellStyle name="Normal 3 2 2 2 2 2 2 2 2 2 2 2 2 12 2" xfId="25704" xr:uid="{7404DDB0-C08F-4B94-8DC3-9C75E1C9764F}"/>
    <cellStyle name="Normal 3 2 2 2 2 2 2 2 2 2 2 2 2 12 2 10" xfId="25705" xr:uid="{2BEF6395-04FE-41FB-A8D1-166BBCC1EC1B}"/>
    <cellStyle name="Normal 3 2 2 2 2 2 2 2 2 2 2 2 2 12 2 11" xfId="25706" xr:uid="{7C175CF8-91CF-424E-A025-7268609610C5}"/>
    <cellStyle name="Normal 3 2 2 2 2 2 2 2 2 2 2 2 2 12 2 2" xfId="25707" xr:uid="{3DD1354E-624C-4715-A98A-6D05E8AEDE60}"/>
    <cellStyle name="Normal 3 2 2 2 2 2 2 2 2 2 2 2 2 12 2 2 10" xfId="25708" xr:uid="{644607D2-4C3A-4861-9D0D-7941032F5A4E}"/>
    <cellStyle name="Normal 3 2 2 2 2 2 2 2 2 2 2 2 2 12 2 2 11" xfId="25709" xr:uid="{4BE4DEE3-8286-4205-9459-8CA5F474C13A}"/>
    <cellStyle name="Normal 3 2 2 2 2 2 2 2 2 2 2 2 2 12 2 2 2" xfId="25710" xr:uid="{B73FFD2B-8A7B-4D30-97A3-7FB4ADF03414}"/>
    <cellStyle name="Normal 3 2 2 2 2 2 2 2 2 2 2 2 2 12 2 2 2 2" xfId="25711" xr:uid="{15A4469E-940B-422F-AB21-03663BEE3C06}"/>
    <cellStyle name="Normal 3 2 2 2 2 2 2 2 2 2 2 2 2 12 2 2 2 2 2" xfId="25712" xr:uid="{96304043-624E-4F41-BC37-EA5EA8F583C1}"/>
    <cellStyle name="Normal 3 2 2 2 2 2 2 2 2 2 2 2 2 12 2 2 2 2 3" xfId="25713" xr:uid="{95A7960F-B5A7-42A2-8F8D-9DC70AD07DC0}"/>
    <cellStyle name="Normal 3 2 2 2 2 2 2 2 2 2 2 2 2 12 2 2 2 2 4" xfId="25714" xr:uid="{8C38C996-D480-47B7-BFF2-264C925E4A72}"/>
    <cellStyle name="Normal 3 2 2 2 2 2 2 2 2 2 2 2 2 12 2 2 2 3" xfId="25715" xr:uid="{C8400B75-1210-4E1D-B753-A3D695D2DB1E}"/>
    <cellStyle name="Normal 3 2 2 2 2 2 2 2 2 2 2 2 2 12 2 2 2 4" xfId="25716" xr:uid="{92FA3842-4A45-4122-BB14-3C689AF715B2}"/>
    <cellStyle name="Normal 3 2 2 2 2 2 2 2 2 2 2 2 2 12 2 2 2 5" xfId="25717" xr:uid="{6003BF79-FB42-4EAD-BE1D-796485E25D6F}"/>
    <cellStyle name="Normal 3 2 2 2 2 2 2 2 2 2 2 2 2 12 2 2 2 6" xfId="25718" xr:uid="{4ABE9CFB-D731-455F-83DA-59C0E0BB5482}"/>
    <cellStyle name="Normal 3 2 2 2 2 2 2 2 2 2 2 2 2 12 2 2 3" xfId="25719" xr:uid="{C07A4C3A-C208-4902-8F13-73F5BC0B6922}"/>
    <cellStyle name="Normal 3 2 2 2 2 2 2 2 2 2 2 2 2 12 2 2 4" xfId="25720" xr:uid="{DF4418A9-3281-4E40-9FBB-370A81F3DB7A}"/>
    <cellStyle name="Normal 3 2 2 2 2 2 2 2 2 2 2 2 2 12 2 2 5" xfId="25721" xr:uid="{0917FADB-2F6F-40AB-B8C6-6C0F0CF953AE}"/>
    <cellStyle name="Normal 3 2 2 2 2 2 2 2 2 2 2 2 2 12 2 2 6" xfId="25722" xr:uid="{9696268C-7DE4-4415-8A69-AD6379D379C9}"/>
    <cellStyle name="Normal 3 2 2 2 2 2 2 2 2 2 2 2 2 12 2 2 7" xfId="25723" xr:uid="{E7FC8EED-F7FE-4EE9-9CC3-47C0BAB2A923}"/>
    <cellStyle name="Normal 3 2 2 2 2 2 2 2 2 2 2 2 2 12 2 2 8" xfId="25724" xr:uid="{04E42862-C3CC-47A9-9828-E7A34D18BE17}"/>
    <cellStyle name="Normal 3 2 2 2 2 2 2 2 2 2 2 2 2 12 2 2 8 2" xfId="25725" xr:uid="{18EE8735-A6E3-41F7-830A-EB2EC807EB2A}"/>
    <cellStyle name="Normal 3 2 2 2 2 2 2 2 2 2 2 2 2 12 2 2 8 3" xfId="25726" xr:uid="{C6939801-0659-49AC-BEF3-D6119649DC9A}"/>
    <cellStyle name="Normal 3 2 2 2 2 2 2 2 2 2 2 2 2 12 2 2 8 4" xfId="25727" xr:uid="{D458752D-F2A8-47E6-89C5-92800A73F6CB}"/>
    <cellStyle name="Normal 3 2 2 2 2 2 2 2 2 2 2 2 2 12 2 2 9" xfId="25728" xr:uid="{1CF19B5E-23BE-4BBA-99B1-08BEAA9B814C}"/>
    <cellStyle name="Normal 3 2 2 2 2 2 2 2 2 2 2 2 2 12 2 3" xfId="25729" xr:uid="{7F5061A0-3949-4491-8315-80BB8D63CFB3}"/>
    <cellStyle name="Normal 3 2 2 2 2 2 2 2 2 2 2 2 2 12 2 3 2" xfId="25730" xr:uid="{BD522198-4BE9-4329-9C02-30AD3B00ED54}"/>
    <cellStyle name="Normal 3 2 2 2 2 2 2 2 2 2 2 2 2 12 2 3 2 2" xfId="25731" xr:uid="{0C5DAA64-DA62-45F1-8607-753117C7D55B}"/>
    <cellStyle name="Normal 3 2 2 2 2 2 2 2 2 2 2 2 2 12 2 3 2 3" xfId="25732" xr:uid="{DF2841F2-B84A-44CC-BACF-626ED7153DCB}"/>
    <cellStyle name="Normal 3 2 2 2 2 2 2 2 2 2 2 2 2 12 2 3 2 4" xfId="25733" xr:uid="{64F7EB8A-41BA-4C80-86F4-94AF5E8A97F8}"/>
    <cellStyle name="Normal 3 2 2 2 2 2 2 2 2 2 2 2 2 12 2 3 3" xfId="25734" xr:uid="{99C1FEDF-DFE3-4DF3-A3FF-1F62957E4D36}"/>
    <cellStyle name="Normal 3 2 2 2 2 2 2 2 2 2 2 2 2 12 2 3 4" xfId="25735" xr:uid="{8E5BFE32-A503-48F8-B507-986704FA6A6A}"/>
    <cellStyle name="Normal 3 2 2 2 2 2 2 2 2 2 2 2 2 12 2 3 5" xfId="25736" xr:uid="{9D72C0A3-8FE9-415F-919B-F3AE525B8F58}"/>
    <cellStyle name="Normal 3 2 2 2 2 2 2 2 2 2 2 2 2 12 2 3 6" xfId="25737" xr:uid="{28E05A1F-0B45-4516-844B-24090223963C}"/>
    <cellStyle name="Normal 3 2 2 2 2 2 2 2 2 2 2 2 2 12 2 4" xfId="25738" xr:uid="{4F360544-268B-4F5F-8085-43D389A235E0}"/>
    <cellStyle name="Normal 3 2 2 2 2 2 2 2 2 2 2 2 2 12 2 5" xfId="25739" xr:uid="{0AD4850E-123A-4ACE-8C27-D700AAC073A9}"/>
    <cellStyle name="Normal 3 2 2 2 2 2 2 2 2 2 2 2 2 12 2 6" xfId="25740" xr:uid="{6C776430-ED28-42EF-81EC-757C6D95FCA2}"/>
    <cellStyle name="Normal 3 2 2 2 2 2 2 2 2 2 2 2 2 12 2 7" xfId="25741" xr:uid="{48F57D6C-C931-439A-8F48-94FD5987BCAD}"/>
    <cellStyle name="Normal 3 2 2 2 2 2 2 2 2 2 2 2 2 12 2 8" xfId="25742" xr:uid="{88178207-955C-4702-8CBB-7B31145D2515}"/>
    <cellStyle name="Normal 3 2 2 2 2 2 2 2 2 2 2 2 2 12 2 8 2" xfId="25743" xr:uid="{02319832-E4AD-49F0-85A5-7BCBE73DE371}"/>
    <cellStyle name="Normal 3 2 2 2 2 2 2 2 2 2 2 2 2 12 2 8 3" xfId="25744" xr:uid="{6FBC3F74-FD80-4E74-B24D-9E7B0E9C1C78}"/>
    <cellStyle name="Normal 3 2 2 2 2 2 2 2 2 2 2 2 2 12 2 8 4" xfId="25745" xr:uid="{AE8F07D3-482B-4A06-A1C9-43C6FE0ADCF3}"/>
    <cellStyle name="Normal 3 2 2 2 2 2 2 2 2 2 2 2 2 12 2 9" xfId="25746" xr:uid="{67C7FA7F-A263-45FC-97BE-69E3BA29FF83}"/>
    <cellStyle name="Normal 3 2 2 2 2 2 2 2 2 2 2 2 2 12 3" xfId="25747" xr:uid="{6A6AB519-6C30-4607-A24B-7CF69663F1FF}"/>
    <cellStyle name="Normal 3 2 2 2 2 2 2 2 2 2 2 2 2 12 4" xfId="25748" xr:uid="{12957625-6929-4993-BC52-D21049B89E8E}"/>
    <cellStyle name="Normal 3 2 2 2 2 2 2 2 2 2 2 2 2 12 5" xfId="25749" xr:uid="{4A944AC6-4AF8-46F6-A84C-9AE400DEFA45}"/>
    <cellStyle name="Normal 3 2 2 2 2 2 2 2 2 2 2 2 2 12 5 2" xfId="25750" xr:uid="{A0044D79-7FD9-4244-891C-58AFE13C3B68}"/>
    <cellStyle name="Normal 3 2 2 2 2 2 2 2 2 2 2 2 2 12 5 2 2" xfId="25751" xr:uid="{E9D45A3C-2301-4268-8F4F-37F5EF9A7281}"/>
    <cellStyle name="Normal 3 2 2 2 2 2 2 2 2 2 2 2 2 12 5 2 3" xfId="25752" xr:uid="{C16743AA-3360-44F3-AEC7-EBA26C475A41}"/>
    <cellStyle name="Normal 3 2 2 2 2 2 2 2 2 2 2 2 2 12 5 2 4" xfId="25753" xr:uid="{76950B96-E6B5-4859-9F82-8149D90251F9}"/>
    <cellStyle name="Normal 3 2 2 2 2 2 2 2 2 2 2 2 2 12 5 3" xfId="25754" xr:uid="{C6ABABDE-0FB8-4639-B21E-3795B9B19DDD}"/>
    <cellStyle name="Normal 3 2 2 2 2 2 2 2 2 2 2 2 2 12 5 4" xfId="25755" xr:uid="{15CCBA76-5EB9-4751-BAE9-6AAFDC5BD55F}"/>
    <cellStyle name="Normal 3 2 2 2 2 2 2 2 2 2 2 2 2 12 5 5" xfId="25756" xr:uid="{310DE0D1-5C34-4AA5-B969-10FCE0A21DB4}"/>
    <cellStyle name="Normal 3 2 2 2 2 2 2 2 2 2 2 2 2 12 5 6" xfId="25757" xr:uid="{195FA2D2-5F47-4264-93B6-342F984DD46D}"/>
    <cellStyle name="Normal 3 2 2 2 2 2 2 2 2 2 2 2 2 12 6" xfId="25758" xr:uid="{6C8DB4B3-167C-44A1-A441-81F2AEDC107A}"/>
    <cellStyle name="Normal 3 2 2 2 2 2 2 2 2 2 2 2 2 12 7" xfId="25759" xr:uid="{C5B2FC6A-E8F5-4D9A-80D3-09D633D75D6F}"/>
    <cellStyle name="Normal 3 2 2 2 2 2 2 2 2 2 2 2 2 12 8" xfId="25760" xr:uid="{D60A19AD-7AB9-4E4C-936C-C64588B640B0}"/>
    <cellStyle name="Normal 3 2 2 2 2 2 2 2 2 2 2 2 2 12 9" xfId="25761" xr:uid="{C460A492-4BA6-4A66-945C-93FF0DD5D61E}"/>
    <cellStyle name="Normal 3 2 2 2 2 2 2 2 2 2 2 2 2 13" xfId="25762" xr:uid="{0D681CE3-F4AA-4ED8-A575-30AC89277029}"/>
    <cellStyle name="Normal 3 2 2 2 2 2 2 2 2 2 2 2 2 14" xfId="25763" xr:uid="{C7A7C811-9494-4C5F-9747-49F240785C0C}"/>
    <cellStyle name="Normal 3 2 2 2 2 2 2 2 2 2 2 2 2 14 10" xfId="25764" xr:uid="{BA3E3249-3107-4A34-BDE8-97B692B2A961}"/>
    <cellStyle name="Normal 3 2 2 2 2 2 2 2 2 2 2 2 2 14 11" xfId="25765" xr:uid="{A830CD2D-7E87-41B2-BB3A-47EB75A737F6}"/>
    <cellStyle name="Normal 3 2 2 2 2 2 2 2 2 2 2 2 2 14 2" xfId="25766" xr:uid="{18EFA258-0E20-4D63-ADE0-5B0B2E99E9E4}"/>
    <cellStyle name="Normal 3 2 2 2 2 2 2 2 2 2 2 2 2 14 2 10" xfId="25767" xr:uid="{FC515596-DDEB-42B8-8B72-D02AC46B77CE}"/>
    <cellStyle name="Normal 3 2 2 2 2 2 2 2 2 2 2 2 2 14 2 11" xfId="25768" xr:uid="{C0A47F3C-4AB9-474C-AEAD-235318753438}"/>
    <cellStyle name="Normal 3 2 2 2 2 2 2 2 2 2 2 2 2 14 2 2" xfId="25769" xr:uid="{9AE6E220-767C-4CE5-819F-EDD000BFCAEA}"/>
    <cellStyle name="Normal 3 2 2 2 2 2 2 2 2 2 2 2 2 14 2 2 2" xfId="25770" xr:uid="{D08DACE6-088A-48FC-A222-3661DB37F57C}"/>
    <cellStyle name="Normal 3 2 2 2 2 2 2 2 2 2 2 2 2 14 2 2 2 2" xfId="25771" xr:uid="{25144884-FD24-400E-A1D2-1AEAE4FD6659}"/>
    <cellStyle name="Normal 3 2 2 2 2 2 2 2 2 2 2 2 2 14 2 2 2 3" xfId="25772" xr:uid="{B1A89642-457E-4F9A-999D-99485CED43D9}"/>
    <cellStyle name="Normal 3 2 2 2 2 2 2 2 2 2 2 2 2 14 2 2 2 4" xfId="25773" xr:uid="{B9B6559B-2F74-4DD3-8A8F-1E8C1F7B25A8}"/>
    <cellStyle name="Normal 3 2 2 2 2 2 2 2 2 2 2 2 2 14 2 2 3" xfId="25774" xr:uid="{C3CF3D24-73D3-43E7-88CC-09CE882F6A8D}"/>
    <cellStyle name="Normal 3 2 2 2 2 2 2 2 2 2 2 2 2 14 2 2 4" xfId="25775" xr:uid="{1A29E286-2AA1-4A0E-AF1A-AAA12181202F}"/>
    <cellStyle name="Normal 3 2 2 2 2 2 2 2 2 2 2 2 2 14 2 2 5" xfId="25776" xr:uid="{B7DB7553-9668-47E0-8E95-A3418B7A3798}"/>
    <cellStyle name="Normal 3 2 2 2 2 2 2 2 2 2 2 2 2 14 2 2 6" xfId="25777" xr:uid="{D97A9C47-552B-4160-8D5B-65806697374A}"/>
    <cellStyle name="Normal 3 2 2 2 2 2 2 2 2 2 2 2 2 14 2 3" xfId="25778" xr:uid="{467EE41E-61B7-4D87-AD9E-D5BB5B289448}"/>
    <cellStyle name="Normal 3 2 2 2 2 2 2 2 2 2 2 2 2 14 2 4" xfId="25779" xr:uid="{395A7A2D-7BFF-42DC-A21F-782E5307EFE5}"/>
    <cellStyle name="Normal 3 2 2 2 2 2 2 2 2 2 2 2 2 14 2 5" xfId="25780" xr:uid="{C58F2F92-E214-4B59-AECD-4F521CDFD2BD}"/>
    <cellStyle name="Normal 3 2 2 2 2 2 2 2 2 2 2 2 2 14 2 6" xfId="25781" xr:uid="{53BE1D89-8986-4A64-9735-64822AFDEAA1}"/>
    <cellStyle name="Normal 3 2 2 2 2 2 2 2 2 2 2 2 2 14 2 7" xfId="25782" xr:uid="{360BD991-793A-4F7D-8C8A-2E95520C9288}"/>
    <cellStyle name="Normal 3 2 2 2 2 2 2 2 2 2 2 2 2 14 2 8" xfId="25783" xr:uid="{084C70B6-E2E7-461B-AF55-BD229FB06636}"/>
    <cellStyle name="Normal 3 2 2 2 2 2 2 2 2 2 2 2 2 14 2 8 2" xfId="25784" xr:uid="{DCB5F9BD-E944-4374-969F-896C8133800D}"/>
    <cellStyle name="Normal 3 2 2 2 2 2 2 2 2 2 2 2 2 14 2 8 3" xfId="25785" xr:uid="{4F792F52-E998-4899-AF8A-E802337CCE52}"/>
    <cellStyle name="Normal 3 2 2 2 2 2 2 2 2 2 2 2 2 14 2 8 4" xfId="25786" xr:uid="{BD9B8442-51A4-4ED1-9012-345B3E18E2D1}"/>
    <cellStyle name="Normal 3 2 2 2 2 2 2 2 2 2 2 2 2 14 2 9" xfId="25787" xr:uid="{2F56364B-4986-4C16-80AF-4C5402C22CCD}"/>
    <cellStyle name="Normal 3 2 2 2 2 2 2 2 2 2 2 2 2 14 3" xfId="25788" xr:uid="{FDC9C544-8F6D-4FCE-BBED-DC07675BD08A}"/>
    <cellStyle name="Normal 3 2 2 2 2 2 2 2 2 2 2 2 2 14 3 2" xfId="25789" xr:uid="{D73E3483-2A1B-4A88-AF5E-B04C8D915C93}"/>
    <cellStyle name="Normal 3 2 2 2 2 2 2 2 2 2 2 2 2 14 3 2 2" xfId="25790" xr:uid="{9D28F9E7-A6B5-48EF-AC7F-4E50F1F90E3D}"/>
    <cellStyle name="Normal 3 2 2 2 2 2 2 2 2 2 2 2 2 14 3 2 3" xfId="25791" xr:uid="{5D959ED8-2EE1-4E60-A255-FE32B07D8330}"/>
    <cellStyle name="Normal 3 2 2 2 2 2 2 2 2 2 2 2 2 14 3 2 4" xfId="25792" xr:uid="{E55E628C-F81C-4125-B08D-9EE577D43C9A}"/>
    <cellStyle name="Normal 3 2 2 2 2 2 2 2 2 2 2 2 2 14 3 3" xfId="25793" xr:uid="{FE33B3F9-034A-4D1E-B8B5-D9A5D36297A9}"/>
    <cellStyle name="Normal 3 2 2 2 2 2 2 2 2 2 2 2 2 14 3 4" xfId="25794" xr:uid="{5A49915D-D7DC-4D89-B733-633D989445AF}"/>
    <cellStyle name="Normal 3 2 2 2 2 2 2 2 2 2 2 2 2 14 3 5" xfId="25795" xr:uid="{082A8269-73F3-4E63-898E-AF080D86CDFC}"/>
    <cellStyle name="Normal 3 2 2 2 2 2 2 2 2 2 2 2 2 14 3 6" xfId="25796" xr:uid="{0D4A9DEA-31CC-43A1-AE3D-731308AF37F8}"/>
    <cellStyle name="Normal 3 2 2 2 2 2 2 2 2 2 2 2 2 14 4" xfId="25797" xr:uid="{EF2A4D59-7800-4315-9FED-9D0207A91760}"/>
    <cellStyle name="Normal 3 2 2 2 2 2 2 2 2 2 2 2 2 14 5" xfId="25798" xr:uid="{2DFA4E00-3D64-4C9F-A144-E3EBBD360431}"/>
    <cellStyle name="Normal 3 2 2 2 2 2 2 2 2 2 2 2 2 14 6" xfId="25799" xr:uid="{CF695028-58B8-4A62-87BF-00BB58C8ACAA}"/>
    <cellStyle name="Normal 3 2 2 2 2 2 2 2 2 2 2 2 2 14 7" xfId="25800" xr:uid="{99EFDA74-E05C-4CD0-BB6A-BCAED821A87A}"/>
    <cellStyle name="Normal 3 2 2 2 2 2 2 2 2 2 2 2 2 14 8" xfId="25801" xr:uid="{1B40B2EA-9EA1-4F1E-8302-84C02E50A773}"/>
    <cellStyle name="Normal 3 2 2 2 2 2 2 2 2 2 2 2 2 14 8 2" xfId="25802" xr:uid="{0DC450DD-316A-4838-AD21-42BE04AD7633}"/>
    <cellStyle name="Normal 3 2 2 2 2 2 2 2 2 2 2 2 2 14 8 3" xfId="25803" xr:uid="{5FA30E71-A3BE-4484-988A-08D862F5A607}"/>
    <cellStyle name="Normal 3 2 2 2 2 2 2 2 2 2 2 2 2 14 8 4" xfId="25804" xr:uid="{B3C9BDBB-B4DE-4E26-A7AE-A2E1588791FF}"/>
    <cellStyle name="Normal 3 2 2 2 2 2 2 2 2 2 2 2 2 14 9" xfId="25805" xr:uid="{2C500ECD-6F98-4FF1-A6E6-11AD6B53E20F}"/>
    <cellStyle name="Normal 3 2 2 2 2 2 2 2 2 2 2 2 2 15" xfId="25806" xr:uid="{4A38EE74-451B-43B9-8F0E-4BDE02229524}"/>
    <cellStyle name="Normal 3 2 2 2 2 2 2 2 2 2 2 2 2 16" xfId="25807" xr:uid="{B924D532-2B00-4900-96DC-EFE922C53F93}"/>
    <cellStyle name="Normal 3 2 2 2 2 2 2 2 2 2 2 2 2 16 2" xfId="25808" xr:uid="{B02E8D63-0A10-4947-9489-605F5EFFB75A}"/>
    <cellStyle name="Normal 3 2 2 2 2 2 2 2 2 2 2 2 2 16 2 2" xfId="25809" xr:uid="{16351881-124A-42EF-BE69-C86D4B52C36C}"/>
    <cellStyle name="Normal 3 2 2 2 2 2 2 2 2 2 2 2 2 16 2 3" xfId="25810" xr:uid="{4CFAE4C6-8B4C-4860-A19C-8BB960630EE7}"/>
    <cellStyle name="Normal 3 2 2 2 2 2 2 2 2 2 2 2 2 16 2 4" xfId="25811" xr:uid="{5BC6A161-6BFD-4397-A428-FCF8A2F62B1F}"/>
    <cellStyle name="Normal 3 2 2 2 2 2 2 2 2 2 2 2 2 16 3" xfId="25812" xr:uid="{A17C7413-EB1E-4B1A-B1A5-9B20885E8051}"/>
    <cellStyle name="Normal 3 2 2 2 2 2 2 2 2 2 2 2 2 16 4" xfId="25813" xr:uid="{CF2CDB74-BB7A-41F4-A1C7-EB50025D8EBF}"/>
    <cellStyle name="Normal 3 2 2 2 2 2 2 2 2 2 2 2 2 16 5" xfId="25814" xr:uid="{9749976C-3F8C-49DC-B3D2-026FA381F675}"/>
    <cellStyle name="Normal 3 2 2 2 2 2 2 2 2 2 2 2 2 16 6" xfId="25815" xr:uid="{E534ADB0-BA64-403B-92A8-85349BC19A31}"/>
    <cellStyle name="Normal 3 2 2 2 2 2 2 2 2 2 2 2 2 17" xfId="25816" xr:uid="{267AFDE8-494F-48D7-9F1A-13686E7C6CAB}"/>
    <cellStyle name="Normal 3 2 2 2 2 2 2 2 2 2 2 2 2 18" xfId="25817" xr:uid="{9BA61E5B-425F-405C-BA16-AFCB065BA35F}"/>
    <cellStyle name="Normal 3 2 2 2 2 2 2 2 2 2 2 2 2 19" xfId="25818" xr:uid="{10111019-C46E-44B7-A68A-B8BCCE7BDE89}"/>
    <cellStyle name="Normal 3 2 2 2 2 2 2 2 2 2 2 2 2 2" xfId="25819" xr:uid="{9B617F4F-DBF6-456D-8BB1-6F7E608E0BB6}"/>
    <cellStyle name="Normal 3 2 2 2 2 2 2 2 2 2 2 2 2 2 10" xfId="25820" xr:uid="{8E5CE179-19FE-4433-AE4A-81C358C95814}"/>
    <cellStyle name="Normal 3 2 2 2 2 2 2 2 2 2 2 2 2 2 11" xfId="25821" xr:uid="{0DF90FD8-660C-4FD3-B1DD-CDDC353B3338}"/>
    <cellStyle name="Normal 3 2 2 2 2 2 2 2 2 2 2 2 2 2 11 10" xfId="25822" xr:uid="{B676322C-8ADD-42F3-82D0-A17E110E6425}"/>
    <cellStyle name="Normal 3 2 2 2 2 2 2 2 2 2 2 2 2 2 11 11" xfId="25823" xr:uid="{257B61EC-A9D7-417D-9393-000A085E07C1}"/>
    <cellStyle name="Normal 3 2 2 2 2 2 2 2 2 2 2 2 2 2 11 11 2" xfId="25824" xr:uid="{BD48C3B1-A636-4FD8-B1EF-59551AD7EE04}"/>
    <cellStyle name="Normal 3 2 2 2 2 2 2 2 2 2 2 2 2 2 11 11 3" xfId="25825" xr:uid="{960001BE-8198-43DB-9070-5A68326F359D}"/>
    <cellStyle name="Normal 3 2 2 2 2 2 2 2 2 2 2 2 2 2 11 11 4" xfId="25826" xr:uid="{F04AA8B3-EC60-422A-A846-203D5392F657}"/>
    <cellStyle name="Normal 3 2 2 2 2 2 2 2 2 2 2 2 2 2 11 12" xfId="25827" xr:uid="{833F14DB-1341-403D-AF2B-63B7EDAC8F38}"/>
    <cellStyle name="Normal 3 2 2 2 2 2 2 2 2 2 2 2 2 2 11 13" xfId="25828" xr:uid="{6FE00838-BFA7-44AB-A066-EA68D7F5DE29}"/>
    <cellStyle name="Normal 3 2 2 2 2 2 2 2 2 2 2 2 2 2 11 14" xfId="25829" xr:uid="{E2F35711-5100-4E0A-AE03-D24F08A9F85E}"/>
    <cellStyle name="Normal 3 2 2 2 2 2 2 2 2 2 2 2 2 2 11 2" xfId="25830" xr:uid="{BA02535E-E4A5-4F61-A9BA-E55FF540A63C}"/>
    <cellStyle name="Normal 3 2 2 2 2 2 2 2 2 2 2 2 2 2 11 2 10" xfId="25831" xr:uid="{30C779B1-CF5B-4B68-ADAD-EDCB8367604C}"/>
    <cellStyle name="Normal 3 2 2 2 2 2 2 2 2 2 2 2 2 2 11 2 11" xfId="25832" xr:uid="{F3678B4B-64FD-4C94-8C02-C4E805EF90BE}"/>
    <cellStyle name="Normal 3 2 2 2 2 2 2 2 2 2 2 2 2 2 11 2 2" xfId="25833" xr:uid="{2B34D287-91E7-4024-A3A3-61C007682D08}"/>
    <cellStyle name="Normal 3 2 2 2 2 2 2 2 2 2 2 2 2 2 11 2 2 10" xfId="25834" xr:uid="{F52014A1-0322-4C1E-AB63-563D38079670}"/>
    <cellStyle name="Normal 3 2 2 2 2 2 2 2 2 2 2 2 2 2 11 2 2 11" xfId="25835" xr:uid="{40355CEB-73D8-43F6-93C0-37235DACD3F8}"/>
    <cellStyle name="Normal 3 2 2 2 2 2 2 2 2 2 2 2 2 2 11 2 2 2" xfId="25836" xr:uid="{37C3E846-6990-44F1-8C0E-AA17C90D1503}"/>
    <cellStyle name="Normal 3 2 2 2 2 2 2 2 2 2 2 2 2 2 11 2 2 2 2" xfId="25837" xr:uid="{196BEBE5-122F-4C59-841D-3AA24E77125F}"/>
    <cellStyle name="Normal 3 2 2 2 2 2 2 2 2 2 2 2 2 2 11 2 2 2 2 2" xfId="25838" xr:uid="{550CA939-153E-4030-A487-A97981EA70C4}"/>
    <cellStyle name="Normal 3 2 2 2 2 2 2 2 2 2 2 2 2 2 11 2 2 2 2 3" xfId="25839" xr:uid="{5E575B09-F7A5-4C68-BC7B-B8B950184320}"/>
    <cellStyle name="Normal 3 2 2 2 2 2 2 2 2 2 2 2 2 2 11 2 2 2 2 4" xfId="25840" xr:uid="{93CC055C-6523-4EE7-9E62-EF0E80FA1010}"/>
    <cellStyle name="Normal 3 2 2 2 2 2 2 2 2 2 2 2 2 2 11 2 2 2 3" xfId="25841" xr:uid="{50B9A84A-B298-4560-AD03-0AC04373820F}"/>
    <cellStyle name="Normal 3 2 2 2 2 2 2 2 2 2 2 2 2 2 11 2 2 2 4" xfId="25842" xr:uid="{A0300D4C-A001-4EAE-94CC-66D4367A96F2}"/>
    <cellStyle name="Normal 3 2 2 2 2 2 2 2 2 2 2 2 2 2 11 2 2 2 5" xfId="25843" xr:uid="{1A40F081-7AE9-49C8-ABB9-87893283D236}"/>
    <cellStyle name="Normal 3 2 2 2 2 2 2 2 2 2 2 2 2 2 11 2 2 2 6" xfId="25844" xr:uid="{411AB837-FF06-4912-815C-838B80974876}"/>
    <cellStyle name="Normal 3 2 2 2 2 2 2 2 2 2 2 2 2 2 11 2 2 3" xfId="25845" xr:uid="{6EE9203F-0CAA-486F-A4D7-E3285C711775}"/>
    <cellStyle name="Normal 3 2 2 2 2 2 2 2 2 2 2 2 2 2 11 2 2 4" xfId="25846" xr:uid="{A6B53588-D2EB-4800-A3F9-86051117C3C4}"/>
    <cellStyle name="Normal 3 2 2 2 2 2 2 2 2 2 2 2 2 2 11 2 2 5" xfId="25847" xr:uid="{E8FB0FE5-BFF8-4553-BB3F-08BD12A635E2}"/>
    <cellStyle name="Normal 3 2 2 2 2 2 2 2 2 2 2 2 2 2 11 2 2 6" xfId="25848" xr:uid="{49887466-D936-4127-BFD8-A83E7CF2F74F}"/>
    <cellStyle name="Normal 3 2 2 2 2 2 2 2 2 2 2 2 2 2 11 2 2 7" xfId="25849" xr:uid="{FCD34A71-6A0A-43EF-BAE7-77EAE0A610AD}"/>
    <cellStyle name="Normal 3 2 2 2 2 2 2 2 2 2 2 2 2 2 11 2 2 8" xfId="25850" xr:uid="{41B63F9B-00F5-401A-94BE-2E4799EAADBC}"/>
    <cellStyle name="Normal 3 2 2 2 2 2 2 2 2 2 2 2 2 2 11 2 2 8 2" xfId="25851" xr:uid="{452CCD6E-B773-48E6-9540-3E0206C5FD94}"/>
    <cellStyle name="Normal 3 2 2 2 2 2 2 2 2 2 2 2 2 2 11 2 2 8 3" xfId="25852" xr:uid="{F8ACD5BE-2738-4D32-85E2-A9C2B39D8928}"/>
    <cellStyle name="Normal 3 2 2 2 2 2 2 2 2 2 2 2 2 2 11 2 2 8 4" xfId="25853" xr:uid="{0C2BD01E-3A69-43F4-A932-3141CDC5CDF8}"/>
    <cellStyle name="Normal 3 2 2 2 2 2 2 2 2 2 2 2 2 2 11 2 2 9" xfId="25854" xr:uid="{C9350409-13D3-4978-9530-1258DA3D4B2D}"/>
    <cellStyle name="Normal 3 2 2 2 2 2 2 2 2 2 2 2 2 2 11 2 3" xfId="25855" xr:uid="{9D7D407A-24A6-4A48-BCED-9245214CF5E9}"/>
    <cellStyle name="Normal 3 2 2 2 2 2 2 2 2 2 2 2 2 2 11 2 3 2" xfId="25856" xr:uid="{319CA863-9D5B-4EA0-8C02-C8ED7830A69B}"/>
    <cellStyle name="Normal 3 2 2 2 2 2 2 2 2 2 2 2 2 2 11 2 3 2 2" xfId="25857" xr:uid="{26A40864-C84C-43A5-A90A-493F1B985711}"/>
    <cellStyle name="Normal 3 2 2 2 2 2 2 2 2 2 2 2 2 2 11 2 3 2 3" xfId="25858" xr:uid="{E387B9DE-1B85-4637-89F4-36F4CCBFF803}"/>
    <cellStyle name="Normal 3 2 2 2 2 2 2 2 2 2 2 2 2 2 11 2 3 2 4" xfId="25859" xr:uid="{C9494D27-2CA8-4927-A681-63A25F8ABE32}"/>
    <cellStyle name="Normal 3 2 2 2 2 2 2 2 2 2 2 2 2 2 11 2 3 3" xfId="25860" xr:uid="{845BD240-5400-44A6-A071-36A45E22AEA2}"/>
    <cellStyle name="Normal 3 2 2 2 2 2 2 2 2 2 2 2 2 2 11 2 3 4" xfId="25861" xr:uid="{1AA1BBC4-447A-416F-80C4-F910FFC2666F}"/>
    <cellStyle name="Normal 3 2 2 2 2 2 2 2 2 2 2 2 2 2 11 2 3 5" xfId="25862" xr:uid="{D0F2436F-C6AD-4789-B997-331D2D2AF24C}"/>
    <cellStyle name="Normal 3 2 2 2 2 2 2 2 2 2 2 2 2 2 11 2 3 6" xfId="25863" xr:uid="{C24702DA-04D2-4D93-ACC7-9D99D72C9922}"/>
    <cellStyle name="Normal 3 2 2 2 2 2 2 2 2 2 2 2 2 2 11 2 4" xfId="25864" xr:uid="{A5A76337-4E73-4D32-A42C-F004D2A203AB}"/>
    <cellStyle name="Normal 3 2 2 2 2 2 2 2 2 2 2 2 2 2 11 2 5" xfId="25865" xr:uid="{3990A97C-83C6-449C-96A1-8983B33ACF64}"/>
    <cellStyle name="Normal 3 2 2 2 2 2 2 2 2 2 2 2 2 2 11 2 6" xfId="25866" xr:uid="{47698E36-C198-4B0F-9B6A-3618A617C4BC}"/>
    <cellStyle name="Normal 3 2 2 2 2 2 2 2 2 2 2 2 2 2 11 2 7" xfId="25867" xr:uid="{B393A214-AFF4-4EB1-A1FA-6ADC3E8419BD}"/>
    <cellStyle name="Normal 3 2 2 2 2 2 2 2 2 2 2 2 2 2 11 2 8" xfId="25868" xr:uid="{514C969A-5DDD-4C7F-BC18-7DEA2029D1A9}"/>
    <cellStyle name="Normal 3 2 2 2 2 2 2 2 2 2 2 2 2 2 11 2 8 2" xfId="25869" xr:uid="{829959ED-E427-483D-A105-02B2E021B645}"/>
    <cellStyle name="Normal 3 2 2 2 2 2 2 2 2 2 2 2 2 2 11 2 8 3" xfId="25870" xr:uid="{54F9782D-57A3-41FE-90B7-24DBA2E491B4}"/>
    <cellStyle name="Normal 3 2 2 2 2 2 2 2 2 2 2 2 2 2 11 2 8 4" xfId="25871" xr:uid="{373AB3C0-BC1A-42CF-A8F4-863B85FBEA00}"/>
    <cellStyle name="Normal 3 2 2 2 2 2 2 2 2 2 2 2 2 2 11 2 9" xfId="25872" xr:uid="{14E6B99E-14E6-4D27-85E0-0BAF2329C13F}"/>
    <cellStyle name="Normal 3 2 2 2 2 2 2 2 2 2 2 2 2 2 11 3" xfId="25873" xr:uid="{38F66CBD-1CCA-4493-8165-8A3897B403CE}"/>
    <cellStyle name="Normal 3 2 2 2 2 2 2 2 2 2 2 2 2 2 11 4" xfId="25874" xr:uid="{B83386DF-38CD-4D36-9C01-146754A4C59F}"/>
    <cellStyle name="Normal 3 2 2 2 2 2 2 2 2 2 2 2 2 2 11 5" xfId="25875" xr:uid="{892FE175-2862-4EF7-A62A-83A5A1268C1A}"/>
    <cellStyle name="Normal 3 2 2 2 2 2 2 2 2 2 2 2 2 2 11 5 2" xfId="25876" xr:uid="{3388A9FD-669C-4574-8F01-ABEC79797D43}"/>
    <cellStyle name="Normal 3 2 2 2 2 2 2 2 2 2 2 2 2 2 11 5 2 2" xfId="25877" xr:uid="{653B144B-6FCE-4A60-B505-832ADA76A7D5}"/>
    <cellStyle name="Normal 3 2 2 2 2 2 2 2 2 2 2 2 2 2 11 5 2 3" xfId="25878" xr:uid="{DE3FB117-EC55-415E-AF9B-3D4A2B5933BB}"/>
    <cellStyle name="Normal 3 2 2 2 2 2 2 2 2 2 2 2 2 2 11 5 2 4" xfId="25879" xr:uid="{B4B646CE-19BF-4341-86E1-B3B94937E765}"/>
    <cellStyle name="Normal 3 2 2 2 2 2 2 2 2 2 2 2 2 2 11 5 3" xfId="25880" xr:uid="{D8D1E639-7DF9-4057-A28C-99D6BF2509F6}"/>
    <cellStyle name="Normal 3 2 2 2 2 2 2 2 2 2 2 2 2 2 11 5 4" xfId="25881" xr:uid="{75FD2C2B-4D4D-495E-8238-0214015119E5}"/>
    <cellStyle name="Normal 3 2 2 2 2 2 2 2 2 2 2 2 2 2 11 5 5" xfId="25882" xr:uid="{A3D132B7-CE4A-4221-BD93-D28894D8B87B}"/>
    <cellStyle name="Normal 3 2 2 2 2 2 2 2 2 2 2 2 2 2 11 5 6" xfId="25883" xr:uid="{CE3B2335-4157-4500-83E7-7B6865FCD4E3}"/>
    <cellStyle name="Normal 3 2 2 2 2 2 2 2 2 2 2 2 2 2 11 6" xfId="25884" xr:uid="{A924721E-847A-4778-93EF-2D317EFBA641}"/>
    <cellStyle name="Normal 3 2 2 2 2 2 2 2 2 2 2 2 2 2 11 7" xfId="25885" xr:uid="{6B994949-089D-4A8F-8D07-C4B31AC3793D}"/>
    <cellStyle name="Normal 3 2 2 2 2 2 2 2 2 2 2 2 2 2 11 8" xfId="25886" xr:uid="{7B673539-5041-427A-8A2B-20C2FF05AE67}"/>
    <cellStyle name="Normal 3 2 2 2 2 2 2 2 2 2 2 2 2 2 11 9" xfId="25887" xr:uid="{4F53292E-1BB1-411F-ACB8-B4796CE00302}"/>
    <cellStyle name="Normal 3 2 2 2 2 2 2 2 2 2 2 2 2 2 12" xfId="25888" xr:uid="{8E84F223-620C-40E6-991E-4A2FACE89683}"/>
    <cellStyle name="Normal 3 2 2 2 2 2 2 2 2 2 2 2 2 2 13" xfId="25889" xr:uid="{66B40D72-6260-4F22-A85A-83BE3970E7FF}"/>
    <cellStyle name="Normal 3 2 2 2 2 2 2 2 2 2 2 2 2 2 13 10" xfId="25890" xr:uid="{2F987E60-728A-4A78-90D4-255F42C6596C}"/>
    <cellStyle name="Normal 3 2 2 2 2 2 2 2 2 2 2 2 2 2 13 11" xfId="25891" xr:uid="{7A03B84F-5F6D-4493-A3B2-CE5A9C23C001}"/>
    <cellStyle name="Normal 3 2 2 2 2 2 2 2 2 2 2 2 2 2 13 2" xfId="25892" xr:uid="{04314A25-0337-4EF8-959A-DB7E730EFDF4}"/>
    <cellStyle name="Normal 3 2 2 2 2 2 2 2 2 2 2 2 2 2 13 2 10" xfId="25893" xr:uid="{63468E3E-2D39-470F-8B5F-285A038190C9}"/>
    <cellStyle name="Normal 3 2 2 2 2 2 2 2 2 2 2 2 2 2 13 2 11" xfId="25894" xr:uid="{B4D7AC94-AD1D-4815-9150-954B64787453}"/>
    <cellStyle name="Normal 3 2 2 2 2 2 2 2 2 2 2 2 2 2 13 2 2" xfId="25895" xr:uid="{7791267A-1F97-45FC-95F9-E6FAB7F6E99F}"/>
    <cellStyle name="Normal 3 2 2 2 2 2 2 2 2 2 2 2 2 2 13 2 2 2" xfId="25896" xr:uid="{0F9ED001-FC16-4815-890C-7BC576F80EED}"/>
    <cellStyle name="Normal 3 2 2 2 2 2 2 2 2 2 2 2 2 2 13 2 2 2 2" xfId="25897" xr:uid="{2F7CF6B2-C83D-4E00-B9C9-4908B0A81FD2}"/>
    <cellStyle name="Normal 3 2 2 2 2 2 2 2 2 2 2 2 2 2 13 2 2 2 3" xfId="25898" xr:uid="{40A611F1-9090-4F7F-8A4E-17ECC2A401AA}"/>
    <cellStyle name="Normal 3 2 2 2 2 2 2 2 2 2 2 2 2 2 13 2 2 2 4" xfId="25899" xr:uid="{7A84B212-DD3F-4A27-9986-BF3741B59038}"/>
    <cellStyle name="Normal 3 2 2 2 2 2 2 2 2 2 2 2 2 2 13 2 2 3" xfId="25900" xr:uid="{72A31923-EA9D-4DD4-9B54-2ACC234E5CF7}"/>
    <cellStyle name="Normal 3 2 2 2 2 2 2 2 2 2 2 2 2 2 13 2 2 4" xfId="25901" xr:uid="{FB11227F-55EF-4655-AEF0-6549C747C2A2}"/>
    <cellStyle name="Normal 3 2 2 2 2 2 2 2 2 2 2 2 2 2 13 2 2 5" xfId="25902" xr:uid="{1F86BA94-8693-4B72-BA51-B072A2F09210}"/>
    <cellStyle name="Normal 3 2 2 2 2 2 2 2 2 2 2 2 2 2 13 2 2 6" xfId="25903" xr:uid="{525DBA59-204D-4B62-852E-B842E854F000}"/>
    <cellStyle name="Normal 3 2 2 2 2 2 2 2 2 2 2 2 2 2 13 2 3" xfId="25904" xr:uid="{11ED2BA4-E01F-456B-84B1-FA2746D79210}"/>
    <cellStyle name="Normal 3 2 2 2 2 2 2 2 2 2 2 2 2 2 13 2 4" xfId="25905" xr:uid="{F79EE0B8-B690-44CB-86FD-2E094F27BDD6}"/>
    <cellStyle name="Normal 3 2 2 2 2 2 2 2 2 2 2 2 2 2 13 2 5" xfId="25906" xr:uid="{9B4EB3B9-73E5-41A9-B6F0-556CCA8BD95D}"/>
    <cellStyle name="Normal 3 2 2 2 2 2 2 2 2 2 2 2 2 2 13 2 6" xfId="25907" xr:uid="{856C1CDD-283F-4895-8B7F-FA0E5D42F51B}"/>
    <cellStyle name="Normal 3 2 2 2 2 2 2 2 2 2 2 2 2 2 13 2 7" xfId="25908" xr:uid="{1D7EBCAB-3C5E-42D3-BE2B-42C4EF9C6EDA}"/>
    <cellStyle name="Normal 3 2 2 2 2 2 2 2 2 2 2 2 2 2 13 2 8" xfId="25909" xr:uid="{982107BA-B8AA-428E-820F-7E43A051A46F}"/>
    <cellStyle name="Normal 3 2 2 2 2 2 2 2 2 2 2 2 2 2 13 2 8 2" xfId="25910" xr:uid="{266BEE4C-B2BA-4B4D-B560-EA6DDD61E30F}"/>
    <cellStyle name="Normal 3 2 2 2 2 2 2 2 2 2 2 2 2 2 13 2 8 3" xfId="25911" xr:uid="{2BD1D9C6-F02B-4A2A-AB44-B008F7A5E52D}"/>
    <cellStyle name="Normal 3 2 2 2 2 2 2 2 2 2 2 2 2 2 13 2 8 4" xfId="25912" xr:uid="{1E975A3B-DF93-492F-91C0-AE333ABB0E99}"/>
    <cellStyle name="Normal 3 2 2 2 2 2 2 2 2 2 2 2 2 2 13 2 9" xfId="25913" xr:uid="{81071544-6A5C-4675-A088-36A1F26F6E70}"/>
    <cellStyle name="Normal 3 2 2 2 2 2 2 2 2 2 2 2 2 2 13 3" xfId="25914" xr:uid="{39C215B0-9A9C-4C4D-A4E1-635DC5E5B1E2}"/>
    <cellStyle name="Normal 3 2 2 2 2 2 2 2 2 2 2 2 2 2 13 3 2" xfId="25915" xr:uid="{F238E8D4-161C-4082-9FF5-1E3B17C42AEB}"/>
    <cellStyle name="Normal 3 2 2 2 2 2 2 2 2 2 2 2 2 2 13 3 2 2" xfId="25916" xr:uid="{BF52A877-03F3-4EDC-BF32-F7AF2CA1C190}"/>
    <cellStyle name="Normal 3 2 2 2 2 2 2 2 2 2 2 2 2 2 13 3 2 3" xfId="25917" xr:uid="{9C20E75E-D5EE-4837-9633-B389C6446E1D}"/>
    <cellStyle name="Normal 3 2 2 2 2 2 2 2 2 2 2 2 2 2 13 3 2 4" xfId="25918" xr:uid="{F9340E17-B52A-461F-A258-4D4D6A53DAFF}"/>
    <cellStyle name="Normal 3 2 2 2 2 2 2 2 2 2 2 2 2 2 13 3 3" xfId="25919" xr:uid="{099E7ECD-117C-4952-A45D-4FE1F3B41E2A}"/>
    <cellStyle name="Normal 3 2 2 2 2 2 2 2 2 2 2 2 2 2 13 3 4" xfId="25920" xr:uid="{E23634A0-A27E-4C3F-9F20-B878B0C38F4B}"/>
    <cellStyle name="Normal 3 2 2 2 2 2 2 2 2 2 2 2 2 2 13 3 5" xfId="25921" xr:uid="{9920BF5D-AF3C-43F6-A3A3-7E926351CB05}"/>
    <cellStyle name="Normal 3 2 2 2 2 2 2 2 2 2 2 2 2 2 13 3 6" xfId="25922" xr:uid="{87E2DDB5-718D-45FC-B092-556D528DC633}"/>
    <cellStyle name="Normal 3 2 2 2 2 2 2 2 2 2 2 2 2 2 13 4" xfId="25923" xr:uid="{F3D8B5FE-F8EE-4F89-847C-BF681E70C482}"/>
    <cellStyle name="Normal 3 2 2 2 2 2 2 2 2 2 2 2 2 2 13 5" xfId="25924" xr:uid="{C7BD24C9-7BFD-4AE2-A3FD-25D79705D99D}"/>
    <cellStyle name="Normal 3 2 2 2 2 2 2 2 2 2 2 2 2 2 13 6" xfId="25925" xr:uid="{35772205-2577-4F5C-8D01-15D9CDABD7D0}"/>
    <cellStyle name="Normal 3 2 2 2 2 2 2 2 2 2 2 2 2 2 13 7" xfId="25926" xr:uid="{FA853ECC-F6A5-4A2E-BFBC-2D71E4B29BD5}"/>
    <cellStyle name="Normal 3 2 2 2 2 2 2 2 2 2 2 2 2 2 13 8" xfId="25927" xr:uid="{686FF91D-1B6B-4A3B-9508-C4F2B337113B}"/>
    <cellStyle name="Normal 3 2 2 2 2 2 2 2 2 2 2 2 2 2 13 8 2" xfId="25928" xr:uid="{6D519876-DF36-4F8E-BA5C-57575E47C613}"/>
    <cellStyle name="Normal 3 2 2 2 2 2 2 2 2 2 2 2 2 2 13 8 3" xfId="25929" xr:uid="{E03E0F88-071B-4357-9D2A-B8E0269D7F6B}"/>
    <cellStyle name="Normal 3 2 2 2 2 2 2 2 2 2 2 2 2 2 13 8 4" xfId="25930" xr:uid="{F030EE26-F1D9-4365-9E4A-7BD23B39E270}"/>
    <cellStyle name="Normal 3 2 2 2 2 2 2 2 2 2 2 2 2 2 13 9" xfId="25931" xr:uid="{85C80584-CA72-4E0B-BB43-C81FA0CC478D}"/>
    <cellStyle name="Normal 3 2 2 2 2 2 2 2 2 2 2 2 2 2 14" xfId="25932" xr:uid="{3C0500BB-6015-4E81-8546-096B9604B1A6}"/>
    <cellStyle name="Normal 3 2 2 2 2 2 2 2 2 2 2 2 2 2 15" xfId="25933" xr:uid="{DFCE7906-542C-4896-A578-10F6F083BA7E}"/>
    <cellStyle name="Normal 3 2 2 2 2 2 2 2 2 2 2 2 2 2 15 2" xfId="25934" xr:uid="{59D307AE-E942-44EC-9590-AF34E7E99BAC}"/>
    <cellStyle name="Normal 3 2 2 2 2 2 2 2 2 2 2 2 2 2 15 2 2" xfId="25935" xr:uid="{971AD8B2-7D65-42E8-B461-D11792920DC3}"/>
    <cellStyle name="Normal 3 2 2 2 2 2 2 2 2 2 2 2 2 2 15 2 3" xfId="25936" xr:uid="{B1BAE075-9F34-4793-9FAF-B4BF2476AAC9}"/>
    <cellStyle name="Normal 3 2 2 2 2 2 2 2 2 2 2 2 2 2 15 2 4" xfId="25937" xr:uid="{B102A1D3-E713-46D0-85AC-64847E43BB5A}"/>
    <cellStyle name="Normal 3 2 2 2 2 2 2 2 2 2 2 2 2 2 15 3" xfId="25938" xr:uid="{5C458C15-B000-4392-A936-2C82FB98C4D3}"/>
    <cellStyle name="Normal 3 2 2 2 2 2 2 2 2 2 2 2 2 2 15 4" xfId="25939" xr:uid="{02DB1F7C-2A3E-4F9E-9313-DAC940FCABA9}"/>
    <cellStyle name="Normal 3 2 2 2 2 2 2 2 2 2 2 2 2 2 15 5" xfId="25940" xr:uid="{B01B0180-27F7-4CE7-A807-9CD2353CA914}"/>
    <cellStyle name="Normal 3 2 2 2 2 2 2 2 2 2 2 2 2 2 15 6" xfId="25941" xr:uid="{8FC87047-D4A1-4068-8AA8-06D5A28C27F9}"/>
    <cellStyle name="Normal 3 2 2 2 2 2 2 2 2 2 2 2 2 2 16" xfId="25942" xr:uid="{6A0BD20A-306E-4B20-875B-C2C6C51C7F0E}"/>
    <cellStyle name="Normal 3 2 2 2 2 2 2 2 2 2 2 2 2 2 17" xfId="25943" xr:uid="{676D99F9-C750-4845-A432-D8DFA90C03A8}"/>
    <cellStyle name="Normal 3 2 2 2 2 2 2 2 2 2 2 2 2 2 18" xfId="25944" xr:uid="{6718737F-5D28-42DE-B7F2-44175984BD07}"/>
    <cellStyle name="Normal 3 2 2 2 2 2 2 2 2 2 2 2 2 2 19" xfId="25945" xr:uid="{148C9115-5A14-4D2C-B9F4-4D56F35BC25B}"/>
    <cellStyle name="Normal 3 2 2 2 2 2 2 2 2 2 2 2 2 2 2" xfId="25946" xr:uid="{5B411775-E834-403E-8A79-F1D92CDF1167}"/>
    <cellStyle name="Normal 3 2 2 2 2 2 2 2 2 2 2 2 2 2 2 10" xfId="25947" xr:uid="{C3191573-F104-469B-A604-3DF0D5187B32}"/>
    <cellStyle name="Normal 3 2 2 2 2 2 2 2 2 2 2 2 2 2 2 11" xfId="25948" xr:uid="{40D40ED1-2995-4C34-BC28-7619E7EC2BA6}"/>
    <cellStyle name="Normal 3 2 2 2 2 2 2 2 2 2 2 2 2 2 2 12" xfId="25949" xr:uid="{78C490D5-D3CA-4274-8984-C61A7FF55B53}"/>
    <cellStyle name="Normal 3 2 2 2 2 2 2 2 2 2 2 2 2 2 2 13" xfId="25950" xr:uid="{EDCB424D-88DA-4ABD-87A2-6326FC3AB227}"/>
    <cellStyle name="Normal 3 2 2 2 2 2 2 2 2 2 2 2 2 2 2 13 2" xfId="25951" xr:uid="{D25DC62B-1D66-4BC8-8577-5895CBBB519C}"/>
    <cellStyle name="Normal 3 2 2 2 2 2 2 2 2 2 2 2 2 2 2 13 3" xfId="25952" xr:uid="{2E37CD8E-3BFC-49CA-B4DA-0FE088E3ECA6}"/>
    <cellStyle name="Normal 3 2 2 2 2 2 2 2 2 2 2 2 2 2 2 13 4" xfId="25953" xr:uid="{3247368C-61F9-4C06-9D8E-988B0B647A3D}"/>
    <cellStyle name="Normal 3 2 2 2 2 2 2 2 2 2 2 2 2 2 2 14" xfId="25954" xr:uid="{255AB42E-CEE2-4162-B345-61F4EFAAB1D0}"/>
    <cellStyle name="Normal 3 2 2 2 2 2 2 2 2 2 2 2 2 2 2 15" xfId="25955" xr:uid="{8B6B28FD-8D77-4613-9972-E37ED96F7AD2}"/>
    <cellStyle name="Normal 3 2 2 2 2 2 2 2 2 2 2 2 2 2 2 16" xfId="25956" xr:uid="{0B637AED-F84C-4AA3-96A1-15B01E8D5ED1}"/>
    <cellStyle name="Normal 3 2 2 2 2 2 2 2 2 2 2 2 2 2 2 17" xfId="25957" xr:uid="{81B644DE-4ED0-4034-9A76-564555DA06A7}"/>
    <cellStyle name="Normal 3 2 2 2 2 2 2 2 2 2 2 2 2 2 2 18" xfId="25958" xr:uid="{E096B957-C554-490D-8BBE-F363B9F146EC}"/>
    <cellStyle name="Normal 3 2 2 2 2 2 2 2 2 2 2 2 2 2 2 19" xfId="25959" xr:uid="{62FD2D55-3C88-4CCC-9AA2-F126DE2D305D}"/>
    <cellStyle name="Normal 3 2 2 2 2 2 2 2 2 2 2 2 2 2 2 2" xfId="25960" xr:uid="{B82977EF-176A-4AD1-A488-82BD4A5663EF}"/>
    <cellStyle name="Normal 3 2 2 2 2 2 2 2 2 2 2 2 2 2 2 2 10" xfId="25961" xr:uid="{D5434290-2C4B-4BE5-88FF-6DAC3AD42EA2}"/>
    <cellStyle name="Normal 3 2 2 2 2 2 2 2 2 2 2 2 2 2 2 2 11" xfId="25962" xr:uid="{6CBB5401-209A-4F86-9275-799370992225}"/>
    <cellStyle name="Normal 3 2 2 2 2 2 2 2 2 2 2 2 2 2 2 2 11 2" xfId="25963" xr:uid="{DD2A9696-0566-4368-8D4B-B3B4C44DFA36}"/>
    <cellStyle name="Normal 3 2 2 2 2 2 2 2 2 2 2 2 2 2 2 2 11 3" xfId="25964" xr:uid="{FCC67B5D-9BD6-4E89-8CFC-54365D8AA3CE}"/>
    <cellStyle name="Normal 3 2 2 2 2 2 2 2 2 2 2 2 2 2 2 2 11 4" xfId="25965" xr:uid="{86C2F916-30D2-4640-8B7E-AB69A9BAAD7E}"/>
    <cellStyle name="Normal 3 2 2 2 2 2 2 2 2 2 2 2 2 2 2 2 12" xfId="25966" xr:uid="{B1C0AFDC-8ACD-40BC-BA6B-109B5A994401}"/>
    <cellStyle name="Normal 3 2 2 2 2 2 2 2 2 2 2 2 2 2 2 2 13" xfId="25967" xr:uid="{1B48B747-F736-4D13-B002-12FE32C4737E}"/>
    <cellStyle name="Normal 3 2 2 2 2 2 2 2 2 2 2 2 2 2 2 2 14" xfId="25968" xr:uid="{358A4960-61EB-4D34-A336-983133ECC03D}"/>
    <cellStyle name="Normal 3 2 2 2 2 2 2 2 2 2 2 2 2 2 2 2 15" xfId="25969" xr:uid="{EC54EDD6-5178-4D47-9A3B-6F459BD0C901}"/>
    <cellStyle name="Normal 3 2 2 2 2 2 2 2 2 2 2 2 2 2 2 2 16" xfId="25970" xr:uid="{4D909EFB-3CF4-48A6-ACC8-B30A3451208A}"/>
    <cellStyle name="Normal 3 2 2 2 2 2 2 2 2 2 2 2 2 2 2 2 17" xfId="25971" xr:uid="{B9B711AF-16AF-417F-BDB7-EDD328928501}"/>
    <cellStyle name="Normal 3 2 2 2 2 2 2 2 2 2 2 2 2 2 2 2 18" xfId="25972" xr:uid="{1038098D-FF1A-480E-9208-C23B79971780}"/>
    <cellStyle name="Normal 3 2 2 2 2 2 2 2 2 2 2 2 2 2 2 2 19" xfId="25973" xr:uid="{F26A29CD-244D-45B6-B093-826CCEBA35DE}"/>
    <cellStyle name="Normal 3 2 2 2 2 2 2 2 2 2 2 2 2 2 2 2 2" xfId="25974" xr:uid="{6591D167-3F70-4FF8-9068-012E0B232285}"/>
    <cellStyle name="Normal 3 2 2 2 2 2 2 2 2 2 2 2 2 2 2 2 2 10" xfId="25975" xr:uid="{D86F5AA1-81A8-49C0-8DAA-2983AC16DB1F}"/>
    <cellStyle name="Normal 3 2 2 2 2 2 2 2 2 2 2 2 2 2 2 2 2 11" xfId="25976" xr:uid="{0AA5978F-BB09-4981-9162-5B58689D0C34}"/>
    <cellStyle name="Normal 3 2 2 2 2 2 2 2 2 2 2 2 2 2 2 2 2 12" xfId="25977" xr:uid="{3C241C0D-4261-4B46-BEC6-422546AE2C02}"/>
    <cellStyle name="Normal 3 2 2 2 2 2 2 2 2 2 2 2 2 2 2 2 2 13" xfId="25978" xr:uid="{43623DF5-9E91-42B7-8332-4255AB329B30}"/>
    <cellStyle name="Normal 3 2 2 2 2 2 2 2 2 2 2 2 2 2 2 2 2 14" xfId="25979" xr:uid="{635618E2-58D7-4188-B30F-B664E6908698}"/>
    <cellStyle name="Normal 3 2 2 2 2 2 2 2 2 2 2 2 2 2 2 2 2 15" xfId="25980" xr:uid="{72D325D3-A40A-4278-9338-9AC608FE59D9}"/>
    <cellStyle name="Normal 3 2 2 2 2 2 2 2 2 2 2 2 2 2 2 2 2 16" xfId="25981" xr:uid="{D3060806-2743-43FD-A161-14BE68BC8DD3}"/>
    <cellStyle name="Normal 3 2 2 2 2 2 2 2 2 2 2 2 2 2 2 2 2 17" xfId="25982" xr:uid="{D40665A9-94C7-4DE4-88D8-8178FFDD44C8}"/>
    <cellStyle name="Normal 3 2 2 2 2 2 2 2 2 2 2 2 2 2 2 2 2 18" xfId="25983" xr:uid="{3D21AF7A-9D30-4DE9-9469-007301A0FA5A}"/>
    <cellStyle name="Normal 3 2 2 2 2 2 2 2 2 2 2 2 2 2 2 2 2 19" xfId="25984" xr:uid="{4FF4272C-C0B4-4A55-A726-18055E333109}"/>
    <cellStyle name="Normal 3 2 2 2 2 2 2 2 2 2 2 2 2 2 2 2 2 2" xfId="25985" xr:uid="{B427DD3D-CBD5-4771-B524-8588753F061A}"/>
    <cellStyle name="Normal 3 2 2 2 2 2 2 2 2 2 2 2 2 2 2 2 2 2 10" xfId="25986" xr:uid="{3D331603-6540-4BD7-AC0E-D5131217B7DF}"/>
    <cellStyle name="Normal 3 2 2 2 2 2 2 2 2 2 2 2 2 2 2 2 2 2 11" xfId="25987" xr:uid="{3E50503C-9138-402C-9268-D597C6F7118D}"/>
    <cellStyle name="Normal 3 2 2 2 2 2 2 2 2 2 2 2 2 2 2 2 2 2 12" xfId="25988" xr:uid="{7F06A2AB-E5CE-4352-84C8-C07F9DF3701B}"/>
    <cellStyle name="Normal 3 2 2 2 2 2 2 2 2 2 2 2 2 2 2 2 2 2 13" xfId="25989" xr:uid="{0603FB0D-9C05-4F25-A5FD-01B0A7268F77}"/>
    <cellStyle name="Normal 3 2 2 2 2 2 2 2 2 2 2 2 2 2 2 2 2 2 14" xfId="25990" xr:uid="{42839137-C61A-4B00-9F41-EAA79DDE1882}"/>
    <cellStyle name="Normal 3 2 2 2 2 2 2 2 2 2 2 2 2 2 2 2 2 2 15" xfId="25991" xr:uid="{F300DB2A-6531-40FC-8C71-D24D6FE0B71A}"/>
    <cellStyle name="Normal 3 2 2 2 2 2 2 2 2 2 2 2 2 2 2 2 2 2 16" xfId="25992" xr:uid="{B0A9519E-2E4C-497B-B89F-51B0EF64D155}"/>
    <cellStyle name="Normal 3 2 2 2 2 2 2 2 2 2 2 2 2 2 2 2 2 2 17" xfId="25993" xr:uid="{5E00D371-653A-425C-9E3D-1E3C780E069F}"/>
    <cellStyle name="Normal 3 2 2 2 2 2 2 2 2 2 2 2 2 2 2 2 2 2 18" xfId="25994" xr:uid="{30D20F9A-4DD9-4265-96CC-9747CB05FD64}"/>
    <cellStyle name="Normal 3 2 2 2 2 2 2 2 2 2 2 2 2 2 2 2 2 2 19" xfId="25995" xr:uid="{81E1FE4B-0830-4218-9CAC-CA75079DA5ED}"/>
    <cellStyle name="Normal 3 2 2 2 2 2 2 2 2 2 2 2 2 2 2 2 2 2 2" xfId="25996" xr:uid="{AE8B92AD-4384-4FDD-B5E0-7666A197A17F}"/>
    <cellStyle name="Normal 3 2 2 2 2 2 2 2 2 2 2 2 2 2 2 2 2 2 2 10" xfId="25997" xr:uid="{7FA6C83B-203B-461E-B3AF-821CE082C417}"/>
    <cellStyle name="Normal 3 2 2 2 2 2 2 2 2 2 2 2 2 2 2 2 2 2 2 11" xfId="25998" xr:uid="{8E37A4CB-BC96-400C-ADF6-7CF1F52089B0}"/>
    <cellStyle name="Normal 3 2 2 2 2 2 2 2 2 2 2 2 2 2 2 2 2 2 2 12" xfId="25999" xr:uid="{4F6888C6-23FA-44D3-8C7A-9F8B91E0B839}"/>
    <cellStyle name="Normal 3 2 2 2 2 2 2 2 2 2 2 2 2 2 2 2 2 2 2 13" xfId="26000" xr:uid="{4C139A2C-7537-4E30-897A-C36DA360CF62}"/>
    <cellStyle name="Normal 3 2 2 2 2 2 2 2 2 2 2 2 2 2 2 2 2 2 2 14" xfId="26001" xr:uid="{D7187CA8-B58F-4DBA-B737-3AF1DC30C7B4}"/>
    <cellStyle name="Normal 3 2 2 2 2 2 2 2 2 2 2 2 2 2 2 2 2 2 2 15" xfId="26002" xr:uid="{8B8AAA86-D0CB-4488-93B5-82E7DDC7C449}"/>
    <cellStyle name="Normal 3 2 2 2 2 2 2 2 2 2 2 2 2 2 2 2 2 2 2 16" xfId="26003" xr:uid="{0111417D-99CF-42E7-9828-8D1C604BEC9C}"/>
    <cellStyle name="Normal 3 2 2 2 2 2 2 2 2 2 2 2 2 2 2 2 2 2 2 17" xfId="26004" xr:uid="{7BB4C12A-A88A-4749-B730-078228C50E02}"/>
    <cellStyle name="Normal 3 2 2 2 2 2 2 2 2 2 2 2 2 2 2 2 2 2 2 18" xfId="26005" xr:uid="{A0E4B244-285D-433A-B8D2-1D64BEFAA35B}"/>
    <cellStyle name="Normal 3 2 2 2 2 2 2 2 2 2 2 2 2 2 2 2 2 2 2 18 2" xfId="26006" xr:uid="{2323FBBE-577D-4F46-945E-1FCF9EAEE217}"/>
    <cellStyle name="Normal 3 2 2 2 2 2 2 2 2 2 2 2 2 2 2 2 2 2 2 18 3" xfId="26007" xr:uid="{1B258F95-CADE-467A-A228-1CEB7BA1600E}"/>
    <cellStyle name="Normal 3 2 2 2 2 2 2 2 2 2 2 2 2 2 2 2 2 2 2 18 4" xfId="26008" xr:uid="{9FE4E3DB-978B-4FDF-B056-7AEF579C1DF0}"/>
    <cellStyle name="Normal 3 2 2 2 2 2 2 2 2 2 2 2 2 2 2 2 2 2 2 18 5" xfId="26009" xr:uid="{9F363873-005D-4A9F-8676-71E9B720B50D}"/>
    <cellStyle name="Normal 3 2 2 2 2 2 2 2 2 2 2 2 2 2 2 2 2 2 2 18 6" xfId="26010" xr:uid="{9FBFA1F6-C9C1-4BA0-8083-55C192504840}"/>
    <cellStyle name="Normal 3 2 2 2 2 2 2 2 2 2 2 2 2 2 2 2 2 2 2 18 7" xfId="26011" xr:uid="{BC0E84AC-8C9C-4370-AC52-D7DFBF96E23E}"/>
    <cellStyle name="Normal 3 2 2 2 2 2 2 2 2 2 2 2 2 2 2 2 2 2 2 19" xfId="26012" xr:uid="{79BA8DAD-E3C6-4F59-8AB4-2C521ED36093}"/>
    <cellStyle name="Normal 3 2 2 2 2 2 2 2 2 2 2 2 2 2 2 2 2 2 2 2" xfId="26013" xr:uid="{64F6802F-5A78-47AC-BFED-5E8BB69A0FA4}"/>
    <cellStyle name="Normal 3 2 2 2 2 2 2 2 2 2 2 2 2 2 2 2 2 2 2 2 10" xfId="26014" xr:uid="{AF2C0AAA-B398-4B25-A8BE-4A52B920C167}"/>
    <cellStyle name="Normal 3 2 2 2 2 2 2 2 2 2 2 2 2 2 2 2 2 2 2 2 11" xfId="26015" xr:uid="{01738175-71FC-4C7A-A116-0838C022FB03}"/>
    <cellStyle name="Normal 3 2 2 2 2 2 2 2 2 2 2 2 2 2 2 2 2 2 2 2 12" xfId="26016" xr:uid="{285E81CA-4C76-4370-B09B-B8C4C729F56D}"/>
    <cellStyle name="Normal 3 2 2 2 2 2 2 2 2 2 2 2 2 2 2 2 2 2 2 2 13" xfId="26017" xr:uid="{295D5847-E692-4B3B-8C6B-0FE12072292E}"/>
    <cellStyle name="Normal 3 2 2 2 2 2 2 2 2 2 2 2 2 2 2 2 2 2 2 2 14" xfId="26018" xr:uid="{DBD9C070-C0D4-483D-A6CA-DDA40B604DAE}"/>
    <cellStyle name="Normal 3 2 2 2 2 2 2 2 2 2 2 2 2 2 2 2 2 2 2 2 15" xfId="26019" xr:uid="{1A196B95-9B3E-453A-B7AC-C814C44392D6}"/>
    <cellStyle name="Normal 3 2 2 2 2 2 2 2 2 2 2 2 2 2 2 2 2 2 2 2 16" xfId="26020" xr:uid="{C0241EF5-7D31-420D-B6AE-CAA6E9B1BB88}"/>
    <cellStyle name="Normal 3 2 2 2 2 2 2 2 2 2 2 2 2 2 2 2 2 2 2 2 16 2" xfId="26021" xr:uid="{DBD0AF9B-E24A-403C-A4E0-B471AF8FF2BC}"/>
    <cellStyle name="Normal 3 2 2 2 2 2 2 2 2 2 2 2 2 2 2 2 2 2 2 2 16 3" xfId="26022" xr:uid="{027BBEDD-E045-43CD-A641-9E5907DDE753}"/>
    <cellStyle name="Normal 3 2 2 2 2 2 2 2 2 2 2 2 2 2 2 2 2 2 2 2 16 4" xfId="26023" xr:uid="{38B72D7C-993E-4E69-9FC6-FFFFDA0A8CF6}"/>
    <cellStyle name="Normal 3 2 2 2 2 2 2 2 2 2 2 2 2 2 2 2 2 2 2 2 16 5" xfId="26024" xr:uid="{F9E375A7-0EA1-4A8A-9ADF-2A7701A0C592}"/>
    <cellStyle name="Normal 3 2 2 2 2 2 2 2 2 2 2 2 2 2 2 2 2 2 2 2 16 6" xfId="26025" xr:uid="{5DE16B96-48D9-4446-9934-D56A23C78076}"/>
    <cellStyle name="Normal 3 2 2 2 2 2 2 2 2 2 2 2 2 2 2 2 2 2 2 2 16 7" xfId="26026" xr:uid="{D1FFAC00-C201-494D-BFBE-E292349D59C4}"/>
    <cellStyle name="Normal 3 2 2 2 2 2 2 2 2 2 2 2 2 2 2 2 2 2 2 2 17" xfId="26027" xr:uid="{41FA0F27-2821-4286-948F-C93EDC7A93FC}"/>
    <cellStyle name="Normal 3 2 2 2 2 2 2 2 2 2 2 2 2 2 2 2 2 2 2 2 18" xfId="26028" xr:uid="{FFDF3E97-56A2-42E9-A202-F967C52AFAD7}"/>
    <cellStyle name="Normal 3 2 2 2 2 2 2 2 2 2 2 2 2 2 2 2 2 2 2 2 19" xfId="26029" xr:uid="{7161F004-DA2E-415F-8285-1FE256FDDBFA}"/>
    <cellStyle name="Normal 3 2 2 2 2 2 2 2 2 2 2 2 2 2 2 2 2 2 2 2 2" xfId="26030" xr:uid="{16BB2A68-0B85-430E-AA64-8AE425C057E6}"/>
    <cellStyle name="Normal 3 2 2 2 2 2 2 2 2 2 2 2 2 2 2 2 2 2 2 2 2 10" xfId="26031" xr:uid="{576F78ED-E453-435C-A5E5-07DEE070FB54}"/>
    <cellStyle name="Normal 3 2 2 2 2 2 2 2 2 2 2 2 2 2 2 2 2 2 2 2 2 11" xfId="26032" xr:uid="{E55AF3E4-5A93-48BF-B8E6-B4CEAA07873F}"/>
    <cellStyle name="Normal 3 2 2 2 2 2 2 2 2 2 2 2 2 2 2 2 2 2 2 2 2 12" xfId="26033" xr:uid="{44950EFC-3B6E-4786-A6E1-10A02EBE5470}"/>
    <cellStyle name="Normal 3 2 2 2 2 2 2 2 2 2 2 2 2 2 2 2 2 2 2 2 2 13" xfId="26034" xr:uid="{947D6409-0241-418C-BD4A-7FABDCF15394}"/>
    <cellStyle name="Normal 3 2 2 2 2 2 2 2 2 2 2 2 2 2 2 2 2 2 2 2 2 13 2" xfId="26035" xr:uid="{40A84E45-167D-414B-A510-7951F70B4214}"/>
    <cellStyle name="Normal 3 2 2 2 2 2 2 2 2 2 2 2 2 2 2 2 2 2 2 2 2 13 3" xfId="26036" xr:uid="{F08E2804-EDBC-4556-8D81-B569E32F743B}"/>
    <cellStyle name="Normal 3 2 2 2 2 2 2 2 2 2 2 2 2 2 2 2 2 2 2 2 2 13 4" xfId="26037" xr:uid="{08A31C17-0D1B-4ED3-AF77-CA2E9D0532EE}"/>
    <cellStyle name="Normal 3 2 2 2 2 2 2 2 2 2 2 2 2 2 2 2 2 2 2 2 2 13 5" xfId="26038" xr:uid="{BB854BF4-24B3-4A22-8B23-40A29FB2E0BA}"/>
    <cellStyle name="Normal 3 2 2 2 2 2 2 2 2 2 2 2 2 2 2 2 2 2 2 2 2 13 6" xfId="26039" xr:uid="{2DFA9FAD-A36E-4ACF-BCC3-27C21BA2D4E3}"/>
    <cellStyle name="Normal 3 2 2 2 2 2 2 2 2 2 2 2 2 2 2 2 2 2 2 2 2 13 7" xfId="26040" xr:uid="{19DB199D-FEAC-4DD2-9E48-880295168BC4}"/>
    <cellStyle name="Normal 3 2 2 2 2 2 2 2 2 2 2 2 2 2 2 2 2 2 2 2 2 14" xfId="26041" xr:uid="{F2183900-4599-4CB5-AE82-075FCF2F2424}"/>
    <cellStyle name="Normal 3 2 2 2 2 2 2 2 2 2 2 2 2 2 2 2 2 2 2 2 2 15" xfId="26042" xr:uid="{D1D25C8F-07FB-4F4F-90A1-7A838741BD3F}"/>
    <cellStyle name="Normal 3 2 2 2 2 2 2 2 2 2 2 2 2 2 2 2 2 2 2 2 2 16" xfId="26043" xr:uid="{03FCCF72-69D8-467D-9FF9-13678A265D43}"/>
    <cellStyle name="Normal 3 2 2 2 2 2 2 2 2 2 2 2 2 2 2 2 2 2 2 2 2 17" xfId="26044" xr:uid="{724B024F-3506-4E3C-8B43-9337CC7DCC4F}"/>
    <cellStyle name="Normal 3 2 2 2 2 2 2 2 2 2 2 2 2 2 2 2 2 2 2 2 2 18" xfId="26045" xr:uid="{1563DFD7-DCB7-4751-B77F-A0977322AEA0}"/>
    <cellStyle name="Normal 3 2 2 2 2 2 2 2 2 2 2 2 2 2 2 2 2 2 2 2 2 19" xfId="26046" xr:uid="{BBA139A2-8C39-4541-9DDA-5A348BB38886}"/>
    <cellStyle name="Normal 3 2 2 2 2 2 2 2 2 2 2 2 2 2 2 2 2 2 2 2 2 2" xfId="26047" xr:uid="{2766CEA8-61F8-4598-8225-7F9886165EAF}"/>
    <cellStyle name="Normal 3 2 2 2 2 2 2 2 2 2 2 2 2 2 2 2 2 2 2 2 2 2 10" xfId="26048" xr:uid="{D6A7641B-464A-46C7-AE0E-DE25BE9B6B40}"/>
    <cellStyle name="Normal 3 2 2 2 2 2 2 2 2 2 2 2 2 2 2 2 2 2 2 2 2 2 11" xfId="26049" xr:uid="{028A02F5-EDC1-440D-9AB5-357462A8BB56}"/>
    <cellStyle name="Normal 3 2 2 2 2 2 2 2 2 2 2 2 2 2 2 2 2 2 2 2 2 2 12" xfId="26050" xr:uid="{121A526D-D142-43F0-B55F-E3F350F889A4}"/>
    <cellStyle name="Normal 3 2 2 2 2 2 2 2 2 2 2 2 2 2 2 2 2 2 2 2 2 2 13" xfId="26051" xr:uid="{450BC95F-F713-4A76-928B-951B2DDC8EA5}"/>
    <cellStyle name="Normal 3 2 2 2 2 2 2 2 2 2 2 2 2 2 2 2 2 2 2 2 2 2 13 2" xfId="26052" xr:uid="{88590BF0-672D-48A0-99E5-A4E53834A432}"/>
    <cellStyle name="Normal 3 2 2 2 2 2 2 2 2 2 2 2 2 2 2 2 2 2 2 2 2 2 13 3" xfId="26053" xr:uid="{10522967-6A0D-4358-AC5C-A586E53A31F7}"/>
    <cellStyle name="Normal 3 2 2 2 2 2 2 2 2 2 2 2 2 2 2 2 2 2 2 2 2 2 13 4" xfId="26054" xr:uid="{D89E7752-9290-45FB-8060-53C345608312}"/>
    <cellStyle name="Normal 3 2 2 2 2 2 2 2 2 2 2 2 2 2 2 2 2 2 2 2 2 2 13 5" xfId="26055" xr:uid="{969A97DD-4236-452F-8EF5-9292751A87CD}"/>
    <cellStyle name="Normal 3 2 2 2 2 2 2 2 2 2 2 2 2 2 2 2 2 2 2 2 2 2 13 6" xfId="26056" xr:uid="{B49AAEE1-0673-4964-A4FF-F0EA625398A5}"/>
    <cellStyle name="Normal 3 2 2 2 2 2 2 2 2 2 2 2 2 2 2 2 2 2 2 2 2 2 13 7" xfId="26057" xr:uid="{3F107E88-916D-4345-BDEA-EB69DD4822DE}"/>
    <cellStyle name="Normal 3 2 2 2 2 2 2 2 2 2 2 2 2 2 2 2 2 2 2 2 2 2 14" xfId="26058" xr:uid="{F3C85AB9-69DB-4B88-8BFB-DFF8D087A817}"/>
    <cellStyle name="Normal 3 2 2 2 2 2 2 2 2 2 2 2 2 2 2 2 2 2 2 2 2 2 15" xfId="26059" xr:uid="{1C9F24CE-B454-45CF-A192-436E454B2035}"/>
    <cellStyle name="Normal 3 2 2 2 2 2 2 2 2 2 2 2 2 2 2 2 2 2 2 2 2 2 16" xfId="26060" xr:uid="{D0A8011C-1C2D-4810-886E-101B5132991C}"/>
    <cellStyle name="Normal 3 2 2 2 2 2 2 2 2 2 2 2 2 2 2 2 2 2 2 2 2 2 17" xfId="26061" xr:uid="{7647F0A7-6EA7-4EC6-9F23-15C4D0C265AD}"/>
    <cellStyle name="Normal 3 2 2 2 2 2 2 2 2 2 2 2 2 2 2 2 2 2 2 2 2 2 18" xfId="26062" xr:uid="{BBEE55C0-A85C-49B7-B725-5F81F22F3C95}"/>
    <cellStyle name="Normal 3 2 2 2 2 2 2 2 2 2 2 2 2 2 2 2 2 2 2 2 2 2 19" xfId="26063" xr:uid="{39F595BA-4A87-43F3-BD43-EA07DD2130C3}"/>
    <cellStyle name="Normal 3 2 2 2 2 2 2 2 2 2 2 2 2 2 2 2 2 2 2 2 2 2 2" xfId="26064" xr:uid="{EB31CD4B-3202-4461-B791-605F5075916C}"/>
    <cellStyle name="Normal 3 2 2 2 2 2 2 2 2 2 2 2 2 2 2 2 2 2 2 2 2 2 2 10" xfId="26065" xr:uid="{0035AB0C-A28A-4796-925F-6B61A3522839}"/>
    <cellStyle name="Normal 3 2 2 2 2 2 2 2 2 2 2 2 2 2 2 2 2 2 2 2 2 2 2 11" xfId="26066" xr:uid="{6E293535-E684-4E48-AD9B-F2D2AB28692B}"/>
    <cellStyle name="Normal 3 2 2 2 2 2 2 2 2 2 2 2 2 2 2 2 2 2 2 2 2 2 2 12" xfId="26067" xr:uid="{649C10C1-F034-41E3-939B-38EFE8D78CB2}"/>
    <cellStyle name="Normal 3 2 2 2 2 2 2 2 2 2 2 2 2 2 2 2 2 2 2 2 2 2 2 13" xfId="26068" xr:uid="{0759B7FF-E6AB-4AFB-A00D-C071A9111053}"/>
    <cellStyle name="Normal 3 2 2 2 2 2 2 2 2 2 2 2 2 2 2 2 2 2 2 2 2 2 2 14" xfId="26069" xr:uid="{0E13BA0E-FBC2-4B93-B91E-84FE8BB11D42}"/>
    <cellStyle name="Normal 3 2 2 2 2 2 2 2 2 2 2 2 2 2 2 2 2 2 2 2 2 2 2 15" xfId="26070" xr:uid="{D19091AB-B922-489C-86DE-8BE6773DF33D}"/>
    <cellStyle name="Normal 3 2 2 2 2 2 2 2 2 2 2 2 2 2 2 2 2 2 2 2 2 2 2 16" xfId="26071" xr:uid="{06BA0924-2E87-49AD-AAEA-7578212B6B84}"/>
    <cellStyle name="Normal 3 2 2 2 2 2 2 2 2 2 2 2 2 2 2 2 2 2 2 2 2 2 2 17" xfId="26072" xr:uid="{258791B8-02B2-4C16-8F18-B7F4977BED8C}"/>
    <cellStyle name="Normal 3 2 2 2 2 2 2 2 2 2 2 2 2 2 2 2 2 2 2 2 2 2 2 18" xfId="26073" xr:uid="{796A7903-60A0-4D7C-98E8-C30099F274A0}"/>
    <cellStyle name="Normal 3 2 2 2 2 2 2 2 2 2 2 2 2 2 2 2 2 2 2 2 2 2 2 19" xfId="26074" xr:uid="{9708D394-A2D5-475E-9DF4-AE5A257800B1}"/>
    <cellStyle name="Normal 3 2 2 2 2 2 2 2 2 2 2 2 2 2 2 2 2 2 2 2 2 2 2 2" xfId="26075" xr:uid="{98300E88-7B99-4C40-96A5-4A31FC1D73E8}"/>
    <cellStyle name="Normal 3 2 2 2 2 2 2 2 2 2 2 2 2 2 2 2 2 2 2 2 2 2 2 2 10" xfId="26076" xr:uid="{B29A39BA-58DE-4ED6-9442-F6C67E1C75DB}"/>
    <cellStyle name="Normal 3 2 2 2 2 2 2 2 2 2 2 2 2 2 2 2 2 2 2 2 2 2 2 2 11" xfId="26077" xr:uid="{950CA5E3-7F1D-4D6B-88EF-2B901EB9B198}"/>
    <cellStyle name="Normal 3 2 2 2 2 2 2 2 2 2 2 2 2 2 2 2 2 2 2 2 2 2 2 2 12" xfId="26078" xr:uid="{8A7A89EE-A435-4337-91DE-01606796E19C}"/>
    <cellStyle name="Normal 3 2 2 2 2 2 2 2 2 2 2 2 2 2 2 2 2 2 2 2 2 2 2 2 13" xfId="26079" xr:uid="{97DFEA3F-29BF-4D9A-AE4B-0B22AB77771C}"/>
    <cellStyle name="Normal 3 2 2 2 2 2 2 2 2 2 2 2 2 2 2 2 2 2 2 2 2 2 2 2 14" xfId="26080" xr:uid="{AC0F1551-A70D-4EF7-9D2F-784A54228FBB}"/>
    <cellStyle name="Normal 3 2 2 2 2 2 2 2 2 2 2 2 2 2 2 2 2 2 2 2 2 2 2 2 15" xfId="26081" xr:uid="{C36C4CA2-D2BE-4BD3-900C-1BD08820E8E9}"/>
    <cellStyle name="Normal 3 2 2 2 2 2 2 2 2 2 2 2 2 2 2 2 2 2 2 2 2 2 2 2 16" xfId="26082" xr:uid="{85B914DD-6129-41EC-84DB-F81911FB31CA}"/>
    <cellStyle name="Normal 3 2 2 2 2 2 2 2 2 2 2 2 2 2 2 2 2 2 2 2 2 2 2 2 17" xfId="26083" xr:uid="{968F9236-DD37-4BEB-830F-FB6433671630}"/>
    <cellStyle name="Normal 3 2 2 2 2 2 2 2 2 2 2 2 2 2 2 2 2 2 2 2 2 2 2 2 18" xfId="26084" xr:uid="{A798521C-A3EE-44BA-A62B-609EC69F7498}"/>
    <cellStyle name="Normal 3 2 2 2 2 2 2 2 2 2 2 2 2 2 2 2 2 2 2 2 2 2 2 2 19" xfId="26085" xr:uid="{7BEC5324-17B5-48AA-9B83-009C90ADEC43}"/>
    <cellStyle name="Normal 3 2 2 2 2 2 2 2 2 2 2 2 2 2 2 2 2 2 2 2 2 2 2 2 2" xfId="26086" xr:uid="{0E8D84F8-6F79-4A93-93F7-DF5FA976D6F7}"/>
    <cellStyle name="Normal 3 2 2 2 2 2 2 2 2 2 2 2 2 2 2 2 2 2 2 2 2 2 2 2 2 10" xfId="26087" xr:uid="{43DF2184-381D-49FE-A51C-8B9C3310E28D}"/>
    <cellStyle name="Normal 3 2 2 2 2 2 2 2 2 2 2 2 2 2 2 2 2 2 2 2 2 2 2 2 2 11" xfId="26088" xr:uid="{117F7A20-6479-43F3-AD56-1A08F1E8CA35}"/>
    <cellStyle name="Normal 3 2 2 2 2 2 2 2 2 2 2 2 2 2 2 2 2 2 2 2 2 2 2 2 2 12" xfId="26089" xr:uid="{56ABAB39-989E-45B3-A735-CFCCEE96B34A}"/>
    <cellStyle name="Normal 3 2 2 2 2 2 2 2 2 2 2 2 2 2 2 2 2 2 2 2 2 2 2 2 2 13" xfId="26090" xr:uid="{8AA857F2-ED22-4B44-8551-F8747F109362}"/>
    <cellStyle name="Normal 3 2 2 2 2 2 2 2 2 2 2 2 2 2 2 2 2 2 2 2 2 2 2 2 2 14" xfId="26091" xr:uid="{90D70F31-48E4-4E34-ACED-7EB082B12112}"/>
    <cellStyle name="Normal 3 2 2 2 2 2 2 2 2 2 2 2 2 2 2 2 2 2 2 2 2 2 2 2 2 15" xfId="26092" xr:uid="{E2B031AC-B2D2-449C-BE2A-0ADFDA188354}"/>
    <cellStyle name="Normal 3 2 2 2 2 2 2 2 2 2 2 2 2 2 2 2 2 2 2 2 2 2 2 2 2 16" xfId="26093" xr:uid="{23105046-91A5-4F47-AE63-FF2AB68C79C7}"/>
    <cellStyle name="Normal 3 2 2 2 2 2 2 2 2 2 2 2 2 2 2 2 2 2 2 2 2 2 2 2 2 17" xfId="26094" xr:uid="{71D49490-76F1-4EFC-B4A9-A0955372F075}"/>
    <cellStyle name="Normal 3 2 2 2 2 2 2 2 2 2 2 2 2 2 2 2 2 2 2 2 2 2 2 2 2 18" xfId="26095" xr:uid="{DC1502C6-D3EA-4850-82D1-C02F3268CBD6}"/>
    <cellStyle name="Normal 3 2 2 2 2 2 2 2 2 2 2 2 2 2 2 2 2 2 2 2 2 2 2 2 2 19" xfId="26096" xr:uid="{E17CD4CE-6AB5-4628-ADC6-CF2B7A417017}"/>
    <cellStyle name="Normal 3 2 2 2 2 2 2 2 2 2 2 2 2 2 2 2 2 2 2 2 2 2 2 2 2 2" xfId="26097" xr:uid="{C1EC2DB3-F650-4E78-89EE-46FB8AC9637F}"/>
    <cellStyle name="Normal 3 2 2 2 2 2 2 2 2 2 2 2 2 2 2 2 2 2 2 2 2 2 2 2 2 2 10" xfId="26098" xr:uid="{1D067F9B-0943-49AF-83D1-6284C65AFBA0}"/>
    <cellStyle name="Normal 3 2 2 2 2 2 2 2 2 2 2 2 2 2 2 2 2 2 2 2 2 2 2 2 2 2 11" xfId="26099" xr:uid="{977AF93A-1088-4CDD-9505-B2D19BD6A9DB}"/>
    <cellStyle name="Normal 3 2 2 2 2 2 2 2 2 2 2 2 2 2 2 2 2 2 2 2 2 2 2 2 2 2 12" xfId="26100" xr:uid="{2061C9CD-B070-4D54-87CB-B5943698D94A}"/>
    <cellStyle name="Normal 3 2 2 2 2 2 2 2 2 2 2 2 2 2 2 2 2 2 2 2 2 2 2 2 2 2 13" xfId="26101" xr:uid="{C9BA762E-B712-4E37-B689-A860D95A39A2}"/>
    <cellStyle name="Normal 3 2 2 2 2 2 2 2 2 2 2 2 2 2 2 2 2 2 2 2 2 2 2 2 2 2 14" xfId="26102" xr:uid="{E0B26C44-AD92-4270-9B7F-E04182F5D4C6}"/>
    <cellStyle name="Normal 3 2 2 2 2 2 2 2 2 2 2 2 2 2 2 2 2 2 2 2 2 2 2 2 2 2 15" xfId="26103" xr:uid="{763590A4-99DF-42E6-AD8E-049D426DF7EC}"/>
    <cellStyle name="Normal 3 2 2 2 2 2 2 2 2 2 2 2 2 2 2 2 2 2 2 2 2 2 2 2 2 2 16" xfId="26104" xr:uid="{43AC3DAD-9BBA-4079-BB33-D7B407532367}"/>
    <cellStyle name="Normal 3 2 2 2 2 2 2 2 2 2 2 2 2 2 2 2 2 2 2 2 2 2 2 2 2 2 17" xfId="26105" xr:uid="{89A38B0B-F850-4835-BF69-2D0AAE6DE6B3}"/>
    <cellStyle name="Normal 3 2 2 2 2 2 2 2 2 2 2 2 2 2 2 2 2 2 2 2 2 2 2 2 2 2 18" xfId="26106" xr:uid="{08B8A88C-4ECB-4E08-A9AD-1443B402E7AA}"/>
    <cellStyle name="Normal 3 2 2 2 2 2 2 2 2 2 2 2 2 2 2 2 2 2 2 2 2 2 2 2 2 2 19" xfId="26107" xr:uid="{1DBEA537-8715-4785-9C19-45657FC5DDF9}"/>
    <cellStyle name="Normal 3 2 2 2 2 2 2 2 2 2 2 2 2 2 2 2 2 2 2 2 2 2 2 2 2 2 2" xfId="26108" xr:uid="{CB6662C9-D72C-4086-AF1F-2847B47A7E5C}"/>
    <cellStyle name="Normal 3 2 2 2 2 2 2 2 2 2 2 2 2 2 2 2 2 2 2 2 2 2 2 2 2 2 2 10" xfId="26109" xr:uid="{B3530C4A-EBCF-4915-91B2-258994EE6E5D}"/>
    <cellStyle name="Normal 3 2 2 2 2 2 2 2 2 2 2 2 2 2 2 2 2 2 2 2 2 2 2 2 2 2 2 11" xfId="26110" xr:uid="{30B7133E-F57B-4FA5-B61A-0D1859EBD579}"/>
    <cellStyle name="Normal 3 2 2 2 2 2 2 2 2 2 2 2 2 2 2 2 2 2 2 2 2 2 2 2 2 2 2 12" xfId="26111" xr:uid="{A8865AD0-7DFC-43AA-B1C5-380F3AFBED61}"/>
    <cellStyle name="Normal 3 2 2 2 2 2 2 2 2 2 2 2 2 2 2 2 2 2 2 2 2 2 2 2 2 2 2 13" xfId="26112" xr:uid="{BBA739D3-C763-4DAE-B1C3-081065D99A13}"/>
    <cellStyle name="Normal 3 2 2 2 2 2 2 2 2 2 2 2 2 2 2 2 2 2 2 2 2 2 2 2 2 2 2 14" xfId="26113" xr:uid="{C699D2E9-38A1-479C-ACA7-E2A8625F68EE}"/>
    <cellStyle name="Normal 3 2 2 2 2 2 2 2 2 2 2 2 2 2 2 2 2 2 2 2 2 2 2 2 2 2 2 15" xfId="26114" xr:uid="{69894532-9C90-4332-8ED4-B63CD24D5676}"/>
    <cellStyle name="Normal 3 2 2 2 2 2 2 2 2 2 2 2 2 2 2 2 2 2 2 2 2 2 2 2 2 2 2 16" xfId="26115" xr:uid="{860BE73D-6ADA-4C44-AF7E-CE9893286A81}"/>
    <cellStyle name="Normal 3 2 2 2 2 2 2 2 2 2 2 2 2 2 2 2 2 2 2 2 2 2 2 2 2 2 2 17" xfId="26116" xr:uid="{018F5069-7713-4AE6-B449-095B7D26CFD5}"/>
    <cellStyle name="Normal 3 2 2 2 2 2 2 2 2 2 2 2 2 2 2 2 2 2 2 2 2 2 2 2 2 2 2 18" xfId="26117" xr:uid="{51444B43-8804-44C4-84B9-3809C257BA16}"/>
    <cellStyle name="Normal 3 2 2 2 2 2 2 2 2 2 2 2 2 2 2 2 2 2 2 2 2 2 2 2 2 2 2 19" xfId="26118" xr:uid="{B52506F4-88F9-4D9C-9146-D37A0428FA58}"/>
    <cellStyle name="Normal 3 2 2 2 2 2 2 2 2 2 2 2 2 2 2 2 2 2 2 2 2 2 2 2 2 2 2 2" xfId="26119" xr:uid="{EC18473A-503F-4A73-A94C-797EC22C097A}"/>
    <cellStyle name="Normal 3 2 2 2 2 2 2 2 2 2 2 2 2 2 2 2 2 2 2 2 2 2 2 2 2 2 2 2 10" xfId="26120" xr:uid="{C233B408-6F02-48BB-8EBC-D0B42842DF18}"/>
    <cellStyle name="Normal 3 2 2 2 2 2 2 2 2 2 2 2 2 2 2 2 2 2 2 2 2 2 2 2 2 2 2 2 11" xfId="26121" xr:uid="{81874430-A7D5-4BAA-9EB6-EA82ED8D2884}"/>
    <cellStyle name="Normal 3 2 2 2 2 2 2 2 2 2 2 2 2 2 2 2 2 2 2 2 2 2 2 2 2 2 2 2 12" xfId="26122" xr:uid="{4135E6F4-1F3F-47F3-89B4-622264F5D2A2}"/>
    <cellStyle name="Normal 3 2 2 2 2 2 2 2 2 2 2 2 2 2 2 2 2 2 2 2 2 2 2 2 2 2 2 2 13" xfId="26123" xr:uid="{7DF801F3-AE64-457D-A270-31BA407F293C}"/>
    <cellStyle name="Normal 3 2 2 2 2 2 2 2 2 2 2 2 2 2 2 2 2 2 2 2 2 2 2 2 2 2 2 2 14" xfId="26124" xr:uid="{6D1184FF-F440-4E0C-853C-2923D41C6CCB}"/>
    <cellStyle name="Normal 3 2 2 2 2 2 2 2 2 2 2 2 2 2 2 2 2 2 2 2 2 2 2 2 2 2 2 2 15" xfId="26125" xr:uid="{ED4A3A2A-036D-4C44-AB7D-0BEA96E4ABD9}"/>
    <cellStyle name="Normal 3 2 2 2 2 2 2 2 2 2 2 2 2 2 2 2 2 2 2 2 2 2 2 2 2 2 2 2 16" xfId="26126" xr:uid="{24F061B0-9D7B-484E-B206-87BA767BCA45}"/>
    <cellStyle name="Normal 3 2 2 2 2 2 2 2 2 2 2 2 2 2 2 2 2 2 2 2 2 2 2 2 2 2 2 2 17" xfId="26127" xr:uid="{7B5C1142-379C-4A52-8A3E-074528C2DE89}"/>
    <cellStyle name="Normal 3 2 2 2 2 2 2 2 2 2 2 2 2 2 2 2 2 2 2 2 2 2 2 2 2 2 2 2 18" xfId="26128" xr:uid="{18FD757A-0629-4B4A-858C-9E1CFD23D3E0}"/>
    <cellStyle name="Normal 3 2 2 2 2 2 2 2 2 2 2 2 2 2 2 2 2 2 2 2 2 2 2 2 2 2 2 2 19" xfId="26129" xr:uid="{8E855908-4BCB-42D3-9FEC-74EDDC3A5DB9}"/>
    <cellStyle name="Normal 3 2 2 2 2 2 2 2 2 2 2 2 2 2 2 2 2 2 2 2 2 2 2 2 2 2 2 2 2" xfId="26130" xr:uid="{7D9F0AB5-F596-48DC-B466-CAE1D77B2246}"/>
    <cellStyle name="Normal 3 2 2 2 2 2 2 2 2 2 2 2 2 2 2 2 2 2 2 2 2 2 2 2 2 2 2 2 2 10" xfId="26131" xr:uid="{374D4A76-5D62-4AA3-940B-37C5835764E3}"/>
    <cellStyle name="Normal 3 2 2 2 2 2 2 2 2 2 2 2 2 2 2 2 2 2 2 2 2 2 2 2 2 2 2 2 2 11" xfId="26132" xr:uid="{F3B4D607-5BC3-4D0E-AD1E-F019BF464D46}"/>
    <cellStyle name="Normal 3 2 2 2 2 2 2 2 2 2 2 2 2 2 2 2 2 2 2 2 2 2 2 2 2 2 2 2 2 12" xfId="26133" xr:uid="{A6F3B779-F5AC-4C7C-97BF-E9AE1F58AA4F}"/>
    <cellStyle name="Normal 3 2 2 2 2 2 2 2 2 2 2 2 2 2 2 2 2 2 2 2 2 2 2 2 2 2 2 2 2 13" xfId="26134" xr:uid="{1C3C48C0-F115-41BB-A446-20BD37700D2C}"/>
    <cellStyle name="Normal 3 2 2 2 2 2 2 2 2 2 2 2 2 2 2 2 2 2 2 2 2 2 2 2 2 2 2 2 2 14" xfId="26135" xr:uid="{AFC60651-9F7E-434E-B829-1048E77D1329}"/>
    <cellStyle name="Normal 3 2 2 2 2 2 2 2 2 2 2 2 2 2 2 2 2 2 2 2 2 2 2 2 2 2 2 2 2 15" xfId="26136" xr:uid="{B8DF80FF-D9B0-42D8-BE9C-69F81B1B36C6}"/>
    <cellStyle name="Normal 3 2 2 2 2 2 2 2 2 2 2 2 2 2 2 2 2 2 2 2 2 2 2 2 2 2 2 2 2 16" xfId="26137" xr:uid="{004EA906-C447-476B-86AE-C411C6AD7E3E}"/>
    <cellStyle name="Normal 3 2 2 2 2 2 2 2 2 2 2 2 2 2 2 2 2 2 2 2 2 2 2 2 2 2 2 2 2 17" xfId="26138" xr:uid="{F4BA46FE-4937-451B-B48A-9D2B50A854BD}"/>
    <cellStyle name="Normal 3 2 2 2 2 2 2 2 2 2 2 2 2 2 2 2 2 2 2 2 2 2 2 2 2 2 2 2 2 18" xfId="26139" xr:uid="{7CB6D218-93D0-4173-B462-D5BFCF480E08}"/>
    <cellStyle name="Normal 3 2 2 2 2 2 2 2 2 2 2 2 2 2 2 2 2 2 2 2 2 2 2 2 2 2 2 2 2 19" xfId="26140" xr:uid="{B1F1E7D0-FBB4-448D-BAFE-54A5D659C730}"/>
    <cellStyle name="Normal 3 2 2 2 2 2 2 2 2 2 2 2 2 2 2 2 2 2 2 2 2 2 2 2 2 2 2 2 2 2" xfId="26141" xr:uid="{79F9AF69-8D1C-42B9-ACC4-D3ACA85550D7}"/>
    <cellStyle name="Normal 3 2 2 2 2 2 2 2 2 2 2 2 2 2 2 2 2 2 2 2 2 2 2 2 2 2 2 2 2 2 10" xfId="26142" xr:uid="{A30F7957-19A5-424B-8B65-398826951FAF}"/>
    <cellStyle name="Normal 3 2 2 2 2 2 2 2 2 2 2 2 2 2 2 2 2 2 2 2 2 2 2 2 2 2 2 2 2 2 11" xfId="26143" xr:uid="{BF3AC309-73B9-4317-BFF4-9AEA86AF435E}"/>
    <cellStyle name="Normal 3 2 2 2 2 2 2 2 2 2 2 2 2 2 2 2 2 2 2 2 2 2 2 2 2 2 2 2 2 2 12" xfId="26144" xr:uid="{D855EE17-56ED-499A-AAB7-C64421D46E9B}"/>
    <cellStyle name="Normal 3 2 2 2 2 2 2 2 2 2 2 2 2 2 2 2 2 2 2 2 2 2 2 2 2 2 2 2 2 2 13" xfId="26145" xr:uid="{C75753A6-D140-4730-B918-F8B5F06EAF33}"/>
    <cellStyle name="Normal 3 2 2 2 2 2 2 2 2 2 2 2 2 2 2 2 2 2 2 2 2 2 2 2 2 2 2 2 2 2 14" xfId="26146" xr:uid="{906E7A3F-3925-4787-B805-529A1862DCF4}"/>
    <cellStyle name="Normal 3 2 2 2 2 2 2 2 2 2 2 2 2 2 2 2 2 2 2 2 2 2 2 2 2 2 2 2 2 2 15" xfId="26147" xr:uid="{DC4BE253-AB19-44F2-AF48-D6F0E142E10C}"/>
    <cellStyle name="Normal 3 2 2 2 2 2 2 2 2 2 2 2 2 2 2 2 2 2 2 2 2 2 2 2 2 2 2 2 2 2 16" xfId="26148" xr:uid="{495CD872-D960-4828-8356-5BEC4C34B8D8}"/>
    <cellStyle name="Normal 3 2 2 2 2 2 2 2 2 2 2 2 2 2 2 2 2 2 2 2 2 2 2 2 2 2 2 2 2 2 17" xfId="26149" xr:uid="{D440D039-9B5F-4397-9D1F-A81A067F6BE0}"/>
    <cellStyle name="Normal 3 2 2 2 2 2 2 2 2 2 2 2 2 2 2 2 2 2 2 2 2 2 2 2 2 2 2 2 2 2 18" xfId="26150" xr:uid="{59549340-380F-455E-A7EC-A71FE504C508}"/>
    <cellStyle name="Normal 3 2 2 2 2 2 2 2 2 2 2 2 2 2 2 2 2 2 2 2 2 2 2 2 2 2 2 2 2 2 19" xfId="26151" xr:uid="{B0F4742E-C1D2-4DFA-8CBF-B46FFDC396E5}"/>
    <cellStyle name="Normal 3 2 2 2 2 2 2 2 2 2 2 2 2 2 2 2 2 2 2 2 2 2 2 2 2 2 2 2 2 2 2" xfId="26152" xr:uid="{C58E4BA9-BE6A-4371-95A6-7C54FF61A7C0}"/>
    <cellStyle name="Normal 3 2 2 2 2 2 2 2 2 2 2 2 2 2 2 2 2 2 2 2 2 2 2 2 2 2 2 2 2 2 2 2" xfId="26153" xr:uid="{7BADDD9D-E91C-43CE-9FC1-29E1B1DFB08B}"/>
    <cellStyle name="Normal 3 2 2 2 2 2 2 2 2 2 2 2 2 2 2 2 2 2 2 2 2 2 2 2 2 2 2 2 2 2 2 2 2" xfId="26154" xr:uid="{358EF59D-0B75-4A3F-B3D0-8C44B59FF24C}"/>
    <cellStyle name="Normal 3 2 2 2 2 2 2 2 2 2 2 2 2 2 2 2 2 2 2 2 2 2 2 2 2 2 2 2 2 2 2 2 2 2" xfId="26155" xr:uid="{0C14B4F4-448B-40BF-82EA-8ED01AEB910A}"/>
    <cellStyle name="Normal 3 2 2 2 2 2 2 2 2 2 2 2 2 2 2 2 2 2 2 2 2 2 2 2 2 2 2 2 2 2 2 2 2 2 2" xfId="26156" xr:uid="{BEE36945-F614-41F2-9D2E-B837750EFD23}"/>
    <cellStyle name="Normal 3 2 2 2 2 2 2 2 2 2 2 2 2 2 2 2 2 2 2 2 2 2 2 2 2 2 2 2 2 2 2 2 2 2 2 2" xfId="26157" xr:uid="{4C2C7F15-7353-48E7-AA9E-65B9F1B92ADA}"/>
    <cellStyle name="Normal 3 2 2 2 2 2 2 2 2 2 2 2 2 2 2 2 2 2 2 2 2 2 2 2 2 2 2 2 2 2 2 2 2 2 3" xfId="26158" xr:uid="{B135A070-0764-4158-BE56-B9DF982E2A4B}"/>
    <cellStyle name="Normal 3 2 2 2 2 2 2 2 2 2 2 2 2 2 2 2 2 2 2 2 2 2 2 2 2 2 2 2 2 2 2 2 2 2 4" xfId="26159" xr:uid="{C5CF6149-BB80-4785-8D48-CA149EA27A41}"/>
    <cellStyle name="Normal 3 2 2 2 2 2 2 2 2 2 2 2 2 2 2 2 2 2 2 2 2 2 2 2 2 2 2 2 2 2 2 2 2 3" xfId="26160" xr:uid="{DA7629ED-F35A-4EAB-A044-7F168CC428FC}"/>
    <cellStyle name="Normal 3 2 2 2 2 2 2 2 2 2 2 2 2 2 2 2 2 2 2 2 2 2 2 2 2 2 2 2 2 2 2 2 2 4" xfId="26161" xr:uid="{B92B64DA-5C49-4951-B90E-E1D46CAAA9D6}"/>
    <cellStyle name="Normal 3 2 2 2 2 2 2 2 2 2 2 2 2 2 2 2 2 2 2 2 2 2 2 2 2 2 2 2 2 2 2 2 2 5" xfId="26162" xr:uid="{6D9E354A-AB51-4F1B-A571-E232AD741412}"/>
    <cellStyle name="Normal 3 2 2 2 2 2 2 2 2 2 2 2 2 2 2 2 2 2 2 2 2 2 2 2 2 2 2 2 2 2 2 2 3" xfId="26163" xr:uid="{8FE352CA-032F-4CD3-A073-99418196F346}"/>
    <cellStyle name="Normal 3 2 2 2 2 2 2 2 2 2 2 2 2 2 2 2 2 2 2 2 2 2 2 2 2 2 2 2 2 2 2 2 4" xfId="26164" xr:uid="{0E548A43-AC3E-4EB4-B538-AA4DCA1D3C21}"/>
    <cellStyle name="Normal 3 2 2 2 2 2 2 2 2 2 2 2 2 2 2 2 2 2 2 2 2 2 2 2 2 2 2 2 2 2 2 2 5" xfId="26165" xr:uid="{96E0CFF3-A8C2-4270-915F-EB7BAFAF16B2}"/>
    <cellStyle name="Normal 3 2 2 2 2 2 2 2 2 2 2 2 2 2 2 2 2 2 2 2 2 2 2 2 2 2 2 2 2 2 2 2 6" xfId="26166" xr:uid="{21B56A7D-41E4-4FD6-A5A5-4E02850EFBD9}"/>
    <cellStyle name="Normal 3 2 2 2 2 2 2 2 2 2 2 2 2 2 2 2 2 2 2 2 2 2 2 2 2 2 2 2 2 2 2 2 6 2" xfId="26167" xr:uid="{6C353ABB-6790-4CA1-ACC3-BEEF3BB948A2}"/>
    <cellStyle name="Normal 3 2 2 2 2 2 2 2 2 2 2 2 2 2 2 2 2 2 2 2 2 2 2 2 2 2 2 2 2 2 2 2 6 3" xfId="26168" xr:uid="{1592214D-664E-42A6-BD7F-B298F35680F6}"/>
    <cellStyle name="Normal 3 2 2 2 2 2 2 2 2 2 2 2 2 2 2 2 2 2 2 2 2 2 2 2 2 2 2 2 2 2 2 2 6 4" xfId="26169" xr:uid="{D6896814-FDE3-4B46-B196-8AC0ED163F76}"/>
    <cellStyle name="Normal 3 2 2 2 2 2 2 2 2 2 2 2 2 2 2 2 2 2 2 2 2 2 2 2 2 2 2 2 2 2 2 2 7" xfId="26170" xr:uid="{F82D63A0-E666-4C8E-8039-C59748A8C45C}"/>
    <cellStyle name="Normal 3 2 2 2 2 2 2 2 2 2 2 2 2 2 2 2 2 2 2 2 2 2 2 2 2 2 2 2 2 2 2 2 8" xfId="26171" xr:uid="{A141CA2D-EAA3-4F3A-AECE-24F95A6C8107}"/>
    <cellStyle name="Normal 3 2 2 2 2 2 2 2 2 2 2 2 2 2 2 2 2 2 2 2 2 2 2 2 2 2 2 2 2 2 2 3" xfId="26172" xr:uid="{7C3F3DB5-27D9-4BBE-AAAF-591304E09E7D}"/>
    <cellStyle name="Normal 3 2 2 2 2 2 2 2 2 2 2 2 2 2 2 2 2 2 2 2 2 2 2 2 2 2 2 2 2 2 2 4" xfId="26173" xr:uid="{43F7B6FF-9911-4DFE-8FB4-2F76CD21F3B7}"/>
    <cellStyle name="Normal 3 2 2 2 2 2 2 2 2 2 2 2 2 2 2 2 2 2 2 2 2 2 2 2 2 2 2 2 2 2 2 5" xfId="26174" xr:uid="{8E1D6568-676B-4DE8-A914-894C7FDB1CE5}"/>
    <cellStyle name="Normal 3 2 2 2 2 2 2 2 2 2 2 2 2 2 2 2 2 2 2 2 2 2 2 2 2 2 2 2 2 2 2 6" xfId="26175" xr:uid="{9A64559B-898B-48C9-8B91-A71DD5148F92}"/>
    <cellStyle name="Normal 3 2 2 2 2 2 2 2 2 2 2 2 2 2 2 2 2 2 2 2 2 2 2 2 2 2 2 2 2 2 2 6 2" xfId="26176" xr:uid="{F7599287-8AED-413F-A9D4-ECE2FCB78B8F}"/>
    <cellStyle name="Normal 3 2 2 2 2 2 2 2 2 2 2 2 2 2 2 2 2 2 2 2 2 2 2 2 2 2 2 2 2 2 2 6 3" xfId="26177" xr:uid="{7090E530-BEBD-41C2-AAD2-1739F979DC62}"/>
    <cellStyle name="Normal 3 2 2 2 2 2 2 2 2 2 2 2 2 2 2 2 2 2 2 2 2 2 2 2 2 2 2 2 2 2 2 6 4" xfId="26178" xr:uid="{2794094F-5767-4943-84CC-E534724A8264}"/>
    <cellStyle name="Normal 3 2 2 2 2 2 2 2 2 2 2 2 2 2 2 2 2 2 2 2 2 2 2 2 2 2 2 2 2 2 2 7" xfId="26179" xr:uid="{B092FE05-DAA8-4C08-8840-BE0D97D82213}"/>
    <cellStyle name="Normal 3 2 2 2 2 2 2 2 2 2 2 2 2 2 2 2 2 2 2 2 2 2 2 2 2 2 2 2 2 2 2 8" xfId="26180" xr:uid="{31FDED5A-B1F6-4D82-BC9E-6944B1D4DE16}"/>
    <cellStyle name="Normal 3 2 2 2 2 2 2 2 2 2 2 2 2 2 2 2 2 2 2 2 2 2 2 2 2 2 2 2 2 2 20" xfId="26181" xr:uid="{3D94EAD1-E202-494C-8CEE-B1F0AA2B5D87}"/>
    <cellStyle name="Normal 3 2 2 2 2 2 2 2 2 2 2 2 2 2 2 2 2 2 2 2 2 2 2 2 2 2 2 2 2 2 21" xfId="26182" xr:uid="{956D0B11-7874-4C9C-B56F-C8BA3329D072}"/>
    <cellStyle name="Normal 3 2 2 2 2 2 2 2 2 2 2 2 2 2 2 2 2 2 2 2 2 2 2 2 2 2 2 2 2 2 22" xfId="26183" xr:uid="{9E573102-28EB-44FA-8BE7-78A6578CACB2}"/>
    <cellStyle name="Normal 3 2 2 2 2 2 2 2 2 2 2 2 2 2 2 2 2 2 2 2 2 2 2 2 2 2 2 2 2 2 23" xfId="26184" xr:uid="{77AB5F67-8377-4306-9700-794BEBC64C8B}"/>
    <cellStyle name="Normal 3 2 2 2 2 2 2 2 2 2 2 2 2 2 2 2 2 2 2 2 2 2 2 2 2 2 2 2 2 2 24" xfId="26185" xr:uid="{F48651D8-0D50-4B9E-BD1F-3104A542CECE}"/>
    <cellStyle name="Normal 3 2 2 2 2 2 2 2 2 2 2 2 2 2 2 2 2 2 2 2 2 2 2 2 2 2 2 2 2 2 25" xfId="26186" xr:uid="{E92A81DC-6D66-453E-B4CC-F6531A63E9C4}"/>
    <cellStyle name="Normal 3 2 2 2 2 2 2 2 2 2 2 2 2 2 2 2 2 2 2 2 2 2 2 2 2 2 2 2 2 2 25 2" xfId="26187" xr:uid="{B7B4C818-87E1-4272-B7D9-D3366FEE7F56}"/>
    <cellStyle name="Normal 3 2 2 2 2 2 2 2 2 2 2 2 2 2 2 2 2 2 2 2 2 2 2 2 2 2 2 2 2 2 25 3" xfId="26188" xr:uid="{E1EBDA29-6100-4926-B70A-B16F307BCA4D}"/>
    <cellStyle name="Normal 3 2 2 2 2 2 2 2 2 2 2 2 2 2 2 2 2 2 2 2 2 2 2 2 2 2 2 2 2 2 25 4" xfId="26189" xr:uid="{BC580B51-228C-47C2-A314-E26AB133B652}"/>
    <cellStyle name="Normal 3 2 2 2 2 2 2 2 2 2 2 2 2 2 2 2 2 2 2 2 2 2 2 2 2 2 2 2 2 2 26" xfId="26190" xr:uid="{9EFD55F3-AF01-4630-9F45-F5B90DB9446E}"/>
    <cellStyle name="Normal 3 2 2 2 2 2 2 2 2 2 2 2 2 2 2 2 2 2 2 2 2 2 2 2 2 2 2 2 2 2 27" xfId="26191" xr:uid="{AF917CF5-7BAF-4366-AED8-4BE1A3F1C03F}"/>
    <cellStyle name="Normal 3 2 2 2 2 2 2 2 2 2 2 2 2 2 2 2 2 2 2 2 2 2 2 2 2 2 2 2 2 2 3" xfId="26192" xr:uid="{0612954C-02EA-4E3B-9CA0-AF489DC72257}"/>
    <cellStyle name="Normal 3 2 2 2 2 2 2 2 2 2 2 2 2 2 2 2 2 2 2 2 2 2 2 2 2 2 2 2 2 2 4" xfId="26193" xr:uid="{2DDB8E34-1F5F-419B-A023-302D5393AE72}"/>
    <cellStyle name="Normal 3 2 2 2 2 2 2 2 2 2 2 2 2 2 2 2 2 2 2 2 2 2 2 2 2 2 2 2 2 2 5" xfId="26194" xr:uid="{6DA4E50B-1C84-496E-B264-2157C6A4E95A}"/>
    <cellStyle name="Normal 3 2 2 2 2 2 2 2 2 2 2 2 2 2 2 2 2 2 2 2 2 2 2 2 2 2 2 2 2 2 6" xfId="26195" xr:uid="{9B0855C3-7EF9-4634-944C-864AAC8CF732}"/>
    <cellStyle name="Normal 3 2 2 2 2 2 2 2 2 2 2 2 2 2 2 2 2 2 2 2 2 2 2 2 2 2 2 2 2 2 7" xfId="26196" xr:uid="{035EE4E5-FCD0-41AE-9B6B-494B2CB06EE0}"/>
    <cellStyle name="Normal 3 2 2 2 2 2 2 2 2 2 2 2 2 2 2 2 2 2 2 2 2 2 2 2 2 2 2 2 2 2 8" xfId="26197" xr:uid="{EA93E09F-1780-4CA8-B2A0-2F9712BE7C07}"/>
    <cellStyle name="Normal 3 2 2 2 2 2 2 2 2 2 2 2 2 2 2 2 2 2 2 2 2 2 2 2 2 2 2 2 2 2 9" xfId="26198" xr:uid="{3A50E4CE-E45A-4A93-92D5-59DB90DAA458}"/>
    <cellStyle name="Normal 3 2 2 2 2 2 2 2 2 2 2 2 2 2 2 2 2 2 2 2 2 2 2 2 2 2 2 2 2 20" xfId="26199" xr:uid="{5AE72E83-58AE-4874-B84D-D037D606E85D}"/>
    <cellStyle name="Normal 3 2 2 2 2 2 2 2 2 2 2 2 2 2 2 2 2 2 2 2 2 2 2 2 2 2 2 2 2 21" xfId="26200" xr:uid="{F5B76EF0-152F-4924-B4B7-AC48E4734B5D}"/>
    <cellStyle name="Normal 3 2 2 2 2 2 2 2 2 2 2 2 2 2 2 2 2 2 2 2 2 2 2 2 2 2 2 2 2 22" xfId="26201" xr:uid="{7A8086ED-E14E-45FA-B79E-A73D29C7135E}"/>
    <cellStyle name="Normal 3 2 2 2 2 2 2 2 2 2 2 2 2 2 2 2 2 2 2 2 2 2 2 2 2 2 2 2 2 23" xfId="26202" xr:uid="{FDEDFBF6-785C-4ED4-8923-6D32CB3D8B4A}"/>
    <cellStyle name="Normal 3 2 2 2 2 2 2 2 2 2 2 2 2 2 2 2 2 2 2 2 2 2 2 2 2 2 2 2 2 24" xfId="26203" xr:uid="{A3AB871A-3CC5-44FC-8BB7-0AB82B129BF4}"/>
    <cellStyle name="Normal 3 2 2 2 2 2 2 2 2 2 2 2 2 2 2 2 2 2 2 2 2 2 2 2 2 2 2 2 2 25" xfId="26204" xr:uid="{EC35016F-A9D9-4B78-AE4A-008A7EF179FF}"/>
    <cellStyle name="Normal 3 2 2 2 2 2 2 2 2 2 2 2 2 2 2 2 2 2 2 2 2 2 2 2 2 2 2 2 2 25 2" xfId="26205" xr:uid="{6DC628C1-992E-447E-8F62-FFD7237BB4A4}"/>
    <cellStyle name="Normal 3 2 2 2 2 2 2 2 2 2 2 2 2 2 2 2 2 2 2 2 2 2 2 2 2 2 2 2 2 25 3" xfId="26206" xr:uid="{DACF2046-3C8C-4997-A0FD-890E41E1D0C0}"/>
    <cellStyle name="Normal 3 2 2 2 2 2 2 2 2 2 2 2 2 2 2 2 2 2 2 2 2 2 2 2 2 2 2 2 2 25 4" xfId="26207" xr:uid="{FDD44586-3AE3-4057-B816-8154CFC5B5A5}"/>
    <cellStyle name="Normal 3 2 2 2 2 2 2 2 2 2 2 2 2 2 2 2 2 2 2 2 2 2 2 2 2 2 2 2 2 26" xfId="26208" xr:uid="{1CFBE210-9777-4048-A94D-D648C89EF459}"/>
    <cellStyle name="Normal 3 2 2 2 2 2 2 2 2 2 2 2 2 2 2 2 2 2 2 2 2 2 2 2 2 2 2 2 2 27" xfId="26209" xr:uid="{8238E659-E5A5-491E-9B2C-BE13E2C73A3A}"/>
    <cellStyle name="Normal 3 2 2 2 2 2 2 2 2 2 2 2 2 2 2 2 2 2 2 2 2 2 2 2 2 2 2 2 2 3" xfId="26210" xr:uid="{94E9FD05-D2D7-43D9-824C-17CB4B3B56C7}"/>
    <cellStyle name="Normal 3 2 2 2 2 2 2 2 2 2 2 2 2 2 2 2 2 2 2 2 2 2 2 2 2 2 2 2 2 4" xfId="26211" xr:uid="{266062B0-832E-4C10-A9AE-61D1466EE851}"/>
    <cellStyle name="Normal 3 2 2 2 2 2 2 2 2 2 2 2 2 2 2 2 2 2 2 2 2 2 2 2 2 2 2 2 2 5" xfId="26212" xr:uid="{672A8D80-3191-4DEC-9F5C-3DEB29CBEA65}"/>
    <cellStyle name="Normal 3 2 2 2 2 2 2 2 2 2 2 2 2 2 2 2 2 2 2 2 2 2 2 2 2 2 2 2 2 6" xfId="26213" xr:uid="{7919862B-DCA4-495E-B613-CC7B20BD4DDA}"/>
    <cellStyle name="Normal 3 2 2 2 2 2 2 2 2 2 2 2 2 2 2 2 2 2 2 2 2 2 2 2 2 2 2 2 2 7" xfId="26214" xr:uid="{2CEF94F6-4420-4066-8495-57DE6A8918E5}"/>
    <cellStyle name="Normal 3 2 2 2 2 2 2 2 2 2 2 2 2 2 2 2 2 2 2 2 2 2 2 2 2 2 2 2 2 8" xfId="26215" xr:uid="{09C9DB95-7D04-4D8C-8FB7-BC3596907E1C}"/>
    <cellStyle name="Normal 3 2 2 2 2 2 2 2 2 2 2 2 2 2 2 2 2 2 2 2 2 2 2 2 2 2 2 2 2 9" xfId="26216" xr:uid="{1D0931C2-3D31-4182-920C-65FC28496B59}"/>
    <cellStyle name="Normal 3 2 2 2 2 2 2 2 2 2 2 2 2 2 2 2 2 2 2 2 2 2 2 2 2 2 2 2 20" xfId="26217" xr:uid="{C002AC42-3C09-4549-81D7-22A916F4F986}"/>
    <cellStyle name="Normal 3 2 2 2 2 2 2 2 2 2 2 2 2 2 2 2 2 2 2 2 2 2 2 2 2 2 2 2 21" xfId="26218" xr:uid="{66865D67-2EE9-436B-A37E-2F1462192A0B}"/>
    <cellStyle name="Normal 3 2 2 2 2 2 2 2 2 2 2 2 2 2 2 2 2 2 2 2 2 2 2 2 2 2 2 2 22" xfId="26219" xr:uid="{AACC9F9D-280D-4D39-8BD3-91BAD701E8D1}"/>
    <cellStyle name="Normal 3 2 2 2 2 2 2 2 2 2 2 2 2 2 2 2 2 2 2 2 2 2 2 2 2 2 2 2 23" xfId="26220" xr:uid="{1A711965-CC05-48FA-8DE1-DE8A5E910ED2}"/>
    <cellStyle name="Normal 3 2 2 2 2 2 2 2 2 2 2 2 2 2 2 2 2 2 2 2 2 2 2 2 2 2 2 2 24" xfId="26221" xr:uid="{1D273E73-CFF7-411A-8446-E821727E8CE9}"/>
    <cellStyle name="Normal 3 2 2 2 2 2 2 2 2 2 2 2 2 2 2 2 2 2 2 2 2 2 2 2 2 2 2 2 25" xfId="26222" xr:uid="{10ECE5E0-5BE8-45DB-802E-24CCBA6244A5}"/>
    <cellStyle name="Normal 3 2 2 2 2 2 2 2 2 2 2 2 2 2 2 2 2 2 2 2 2 2 2 2 2 2 2 2 26" xfId="26223" xr:uid="{8441E765-2502-4886-8224-E0F6956082E0}"/>
    <cellStyle name="Normal 3 2 2 2 2 2 2 2 2 2 2 2 2 2 2 2 2 2 2 2 2 2 2 2 2 2 2 2 26 2" xfId="26224" xr:uid="{7FBDFCBE-3E9F-40E0-BD99-CDCC3BFA3CAB}"/>
    <cellStyle name="Normal 3 2 2 2 2 2 2 2 2 2 2 2 2 2 2 2 2 2 2 2 2 2 2 2 2 2 2 2 26 3" xfId="26225" xr:uid="{A7049BCE-A2D5-4B57-A377-22BF7329D2A0}"/>
    <cellStyle name="Normal 3 2 2 2 2 2 2 2 2 2 2 2 2 2 2 2 2 2 2 2 2 2 2 2 2 2 2 2 26 4" xfId="26226" xr:uid="{F2EB948A-3E42-4C14-8A3A-5E7439DEFE3C}"/>
    <cellStyle name="Normal 3 2 2 2 2 2 2 2 2 2 2 2 2 2 2 2 2 2 2 2 2 2 2 2 2 2 2 2 27" xfId="26227" xr:uid="{B108A54F-274C-4757-913C-E453DF0243E9}"/>
    <cellStyle name="Normal 3 2 2 2 2 2 2 2 2 2 2 2 2 2 2 2 2 2 2 2 2 2 2 2 2 2 2 2 28" xfId="26228" xr:uid="{EB5C6BEE-D542-461B-A013-02878BDCFD83}"/>
    <cellStyle name="Normal 3 2 2 2 2 2 2 2 2 2 2 2 2 2 2 2 2 2 2 2 2 2 2 2 2 2 2 2 3" xfId="26229" xr:uid="{7420E5F9-D59A-4FBF-948C-B10EC1C9F549}"/>
    <cellStyle name="Normal 3 2 2 2 2 2 2 2 2 2 2 2 2 2 2 2 2 2 2 2 2 2 2 2 2 2 2 2 4" xfId="26230" xr:uid="{1812A6A1-3B2E-49D8-8006-8A7974CBAA19}"/>
    <cellStyle name="Normal 3 2 2 2 2 2 2 2 2 2 2 2 2 2 2 2 2 2 2 2 2 2 2 2 2 2 2 2 5" xfId="26231" xr:uid="{1301EDBC-7E52-4940-A530-C0352BC12CB5}"/>
    <cellStyle name="Normal 3 2 2 2 2 2 2 2 2 2 2 2 2 2 2 2 2 2 2 2 2 2 2 2 2 2 2 2 6" xfId="26232" xr:uid="{DF42975C-4D7E-4A74-A2BE-0F02CE1B7D4C}"/>
    <cellStyle name="Normal 3 2 2 2 2 2 2 2 2 2 2 2 2 2 2 2 2 2 2 2 2 2 2 2 2 2 2 2 7" xfId="26233" xr:uid="{43389489-4111-4575-8135-5911E0DF8565}"/>
    <cellStyle name="Normal 3 2 2 2 2 2 2 2 2 2 2 2 2 2 2 2 2 2 2 2 2 2 2 2 2 2 2 2 8" xfId="26234" xr:uid="{762349E0-B4C1-4B91-9655-DD4FFA920ABB}"/>
    <cellStyle name="Normal 3 2 2 2 2 2 2 2 2 2 2 2 2 2 2 2 2 2 2 2 2 2 2 2 2 2 2 2 9" xfId="26235" xr:uid="{16F7B3AF-893D-4684-BF4F-36E983B22FF8}"/>
    <cellStyle name="Normal 3 2 2 2 2 2 2 2 2 2 2 2 2 2 2 2 2 2 2 2 2 2 2 2 2 2 2 20" xfId="26236" xr:uid="{20AFB403-46AD-4C7E-A336-54FD61B4E189}"/>
    <cellStyle name="Normal 3 2 2 2 2 2 2 2 2 2 2 2 2 2 2 2 2 2 2 2 2 2 2 2 2 2 2 21" xfId="26237" xr:uid="{EC3C2B48-1513-4C8D-9424-709906A2AAC1}"/>
    <cellStyle name="Normal 3 2 2 2 2 2 2 2 2 2 2 2 2 2 2 2 2 2 2 2 2 2 2 2 2 2 2 22" xfId="26238" xr:uid="{4BAE9C54-E8F6-4CA2-8BFA-EABAC71382E0}"/>
    <cellStyle name="Normal 3 2 2 2 2 2 2 2 2 2 2 2 2 2 2 2 2 2 2 2 2 2 2 2 2 2 2 23" xfId="26239" xr:uid="{08490704-ED1E-475C-9798-117C8565F7F4}"/>
    <cellStyle name="Normal 3 2 2 2 2 2 2 2 2 2 2 2 2 2 2 2 2 2 2 2 2 2 2 2 2 2 2 24" xfId="26240" xr:uid="{C2AEC60F-CD24-4A25-ACDE-A0CD74CF0527}"/>
    <cellStyle name="Normal 3 2 2 2 2 2 2 2 2 2 2 2 2 2 2 2 2 2 2 2 2 2 2 2 2 2 2 25" xfId="26241" xr:uid="{A073028F-91AB-42E7-B1F1-4F9F27E7CF45}"/>
    <cellStyle name="Normal 3 2 2 2 2 2 2 2 2 2 2 2 2 2 2 2 2 2 2 2 2 2 2 2 2 2 2 26" xfId="26242" xr:uid="{F0FB97A9-50C0-430F-974B-20BB1C341F25}"/>
    <cellStyle name="Normal 3 2 2 2 2 2 2 2 2 2 2 2 2 2 2 2 2 2 2 2 2 2 2 2 2 2 2 26 2" xfId="26243" xr:uid="{8F30736F-7857-4087-A6DD-2E256B867E14}"/>
    <cellStyle name="Normal 3 2 2 2 2 2 2 2 2 2 2 2 2 2 2 2 2 2 2 2 2 2 2 2 2 2 2 26 3" xfId="26244" xr:uid="{78DEF60F-592B-4CA0-A2D3-197EFB5B5D97}"/>
    <cellStyle name="Normal 3 2 2 2 2 2 2 2 2 2 2 2 2 2 2 2 2 2 2 2 2 2 2 2 2 2 2 26 4" xfId="26245" xr:uid="{174DD578-CD17-499E-AE11-11F57D559449}"/>
    <cellStyle name="Normal 3 2 2 2 2 2 2 2 2 2 2 2 2 2 2 2 2 2 2 2 2 2 2 2 2 2 2 27" xfId="26246" xr:uid="{156A43B6-272F-4543-B39A-FB8EC42840EA}"/>
    <cellStyle name="Normal 3 2 2 2 2 2 2 2 2 2 2 2 2 2 2 2 2 2 2 2 2 2 2 2 2 2 2 28" xfId="26247" xr:uid="{D317E714-5DEC-476F-B9EF-17CBBCFC8014}"/>
    <cellStyle name="Normal 3 2 2 2 2 2 2 2 2 2 2 2 2 2 2 2 2 2 2 2 2 2 2 2 2 2 2 3" xfId="26248" xr:uid="{A2F1EE91-776E-445C-807C-5CC2ED143F96}"/>
    <cellStyle name="Normal 3 2 2 2 2 2 2 2 2 2 2 2 2 2 2 2 2 2 2 2 2 2 2 2 2 2 2 4" xfId="26249" xr:uid="{7383A93E-8281-4E80-AB3B-7429B4C60912}"/>
    <cellStyle name="Normal 3 2 2 2 2 2 2 2 2 2 2 2 2 2 2 2 2 2 2 2 2 2 2 2 2 2 2 5" xfId="26250" xr:uid="{BE93C07A-802E-46D9-B56D-5FCD4866ACCA}"/>
    <cellStyle name="Normal 3 2 2 2 2 2 2 2 2 2 2 2 2 2 2 2 2 2 2 2 2 2 2 2 2 2 2 6" xfId="26251" xr:uid="{3050C896-1F70-45EE-B63B-0E81E76EC9F2}"/>
    <cellStyle name="Normal 3 2 2 2 2 2 2 2 2 2 2 2 2 2 2 2 2 2 2 2 2 2 2 2 2 2 2 7" xfId="26252" xr:uid="{689EEFDC-962D-43AC-8FE9-27A6B79A3A28}"/>
    <cellStyle name="Normal 3 2 2 2 2 2 2 2 2 2 2 2 2 2 2 2 2 2 2 2 2 2 2 2 2 2 2 8" xfId="26253" xr:uid="{C2722B1A-4AE8-4386-A2AE-943B279B8B79}"/>
    <cellStyle name="Normal 3 2 2 2 2 2 2 2 2 2 2 2 2 2 2 2 2 2 2 2 2 2 2 2 2 2 2 9" xfId="26254" xr:uid="{591BB8C6-86FD-452E-9055-977F81B3EA57}"/>
    <cellStyle name="Normal 3 2 2 2 2 2 2 2 2 2 2 2 2 2 2 2 2 2 2 2 2 2 2 2 2 2 20" xfId="26255" xr:uid="{629128C3-B459-4DD7-A825-7D1ADA428DD8}"/>
    <cellStyle name="Normal 3 2 2 2 2 2 2 2 2 2 2 2 2 2 2 2 2 2 2 2 2 2 2 2 2 2 21" xfId="26256" xr:uid="{1105D780-DC42-4ED3-ACDC-A66729CDA2CD}"/>
    <cellStyle name="Normal 3 2 2 2 2 2 2 2 2 2 2 2 2 2 2 2 2 2 2 2 2 2 2 2 2 2 22" xfId="26257" xr:uid="{4755AEB2-08ED-4E2A-82E8-68611F6ACE66}"/>
    <cellStyle name="Normal 3 2 2 2 2 2 2 2 2 2 2 2 2 2 2 2 2 2 2 2 2 2 2 2 2 2 23" xfId="26258" xr:uid="{56E171AC-5DBB-4FB2-9CC0-179CD155D23B}"/>
    <cellStyle name="Normal 3 2 2 2 2 2 2 2 2 2 2 2 2 2 2 2 2 2 2 2 2 2 2 2 2 2 24" xfId="26259" xr:uid="{DCA255DF-E10B-486A-9636-DEF0B7DE73D8}"/>
    <cellStyle name="Normal 3 2 2 2 2 2 2 2 2 2 2 2 2 2 2 2 2 2 2 2 2 2 2 2 2 2 25" xfId="26260" xr:uid="{BA3B438A-B90D-48CF-A287-F0BB39577074}"/>
    <cellStyle name="Normal 3 2 2 2 2 2 2 2 2 2 2 2 2 2 2 2 2 2 2 2 2 2 2 2 2 2 26" xfId="26261" xr:uid="{F7392895-B639-4F06-A293-4FCE8488B2C5}"/>
    <cellStyle name="Normal 3 2 2 2 2 2 2 2 2 2 2 2 2 2 2 2 2 2 2 2 2 2 2 2 2 2 27" xfId="26262" xr:uid="{4A6D3FC9-95D1-4A12-A673-CC72265F537F}"/>
    <cellStyle name="Normal 3 2 2 2 2 2 2 2 2 2 2 2 2 2 2 2 2 2 2 2 2 2 2 2 2 2 28" xfId="26263" xr:uid="{AE1EE6CB-65C5-4084-B79E-52D1F170E38D}"/>
    <cellStyle name="Normal 3 2 2 2 2 2 2 2 2 2 2 2 2 2 2 2 2 2 2 2 2 2 2 2 2 2 28 2" xfId="26264" xr:uid="{4DF54119-72A3-452F-9C9D-ABC55167A673}"/>
    <cellStyle name="Normal 3 2 2 2 2 2 2 2 2 2 2 2 2 2 2 2 2 2 2 2 2 2 2 2 2 2 28 3" xfId="26265" xr:uid="{44E867CD-343B-4EC2-B2C3-26C3D73AB16D}"/>
    <cellStyle name="Normal 3 2 2 2 2 2 2 2 2 2 2 2 2 2 2 2 2 2 2 2 2 2 2 2 2 2 28 4" xfId="26266" xr:uid="{587E5990-5F7E-43C5-9C89-F2DFDF0F6E42}"/>
    <cellStyle name="Normal 3 2 2 2 2 2 2 2 2 2 2 2 2 2 2 2 2 2 2 2 2 2 2 2 2 2 29" xfId="26267" xr:uid="{7A91BC3B-9E36-43F3-9CD0-3BA0A468BF11}"/>
    <cellStyle name="Normal 3 2 2 2 2 2 2 2 2 2 2 2 2 2 2 2 2 2 2 2 2 2 2 2 2 2 3" xfId="26268" xr:uid="{83789B76-04F7-448C-889F-41C42B87E6E6}"/>
    <cellStyle name="Normal 3 2 2 2 2 2 2 2 2 2 2 2 2 2 2 2 2 2 2 2 2 2 2 2 2 2 30" xfId="26269" xr:uid="{429D6EB6-C2AE-4CBB-94A2-77E2F34B4D67}"/>
    <cellStyle name="Normal 3 2 2 2 2 2 2 2 2 2 2 2 2 2 2 2 2 2 2 2 2 2 2 2 2 2 4" xfId="26270" xr:uid="{0ACFF9C5-A9FD-409B-AA7C-10734A79F5A6}"/>
    <cellStyle name="Normal 3 2 2 2 2 2 2 2 2 2 2 2 2 2 2 2 2 2 2 2 2 2 2 2 2 2 5" xfId="26271" xr:uid="{DCF04158-4C1D-47D6-AD6F-4D6F273E8B5C}"/>
    <cellStyle name="Normal 3 2 2 2 2 2 2 2 2 2 2 2 2 2 2 2 2 2 2 2 2 2 2 2 2 2 6" xfId="26272" xr:uid="{69D3419F-32D3-415E-97B7-9FC0816BA51B}"/>
    <cellStyle name="Normal 3 2 2 2 2 2 2 2 2 2 2 2 2 2 2 2 2 2 2 2 2 2 2 2 2 2 7" xfId="26273" xr:uid="{5BAB39DA-B3B6-4918-8341-6A620926B859}"/>
    <cellStyle name="Normal 3 2 2 2 2 2 2 2 2 2 2 2 2 2 2 2 2 2 2 2 2 2 2 2 2 2 8" xfId="26274" xr:uid="{468D1C79-7FAF-43BD-8746-F52A3F2BF5B3}"/>
    <cellStyle name="Normal 3 2 2 2 2 2 2 2 2 2 2 2 2 2 2 2 2 2 2 2 2 2 2 2 2 2 9" xfId="26275" xr:uid="{F770CD06-76BB-472C-BC87-DF6C4B7EB6C4}"/>
    <cellStyle name="Normal 3 2 2 2 2 2 2 2 2 2 2 2 2 2 2 2 2 2 2 2 2 2 2 2 2 20" xfId="26276" xr:uid="{2704D902-63A5-4392-B632-9C71C3FE1BA9}"/>
    <cellStyle name="Normal 3 2 2 2 2 2 2 2 2 2 2 2 2 2 2 2 2 2 2 2 2 2 2 2 2 21" xfId="26277" xr:uid="{3BDFEE66-B7E4-4ABD-B557-9B93FE87275A}"/>
    <cellStyle name="Normal 3 2 2 2 2 2 2 2 2 2 2 2 2 2 2 2 2 2 2 2 2 2 2 2 2 22" xfId="26278" xr:uid="{1C2F74CC-1FF9-4B7B-9C4D-EE1D1CC4E663}"/>
    <cellStyle name="Normal 3 2 2 2 2 2 2 2 2 2 2 2 2 2 2 2 2 2 2 2 2 2 2 2 2 23" xfId="26279" xr:uid="{9CECBBC6-3DD1-43DB-B9C8-FA96A7B97850}"/>
    <cellStyle name="Normal 3 2 2 2 2 2 2 2 2 2 2 2 2 2 2 2 2 2 2 2 2 2 2 2 2 24" xfId="26280" xr:uid="{A76AA9DC-433F-4FE2-B42F-07CE1939A2D4}"/>
    <cellStyle name="Normal 3 2 2 2 2 2 2 2 2 2 2 2 2 2 2 2 2 2 2 2 2 2 2 2 2 25" xfId="26281" xr:uid="{CE40A6DB-1F0A-4B81-B002-EF0AD39FC8C6}"/>
    <cellStyle name="Normal 3 2 2 2 2 2 2 2 2 2 2 2 2 2 2 2 2 2 2 2 2 2 2 2 2 26" xfId="26282" xr:uid="{B0AD698A-9755-48B5-8655-DC2721046122}"/>
    <cellStyle name="Normal 3 2 2 2 2 2 2 2 2 2 2 2 2 2 2 2 2 2 2 2 2 2 2 2 2 27" xfId="26283" xr:uid="{74CE6CFC-9203-4E6A-90FB-ECE9FA2B354D}"/>
    <cellStyle name="Normal 3 2 2 2 2 2 2 2 2 2 2 2 2 2 2 2 2 2 2 2 2 2 2 2 2 28" xfId="26284" xr:uid="{65B20807-AC3E-44A8-8D3F-0E2631181ECB}"/>
    <cellStyle name="Normal 3 2 2 2 2 2 2 2 2 2 2 2 2 2 2 2 2 2 2 2 2 2 2 2 2 28 2" xfId="26285" xr:uid="{FD85152C-5532-4A7E-8411-B510476DD1DD}"/>
    <cellStyle name="Normal 3 2 2 2 2 2 2 2 2 2 2 2 2 2 2 2 2 2 2 2 2 2 2 2 2 28 3" xfId="26286" xr:uid="{2CB4551C-03F2-46EE-A8CB-A63BC86EFAA1}"/>
    <cellStyle name="Normal 3 2 2 2 2 2 2 2 2 2 2 2 2 2 2 2 2 2 2 2 2 2 2 2 2 28 4" xfId="26287" xr:uid="{8D94E856-19AB-4429-8938-E0590387EEB0}"/>
    <cellStyle name="Normal 3 2 2 2 2 2 2 2 2 2 2 2 2 2 2 2 2 2 2 2 2 2 2 2 2 29" xfId="26288" xr:uid="{17F32FCE-0C9D-4CAE-891C-AB1411B4DFB3}"/>
    <cellStyle name="Normal 3 2 2 2 2 2 2 2 2 2 2 2 2 2 2 2 2 2 2 2 2 2 2 2 2 3" xfId="26289" xr:uid="{9DBCDA31-2593-4AF4-A53E-136DC1A737BC}"/>
    <cellStyle name="Normal 3 2 2 2 2 2 2 2 2 2 2 2 2 2 2 2 2 2 2 2 2 2 2 2 2 30" xfId="26290" xr:uid="{F60B4F83-6594-4AE3-8CF1-F086D2F4BA86}"/>
    <cellStyle name="Normal 3 2 2 2 2 2 2 2 2 2 2 2 2 2 2 2 2 2 2 2 2 2 2 2 2 4" xfId="26291" xr:uid="{FD954840-202E-4DB5-9F15-D3354F6E3FAB}"/>
    <cellStyle name="Normal 3 2 2 2 2 2 2 2 2 2 2 2 2 2 2 2 2 2 2 2 2 2 2 2 2 5" xfId="26292" xr:uid="{A4051ADC-7FC0-4E88-8048-1FC27421401E}"/>
    <cellStyle name="Normal 3 2 2 2 2 2 2 2 2 2 2 2 2 2 2 2 2 2 2 2 2 2 2 2 2 6" xfId="26293" xr:uid="{D5B4F44E-7A86-4276-AEE5-896667170C0C}"/>
    <cellStyle name="Normal 3 2 2 2 2 2 2 2 2 2 2 2 2 2 2 2 2 2 2 2 2 2 2 2 2 7" xfId="26294" xr:uid="{E47FDE05-2FE7-4BD7-B129-CA1BA319EDA1}"/>
    <cellStyle name="Normal 3 2 2 2 2 2 2 2 2 2 2 2 2 2 2 2 2 2 2 2 2 2 2 2 2 8" xfId="26295" xr:uid="{93C4BBF9-2535-4CF9-9514-43E029DABC57}"/>
    <cellStyle name="Normal 3 2 2 2 2 2 2 2 2 2 2 2 2 2 2 2 2 2 2 2 2 2 2 2 2 9" xfId="26296" xr:uid="{9A3788B7-3DFA-4CD6-8657-5CA713747C99}"/>
    <cellStyle name="Normal 3 2 2 2 2 2 2 2 2 2 2 2 2 2 2 2 2 2 2 2 2 2 2 2 20" xfId="26297" xr:uid="{17B94276-57CE-4738-975A-33B931A6A7EE}"/>
    <cellStyle name="Normal 3 2 2 2 2 2 2 2 2 2 2 2 2 2 2 2 2 2 2 2 2 2 2 2 21" xfId="26298" xr:uid="{7334D756-4956-4FC6-AD22-D65154068AFC}"/>
    <cellStyle name="Normal 3 2 2 2 2 2 2 2 2 2 2 2 2 2 2 2 2 2 2 2 2 2 2 2 22" xfId="26299" xr:uid="{D5FFB096-9238-48D8-8A1B-B5B25AC800ED}"/>
    <cellStyle name="Normal 3 2 2 2 2 2 2 2 2 2 2 2 2 2 2 2 2 2 2 2 2 2 2 2 23" xfId="26300" xr:uid="{41B32AA7-B4E4-4AFD-A949-E5C3A5E4B35C}"/>
    <cellStyle name="Normal 3 2 2 2 2 2 2 2 2 2 2 2 2 2 2 2 2 2 2 2 2 2 2 2 24" xfId="26301" xr:uid="{995D31A0-33AA-4964-8471-4C29C076C8E7}"/>
    <cellStyle name="Normal 3 2 2 2 2 2 2 2 2 2 2 2 2 2 2 2 2 2 2 2 2 2 2 2 25" xfId="26302" xr:uid="{F118908E-852B-400E-8AB1-A964939D7CDD}"/>
    <cellStyle name="Normal 3 2 2 2 2 2 2 2 2 2 2 2 2 2 2 2 2 2 2 2 2 2 2 2 26" xfId="26303" xr:uid="{5767A7FA-53D0-4501-BEE2-F381FDBF85D1}"/>
    <cellStyle name="Normal 3 2 2 2 2 2 2 2 2 2 2 2 2 2 2 2 2 2 2 2 2 2 2 2 27" xfId="26304" xr:uid="{86189CCE-6B55-4612-9780-55906CA6463B}"/>
    <cellStyle name="Normal 3 2 2 2 2 2 2 2 2 2 2 2 2 2 2 2 2 2 2 2 2 2 2 2 28" xfId="26305" xr:uid="{40E69CAF-06AD-4214-95AB-5592ADD1386D}"/>
    <cellStyle name="Normal 3 2 2 2 2 2 2 2 2 2 2 2 2 2 2 2 2 2 2 2 2 2 2 2 29" xfId="26306" xr:uid="{0722F057-F26C-4C68-B7D5-A8406B877CFD}"/>
    <cellStyle name="Normal 3 2 2 2 2 2 2 2 2 2 2 2 2 2 2 2 2 2 2 2 2 2 2 2 3" xfId="26307" xr:uid="{03AF5BBF-B353-49D3-92DD-CD181677C964}"/>
    <cellStyle name="Normal 3 2 2 2 2 2 2 2 2 2 2 2 2 2 2 2 2 2 2 2 2 2 2 2 30" xfId="26308" xr:uid="{D7BA22E0-D5E2-4C07-8D38-0021BE66DA67}"/>
    <cellStyle name="Normal 3 2 2 2 2 2 2 2 2 2 2 2 2 2 2 2 2 2 2 2 2 2 2 2 31" xfId="26309" xr:uid="{06934EEA-6402-4610-90AD-E45499245518}"/>
    <cellStyle name="Normal 3 2 2 2 2 2 2 2 2 2 2 2 2 2 2 2 2 2 2 2 2 2 2 2 32" xfId="26310" xr:uid="{1AFB839F-CD27-4602-A589-FCBE6898E6B7}"/>
    <cellStyle name="Normal 3 2 2 2 2 2 2 2 2 2 2 2 2 2 2 2 2 2 2 2 2 2 2 2 33" xfId="26311" xr:uid="{10E1DBB5-52FF-4DD8-9EB6-BA4E5F6A1E0A}"/>
    <cellStyle name="Normal 3 2 2 2 2 2 2 2 2 2 2 2 2 2 2 2 2 2 2 2 2 2 2 2 34" xfId="26312" xr:uid="{E4C22308-5F71-4C8E-A1DD-8DA18E3F957F}"/>
    <cellStyle name="Normal 3 2 2 2 2 2 2 2 2 2 2 2 2 2 2 2 2 2 2 2 2 2 2 2 34 2" xfId="26313" xr:uid="{ACDD4C65-7752-43DD-AE03-6399C44EA28F}"/>
    <cellStyle name="Normal 3 2 2 2 2 2 2 2 2 2 2 2 2 2 2 2 2 2 2 2 2 2 2 2 34 3" xfId="26314" xr:uid="{7741536B-B6F5-43BB-A0FA-D429E053E2B7}"/>
    <cellStyle name="Normal 3 2 2 2 2 2 2 2 2 2 2 2 2 2 2 2 2 2 2 2 2 2 2 2 34 4" xfId="26315" xr:uid="{7697B1D1-125E-4EE3-9806-BDEF8B7970BB}"/>
    <cellStyle name="Normal 3 2 2 2 2 2 2 2 2 2 2 2 2 2 2 2 2 2 2 2 2 2 2 2 35" xfId="26316" xr:uid="{F8BAF20A-55A9-4B12-8DDD-BDD1E5CA3898}"/>
    <cellStyle name="Normal 3 2 2 2 2 2 2 2 2 2 2 2 2 2 2 2 2 2 2 2 2 2 2 2 36" xfId="26317" xr:uid="{0687E9DC-D611-477D-99B6-6254F8FA5383}"/>
    <cellStyle name="Normal 3 2 2 2 2 2 2 2 2 2 2 2 2 2 2 2 2 2 2 2 2 2 2 2 4" xfId="26318" xr:uid="{10E8E2FC-39CA-469B-B476-F05A2A4AF2EF}"/>
    <cellStyle name="Normal 3 2 2 2 2 2 2 2 2 2 2 2 2 2 2 2 2 2 2 2 2 2 2 2 5" xfId="26319" xr:uid="{CD7ED81A-6D9B-42E7-9CAB-2347C892C439}"/>
    <cellStyle name="Normal 3 2 2 2 2 2 2 2 2 2 2 2 2 2 2 2 2 2 2 2 2 2 2 2 6" xfId="26320" xr:uid="{C82F3A91-3137-4ACD-901E-665BB86BAB09}"/>
    <cellStyle name="Normal 3 2 2 2 2 2 2 2 2 2 2 2 2 2 2 2 2 2 2 2 2 2 2 2 7" xfId="26321" xr:uid="{D4CC3ABA-CC8A-46DB-8AC0-BED9DE7DDACA}"/>
    <cellStyle name="Normal 3 2 2 2 2 2 2 2 2 2 2 2 2 2 2 2 2 2 2 2 2 2 2 2 8" xfId="26322" xr:uid="{0D62DA15-50B4-4553-B5B7-B06A8874E505}"/>
    <cellStyle name="Normal 3 2 2 2 2 2 2 2 2 2 2 2 2 2 2 2 2 2 2 2 2 2 2 2 9" xfId="26323" xr:uid="{826E3372-7167-434F-AB99-634ADCEB1BC6}"/>
    <cellStyle name="Normal 3 2 2 2 2 2 2 2 2 2 2 2 2 2 2 2 2 2 2 2 2 2 2 20" xfId="26324" xr:uid="{C863A3C2-3525-4FC8-A943-D1DB696F684A}"/>
    <cellStyle name="Normal 3 2 2 2 2 2 2 2 2 2 2 2 2 2 2 2 2 2 2 2 2 2 2 21" xfId="26325" xr:uid="{49CED817-C741-4F8C-9B2C-EAD560B08F50}"/>
    <cellStyle name="Normal 3 2 2 2 2 2 2 2 2 2 2 2 2 2 2 2 2 2 2 2 2 2 2 22" xfId="26326" xr:uid="{B0162F35-BC03-43B7-B75E-46A656F4242F}"/>
    <cellStyle name="Normal 3 2 2 2 2 2 2 2 2 2 2 2 2 2 2 2 2 2 2 2 2 2 2 23" xfId="26327" xr:uid="{A78FCCB8-37E0-4927-855D-AC3027A138DE}"/>
    <cellStyle name="Normal 3 2 2 2 2 2 2 2 2 2 2 2 2 2 2 2 2 2 2 2 2 2 2 24" xfId="26328" xr:uid="{2A001C8E-C67C-4CC9-80DD-72C72632EBB2}"/>
    <cellStyle name="Normal 3 2 2 2 2 2 2 2 2 2 2 2 2 2 2 2 2 2 2 2 2 2 2 25" xfId="26329" xr:uid="{CBDBCCC3-E985-44D0-A00E-DD425EF02E4C}"/>
    <cellStyle name="Normal 3 2 2 2 2 2 2 2 2 2 2 2 2 2 2 2 2 2 2 2 2 2 2 26" xfId="26330" xr:uid="{EB488D9C-8C96-40FC-AE0C-665B1DB48903}"/>
    <cellStyle name="Normal 3 2 2 2 2 2 2 2 2 2 2 2 2 2 2 2 2 2 2 2 2 2 2 27" xfId="26331" xr:uid="{808F4F01-48A0-494C-B797-2D131506929E}"/>
    <cellStyle name="Normal 3 2 2 2 2 2 2 2 2 2 2 2 2 2 2 2 2 2 2 2 2 2 2 28" xfId="26332" xr:uid="{D1DB9C9B-BE55-4818-8959-FC178A2AA326}"/>
    <cellStyle name="Normal 3 2 2 2 2 2 2 2 2 2 2 2 2 2 2 2 2 2 2 2 2 2 2 29" xfId="26333" xr:uid="{DF065063-F0E4-4402-ADF2-307023EC3FF1}"/>
    <cellStyle name="Normal 3 2 2 2 2 2 2 2 2 2 2 2 2 2 2 2 2 2 2 2 2 2 2 3" xfId="26334" xr:uid="{12EF6217-A59B-4876-8DA8-E26752D2F5F1}"/>
    <cellStyle name="Normal 3 2 2 2 2 2 2 2 2 2 2 2 2 2 2 2 2 2 2 2 2 2 2 30" xfId="26335" xr:uid="{E68418D1-4DBC-4C33-A07A-80A38C8481A3}"/>
    <cellStyle name="Normal 3 2 2 2 2 2 2 2 2 2 2 2 2 2 2 2 2 2 2 2 2 2 2 31" xfId="26336" xr:uid="{F3450425-2C81-4D1F-A412-26025A1F4D42}"/>
    <cellStyle name="Normal 3 2 2 2 2 2 2 2 2 2 2 2 2 2 2 2 2 2 2 2 2 2 2 32" xfId="26337" xr:uid="{0E14776F-0E91-49A4-A4EE-4F3CE7BBDAE1}"/>
    <cellStyle name="Normal 3 2 2 2 2 2 2 2 2 2 2 2 2 2 2 2 2 2 2 2 2 2 2 33" xfId="26338" xr:uid="{94FC1206-BF09-4C0C-81D9-D4CD682AC82B}"/>
    <cellStyle name="Normal 3 2 2 2 2 2 2 2 2 2 2 2 2 2 2 2 2 2 2 2 2 2 2 34" xfId="26339" xr:uid="{9DDF2B63-56E1-41F0-8F68-0124B58713FC}"/>
    <cellStyle name="Normal 3 2 2 2 2 2 2 2 2 2 2 2 2 2 2 2 2 2 2 2 2 2 2 35" xfId="26340" xr:uid="{A2785DA9-312C-4EC0-BC4A-C568FFB04B5B}"/>
    <cellStyle name="Normal 3 2 2 2 2 2 2 2 2 2 2 2 2 2 2 2 2 2 2 2 2 2 2 35 2" xfId="26341" xr:uid="{1E6D6BD0-2AAA-456C-9522-3E96CBBECF1A}"/>
    <cellStyle name="Normal 3 2 2 2 2 2 2 2 2 2 2 2 2 2 2 2 2 2 2 2 2 2 2 35 3" xfId="26342" xr:uid="{9ED63AD0-1343-457F-B0A0-B9F3257C9AB5}"/>
    <cellStyle name="Normal 3 2 2 2 2 2 2 2 2 2 2 2 2 2 2 2 2 2 2 2 2 2 2 35 4" xfId="26343" xr:uid="{515616D0-0E23-466D-A709-8C24794C472E}"/>
    <cellStyle name="Normal 3 2 2 2 2 2 2 2 2 2 2 2 2 2 2 2 2 2 2 2 2 2 2 36" xfId="26344" xr:uid="{3F23AAC3-F3CB-45F8-B532-77F0BB836ACE}"/>
    <cellStyle name="Normal 3 2 2 2 2 2 2 2 2 2 2 2 2 2 2 2 2 2 2 2 2 2 2 37" xfId="26345" xr:uid="{20628B53-2D47-4856-A52E-5E5284F75557}"/>
    <cellStyle name="Normal 3 2 2 2 2 2 2 2 2 2 2 2 2 2 2 2 2 2 2 2 2 2 2 4" xfId="26346" xr:uid="{73E5DFE9-5DCB-4359-A7E9-26DA3902722C}"/>
    <cellStyle name="Normal 3 2 2 2 2 2 2 2 2 2 2 2 2 2 2 2 2 2 2 2 2 2 2 5" xfId="26347" xr:uid="{0F3C7964-3BF4-4DE2-9301-B95D34C51DE0}"/>
    <cellStyle name="Normal 3 2 2 2 2 2 2 2 2 2 2 2 2 2 2 2 2 2 2 2 2 2 2 6" xfId="26348" xr:uid="{6D1AA0DB-3CB7-490F-9D43-CDD9BEF66A99}"/>
    <cellStyle name="Normal 3 2 2 2 2 2 2 2 2 2 2 2 2 2 2 2 2 2 2 2 2 2 2 7" xfId="26349" xr:uid="{B603DB8A-C959-4D80-A1BF-B77536186570}"/>
    <cellStyle name="Normal 3 2 2 2 2 2 2 2 2 2 2 2 2 2 2 2 2 2 2 2 2 2 2 8" xfId="26350" xr:uid="{80B536FD-7BD9-4B77-BA2C-A41B7FF0D184}"/>
    <cellStyle name="Normal 3 2 2 2 2 2 2 2 2 2 2 2 2 2 2 2 2 2 2 2 2 2 2 9" xfId="26351" xr:uid="{ED45E78C-F4CC-4D53-A464-8FD3E5E3F91B}"/>
    <cellStyle name="Normal 3 2 2 2 2 2 2 2 2 2 2 2 2 2 2 2 2 2 2 2 2 2 20" xfId="26352" xr:uid="{29DB66B4-DABA-4445-A469-DF168F99A39C}"/>
    <cellStyle name="Normal 3 2 2 2 2 2 2 2 2 2 2 2 2 2 2 2 2 2 2 2 2 2 21" xfId="26353" xr:uid="{32DF88B0-3AD3-45AF-99AF-ADDE91A66FB9}"/>
    <cellStyle name="Normal 3 2 2 2 2 2 2 2 2 2 2 2 2 2 2 2 2 2 2 2 2 2 22" xfId="26354" xr:uid="{BA718A50-48EB-4367-B4D3-DFA09D55534A}"/>
    <cellStyle name="Normal 3 2 2 2 2 2 2 2 2 2 2 2 2 2 2 2 2 2 2 2 2 2 23" xfId="26355" xr:uid="{5485C823-1ABD-4004-AFB7-28CBB56B49F2}"/>
    <cellStyle name="Normal 3 2 2 2 2 2 2 2 2 2 2 2 2 2 2 2 2 2 2 2 2 2 24" xfId="26356" xr:uid="{0677EE35-D1CA-4AE6-BD75-0E1CBFC745B2}"/>
    <cellStyle name="Normal 3 2 2 2 2 2 2 2 2 2 2 2 2 2 2 2 2 2 2 2 2 2 25" xfId="26357" xr:uid="{F07949A5-EDC3-4ED2-9435-A7FA51D77475}"/>
    <cellStyle name="Normal 3 2 2 2 2 2 2 2 2 2 2 2 2 2 2 2 2 2 2 2 2 2 26" xfId="26358" xr:uid="{469DFA1B-4CF7-47C6-9C99-B6D70D1E93F1}"/>
    <cellStyle name="Normal 3 2 2 2 2 2 2 2 2 2 2 2 2 2 2 2 2 2 2 2 2 2 27" xfId="26359" xr:uid="{268935B7-9E4C-457E-9303-D4001FF33D56}"/>
    <cellStyle name="Normal 3 2 2 2 2 2 2 2 2 2 2 2 2 2 2 2 2 2 2 2 2 2 28" xfId="26360" xr:uid="{4562B764-8014-43ED-BA7E-98F420C4A818}"/>
    <cellStyle name="Normal 3 2 2 2 2 2 2 2 2 2 2 2 2 2 2 2 2 2 2 2 2 2 29" xfId="26361" xr:uid="{A86BC3B3-582F-4DF9-A1EF-45BDA987A634}"/>
    <cellStyle name="Normal 3 2 2 2 2 2 2 2 2 2 2 2 2 2 2 2 2 2 2 2 2 2 3" xfId="26362" xr:uid="{30084C85-B5CB-49E1-B8E4-B7958878CA71}"/>
    <cellStyle name="Normal 3 2 2 2 2 2 2 2 2 2 2 2 2 2 2 2 2 2 2 2 2 2 30" xfId="26363" xr:uid="{C43CB846-1693-4C7C-99BD-5AB49B800304}"/>
    <cellStyle name="Normal 3 2 2 2 2 2 2 2 2 2 2 2 2 2 2 2 2 2 2 2 2 2 31" xfId="26364" xr:uid="{1CCC97D5-8A30-42B7-B7C7-4855FBFC106A}"/>
    <cellStyle name="Normal 3 2 2 2 2 2 2 2 2 2 2 2 2 2 2 2 2 2 2 2 2 2 32" xfId="26365" xr:uid="{BC19451C-19A7-445C-83A8-4E301DFB0BBC}"/>
    <cellStyle name="Normal 3 2 2 2 2 2 2 2 2 2 2 2 2 2 2 2 2 2 2 2 2 2 33" xfId="26366" xr:uid="{7ECF3E47-4321-4C74-AA51-EF020B1706CF}"/>
    <cellStyle name="Normal 3 2 2 2 2 2 2 2 2 2 2 2 2 2 2 2 2 2 2 2 2 2 34" xfId="26367" xr:uid="{EBFA016C-7FD2-43DE-8853-23BC9F761E8F}"/>
    <cellStyle name="Normal 3 2 2 2 2 2 2 2 2 2 2 2 2 2 2 2 2 2 2 2 2 2 35" xfId="26368" xr:uid="{7B0D00E3-907C-4AB7-BC01-01CBC5C87B7A}"/>
    <cellStyle name="Normal 3 2 2 2 2 2 2 2 2 2 2 2 2 2 2 2 2 2 2 2 2 2 36" xfId="26369" xr:uid="{BEEBA852-5427-4133-90C7-84D62B3EFD87}"/>
    <cellStyle name="Normal 3 2 2 2 2 2 2 2 2 2 2 2 2 2 2 2 2 2 2 2 2 2 37" xfId="26370" xr:uid="{1DDCD243-9FBB-47E0-AEBE-1DA976DB4C0E}"/>
    <cellStyle name="Normal 3 2 2 2 2 2 2 2 2 2 2 2 2 2 2 2 2 2 2 2 2 2 38" xfId="26371" xr:uid="{21007FF0-C29C-4EE3-95E7-48B72FDD5F5E}"/>
    <cellStyle name="Normal 3 2 2 2 2 2 2 2 2 2 2 2 2 2 2 2 2 2 2 2 2 2 39" xfId="26372" xr:uid="{66B1944F-CE48-407A-92FF-BA2E26A48FCA}"/>
    <cellStyle name="Normal 3 2 2 2 2 2 2 2 2 2 2 2 2 2 2 2 2 2 2 2 2 2 4" xfId="26373" xr:uid="{A88A8D66-F901-4553-95A6-B616C4C957FC}"/>
    <cellStyle name="Normal 3 2 2 2 2 2 2 2 2 2 2 2 2 2 2 2 2 2 2 2 2 2 40" xfId="26374" xr:uid="{2756ABEC-6A1B-413C-842D-B006FE5F66DA}"/>
    <cellStyle name="Normal 3 2 2 2 2 2 2 2 2 2 2 2 2 2 2 2 2 2 2 2 2 2 41" xfId="26375" xr:uid="{8D61F65E-3A92-4120-A78F-40D8F046E5DB}"/>
    <cellStyle name="Normal 3 2 2 2 2 2 2 2 2 2 2 2 2 2 2 2 2 2 2 2 2 2 42" xfId="26376" xr:uid="{451BFA66-BEA0-4C4A-846A-B6349D5B436B}"/>
    <cellStyle name="Normal 3 2 2 2 2 2 2 2 2 2 2 2 2 2 2 2 2 2 2 2 2 2 43" xfId="26377" xr:uid="{9C32A069-E4A5-4323-8C13-C67D8D117739}"/>
    <cellStyle name="Normal 3 2 2 2 2 2 2 2 2 2 2 2 2 2 2 2 2 2 2 2 2 2 44" xfId="26378" xr:uid="{0A03F17A-5415-488A-B204-9AC3AF7E27B1}"/>
    <cellStyle name="Normal 3 2 2 2 2 2 2 2 2 2 2 2 2 2 2 2 2 2 2 2 2 2 45" xfId="26379" xr:uid="{6283A35E-1A02-446D-9255-551F7C7DFC75}"/>
    <cellStyle name="Normal 3 2 2 2 2 2 2 2 2 2 2 2 2 2 2 2 2 2 2 2 2 2 45 2" xfId="26380" xr:uid="{B1FE8E5D-C220-4D72-BAED-3F7D4A102EC4}"/>
    <cellStyle name="Normal 3 2 2 2 2 2 2 2 2 2 2 2 2 2 2 2 2 2 2 2 2 2 45 3" xfId="26381" xr:uid="{E0F62F88-AD5E-44AF-8B64-5F780348D976}"/>
    <cellStyle name="Normal 3 2 2 2 2 2 2 2 2 2 2 2 2 2 2 2 2 2 2 2 2 2 45 4" xfId="26382" xr:uid="{7D298CF6-A3DD-41A5-A0C3-8AD368169E14}"/>
    <cellStyle name="Normal 3 2 2 2 2 2 2 2 2 2 2 2 2 2 2 2 2 2 2 2 2 2 46" xfId="26383" xr:uid="{DE503262-BA04-4F08-884E-E987EAF76FF4}"/>
    <cellStyle name="Normal 3 2 2 2 2 2 2 2 2 2 2 2 2 2 2 2 2 2 2 2 2 2 47" xfId="26384" xr:uid="{ACA9230E-D7D3-4885-B35D-D5BDFB7FFBE3}"/>
    <cellStyle name="Normal 3 2 2 2 2 2 2 2 2 2 2 2 2 2 2 2 2 2 2 2 2 2 5" xfId="26385" xr:uid="{3A67650E-F40F-4F05-B913-6378D5AEB27C}"/>
    <cellStyle name="Normal 3 2 2 2 2 2 2 2 2 2 2 2 2 2 2 2 2 2 2 2 2 2 6" xfId="26386" xr:uid="{8F5D5866-72E7-4BDB-B41E-FDAAFA7EA41D}"/>
    <cellStyle name="Normal 3 2 2 2 2 2 2 2 2 2 2 2 2 2 2 2 2 2 2 2 2 2 7" xfId="26387" xr:uid="{63F9BEF4-AC60-4C5B-A66A-16889529DAF5}"/>
    <cellStyle name="Normal 3 2 2 2 2 2 2 2 2 2 2 2 2 2 2 2 2 2 2 2 2 2 8" xfId="26388" xr:uid="{554EBBE6-1B66-418A-A579-17CEFDC72DD3}"/>
    <cellStyle name="Normal 3 2 2 2 2 2 2 2 2 2 2 2 2 2 2 2 2 2 2 2 2 2 9" xfId="26389" xr:uid="{0452B485-2527-47A5-8765-F85A09DCB556}"/>
    <cellStyle name="Normal 3 2 2 2 2 2 2 2 2 2 2 2 2 2 2 2 2 2 2 2 2 20" xfId="26390" xr:uid="{5CD42A59-F4C0-474E-AA0E-2CDD1CA3CB6B}"/>
    <cellStyle name="Normal 3 2 2 2 2 2 2 2 2 2 2 2 2 2 2 2 2 2 2 2 2 21" xfId="26391" xr:uid="{5511D3D3-D608-4A61-A4E3-CC79F306AA01}"/>
    <cellStyle name="Normal 3 2 2 2 2 2 2 2 2 2 2 2 2 2 2 2 2 2 2 2 2 22" xfId="26392" xr:uid="{44177A65-FAA5-4437-84ED-F839C08D7020}"/>
    <cellStyle name="Normal 3 2 2 2 2 2 2 2 2 2 2 2 2 2 2 2 2 2 2 2 2 23" xfId="26393" xr:uid="{6BFB320A-0AE3-4578-BF93-A49783AE6022}"/>
    <cellStyle name="Normal 3 2 2 2 2 2 2 2 2 2 2 2 2 2 2 2 2 2 2 2 2 24" xfId="26394" xr:uid="{507C0B49-2DFD-42C3-B65A-8D25356F042C}"/>
    <cellStyle name="Normal 3 2 2 2 2 2 2 2 2 2 2 2 2 2 2 2 2 2 2 2 2 25" xfId="26395" xr:uid="{1B9A572E-7B76-43E1-BF66-C44256C80D1B}"/>
    <cellStyle name="Normal 3 2 2 2 2 2 2 2 2 2 2 2 2 2 2 2 2 2 2 2 2 26" xfId="26396" xr:uid="{86C7A47F-0DDC-4F1C-B573-3DE786B8672F}"/>
    <cellStyle name="Normal 3 2 2 2 2 2 2 2 2 2 2 2 2 2 2 2 2 2 2 2 2 27" xfId="26397" xr:uid="{AECF7F88-8630-4667-90B4-2CDB5A3910AC}"/>
    <cellStyle name="Normal 3 2 2 2 2 2 2 2 2 2 2 2 2 2 2 2 2 2 2 2 2 28" xfId="26398" xr:uid="{EE416A8E-54B6-4892-972A-D8E085367510}"/>
    <cellStyle name="Normal 3 2 2 2 2 2 2 2 2 2 2 2 2 2 2 2 2 2 2 2 2 29" xfId="26399" xr:uid="{1B223C2D-3BB5-4188-B90D-A1763FBFCD86}"/>
    <cellStyle name="Normal 3 2 2 2 2 2 2 2 2 2 2 2 2 2 2 2 2 2 2 2 2 3" xfId="26400" xr:uid="{64788FFC-C50C-44B5-A924-D99CA9ABE670}"/>
    <cellStyle name="Normal 3 2 2 2 2 2 2 2 2 2 2 2 2 2 2 2 2 2 2 2 2 30" xfId="26401" xr:uid="{AAB1443D-189A-4F2A-9030-73870919E5BF}"/>
    <cellStyle name="Normal 3 2 2 2 2 2 2 2 2 2 2 2 2 2 2 2 2 2 2 2 2 31" xfId="26402" xr:uid="{CF155FEF-338D-4242-A9F2-70A3E593B4AC}"/>
    <cellStyle name="Normal 3 2 2 2 2 2 2 2 2 2 2 2 2 2 2 2 2 2 2 2 2 32" xfId="26403" xr:uid="{F617A480-74AC-41C5-B6FA-A9BFBCAF96AD}"/>
    <cellStyle name="Normal 3 2 2 2 2 2 2 2 2 2 2 2 2 2 2 2 2 2 2 2 2 33" xfId="26404" xr:uid="{1933CB7C-439D-4988-AC57-874D2F0E66C9}"/>
    <cellStyle name="Normal 3 2 2 2 2 2 2 2 2 2 2 2 2 2 2 2 2 2 2 2 2 34" xfId="26405" xr:uid="{ECE63749-AB1E-40AE-B50B-42F3DE47C3D1}"/>
    <cellStyle name="Normal 3 2 2 2 2 2 2 2 2 2 2 2 2 2 2 2 2 2 2 2 2 35" xfId="26406" xr:uid="{2F522DB3-092D-44CE-AD8E-C36A7259B40F}"/>
    <cellStyle name="Normal 3 2 2 2 2 2 2 2 2 2 2 2 2 2 2 2 2 2 2 2 2 36" xfId="26407" xr:uid="{6F343B3C-2F86-4D31-8A16-E6260C32CDCC}"/>
    <cellStyle name="Normal 3 2 2 2 2 2 2 2 2 2 2 2 2 2 2 2 2 2 2 2 2 37" xfId="26408" xr:uid="{77A4BACD-65E5-4466-AA73-A55E2D7319A1}"/>
    <cellStyle name="Normal 3 2 2 2 2 2 2 2 2 2 2 2 2 2 2 2 2 2 2 2 2 38" xfId="26409" xr:uid="{1151AF44-DC61-4A21-B3AE-FA2BFA0708B8}"/>
    <cellStyle name="Normal 3 2 2 2 2 2 2 2 2 2 2 2 2 2 2 2 2 2 2 2 2 39" xfId="26410" xr:uid="{C5896DD9-D003-491C-ADFB-6AB7821AD032}"/>
    <cellStyle name="Normal 3 2 2 2 2 2 2 2 2 2 2 2 2 2 2 2 2 2 2 2 2 4" xfId="26411" xr:uid="{B57A5940-25F9-4813-AD0E-D039B8420A87}"/>
    <cellStyle name="Normal 3 2 2 2 2 2 2 2 2 2 2 2 2 2 2 2 2 2 2 2 2 40" xfId="26412" xr:uid="{9E8B89DA-FC52-4457-8C57-F02F4667EF2D}"/>
    <cellStyle name="Normal 3 2 2 2 2 2 2 2 2 2 2 2 2 2 2 2 2 2 2 2 2 41" xfId="26413" xr:uid="{F4F5891B-EC95-4AC1-963B-511CF1566352}"/>
    <cellStyle name="Normal 3 2 2 2 2 2 2 2 2 2 2 2 2 2 2 2 2 2 2 2 2 42" xfId="26414" xr:uid="{C650C6E4-4EAC-4713-AB8C-1FDCE5BC5F74}"/>
    <cellStyle name="Normal 3 2 2 2 2 2 2 2 2 2 2 2 2 2 2 2 2 2 2 2 2 43" xfId="26415" xr:uid="{00E461AB-AF7B-42FF-8E38-078BBDD4339C}"/>
    <cellStyle name="Normal 3 2 2 2 2 2 2 2 2 2 2 2 2 2 2 2 2 2 2 2 2 44" xfId="26416" xr:uid="{3E15A338-5B3F-4E0E-A47A-B4C9AB28D785}"/>
    <cellStyle name="Normal 3 2 2 2 2 2 2 2 2 2 2 2 2 2 2 2 2 2 2 2 2 45" xfId="26417" xr:uid="{70E7FBB0-CDB0-4DFC-A416-2F827046A309}"/>
    <cellStyle name="Normal 3 2 2 2 2 2 2 2 2 2 2 2 2 2 2 2 2 2 2 2 2 45 2" xfId="26418" xr:uid="{AF139E55-6C6B-4ECE-B4FE-3394711DE042}"/>
    <cellStyle name="Normal 3 2 2 2 2 2 2 2 2 2 2 2 2 2 2 2 2 2 2 2 2 45 3" xfId="26419" xr:uid="{D1EEE771-1317-47BD-9677-2DF52FA59782}"/>
    <cellStyle name="Normal 3 2 2 2 2 2 2 2 2 2 2 2 2 2 2 2 2 2 2 2 2 45 4" xfId="26420" xr:uid="{A4F82443-5CCA-46C0-83D3-73E779657691}"/>
    <cellStyle name="Normal 3 2 2 2 2 2 2 2 2 2 2 2 2 2 2 2 2 2 2 2 2 46" xfId="26421" xr:uid="{1F2CB860-4AEC-4AD7-B25F-10EAA233B7E0}"/>
    <cellStyle name="Normal 3 2 2 2 2 2 2 2 2 2 2 2 2 2 2 2 2 2 2 2 2 47" xfId="26422" xr:uid="{0AE56AFE-BA71-4F32-8859-DC777ADC0804}"/>
    <cellStyle name="Normal 3 2 2 2 2 2 2 2 2 2 2 2 2 2 2 2 2 2 2 2 2 5" xfId="26423" xr:uid="{47E2A58A-7FC4-46D1-9EB8-7110B2F2B498}"/>
    <cellStyle name="Normal 3 2 2 2 2 2 2 2 2 2 2 2 2 2 2 2 2 2 2 2 2 6" xfId="26424" xr:uid="{2122E41B-64D6-4744-BA69-F0A3BFDFA452}"/>
    <cellStyle name="Normal 3 2 2 2 2 2 2 2 2 2 2 2 2 2 2 2 2 2 2 2 2 7" xfId="26425" xr:uid="{19144C58-D1B1-433A-9CFC-9A1F344B3719}"/>
    <cellStyle name="Normal 3 2 2 2 2 2 2 2 2 2 2 2 2 2 2 2 2 2 2 2 2 8" xfId="26426" xr:uid="{B01BED2B-E3AC-4094-804F-C59CA64A18AB}"/>
    <cellStyle name="Normal 3 2 2 2 2 2 2 2 2 2 2 2 2 2 2 2 2 2 2 2 2 9" xfId="26427" xr:uid="{37381E2C-8A12-48E2-B6DD-D8FD5F9E0165}"/>
    <cellStyle name="Normal 3 2 2 2 2 2 2 2 2 2 2 2 2 2 2 2 2 2 2 2 20" xfId="26428" xr:uid="{D070A7BA-7D34-49EB-8C73-B56D6C82EB74}"/>
    <cellStyle name="Normal 3 2 2 2 2 2 2 2 2 2 2 2 2 2 2 2 2 2 2 2 21" xfId="26429" xr:uid="{183E71AC-07B2-47D0-ADDB-5FEC2321636A}"/>
    <cellStyle name="Normal 3 2 2 2 2 2 2 2 2 2 2 2 2 2 2 2 2 2 2 2 22" xfId="26430" xr:uid="{CA2D0E42-7B2F-44D5-96DE-4253E5367BB1}"/>
    <cellStyle name="Normal 3 2 2 2 2 2 2 2 2 2 2 2 2 2 2 2 2 2 2 2 23" xfId="26431" xr:uid="{A5C70B70-797A-41B6-87B9-33873C910857}"/>
    <cellStyle name="Normal 3 2 2 2 2 2 2 2 2 2 2 2 2 2 2 2 2 2 2 2 24" xfId="26432" xr:uid="{23D75B0B-308B-4175-8AB2-4078391F1841}"/>
    <cellStyle name="Normal 3 2 2 2 2 2 2 2 2 2 2 2 2 2 2 2 2 2 2 2 25" xfId="26433" xr:uid="{79B6C6DA-9B89-4417-B383-E904207B1A26}"/>
    <cellStyle name="Normal 3 2 2 2 2 2 2 2 2 2 2 2 2 2 2 2 2 2 2 2 26" xfId="26434" xr:uid="{78D805E8-3E4B-4E06-A09B-5410F0AC4555}"/>
    <cellStyle name="Normal 3 2 2 2 2 2 2 2 2 2 2 2 2 2 2 2 2 2 2 2 27" xfId="26435" xr:uid="{0F32B0C0-2C70-4E21-BD5A-4CCB0224433A}"/>
    <cellStyle name="Normal 3 2 2 2 2 2 2 2 2 2 2 2 2 2 2 2 2 2 2 2 28" xfId="26436" xr:uid="{1BFF2D16-E18D-40C9-8A79-424CEFC23531}"/>
    <cellStyle name="Normal 3 2 2 2 2 2 2 2 2 2 2 2 2 2 2 2 2 2 2 2 29" xfId="26437" xr:uid="{9A7A23AD-DFA7-4028-83FC-815F64A33560}"/>
    <cellStyle name="Normal 3 2 2 2 2 2 2 2 2 2 2 2 2 2 2 2 2 2 2 2 3" xfId="26438" xr:uid="{C854C815-63D0-497C-9A18-8D80FE363632}"/>
    <cellStyle name="Normal 3 2 2 2 2 2 2 2 2 2 2 2 2 2 2 2 2 2 2 2 30" xfId="26439" xr:uid="{5B66BD27-1399-40FB-9126-9D49A8BF6BCF}"/>
    <cellStyle name="Normal 3 2 2 2 2 2 2 2 2 2 2 2 2 2 2 2 2 2 2 2 31" xfId="26440" xr:uid="{4EACD9DC-EA65-42E3-B372-CF5225779B61}"/>
    <cellStyle name="Normal 3 2 2 2 2 2 2 2 2 2 2 2 2 2 2 2 2 2 2 2 32" xfId="26441" xr:uid="{FBD00F1A-1B3D-4432-8801-C7820AB154C1}"/>
    <cellStyle name="Normal 3 2 2 2 2 2 2 2 2 2 2 2 2 2 2 2 2 2 2 2 33" xfId="26442" xr:uid="{27F8155C-847F-4E32-857F-E9F8EDA6A01F}"/>
    <cellStyle name="Normal 3 2 2 2 2 2 2 2 2 2 2 2 2 2 2 2 2 2 2 2 34" xfId="26443" xr:uid="{399D5E04-AF2D-47DA-95B7-1B7F62726BD1}"/>
    <cellStyle name="Normal 3 2 2 2 2 2 2 2 2 2 2 2 2 2 2 2 2 2 2 2 35" xfId="26444" xr:uid="{6B90548C-655E-4C6C-A4A7-08338572EBF3}"/>
    <cellStyle name="Normal 3 2 2 2 2 2 2 2 2 2 2 2 2 2 2 2 2 2 2 2 36" xfId="26445" xr:uid="{4828D0C5-814C-4986-94FA-F69FFD908CFD}"/>
    <cellStyle name="Normal 3 2 2 2 2 2 2 2 2 2 2 2 2 2 2 2 2 2 2 2 37" xfId="26446" xr:uid="{BC24FD69-68BC-45DE-8ECF-D537A7CE9083}"/>
    <cellStyle name="Normal 3 2 2 2 2 2 2 2 2 2 2 2 2 2 2 2 2 2 2 2 38" xfId="26447" xr:uid="{484FF94E-08D8-4403-A8E7-2A5FDDDDC475}"/>
    <cellStyle name="Normal 3 2 2 2 2 2 2 2 2 2 2 2 2 2 2 2 2 2 2 2 39" xfId="26448" xr:uid="{7BB94D75-0D32-4525-89FD-B9142FAB9354}"/>
    <cellStyle name="Normal 3 2 2 2 2 2 2 2 2 2 2 2 2 2 2 2 2 2 2 2 4" xfId="26449" xr:uid="{E8FD6109-E9C0-4241-B034-2BD17A8768E3}"/>
    <cellStyle name="Normal 3 2 2 2 2 2 2 2 2 2 2 2 2 2 2 2 2 2 2 2 40" xfId="26450" xr:uid="{26026A2E-D682-4F53-B02F-25D9449B127A}"/>
    <cellStyle name="Normal 3 2 2 2 2 2 2 2 2 2 2 2 2 2 2 2 2 2 2 2 41" xfId="26451" xr:uid="{9A49F5E2-607E-4137-B16C-4EE01AB4F2B9}"/>
    <cellStyle name="Normal 3 2 2 2 2 2 2 2 2 2 2 2 2 2 2 2 2 2 2 2 42" xfId="26452" xr:uid="{4BEAF195-5B36-4FDF-8547-9276E6EAD98A}"/>
    <cellStyle name="Normal 3 2 2 2 2 2 2 2 2 2 2 2 2 2 2 2 2 2 2 2 43" xfId="26453" xr:uid="{2A9A12BA-6EA1-417D-AA61-A0382AB82800}"/>
    <cellStyle name="Normal 3 2 2 2 2 2 2 2 2 2 2 2 2 2 2 2 2 2 2 2 44" xfId="26454" xr:uid="{2683AE21-4967-4E69-91C3-FC7E64BC31CD}"/>
    <cellStyle name="Normal 3 2 2 2 2 2 2 2 2 2 2 2 2 2 2 2 2 2 2 2 45" xfId="26455" xr:uid="{7D762B1B-D1AD-4C99-B601-5DC4A618A572}"/>
    <cellStyle name="Normal 3 2 2 2 2 2 2 2 2 2 2 2 2 2 2 2 2 2 2 2 46" xfId="26456" xr:uid="{519A6546-9B26-46C0-B8A4-FEDB34D3E5FC}"/>
    <cellStyle name="Normal 3 2 2 2 2 2 2 2 2 2 2 2 2 2 2 2 2 2 2 2 47" xfId="26457" xr:uid="{B78C6953-9720-46A0-BA55-96874411C8E3}"/>
    <cellStyle name="Normal 3 2 2 2 2 2 2 2 2 2 2 2 2 2 2 2 2 2 2 2 48" xfId="26458" xr:uid="{536CED34-60C4-4B14-B24A-7F5E29AE75D1}"/>
    <cellStyle name="Normal 3 2 2 2 2 2 2 2 2 2 2 2 2 2 2 2 2 2 2 2 48 2" xfId="26459" xr:uid="{06D628EB-292F-4F47-A162-8FADA2E30C77}"/>
    <cellStyle name="Normal 3 2 2 2 2 2 2 2 2 2 2 2 2 2 2 2 2 2 2 2 48 3" xfId="26460" xr:uid="{54F276EB-F062-4AAD-9A62-008BAE6A60AE}"/>
    <cellStyle name="Normal 3 2 2 2 2 2 2 2 2 2 2 2 2 2 2 2 2 2 2 2 48 4" xfId="26461" xr:uid="{28D56FFB-0625-4640-BE2B-8D765F7C3E65}"/>
    <cellStyle name="Normal 3 2 2 2 2 2 2 2 2 2 2 2 2 2 2 2 2 2 2 2 49" xfId="26462" xr:uid="{D4D6F554-6748-4688-9DCE-01675C473BBD}"/>
    <cellStyle name="Normal 3 2 2 2 2 2 2 2 2 2 2 2 2 2 2 2 2 2 2 2 5" xfId="26463" xr:uid="{7F45424C-A7FD-4181-8E15-4BFE71252EE8}"/>
    <cellStyle name="Normal 3 2 2 2 2 2 2 2 2 2 2 2 2 2 2 2 2 2 2 2 50" xfId="26464" xr:uid="{FA893C34-98ED-4EC1-B040-2B3131E1AF6F}"/>
    <cellStyle name="Normal 3 2 2 2 2 2 2 2 2 2 2 2 2 2 2 2 2 2 2 2 6" xfId="26465" xr:uid="{93799D63-AD38-4B47-B17E-6C1B8EF801B6}"/>
    <cellStyle name="Normal 3 2 2 2 2 2 2 2 2 2 2 2 2 2 2 2 2 2 2 2 7" xfId="26466" xr:uid="{2DDA97D2-88BC-4C2F-9784-F5073A12B89A}"/>
    <cellStyle name="Normal 3 2 2 2 2 2 2 2 2 2 2 2 2 2 2 2 2 2 2 2 8" xfId="26467" xr:uid="{64CBF72F-0642-4A97-9296-C1BC24D1B404}"/>
    <cellStyle name="Normal 3 2 2 2 2 2 2 2 2 2 2 2 2 2 2 2 2 2 2 2 9" xfId="26468" xr:uid="{2F89F4FA-42AE-4917-8DEF-C2095A842390}"/>
    <cellStyle name="Normal 3 2 2 2 2 2 2 2 2 2 2 2 2 2 2 2 2 2 2 20" xfId="26469" xr:uid="{7D562BD9-C635-4D13-91D2-BA3228A3765B}"/>
    <cellStyle name="Normal 3 2 2 2 2 2 2 2 2 2 2 2 2 2 2 2 2 2 2 21" xfId="26470" xr:uid="{EFD5261A-1C89-414D-84EB-5BA0BC03F6EA}"/>
    <cellStyle name="Normal 3 2 2 2 2 2 2 2 2 2 2 2 2 2 2 2 2 2 2 22" xfId="26471" xr:uid="{11EF6335-F7EF-4EC2-94CA-A405CCF16558}"/>
    <cellStyle name="Normal 3 2 2 2 2 2 2 2 2 2 2 2 2 2 2 2 2 2 2 23" xfId="26472" xr:uid="{99439AA9-DE9E-42EE-A1B2-5F52884CFB22}"/>
    <cellStyle name="Normal 3 2 2 2 2 2 2 2 2 2 2 2 2 2 2 2 2 2 2 24" xfId="26473" xr:uid="{C210482A-EA34-4B6D-8345-370C45A72C1F}"/>
    <cellStyle name="Normal 3 2 2 2 2 2 2 2 2 2 2 2 2 2 2 2 2 2 2 25" xfId="26474" xr:uid="{D4959289-69DD-4298-A109-05D995A1A0D2}"/>
    <cellStyle name="Normal 3 2 2 2 2 2 2 2 2 2 2 2 2 2 2 2 2 2 2 26" xfId="26475" xr:uid="{373729AC-D2A7-4D77-9476-C9EB61027C73}"/>
    <cellStyle name="Normal 3 2 2 2 2 2 2 2 2 2 2 2 2 2 2 2 2 2 2 27" xfId="26476" xr:uid="{A145717C-5E98-4578-9A77-6D49CF9E3EDE}"/>
    <cellStyle name="Normal 3 2 2 2 2 2 2 2 2 2 2 2 2 2 2 2 2 2 2 28" xfId="26477" xr:uid="{07792F97-2DF8-41CA-AFAF-D08693CA6513}"/>
    <cellStyle name="Normal 3 2 2 2 2 2 2 2 2 2 2 2 2 2 2 2 2 2 2 29" xfId="26478" xr:uid="{1E78DCFE-C1F7-476A-8125-D6974405E8F0}"/>
    <cellStyle name="Normal 3 2 2 2 2 2 2 2 2 2 2 2 2 2 2 2 2 2 2 3" xfId="26479" xr:uid="{E0C0255C-F550-419B-B98D-F273FD79DBDB}"/>
    <cellStyle name="Normal 3 2 2 2 2 2 2 2 2 2 2 2 2 2 2 2 2 2 2 30" xfId="26480" xr:uid="{7BBC3851-66D8-437C-A85E-3699CD361039}"/>
    <cellStyle name="Normal 3 2 2 2 2 2 2 2 2 2 2 2 2 2 2 2 2 2 2 31" xfId="26481" xr:uid="{EB141D32-1354-4357-8575-FE24A0C06700}"/>
    <cellStyle name="Normal 3 2 2 2 2 2 2 2 2 2 2 2 2 2 2 2 2 2 2 32" xfId="26482" xr:uid="{864C17E9-0008-4373-9C62-D38C8688F8C2}"/>
    <cellStyle name="Normal 3 2 2 2 2 2 2 2 2 2 2 2 2 2 2 2 2 2 2 33" xfId="26483" xr:uid="{1ABCD773-A81C-4E68-9FA5-943364FAA591}"/>
    <cellStyle name="Normal 3 2 2 2 2 2 2 2 2 2 2 2 2 2 2 2 2 2 2 34" xfId="26484" xr:uid="{F295BDBB-9AD2-41CF-83A5-560435FB1714}"/>
    <cellStyle name="Normal 3 2 2 2 2 2 2 2 2 2 2 2 2 2 2 2 2 2 2 35" xfId="26485" xr:uid="{65EF407D-6A0B-40EE-958C-7824625036FF}"/>
    <cellStyle name="Normal 3 2 2 2 2 2 2 2 2 2 2 2 2 2 2 2 2 2 2 36" xfId="26486" xr:uid="{6714C42C-D1E5-48C3-BCBB-5C8F7199C067}"/>
    <cellStyle name="Normal 3 2 2 2 2 2 2 2 2 2 2 2 2 2 2 2 2 2 2 37" xfId="26487" xr:uid="{2A929C9A-51F2-48BB-B796-FC89ED2495FE}"/>
    <cellStyle name="Normal 3 2 2 2 2 2 2 2 2 2 2 2 2 2 2 2 2 2 2 38" xfId="26488" xr:uid="{047EC1BF-DB65-4D33-A670-3B5B9F917783}"/>
    <cellStyle name="Normal 3 2 2 2 2 2 2 2 2 2 2 2 2 2 2 2 2 2 2 39" xfId="26489" xr:uid="{0A0EFE61-A48A-45C8-9C7F-6D4844A18926}"/>
    <cellStyle name="Normal 3 2 2 2 2 2 2 2 2 2 2 2 2 2 2 2 2 2 2 4" xfId="26490" xr:uid="{5DD81962-104F-4687-996E-4CDD24A2CB72}"/>
    <cellStyle name="Normal 3 2 2 2 2 2 2 2 2 2 2 2 2 2 2 2 2 2 2 40" xfId="26491" xr:uid="{B21A30C9-E2F2-4776-94E8-5775C7D18A93}"/>
    <cellStyle name="Normal 3 2 2 2 2 2 2 2 2 2 2 2 2 2 2 2 2 2 2 41" xfId="26492" xr:uid="{E6224D3F-626F-4575-A2D9-47B91BE13935}"/>
    <cellStyle name="Normal 3 2 2 2 2 2 2 2 2 2 2 2 2 2 2 2 2 2 2 42" xfId="26493" xr:uid="{59F4EB9D-29B4-418C-BD36-E263881B7E6E}"/>
    <cellStyle name="Normal 3 2 2 2 2 2 2 2 2 2 2 2 2 2 2 2 2 2 2 43" xfId="26494" xr:uid="{E3F26B73-FB3B-4FC7-8D74-66AD8B52D383}"/>
    <cellStyle name="Normal 3 2 2 2 2 2 2 2 2 2 2 2 2 2 2 2 2 2 2 44" xfId="26495" xr:uid="{0CA0E488-CE14-4B8E-90DA-99CA896659ED}"/>
    <cellStyle name="Normal 3 2 2 2 2 2 2 2 2 2 2 2 2 2 2 2 2 2 2 45" xfId="26496" xr:uid="{3921C7CB-BD71-4FA1-AC4A-52C984933A2F}"/>
    <cellStyle name="Normal 3 2 2 2 2 2 2 2 2 2 2 2 2 2 2 2 2 2 2 46" xfId="26497" xr:uid="{1950A873-D196-4864-8184-4732C4CA9EC5}"/>
    <cellStyle name="Normal 3 2 2 2 2 2 2 2 2 2 2 2 2 2 2 2 2 2 2 47" xfId="26498" xr:uid="{073A0D8E-EFCF-49A7-BA02-F938C393BE1E}"/>
    <cellStyle name="Normal 3 2 2 2 2 2 2 2 2 2 2 2 2 2 2 2 2 2 2 48" xfId="26499" xr:uid="{1C6BEE5B-1EA1-4574-9EC3-94E8B51D76D1}"/>
    <cellStyle name="Normal 3 2 2 2 2 2 2 2 2 2 2 2 2 2 2 2 2 2 2 49" xfId="26500" xr:uid="{3C1919B7-0047-4069-88C1-B4BE2F1A4706}"/>
    <cellStyle name="Normal 3 2 2 2 2 2 2 2 2 2 2 2 2 2 2 2 2 2 2 5" xfId="26501" xr:uid="{CB45A030-0D92-4FF7-975F-7EC6BA350E0C}"/>
    <cellStyle name="Normal 3 2 2 2 2 2 2 2 2 2 2 2 2 2 2 2 2 2 2 50" xfId="26502" xr:uid="{4F0EB901-ADFF-43EB-9E5C-1875ABD4A2B8}"/>
    <cellStyle name="Normal 3 2 2 2 2 2 2 2 2 2 2 2 2 2 2 2 2 2 2 50 2" xfId="26503" xr:uid="{2C8BE310-406A-44DA-AB08-E83BF64E2731}"/>
    <cellStyle name="Normal 3 2 2 2 2 2 2 2 2 2 2 2 2 2 2 2 2 2 2 50 3" xfId="26504" xr:uid="{423D03F3-613E-4AFF-A7A1-91DA2CFCE18E}"/>
    <cellStyle name="Normal 3 2 2 2 2 2 2 2 2 2 2 2 2 2 2 2 2 2 2 50 4" xfId="26505" xr:uid="{C649BACE-1E7B-4C53-BFA4-97A80F4712EC}"/>
    <cellStyle name="Normal 3 2 2 2 2 2 2 2 2 2 2 2 2 2 2 2 2 2 2 51" xfId="26506" xr:uid="{BAEC9F73-BFF7-417F-AC14-B2B2F5FD2589}"/>
    <cellStyle name="Normal 3 2 2 2 2 2 2 2 2 2 2 2 2 2 2 2 2 2 2 52" xfId="26507" xr:uid="{278A1488-8541-4553-8307-2D5132A91785}"/>
    <cellStyle name="Normal 3 2 2 2 2 2 2 2 2 2 2 2 2 2 2 2 2 2 2 6" xfId="26508" xr:uid="{1AC7CD1F-30A4-4D94-9109-083D257FD829}"/>
    <cellStyle name="Normal 3 2 2 2 2 2 2 2 2 2 2 2 2 2 2 2 2 2 2 7" xfId="26509" xr:uid="{8622D872-4DF3-45F7-9B75-8978CD6D528C}"/>
    <cellStyle name="Normal 3 2 2 2 2 2 2 2 2 2 2 2 2 2 2 2 2 2 2 8" xfId="26510" xr:uid="{734DF197-17EF-4056-B45C-5F452F397169}"/>
    <cellStyle name="Normal 3 2 2 2 2 2 2 2 2 2 2 2 2 2 2 2 2 2 2 9" xfId="26511" xr:uid="{7B605FC8-EFA8-4A20-846D-C5CEBDFCB689}"/>
    <cellStyle name="Normal 3 2 2 2 2 2 2 2 2 2 2 2 2 2 2 2 2 2 20" xfId="26512" xr:uid="{9BE032C9-3087-4079-80BF-0121A0FAC480}"/>
    <cellStyle name="Normal 3 2 2 2 2 2 2 2 2 2 2 2 2 2 2 2 2 2 21" xfId="26513" xr:uid="{3B663FA0-A353-4CB3-A46E-8E0AECC8DA15}"/>
    <cellStyle name="Normal 3 2 2 2 2 2 2 2 2 2 2 2 2 2 2 2 2 2 22" xfId="26514" xr:uid="{7AFFBFF7-5ADD-411C-8D37-6E9255A8EE99}"/>
    <cellStyle name="Normal 3 2 2 2 2 2 2 2 2 2 2 2 2 2 2 2 2 2 23" xfId="26515" xr:uid="{FB462882-F718-4E73-A1FF-EA106471C4EE}"/>
    <cellStyle name="Normal 3 2 2 2 2 2 2 2 2 2 2 2 2 2 2 2 2 2 23 2" xfId="26516" xr:uid="{6F7950D3-25DE-488A-8490-13C7BCE0AE29}"/>
    <cellStyle name="Normal 3 2 2 2 2 2 2 2 2 2 2 2 2 2 2 2 2 2 23 3" xfId="26517" xr:uid="{3DF4994C-9BE2-476F-B824-AAD239D08559}"/>
    <cellStyle name="Normal 3 2 2 2 2 2 2 2 2 2 2 2 2 2 2 2 2 2 23 4" xfId="26518" xr:uid="{09990A3F-0744-4974-8569-B719E2F3FB44}"/>
    <cellStyle name="Normal 3 2 2 2 2 2 2 2 2 2 2 2 2 2 2 2 2 2 23 5" xfId="26519" xr:uid="{3C34AE8F-7461-47AC-A4CA-EE23B11B1A78}"/>
    <cellStyle name="Normal 3 2 2 2 2 2 2 2 2 2 2 2 2 2 2 2 2 2 23 6" xfId="26520" xr:uid="{F5489469-AD60-4E15-A2F3-D90A1E9CF968}"/>
    <cellStyle name="Normal 3 2 2 2 2 2 2 2 2 2 2 2 2 2 2 2 2 2 23 7" xfId="26521" xr:uid="{9C3EFD58-C32C-4F96-921E-42EC4FA5E22A}"/>
    <cellStyle name="Normal 3 2 2 2 2 2 2 2 2 2 2 2 2 2 2 2 2 2 24" xfId="26522" xr:uid="{0D8444BB-A039-450F-98BA-57C4ED52EE1B}"/>
    <cellStyle name="Normal 3 2 2 2 2 2 2 2 2 2 2 2 2 2 2 2 2 2 25" xfId="26523" xr:uid="{7BA4FB2B-6C39-4E5C-8A2E-9FE079E215B8}"/>
    <cellStyle name="Normal 3 2 2 2 2 2 2 2 2 2 2 2 2 2 2 2 2 2 26" xfId="26524" xr:uid="{FA724311-0508-42ED-AB7A-F3C8DBF9FCCF}"/>
    <cellStyle name="Normal 3 2 2 2 2 2 2 2 2 2 2 2 2 2 2 2 2 2 27" xfId="26525" xr:uid="{0CB7ECAE-CC39-46E4-9723-332474EAF9FA}"/>
    <cellStyle name="Normal 3 2 2 2 2 2 2 2 2 2 2 2 2 2 2 2 2 2 28" xfId="26526" xr:uid="{7C18482F-1352-4B72-BA35-E9E294004621}"/>
    <cellStyle name="Normal 3 2 2 2 2 2 2 2 2 2 2 2 2 2 2 2 2 2 29" xfId="26527" xr:uid="{E8B7FD9E-431A-468A-B8D2-0A08FA797631}"/>
    <cellStyle name="Normal 3 2 2 2 2 2 2 2 2 2 2 2 2 2 2 2 2 2 3" xfId="26528" xr:uid="{391C03FD-3C8F-4E08-93C8-2AA0E2C8A739}"/>
    <cellStyle name="Normal 3 2 2 2 2 2 2 2 2 2 2 2 2 2 2 2 2 2 30" xfId="26529" xr:uid="{233C5407-D2C9-4628-8D91-87E597D2CB7F}"/>
    <cellStyle name="Normal 3 2 2 2 2 2 2 2 2 2 2 2 2 2 2 2 2 2 31" xfId="26530" xr:uid="{5F1172F2-E598-4536-B701-0C3F5D4D34FD}"/>
    <cellStyle name="Normal 3 2 2 2 2 2 2 2 2 2 2 2 2 2 2 2 2 2 32" xfId="26531" xr:uid="{DBB7A9F9-18D6-42DE-ABE4-0FE28FCD8826}"/>
    <cellStyle name="Normal 3 2 2 2 2 2 2 2 2 2 2 2 2 2 2 2 2 2 33" xfId="26532" xr:uid="{C75CE7E0-0EA1-4D26-9BF1-16D206F07D3A}"/>
    <cellStyle name="Normal 3 2 2 2 2 2 2 2 2 2 2 2 2 2 2 2 2 2 34" xfId="26533" xr:uid="{A20D55FE-BC03-4E1D-A4A3-0EDA66D345C2}"/>
    <cellStyle name="Normal 3 2 2 2 2 2 2 2 2 2 2 2 2 2 2 2 2 2 35" xfId="26534" xr:uid="{524D0052-88EF-45A8-AAA7-77A178731C80}"/>
    <cellStyle name="Normal 3 2 2 2 2 2 2 2 2 2 2 2 2 2 2 2 2 2 36" xfId="26535" xr:uid="{9E285A0C-9ED4-448C-B7F9-D7D637355076}"/>
    <cellStyle name="Normal 3 2 2 2 2 2 2 2 2 2 2 2 2 2 2 2 2 2 37" xfId="26536" xr:uid="{B6ECA299-A7E0-4115-894F-15CCB721CF2D}"/>
    <cellStyle name="Normal 3 2 2 2 2 2 2 2 2 2 2 2 2 2 2 2 2 2 38" xfId="26537" xr:uid="{8A664A69-0103-4682-9D6B-E9F2D52A09AA}"/>
    <cellStyle name="Normal 3 2 2 2 2 2 2 2 2 2 2 2 2 2 2 2 2 2 39" xfId="26538" xr:uid="{F3078621-7E56-4DFE-A0EC-0664AE16BAD6}"/>
    <cellStyle name="Normal 3 2 2 2 2 2 2 2 2 2 2 2 2 2 2 2 2 2 4" xfId="26539" xr:uid="{74E57D08-77ED-4E43-99A6-4C0081971B0B}"/>
    <cellStyle name="Normal 3 2 2 2 2 2 2 2 2 2 2 2 2 2 2 2 2 2 40" xfId="26540" xr:uid="{288C5680-84D3-444B-9F72-81F77B115844}"/>
    <cellStyle name="Normal 3 2 2 2 2 2 2 2 2 2 2 2 2 2 2 2 2 2 41" xfId="26541" xr:uid="{F3E83411-52B0-4126-AEA6-46B13F5151DD}"/>
    <cellStyle name="Normal 3 2 2 2 2 2 2 2 2 2 2 2 2 2 2 2 2 2 42" xfId="26542" xr:uid="{A501DF5D-E428-4959-885F-DE76A615DE7D}"/>
    <cellStyle name="Normal 3 2 2 2 2 2 2 2 2 2 2 2 2 2 2 2 2 2 43" xfId="26543" xr:uid="{B88035F7-6D42-46D7-8F8D-FB6CBFB90CB6}"/>
    <cellStyle name="Normal 3 2 2 2 2 2 2 2 2 2 2 2 2 2 2 2 2 2 44" xfId="26544" xr:uid="{C5FD907F-0550-4949-AEF3-A7A6407C51AE}"/>
    <cellStyle name="Normal 3 2 2 2 2 2 2 2 2 2 2 2 2 2 2 2 2 2 45" xfId="26545" xr:uid="{CE1FF0CE-ECCB-4E30-9F87-BC5B1D208FC8}"/>
    <cellStyle name="Normal 3 2 2 2 2 2 2 2 2 2 2 2 2 2 2 2 2 2 46" xfId="26546" xr:uid="{DB4C70BE-5456-44CF-8B97-9E5774AC07AE}"/>
    <cellStyle name="Normal 3 2 2 2 2 2 2 2 2 2 2 2 2 2 2 2 2 2 47" xfId="26547" xr:uid="{959D21B2-33EC-4511-8E33-C9B137D94255}"/>
    <cellStyle name="Normal 3 2 2 2 2 2 2 2 2 2 2 2 2 2 2 2 2 2 48" xfId="26548" xr:uid="{57799B2F-8827-4243-8B95-7302128DFBAA}"/>
    <cellStyle name="Normal 3 2 2 2 2 2 2 2 2 2 2 2 2 2 2 2 2 2 49" xfId="26549" xr:uid="{88655996-817B-4A47-B8AD-A7B197208462}"/>
    <cellStyle name="Normal 3 2 2 2 2 2 2 2 2 2 2 2 2 2 2 2 2 2 5" xfId="26550" xr:uid="{82C77FA6-05C8-4ECC-A214-CFBB281F1C95}"/>
    <cellStyle name="Normal 3 2 2 2 2 2 2 2 2 2 2 2 2 2 2 2 2 2 50" xfId="26551" xr:uid="{A7E4D4FD-732D-4256-8F1B-BF70692010C4}"/>
    <cellStyle name="Normal 3 2 2 2 2 2 2 2 2 2 2 2 2 2 2 2 2 2 51" xfId="26552" xr:uid="{C15C3812-2783-453C-B8C9-190D4A0D9351}"/>
    <cellStyle name="Normal 3 2 2 2 2 2 2 2 2 2 2 2 2 2 2 2 2 2 52" xfId="26553" xr:uid="{3F323A39-1102-4C22-8B85-D22EE475CB2B}"/>
    <cellStyle name="Normal 3 2 2 2 2 2 2 2 2 2 2 2 2 2 2 2 2 2 53" xfId="26554" xr:uid="{0A3F0DBB-08A8-421D-AEF9-2A356899A49B}"/>
    <cellStyle name="Normal 3 2 2 2 2 2 2 2 2 2 2 2 2 2 2 2 2 2 54" xfId="26555" xr:uid="{D74C2449-1901-4E67-ADCA-AB61AE792BF0}"/>
    <cellStyle name="Normal 3 2 2 2 2 2 2 2 2 2 2 2 2 2 2 2 2 2 55" xfId="26556" xr:uid="{6B11547E-7AEF-4AAB-806A-7A4DC7ACDDD0}"/>
    <cellStyle name="Normal 3 2 2 2 2 2 2 2 2 2 2 2 2 2 2 2 2 2 55 2" xfId="26557" xr:uid="{50079BC4-FDC0-4690-8965-8A41F18756A6}"/>
    <cellStyle name="Normal 3 2 2 2 2 2 2 2 2 2 2 2 2 2 2 2 2 2 55 3" xfId="26558" xr:uid="{6841B89F-13B4-45AD-ABA1-8D8DDC0B91BC}"/>
    <cellStyle name="Normal 3 2 2 2 2 2 2 2 2 2 2 2 2 2 2 2 2 2 55 4" xfId="26559" xr:uid="{B2F3BADD-F2DC-4A2C-820E-AEDDDBFEED5E}"/>
    <cellStyle name="Normal 3 2 2 2 2 2 2 2 2 2 2 2 2 2 2 2 2 2 56" xfId="26560" xr:uid="{F8BBA070-BBE0-4FBB-B844-0BFE242137D5}"/>
    <cellStyle name="Normal 3 2 2 2 2 2 2 2 2 2 2 2 2 2 2 2 2 2 57" xfId="26561" xr:uid="{1824F6E2-3587-4FDB-938F-28B3780D31B0}"/>
    <cellStyle name="Normal 3 2 2 2 2 2 2 2 2 2 2 2 2 2 2 2 2 2 6" xfId="26562" xr:uid="{1FE511D7-BC17-4E67-BE43-0144D81D62C9}"/>
    <cellStyle name="Normal 3 2 2 2 2 2 2 2 2 2 2 2 2 2 2 2 2 2 7" xfId="26563" xr:uid="{D5C8402F-870C-4EA8-B36B-590D19A8E041}"/>
    <cellStyle name="Normal 3 2 2 2 2 2 2 2 2 2 2 2 2 2 2 2 2 2 8" xfId="26564" xr:uid="{B4A90400-05E3-4944-A087-2D52A8BEED5F}"/>
    <cellStyle name="Normal 3 2 2 2 2 2 2 2 2 2 2 2 2 2 2 2 2 2 8 2" xfId="26565" xr:uid="{056099C4-5261-4D79-A96D-0EFEDA463E7D}"/>
    <cellStyle name="Normal 3 2 2 2 2 2 2 2 2 2 2 2 2 2 2 2 2 2 8 3" xfId="26566" xr:uid="{5BCF13B5-74F6-4EFA-9222-2E70A607D0F0}"/>
    <cellStyle name="Normal 3 2 2 2 2 2 2 2 2 2 2 2 2 2 2 2 2 2 8 4" xfId="26567" xr:uid="{F8EA4662-705E-4DE2-839E-B272EDD4071E}"/>
    <cellStyle name="Normal 3 2 2 2 2 2 2 2 2 2 2 2 2 2 2 2 2 2 9" xfId="26568" xr:uid="{ED9A9E0B-6F37-474F-9C83-98334C285F4F}"/>
    <cellStyle name="Normal 3 2 2 2 2 2 2 2 2 2 2 2 2 2 2 2 2 20" xfId="26569" xr:uid="{7B3018E0-FDC3-4F25-B0CC-524C0BF57EAC}"/>
    <cellStyle name="Normal 3 2 2 2 2 2 2 2 2 2 2 2 2 2 2 2 2 21" xfId="26570" xr:uid="{A62A598D-8440-4BE2-B414-DA4243DE0973}"/>
    <cellStyle name="Normal 3 2 2 2 2 2 2 2 2 2 2 2 2 2 2 2 2 22" xfId="26571" xr:uid="{04CBBD3B-329E-436C-8487-941E08A11052}"/>
    <cellStyle name="Normal 3 2 2 2 2 2 2 2 2 2 2 2 2 2 2 2 2 23" xfId="26572" xr:uid="{C7556B96-97A9-4B8E-9CC0-8CA0FC703885}"/>
    <cellStyle name="Normal 3 2 2 2 2 2 2 2 2 2 2 2 2 2 2 2 2 23 2" xfId="26573" xr:uid="{7066DC86-F4F3-4ABA-B86F-E5039F3C2944}"/>
    <cellStyle name="Normal 3 2 2 2 2 2 2 2 2 2 2 2 2 2 2 2 2 23 3" xfId="26574" xr:uid="{48EBBD6B-B8DA-4D37-8FA3-A765150E86CD}"/>
    <cellStyle name="Normal 3 2 2 2 2 2 2 2 2 2 2 2 2 2 2 2 2 23 4" xfId="26575" xr:uid="{7A9DC54D-849A-4654-847E-3B70C38AE67D}"/>
    <cellStyle name="Normal 3 2 2 2 2 2 2 2 2 2 2 2 2 2 2 2 2 23 5" xfId="26576" xr:uid="{FF2DA3E6-2021-4089-AAA6-BA67AAB51C47}"/>
    <cellStyle name="Normal 3 2 2 2 2 2 2 2 2 2 2 2 2 2 2 2 2 23 6" xfId="26577" xr:uid="{7B87F2F1-39C5-4790-9343-45C008315DA1}"/>
    <cellStyle name="Normal 3 2 2 2 2 2 2 2 2 2 2 2 2 2 2 2 2 23 7" xfId="26578" xr:uid="{81314D7E-C5D9-4669-BE2E-9BC22CF7FCD4}"/>
    <cellStyle name="Normal 3 2 2 2 2 2 2 2 2 2 2 2 2 2 2 2 2 24" xfId="26579" xr:uid="{97FBD733-F40A-41F0-B7A0-A48B46386506}"/>
    <cellStyle name="Normal 3 2 2 2 2 2 2 2 2 2 2 2 2 2 2 2 2 25" xfId="26580" xr:uid="{8DCA81FA-9F60-4085-BA2D-E8351F06DBBB}"/>
    <cellStyle name="Normal 3 2 2 2 2 2 2 2 2 2 2 2 2 2 2 2 2 26" xfId="26581" xr:uid="{BAE0EFC1-79BF-494A-AB7A-117E1F9DB227}"/>
    <cellStyle name="Normal 3 2 2 2 2 2 2 2 2 2 2 2 2 2 2 2 2 27" xfId="26582" xr:uid="{367E7BA6-592D-452D-85AC-9DFCA024808D}"/>
    <cellStyle name="Normal 3 2 2 2 2 2 2 2 2 2 2 2 2 2 2 2 2 28" xfId="26583" xr:uid="{1D68CA0C-5213-4954-B600-7D3E3C4B16B7}"/>
    <cellStyle name="Normal 3 2 2 2 2 2 2 2 2 2 2 2 2 2 2 2 2 29" xfId="26584" xr:uid="{2C499BFE-8B49-459F-8F9C-D04BA537701C}"/>
    <cellStyle name="Normal 3 2 2 2 2 2 2 2 2 2 2 2 2 2 2 2 2 3" xfId="26585" xr:uid="{BA07D46E-8E27-441C-AAFA-80B796185935}"/>
    <cellStyle name="Normal 3 2 2 2 2 2 2 2 2 2 2 2 2 2 2 2 2 3 2" xfId="26586" xr:uid="{8E2E5416-4DCD-4421-A8A3-28C7E8A36B04}"/>
    <cellStyle name="Normal 3 2 2 2 2 2 2 2 2 2 2 2 2 2 2 2 2 3 2 2" xfId="26587" xr:uid="{1DDCF761-536E-4DC1-9B96-0EFB1C7A034E}"/>
    <cellStyle name="Normal 3 2 2 2 2 2 2 2 2 2 2 2 2 2 2 2 2 3 2 3" xfId="26588" xr:uid="{6E73D2EF-7BF1-49EB-858C-CEBE4074EAA2}"/>
    <cellStyle name="Normal 3 2 2 2 2 2 2 2 2 2 2 2 2 2 2 2 2 3 2 4" xfId="26589" xr:uid="{D7854C8F-009C-423C-9E4F-FFC243CE805C}"/>
    <cellStyle name="Normal 3 2 2 2 2 2 2 2 2 2 2 2 2 2 2 2 2 3 3" xfId="26590" xr:uid="{CE3FDD0C-321B-4CA9-86E0-4EE5AC85FF64}"/>
    <cellStyle name="Normal 3 2 2 2 2 2 2 2 2 2 2 2 2 2 2 2 2 3 4" xfId="26591" xr:uid="{EE2C1FBA-250C-4FC6-A688-754E7EDBA5D2}"/>
    <cellStyle name="Normal 3 2 2 2 2 2 2 2 2 2 2 2 2 2 2 2 2 3 5" xfId="26592" xr:uid="{E4FA25E0-DB6E-460E-A5BC-09D7A32131AE}"/>
    <cellStyle name="Normal 3 2 2 2 2 2 2 2 2 2 2 2 2 2 2 2 2 3 6" xfId="26593" xr:uid="{E8F17211-06B2-49D3-8C23-8C9329F7708B}"/>
    <cellStyle name="Normal 3 2 2 2 2 2 2 2 2 2 2 2 2 2 2 2 2 30" xfId="26594" xr:uid="{C8A4038D-5EE5-414A-BA54-AD8B57B46710}"/>
    <cellStyle name="Normal 3 2 2 2 2 2 2 2 2 2 2 2 2 2 2 2 2 31" xfId="26595" xr:uid="{47810221-9CEC-4F9F-9B22-5C34553C394B}"/>
    <cellStyle name="Normal 3 2 2 2 2 2 2 2 2 2 2 2 2 2 2 2 2 32" xfId="26596" xr:uid="{B676830D-EE9F-4158-B648-EF0E1AAA7ADC}"/>
    <cellStyle name="Normal 3 2 2 2 2 2 2 2 2 2 2 2 2 2 2 2 2 33" xfId="26597" xr:uid="{395A2E64-545B-429A-8C43-10AE38BC5D2F}"/>
    <cellStyle name="Normal 3 2 2 2 2 2 2 2 2 2 2 2 2 2 2 2 2 34" xfId="26598" xr:uid="{964E9208-A902-481D-9F70-0EEEC997E4D7}"/>
    <cellStyle name="Normal 3 2 2 2 2 2 2 2 2 2 2 2 2 2 2 2 2 35" xfId="26599" xr:uid="{4397A6B5-83E5-4C88-B2C2-1B295A554DFC}"/>
    <cellStyle name="Normal 3 2 2 2 2 2 2 2 2 2 2 2 2 2 2 2 2 36" xfId="26600" xr:uid="{947C3A4E-6510-4FCA-BF13-922EEAF8A5A4}"/>
    <cellStyle name="Normal 3 2 2 2 2 2 2 2 2 2 2 2 2 2 2 2 2 37" xfId="26601" xr:uid="{9ADD6138-4669-45B6-A747-FF814E898972}"/>
    <cellStyle name="Normal 3 2 2 2 2 2 2 2 2 2 2 2 2 2 2 2 2 38" xfId="26602" xr:uid="{A39DF5DD-D46E-4DA1-9362-C4C69FDE4294}"/>
    <cellStyle name="Normal 3 2 2 2 2 2 2 2 2 2 2 2 2 2 2 2 2 39" xfId="26603" xr:uid="{C6B55517-846C-47EA-912F-A3A4ED6CC2E2}"/>
    <cellStyle name="Normal 3 2 2 2 2 2 2 2 2 2 2 2 2 2 2 2 2 4" xfId="26604" xr:uid="{BA4BCA69-F6E5-4AA5-AB35-3FC63118C53F}"/>
    <cellStyle name="Normal 3 2 2 2 2 2 2 2 2 2 2 2 2 2 2 2 2 40" xfId="26605" xr:uid="{5963B032-B777-4A07-BE89-36CE00A53406}"/>
    <cellStyle name="Normal 3 2 2 2 2 2 2 2 2 2 2 2 2 2 2 2 2 41" xfId="26606" xr:uid="{854B7763-E713-4E3B-AA2F-FFBFD93A8395}"/>
    <cellStyle name="Normal 3 2 2 2 2 2 2 2 2 2 2 2 2 2 2 2 2 42" xfId="26607" xr:uid="{37D8AF7E-C45D-4782-A6A3-217C0543D370}"/>
    <cellStyle name="Normal 3 2 2 2 2 2 2 2 2 2 2 2 2 2 2 2 2 43" xfId="26608" xr:uid="{2E8CF45B-6925-4E66-AC6C-10EC2325F016}"/>
    <cellStyle name="Normal 3 2 2 2 2 2 2 2 2 2 2 2 2 2 2 2 2 44" xfId="26609" xr:uid="{88749245-25A3-4196-8DF1-2E3C3DBC856A}"/>
    <cellStyle name="Normal 3 2 2 2 2 2 2 2 2 2 2 2 2 2 2 2 2 45" xfId="26610" xr:uid="{92EFFEA4-6FB6-4D9A-B605-26532B35DF9F}"/>
    <cellStyle name="Normal 3 2 2 2 2 2 2 2 2 2 2 2 2 2 2 2 2 46" xfId="26611" xr:uid="{7760A601-7D24-4D12-A224-1920996E96BC}"/>
    <cellStyle name="Normal 3 2 2 2 2 2 2 2 2 2 2 2 2 2 2 2 2 47" xfId="26612" xr:uid="{B7043AB3-A15E-4135-8165-96EA7E78B91A}"/>
    <cellStyle name="Normal 3 2 2 2 2 2 2 2 2 2 2 2 2 2 2 2 2 48" xfId="26613" xr:uid="{161E81C7-7658-4748-8836-298C1A79271D}"/>
    <cellStyle name="Normal 3 2 2 2 2 2 2 2 2 2 2 2 2 2 2 2 2 49" xfId="26614" xr:uid="{FAFBCFD9-DBBF-4E1F-AF7E-AD6A3E9DAAEA}"/>
    <cellStyle name="Normal 3 2 2 2 2 2 2 2 2 2 2 2 2 2 2 2 2 5" xfId="26615" xr:uid="{4393DA9E-DA8C-47B9-8625-116E66FF0FCF}"/>
    <cellStyle name="Normal 3 2 2 2 2 2 2 2 2 2 2 2 2 2 2 2 2 50" xfId="26616" xr:uid="{F99AA30D-6FC3-4586-9BB1-542A3EAC5E02}"/>
    <cellStyle name="Normal 3 2 2 2 2 2 2 2 2 2 2 2 2 2 2 2 2 51" xfId="26617" xr:uid="{17D6826D-4DF8-4BD9-A71A-BB2AF5ECF8A1}"/>
    <cellStyle name="Normal 3 2 2 2 2 2 2 2 2 2 2 2 2 2 2 2 2 52" xfId="26618" xr:uid="{9C6FADA8-CD87-438D-BCAA-71B32CE1034F}"/>
    <cellStyle name="Normal 3 2 2 2 2 2 2 2 2 2 2 2 2 2 2 2 2 53" xfId="26619" xr:uid="{A01C20DE-1E1D-4CFF-98A5-A037804F44AA}"/>
    <cellStyle name="Normal 3 2 2 2 2 2 2 2 2 2 2 2 2 2 2 2 2 54" xfId="26620" xr:uid="{66427F5E-CE1D-46F4-A948-84E83E658C81}"/>
    <cellStyle name="Normal 3 2 2 2 2 2 2 2 2 2 2 2 2 2 2 2 2 55" xfId="26621" xr:uid="{D2B9145C-6616-44B7-9FCF-D721C9208CE0}"/>
    <cellStyle name="Normal 3 2 2 2 2 2 2 2 2 2 2 2 2 2 2 2 2 55 2" xfId="26622" xr:uid="{408D0089-FBC7-41F7-8611-A3D4DB894B0E}"/>
    <cellStyle name="Normal 3 2 2 2 2 2 2 2 2 2 2 2 2 2 2 2 2 55 3" xfId="26623" xr:uid="{A979E604-6D2F-4205-8818-7EBF11F4EC6A}"/>
    <cellStyle name="Normal 3 2 2 2 2 2 2 2 2 2 2 2 2 2 2 2 2 55 4" xfId="26624" xr:uid="{5A849FF8-142B-427E-A177-9DD1B87F7B61}"/>
    <cellStyle name="Normal 3 2 2 2 2 2 2 2 2 2 2 2 2 2 2 2 2 56" xfId="26625" xr:uid="{1C87044F-E3C0-4883-AC63-67773B00ED48}"/>
    <cellStyle name="Normal 3 2 2 2 2 2 2 2 2 2 2 2 2 2 2 2 2 57" xfId="26626" xr:uid="{22C595B9-33E8-46EA-9F8C-1FE6D55B4351}"/>
    <cellStyle name="Normal 3 2 2 2 2 2 2 2 2 2 2 2 2 2 2 2 2 6" xfId="26627" xr:uid="{5F408426-7CFD-4B67-9D20-8A1821D86011}"/>
    <cellStyle name="Normal 3 2 2 2 2 2 2 2 2 2 2 2 2 2 2 2 2 7" xfId="26628" xr:uid="{D5DEF2B7-3836-4EDF-BA74-22ECA7A25D15}"/>
    <cellStyle name="Normal 3 2 2 2 2 2 2 2 2 2 2 2 2 2 2 2 2 8" xfId="26629" xr:uid="{1E316076-6552-4626-BFA8-FEDD3BBAAF4C}"/>
    <cellStyle name="Normal 3 2 2 2 2 2 2 2 2 2 2 2 2 2 2 2 2 8 2" xfId="26630" xr:uid="{4B0B226E-1303-4937-B3C0-DB156506E4A1}"/>
    <cellStyle name="Normal 3 2 2 2 2 2 2 2 2 2 2 2 2 2 2 2 2 8 3" xfId="26631" xr:uid="{1C8ECBDA-BFAE-4369-84CB-358ACA543700}"/>
    <cellStyle name="Normal 3 2 2 2 2 2 2 2 2 2 2 2 2 2 2 2 2 8 4" xfId="26632" xr:uid="{7C53243D-C9F3-4178-8667-6E9608461495}"/>
    <cellStyle name="Normal 3 2 2 2 2 2 2 2 2 2 2 2 2 2 2 2 2 9" xfId="26633" xr:uid="{4A2ADEDC-DFC7-446C-8D84-0090A280DAC2}"/>
    <cellStyle name="Normal 3 2 2 2 2 2 2 2 2 2 2 2 2 2 2 2 20" xfId="26634" xr:uid="{DB16D705-5269-4981-AE65-AC3C26BBE7CA}"/>
    <cellStyle name="Normal 3 2 2 2 2 2 2 2 2 2 2 2 2 2 2 2 21" xfId="26635" xr:uid="{73B0CB75-F6FF-4114-9837-82028CBBCA82}"/>
    <cellStyle name="Normal 3 2 2 2 2 2 2 2 2 2 2 2 2 2 2 2 22" xfId="26636" xr:uid="{E13FE8B0-5687-48B2-88B0-495C5C21F9F7}"/>
    <cellStyle name="Normal 3 2 2 2 2 2 2 2 2 2 2 2 2 2 2 2 23" xfId="26637" xr:uid="{EC4721F6-A5AB-4EA8-A454-B209D7BFA42D}"/>
    <cellStyle name="Normal 3 2 2 2 2 2 2 2 2 2 2 2 2 2 2 2 24" xfId="26638" xr:uid="{009A1143-57D1-4FDF-B427-A899AA92D242}"/>
    <cellStyle name="Normal 3 2 2 2 2 2 2 2 2 2 2 2 2 2 2 2 25" xfId="26639" xr:uid="{1D4F8D66-BBF0-4E37-95A0-42DB2F2AC42A}"/>
    <cellStyle name="Normal 3 2 2 2 2 2 2 2 2 2 2 2 2 2 2 2 26" xfId="26640" xr:uid="{567DCC8D-7EF1-4217-B458-28C3DA70538C}"/>
    <cellStyle name="Normal 3 2 2 2 2 2 2 2 2 2 2 2 2 2 2 2 26 2" xfId="26641" xr:uid="{CA45D185-5233-41FD-9DF7-8CA68A04DB3A}"/>
    <cellStyle name="Normal 3 2 2 2 2 2 2 2 2 2 2 2 2 2 2 2 26 3" xfId="26642" xr:uid="{2C257360-1B63-4D5F-86D3-41851DB85300}"/>
    <cellStyle name="Normal 3 2 2 2 2 2 2 2 2 2 2 2 2 2 2 2 26 4" xfId="26643" xr:uid="{7A3B0EC3-7D9B-4B76-83A7-9FF5B778721A}"/>
    <cellStyle name="Normal 3 2 2 2 2 2 2 2 2 2 2 2 2 2 2 2 26 5" xfId="26644" xr:uid="{F911A471-163C-4A19-947B-71D6E008A9C2}"/>
    <cellStyle name="Normal 3 2 2 2 2 2 2 2 2 2 2 2 2 2 2 2 26 6" xfId="26645" xr:uid="{C24C560E-0A1C-4920-A388-A14183F5ECBF}"/>
    <cellStyle name="Normal 3 2 2 2 2 2 2 2 2 2 2 2 2 2 2 2 26 7" xfId="26646" xr:uid="{90CFE0FD-C476-4BE3-B7E6-13C664FAEB85}"/>
    <cellStyle name="Normal 3 2 2 2 2 2 2 2 2 2 2 2 2 2 2 2 27" xfId="26647" xr:uid="{52C2DA52-BD26-428F-9573-0AC17ACF0736}"/>
    <cellStyle name="Normal 3 2 2 2 2 2 2 2 2 2 2 2 2 2 2 2 28" xfId="26648" xr:uid="{78DE8283-7958-45C5-8598-9371345D2964}"/>
    <cellStyle name="Normal 3 2 2 2 2 2 2 2 2 2 2 2 2 2 2 2 29" xfId="26649" xr:uid="{2C5E55AD-76E4-40B2-A9C3-51082F87EC31}"/>
    <cellStyle name="Normal 3 2 2 2 2 2 2 2 2 2 2 2 2 2 2 2 3" xfId="26650" xr:uid="{2574BE18-EFF8-4C0D-A060-AD5075F65BFB}"/>
    <cellStyle name="Normal 3 2 2 2 2 2 2 2 2 2 2 2 2 2 2 2 30" xfId="26651" xr:uid="{1403E83F-DCC7-4122-89D2-401F60B2A2DD}"/>
    <cellStyle name="Normal 3 2 2 2 2 2 2 2 2 2 2 2 2 2 2 2 31" xfId="26652" xr:uid="{80EF9535-5B39-4D9C-AE06-3E2327215770}"/>
    <cellStyle name="Normal 3 2 2 2 2 2 2 2 2 2 2 2 2 2 2 2 32" xfId="26653" xr:uid="{57DE2528-74F2-477A-878F-D49DF246E0A8}"/>
    <cellStyle name="Normal 3 2 2 2 2 2 2 2 2 2 2 2 2 2 2 2 33" xfId="26654" xr:uid="{4AF6828E-3A19-443A-A6EF-7CB257B091C9}"/>
    <cellStyle name="Normal 3 2 2 2 2 2 2 2 2 2 2 2 2 2 2 2 34" xfId="26655" xr:uid="{B58D3228-65B4-4DC1-B8FA-21107CD2AAAC}"/>
    <cellStyle name="Normal 3 2 2 2 2 2 2 2 2 2 2 2 2 2 2 2 35" xfId="26656" xr:uid="{E8F41CB7-7007-49EC-9D7F-D2427235FAD2}"/>
    <cellStyle name="Normal 3 2 2 2 2 2 2 2 2 2 2 2 2 2 2 2 36" xfId="26657" xr:uid="{645931EB-AC70-4D94-B24A-5917508AA1EC}"/>
    <cellStyle name="Normal 3 2 2 2 2 2 2 2 2 2 2 2 2 2 2 2 37" xfId="26658" xr:uid="{EF3BF2CC-7A86-46EE-8D75-D1E39F0A5945}"/>
    <cellStyle name="Normal 3 2 2 2 2 2 2 2 2 2 2 2 2 2 2 2 38" xfId="26659" xr:uid="{AC15552B-C243-47BE-B128-2D6EB5C45522}"/>
    <cellStyle name="Normal 3 2 2 2 2 2 2 2 2 2 2 2 2 2 2 2 39" xfId="26660" xr:uid="{7999A71B-0672-467A-B6C0-887E74FD19D9}"/>
    <cellStyle name="Normal 3 2 2 2 2 2 2 2 2 2 2 2 2 2 2 2 4" xfId="26661" xr:uid="{2A5D4070-7E4E-4AB0-8A37-91F90C18EA8C}"/>
    <cellStyle name="Normal 3 2 2 2 2 2 2 2 2 2 2 2 2 2 2 2 40" xfId="26662" xr:uid="{0A61100D-C1FB-406C-B73C-51D5F5E4C599}"/>
    <cellStyle name="Normal 3 2 2 2 2 2 2 2 2 2 2 2 2 2 2 2 41" xfId="26663" xr:uid="{9627344B-FE34-478B-9228-3F1375EF0053}"/>
    <cellStyle name="Normal 3 2 2 2 2 2 2 2 2 2 2 2 2 2 2 2 42" xfId="26664" xr:uid="{DC5C0485-6287-4D37-95C1-E73D9179C4F3}"/>
    <cellStyle name="Normal 3 2 2 2 2 2 2 2 2 2 2 2 2 2 2 2 43" xfId="26665" xr:uid="{37BDBE8E-0937-4DA1-A005-87F3F195CA0F}"/>
    <cellStyle name="Normal 3 2 2 2 2 2 2 2 2 2 2 2 2 2 2 2 44" xfId="26666" xr:uid="{23163873-70C0-4BE4-9950-BA3F46BE1D84}"/>
    <cellStyle name="Normal 3 2 2 2 2 2 2 2 2 2 2 2 2 2 2 2 45" xfId="26667" xr:uid="{C91CC747-DBF6-4570-B757-628CF32C2372}"/>
    <cellStyle name="Normal 3 2 2 2 2 2 2 2 2 2 2 2 2 2 2 2 46" xfId="26668" xr:uid="{9C7E3A57-F8E5-4A61-9CD3-8B7A30284453}"/>
    <cellStyle name="Normal 3 2 2 2 2 2 2 2 2 2 2 2 2 2 2 2 47" xfId="26669" xr:uid="{F8FC2298-5DCD-4E91-8E8B-724BB250FB54}"/>
    <cellStyle name="Normal 3 2 2 2 2 2 2 2 2 2 2 2 2 2 2 2 48" xfId="26670" xr:uid="{416F4F9A-ADCE-4CFE-AB2A-59E7ADA328F4}"/>
    <cellStyle name="Normal 3 2 2 2 2 2 2 2 2 2 2 2 2 2 2 2 49" xfId="26671" xr:uid="{9BEE0CE5-8E13-451D-9393-DEAF15239C6F}"/>
    <cellStyle name="Normal 3 2 2 2 2 2 2 2 2 2 2 2 2 2 2 2 5" xfId="26672" xr:uid="{B50E4D6A-84BA-4534-BC52-4356D21BDB05}"/>
    <cellStyle name="Normal 3 2 2 2 2 2 2 2 2 2 2 2 2 2 2 2 5 2" xfId="26673" xr:uid="{345C5E67-9B63-47B0-BE4A-795A6BE01843}"/>
    <cellStyle name="Normal 3 2 2 2 2 2 2 2 2 2 2 2 2 2 2 2 5 2 2" xfId="26674" xr:uid="{65A8D3D7-D59A-4BE5-8AC9-A373E85CD5B3}"/>
    <cellStyle name="Normal 3 2 2 2 2 2 2 2 2 2 2 2 2 2 2 2 5 2 3" xfId="26675" xr:uid="{6E8411F6-8847-407A-BD5A-349CCDFB7424}"/>
    <cellStyle name="Normal 3 2 2 2 2 2 2 2 2 2 2 2 2 2 2 2 5 2 4" xfId="26676" xr:uid="{FDFA90B5-7245-4BC5-9BD7-EEF9968B932F}"/>
    <cellStyle name="Normal 3 2 2 2 2 2 2 2 2 2 2 2 2 2 2 2 5 3" xfId="26677" xr:uid="{CA6DA1AF-DD35-4693-A9DC-89913D6A25FA}"/>
    <cellStyle name="Normal 3 2 2 2 2 2 2 2 2 2 2 2 2 2 2 2 5 4" xfId="26678" xr:uid="{29F0B452-79CD-4DA9-BF55-328CC471E496}"/>
    <cellStyle name="Normal 3 2 2 2 2 2 2 2 2 2 2 2 2 2 2 2 5 5" xfId="26679" xr:uid="{3B6CC522-F63F-4A86-907B-148554E40A05}"/>
    <cellStyle name="Normal 3 2 2 2 2 2 2 2 2 2 2 2 2 2 2 2 5 6" xfId="26680" xr:uid="{732F627C-B5AD-4B67-A90D-D87D245B39C6}"/>
    <cellStyle name="Normal 3 2 2 2 2 2 2 2 2 2 2 2 2 2 2 2 50" xfId="26681" xr:uid="{C7A1D20D-FC74-442D-8296-F6B6020FA229}"/>
    <cellStyle name="Normal 3 2 2 2 2 2 2 2 2 2 2 2 2 2 2 2 51" xfId="26682" xr:uid="{1C0111C8-443E-4928-B0EB-4B3FF5D71ACB}"/>
    <cellStyle name="Normal 3 2 2 2 2 2 2 2 2 2 2 2 2 2 2 2 52" xfId="26683" xr:uid="{5CE5D89A-5239-4559-B033-384F20665693}"/>
    <cellStyle name="Normal 3 2 2 2 2 2 2 2 2 2 2 2 2 2 2 2 53" xfId="26684" xr:uid="{4556E9E6-9C9F-4701-BB1D-C05CE92695E6}"/>
    <cellStyle name="Normal 3 2 2 2 2 2 2 2 2 2 2 2 2 2 2 2 54" xfId="26685" xr:uid="{F8A100BA-54B0-48AA-B932-1293484DA8A1}"/>
    <cellStyle name="Normal 3 2 2 2 2 2 2 2 2 2 2 2 2 2 2 2 55" xfId="26686" xr:uid="{3AB94CCA-11B6-425C-A91C-CF006954257A}"/>
    <cellStyle name="Normal 3 2 2 2 2 2 2 2 2 2 2 2 2 2 2 2 56" xfId="26687" xr:uid="{68DB7A10-9358-4647-BEBB-C08B9E513BCD}"/>
    <cellStyle name="Normal 3 2 2 2 2 2 2 2 2 2 2 2 2 2 2 2 57" xfId="26688" xr:uid="{1897DDEF-B507-462D-A7ED-5677BC85A9C0}"/>
    <cellStyle name="Normal 3 2 2 2 2 2 2 2 2 2 2 2 2 2 2 2 58" xfId="26689" xr:uid="{D8451763-5297-46C8-AA18-D4418687BB22}"/>
    <cellStyle name="Normal 3 2 2 2 2 2 2 2 2 2 2 2 2 2 2 2 58 2" xfId="26690" xr:uid="{6A283062-BCD4-42DB-8BB7-BF7D48758F53}"/>
    <cellStyle name="Normal 3 2 2 2 2 2 2 2 2 2 2 2 2 2 2 2 58 3" xfId="26691" xr:uid="{3B106B04-055B-4E78-B594-50213BE5954F}"/>
    <cellStyle name="Normal 3 2 2 2 2 2 2 2 2 2 2 2 2 2 2 2 58 4" xfId="26692" xr:uid="{AC2F5285-060B-42DB-926E-036EB34E488C}"/>
    <cellStyle name="Normal 3 2 2 2 2 2 2 2 2 2 2 2 2 2 2 2 59" xfId="26693" xr:uid="{68B568FB-2354-4192-AF53-64C73DEE255F}"/>
    <cellStyle name="Normal 3 2 2 2 2 2 2 2 2 2 2 2 2 2 2 2 6" xfId="26694" xr:uid="{59A5D15A-5074-4D1D-AA5B-EFC38DC59FD8}"/>
    <cellStyle name="Normal 3 2 2 2 2 2 2 2 2 2 2 2 2 2 2 2 60" xfId="26695" xr:uid="{A63EDF2E-BBB8-480E-A0E0-A2B220242329}"/>
    <cellStyle name="Normal 3 2 2 2 2 2 2 2 2 2 2 2 2 2 2 2 7" xfId="26696" xr:uid="{84900274-3B74-4074-8638-ACCED87E2962}"/>
    <cellStyle name="Normal 3 2 2 2 2 2 2 2 2 2 2 2 2 2 2 2 8" xfId="26697" xr:uid="{F955733E-C028-4B01-811F-A8BF5E17C8D2}"/>
    <cellStyle name="Normal 3 2 2 2 2 2 2 2 2 2 2 2 2 2 2 2 9" xfId="26698" xr:uid="{F7BDA39D-EABB-45B0-8751-68DDE52AEF6F}"/>
    <cellStyle name="Normal 3 2 2 2 2 2 2 2 2 2 2 2 2 2 2 20" xfId="26699" xr:uid="{CC7DA4E4-D380-4B56-9CE2-5090A3C16197}"/>
    <cellStyle name="Normal 3 2 2 2 2 2 2 2 2 2 2 2 2 2 2 21" xfId="26700" xr:uid="{AF5D0AED-6BF1-48C2-AF9F-971A295BA465}"/>
    <cellStyle name="Normal 3 2 2 2 2 2 2 2 2 2 2 2 2 2 2 22" xfId="26701" xr:uid="{AA466381-3B87-4191-BFE9-A2A30FF512C8}"/>
    <cellStyle name="Normal 3 2 2 2 2 2 2 2 2 2 2 2 2 2 2 23" xfId="26702" xr:uid="{66691EC4-961D-4369-ABCD-69D6B6EDF484}"/>
    <cellStyle name="Normal 3 2 2 2 2 2 2 2 2 2 2 2 2 2 2 24" xfId="26703" xr:uid="{86E10573-D5D0-4D52-B2A8-E6C844D32ECF}"/>
    <cellStyle name="Normal 3 2 2 2 2 2 2 2 2 2 2 2 2 2 2 25" xfId="26704" xr:uid="{CBB94344-7A35-42E5-8A80-011FF3B81D29}"/>
    <cellStyle name="Normal 3 2 2 2 2 2 2 2 2 2 2 2 2 2 2 26" xfId="26705" xr:uid="{B7E61AED-7BE4-4D66-B8A8-BAC243B298B6}"/>
    <cellStyle name="Normal 3 2 2 2 2 2 2 2 2 2 2 2 2 2 2 27" xfId="26706" xr:uid="{25A8FE68-ABCA-4D7E-8364-7BD97E3F35D9}"/>
    <cellStyle name="Normal 3 2 2 2 2 2 2 2 2 2 2 2 2 2 2 28" xfId="26707" xr:uid="{72C59C37-5259-4F98-B893-D107B275584C}"/>
    <cellStyle name="Normal 3 2 2 2 2 2 2 2 2 2 2 2 2 2 2 28 2" xfId="26708" xr:uid="{05992D8C-5D00-4DAD-BC39-6AA4BACF57A1}"/>
    <cellStyle name="Normal 3 2 2 2 2 2 2 2 2 2 2 2 2 2 2 28 3" xfId="26709" xr:uid="{E821234F-A80A-44D9-B028-0CAADFDB239D}"/>
    <cellStyle name="Normal 3 2 2 2 2 2 2 2 2 2 2 2 2 2 2 28 4" xfId="26710" xr:uid="{1E90EEDF-F98F-4A81-B85D-52C0C9E41B06}"/>
    <cellStyle name="Normal 3 2 2 2 2 2 2 2 2 2 2 2 2 2 2 28 5" xfId="26711" xr:uid="{C249AAEA-1B98-4010-B7AE-098ABAF0F8C7}"/>
    <cellStyle name="Normal 3 2 2 2 2 2 2 2 2 2 2 2 2 2 2 28 6" xfId="26712" xr:uid="{730B6D24-5D66-4494-967D-15D48C73BD9E}"/>
    <cellStyle name="Normal 3 2 2 2 2 2 2 2 2 2 2 2 2 2 2 28 7" xfId="26713" xr:uid="{CC9C9C6E-DA11-4118-9B2E-13D8F48D55CB}"/>
    <cellStyle name="Normal 3 2 2 2 2 2 2 2 2 2 2 2 2 2 2 29" xfId="26714" xr:uid="{A34D97E7-BB31-4BDA-BF41-E3218E02EE14}"/>
    <cellStyle name="Normal 3 2 2 2 2 2 2 2 2 2 2 2 2 2 2 3" xfId="26715" xr:uid="{F398CBA5-7CA0-45B5-913F-46D534FE2A89}"/>
    <cellStyle name="Normal 3 2 2 2 2 2 2 2 2 2 2 2 2 2 2 30" xfId="26716" xr:uid="{F938A5CD-5E93-4E24-A415-529589A575EC}"/>
    <cellStyle name="Normal 3 2 2 2 2 2 2 2 2 2 2 2 2 2 2 31" xfId="26717" xr:uid="{EDC9EB2A-B894-4395-A974-3758E663CC93}"/>
    <cellStyle name="Normal 3 2 2 2 2 2 2 2 2 2 2 2 2 2 2 32" xfId="26718" xr:uid="{A9C2CD9E-AC8D-48DC-865B-2A545AA5029F}"/>
    <cellStyle name="Normal 3 2 2 2 2 2 2 2 2 2 2 2 2 2 2 33" xfId="26719" xr:uid="{FB1A2BED-2783-46A0-9DF4-E72B2FFF3E5A}"/>
    <cellStyle name="Normal 3 2 2 2 2 2 2 2 2 2 2 2 2 2 2 34" xfId="26720" xr:uid="{7CFF070C-DBF9-48C3-B900-AEB882AB2166}"/>
    <cellStyle name="Normal 3 2 2 2 2 2 2 2 2 2 2 2 2 2 2 35" xfId="26721" xr:uid="{53D548C5-1544-4866-916E-28C6D03330C8}"/>
    <cellStyle name="Normal 3 2 2 2 2 2 2 2 2 2 2 2 2 2 2 36" xfId="26722" xr:uid="{16901D37-AF12-42A8-AF89-90335D6518A6}"/>
    <cellStyle name="Normal 3 2 2 2 2 2 2 2 2 2 2 2 2 2 2 37" xfId="26723" xr:uid="{819CA6C2-FE20-4FAF-B4A8-CF53FE08B3CB}"/>
    <cellStyle name="Normal 3 2 2 2 2 2 2 2 2 2 2 2 2 2 2 38" xfId="26724" xr:uid="{D50C2A68-0F9D-49A5-A496-28BE432DEE62}"/>
    <cellStyle name="Normal 3 2 2 2 2 2 2 2 2 2 2 2 2 2 2 39" xfId="26725" xr:uid="{868F383E-E3F7-4178-9B44-F42427B65FCF}"/>
    <cellStyle name="Normal 3 2 2 2 2 2 2 2 2 2 2 2 2 2 2 4" xfId="26726" xr:uid="{49CB2B92-A362-49E7-B315-202D84037FC5}"/>
    <cellStyle name="Normal 3 2 2 2 2 2 2 2 2 2 2 2 2 2 2 40" xfId="26727" xr:uid="{FEAA33EA-ADB3-4686-9977-36FF83663D76}"/>
    <cellStyle name="Normal 3 2 2 2 2 2 2 2 2 2 2 2 2 2 2 41" xfId="26728" xr:uid="{7A80BD06-5CED-4903-B3F1-B521D9A32100}"/>
    <cellStyle name="Normal 3 2 2 2 2 2 2 2 2 2 2 2 2 2 2 42" xfId="26729" xr:uid="{0817CD73-5EED-49E7-8A72-FBBB49C75D69}"/>
    <cellStyle name="Normal 3 2 2 2 2 2 2 2 2 2 2 2 2 2 2 43" xfId="26730" xr:uid="{807A9E42-0E6A-425D-967A-48D102496E62}"/>
    <cellStyle name="Normal 3 2 2 2 2 2 2 2 2 2 2 2 2 2 2 44" xfId="26731" xr:uid="{8D6B8A02-EFF2-4FF2-808D-78DD7A25DF8A}"/>
    <cellStyle name="Normal 3 2 2 2 2 2 2 2 2 2 2 2 2 2 2 45" xfId="26732" xr:uid="{301AB086-D6AE-4AFD-BBAF-87F1493D1AC0}"/>
    <cellStyle name="Normal 3 2 2 2 2 2 2 2 2 2 2 2 2 2 2 46" xfId="26733" xr:uid="{626CBFBA-592E-4B5D-9D59-252A430C7A95}"/>
    <cellStyle name="Normal 3 2 2 2 2 2 2 2 2 2 2 2 2 2 2 47" xfId="26734" xr:uid="{96B442AB-2F0B-4148-B3F8-E6E6653B5D55}"/>
    <cellStyle name="Normal 3 2 2 2 2 2 2 2 2 2 2 2 2 2 2 48" xfId="26735" xr:uid="{6B0C790C-4385-40A9-9040-F845A81BDC6C}"/>
    <cellStyle name="Normal 3 2 2 2 2 2 2 2 2 2 2 2 2 2 2 49" xfId="26736" xr:uid="{40B918B0-F60A-494B-B9EE-5234AD7D6D58}"/>
    <cellStyle name="Normal 3 2 2 2 2 2 2 2 2 2 2 2 2 2 2 5" xfId="26737" xr:uid="{54125DB8-1611-44F8-A724-920C2E7F880D}"/>
    <cellStyle name="Normal 3 2 2 2 2 2 2 2 2 2 2 2 2 2 2 5 10" xfId="26738" xr:uid="{BA6A4DE3-9FB1-4039-9CAA-11D54FC38242}"/>
    <cellStyle name="Normal 3 2 2 2 2 2 2 2 2 2 2 2 2 2 2 5 11" xfId="26739" xr:uid="{6E241055-CA57-44F6-A83A-A33080F65C8F}"/>
    <cellStyle name="Normal 3 2 2 2 2 2 2 2 2 2 2 2 2 2 2 5 2" xfId="26740" xr:uid="{5853E83B-250E-4318-9C86-E7FC2DE04DD7}"/>
    <cellStyle name="Normal 3 2 2 2 2 2 2 2 2 2 2 2 2 2 2 5 2 10" xfId="26741" xr:uid="{80C46D05-0AE5-4DA2-94BC-E505759F4F21}"/>
    <cellStyle name="Normal 3 2 2 2 2 2 2 2 2 2 2 2 2 2 2 5 2 11" xfId="26742" xr:uid="{960FEDD5-1A90-4DFE-8A20-B98CDA5849EC}"/>
    <cellStyle name="Normal 3 2 2 2 2 2 2 2 2 2 2 2 2 2 2 5 2 2" xfId="26743" xr:uid="{FD0D8A4F-7C24-4F6A-B40A-A9275029F89B}"/>
    <cellStyle name="Normal 3 2 2 2 2 2 2 2 2 2 2 2 2 2 2 5 2 2 2" xfId="26744" xr:uid="{993D4291-88DF-4878-ADFF-5912B883ADA2}"/>
    <cellStyle name="Normal 3 2 2 2 2 2 2 2 2 2 2 2 2 2 2 5 2 2 2 2" xfId="26745" xr:uid="{ECA9057A-C1E8-49BF-A7D9-21A37F0DC32B}"/>
    <cellStyle name="Normal 3 2 2 2 2 2 2 2 2 2 2 2 2 2 2 5 2 2 2 3" xfId="26746" xr:uid="{0D8DB639-1970-40F2-9F1C-5B3A2A4FF7EF}"/>
    <cellStyle name="Normal 3 2 2 2 2 2 2 2 2 2 2 2 2 2 2 5 2 2 2 4" xfId="26747" xr:uid="{95434163-5B43-450C-80FA-F10291CC258C}"/>
    <cellStyle name="Normal 3 2 2 2 2 2 2 2 2 2 2 2 2 2 2 5 2 2 3" xfId="26748" xr:uid="{6806F41F-409C-44E5-ABA0-B1121A566DE1}"/>
    <cellStyle name="Normal 3 2 2 2 2 2 2 2 2 2 2 2 2 2 2 5 2 2 4" xfId="26749" xr:uid="{CD6164AE-7534-4C76-BBB4-FF3DEE73123F}"/>
    <cellStyle name="Normal 3 2 2 2 2 2 2 2 2 2 2 2 2 2 2 5 2 2 5" xfId="26750" xr:uid="{31E8F222-32E9-40AD-9EF0-43B2196B13B5}"/>
    <cellStyle name="Normal 3 2 2 2 2 2 2 2 2 2 2 2 2 2 2 5 2 2 6" xfId="26751" xr:uid="{2B822604-E3E1-4F2F-BA0D-80B8B2C047B3}"/>
    <cellStyle name="Normal 3 2 2 2 2 2 2 2 2 2 2 2 2 2 2 5 2 3" xfId="26752" xr:uid="{DF1F6D6D-4ABA-47F1-9C9E-626756F75CD2}"/>
    <cellStyle name="Normal 3 2 2 2 2 2 2 2 2 2 2 2 2 2 2 5 2 4" xfId="26753" xr:uid="{D13D1130-8E28-43B0-9EE7-25D6CD027764}"/>
    <cellStyle name="Normal 3 2 2 2 2 2 2 2 2 2 2 2 2 2 2 5 2 5" xfId="26754" xr:uid="{47C5BB4F-AB6E-491B-9C22-AD08F456C33B}"/>
    <cellStyle name="Normal 3 2 2 2 2 2 2 2 2 2 2 2 2 2 2 5 2 6" xfId="26755" xr:uid="{6BF51BB7-63F2-4991-8CDA-C8F2ABE99085}"/>
    <cellStyle name="Normal 3 2 2 2 2 2 2 2 2 2 2 2 2 2 2 5 2 7" xfId="26756" xr:uid="{C2BFF096-F44C-4ADF-A425-F4A9A3BE488B}"/>
    <cellStyle name="Normal 3 2 2 2 2 2 2 2 2 2 2 2 2 2 2 5 2 8" xfId="26757" xr:uid="{567D6EE8-032D-4336-BD5D-66BF63AE7B3B}"/>
    <cellStyle name="Normal 3 2 2 2 2 2 2 2 2 2 2 2 2 2 2 5 2 8 2" xfId="26758" xr:uid="{E39F1DAF-C3CF-41C1-9664-46D3E308423D}"/>
    <cellStyle name="Normal 3 2 2 2 2 2 2 2 2 2 2 2 2 2 2 5 2 8 3" xfId="26759" xr:uid="{403BCEC5-F55E-473F-9639-21C164679BCB}"/>
    <cellStyle name="Normal 3 2 2 2 2 2 2 2 2 2 2 2 2 2 2 5 2 8 4" xfId="26760" xr:uid="{963A2DEA-74BC-4B45-95B7-597F51FED89E}"/>
    <cellStyle name="Normal 3 2 2 2 2 2 2 2 2 2 2 2 2 2 2 5 2 9" xfId="26761" xr:uid="{98A27CAD-63D0-48CA-8709-BFA253D3A892}"/>
    <cellStyle name="Normal 3 2 2 2 2 2 2 2 2 2 2 2 2 2 2 5 3" xfId="26762" xr:uid="{ECF74AA7-EC97-49A6-BA19-BEF99B77BCCE}"/>
    <cellStyle name="Normal 3 2 2 2 2 2 2 2 2 2 2 2 2 2 2 5 3 2" xfId="26763" xr:uid="{0FBB8B3C-10C3-4C96-9E3E-331F20D547CB}"/>
    <cellStyle name="Normal 3 2 2 2 2 2 2 2 2 2 2 2 2 2 2 5 3 2 2" xfId="26764" xr:uid="{0969CC47-E9B8-4650-A78B-035D0917C850}"/>
    <cellStyle name="Normal 3 2 2 2 2 2 2 2 2 2 2 2 2 2 2 5 3 2 3" xfId="26765" xr:uid="{5CC1811E-20FE-493C-B523-C8DFC8154603}"/>
    <cellStyle name="Normal 3 2 2 2 2 2 2 2 2 2 2 2 2 2 2 5 3 2 4" xfId="26766" xr:uid="{4BF441DE-CAC9-42CE-A494-3D341C9B525B}"/>
    <cellStyle name="Normal 3 2 2 2 2 2 2 2 2 2 2 2 2 2 2 5 3 3" xfId="26767" xr:uid="{F6C65B23-BFC0-451C-87EC-CAC218A694FC}"/>
    <cellStyle name="Normal 3 2 2 2 2 2 2 2 2 2 2 2 2 2 2 5 3 4" xfId="26768" xr:uid="{A795C4C5-F2B1-4849-9EA2-BF20A349DB7F}"/>
    <cellStyle name="Normal 3 2 2 2 2 2 2 2 2 2 2 2 2 2 2 5 3 5" xfId="26769" xr:uid="{951A641B-C261-4D0E-87B2-08BABA4D938E}"/>
    <cellStyle name="Normal 3 2 2 2 2 2 2 2 2 2 2 2 2 2 2 5 3 6" xfId="26770" xr:uid="{8D846DDD-58AB-4AE3-B040-FBB3BCF15C67}"/>
    <cellStyle name="Normal 3 2 2 2 2 2 2 2 2 2 2 2 2 2 2 5 4" xfId="26771" xr:uid="{F09BDCD8-775A-4773-8756-889C5307761C}"/>
    <cellStyle name="Normal 3 2 2 2 2 2 2 2 2 2 2 2 2 2 2 5 5" xfId="26772" xr:uid="{3F073162-5AD3-4F91-9A39-9681C2DA8DD2}"/>
    <cellStyle name="Normal 3 2 2 2 2 2 2 2 2 2 2 2 2 2 2 5 6" xfId="26773" xr:uid="{5061EC90-AD19-41ED-B276-DCF5695285A1}"/>
    <cellStyle name="Normal 3 2 2 2 2 2 2 2 2 2 2 2 2 2 2 5 7" xfId="26774" xr:uid="{46FE03B5-DF43-403F-A5E5-986A54CE9072}"/>
    <cellStyle name="Normal 3 2 2 2 2 2 2 2 2 2 2 2 2 2 2 5 8" xfId="26775" xr:uid="{3C9AEFFD-0C55-42FB-9364-5BE5AC70A6F2}"/>
    <cellStyle name="Normal 3 2 2 2 2 2 2 2 2 2 2 2 2 2 2 5 8 2" xfId="26776" xr:uid="{922720B3-479E-4131-808C-DE9A343F5FFB}"/>
    <cellStyle name="Normal 3 2 2 2 2 2 2 2 2 2 2 2 2 2 2 5 8 3" xfId="26777" xr:uid="{B2F4AD13-62BE-4798-BC8C-671BEBF6C2C6}"/>
    <cellStyle name="Normal 3 2 2 2 2 2 2 2 2 2 2 2 2 2 2 5 8 4" xfId="26778" xr:uid="{1B124570-D26F-465D-9111-C96A69FD4274}"/>
    <cellStyle name="Normal 3 2 2 2 2 2 2 2 2 2 2 2 2 2 2 5 9" xfId="26779" xr:uid="{3BF98267-364C-4677-938B-6147ACF46B14}"/>
    <cellStyle name="Normal 3 2 2 2 2 2 2 2 2 2 2 2 2 2 2 50" xfId="26780" xr:uid="{BE9437A0-9AC8-4FD7-BDFB-EA3F91862548}"/>
    <cellStyle name="Normal 3 2 2 2 2 2 2 2 2 2 2 2 2 2 2 51" xfId="26781" xr:uid="{4D7FDF35-BA62-4229-A6B2-E4ED5A7A9403}"/>
    <cellStyle name="Normal 3 2 2 2 2 2 2 2 2 2 2 2 2 2 2 52" xfId="26782" xr:uid="{E87A60FB-90F1-4538-B00D-D0988371AFA2}"/>
    <cellStyle name="Normal 3 2 2 2 2 2 2 2 2 2 2 2 2 2 2 53" xfId="26783" xr:uid="{FF339900-6DD1-4579-9480-4B41F09B0AF2}"/>
    <cellStyle name="Normal 3 2 2 2 2 2 2 2 2 2 2 2 2 2 2 54" xfId="26784" xr:uid="{7E4FE864-BC3D-4404-AAF9-4B31893E793B}"/>
    <cellStyle name="Normal 3 2 2 2 2 2 2 2 2 2 2 2 2 2 2 55" xfId="26785" xr:uid="{E47482B4-0F57-44AC-9685-39969AF20AA7}"/>
    <cellStyle name="Normal 3 2 2 2 2 2 2 2 2 2 2 2 2 2 2 56" xfId="26786" xr:uid="{E3E99E08-8495-4ED2-A93D-60F13647BC90}"/>
    <cellStyle name="Normal 3 2 2 2 2 2 2 2 2 2 2 2 2 2 2 57" xfId="26787" xr:uid="{1349C886-B8E8-49D3-BEE7-2F741AA0BD0F}"/>
    <cellStyle name="Normal 3 2 2 2 2 2 2 2 2 2 2 2 2 2 2 58" xfId="26788" xr:uid="{81541C38-12D2-4FF9-8EF9-161A25F732A3}"/>
    <cellStyle name="Normal 3 2 2 2 2 2 2 2 2 2 2 2 2 2 2 59" xfId="26789" xr:uid="{EA97D4C9-A31D-4C09-A18B-69B19BD2AFCE}"/>
    <cellStyle name="Normal 3 2 2 2 2 2 2 2 2 2 2 2 2 2 2 6" xfId="26790" xr:uid="{D47F7E07-CF3D-46F4-9B77-EB1A03F646E0}"/>
    <cellStyle name="Normal 3 2 2 2 2 2 2 2 2 2 2 2 2 2 2 60" xfId="26791" xr:uid="{A41F715C-6733-478C-8731-33FA13DEDA22}"/>
    <cellStyle name="Normal 3 2 2 2 2 2 2 2 2 2 2 2 2 2 2 60 2" xfId="26792" xr:uid="{C94BD01D-4F2E-425A-AA38-688854C95206}"/>
    <cellStyle name="Normal 3 2 2 2 2 2 2 2 2 2 2 2 2 2 2 60 3" xfId="26793" xr:uid="{49343580-11B4-44F4-971A-5E23100A2EE8}"/>
    <cellStyle name="Normal 3 2 2 2 2 2 2 2 2 2 2 2 2 2 2 60 4" xfId="26794" xr:uid="{8F25966A-F989-4A4D-8A2C-9399E558766B}"/>
    <cellStyle name="Normal 3 2 2 2 2 2 2 2 2 2 2 2 2 2 2 61" xfId="26795" xr:uid="{9A0E638B-521F-4416-9886-2B75804A9EF6}"/>
    <cellStyle name="Normal 3 2 2 2 2 2 2 2 2 2 2 2 2 2 2 62" xfId="26796" xr:uid="{8CAD46F6-AE1D-442E-8EA8-A91E167967CF}"/>
    <cellStyle name="Normal 3 2 2 2 2 2 2 2 2 2 2 2 2 2 2 7" xfId="26797" xr:uid="{04BDD659-9924-4DE0-95F8-483B1D11B12D}"/>
    <cellStyle name="Normal 3 2 2 2 2 2 2 2 2 2 2 2 2 2 2 7 2" xfId="26798" xr:uid="{3EBA995E-7589-427C-B82D-770FAFCFE5FB}"/>
    <cellStyle name="Normal 3 2 2 2 2 2 2 2 2 2 2 2 2 2 2 7 2 2" xfId="26799" xr:uid="{44CA9806-3CC0-4980-9407-6169A30AB6AF}"/>
    <cellStyle name="Normal 3 2 2 2 2 2 2 2 2 2 2 2 2 2 2 7 2 3" xfId="26800" xr:uid="{199727ED-90E9-43E3-9AD1-FE4129DE9292}"/>
    <cellStyle name="Normal 3 2 2 2 2 2 2 2 2 2 2 2 2 2 2 7 2 4" xfId="26801" xr:uid="{32286DFF-9349-4EE2-8819-7D1C0FC3286D}"/>
    <cellStyle name="Normal 3 2 2 2 2 2 2 2 2 2 2 2 2 2 2 7 3" xfId="26802" xr:uid="{4400E5FD-F3C3-4C1E-918A-71DE3F29A8B8}"/>
    <cellStyle name="Normal 3 2 2 2 2 2 2 2 2 2 2 2 2 2 2 7 4" xfId="26803" xr:uid="{85D5E69A-3F7D-401A-9484-2CB969EBF92C}"/>
    <cellStyle name="Normal 3 2 2 2 2 2 2 2 2 2 2 2 2 2 2 7 5" xfId="26804" xr:uid="{D896EFC0-7079-46D0-8116-261B888A5918}"/>
    <cellStyle name="Normal 3 2 2 2 2 2 2 2 2 2 2 2 2 2 2 7 6" xfId="26805" xr:uid="{B57C8B52-00F5-4B23-AC39-23BD601612F8}"/>
    <cellStyle name="Normal 3 2 2 2 2 2 2 2 2 2 2 2 2 2 2 8" xfId="26806" xr:uid="{FC9E9EF3-9E29-4B0E-A1EE-A35E9ADCCA4B}"/>
    <cellStyle name="Normal 3 2 2 2 2 2 2 2 2 2 2 2 2 2 2 9" xfId="26807" xr:uid="{B8765E2E-E389-4826-9308-495C8C9DC870}"/>
    <cellStyle name="Normal 3 2 2 2 2 2 2 2 2 2 2 2 2 2 20" xfId="26808" xr:uid="{A8DC88C2-C495-44C6-8B8B-32F78A9405C2}"/>
    <cellStyle name="Normal 3 2 2 2 2 2 2 2 2 2 2 2 2 2 21" xfId="26809" xr:uid="{203AB3DE-D279-41DC-AF65-6734E3D00F0A}"/>
    <cellStyle name="Normal 3 2 2 2 2 2 2 2 2 2 2 2 2 2 21 2" xfId="26810" xr:uid="{E33E6EF3-9C39-46CD-8E14-C9D0F664F365}"/>
    <cellStyle name="Normal 3 2 2 2 2 2 2 2 2 2 2 2 2 2 21 3" xfId="26811" xr:uid="{0DF31C92-D937-45C5-8DAF-7C5157CC3D59}"/>
    <cellStyle name="Normal 3 2 2 2 2 2 2 2 2 2 2 2 2 2 21 4" xfId="26812" xr:uid="{D7C56FE8-F7FB-47D6-B050-193DF58E4BB3}"/>
    <cellStyle name="Normal 3 2 2 2 2 2 2 2 2 2 2 2 2 2 22" xfId="26813" xr:uid="{E24E2EFD-6D83-4037-AA4A-73943EB468F5}"/>
    <cellStyle name="Normal 3 2 2 2 2 2 2 2 2 2 2 2 2 2 23" xfId="26814" xr:uid="{1D6FC364-9DC6-4397-8F3B-26168513D545}"/>
    <cellStyle name="Normal 3 2 2 2 2 2 2 2 2 2 2 2 2 2 24" xfId="26815" xr:uid="{B013C776-4D09-4817-834C-67BEF7A0AF38}"/>
    <cellStyle name="Normal 3 2 2 2 2 2 2 2 2 2 2 2 2 2 25" xfId="26816" xr:uid="{5382C39C-44B2-4D97-97A1-A39DDD1C413B}"/>
    <cellStyle name="Normal 3 2 2 2 2 2 2 2 2 2 2 2 2 2 26" xfId="26817" xr:uid="{AA9E2B4F-FC69-4287-805F-5D6720446935}"/>
    <cellStyle name="Normal 3 2 2 2 2 2 2 2 2 2 2 2 2 2 27" xfId="26818" xr:uid="{A3302D5D-541B-48CB-A9A4-F2BC1093D636}"/>
    <cellStyle name="Normal 3 2 2 2 2 2 2 2 2 2 2 2 2 2 28" xfId="26819" xr:uid="{877A7433-202D-4F3B-A78E-D69A4FE19EDA}"/>
    <cellStyle name="Normal 3 2 2 2 2 2 2 2 2 2 2 2 2 2 29" xfId="26820" xr:uid="{85D05BF3-2591-4E17-9A87-1FEBBE9418C4}"/>
    <cellStyle name="Normal 3 2 2 2 2 2 2 2 2 2 2 2 2 2 3" xfId="26821" xr:uid="{C389B580-8922-453D-9C7E-194D65ABF80C}"/>
    <cellStyle name="Normal 3 2 2 2 2 2 2 2 2 2 2 2 2 2 30" xfId="26822" xr:uid="{DF8C2E91-DA45-4151-B53E-B5AEA0B01762}"/>
    <cellStyle name="Normal 3 2 2 2 2 2 2 2 2 2 2 2 2 2 31" xfId="26823" xr:uid="{151CF8A7-8C0B-4097-A5E5-C8CD4967B6FF}"/>
    <cellStyle name="Normal 3 2 2 2 2 2 2 2 2 2 2 2 2 2 32" xfId="26824" xr:uid="{5CA04C94-1908-4E4E-AB00-7316D4ABBF2E}"/>
    <cellStyle name="Normal 3 2 2 2 2 2 2 2 2 2 2 2 2 2 33" xfId="26825" xr:uid="{1D440F89-A8D5-4201-82AD-75ACF451640D}"/>
    <cellStyle name="Normal 3 2 2 2 2 2 2 2 2 2 2 2 2 2 34" xfId="26826" xr:uid="{33902CE8-FF53-4DB5-98C9-D4C89E837D83}"/>
    <cellStyle name="Normal 3 2 2 2 2 2 2 2 2 2 2 2 2 2 35" xfId="26827" xr:uid="{8877708F-FC91-42AB-ABF4-A4F14FC7B7AB}"/>
    <cellStyle name="Normal 3 2 2 2 2 2 2 2 2 2 2 2 2 2 36" xfId="26828" xr:uid="{EEC025EF-F310-43F7-96DC-CC4471799510}"/>
    <cellStyle name="Normal 3 2 2 2 2 2 2 2 2 2 2 2 2 2 36 2" xfId="26829" xr:uid="{4EDC1148-16F0-434B-A471-F99EC68E5C5B}"/>
    <cellStyle name="Normal 3 2 2 2 2 2 2 2 2 2 2 2 2 2 36 3" xfId="26830" xr:uid="{03ED6653-B5BA-416A-8E9C-15C28AD2C17E}"/>
    <cellStyle name="Normal 3 2 2 2 2 2 2 2 2 2 2 2 2 2 36 4" xfId="26831" xr:uid="{97310435-16CB-4A39-85DC-4D182F1284FF}"/>
    <cellStyle name="Normal 3 2 2 2 2 2 2 2 2 2 2 2 2 2 36 5" xfId="26832" xr:uid="{64E0CF09-3E8E-4C49-B9C6-10197421F098}"/>
    <cellStyle name="Normal 3 2 2 2 2 2 2 2 2 2 2 2 2 2 36 6" xfId="26833" xr:uid="{F092FC32-0129-4E28-8D56-1BAEC2D7FBD1}"/>
    <cellStyle name="Normal 3 2 2 2 2 2 2 2 2 2 2 2 2 2 36 7" xfId="26834" xr:uid="{038B7116-CF26-4361-B579-BAB82B3A68A0}"/>
    <cellStyle name="Normal 3 2 2 2 2 2 2 2 2 2 2 2 2 2 37" xfId="26835" xr:uid="{C62E7C04-6041-4EA8-9C1A-B15C69BC831B}"/>
    <cellStyle name="Normal 3 2 2 2 2 2 2 2 2 2 2 2 2 2 38" xfId="26836" xr:uid="{9624EFF7-B230-416E-A8A6-A16388868DCD}"/>
    <cellStyle name="Normal 3 2 2 2 2 2 2 2 2 2 2 2 2 2 39" xfId="26837" xr:uid="{A3ECB838-6328-44F3-B7B8-4F1BA4DFFA72}"/>
    <cellStyle name="Normal 3 2 2 2 2 2 2 2 2 2 2 2 2 2 4" xfId="26838" xr:uid="{72A6D25B-6939-41B4-B314-73EEA68BB6F2}"/>
    <cellStyle name="Normal 3 2 2 2 2 2 2 2 2 2 2 2 2 2 40" xfId="26839" xr:uid="{E34FE0BE-9B25-43E6-AE94-1F5C5CA5291F}"/>
    <cellStyle name="Normal 3 2 2 2 2 2 2 2 2 2 2 2 2 2 41" xfId="26840" xr:uid="{E777B77A-EE44-4C1D-B625-62E291C56FE1}"/>
    <cellStyle name="Normal 3 2 2 2 2 2 2 2 2 2 2 2 2 2 42" xfId="26841" xr:uid="{20442070-3CF1-4791-A548-1A8304B762BB}"/>
    <cellStyle name="Normal 3 2 2 2 2 2 2 2 2 2 2 2 2 2 43" xfId="26842" xr:uid="{2604C1F0-793E-4A57-B341-1DD4852A70F2}"/>
    <cellStyle name="Normal 3 2 2 2 2 2 2 2 2 2 2 2 2 2 44" xfId="26843" xr:uid="{34975352-35F2-47EF-9AFB-EA528FD0A64A}"/>
    <cellStyle name="Normal 3 2 2 2 2 2 2 2 2 2 2 2 2 2 45" xfId="26844" xr:uid="{90247089-6A5C-428D-8236-EBFCDFBF9EB0}"/>
    <cellStyle name="Normal 3 2 2 2 2 2 2 2 2 2 2 2 2 2 46" xfId="26845" xr:uid="{80D46C9C-D3DB-40F9-943B-8E9777FB1BAF}"/>
    <cellStyle name="Normal 3 2 2 2 2 2 2 2 2 2 2 2 2 2 47" xfId="26846" xr:uid="{BEF7B8E4-48F0-402A-845E-1C8DA3AB49C4}"/>
    <cellStyle name="Normal 3 2 2 2 2 2 2 2 2 2 2 2 2 2 48" xfId="26847" xr:uid="{00F8E25F-91DB-469E-B9DB-CECED19F8156}"/>
    <cellStyle name="Normal 3 2 2 2 2 2 2 2 2 2 2 2 2 2 49" xfId="26848" xr:uid="{42E57CAF-2A54-493F-898A-80FA4B26C191}"/>
    <cellStyle name="Normal 3 2 2 2 2 2 2 2 2 2 2 2 2 2 5" xfId="26849" xr:uid="{919C069F-4F45-48C9-BDEC-A2E4661B4722}"/>
    <cellStyle name="Normal 3 2 2 2 2 2 2 2 2 2 2 2 2 2 50" xfId="26850" xr:uid="{43316C3C-46AD-43BE-BA1B-39BB7D5D492A}"/>
    <cellStyle name="Normal 3 2 2 2 2 2 2 2 2 2 2 2 2 2 51" xfId="26851" xr:uid="{9E74C2FB-C502-4199-AB9E-381BED4A4A5D}"/>
    <cellStyle name="Normal 3 2 2 2 2 2 2 2 2 2 2 2 2 2 52" xfId="26852" xr:uid="{3043628B-F3F9-4A05-8328-6B8873124711}"/>
    <cellStyle name="Normal 3 2 2 2 2 2 2 2 2 2 2 2 2 2 53" xfId="26853" xr:uid="{861C7358-2B40-4871-9489-4401A71E421E}"/>
    <cellStyle name="Normal 3 2 2 2 2 2 2 2 2 2 2 2 2 2 54" xfId="26854" xr:uid="{82B64B45-AFD3-4643-A995-C6A71BAE8174}"/>
    <cellStyle name="Normal 3 2 2 2 2 2 2 2 2 2 2 2 2 2 55" xfId="26855" xr:uid="{12BD259F-233F-460C-A442-A2A5472B06E7}"/>
    <cellStyle name="Normal 3 2 2 2 2 2 2 2 2 2 2 2 2 2 56" xfId="26856" xr:uid="{5A9DCFC0-F81D-47DE-99CC-030CBBB4531E}"/>
    <cellStyle name="Normal 3 2 2 2 2 2 2 2 2 2 2 2 2 2 57" xfId="26857" xr:uid="{22F77DF1-57A2-40DA-8DE6-02F42A97C193}"/>
    <cellStyle name="Normal 3 2 2 2 2 2 2 2 2 2 2 2 2 2 58" xfId="26858" xr:uid="{70E42FA3-F734-4164-9B7C-D11A7EBDA284}"/>
    <cellStyle name="Normal 3 2 2 2 2 2 2 2 2 2 2 2 2 2 59" xfId="26859" xr:uid="{4DB14549-CC21-4D8A-B427-2B02A6DB881D}"/>
    <cellStyle name="Normal 3 2 2 2 2 2 2 2 2 2 2 2 2 2 6" xfId="26860" xr:uid="{7F22454F-8240-49B2-997B-E9C7F171BFFC}"/>
    <cellStyle name="Normal 3 2 2 2 2 2 2 2 2 2 2 2 2 2 60" xfId="26861" xr:uid="{FF9D88FD-8A31-4F3E-AF7C-B45A098687C0}"/>
    <cellStyle name="Normal 3 2 2 2 2 2 2 2 2 2 2 2 2 2 61" xfId="26862" xr:uid="{8B78C1B0-4AC0-46E5-9764-D22B0D045CBA}"/>
    <cellStyle name="Normal 3 2 2 2 2 2 2 2 2 2 2 2 2 2 62" xfId="26863" xr:uid="{1DF87699-64E9-49D1-B575-E285DE94F8DC}"/>
    <cellStyle name="Normal 3 2 2 2 2 2 2 2 2 2 2 2 2 2 63" xfId="26864" xr:uid="{AAB956F0-B788-4560-8D1D-547A1F17D7F5}"/>
    <cellStyle name="Normal 3 2 2 2 2 2 2 2 2 2 2 2 2 2 64" xfId="26865" xr:uid="{139DFB2A-1D34-40FD-B00D-9B6AB13E0F70}"/>
    <cellStyle name="Normal 3 2 2 2 2 2 2 2 2 2 2 2 2 2 65" xfId="26866" xr:uid="{B434CDE7-00B0-45D4-9DA0-CB44F6D917AC}"/>
    <cellStyle name="Normal 3 2 2 2 2 2 2 2 2 2 2 2 2 2 66" xfId="26867" xr:uid="{FB84C9E7-912E-46BB-A74D-5580ABEB6E68}"/>
    <cellStyle name="Normal 3 2 2 2 2 2 2 2 2 2 2 2 2 2 67" xfId="26868" xr:uid="{039F4A40-D096-4544-87BA-74D79935C3C2}"/>
    <cellStyle name="Normal 3 2 2 2 2 2 2 2 2 2 2 2 2 2 68" xfId="26869" xr:uid="{3EA798F7-0B49-434B-8F2A-5FC387935299}"/>
    <cellStyle name="Normal 3 2 2 2 2 2 2 2 2 2 2 2 2 2 68 2" xfId="26870" xr:uid="{40D88B89-97C8-4379-AB94-9E46E118484B}"/>
    <cellStyle name="Normal 3 2 2 2 2 2 2 2 2 2 2 2 2 2 68 3" xfId="26871" xr:uid="{D3276224-E715-481F-97DC-E2804A07A02D}"/>
    <cellStyle name="Normal 3 2 2 2 2 2 2 2 2 2 2 2 2 2 68 4" xfId="26872" xr:uid="{FB6D390A-4C33-40B3-A00F-D48C610CDB64}"/>
    <cellStyle name="Normal 3 2 2 2 2 2 2 2 2 2 2 2 2 2 69" xfId="26873" xr:uid="{589A5CC3-8E23-4F34-A002-CC3B575AFFAB}"/>
    <cellStyle name="Normal 3 2 2 2 2 2 2 2 2 2 2 2 2 2 7" xfId="26874" xr:uid="{B28C0DBD-F485-4A9D-902C-4348B2C5264B}"/>
    <cellStyle name="Normal 3 2 2 2 2 2 2 2 2 2 2 2 2 2 70" xfId="26875" xr:uid="{5884D14D-B9EC-42CC-86F0-16B8980D86FE}"/>
    <cellStyle name="Normal 3 2 2 2 2 2 2 2 2 2 2 2 2 2 8" xfId="26876" xr:uid="{13A690C2-5F07-4CE5-AD61-77761E402360}"/>
    <cellStyle name="Normal 3 2 2 2 2 2 2 2 2 2 2 2 2 2 9" xfId="26877" xr:uid="{E2D3FA46-0CAF-4EA8-8B41-8047DF0DCD0B}"/>
    <cellStyle name="Normal 3 2 2 2 2 2 2 2 2 2 2 2 2 20" xfId="26878" xr:uid="{384674A5-6A42-47B6-AD9D-51A27FCBF70F}"/>
    <cellStyle name="Normal 3 2 2 2 2 2 2 2 2 2 2 2 2 21" xfId="26879" xr:uid="{2BCBF069-90F9-436E-82B1-B0B184E95D22}"/>
    <cellStyle name="Normal 3 2 2 2 2 2 2 2 2 2 2 2 2 22" xfId="26880" xr:uid="{C2933B74-72B0-44B1-9696-5D99555229A2}"/>
    <cellStyle name="Normal 3 2 2 2 2 2 2 2 2 2 2 2 2 22 2" xfId="26881" xr:uid="{170CECAC-B550-484F-A5FC-2E896AB15FA0}"/>
    <cellStyle name="Normal 3 2 2 2 2 2 2 2 2 2 2 2 2 22 3" xfId="26882" xr:uid="{3532DA01-B6F2-4B82-AE25-B8D22EC9F81E}"/>
    <cellStyle name="Normal 3 2 2 2 2 2 2 2 2 2 2 2 2 22 4" xfId="26883" xr:uid="{E5434117-FA25-44B8-B61B-86BD8B8F5143}"/>
    <cellStyle name="Normal 3 2 2 2 2 2 2 2 2 2 2 2 2 23" xfId="26884" xr:uid="{6372B02C-E72A-470F-96DD-A607C4A8949C}"/>
    <cellStyle name="Normal 3 2 2 2 2 2 2 2 2 2 2 2 2 24" xfId="26885" xr:uid="{A8BE94F6-ADA7-4E36-9FF7-903BA402706C}"/>
    <cellStyle name="Normal 3 2 2 2 2 2 2 2 2 2 2 2 2 25" xfId="26886" xr:uid="{828734DE-7EC6-4EAB-B656-E001BC6C2886}"/>
    <cellStyle name="Normal 3 2 2 2 2 2 2 2 2 2 2 2 2 26" xfId="26887" xr:uid="{372CC076-F961-4463-B69B-5DDDD0EEB5B4}"/>
    <cellStyle name="Normal 3 2 2 2 2 2 2 2 2 2 2 2 2 27" xfId="26888" xr:uid="{2015CFDD-7058-4BBB-B2F2-1648D9386884}"/>
    <cellStyle name="Normal 3 2 2 2 2 2 2 2 2 2 2 2 2 28" xfId="26889" xr:uid="{EA0899DB-A330-4D07-A669-FA1D3D93B31F}"/>
    <cellStyle name="Normal 3 2 2 2 2 2 2 2 2 2 2 2 2 29" xfId="26890" xr:uid="{9897A66B-1FCB-4E7B-B7D3-E38912B51F6F}"/>
    <cellStyle name="Normal 3 2 2 2 2 2 2 2 2 2 2 2 2 3" xfId="26891" xr:uid="{BEE7B8F6-8BB6-49DC-BD55-3C693E2889C3}"/>
    <cellStyle name="Normal 3 2 2 2 2 2 2 2 2 2 2 2 2 30" xfId="26892" xr:uid="{0550EDBE-349B-4C98-A101-B3C5D1173837}"/>
    <cellStyle name="Normal 3 2 2 2 2 2 2 2 2 2 2 2 2 31" xfId="26893" xr:uid="{CB41173B-9D18-44D6-9508-540629C864DE}"/>
    <cellStyle name="Normal 3 2 2 2 2 2 2 2 2 2 2 2 2 32" xfId="26894" xr:uid="{EC114824-A9F3-46A9-AA56-435DA5EB2D8D}"/>
    <cellStyle name="Normal 3 2 2 2 2 2 2 2 2 2 2 2 2 33" xfId="26895" xr:uid="{82DED02A-E6F2-4309-977D-453319FA072E}"/>
    <cellStyle name="Normal 3 2 2 2 2 2 2 2 2 2 2 2 2 34" xfId="26896" xr:uid="{0EBF2113-1813-4DC1-B2E0-82C55B08F652}"/>
    <cellStyle name="Normal 3 2 2 2 2 2 2 2 2 2 2 2 2 35" xfId="26897" xr:uid="{D2F8F04F-89E5-46FB-B42C-673847416A16}"/>
    <cellStyle name="Normal 3 2 2 2 2 2 2 2 2 2 2 2 2 36" xfId="26898" xr:uid="{37695808-0917-4B97-96B6-6F15E2B3BF2B}"/>
    <cellStyle name="Normal 3 2 2 2 2 2 2 2 2 2 2 2 2 37" xfId="26899" xr:uid="{F6ADB524-4101-43D4-B637-9F018A7859CA}"/>
    <cellStyle name="Normal 3 2 2 2 2 2 2 2 2 2 2 2 2 37 2" xfId="26900" xr:uid="{EC443B6E-3384-4344-97FB-50C54873AFA9}"/>
    <cellStyle name="Normal 3 2 2 2 2 2 2 2 2 2 2 2 2 37 3" xfId="26901" xr:uid="{C3A820DA-4481-4B1B-AF7D-5A929A67C853}"/>
    <cellStyle name="Normal 3 2 2 2 2 2 2 2 2 2 2 2 2 37 4" xfId="26902" xr:uid="{E4C6C8DA-9832-4750-AEA2-A143AACDD56E}"/>
    <cellStyle name="Normal 3 2 2 2 2 2 2 2 2 2 2 2 2 37 5" xfId="26903" xr:uid="{95498FF0-D073-4C20-9731-5A6867D11F77}"/>
    <cellStyle name="Normal 3 2 2 2 2 2 2 2 2 2 2 2 2 37 6" xfId="26904" xr:uid="{98433505-8FF5-4E87-B367-8740D4B7E502}"/>
    <cellStyle name="Normal 3 2 2 2 2 2 2 2 2 2 2 2 2 37 7" xfId="26905" xr:uid="{71A931B9-8D16-432A-9D75-EBFF4EF127B4}"/>
    <cellStyle name="Normal 3 2 2 2 2 2 2 2 2 2 2 2 2 38" xfId="26906" xr:uid="{9ED7F5B8-3B68-4828-B7EF-EC274A0AE943}"/>
    <cellStyle name="Normal 3 2 2 2 2 2 2 2 2 2 2 2 2 39" xfId="26907" xr:uid="{E569DD19-FB37-4175-9EC7-C8AD0902AEA8}"/>
    <cellStyle name="Normal 3 2 2 2 2 2 2 2 2 2 2 2 2 4" xfId="26908" xr:uid="{51F058F2-F2D0-42F7-B797-FDB3823B01DB}"/>
    <cellStyle name="Normal 3 2 2 2 2 2 2 2 2 2 2 2 2 4 10" xfId="26909" xr:uid="{24D62CC3-3477-451E-B921-58D85A5A589C}"/>
    <cellStyle name="Normal 3 2 2 2 2 2 2 2 2 2 2 2 2 4 11" xfId="26910" xr:uid="{037A9890-F56D-424A-8EA9-052A431B122D}"/>
    <cellStyle name="Normal 3 2 2 2 2 2 2 2 2 2 2 2 2 4 12" xfId="26911" xr:uid="{0ECD81FF-F378-4724-9A56-1F5147D66F50}"/>
    <cellStyle name="Normal 3 2 2 2 2 2 2 2 2 2 2 2 2 4 13" xfId="26912" xr:uid="{3223EA0D-084C-48FA-8FFD-DB5A5A1328F6}"/>
    <cellStyle name="Normal 3 2 2 2 2 2 2 2 2 2 2 2 2 4 13 2" xfId="26913" xr:uid="{DA1B98A5-0A9C-44DC-943D-76F7E696515A}"/>
    <cellStyle name="Normal 3 2 2 2 2 2 2 2 2 2 2 2 2 4 13 3" xfId="26914" xr:uid="{B373FA88-2620-4A24-98D0-7739105E48DF}"/>
    <cellStyle name="Normal 3 2 2 2 2 2 2 2 2 2 2 2 2 4 13 4" xfId="26915" xr:uid="{C68C8AB0-22DD-4F90-8E6C-92231D38E8E5}"/>
    <cellStyle name="Normal 3 2 2 2 2 2 2 2 2 2 2 2 2 4 14" xfId="26916" xr:uid="{8F0FBC3A-35DA-4FA1-9992-4D83248DDA5E}"/>
    <cellStyle name="Normal 3 2 2 2 2 2 2 2 2 2 2 2 2 4 15" xfId="26917" xr:uid="{CF5772CE-2017-43BB-BDA3-A2671A03DF0D}"/>
    <cellStyle name="Normal 3 2 2 2 2 2 2 2 2 2 2 2 2 4 16" xfId="26918" xr:uid="{094276F8-499F-4355-961E-D90B36A74A32}"/>
    <cellStyle name="Normal 3 2 2 2 2 2 2 2 2 2 2 2 2 4 2" xfId="26919" xr:uid="{9D829E5C-6577-4531-8F8E-8C8F52085A69}"/>
    <cellStyle name="Normal 3 2 2 2 2 2 2 2 2 2 2 2 2 4 2 10" xfId="26920" xr:uid="{FECE7E7F-850F-425E-83E0-47B29D4FF97D}"/>
    <cellStyle name="Normal 3 2 2 2 2 2 2 2 2 2 2 2 2 4 2 11" xfId="26921" xr:uid="{8FEE9430-F699-441D-8D9D-48F47F85B32E}"/>
    <cellStyle name="Normal 3 2 2 2 2 2 2 2 2 2 2 2 2 4 2 11 2" xfId="26922" xr:uid="{E4941E57-BAB2-42DA-86DE-8D30EA30D701}"/>
    <cellStyle name="Normal 3 2 2 2 2 2 2 2 2 2 2 2 2 4 2 11 3" xfId="26923" xr:uid="{2A11CFCB-4C5C-454A-ABC8-D18521A8396D}"/>
    <cellStyle name="Normal 3 2 2 2 2 2 2 2 2 2 2 2 2 4 2 11 4" xfId="26924" xr:uid="{17CCDDA3-A5F2-491E-B4E0-9864F1D6D10D}"/>
    <cellStyle name="Normal 3 2 2 2 2 2 2 2 2 2 2 2 2 4 2 12" xfId="26925" xr:uid="{BEE0D070-BD16-4501-B97E-7A7B4A03A9E3}"/>
    <cellStyle name="Normal 3 2 2 2 2 2 2 2 2 2 2 2 2 4 2 13" xfId="26926" xr:uid="{E7F6365C-7C29-4F42-9DEF-F834F1465D33}"/>
    <cellStyle name="Normal 3 2 2 2 2 2 2 2 2 2 2 2 2 4 2 14" xfId="26927" xr:uid="{4EC4ACAB-E9D8-4C8E-8835-136F11BD75EF}"/>
    <cellStyle name="Normal 3 2 2 2 2 2 2 2 2 2 2 2 2 4 2 2" xfId="26928" xr:uid="{D355F594-E4C1-48A2-8850-C83C9FB4BD92}"/>
    <cellStyle name="Normal 3 2 2 2 2 2 2 2 2 2 2 2 2 4 2 2 10" xfId="26929" xr:uid="{682FD764-3D83-496D-B7CB-A3EEA38B5558}"/>
    <cellStyle name="Normal 3 2 2 2 2 2 2 2 2 2 2 2 2 4 2 2 11" xfId="26930" xr:uid="{05993B35-32C3-4F7B-B4D4-8CA347ECB578}"/>
    <cellStyle name="Normal 3 2 2 2 2 2 2 2 2 2 2 2 2 4 2 2 2" xfId="26931" xr:uid="{916B6D98-EF0C-4697-97E7-18840F40366C}"/>
    <cellStyle name="Normal 3 2 2 2 2 2 2 2 2 2 2 2 2 4 2 2 2 10" xfId="26932" xr:uid="{8AFB9561-1FB2-404E-BAA6-BED270C8FFA0}"/>
    <cellStyle name="Normal 3 2 2 2 2 2 2 2 2 2 2 2 2 4 2 2 2 11" xfId="26933" xr:uid="{E8532A66-026E-48F4-8135-DB2535A29273}"/>
    <cellStyle name="Normal 3 2 2 2 2 2 2 2 2 2 2 2 2 4 2 2 2 2" xfId="26934" xr:uid="{7EF36699-9C1C-4115-BC37-0E4647E1AE21}"/>
    <cellStyle name="Normal 3 2 2 2 2 2 2 2 2 2 2 2 2 4 2 2 2 2 2" xfId="26935" xr:uid="{39FD0A4F-9888-477B-985E-15BA5A018A35}"/>
    <cellStyle name="Normal 3 2 2 2 2 2 2 2 2 2 2 2 2 4 2 2 2 2 2 2" xfId="26936" xr:uid="{8A1E69B7-B2AA-432C-8E5F-7BCCCDAE4A98}"/>
    <cellStyle name="Normal 3 2 2 2 2 2 2 2 2 2 2 2 2 4 2 2 2 2 2 3" xfId="26937" xr:uid="{A6A830F2-328C-4915-B3C2-C12D7BB7F951}"/>
    <cellStyle name="Normal 3 2 2 2 2 2 2 2 2 2 2 2 2 4 2 2 2 2 2 4" xfId="26938" xr:uid="{5AABE4FE-963E-4BBA-AF90-D3BE353B5089}"/>
    <cellStyle name="Normal 3 2 2 2 2 2 2 2 2 2 2 2 2 4 2 2 2 2 3" xfId="26939" xr:uid="{46683D38-6FB5-489A-8858-82ED61F93DD8}"/>
    <cellStyle name="Normal 3 2 2 2 2 2 2 2 2 2 2 2 2 4 2 2 2 2 4" xfId="26940" xr:uid="{78F87F0C-BEB0-416D-B45A-809FFA85E726}"/>
    <cellStyle name="Normal 3 2 2 2 2 2 2 2 2 2 2 2 2 4 2 2 2 2 5" xfId="26941" xr:uid="{5C96E290-595B-4F40-8C56-5BBFB911B396}"/>
    <cellStyle name="Normal 3 2 2 2 2 2 2 2 2 2 2 2 2 4 2 2 2 2 6" xfId="26942" xr:uid="{DB432B93-4C0E-4A05-A927-534E0ECAF4C8}"/>
    <cellStyle name="Normal 3 2 2 2 2 2 2 2 2 2 2 2 2 4 2 2 2 3" xfId="26943" xr:uid="{7CA35F50-DB12-4061-B98E-9F12B17C1367}"/>
    <cellStyle name="Normal 3 2 2 2 2 2 2 2 2 2 2 2 2 4 2 2 2 4" xfId="26944" xr:uid="{C2D11576-C78E-4A53-B3EE-5B5941A5666A}"/>
    <cellStyle name="Normal 3 2 2 2 2 2 2 2 2 2 2 2 2 4 2 2 2 5" xfId="26945" xr:uid="{42CB33FA-3677-45D7-A0A2-E93423F06173}"/>
    <cellStyle name="Normal 3 2 2 2 2 2 2 2 2 2 2 2 2 4 2 2 2 6" xfId="26946" xr:uid="{A933697A-C491-4118-B02B-5945BFF6127F}"/>
    <cellStyle name="Normal 3 2 2 2 2 2 2 2 2 2 2 2 2 4 2 2 2 7" xfId="26947" xr:uid="{615A61DD-7BC8-4E6D-B808-F3768F99090D}"/>
    <cellStyle name="Normal 3 2 2 2 2 2 2 2 2 2 2 2 2 4 2 2 2 8" xfId="26948" xr:uid="{648C06BA-3903-4652-B72A-BDA46586533B}"/>
    <cellStyle name="Normal 3 2 2 2 2 2 2 2 2 2 2 2 2 4 2 2 2 8 2" xfId="26949" xr:uid="{1E62FEF8-8FD0-4AAB-A58C-7747F9D2C784}"/>
    <cellStyle name="Normal 3 2 2 2 2 2 2 2 2 2 2 2 2 4 2 2 2 8 3" xfId="26950" xr:uid="{2B926319-912A-4041-8C3A-BA61BE923A28}"/>
    <cellStyle name="Normal 3 2 2 2 2 2 2 2 2 2 2 2 2 4 2 2 2 8 4" xfId="26951" xr:uid="{3E1E9446-9A51-4D7D-82B1-F5B8AB0E6616}"/>
    <cellStyle name="Normal 3 2 2 2 2 2 2 2 2 2 2 2 2 4 2 2 2 9" xfId="26952" xr:uid="{FC02B6C7-0EAA-4193-9BB6-5E00A8E1208F}"/>
    <cellStyle name="Normal 3 2 2 2 2 2 2 2 2 2 2 2 2 4 2 2 3" xfId="26953" xr:uid="{2D7C1ED3-37B0-4499-8E23-403E5568DCF0}"/>
    <cellStyle name="Normal 3 2 2 2 2 2 2 2 2 2 2 2 2 4 2 2 3 2" xfId="26954" xr:uid="{5F21A8E9-8727-4A46-A929-670EAC146466}"/>
    <cellStyle name="Normal 3 2 2 2 2 2 2 2 2 2 2 2 2 4 2 2 3 2 2" xfId="26955" xr:uid="{7631CA16-3B6F-46F1-B1DB-838FA0D0E0C8}"/>
    <cellStyle name="Normal 3 2 2 2 2 2 2 2 2 2 2 2 2 4 2 2 3 2 3" xfId="26956" xr:uid="{6F74D83C-99EB-411D-AD17-73DA4E511B3B}"/>
    <cellStyle name="Normal 3 2 2 2 2 2 2 2 2 2 2 2 2 4 2 2 3 2 4" xfId="26957" xr:uid="{55897B9E-15B3-4157-92F5-A06BCF829E86}"/>
    <cellStyle name="Normal 3 2 2 2 2 2 2 2 2 2 2 2 2 4 2 2 3 3" xfId="26958" xr:uid="{3D7E77FB-0F54-4D90-B5F0-CEB00434676A}"/>
    <cellStyle name="Normal 3 2 2 2 2 2 2 2 2 2 2 2 2 4 2 2 3 4" xfId="26959" xr:uid="{7B0C8D6A-16AE-4CC2-A8EC-7B9254B1DA60}"/>
    <cellStyle name="Normal 3 2 2 2 2 2 2 2 2 2 2 2 2 4 2 2 3 5" xfId="26960" xr:uid="{24F5F2D2-7BDD-4E06-8DD4-BA80491F6B7C}"/>
    <cellStyle name="Normal 3 2 2 2 2 2 2 2 2 2 2 2 2 4 2 2 3 6" xfId="26961" xr:uid="{D6A9948B-E112-4BA1-81EE-4892FE7FDC78}"/>
    <cellStyle name="Normal 3 2 2 2 2 2 2 2 2 2 2 2 2 4 2 2 4" xfId="26962" xr:uid="{CAFA0B0A-1E2A-4CA7-A5BD-328D8375B81B}"/>
    <cellStyle name="Normal 3 2 2 2 2 2 2 2 2 2 2 2 2 4 2 2 5" xfId="26963" xr:uid="{847B312C-9FE9-47BA-8317-31DC8D74D7BC}"/>
    <cellStyle name="Normal 3 2 2 2 2 2 2 2 2 2 2 2 2 4 2 2 6" xfId="26964" xr:uid="{6D391BAB-073E-4EC0-A6A9-E28B50428B59}"/>
    <cellStyle name="Normal 3 2 2 2 2 2 2 2 2 2 2 2 2 4 2 2 7" xfId="26965" xr:uid="{23115512-F409-45EF-B8D7-BFB6CF987EC7}"/>
    <cellStyle name="Normal 3 2 2 2 2 2 2 2 2 2 2 2 2 4 2 2 8" xfId="26966" xr:uid="{2B9C74DD-09CE-48FB-938E-24F838DD0F0B}"/>
    <cellStyle name="Normal 3 2 2 2 2 2 2 2 2 2 2 2 2 4 2 2 8 2" xfId="26967" xr:uid="{E69CF07C-4E4B-45EC-8C25-46C2C8B4D636}"/>
    <cellStyle name="Normal 3 2 2 2 2 2 2 2 2 2 2 2 2 4 2 2 8 3" xfId="26968" xr:uid="{6471FAD4-1A1F-4C9F-92A5-70EE80691805}"/>
    <cellStyle name="Normal 3 2 2 2 2 2 2 2 2 2 2 2 2 4 2 2 8 4" xfId="26969" xr:uid="{AC947A8B-6470-4B2A-B64F-A368DAFBA757}"/>
    <cellStyle name="Normal 3 2 2 2 2 2 2 2 2 2 2 2 2 4 2 2 9" xfId="26970" xr:uid="{78DBDF8E-4096-45B4-9E85-09E5D624D8D3}"/>
    <cellStyle name="Normal 3 2 2 2 2 2 2 2 2 2 2 2 2 4 2 3" xfId="26971" xr:uid="{A2C08222-2A6D-4C20-A323-632659379ED8}"/>
    <cellStyle name="Normal 3 2 2 2 2 2 2 2 2 2 2 2 2 4 2 4" xfId="26972" xr:uid="{15A6D38D-F03D-45BA-B089-D5D0213051BB}"/>
    <cellStyle name="Normal 3 2 2 2 2 2 2 2 2 2 2 2 2 4 2 5" xfId="26973" xr:uid="{26AD48DA-1147-4CFC-B677-8DDCBB528B4F}"/>
    <cellStyle name="Normal 3 2 2 2 2 2 2 2 2 2 2 2 2 4 2 5 2" xfId="26974" xr:uid="{E3826598-25C9-4EC6-A15D-CDB956342B03}"/>
    <cellStyle name="Normal 3 2 2 2 2 2 2 2 2 2 2 2 2 4 2 5 2 2" xfId="26975" xr:uid="{8386ECBB-43D0-4DBD-A708-143E821B6F4C}"/>
    <cellStyle name="Normal 3 2 2 2 2 2 2 2 2 2 2 2 2 4 2 5 2 3" xfId="26976" xr:uid="{8F86DADF-BD95-401E-94FE-DD174FB8F3C3}"/>
    <cellStyle name="Normal 3 2 2 2 2 2 2 2 2 2 2 2 2 4 2 5 2 4" xfId="26977" xr:uid="{59F87B74-C670-48DE-AC2E-5B612FF1FCF0}"/>
    <cellStyle name="Normal 3 2 2 2 2 2 2 2 2 2 2 2 2 4 2 5 3" xfId="26978" xr:uid="{DD3FC612-E21B-498A-B1C9-BF974A8040A7}"/>
    <cellStyle name="Normal 3 2 2 2 2 2 2 2 2 2 2 2 2 4 2 5 4" xfId="26979" xr:uid="{B9FAA73E-59ED-49E6-BC0D-7A474A0E5783}"/>
    <cellStyle name="Normal 3 2 2 2 2 2 2 2 2 2 2 2 2 4 2 5 5" xfId="26980" xr:uid="{A5AC3BD9-FFAF-4F4B-98F9-FC3BA5D5BFCA}"/>
    <cellStyle name="Normal 3 2 2 2 2 2 2 2 2 2 2 2 2 4 2 5 6" xfId="26981" xr:uid="{778A000D-FBB4-4E1F-B89E-C8FE7A0648D0}"/>
    <cellStyle name="Normal 3 2 2 2 2 2 2 2 2 2 2 2 2 4 2 6" xfId="26982" xr:uid="{0C809709-8E5D-4428-BAA3-9AE4B801DBEB}"/>
    <cellStyle name="Normal 3 2 2 2 2 2 2 2 2 2 2 2 2 4 2 7" xfId="26983" xr:uid="{1F2817A8-7D3C-4F37-8DCD-3F99F17437CB}"/>
    <cellStyle name="Normal 3 2 2 2 2 2 2 2 2 2 2 2 2 4 2 8" xfId="26984" xr:uid="{94A70B86-BF3C-432A-9A5C-31A255872A46}"/>
    <cellStyle name="Normal 3 2 2 2 2 2 2 2 2 2 2 2 2 4 2 9" xfId="26985" xr:uid="{92ECD290-94DE-4B8A-BA68-860668178427}"/>
    <cellStyle name="Normal 3 2 2 2 2 2 2 2 2 2 2 2 2 4 3" xfId="26986" xr:uid="{7D0ED8E3-25EB-4D6C-B95D-D942335DAB4E}"/>
    <cellStyle name="Normal 3 2 2 2 2 2 2 2 2 2 2 2 2 4 4" xfId="26987" xr:uid="{E642170F-068B-4489-A7CA-2F024F95D967}"/>
    <cellStyle name="Normal 3 2 2 2 2 2 2 2 2 2 2 2 2 4 5" xfId="26988" xr:uid="{CD752657-CAAD-4189-B70C-C42BCA1AB036}"/>
    <cellStyle name="Normal 3 2 2 2 2 2 2 2 2 2 2 2 2 4 5 10" xfId="26989" xr:uid="{265F1C02-9E89-4409-B7A4-09FE129FFF31}"/>
    <cellStyle name="Normal 3 2 2 2 2 2 2 2 2 2 2 2 2 4 5 11" xfId="26990" xr:uid="{39820698-CD4A-4038-841C-E4F1C175B52E}"/>
    <cellStyle name="Normal 3 2 2 2 2 2 2 2 2 2 2 2 2 4 5 2" xfId="26991" xr:uid="{AB87240A-ED26-4564-A5DB-0D79391F88B9}"/>
    <cellStyle name="Normal 3 2 2 2 2 2 2 2 2 2 2 2 2 4 5 2 10" xfId="26992" xr:uid="{50E09119-1166-4F31-9EED-056834D9434B}"/>
    <cellStyle name="Normal 3 2 2 2 2 2 2 2 2 2 2 2 2 4 5 2 11" xfId="26993" xr:uid="{ACEAAD9C-AAEF-44A7-AEA2-0543D707C95D}"/>
    <cellStyle name="Normal 3 2 2 2 2 2 2 2 2 2 2 2 2 4 5 2 2" xfId="26994" xr:uid="{F21E6139-85BE-4A09-B233-A7A3C5E1C36C}"/>
    <cellStyle name="Normal 3 2 2 2 2 2 2 2 2 2 2 2 2 4 5 2 2 2" xfId="26995" xr:uid="{57D174DB-7B92-479D-A454-DBB2B1EA887C}"/>
    <cellStyle name="Normal 3 2 2 2 2 2 2 2 2 2 2 2 2 4 5 2 2 2 2" xfId="26996" xr:uid="{D0BC4532-BB63-422B-B2A4-7CEC582CFEC7}"/>
    <cellStyle name="Normal 3 2 2 2 2 2 2 2 2 2 2 2 2 4 5 2 2 2 3" xfId="26997" xr:uid="{188D4F67-B340-4E39-91F8-514B1B83AF6F}"/>
    <cellStyle name="Normal 3 2 2 2 2 2 2 2 2 2 2 2 2 4 5 2 2 2 4" xfId="26998" xr:uid="{1F95FDD3-4C03-44AA-B193-0C07EE95BC77}"/>
    <cellStyle name="Normal 3 2 2 2 2 2 2 2 2 2 2 2 2 4 5 2 2 3" xfId="26999" xr:uid="{43CBD092-0402-4421-8EDC-C06DA33669E5}"/>
    <cellStyle name="Normal 3 2 2 2 2 2 2 2 2 2 2 2 2 4 5 2 2 4" xfId="27000" xr:uid="{CB5D63D8-4036-465F-AA35-98A25371CEC6}"/>
    <cellStyle name="Normal 3 2 2 2 2 2 2 2 2 2 2 2 2 4 5 2 2 5" xfId="27001" xr:uid="{9C520A78-46D3-4B85-8DDC-E9E760A79279}"/>
    <cellStyle name="Normal 3 2 2 2 2 2 2 2 2 2 2 2 2 4 5 2 2 6" xfId="27002" xr:uid="{F94766BC-9481-46B0-8374-831FF3D86385}"/>
    <cellStyle name="Normal 3 2 2 2 2 2 2 2 2 2 2 2 2 4 5 2 3" xfId="27003" xr:uid="{C04FA2E0-BF03-4F8D-A155-C2BD85CAB1B4}"/>
    <cellStyle name="Normal 3 2 2 2 2 2 2 2 2 2 2 2 2 4 5 2 4" xfId="27004" xr:uid="{0E8BD0F7-A2BB-4DFD-923B-A087A895549C}"/>
    <cellStyle name="Normal 3 2 2 2 2 2 2 2 2 2 2 2 2 4 5 2 5" xfId="27005" xr:uid="{CBBF07B5-154F-4776-B279-12C156646681}"/>
    <cellStyle name="Normal 3 2 2 2 2 2 2 2 2 2 2 2 2 4 5 2 6" xfId="27006" xr:uid="{AEDA0843-D0D8-4B62-90ED-C4D6A5D12A8E}"/>
    <cellStyle name="Normal 3 2 2 2 2 2 2 2 2 2 2 2 2 4 5 2 7" xfId="27007" xr:uid="{4117D873-862D-44FB-8198-112420E35664}"/>
    <cellStyle name="Normal 3 2 2 2 2 2 2 2 2 2 2 2 2 4 5 2 8" xfId="27008" xr:uid="{296C84BD-11D2-4DF9-9DF0-6EC50E3E6ADF}"/>
    <cellStyle name="Normal 3 2 2 2 2 2 2 2 2 2 2 2 2 4 5 2 8 2" xfId="27009" xr:uid="{6250A34C-70C0-4E09-8D20-532F041D8D6B}"/>
    <cellStyle name="Normal 3 2 2 2 2 2 2 2 2 2 2 2 2 4 5 2 8 3" xfId="27010" xr:uid="{D890E293-E151-45EB-868A-F60428063DDD}"/>
    <cellStyle name="Normal 3 2 2 2 2 2 2 2 2 2 2 2 2 4 5 2 8 4" xfId="27011" xr:uid="{5984CC34-9767-4339-BF05-608EE018C8D8}"/>
    <cellStyle name="Normal 3 2 2 2 2 2 2 2 2 2 2 2 2 4 5 2 9" xfId="27012" xr:uid="{688A4933-83F6-468E-81D3-B684896C25EE}"/>
    <cellStyle name="Normal 3 2 2 2 2 2 2 2 2 2 2 2 2 4 5 3" xfId="27013" xr:uid="{7C0CD0E3-4386-4B40-BE0E-67312D955646}"/>
    <cellStyle name="Normal 3 2 2 2 2 2 2 2 2 2 2 2 2 4 5 3 2" xfId="27014" xr:uid="{9E05D136-D1FA-43CD-8F27-47370B952601}"/>
    <cellStyle name="Normal 3 2 2 2 2 2 2 2 2 2 2 2 2 4 5 3 2 2" xfId="27015" xr:uid="{EAA837E7-C422-4CAF-8490-41E8B1CC0962}"/>
    <cellStyle name="Normal 3 2 2 2 2 2 2 2 2 2 2 2 2 4 5 3 2 3" xfId="27016" xr:uid="{FB9CDADB-2433-43C7-A703-219D140650FF}"/>
    <cellStyle name="Normal 3 2 2 2 2 2 2 2 2 2 2 2 2 4 5 3 2 4" xfId="27017" xr:uid="{A18978AA-4C49-47E3-9B33-40AD4EA53D5F}"/>
    <cellStyle name="Normal 3 2 2 2 2 2 2 2 2 2 2 2 2 4 5 3 3" xfId="27018" xr:uid="{7F4B6198-65D4-4C14-A7ED-3F40922FA767}"/>
    <cellStyle name="Normal 3 2 2 2 2 2 2 2 2 2 2 2 2 4 5 3 4" xfId="27019" xr:uid="{743971BD-E89C-4FE7-BC59-EBF6200FB858}"/>
    <cellStyle name="Normal 3 2 2 2 2 2 2 2 2 2 2 2 2 4 5 3 5" xfId="27020" xr:uid="{4D143CED-2399-4AB8-A955-E01A7C74212D}"/>
    <cellStyle name="Normal 3 2 2 2 2 2 2 2 2 2 2 2 2 4 5 3 6" xfId="27021" xr:uid="{2B645562-8AF4-44F4-AD95-A8641EA6C9AC}"/>
    <cellStyle name="Normal 3 2 2 2 2 2 2 2 2 2 2 2 2 4 5 4" xfId="27022" xr:uid="{6FF4716B-2004-4174-80FE-F4F5636661BE}"/>
    <cellStyle name="Normal 3 2 2 2 2 2 2 2 2 2 2 2 2 4 5 5" xfId="27023" xr:uid="{F913EF61-6CED-43B2-8316-F03E672B8693}"/>
    <cellStyle name="Normal 3 2 2 2 2 2 2 2 2 2 2 2 2 4 5 6" xfId="27024" xr:uid="{895BCED0-B15D-4B82-84BF-999CB23D52F2}"/>
    <cellStyle name="Normal 3 2 2 2 2 2 2 2 2 2 2 2 2 4 5 7" xfId="27025" xr:uid="{AB064FA9-B6AF-4175-8FE1-955D9FAA9B24}"/>
    <cellStyle name="Normal 3 2 2 2 2 2 2 2 2 2 2 2 2 4 5 8" xfId="27026" xr:uid="{8EF8DAC8-C5E5-4D07-BD79-B336626CC793}"/>
    <cellStyle name="Normal 3 2 2 2 2 2 2 2 2 2 2 2 2 4 5 8 2" xfId="27027" xr:uid="{8B5FD74B-71D6-4471-97C3-9FFE64E05864}"/>
    <cellStyle name="Normal 3 2 2 2 2 2 2 2 2 2 2 2 2 4 5 8 3" xfId="27028" xr:uid="{2672E1F9-BB08-4233-BB3C-B2F027707799}"/>
    <cellStyle name="Normal 3 2 2 2 2 2 2 2 2 2 2 2 2 4 5 8 4" xfId="27029" xr:uid="{BBD23403-E1CB-4145-ADE5-2767F33E7F85}"/>
    <cellStyle name="Normal 3 2 2 2 2 2 2 2 2 2 2 2 2 4 5 9" xfId="27030" xr:uid="{0800AEDD-BAA0-438B-8549-F3C6C84495C5}"/>
    <cellStyle name="Normal 3 2 2 2 2 2 2 2 2 2 2 2 2 4 6" xfId="27031" xr:uid="{501BF338-4E67-4A02-B639-F30C13D69EFA}"/>
    <cellStyle name="Normal 3 2 2 2 2 2 2 2 2 2 2 2 2 4 7" xfId="27032" xr:uid="{2AE76A00-D3CB-4E96-9415-D804AD9B05C7}"/>
    <cellStyle name="Normal 3 2 2 2 2 2 2 2 2 2 2 2 2 4 7 2" xfId="27033" xr:uid="{F01F8376-A60B-4637-8FF2-A409E4B5433F}"/>
    <cellStyle name="Normal 3 2 2 2 2 2 2 2 2 2 2 2 2 4 7 2 2" xfId="27034" xr:uid="{39FF2F43-FC4F-4E5A-BDE6-31B5DC7DED54}"/>
    <cellStyle name="Normal 3 2 2 2 2 2 2 2 2 2 2 2 2 4 7 2 3" xfId="27035" xr:uid="{6F16434F-8E31-4E31-AD0C-34FE1BA0BC9A}"/>
    <cellStyle name="Normal 3 2 2 2 2 2 2 2 2 2 2 2 2 4 7 2 4" xfId="27036" xr:uid="{C96912AF-4122-4367-B270-85B9FF2B9D2F}"/>
    <cellStyle name="Normal 3 2 2 2 2 2 2 2 2 2 2 2 2 4 7 3" xfId="27037" xr:uid="{0B08CF7C-651E-4235-864C-2D2534BFDDB1}"/>
    <cellStyle name="Normal 3 2 2 2 2 2 2 2 2 2 2 2 2 4 7 4" xfId="27038" xr:uid="{0D7B8C86-429C-4C8C-BBE3-6FC9A498B3D4}"/>
    <cellStyle name="Normal 3 2 2 2 2 2 2 2 2 2 2 2 2 4 7 5" xfId="27039" xr:uid="{CDD00BB6-EBA5-4C8C-A06C-4A48EA5052DE}"/>
    <cellStyle name="Normal 3 2 2 2 2 2 2 2 2 2 2 2 2 4 7 6" xfId="27040" xr:uid="{582E1528-A490-47B9-A1EF-CC1E212FF677}"/>
    <cellStyle name="Normal 3 2 2 2 2 2 2 2 2 2 2 2 2 4 8" xfId="27041" xr:uid="{6AC5DE03-8F60-423C-902C-93B4BB076CB0}"/>
    <cellStyle name="Normal 3 2 2 2 2 2 2 2 2 2 2 2 2 4 9" xfId="27042" xr:uid="{D261F55F-96BA-4A30-BB55-DB6E75B6899E}"/>
    <cellStyle name="Normal 3 2 2 2 2 2 2 2 2 2 2 2 2 40" xfId="27043" xr:uid="{31CFFA60-86BD-46D4-9BE8-9606FE56DDC6}"/>
    <cellStyle name="Normal 3 2 2 2 2 2 2 2 2 2 2 2 2 41" xfId="27044" xr:uid="{7EC51D97-FD7F-4E26-B599-2854ABDD8CCE}"/>
    <cellStyle name="Normal 3 2 2 2 2 2 2 2 2 2 2 2 2 42" xfId="27045" xr:uid="{D3421518-BA8A-4350-BF82-83B3E87FBA43}"/>
    <cellStyle name="Normal 3 2 2 2 2 2 2 2 2 2 2 2 2 43" xfId="27046" xr:uid="{FC3BA16B-3A36-496F-B29D-24D0F8DA3A71}"/>
    <cellStyle name="Normal 3 2 2 2 2 2 2 2 2 2 2 2 2 44" xfId="27047" xr:uid="{7B5C39A4-3C9F-4282-A748-096A45EC1A84}"/>
    <cellStyle name="Normal 3 2 2 2 2 2 2 2 2 2 2 2 2 45" xfId="27048" xr:uid="{27433C39-05BA-40B6-8456-9A2F9A95305C}"/>
    <cellStyle name="Normal 3 2 2 2 2 2 2 2 2 2 2 2 2 46" xfId="27049" xr:uid="{8A020485-CEBF-4A40-A918-079314DD23F0}"/>
    <cellStyle name="Normal 3 2 2 2 2 2 2 2 2 2 2 2 2 47" xfId="27050" xr:uid="{88FBCCA9-90AE-420D-870B-66E53F8709F1}"/>
    <cellStyle name="Normal 3 2 2 2 2 2 2 2 2 2 2 2 2 48" xfId="27051" xr:uid="{D0D2C8E5-8CF4-4286-95DA-552DF80D9825}"/>
    <cellStyle name="Normal 3 2 2 2 2 2 2 2 2 2 2 2 2 49" xfId="27052" xr:uid="{AC2B6835-4F66-4592-8C85-8AC68A41FE18}"/>
    <cellStyle name="Normal 3 2 2 2 2 2 2 2 2 2 2 2 2 5" xfId="27053" xr:uid="{2860B476-BBAC-4A95-B0CA-2B9D77B2AAE4}"/>
    <cellStyle name="Normal 3 2 2 2 2 2 2 2 2 2 2 2 2 50" xfId="27054" xr:uid="{30C0A4AC-0A09-416B-A097-50B77D41BF46}"/>
    <cellStyle name="Normal 3 2 2 2 2 2 2 2 2 2 2 2 2 51" xfId="27055" xr:uid="{E1344447-34F8-4D0A-B6AB-0D76E1B6AAE6}"/>
    <cellStyle name="Normal 3 2 2 2 2 2 2 2 2 2 2 2 2 52" xfId="27056" xr:uid="{0AFFD0FC-EE13-465A-9FAC-5B332ADEFD29}"/>
    <cellStyle name="Normal 3 2 2 2 2 2 2 2 2 2 2 2 2 53" xfId="27057" xr:uid="{6B8C7EF4-F91D-4326-9EE8-07FB25191314}"/>
    <cellStyle name="Normal 3 2 2 2 2 2 2 2 2 2 2 2 2 54" xfId="27058" xr:uid="{E06C5EC4-6599-4275-A9B1-239825435986}"/>
    <cellStyle name="Normal 3 2 2 2 2 2 2 2 2 2 2 2 2 55" xfId="27059" xr:uid="{C0760549-B2FB-434D-ABBF-D02511E892DC}"/>
    <cellStyle name="Normal 3 2 2 2 2 2 2 2 2 2 2 2 2 56" xfId="27060" xr:uid="{861FC3AB-3097-40B6-9F88-6460E2E9DCB0}"/>
    <cellStyle name="Normal 3 2 2 2 2 2 2 2 2 2 2 2 2 57" xfId="27061" xr:uid="{8EB50494-9C60-4E49-9798-AA4467D5033D}"/>
    <cellStyle name="Normal 3 2 2 2 2 2 2 2 2 2 2 2 2 58" xfId="27062" xr:uid="{BA8487C1-04AF-4A5B-8F25-76F0BE9540E1}"/>
    <cellStyle name="Normal 3 2 2 2 2 2 2 2 2 2 2 2 2 59" xfId="27063" xr:uid="{93C58923-ADC2-47DE-9B67-A2E7376499C8}"/>
    <cellStyle name="Normal 3 2 2 2 2 2 2 2 2 2 2 2 2 6" xfId="27064" xr:uid="{0A08CDCE-BF58-4C3B-B3C9-8B8536D693B1}"/>
    <cellStyle name="Normal 3 2 2 2 2 2 2 2 2 2 2 2 2 60" xfId="27065" xr:uid="{F50890D0-A84B-4BB2-B9B2-F98FEF2E29FA}"/>
    <cellStyle name="Normal 3 2 2 2 2 2 2 2 2 2 2 2 2 61" xfId="27066" xr:uid="{F65F3163-BBDF-4524-8487-AC80973E857B}"/>
    <cellStyle name="Normal 3 2 2 2 2 2 2 2 2 2 2 2 2 62" xfId="27067" xr:uid="{0A9FF4B3-33A2-48A0-9CF7-355C54455820}"/>
    <cellStyle name="Normal 3 2 2 2 2 2 2 2 2 2 2 2 2 63" xfId="27068" xr:uid="{910E2BF2-48F6-4206-B39A-F1CC13D72341}"/>
    <cellStyle name="Normal 3 2 2 2 2 2 2 2 2 2 2 2 2 64" xfId="27069" xr:uid="{9B473372-FC15-4026-B4C3-4532DE9D35EA}"/>
    <cellStyle name="Normal 3 2 2 2 2 2 2 2 2 2 2 2 2 65" xfId="27070" xr:uid="{93DC79EC-B835-4965-A29F-1B6571C110D2}"/>
    <cellStyle name="Normal 3 2 2 2 2 2 2 2 2 2 2 2 2 66" xfId="27071" xr:uid="{E09C661F-41F1-4AE7-982D-DB0D32439FA4}"/>
    <cellStyle name="Normal 3 2 2 2 2 2 2 2 2 2 2 2 2 67" xfId="27072" xr:uid="{F6E74336-10CC-47A1-A3AE-F04781ECD5EC}"/>
    <cellStyle name="Normal 3 2 2 2 2 2 2 2 2 2 2 2 2 68" xfId="27073" xr:uid="{62134992-211D-4595-8A20-C8B7A080FE5B}"/>
    <cellStyle name="Normal 3 2 2 2 2 2 2 2 2 2 2 2 2 69" xfId="27074" xr:uid="{17863E9A-918A-42EF-B14C-D4BFB6B4058E}"/>
    <cellStyle name="Normal 3 2 2 2 2 2 2 2 2 2 2 2 2 69 2" xfId="27075" xr:uid="{0AA2D0FC-0CC3-43D5-9673-8148DF86CE78}"/>
    <cellStyle name="Normal 3 2 2 2 2 2 2 2 2 2 2 2 2 69 3" xfId="27076" xr:uid="{47B9AE12-0B4B-43B9-A662-7FCFCC23B5AD}"/>
    <cellStyle name="Normal 3 2 2 2 2 2 2 2 2 2 2 2 2 69 4" xfId="27077" xr:uid="{120AAFCB-59DF-4D0A-AAF4-8D80119D87E3}"/>
    <cellStyle name="Normal 3 2 2 2 2 2 2 2 2 2 2 2 2 7" xfId="27078" xr:uid="{1732C250-A344-4E37-AB7B-989199F88C79}"/>
    <cellStyle name="Normal 3 2 2 2 2 2 2 2 2 2 2 2 2 70" xfId="27079" xr:uid="{456BE31F-B6A4-4A58-8D02-4EEB49ACBB05}"/>
    <cellStyle name="Normal 3 2 2 2 2 2 2 2 2 2 2 2 2 71" xfId="27080" xr:uid="{DC2C2799-C9BE-4414-927C-B1125B6AFBFF}"/>
    <cellStyle name="Normal 3 2 2 2 2 2 2 2 2 2 2 2 2 8" xfId="27081" xr:uid="{584DAD54-1F2E-4F7E-B92E-C165AC751292}"/>
    <cellStyle name="Normal 3 2 2 2 2 2 2 2 2 2 2 2 2 9" xfId="27082" xr:uid="{8E77B84D-F32C-4B74-8D92-7AC0D45B6467}"/>
    <cellStyle name="Normal 3 2 2 2 2 2 2 2 2 2 2 2 20" xfId="27083" xr:uid="{35424B00-1468-48B9-BCC4-D02AC6AF44CC}"/>
    <cellStyle name="Normal 3 2 2 2 2 2 2 2 2 2 2 2 20 2" xfId="27084" xr:uid="{5677734C-10E5-43EE-AA1C-EE9DC3502F92}"/>
    <cellStyle name="Normal 3 2 2 2 2 2 2 2 2 2 2 2 20 2 2" xfId="27085" xr:uid="{0F521BAB-4619-416C-A68A-CBBE5DA3D0FE}"/>
    <cellStyle name="Normal 3 2 2 2 2 2 2 2 2 2 2 2 20 2 3" xfId="27086" xr:uid="{5CF163A1-B920-486D-B558-EB52032876AC}"/>
    <cellStyle name="Normal 3 2 2 2 2 2 2 2 2 2 2 2 20 2 4" xfId="27087" xr:uid="{ED95D078-796C-4DEE-8A0F-0345EA06DBC0}"/>
    <cellStyle name="Normal 3 2 2 2 2 2 2 2 2 2 2 2 20 3" xfId="27088" xr:uid="{A656FBFF-2D8E-4560-BD0D-EB9C452217D7}"/>
    <cellStyle name="Normal 3 2 2 2 2 2 2 2 2 2 2 2 20 4" xfId="27089" xr:uid="{39655BFD-78EA-42C6-8324-34F432DDC4DD}"/>
    <cellStyle name="Normal 3 2 2 2 2 2 2 2 2 2 2 2 20 5" xfId="27090" xr:uid="{42C99F36-9835-42A1-AD79-B26A50E16C5D}"/>
    <cellStyle name="Normal 3 2 2 2 2 2 2 2 2 2 2 2 20 6" xfId="27091" xr:uid="{B8C45825-EA2B-48BC-85B9-ECFE8FFBB3E7}"/>
    <cellStyle name="Normal 3 2 2 2 2 2 2 2 2 2 2 2 21" xfId="27092" xr:uid="{6E7EC3F1-D40A-42FC-BFEA-5DE580ECE372}"/>
    <cellStyle name="Normal 3 2 2 2 2 2 2 2 2 2 2 2 22" xfId="27093" xr:uid="{FC929F64-93FD-48A0-99A7-5DFA94CAE334}"/>
    <cellStyle name="Normal 3 2 2 2 2 2 2 2 2 2 2 2 23" xfId="27094" xr:uid="{2C6D64D1-9AFD-4038-A766-1AD07C6AE62F}"/>
    <cellStyle name="Normal 3 2 2 2 2 2 2 2 2 2 2 2 24" xfId="27095" xr:uid="{FCCD0B80-4FEC-48EE-AFDB-3F458B19D5E2}"/>
    <cellStyle name="Normal 3 2 2 2 2 2 2 2 2 2 2 2 25" xfId="27096" xr:uid="{76BDD17B-1E60-40F0-B56A-3836C3A21B5C}"/>
    <cellStyle name="Normal 3 2 2 2 2 2 2 2 2 2 2 2 26" xfId="27097" xr:uid="{BDDFF36F-91FA-46D0-889B-88174DBB64C8}"/>
    <cellStyle name="Normal 3 2 2 2 2 2 2 2 2 2 2 2 26 2" xfId="27098" xr:uid="{2CBCF850-D7A6-4949-9326-AFB66915A7C9}"/>
    <cellStyle name="Normal 3 2 2 2 2 2 2 2 2 2 2 2 26 3" xfId="27099" xr:uid="{1CCC21D4-926D-47A9-8BDC-096060924233}"/>
    <cellStyle name="Normal 3 2 2 2 2 2 2 2 2 2 2 2 26 4" xfId="27100" xr:uid="{C1333960-A57D-422E-AECF-3F5CD1EA2A2B}"/>
    <cellStyle name="Normal 3 2 2 2 2 2 2 2 2 2 2 2 27" xfId="27101" xr:uid="{0D09ABB3-8493-4FAA-96DE-37E31501175F}"/>
    <cellStyle name="Normal 3 2 2 2 2 2 2 2 2 2 2 2 28" xfId="27102" xr:uid="{75D7F4E5-47FF-478D-BCC2-0AC6790F5D87}"/>
    <cellStyle name="Normal 3 2 2 2 2 2 2 2 2 2 2 2 29" xfId="27103" xr:uid="{71AD9F0D-7A64-415C-AE49-A012094113BB}"/>
    <cellStyle name="Normal 3 2 2 2 2 2 2 2 2 2 2 2 3" xfId="27104" xr:uid="{C6D940A5-2421-4815-B90D-52424B4279D6}"/>
    <cellStyle name="Normal 3 2 2 2 2 2 2 2 2 2 2 2 30" xfId="27105" xr:uid="{25BF5E8A-FCDC-4129-B80A-93970E5B93B8}"/>
    <cellStyle name="Normal 3 2 2 2 2 2 2 2 2 2 2 2 31" xfId="27106" xr:uid="{398E8E83-185D-4EA6-BB98-CD6485C0AD6F}"/>
    <cellStyle name="Normal 3 2 2 2 2 2 2 2 2 2 2 2 32" xfId="27107" xr:uid="{F95CF068-7C99-4AC5-9846-E18B94A7B529}"/>
    <cellStyle name="Normal 3 2 2 2 2 2 2 2 2 2 2 2 33" xfId="27108" xr:uid="{24570A9E-FE0F-43CA-AABC-6DDAD4AB4DC9}"/>
    <cellStyle name="Normal 3 2 2 2 2 2 2 2 2 2 2 2 34" xfId="27109" xr:uid="{620A5668-2CC0-4EF6-9E61-C4D8F45CB7F0}"/>
    <cellStyle name="Normal 3 2 2 2 2 2 2 2 2 2 2 2 35" xfId="27110" xr:uid="{2E97A9DC-D032-4165-9D9A-3D88BDFFDFC8}"/>
    <cellStyle name="Normal 3 2 2 2 2 2 2 2 2 2 2 2 36" xfId="27111" xr:uid="{4BFE73B5-3A7C-4CE1-8A71-85E70EF479AC}"/>
    <cellStyle name="Normal 3 2 2 2 2 2 2 2 2 2 2 2 37" xfId="27112" xr:uid="{4B269DFE-707C-4DFB-A286-C37AFA095955}"/>
    <cellStyle name="Normal 3 2 2 2 2 2 2 2 2 2 2 2 38" xfId="27113" xr:uid="{B3137F62-89DD-4E20-9DCB-F22D52DCDE04}"/>
    <cellStyle name="Normal 3 2 2 2 2 2 2 2 2 2 2 2 39" xfId="27114" xr:uid="{FB66F554-2509-4071-964D-B8371CBF4552}"/>
    <cellStyle name="Normal 3 2 2 2 2 2 2 2 2 2 2 2 4" xfId="27115" xr:uid="{5E03D3D3-C8E8-433B-9DC1-99982EF8A8AB}"/>
    <cellStyle name="Normal 3 2 2 2 2 2 2 2 2 2 2 2 40" xfId="27116" xr:uid="{88E3408E-F868-4C9A-B975-5B714725F679}"/>
    <cellStyle name="Normal 3 2 2 2 2 2 2 2 2 2 2 2 41" xfId="27117" xr:uid="{BA236A51-A50D-4FC4-9100-B48F72FC91E0}"/>
    <cellStyle name="Normal 3 2 2 2 2 2 2 2 2 2 2 2 41 2" xfId="27118" xr:uid="{A4716709-D76B-4FA2-B08E-869C65E41550}"/>
    <cellStyle name="Normal 3 2 2 2 2 2 2 2 2 2 2 2 41 3" xfId="27119" xr:uid="{E1166D35-3A80-44C0-B366-0BB9A4814821}"/>
    <cellStyle name="Normal 3 2 2 2 2 2 2 2 2 2 2 2 41 4" xfId="27120" xr:uid="{906D1D5D-A9B9-4EB7-AB7A-A146203FEFD8}"/>
    <cellStyle name="Normal 3 2 2 2 2 2 2 2 2 2 2 2 41 5" xfId="27121" xr:uid="{E1D2F17C-A3B0-4EF6-B81F-E8ED1A61A084}"/>
    <cellStyle name="Normal 3 2 2 2 2 2 2 2 2 2 2 2 41 6" xfId="27122" xr:uid="{E383AB04-4786-442C-AF43-0319AA82C43D}"/>
    <cellStyle name="Normal 3 2 2 2 2 2 2 2 2 2 2 2 41 7" xfId="27123" xr:uid="{770B8658-453C-4A56-8684-A65528E14B62}"/>
    <cellStyle name="Normal 3 2 2 2 2 2 2 2 2 2 2 2 42" xfId="27124" xr:uid="{57A80F48-0D5E-42AE-8158-4D9590CCC20F}"/>
    <cellStyle name="Normal 3 2 2 2 2 2 2 2 2 2 2 2 43" xfId="27125" xr:uid="{DFFA96FC-1A52-421A-AB10-0F40A343FD5F}"/>
    <cellStyle name="Normal 3 2 2 2 2 2 2 2 2 2 2 2 44" xfId="27126" xr:uid="{12FFF4FD-457C-403D-93F4-737AE1D1FF63}"/>
    <cellStyle name="Normal 3 2 2 2 2 2 2 2 2 2 2 2 45" xfId="27127" xr:uid="{9FE54354-188D-4D40-AB82-7F47A0A41B7B}"/>
    <cellStyle name="Normal 3 2 2 2 2 2 2 2 2 2 2 2 46" xfId="27128" xr:uid="{BE0F7AEB-8B43-4F84-90C0-17098FA384E9}"/>
    <cellStyle name="Normal 3 2 2 2 2 2 2 2 2 2 2 2 47" xfId="27129" xr:uid="{0F1801A7-5750-4826-93D4-E0C612F30815}"/>
    <cellStyle name="Normal 3 2 2 2 2 2 2 2 2 2 2 2 48" xfId="27130" xr:uid="{B00DD17C-D795-48E8-B35D-4A0D99D9CE03}"/>
    <cellStyle name="Normal 3 2 2 2 2 2 2 2 2 2 2 2 49" xfId="27131" xr:uid="{620AB38F-2E6A-4837-A593-B3950FE8F34B}"/>
    <cellStyle name="Normal 3 2 2 2 2 2 2 2 2 2 2 2 5" xfId="27132" xr:uid="{A0BB5E63-8EC2-46F1-98E9-77DD4ADE28D5}"/>
    <cellStyle name="Normal 3 2 2 2 2 2 2 2 2 2 2 2 50" xfId="27133" xr:uid="{6B1836F9-5E08-4FF8-98BA-A689B6C701C9}"/>
    <cellStyle name="Normal 3 2 2 2 2 2 2 2 2 2 2 2 51" xfId="27134" xr:uid="{8D34939A-C472-4963-9EC5-D64D156C61CD}"/>
    <cellStyle name="Normal 3 2 2 2 2 2 2 2 2 2 2 2 52" xfId="27135" xr:uid="{504C065D-183B-40D7-9369-729473C08B99}"/>
    <cellStyle name="Normal 3 2 2 2 2 2 2 2 2 2 2 2 53" xfId="27136" xr:uid="{D5A44A98-6056-46FB-9DF7-8510D8EDCCAA}"/>
    <cellStyle name="Normal 3 2 2 2 2 2 2 2 2 2 2 2 54" xfId="27137" xr:uid="{E787BD31-3FAF-45DF-B52B-7381E8C122A4}"/>
    <cellStyle name="Normal 3 2 2 2 2 2 2 2 2 2 2 2 55" xfId="27138" xr:uid="{A5570B6D-6F56-4EA5-8AEC-861CFEF609A1}"/>
    <cellStyle name="Normal 3 2 2 2 2 2 2 2 2 2 2 2 56" xfId="27139" xr:uid="{803E70E3-5C71-47F9-8B33-484F34B6F30F}"/>
    <cellStyle name="Normal 3 2 2 2 2 2 2 2 2 2 2 2 57" xfId="27140" xr:uid="{B0231350-309B-4319-9F9D-CC8CA2DB7CC7}"/>
    <cellStyle name="Normal 3 2 2 2 2 2 2 2 2 2 2 2 58" xfId="27141" xr:uid="{5D9B7C2F-CD09-4F39-BDCF-CC98C35F95EB}"/>
    <cellStyle name="Normal 3 2 2 2 2 2 2 2 2 2 2 2 59" xfId="27142" xr:uid="{2B689ECC-0F4E-4844-BFF7-F1B10D95B174}"/>
    <cellStyle name="Normal 3 2 2 2 2 2 2 2 2 2 2 2 6" xfId="27143" xr:uid="{6DE92B62-5214-406F-990A-0B8A4832086B}"/>
    <cellStyle name="Normal 3 2 2 2 2 2 2 2 2 2 2 2 60" xfId="27144" xr:uid="{2B8BD303-4D7D-4FC1-AB5B-E6DFD5369629}"/>
    <cellStyle name="Normal 3 2 2 2 2 2 2 2 2 2 2 2 61" xfId="27145" xr:uid="{180067C6-8041-4FAF-B41E-ED550C6E5FE0}"/>
    <cellStyle name="Normal 3 2 2 2 2 2 2 2 2 2 2 2 62" xfId="27146" xr:uid="{9D3C0068-01ED-4E2D-BF44-D5286CFEB4DA}"/>
    <cellStyle name="Normal 3 2 2 2 2 2 2 2 2 2 2 2 63" xfId="27147" xr:uid="{262FB181-DEF4-4FCD-B379-B2AEAFA797F8}"/>
    <cellStyle name="Normal 3 2 2 2 2 2 2 2 2 2 2 2 64" xfId="27148" xr:uid="{5B41219A-80DD-4DAC-967A-665F9D22A189}"/>
    <cellStyle name="Normal 3 2 2 2 2 2 2 2 2 2 2 2 65" xfId="27149" xr:uid="{F96CABC1-5C29-4998-AA79-D8910CE7D058}"/>
    <cellStyle name="Normal 3 2 2 2 2 2 2 2 2 2 2 2 66" xfId="27150" xr:uid="{6FA1CF18-4BF3-41F9-A4D7-4198DE860C9A}"/>
    <cellStyle name="Normal 3 2 2 2 2 2 2 2 2 2 2 2 67" xfId="27151" xr:uid="{71CFF7B7-D72E-4125-A6C6-4A386968988C}"/>
    <cellStyle name="Normal 3 2 2 2 2 2 2 2 2 2 2 2 68" xfId="27152" xr:uid="{9256BD2C-A53A-4DD2-BE1A-D875128A9462}"/>
    <cellStyle name="Normal 3 2 2 2 2 2 2 2 2 2 2 2 69" xfId="27153" xr:uid="{9F954CF0-FC09-41AB-916C-A7B8E9C09C72}"/>
    <cellStyle name="Normal 3 2 2 2 2 2 2 2 2 2 2 2 7" xfId="27154" xr:uid="{486881E9-1C03-4B86-B8F2-050DBA267A13}"/>
    <cellStyle name="Normal 3 2 2 2 2 2 2 2 2 2 2 2 7 10" xfId="27155" xr:uid="{BB3CFBEA-7FCC-4B30-BA18-EC25D29279ED}"/>
    <cellStyle name="Normal 3 2 2 2 2 2 2 2 2 2 2 2 7 11" xfId="27156" xr:uid="{D5307A48-0641-4B10-B9AC-8AAD21039350}"/>
    <cellStyle name="Normal 3 2 2 2 2 2 2 2 2 2 2 2 7 11 10" xfId="27157" xr:uid="{668DCD05-2FFB-4DA1-AC89-26BEA383E3AF}"/>
    <cellStyle name="Normal 3 2 2 2 2 2 2 2 2 2 2 2 7 11 11" xfId="27158" xr:uid="{3512A011-8D40-49CA-9D2D-F5494E5126FD}"/>
    <cellStyle name="Normal 3 2 2 2 2 2 2 2 2 2 2 2 7 11 11 2" xfId="27159" xr:uid="{72BC3E5F-1EA5-49B5-97B4-10EEA911C6CD}"/>
    <cellStyle name="Normal 3 2 2 2 2 2 2 2 2 2 2 2 7 11 11 3" xfId="27160" xr:uid="{4C45014A-6871-4931-B7BB-2132AF1D061F}"/>
    <cellStyle name="Normal 3 2 2 2 2 2 2 2 2 2 2 2 7 11 11 4" xfId="27161" xr:uid="{6E32ABAE-78F4-442A-9AD0-8FEC979EF509}"/>
    <cellStyle name="Normal 3 2 2 2 2 2 2 2 2 2 2 2 7 11 12" xfId="27162" xr:uid="{8A9B02B2-04D4-4C38-83C3-FC1949EB8ABB}"/>
    <cellStyle name="Normal 3 2 2 2 2 2 2 2 2 2 2 2 7 11 13" xfId="27163" xr:uid="{D493D108-5658-4F02-955A-413C4101291C}"/>
    <cellStyle name="Normal 3 2 2 2 2 2 2 2 2 2 2 2 7 11 14" xfId="27164" xr:uid="{5CD9A437-DB8D-4814-A675-5E6DFD142D09}"/>
    <cellStyle name="Normal 3 2 2 2 2 2 2 2 2 2 2 2 7 11 2" xfId="27165" xr:uid="{1CDE2E43-697C-49C9-9350-10C2638F59C8}"/>
    <cellStyle name="Normal 3 2 2 2 2 2 2 2 2 2 2 2 7 11 2 10" xfId="27166" xr:uid="{EDEE15CB-F294-47BF-B5BE-A016FEEA3DB5}"/>
    <cellStyle name="Normal 3 2 2 2 2 2 2 2 2 2 2 2 7 11 2 11" xfId="27167" xr:uid="{2828813D-C088-4D86-82ED-3E0B013E4ABC}"/>
    <cellStyle name="Normal 3 2 2 2 2 2 2 2 2 2 2 2 7 11 2 2" xfId="27168" xr:uid="{8D3C2917-C1B2-44FA-A5FB-E2FF8BAA65B5}"/>
    <cellStyle name="Normal 3 2 2 2 2 2 2 2 2 2 2 2 7 11 2 2 10" xfId="27169" xr:uid="{EBBB27BD-27DA-40EC-82C5-9131133F1B68}"/>
    <cellStyle name="Normal 3 2 2 2 2 2 2 2 2 2 2 2 7 11 2 2 11" xfId="27170" xr:uid="{83CC7265-E528-42F3-8E15-54222A96392B}"/>
    <cellStyle name="Normal 3 2 2 2 2 2 2 2 2 2 2 2 7 11 2 2 2" xfId="27171" xr:uid="{07859F33-069A-45BE-AED3-A231F38B7F02}"/>
    <cellStyle name="Normal 3 2 2 2 2 2 2 2 2 2 2 2 7 11 2 2 2 2" xfId="27172" xr:uid="{9E3026F2-1ACD-4FB4-A2E1-3D1EEDAB28B1}"/>
    <cellStyle name="Normal 3 2 2 2 2 2 2 2 2 2 2 2 7 11 2 2 2 2 2" xfId="27173" xr:uid="{AE1C8D9D-3692-4C79-88CE-DD9A62DACCD1}"/>
    <cellStyle name="Normal 3 2 2 2 2 2 2 2 2 2 2 2 7 11 2 2 2 2 3" xfId="27174" xr:uid="{22E857CF-982A-43FB-AF39-713F15BCB9B8}"/>
    <cellStyle name="Normal 3 2 2 2 2 2 2 2 2 2 2 2 7 11 2 2 2 2 4" xfId="27175" xr:uid="{BD821BD4-9F35-447E-BBCA-54C5249B66B1}"/>
    <cellStyle name="Normal 3 2 2 2 2 2 2 2 2 2 2 2 7 11 2 2 2 3" xfId="27176" xr:uid="{8FAFF605-5D1C-46A0-9AEC-7D015E1F5ABC}"/>
    <cellStyle name="Normal 3 2 2 2 2 2 2 2 2 2 2 2 7 11 2 2 2 4" xfId="27177" xr:uid="{34CE9523-903A-445F-926D-0AF3F3719E75}"/>
    <cellStyle name="Normal 3 2 2 2 2 2 2 2 2 2 2 2 7 11 2 2 2 5" xfId="27178" xr:uid="{61067C74-FADC-40B1-B68C-5701B373962A}"/>
    <cellStyle name="Normal 3 2 2 2 2 2 2 2 2 2 2 2 7 11 2 2 2 6" xfId="27179" xr:uid="{2421E080-0CE6-429A-A6D5-B9CB4D456967}"/>
    <cellStyle name="Normal 3 2 2 2 2 2 2 2 2 2 2 2 7 11 2 2 3" xfId="27180" xr:uid="{035D73F8-4F85-4C57-B798-13788877C56C}"/>
    <cellStyle name="Normal 3 2 2 2 2 2 2 2 2 2 2 2 7 11 2 2 4" xfId="27181" xr:uid="{94D75227-25C3-4B94-9E73-97AFE8726FD3}"/>
    <cellStyle name="Normal 3 2 2 2 2 2 2 2 2 2 2 2 7 11 2 2 5" xfId="27182" xr:uid="{26E35D4F-960E-4251-B703-452E4D9AF077}"/>
    <cellStyle name="Normal 3 2 2 2 2 2 2 2 2 2 2 2 7 11 2 2 6" xfId="27183" xr:uid="{4B2CED47-14CC-442C-A36F-9BA0C60085D8}"/>
    <cellStyle name="Normal 3 2 2 2 2 2 2 2 2 2 2 2 7 11 2 2 7" xfId="27184" xr:uid="{A56EF751-08FF-4B8B-ACBD-52C0875C87F5}"/>
    <cellStyle name="Normal 3 2 2 2 2 2 2 2 2 2 2 2 7 11 2 2 8" xfId="27185" xr:uid="{D2F655B6-E81C-4114-B9CD-DCFF46B42EBC}"/>
    <cellStyle name="Normal 3 2 2 2 2 2 2 2 2 2 2 2 7 11 2 2 8 2" xfId="27186" xr:uid="{70AF64C8-9F3B-4014-B20D-388A2E60A7AB}"/>
    <cellStyle name="Normal 3 2 2 2 2 2 2 2 2 2 2 2 7 11 2 2 8 3" xfId="27187" xr:uid="{E037ABEC-02EB-4771-A016-B4BA69156639}"/>
    <cellStyle name="Normal 3 2 2 2 2 2 2 2 2 2 2 2 7 11 2 2 8 4" xfId="27188" xr:uid="{CD690E1F-CE93-491A-8589-569AB6921273}"/>
    <cellStyle name="Normal 3 2 2 2 2 2 2 2 2 2 2 2 7 11 2 2 9" xfId="27189" xr:uid="{D31F4864-B87C-44A8-B2D2-84D761E6EEEC}"/>
    <cellStyle name="Normal 3 2 2 2 2 2 2 2 2 2 2 2 7 11 2 3" xfId="27190" xr:uid="{73C93390-560D-474A-8814-17E4E71BF0A9}"/>
    <cellStyle name="Normal 3 2 2 2 2 2 2 2 2 2 2 2 7 11 2 3 2" xfId="27191" xr:uid="{CE2E04C7-AE13-45AB-A517-3B601A4EC105}"/>
    <cellStyle name="Normal 3 2 2 2 2 2 2 2 2 2 2 2 7 11 2 3 2 2" xfId="27192" xr:uid="{36FE6E5B-AEDB-4D52-B7E5-7934407C389E}"/>
    <cellStyle name="Normal 3 2 2 2 2 2 2 2 2 2 2 2 7 11 2 3 2 3" xfId="27193" xr:uid="{D4E1D4AF-B235-4991-8E8E-8A3E9C61DE68}"/>
    <cellStyle name="Normal 3 2 2 2 2 2 2 2 2 2 2 2 7 11 2 3 2 4" xfId="27194" xr:uid="{DD1E7082-F683-426E-B17E-62C1C88C8BCD}"/>
    <cellStyle name="Normal 3 2 2 2 2 2 2 2 2 2 2 2 7 11 2 3 3" xfId="27195" xr:uid="{FB2DF7DF-9257-421E-B1D7-78F75DA7B489}"/>
    <cellStyle name="Normal 3 2 2 2 2 2 2 2 2 2 2 2 7 11 2 3 4" xfId="27196" xr:uid="{CF900C5F-BE96-4C33-9135-7BB978A51A0B}"/>
    <cellStyle name="Normal 3 2 2 2 2 2 2 2 2 2 2 2 7 11 2 3 5" xfId="27197" xr:uid="{10CE592E-A541-47A5-AF46-0149BF2683B2}"/>
    <cellStyle name="Normal 3 2 2 2 2 2 2 2 2 2 2 2 7 11 2 3 6" xfId="27198" xr:uid="{72215637-4AAF-46CD-B6CA-04CEA163F1D5}"/>
    <cellStyle name="Normal 3 2 2 2 2 2 2 2 2 2 2 2 7 11 2 4" xfId="27199" xr:uid="{6D03BB06-C325-4BB8-A4A4-ED2D853836A3}"/>
    <cellStyle name="Normal 3 2 2 2 2 2 2 2 2 2 2 2 7 11 2 5" xfId="27200" xr:uid="{E40A2AC3-9927-4556-B19D-A12E58CE9921}"/>
    <cellStyle name="Normal 3 2 2 2 2 2 2 2 2 2 2 2 7 11 2 6" xfId="27201" xr:uid="{146945B8-D012-46B0-89A3-73650C6ECE1F}"/>
    <cellStyle name="Normal 3 2 2 2 2 2 2 2 2 2 2 2 7 11 2 7" xfId="27202" xr:uid="{3C0F9E3A-3DC0-4B18-9847-92A38424285D}"/>
    <cellStyle name="Normal 3 2 2 2 2 2 2 2 2 2 2 2 7 11 2 8" xfId="27203" xr:uid="{559818BB-EE33-4AC4-8123-1788E14A01E8}"/>
    <cellStyle name="Normal 3 2 2 2 2 2 2 2 2 2 2 2 7 11 2 8 2" xfId="27204" xr:uid="{46B666C9-17C9-4831-801A-F9450E4E9897}"/>
    <cellStyle name="Normal 3 2 2 2 2 2 2 2 2 2 2 2 7 11 2 8 3" xfId="27205" xr:uid="{06096DC8-FF4B-44A1-B706-A12860667AD5}"/>
    <cellStyle name="Normal 3 2 2 2 2 2 2 2 2 2 2 2 7 11 2 8 4" xfId="27206" xr:uid="{2B6D6D4C-476B-4E4C-86F2-5585CE611B01}"/>
    <cellStyle name="Normal 3 2 2 2 2 2 2 2 2 2 2 2 7 11 2 9" xfId="27207" xr:uid="{5F43109B-8324-4E1C-B0DB-060DB7B07AB8}"/>
    <cellStyle name="Normal 3 2 2 2 2 2 2 2 2 2 2 2 7 11 3" xfId="27208" xr:uid="{F6742572-821F-45BE-BC6B-FE6A2D177E00}"/>
    <cellStyle name="Normal 3 2 2 2 2 2 2 2 2 2 2 2 7 11 4" xfId="27209" xr:uid="{DA85F21C-E6DF-45FF-850C-0F81BB8ACA3A}"/>
    <cellStyle name="Normal 3 2 2 2 2 2 2 2 2 2 2 2 7 11 5" xfId="27210" xr:uid="{E6626F27-DD7E-40D9-BBFE-D3D3D9DDF494}"/>
    <cellStyle name="Normal 3 2 2 2 2 2 2 2 2 2 2 2 7 11 5 2" xfId="27211" xr:uid="{B8CCA20F-5657-4E0D-B19B-074177FFC250}"/>
    <cellStyle name="Normal 3 2 2 2 2 2 2 2 2 2 2 2 7 11 5 2 2" xfId="27212" xr:uid="{9916FE6F-9563-408A-A7BB-A2C52011158D}"/>
    <cellStyle name="Normal 3 2 2 2 2 2 2 2 2 2 2 2 7 11 5 2 3" xfId="27213" xr:uid="{4F187B8E-2339-4131-87BC-E1F5BCC97714}"/>
    <cellStyle name="Normal 3 2 2 2 2 2 2 2 2 2 2 2 7 11 5 2 4" xfId="27214" xr:uid="{C0CC1E0B-A576-4CC9-A0E4-7C6DF1BC1F88}"/>
    <cellStyle name="Normal 3 2 2 2 2 2 2 2 2 2 2 2 7 11 5 3" xfId="27215" xr:uid="{8841606B-2BFD-4CA2-A4CD-9E9150971A08}"/>
    <cellStyle name="Normal 3 2 2 2 2 2 2 2 2 2 2 2 7 11 5 4" xfId="27216" xr:uid="{923430CA-CD1C-4473-9A92-AC7E5F814427}"/>
    <cellStyle name="Normal 3 2 2 2 2 2 2 2 2 2 2 2 7 11 5 5" xfId="27217" xr:uid="{5B662BDB-1A5B-4206-A9DA-8E330A019107}"/>
    <cellStyle name="Normal 3 2 2 2 2 2 2 2 2 2 2 2 7 11 5 6" xfId="27218" xr:uid="{B3E0DBCC-0612-4999-8150-A5B2DB864876}"/>
    <cellStyle name="Normal 3 2 2 2 2 2 2 2 2 2 2 2 7 11 6" xfId="27219" xr:uid="{8B97EC9C-9526-40CB-88B8-5F9F62D517FE}"/>
    <cellStyle name="Normal 3 2 2 2 2 2 2 2 2 2 2 2 7 11 7" xfId="27220" xr:uid="{264C458B-B900-40E0-93D3-1946A5AD6B65}"/>
    <cellStyle name="Normal 3 2 2 2 2 2 2 2 2 2 2 2 7 11 8" xfId="27221" xr:uid="{0816D704-F623-4604-B542-E5E1C16E9BCF}"/>
    <cellStyle name="Normal 3 2 2 2 2 2 2 2 2 2 2 2 7 11 9" xfId="27222" xr:uid="{8E57B846-CB45-46BD-9D42-CEE2BF57FC01}"/>
    <cellStyle name="Normal 3 2 2 2 2 2 2 2 2 2 2 2 7 12" xfId="27223" xr:uid="{5D270B14-22F7-48D2-9F16-AA071BB835F9}"/>
    <cellStyle name="Normal 3 2 2 2 2 2 2 2 2 2 2 2 7 13" xfId="27224" xr:uid="{6E0102A0-87B6-4A14-96CA-B257E403AACC}"/>
    <cellStyle name="Normal 3 2 2 2 2 2 2 2 2 2 2 2 7 13 10" xfId="27225" xr:uid="{197F624B-E3E3-44F1-A3E5-E96C9F229C48}"/>
    <cellStyle name="Normal 3 2 2 2 2 2 2 2 2 2 2 2 7 13 11" xfId="27226" xr:uid="{57B17F6F-F449-491C-B026-9A55F1A7C470}"/>
    <cellStyle name="Normal 3 2 2 2 2 2 2 2 2 2 2 2 7 13 2" xfId="27227" xr:uid="{C9F762EE-D21A-4420-8F26-A03436307EA4}"/>
    <cellStyle name="Normal 3 2 2 2 2 2 2 2 2 2 2 2 7 13 2 10" xfId="27228" xr:uid="{0E9498C2-ED1E-4514-8C0D-659233F469EE}"/>
    <cellStyle name="Normal 3 2 2 2 2 2 2 2 2 2 2 2 7 13 2 11" xfId="27229" xr:uid="{D5B1D900-92D2-4A77-918B-41266BBCB542}"/>
    <cellStyle name="Normal 3 2 2 2 2 2 2 2 2 2 2 2 7 13 2 2" xfId="27230" xr:uid="{7ABAE1CB-6AE9-42FC-AE3D-A7164EC47762}"/>
    <cellStyle name="Normal 3 2 2 2 2 2 2 2 2 2 2 2 7 13 2 2 2" xfId="27231" xr:uid="{69F5B40F-13DB-4627-85E2-02521349FA4A}"/>
    <cellStyle name="Normal 3 2 2 2 2 2 2 2 2 2 2 2 7 13 2 2 2 2" xfId="27232" xr:uid="{77FD0039-7DEF-42F3-BA2B-588849110176}"/>
    <cellStyle name="Normal 3 2 2 2 2 2 2 2 2 2 2 2 7 13 2 2 2 3" xfId="27233" xr:uid="{EF1812C5-DAA2-475C-8C41-98CC744684A5}"/>
    <cellStyle name="Normal 3 2 2 2 2 2 2 2 2 2 2 2 7 13 2 2 2 4" xfId="27234" xr:uid="{5309641F-D32D-47D9-BC2F-171A9189752F}"/>
    <cellStyle name="Normal 3 2 2 2 2 2 2 2 2 2 2 2 7 13 2 2 3" xfId="27235" xr:uid="{DF5AC675-6B96-42CB-AAEE-BF662D71AD6D}"/>
    <cellStyle name="Normal 3 2 2 2 2 2 2 2 2 2 2 2 7 13 2 2 4" xfId="27236" xr:uid="{C3D9FD67-5949-4318-9FC6-0A3DF4D83FF5}"/>
    <cellStyle name="Normal 3 2 2 2 2 2 2 2 2 2 2 2 7 13 2 2 5" xfId="27237" xr:uid="{AD55AE2F-D123-4503-9809-8EF5251150B6}"/>
    <cellStyle name="Normal 3 2 2 2 2 2 2 2 2 2 2 2 7 13 2 2 6" xfId="27238" xr:uid="{9EA71375-2CF1-4C88-A5D9-D4909691C692}"/>
    <cellStyle name="Normal 3 2 2 2 2 2 2 2 2 2 2 2 7 13 2 3" xfId="27239" xr:uid="{AD6FC65D-BEDE-40BF-B00D-43AC82F4E6DE}"/>
    <cellStyle name="Normal 3 2 2 2 2 2 2 2 2 2 2 2 7 13 2 4" xfId="27240" xr:uid="{823A8659-B78F-4910-88D2-AF6AAB6A8777}"/>
    <cellStyle name="Normal 3 2 2 2 2 2 2 2 2 2 2 2 7 13 2 5" xfId="27241" xr:uid="{B3F818D1-682E-4B76-98CA-A604ABBB3C7C}"/>
    <cellStyle name="Normal 3 2 2 2 2 2 2 2 2 2 2 2 7 13 2 6" xfId="27242" xr:uid="{DE42A8FE-DB44-4B50-8AA5-9DFF0365ADFE}"/>
    <cellStyle name="Normal 3 2 2 2 2 2 2 2 2 2 2 2 7 13 2 7" xfId="27243" xr:uid="{A4E31020-5717-40D6-B36A-699AEB777DAE}"/>
    <cellStyle name="Normal 3 2 2 2 2 2 2 2 2 2 2 2 7 13 2 8" xfId="27244" xr:uid="{849886BC-25AB-4C3D-8BBF-645A6F38CAC0}"/>
    <cellStyle name="Normal 3 2 2 2 2 2 2 2 2 2 2 2 7 13 2 8 2" xfId="27245" xr:uid="{2D11F20E-6625-441A-8C52-86DE0E822C9B}"/>
    <cellStyle name="Normal 3 2 2 2 2 2 2 2 2 2 2 2 7 13 2 8 3" xfId="27246" xr:uid="{F22A30B8-CAC9-46AC-A86C-418519287F46}"/>
    <cellStyle name="Normal 3 2 2 2 2 2 2 2 2 2 2 2 7 13 2 8 4" xfId="27247" xr:uid="{C0CF46D1-1B31-4F04-8AA3-C2E065BAE553}"/>
    <cellStyle name="Normal 3 2 2 2 2 2 2 2 2 2 2 2 7 13 2 9" xfId="27248" xr:uid="{E7E7D06E-225D-4537-B8C2-7981AFE06A72}"/>
    <cellStyle name="Normal 3 2 2 2 2 2 2 2 2 2 2 2 7 13 3" xfId="27249" xr:uid="{AFBEBC6C-9BC9-460E-ACD9-E306E57E9336}"/>
    <cellStyle name="Normal 3 2 2 2 2 2 2 2 2 2 2 2 7 13 3 2" xfId="27250" xr:uid="{EE16A664-AC99-497E-BF20-BCAF6045DCE8}"/>
    <cellStyle name="Normal 3 2 2 2 2 2 2 2 2 2 2 2 7 13 3 2 2" xfId="27251" xr:uid="{F984BDD6-9E4F-4383-9338-62554FFF67C5}"/>
    <cellStyle name="Normal 3 2 2 2 2 2 2 2 2 2 2 2 7 13 3 2 3" xfId="27252" xr:uid="{4F2A1895-FA49-4070-B3BA-7D1341CA68C2}"/>
    <cellStyle name="Normal 3 2 2 2 2 2 2 2 2 2 2 2 7 13 3 2 4" xfId="27253" xr:uid="{A836AC40-2188-4430-86BD-CF5DBEB0AE3A}"/>
    <cellStyle name="Normal 3 2 2 2 2 2 2 2 2 2 2 2 7 13 3 3" xfId="27254" xr:uid="{2AE9BF97-FB36-43D8-8E5F-D44A8AD7B719}"/>
    <cellStyle name="Normal 3 2 2 2 2 2 2 2 2 2 2 2 7 13 3 4" xfId="27255" xr:uid="{0CB1195F-3478-4F3A-BEDA-ECB8552118AA}"/>
    <cellStyle name="Normal 3 2 2 2 2 2 2 2 2 2 2 2 7 13 3 5" xfId="27256" xr:uid="{9737BDE3-CC7A-4427-969A-BA40FCF93482}"/>
    <cellStyle name="Normal 3 2 2 2 2 2 2 2 2 2 2 2 7 13 3 6" xfId="27257" xr:uid="{342C77BB-9677-4B1C-A86A-A1B16BC12877}"/>
    <cellStyle name="Normal 3 2 2 2 2 2 2 2 2 2 2 2 7 13 4" xfId="27258" xr:uid="{3D975172-7C28-4A84-8D0E-F42140D946A0}"/>
    <cellStyle name="Normal 3 2 2 2 2 2 2 2 2 2 2 2 7 13 5" xfId="27259" xr:uid="{DD6F3908-3452-44D3-BAAF-7D4DC1CE155D}"/>
    <cellStyle name="Normal 3 2 2 2 2 2 2 2 2 2 2 2 7 13 6" xfId="27260" xr:uid="{B05C50F7-05E7-4F98-A705-E99D91DE5B48}"/>
    <cellStyle name="Normal 3 2 2 2 2 2 2 2 2 2 2 2 7 13 7" xfId="27261" xr:uid="{75E0BA76-C5E2-4B36-9095-3C637B38FED9}"/>
    <cellStyle name="Normal 3 2 2 2 2 2 2 2 2 2 2 2 7 13 8" xfId="27262" xr:uid="{9FF64A12-9065-4613-9831-E8B0A46FB4BE}"/>
    <cellStyle name="Normal 3 2 2 2 2 2 2 2 2 2 2 2 7 13 8 2" xfId="27263" xr:uid="{F05FA72A-7C93-49A5-A2BE-9F2984993F85}"/>
    <cellStyle name="Normal 3 2 2 2 2 2 2 2 2 2 2 2 7 13 8 3" xfId="27264" xr:uid="{0DD5B577-A22A-4FC9-85B3-11AF082D3553}"/>
    <cellStyle name="Normal 3 2 2 2 2 2 2 2 2 2 2 2 7 13 8 4" xfId="27265" xr:uid="{38EE86AF-03C1-4985-A09C-A7756B86F691}"/>
    <cellStyle name="Normal 3 2 2 2 2 2 2 2 2 2 2 2 7 13 9" xfId="27266" xr:uid="{06B01BF9-BD74-4B85-970F-DBB133146AE6}"/>
    <cellStyle name="Normal 3 2 2 2 2 2 2 2 2 2 2 2 7 14" xfId="27267" xr:uid="{B9F6897A-227C-4235-A604-40EA29D67994}"/>
    <cellStyle name="Normal 3 2 2 2 2 2 2 2 2 2 2 2 7 15" xfId="27268" xr:uid="{911AF4A6-A872-4448-9E11-AEBAB412B813}"/>
    <cellStyle name="Normal 3 2 2 2 2 2 2 2 2 2 2 2 7 15 2" xfId="27269" xr:uid="{C24BEFCE-014E-4752-8D44-293B1C5FCF11}"/>
    <cellStyle name="Normal 3 2 2 2 2 2 2 2 2 2 2 2 7 15 2 2" xfId="27270" xr:uid="{33D1790C-FC0C-4AA9-AEBD-1D0CB4F6307F}"/>
    <cellStyle name="Normal 3 2 2 2 2 2 2 2 2 2 2 2 7 15 2 3" xfId="27271" xr:uid="{6B6E7984-6FB5-4646-B93E-2A7B66FB9EAA}"/>
    <cellStyle name="Normal 3 2 2 2 2 2 2 2 2 2 2 2 7 15 2 4" xfId="27272" xr:uid="{89B2D760-ABD2-43A0-A90D-1B2DC84F68CA}"/>
    <cellStyle name="Normal 3 2 2 2 2 2 2 2 2 2 2 2 7 15 3" xfId="27273" xr:uid="{76534EF3-6C2B-46AB-82B1-211F559D373D}"/>
    <cellStyle name="Normal 3 2 2 2 2 2 2 2 2 2 2 2 7 15 4" xfId="27274" xr:uid="{14F99D21-B165-4523-AFBB-57B3D07DE6D0}"/>
    <cellStyle name="Normal 3 2 2 2 2 2 2 2 2 2 2 2 7 15 5" xfId="27275" xr:uid="{19B43490-5A87-4397-8B8E-0E3620B0E163}"/>
    <cellStyle name="Normal 3 2 2 2 2 2 2 2 2 2 2 2 7 15 6" xfId="27276" xr:uid="{4DF3640F-E800-45F2-9229-BF04096BE371}"/>
    <cellStyle name="Normal 3 2 2 2 2 2 2 2 2 2 2 2 7 16" xfId="27277" xr:uid="{810A7D93-3780-4EE8-A412-BBD2C200A893}"/>
    <cellStyle name="Normal 3 2 2 2 2 2 2 2 2 2 2 2 7 17" xfId="27278" xr:uid="{711C011E-3AE6-4907-A729-3FBCB1C7BD29}"/>
    <cellStyle name="Normal 3 2 2 2 2 2 2 2 2 2 2 2 7 18" xfId="27279" xr:uid="{A0B58429-4188-47ED-9C43-86D43F071D28}"/>
    <cellStyle name="Normal 3 2 2 2 2 2 2 2 2 2 2 2 7 19" xfId="27280" xr:uid="{3986073A-F5E8-4AE1-930E-289FC49B810B}"/>
    <cellStyle name="Normal 3 2 2 2 2 2 2 2 2 2 2 2 7 2" xfId="27281" xr:uid="{CBA58443-A01A-42DB-B65B-15FFC2EAB027}"/>
    <cellStyle name="Normal 3 2 2 2 2 2 2 2 2 2 2 2 7 2 10" xfId="27282" xr:uid="{63D6F65B-AB19-4C84-8175-CAB3DC777A1C}"/>
    <cellStyle name="Normal 3 2 2 2 2 2 2 2 2 2 2 2 7 2 11" xfId="27283" xr:uid="{6818AAB9-A255-4A5A-BD56-AF419C947B8D}"/>
    <cellStyle name="Normal 3 2 2 2 2 2 2 2 2 2 2 2 7 2 12" xfId="27284" xr:uid="{9242C11A-5546-41EC-8DE1-1BC84403A2B1}"/>
    <cellStyle name="Normal 3 2 2 2 2 2 2 2 2 2 2 2 7 2 13" xfId="27285" xr:uid="{E336777D-17BE-4994-8010-5B9E3473DB63}"/>
    <cellStyle name="Normal 3 2 2 2 2 2 2 2 2 2 2 2 7 2 13 2" xfId="27286" xr:uid="{FE20FD58-68B4-4CD1-B232-45EF58B56B72}"/>
    <cellStyle name="Normal 3 2 2 2 2 2 2 2 2 2 2 2 7 2 13 3" xfId="27287" xr:uid="{EDF3E6BD-C5A9-4F06-880A-30B94B2C11EB}"/>
    <cellStyle name="Normal 3 2 2 2 2 2 2 2 2 2 2 2 7 2 13 4" xfId="27288" xr:uid="{913F2F1F-CD58-4F6E-A44A-FD57BA62F315}"/>
    <cellStyle name="Normal 3 2 2 2 2 2 2 2 2 2 2 2 7 2 14" xfId="27289" xr:uid="{3E6DC5A5-9113-4B0E-A747-997CBADC9FA2}"/>
    <cellStyle name="Normal 3 2 2 2 2 2 2 2 2 2 2 2 7 2 15" xfId="27290" xr:uid="{DF12BDD2-8B1A-49D5-96D0-A42DFD788BC9}"/>
    <cellStyle name="Normal 3 2 2 2 2 2 2 2 2 2 2 2 7 2 16" xfId="27291" xr:uid="{64A478DF-9999-4452-A21C-235A8AF2D6BD}"/>
    <cellStyle name="Normal 3 2 2 2 2 2 2 2 2 2 2 2 7 2 2" xfId="27292" xr:uid="{3227A99F-7EE6-4AA8-BC22-C9A2F7E3BB30}"/>
    <cellStyle name="Normal 3 2 2 2 2 2 2 2 2 2 2 2 7 2 2 10" xfId="27293" xr:uid="{47A11EA0-5495-44EB-908D-ECAE91AC2E49}"/>
    <cellStyle name="Normal 3 2 2 2 2 2 2 2 2 2 2 2 7 2 2 11" xfId="27294" xr:uid="{4BC4E012-5211-467E-B4C4-82775076A156}"/>
    <cellStyle name="Normal 3 2 2 2 2 2 2 2 2 2 2 2 7 2 2 11 2" xfId="27295" xr:uid="{1DAEF5D9-E401-417E-9795-49FA12A54935}"/>
    <cellStyle name="Normal 3 2 2 2 2 2 2 2 2 2 2 2 7 2 2 11 3" xfId="27296" xr:uid="{2305ECDE-1E54-4128-881B-7C54634C022C}"/>
    <cellStyle name="Normal 3 2 2 2 2 2 2 2 2 2 2 2 7 2 2 11 4" xfId="27297" xr:uid="{9D564A34-906D-4254-8FCA-0888F4C68AF6}"/>
    <cellStyle name="Normal 3 2 2 2 2 2 2 2 2 2 2 2 7 2 2 12" xfId="27298" xr:uid="{252E963F-CE03-44DD-A435-B96DADE9BCD0}"/>
    <cellStyle name="Normal 3 2 2 2 2 2 2 2 2 2 2 2 7 2 2 13" xfId="27299" xr:uid="{CB607EC2-C583-44BD-AC23-2D9FE29DE7DD}"/>
    <cellStyle name="Normal 3 2 2 2 2 2 2 2 2 2 2 2 7 2 2 14" xfId="27300" xr:uid="{40C35C9F-2C65-409B-B190-A73AAEA798AB}"/>
    <cellStyle name="Normal 3 2 2 2 2 2 2 2 2 2 2 2 7 2 2 2" xfId="27301" xr:uid="{25EB1F0B-F4E1-446D-BF25-867BA7249A4D}"/>
    <cellStyle name="Normal 3 2 2 2 2 2 2 2 2 2 2 2 7 2 2 2 10" xfId="27302" xr:uid="{02B7C553-70CD-4069-99D9-9DB7318161DE}"/>
    <cellStyle name="Normal 3 2 2 2 2 2 2 2 2 2 2 2 7 2 2 2 11" xfId="27303" xr:uid="{9C3F4A2C-0A8F-444F-9D6F-7AB828BF14F7}"/>
    <cellStyle name="Normal 3 2 2 2 2 2 2 2 2 2 2 2 7 2 2 2 2" xfId="27304" xr:uid="{4A4BAF74-DD3F-44E2-AFDE-630FB428A0BF}"/>
    <cellStyle name="Normal 3 2 2 2 2 2 2 2 2 2 2 2 7 2 2 2 2 10" xfId="27305" xr:uid="{75ABDDE5-9689-4EC9-B32C-DB6BDA7D4F6E}"/>
    <cellStyle name="Normal 3 2 2 2 2 2 2 2 2 2 2 2 7 2 2 2 2 11" xfId="27306" xr:uid="{1DAA56B5-EFA7-44B4-B54C-6A21DB177404}"/>
    <cellStyle name="Normal 3 2 2 2 2 2 2 2 2 2 2 2 7 2 2 2 2 2" xfId="27307" xr:uid="{AFFD796D-6166-4B73-92C4-5C3B2E4F7067}"/>
    <cellStyle name="Normal 3 2 2 2 2 2 2 2 2 2 2 2 7 2 2 2 2 2 2" xfId="27308" xr:uid="{20FDC699-32E2-4DE0-BA94-7EB642CC5058}"/>
    <cellStyle name="Normal 3 2 2 2 2 2 2 2 2 2 2 2 7 2 2 2 2 2 2 2" xfId="27309" xr:uid="{B56A10B4-8173-4B0C-A818-67B6ABCC3F88}"/>
    <cellStyle name="Normal 3 2 2 2 2 2 2 2 2 2 2 2 7 2 2 2 2 2 2 3" xfId="27310" xr:uid="{411CB9D7-045F-47FF-B64A-96B1FBFECED0}"/>
    <cellStyle name="Normal 3 2 2 2 2 2 2 2 2 2 2 2 7 2 2 2 2 2 2 4" xfId="27311" xr:uid="{B5510185-32E6-4082-BDCA-7C9FAA6701E8}"/>
    <cellStyle name="Normal 3 2 2 2 2 2 2 2 2 2 2 2 7 2 2 2 2 2 3" xfId="27312" xr:uid="{E7CF9F0C-E59B-47D6-B6AE-55BF3D74024E}"/>
    <cellStyle name="Normal 3 2 2 2 2 2 2 2 2 2 2 2 7 2 2 2 2 2 4" xfId="27313" xr:uid="{762467ED-A11A-4D9E-B1E5-C41252F7059C}"/>
    <cellStyle name="Normal 3 2 2 2 2 2 2 2 2 2 2 2 7 2 2 2 2 2 5" xfId="27314" xr:uid="{1BFE0D21-7145-46AD-9104-FDC73611CF3D}"/>
    <cellStyle name="Normal 3 2 2 2 2 2 2 2 2 2 2 2 7 2 2 2 2 2 6" xfId="27315" xr:uid="{F6E9B9A7-90CC-4AA2-BE80-1ADBD4C5BC85}"/>
    <cellStyle name="Normal 3 2 2 2 2 2 2 2 2 2 2 2 7 2 2 2 2 3" xfId="27316" xr:uid="{3A4CBDF9-991D-40C2-A87B-33999F89B4FA}"/>
    <cellStyle name="Normal 3 2 2 2 2 2 2 2 2 2 2 2 7 2 2 2 2 4" xfId="27317" xr:uid="{B3D49B82-056C-4BE1-B2CA-57F423D99CC5}"/>
    <cellStyle name="Normal 3 2 2 2 2 2 2 2 2 2 2 2 7 2 2 2 2 5" xfId="27318" xr:uid="{6F381B15-BE54-49B3-B834-CFAFD730E01C}"/>
    <cellStyle name="Normal 3 2 2 2 2 2 2 2 2 2 2 2 7 2 2 2 2 6" xfId="27319" xr:uid="{FA98BFA8-240B-425A-8C26-332881FBB2AA}"/>
    <cellStyle name="Normal 3 2 2 2 2 2 2 2 2 2 2 2 7 2 2 2 2 7" xfId="27320" xr:uid="{4F190B29-12A1-4E3D-AC2E-A8821E28FBBE}"/>
    <cellStyle name="Normal 3 2 2 2 2 2 2 2 2 2 2 2 7 2 2 2 2 8" xfId="27321" xr:uid="{DECF3EFF-FD73-4836-A84E-BE0BD3B52015}"/>
    <cellStyle name="Normal 3 2 2 2 2 2 2 2 2 2 2 2 7 2 2 2 2 8 2" xfId="27322" xr:uid="{B4C830B3-1B74-4740-9079-AB6C0BC5F95A}"/>
    <cellStyle name="Normal 3 2 2 2 2 2 2 2 2 2 2 2 7 2 2 2 2 8 3" xfId="27323" xr:uid="{2FA105CE-F57B-4D00-B2F5-9C3621B025F6}"/>
    <cellStyle name="Normal 3 2 2 2 2 2 2 2 2 2 2 2 7 2 2 2 2 8 4" xfId="27324" xr:uid="{3CEBDB4B-CEA0-49EC-ADB2-6A0595316A2F}"/>
    <cellStyle name="Normal 3 2 2 2 2 2 2 2 2 2 2 2 7 2 2 2 2 9" xfId="27325" xr:uid="{36EC923F-1A76-4120-B779-A6B1E4AF4900}"/>
    <cellStyle name="Normal 3 2 2 2 2 2 2 2 2 2 2 2 7 2 2 2 3" xfId="27326" xr:uid="{82DE9AE1-4370-49D4-AA2B-1EBB229DBF2A}"/>
    <cellStyle name="Normal 3 2 2 2 2 2 2 2 2 2 2 2 7 2 2 2 3 2" xfId="27327" xr:uid="{A87237F3-A01A-493B-B10F-D3938E35AB91}"/>
    <cellStyle name="Normal 3 2 2 2 2 2 2 2 2 2 2 2 7 2 2 2 3 2 2" xfId="27328" xr:uid="{23746DB9-AD4B-4452-BFD6-D3F811B7DF04}"/>
    <cellStyle name="Normal 3 2 2 2 2 2 2 2 2 2 2 2 7 2 2 2 3 2 3" xfId="27329" xr:uid="{DC6AD015-F82F-4E6B-9E35-45237EBC9A01}"/>
    <cellStyle name="Normal 3 2 2 2 2 2 2 2 2 2 2 2 7 2 2 2 3 2 4" xfId="27330" xr:uid="{627505F2-E7C7-4AE1-BDCC-2DB6C6E70019}"/>
    <cellStyle name="Normal 3 2 2 2 2 2 2 2 2 2 2 2 7 2 2 2 3 3" xfId="27331" xr:uid="{705C81D3-9D5D-446D-99CD-B0CF88C549C7}"/>
    <cellStyle name="Normal 3 2 2 2 2 2 2 2 2 2 2 2 7 2 2 2 3 4" xfId="27332" xr:uid="{38C98F5B-0547-4BF2-81DD-377AE15F6D3F}"/>
    <cellStyle name="Normal 3 2 2 2 2 2 2 2 2 2 2 2 7 2 2 2 3 5" xfId="27333" xr:uid="{EEE3C1B8-0881-4090-BCD4-61006DEABB6B}"/>
    <cellStyle name="Normal 3 2 2 2 2 2 2 2 2 2 2 2 7 2 2 2 3 6" xfId="27334" xr:uid="{B00EF096-42D5-4025-A31F-15102549BA60}"/>
    <cellStyle name="Normal 3 2 2 2 2 2 2 2 2 2 2 2 7 2 2 2 4" xfId="27335" xr:uid="{7C3F0DD8-7CC8-48F5-B76A-E2E80E04229D}"/>
    <cellStyle name="Normal 3 2 2 2 2 2 2 2 2 2 2 2 7 2 2 2 5" xfId="27336" xr:uid="{385779B3-97C8-40C7-96E0-483920CD0836}"/>
    <cellStyle name="Normal 3 2 2 2 2 2 2 2 2 2 2 2 7 2 2 2 6" xfId="27337" xr:uid="{8DDA9256-E033-45CC-AF59-9EA854874D0F}"/>
    <cellStyle name="Normal 3 2 2 2 2 2 2 2 2 2 2 2 7 2 2 2 7" xfId="27338" xr:uid="{59006E86-828C-46E6-859B-2B98095B8E5F}"/>
    <cellStyle name="Normal 3 2 2 2 2 2 2 2 2 2 2 2 7 2 2 2 8" xfId="27339" xr:uid="{FD878D4C-B736-415A-B5AD-62B2A8733EE5}"/>
    <cellStyle name="Normal 3 2 2 2 2 2 2 2 2 2 2 2 7 2 2 2 8 2" xfId="27340" xr:uid="{986E9700-2B9B-452B-9D16-86568F688040}"/>
    <cellStyle name="Normal 3 2 2 2 2 2 2 2 2 2 2 2 7 2 2 2 8 3" xfId="27341" xr:uid="{DEE7F6B4-72FE-4F1A-A032-3209C6AED21E}"/>
    <cellStyle name="Normal 3 2 2 2 2 2 2 2 2 2 2 2 7 2 2 2 8 4" xfId="27342" xr:uid="{D748BF5F-6A78-4F5B-8679-68E16532CEA6}"/>
    <cellStyle name="Normal 3 2 2 2 2 2 2 2 2 2 2 2 7 2 2 2 9" xfId="27343" xr:uid="{A340661A-4BBD-401B-91C6-14FB778498FF}"/>
    <cellStyle name="Normal 3 2 2 2 2 2 2 2 2 2 2 2 7 2 2 3" xfId="27344" xr:uid="{F9618180-D387-47F9-B2B7-0700754CBA94}"/>
    <cellStyle name="Normal 3 2 2 2 2 2 2 2 2 2 2 2 7 2 2 4" xfId="27345" xr:uid="{8B20E619-4B2E-4D5A-8FEC-5CD8F80823EB}"/>
    <cellStyle name="Normal 3 2 2 2 2 2 2 2 2 2 2 2 7 2 2 5" xfId="27346" xr:uid="{95EAA1D4-07FF-41ED-841D-A05A6A5F3A81}"/>
    <cellStyle name="Normal 3 2 2 2 2 2 2 2 2 2 2 2 7 2 2 5 2" xfId="27347" xr:uid="{E7812006-18C4-4195-B7D3-47E9AF5D192F}"/>
    <cellStyle name="Normal 3 2 2 2 2 2 2 2 2 2 2 2 7 2 2 5 2 2" xfId="27348" xr:uid="{61D5A549-51C9-4451-89C5-276F90DF568C}"/>
    <cellStyle name="Normal 3 2 2 2 2 2 2 2 2 2 2 2 7 2 2 5 2 3" xfId="27349" xr:uid="{66630D99-E0F6-46A2-AFD2-9D64F47A8615}"/>
    <cellStyle name="Normal 3 2 2 2 2 2 2 2 2 2 2 2 7 2 2 5 2 4" xfId="27350" xr:uid="{C783F8F9-4AF4-40C6-9ED9-992E37406E0A}"/>
    <cellStyle name="Normal 3 2 2 2 2 2 2 2 2 2 2 2 7 2 2 5 3" xfId="27351" xr:uid="{8042A7E4-3F78-4F5C-A837-D77380D64C13}"/>
    <cellStyle name="Normal 3 2 2 2 2 2 2 2 2 2 2 2 7 2 2 5 4" xfId="27352" xr:uid="{EA11BAC6-709A-4C74-8F91-8E8E326C499D}"/>
    <cellStyle name="Normal 3 2 2 2 2 2 2 2 2 2 2 2 7 2 2 5 5" xfId="27353" xr:uid="{D9BF44AE-FB99-4142-AD41-013EB5C0A50A}"/>
    <cellStyle name="Normal 3 2 2 2 2 2 2 2 2 2 2 2 7 2 2 5 6" xfId="27354" xr:uid="{746109C9-EB0D-4488-9ACD-00A8D9130126}"/>
    <cellStyle name="Normal 3 2 2 2 2 2 2 2 2 2 2 2 7 2 2 6" xfId="27355" xr:uid="{0218E16D-9FE7-4E59-8608-9AFB796C7853}"/>
    <cellStyle name="Normal 3 2 2 2 2 2 2 2 2 2 2 2 7 2 2 7" xfId="27356" xr:uid="{919F4C1B-04F9-4736-B139-95DEDA276D26}"/>
    <cellStyle name="Normal 3 2 2 2 2 2 2 2 2 2 2 2 7 2 2 8" xfId="27357" xr:uid="{9D2D4CD8-E309-4115-8EC8-E04274F2D08B}"/>
    <cellStyle name="Normal 3 2 2 2 2 2 2 2 2 2 2 2 7 2 2 9" xfId="27358" xr:uid="{33A542EB-89D8-4975-BC5D-2CD0836DE77B}"/>
    <cellStyle name="Normal 3 2 2 2 2 2 2 2 2 2 2 2 7 2 3" xfId="27359" xr:uid="{D22D01A3-7E63-4C2F-BDB4-5652A565DE89}"/>
    <cellStyle name="Normal 3 2 2 2 2 2 2 2 2 2 2 2 7 2 4" xfId="27360" xr:uid="{4A07F695-46E2-4275-80C9-40A8418D19BE}"/>
    <cellStyle name="Normal 3 2 2 2 2 2 2 2 2 2 2 2 7 2 5" xfId="27361" xr:uid="{A01C2396-29B0-4572-9DBB-FDA5D48EE090}"/>
    <cellStyle name="Normal 3 2 2 2 2 2 2 2 2 2 2 2 7 2 5 10" xfId="27362" xr:uid="{1B76D061-2A5F-4C7E-A57D-88855CC8B278}"/>
    <cellStyle name="Normal 3 2 2 2 2 2 2 2 2 2 2 2 7 2 5 11" xfId="27363" xr:uid="{57B76E35-01FA-4FDF-A7FB-E17521BBB8FA}"/>
    <cellStyle name="Normal 3 2 2 2 2 2 2 2 2 2 2 2 7 2 5 2" xfId="27364" xr:uid="{E10D80B2-DED9-479B-A4AA-6E52E0B89482}"/>
    <cellStyle name="Normal 3 2 2 2 2 2 2 2 2 2 2 2 7 2 5 2 10" xfId="27365" xr:uid="{BC63B288-E28E-4737-88BB-A1694343AA5C}"/>
    <cellStyle name="Normal 3 2 2 2 2 2 2 2 2 2 2 2 7 2 5 2 11" xfId="27366" xr:uid="{B8A2B3A8-18C1-4C2D-9EA2-3574113961D2}"/>
    <cellStyle name="Normal 3 2 2 2 2 2 2 2 2 2 2 2 7 2 5 2 2" xfId="27367" xr:uid="{1429CC8B-4E09-40A0-9B36-DC56CD8BF818}"/>
    <cellStyle name="Normal 3 2 2 2 2 2 2 2 2 2 2 2 7 2 5 2 2 2" xfId="27368" xr:uid="{72B92029-5875-4B2B-8720-EACB1E3A63C9}"/>
    <cellStyle name="Normal 3 2 2 2 2 2 2 2 2 2 2 2 7 2 5 2 2 2 2" xfId="27369" xr:uid="{79D02586-0E76-46F6-96CC-7F5ABC95242C}"/>
    <cellStyle name="Normal 3 2 2 2 2 2 2 2 2 2 2 2 7 2 5 2 2 2 3" xfId="27370" xr:uid="{28EF4659-DE30-481F-87A5-CDDB60510AB9}"/>
    <cellStyle name="Normal 3 2 2 2 2 2 2 2 2 2 2 2 7 2 5 2 2 2 4" xfId="27371" xr:uid="{15E7ECA9-F02D-45D9-A928-881D3D378C84}"/>
    <cellStyle name="Normal 3 2 2 2 2 2 2 2 2 2 2 2 7 2 5 2 2 3" xfId="27372" xr:uid="{0A1275E2-7BAA-4852-B3DA-F8A948936BDB}"/>
    <cellStyle name="Normal 3 2 2 2 2 2 2 2 2 2 2 2 7 2 5 2 2 4" xfId="27373" xr:uid="{8F65FF34-0586-45E3-909E-3680E2562817}"/>
    <cellStyle name="Normal 3 2 2 2 2 2 2 2 2 2 2 2 7 2 5 2 2 5" xfId="27374" xr:uid="{95A479D0-5CD9-4296-9281-143BC5BA5AF8}"/>
    <cellStyle name="Normal 3 2 2 2 2 2 2 2 2 2 2 2 7 2 5 2 2 6" xfId="27375" xr:uid="{0DDD8C8B-5D4F-4FAA-8E7D-49DEDFFF6AC7}"/>
    <cellStyle name="Normal 3 2 2 2 2 2 2 2 2 2 2 2 7 2 5 2 3" xfId="27376" xr:uid="{0DB4D230-53AE-4AEB-B945-4847D6E9B87D}"/>
    <cellStyle name="Normal 3 2 2 2 2 2 2 2 2 2 2 2 7 2 5 2 4" xfId="27377" xr:uid="{787B0DC9-A0CB-4CF4-A06F-D1CAA11ABA8A}"/>
    <cellStyle name="Normal 3 2 2 2 2 2 2 2 2 2 2 2 7 2 5 2 5" xfId="27378" xr:uid="{9C6E3049-4133-4CFC-A87E-4EE3DB2DF1D4}"/>
    <cellStyle name="Normal 3 2 2 2 2 2 2 2 2 2 2 2 7 2 5 2 6" xfId="27379" xr:uid="{2F776EF7-5F5F-49F8-9FF1-87B59168EE43}"/>
    <cellStyle name="Normal 3 2 2 2 2 2 2 2 2 2 2 2 7 2 5 2 7" xfId="27380" xr:uid="{73B71459-792F-46C6-9EE2-4E23C713A4A1}"/>
    <cellStyle name="Normal 3 2 2 2 2 2 2 2 2 2 2 2 7 2 5 2 8" xfId="27381" xr:uid="{CE54015F-E5B2-439D-B190-1A381DDFEF5D}"/>
    <cellStyle name="Normal 3 2 2 2 2 2 2 2 2 2 2 2 7 2 5 2 8 2" xfId="27382" xr:uid="{241235CB-BF12-4D9C-8AB2-EF7E75C037EA}"/>
    <cellStyle name="Normal 3 2 2 2 2 2 2 2 2 2 2 2 7 2 5 2 8 3" xfId="27383" xr:uid="{85A2608E-7CAA-4EF2-9D65-0CD33EDD4AEA}"/>
    <cellStyle name="Normal 3 2 2 2 2 2 2 2 2 2 2 2 7 2 5 2 8 4" xfId="27384" xr:uid="{6237F68F-7134-4A0E-9C25-E5F6F1166901}"/>
    <cellStyle name="Normal 3 2 2 2 2 2 2 2 2 2 2 2 7 2 5 2 9" xfId="27385" xr:uid="{86F4E365-631B-47C2-9392-D4A00936B106}"/>
    <cellStyle name="Normal 3 2 2 2 2 2 2 2 2 2 2 2 7 2 5 3" xfId="27386" xr:uid="{76C98003-FF28-4517-8624-3BB7DEDFCE7C}"/>
    <cellStyle name="Normal 3 2 2 2 2 2 2 2 2 2 2 2 7 2 5 3 2" xfId="27387" xr:uid="{1EDA9FF9-AC72-4605-8E92-3D67DD45A053}"/>
    <cellStyle name="Normal 3 2 2 2 2 2 2 2 2 2 2 2 7 2 5 3 2 2" xfId="27388" xr:uid="{AEA28753-03C3-4625-90D4-413DCF61B58F}"/>
    <cellStyle name="Normal 3 2 2 2 2 2 2 2 2 2 2 2 7 2 5 3 2 3" xfId="27389" xr:uid="{68694FD7-579B-42F2-9A53-2791460AD429}"/>
    <cellStyle name="Normal 3 2 2 2 2 2 2 2 2 2 2 2 7 2 5 3 2 4" xfId="27390" xr:uid="{5DE05714-D347-422A-B803-BE44717B0B20}"/>
    <cellStyle name="Normal 3 2 2 2 2 2 2 2 2 2 2 2 7 2 5 3 3" xfId="27391" xr:uid="{22104474-8D6B-4AAA-92BC-23E48BFAE4D0}"/>
    <cellStyle name="Normal 3 2 2 2 2 2 2 2 2 2 2 2 7 2 5 3 4" xfId="27392" xr:uid="{C998BF05-A7C5-4CE2-AD7C-0674DDB346DA}"/>
    <cellStyle name="Normal 3 2 2 2 2 2 2 2 2 2 2 2 7 2 5 3 5" xfId="27393" xr:uid="{8EF3D7C6-02A3-450A-8362-2EF67A26654D}"/>
    <cellStyle name="Normal 3 2 2 2 2 2 2 2 2 2 2 2 7 2 5 3 6" xfId="27394" xr:uid="{7FA7476D-2BE2-4499-BD78-2863980F53B6}"/>
    <cellStyle name="Normal 3 2 2 2 2 2 2 2 2 2 2 2 7 2 5 4" xfId="27395" xr:uid="{8734DEC8-AC2C-4BEB-8D73-B2D32B186CFE}"/>
    <cellStyle name="Normal 3 2 2 2 2 2 2 2 2 2 2 2 7 2 5 5" xfId="27396" xr:uid="{500EA720-6176-47CE-931B-339C7CA35FBC}"/>
    <cellStyle name="Normal 3 2 2 2 2 2 2 2 2 2 2 2 7 2 5 6" xfId="27397" xr:uid="{907F9C14-8B6E-4BC3-B470-E5D66EB5581C}"/>
    <cellStyle name="Normal 3 2 2 2 2 2 2 2 2 2 2 2 7 2 5 7" xfId="27398" xr:uid="{533E68A3-62AD-4408-ABB3-C0A740B617A6}"/>
    <cellStyle name="Normal 3 2 2 2 2 2 2 2 2 2 2 2 7 2 5 8" xfId="27399" xr:uid="{40CE067B-6ECA-4B16-96CB-CCB390A83943}"/>
    <cellStyle name="Normal 3 2 2 2 2 2 2 2 2 2 2 2 7 2 5 8 2" xfId="27400" xr:uid="{15E72266-F17E-4C5E-8243-70CEA02BC885}"/>
    <cellStyle name="Normal 3 2 2 2 2 2 2 2 2 2 2 2 7 2 5 8 3" xfId="27401" xr:uid="{CEAF7002-DB50-45EE-B6FF-EF9E12AD0372}"/>
    <cellStyle name="Normal 3 2 2 2 2 2 2 2 2 2 2 2 7 2 5 8 4" xfId="27402" xr:uid="{F97EF8A6-4F87-4DB5-BF7D-5484DA763421}"/>
    <cellStyle name="Normal 3 2 2 2 2 2 2 2 2 2 2 2 7 2 5 9" xfId="27403" xr:uid="{3B7B84D9-B58A-4CE7-B8DF-DB3B0958DD6E}"/>
    <cellStyle name="Normal 3 2 2 2 2 2 2 2 2 2 2 2 7 2 6" xfId="27404" xr:uid="{21A14279-E56D-41DC-8B0F-FFB780AFBFE4}"/>
    <cellStyle name="Normal 3 2 2 2 2 2 2 2 2 2 2 2 7 2 7" xfId="27405" xr:uid="{CE7F9952-10CB-4B44-8F77-5C9C3D908A2F}"/>
    <cellStyle name="Normal 3 2 2 2 2 2 2 2 2 2 2 2 7 2 7 2" xfId="27406" xr:uid="{2192D0B2-B8DE-48BB-80C0-109E5A67B23E}"/>
    <cellStyle name="Normal 3 2 2 2 2 2 2 2 2 2 2 2 7 2 7 2 2" xfId="27407" xr:uid="{10FC8428-B122-4CB4-B3D1-D801A926A3A5}"/>
    <cellStyle name="Normal 3 2 2 2 2 2 2 2 2 2 2 2 7 2 7 2 3" xfId="27408" xr:uid="{177B778C-3744-43B8-80ED-A4FB2FCA6C19}"/>
    <cellStyle name="Normal 3 2 2 2 2 2 2 2 2 2 2 2 7 2 7 2 4" xfId="27409" xr:uid="{118E3B3C-8B69-4A2E-9C32-9EC9C50D4AE1}"/>
    <cellStyle name="Normal 3 2 2 2 2 2 2 2 2 2 2 2 7 2 7 3" xfId="27410" xr:uid="{7D7C20A3-ABA4-4945-94B2-0FC4079D9FEA}"/>
    <cellStyle name="Normal 3 2 2 2 2 2 2 2 2 2 2 2 7 2 7 4" xfId="27411" xr:uid="{6BB5283D-9301-486A-8A3A-9B0FFC0A3A8B}"/>
    <cellStyle name="Normal 3 2 2 2 2 2 2 2 2 2 2 2 7 2 7 5" xfId="27412" xr:uid="{A973B2C7-23DC-41D6-A511-D506FE471E93}"/>
    <cellStyle name="Normal 3 2 2 2 2 2 2 2 2 2 2 2 7 2 7 6" xfId="27413" xr:uid="{7E6BE5C9-815C-4016-A7FB-48153A987A52}"/>
    <cellStyle name="Normal 3 2 2 2 2 2 2 2 2 2 2 2 7 2 8" xfId="27414" xr:uid="{A660C59E-CC84-4BC1-B540-CE7F1BB2EFAA}"/>
    <cellStyle name="Normal 3 2 2 2 2 2 2 2 2 2 2 2 7 2 9" xfId="27415" xr:uid="{787A28DD-9BA7-4136-81C9-C66D858C572A}"/>
    <cellStyle name="Normal 3 2 2 2 2 2 2 2 2 2 2 2 7 20" xfId="27416" xr:uid="{4211D7B2-5EC3-464B-A721-27D1284A8F6D}"/>
    <cellStyle name="Normal 3 2 2 2 2 2 2 2 2 2 2 2 7 21" xfId="27417" xr:uid="{208C86CB-115D-4013-84E3-4CB810DE30CF}"/>
    <cellStyle name="Normal 3 2 2 2 2 2 2 2 2 2 2 2 7 21 2" xfId="27418" xr:uid="{4BE09E67-AE8C-4AF0-8229-2FDC418859C5}"/>
    <cellStyle name="Normal 3 2 2 2 2 2 2 2 2 2 2 2 7 21 3" xfId="27419" xr:uid="{ED55D717-C81D-4248-B9E4-F667A285D227}"/>
    <cellStyle name="Normal 3 2 2 2 2 2 2 2 2 2 2 2 7 21 4" xfId="27420" xr:uid="{7C81411B-3814-4805-9AE9-FDB1975D89F4}"/>
    <cellStyle name="Normal 3 2 2 2 2 2 2 2 2 2 2 2 7 22" xfId="27421" xr:uid="{8C6A4925-76F8-4A78-A160-D5DFF09BCB9D}"/>
    <cellStyle name="Normal 3 2 2 2 2 2 2 2 2 2 2 2 7 23" xfId="27422" xr:uid="{C6B01034-C401-4940-BC1A-34D83080FF1F}"/>
    <cellStyle name="Normal 3 2 2 2 2 2 2 2 2 2 2 2 7 24" xfId="27423" xr:uid="{289B64D1-220A-4E00-A8E6-7AC6FF57B87B}"/>
    <cellStyle name="Normal 3 2 2 2 2 2 2 2 2 2 2 2 7 3" xfId="27424" xr:uid="{6A6CEF9B-8CAB-4E88-9646-C9634F77B156}"/>
    <cellStyle name="Normal 3 2 2 2 2 2 2 2 2 2 2 2 7 4" xfId="27425" xr:uid="{A312016E-4726-4C4B-A843-D137F1C3DF1D}"/>
    <cellStyle name="Normal 3 2 2 2 2 2 2 2 2 2 2 2 7 5" xfId="27426" xr:uid="{D57A821C-6871-4364-9243-FEB8CE21DBFC}"/>
    <cellStyle name="Normal 3 2 2 2 2 2 2 2 2 2 2 2 7 6" xfId="27427" xr:uid="{16D509B1-3251-4E72-A493-AAAB0FC3C785}"/>
    <cellStyle name="Normal 3 2 2 2 2 2 2 2 2 2 2 2 7 7" xfId="27428" xr:uid="{83730A7A-06C6-4175-8C48-11E8CF77E6D6}"/>
    <cellStyle name="Normal 3 2 2 2 2 2 2 2 2 2 2 2 7 8" xfId="27429" xr:uid="{C4393707-D619-441D-818E-B468CB2A648A}"/>
    <cellStyle name="Normal 3 2 2 2 2 2 2 2 2 2 2 2 7 9" xfId="27430" xr:uid="{74F495C3-CA9F-4447-A1EC-C402B1B912AE}"/>
    <cellStyle name="Normal 3 2 2 2 2 2 2 2 2 2 2 2 70" xfId="27431" xr:uid="{91B11AD6-315F-4010-9006-7155D7401D0F}"/>
    <cellStyle name="Normal 3 2 2 2 2 2 2 2 2 2 2 2 71" xfId="27432" xr:uid="{D8B8A75A-81C9-4ABD-B58A-17E4DE13A483}"/>
    <cellStyle name="Normal 3 2 2 2 2 2 2 2 2 2 2 2 72" xfId="27433" xr:uid="{002154F6-34A9-4A02-BC57-96D4920B184B}"/>
    <cellStyle name="Normal 3 2 2 2 2 2 2 2 2 2 2 2 73" xfId="27434" xr:uid="{962FFA81-788B-412D-8555-92633EF3015F}"/>
    <cellStyle name="Normal 3 2 2 2 2 2 2 2 2 2 2 2 73 2" xfId="27435" xr:uid="{37DFB9C1-AAE4-4715-9AA0-CA53E5BB4258}"/>
    <cellStyle name="Normal 3 2 2 2 2 2 2 2 2 2 2 2 73 3" xfId="27436" xr:uid="{1441E57E-2FDB-472A-A224-2534D590918B}"/>
    <cellStyle name="Normal 3 2 2 2 2 2 2 2 2 2 2 2 73 4" xfId="27437" xr:uid="{75A5F5E4-5870-4678-A1DE-08DF3A2316AB}"/>
    <cellStyle name="Normal 3 2 2 2 2 2 2 2 2 2 2 2 74" xfId="27438" xr:uid="{5C9CB490-A909-4ABE-8604-3D6E9006EAF7}"/>
    <cellStyle name="Normal 3 2 2 2 2 2 2 2 2 2 2 2 75" xfId="27439" xr:uid="{E8404350-2D80-4558-A52C-649257CE7CEE}"/>
    <cellStyle name="Normal 3 2 2 2 2 2 2 2 2 2 2 2 8" xfId="27440" xr:uid="{211D932F-3488-4995-B060-FA36E86648DF}"/>
    <cellStyle name="Normal 3 2 2 2 2 2 2 2 2 2 2 2 8 10" xfId="27441" xr:uid="{8ECFF67B-670A-45DB-A9F7-9FDEF03F60B3}"/>
    <cellStyle name="Normal 3 2 2 2 2 2 2 2 2 2 2 2 8 11" xfId="27442" xr:uid="{EFCEFF16-56AF-4DA2-8BC9-163A47A90E39}"/>
    <cellStyle name="Normal 3 2 2 2 2 2 2 2 2 2 2 2 8 12" xfId="27443" xr:uid="{130AE03B-619A-4C02-B773-3B019BC95CB9}"/>
    <cellStyle name="Normal 3 2 2 2 2 2 2 2 2 2 2 2 8 13" xfId="27444" xr:uid="{A78F8B9C-E770-4323-BE36-9A6EDE8DD4A9}"/>
    <cellStyle name="Normal 3 2 2 2 2 2 2 2 2 2 2 2 8 13 2" xfId="27445" xr:uid="{C767448F-B73A-4412-8772-7EDEAC03ECD2}"/>
    <cellStyle name="Normal 3 2 2 2 2 2 2 2 2 2 2 2 8 13 3" xfId="27446" xr:uid="{F74C617F-525A-443A-A367-7E25B1E3DEEB}"/>
    <cellStyle name="Normal 3 2 2 2 2 2 2 2 2 2 2 2 8 13 4" xfId="27447" xr:uid="{4B608C92-B8C1-49DE-B529-4B96AC26A15A}"/>
    <cellStyle name="Normal 3 2 2 2 2 2 2 2 2 2 2 2 8 14" xfId="27448" xr:uid="{9EB9B01E-7723-4F31-A0BA-425748FBEA0E}"/>
    <cellStyle name="Normal 3 2 2 2 2 2 2 2 2 2 2 2 8 15" xfId="27449" xr:uid="{7CB63BFB-8590-4171-B9B8-9FD6AF11C1C5}"/>
    <cellStyle name="Normal 3 2 2 2 2 2 2 2 2 2 2 2 8 16" xfId="27450" xr:uid="{5276FE26-0585-4ADD-AFA0-E432A5798935}"/>
    <cellStyle name="Normal 3 2 2 2 2 2 2 2 2 2 2 2 8 2" xfId="27451" xr:uid="{388AEE5A-BEAC-4494-A10F-364D4C606DC5}"/>
    <cellStyle name="Normal 3 2 2 2 2 2 2 2 2 2 2 2 8 2 10" xfId="27452" xr:uid="{40B2B214-91D1-4551-9780-863469AAD736}"/>
    <cellStyle name="Normal 3 2 2 2 2 2 2 2 2 2 2 2 8 2 11" xfId="27453" xr:uid="{6F9B1CCC-A190-4B43-93CF-487C740A30C1}"/>
    <cellStyle name="Normal 3 2 2 2 2 2 2 2 2 2 2 2 8 2 11 2" xfId="27454" xr:uid="{E83FF99B-9638-4E29-AA4E-C3914F5B3250}"/>
    <cellStyle name="Normal 3 2 2 2 2 2 2 2 2 2 2 2 8 2 11 3" xfId="27455" xr:uid="{8FAADE0E-0530-4DE1-8632-6737411103C0}"/>
    <cellStyle name="Normal 3 2 2 2 2 2 2 2 2 2 2 2 8 2 11 4" xfId="27456" xr:uid="{8649E6B4-96A2-4A1A-951B-2F5F0E6464C6}"/>
    <cellStyle name="Normal 3 2 2 2 2 2 2 2 2 2 2 2 8 2 12" xfId="27457" xr:uid="{C9E64EC0-046F-446F-8B80-348669A82B38}"/>
    <cellStyle name="Normal 3 2 2 2 2 2 2 2 2 2 2 2 8 2 13" xfId="27458" xr:uid="{29304DF8-54EC-478E-84A1-CDCEDAA5E057}"/>
    <cellStyle name="Normal 3 2 2 2 2 2 2 2 2 2 2 2 8 2 14" xfId="27459" xr:uid="{9E84ACFA-69EE-46A5-8606-60948C30BBCF}"/>
    <cellStyle name="Normal 3 2 2 2 2 2 2 2 2 2 2 2 8 2 2" xfId="27460" xr:uid="{010BD49D-B815-420B-AAC9-5142CEFB578A}"/>
    <cellStyle name="Normal 3 2 2 2 2 2 2 2 2 2 2 2 8 2 2 10" xfId="27461" xr:uid="{7857151D-8CCE-4CC5-965F-5B25ADCAEDB8}"/>
    <cellStyle name="Normal 3 2 2 2 2 2 2 2 2 2 2 2 8 2 2 11" xfId="27462" xr:uid="{48B443E5-B5F5-4937-92E1-900C105123A6}"/>
    <cellStyle name="Normal 3 2 2 2 2 2 2 2 2 2 2 2 8 2 2 2" xfId="27463" xr:uid="{EB86325A-1294-4B2A-AB45-79D2113D5BAB}"/>
    <cellStyle name="Normal 3 2 2 2 2 2 2 2 2 2 2 2 8 2 2 2 10" xfId="27464" xr:uid="{A537FD9E-E238-4362-BD3A-B76B341FB1DF}"/>
    <cellStyle name="Normal 3 2 2 2 2 2 2 2 2 2 2 2 8 2 2 2 11" xfId="27465" xr:uid="{AA181219-99B5-46D9-966A-5F4BB01F3CD9}"/>
    <cellStyle name="Normal 3 2 2 2 2 2 2 2 2 2 2 2 8 2 2 2 2" xfId="27466" xr:uid="{DD65067E-BD53-4D5F-9481-AD31F5A301BC}"/>
    <cellStyle name="Normal 3 2 2 2 2 2 2 2 2 2 2 2 8 2 2 2 2 2" xfId="27467" xr:uid="{68E5A304-9BC1-4BB5-A2FA-42948286D5A0}"/>
    <cellStyle name="Normal 3 2 2 2 2 2 2 2 2 2 2 2 8 2 2 2 2 2 2" xfId="27468" xr:uid="{064E6327-055B-4BBB-AF16-7FD21F985B7F}"/>
    <cellStyle name="Normal 3 2 2 2 2 2 2 2 2 2 2 2 8 2 2 2 2 2 3" xfId="27469" xr:uid="{587964A2-E275-4DE4-ABEE-1FC9746E30F1}"/>
    <cellStyle name="Normal 3 2 2 2 2 2 2 2 2 2 2 2 8 2 2 2 2 2 4" xfId="27470" xr:uid="{61BB8C5B-FAA0-43F2-A477-3E75241D9523}"/>
    <cellStyle name="Normal 3 2 2 2 2 2 2 2 2 2 2 2 8 2 2 2 2 3" xfId="27471" xr:uid="{DFF14326-F569-4940-B813-218EC00F0DC3}"/>
    <cellStyle name="Normal 3 2 2 2 2 2 2 2 2 2 2 2 8 2 2 2 2 4" xfId="27472" xr:uid="{3175B085-76A1-49BF-9F2C-23BD42E9E7DE}"/>
    <cellStyle name="Normal 3 2 2 2 2 2 2 2 2 2 2 2 8 2 2 2 2 5" xfId="27473" xr:uid="{E20EB91B-D471-4E3E-AA7E-FD13F191ED0B}"/>
    <cellStyle name="Normal 3 2 2 2 2 2 2 2 2 2 2 2 8 2 2 2 2 6" xfId="27474" xr:uid="{00955EEF-8527-4B24-980E-A5C56CA05DB6}"/>
    <cellStyle name="Normal 3 2 2 2 2 2 2 2 2 2 2 2 8 2 2 2 3" xfId="27475" xr:uid="{72FB286C-03AD-43A7-A8A5-4C9B2A91AF86}"/>
    <cellStyle name="Normal 3 2 2 2 2 2 2 2 2 2 2 2 8 2 2 2 4" xfId="27476" xr:uid="{9225486D-5D4B-45CA-BF74-AF6933A9459B}"/>
    <cellStyle name="Normal 3 2 2 2 2 2 2 2 2 2 2 2 8 2 2 2 5" xfId="27477" xr:uid="{3074E3A5-D28E-47B9-B34E-A09D502E58D4}"/>
    <cellStyle name="Normal 3 2 2 2 2 2 2 2 2 2 2 2 8 2 2 2 6" xfId="27478" xr:uid="{34B41D21-D136-4FE5-9DB8-A16BE8A78A6F}"/>
    <cellStyle name="Normal 3 2 2 2 2 2 2 2 2 2 2 2 8 2 2 2 7" xfId="27479" xr:uid="{C99F9D10-4396-4A73-A3DB-C86A61C3B3C3}"/>
    <cellStyle name="Normal 3 2 2 2 2 2 2 2 2 2 2 2 8 2 2 2 8" xfId="27480" xr:uid="{B8C7A27E-C977-4933-8F88-D2C332974D60}"/>
    <cellStyle name="Normal 3 2 2 2 2 2 2 2 2 2 2 2 8 2 2 2 8 2" xfId="27481" xr:uid="{B8BF391D-8DBF-4F54-BC25-18B444CB1FE6}"/>
    <cellStyle name="Normal 3 2 2 2 2 2 2 2 2 2 2 2 8 2 2 2 8 3" xfId="27482" xr:uid="{275C40F5-4BDA-4EFD-AF28-762FAE5E5E1C}"/>
    <cellStyle name="Normal 3 2 2 2 2 2 2 2 2 2 2 2 8 2 2 2 8 4" xfId="27483" xr:uid="{F2BD936F-D1FE-4B08-A1F3-01C3306E882E}"/>
    <cellStyle name="Normal 3 2 2 2 2 2 2 2 2 2 2 2 8 2 2 2 9" xfId="27484" xr:uid="{0967F40E-EDC8-40F0-877A-C9C01947A26E}"/>
    <cellStyle name="Normal 3 2 2 2 2 2 2 2 2 2 2 2 8 2 2 3" xfId="27485" xr:uid="{52D42766-2648-4BC8-9B55-148CE3D12818}"/>
    <cellStyle name="Normal 3 2 2 2 2 2 2 2 2 2 2 2 8 2 2 3 2" xfId="27486" xr:uid="{E77F4102-130E-4EC4-B1BE-37E29F7F8B74}"/>
    <cellStyle name="Normal 3 2 2 2 2 2 2 2 2 2 2 2 8 2 2 3 2 2" xfId="27487" xr:uid="{77CF5F81-33AB-4ECF-8321-240B052253EE}"/>
    <cellStyle name="Normal 3 2 2 2 2 2 2 2 2 2 2 2 8 2 2 3 2 3" xfId="27488" xr:uid="{69956CBE-F9D0-4727-ACB4-AAED3C60C4D3}"/>
    <cellStyle name="Normal 3 2 2 2 2 2 2 2 2 2 2 2 8 2 2 3 2 4" xfId="27489" xr:uid="{A310C7FE-32FF-4FA6-A52A-7FDB37492C6D}"/>
    <cellStyle name="Normal 3 2 2 2 2 2 2 2 2 2 2 2 8 2 2 3 3" xfId="27490" xr:uid="{49D24F1F-CA1C-45F7-B6F7-1B90B69AD0A0}"/>
    <cellStyle name="Normal 3 2 2 2 2 2 2 2 2 2 2 2 8 2 2 3 4" xfId="27491" xr:uid="{CD3B99F8-5555-4EF4-94E6-57868A451862}"/>
    <cellStyle name="Normal 3 2 2 2 2 2 2 2 2 2 2 2 8 2 2 3 5" xfId="27492" xr:uid="{CC88933F-AA03-4C84-BC80-5E50C68A4292}"/>
    <cellStyle name="Normal 3 2 2 2 2 2 2 2 2 2 2 2 8 2 2 3 6" xfId="27493" xr:uid="{0275F640-3CC0-4C8B-9C82-ABA25BF4E12F}"/>
    <cellStyle name="Normal 3 2 2 2 2 2 2 2 2 2 2 2 8 2 2 4" xfId="27494" xr:uid="{822D7989-C8C7-4ACF-BD51-C4896906CA90}"/>
    <cellStyle name="Normal 3 2 2 2 2 2 2 2 2 2 2 2 8 2 2 5" xfId="27495" xr:uid="{742AE558-D7B3-4A9B-A911-87A17F47E0C6}"/>
    <cellStyle name="Normal 3 2 2 2 2 2 2 2 2 2 2 2 8 2 2 6" xfId="27496" xr:uid="{1CB6C271-F348-4FF8-A2E4-06850155FDC0}"/>
    <cellStyle name="Normal 3 2 2 2 2 2 2 2 2 2 2 2 8 2 2 7" xfId="27497" xr:uid="{D7C06B34-66EB-476C-B922-842E2E0C20C7}"/>
    <cellStyle name="Normal 3 2 2 2 2 2 2 2 2 2 2 2 8 2 2 8" xfId="27498" xr:uid="{26EC20D1-7375-42C2-97F2-F8A83510B3E4}"/>
    <cellStyle name="Normal 3 2 2 2 2 2 2 2 2 2 2 2 8 2 2 8 2" xfId="27499" xr:uid="{D72A859B-4287-45A3-BBDF-D3C70B869E14}"/>
    <cellStyle name="Normal 3 2 2 2 2 2 2 2 2 2 2 2 8 2 2 8 3" xfId="27500" xr:uid="{75CAE3BD-786E-4257-A43F-5431EF4DA7E8}"/>
    <cellStyle name="Normal 3 2 2 2 2 2 2 2 2 2 2 2 8 2 2 8 4" xfId="27501" xr:uid="{19737419-1382-422E-8390-87E900029DB5}"/>
    <cellStyle name="Normal 3 2 2 2 2 2 2 2 2 2 2 2 8 2 2 9" xfId="27502" xr:uid="{C0A79BD3-9734-4875-B44F-B0C046181499}"/>
    <cellStyle name="Normal 3 2 2 2 2 2 2 2 2 2 2 2 8 2 3" xfId="27503" xr:uid="{E44045DF-ED4A-4D79-9F6B-0B5D4381E30B}"/>
    <cellStyle name="Normal 3 2 2 2 2 2 2 2 2 2 2 2 8 2 4" xfId="27504" xr:uid="{EFF0F3EE-080D-44A6-9BD6-08BFD6E0E7D1}"/>
    <cellStyle name="Normal 3 2 2 2 2 2 2 2 2 2 2 2 8 2 5" xfId="27505" xr:uid="{D16E0C66-9E58-41B6-B3BC-50232BCE67FB}"/>
    <cellStyle name="Normal 3 2 2 2 2 2 2 2 2 2 2 2 8 2 5 2" xfId="27506" xr:uid="{EE9B2CE8-E507-4369-A51F-9BAD9ABBA5FB}"/>
    <cellStyle name="Normal 3 2 2 2 2 2 2 2 2 2 2 2 8 2 5 2 2" xfId="27507" xr:uid="{D44285B8-E4C2-401C-8572-CC7A12E3F720}"/>
    <cellStyle name="Normal 3 2 2 2 2 2 2 2 2 2 2 2 8 2 5 2 3" xfId="27508" xr:uid="{E408C5E2-67B6-48EC-8ED6-635E89C43CC7}"/>
    <cellStyle name="Normal 3 2 2 2 2 2 2 2 2 2 2 2 8 2 5 2 4" xfId="27509" xr:uid="{4E3D1DD6-4624-4A78-8FAF-E48A64A88B57}"/>
    <cellStyle name="Normal 3 2 2 2 2 2 2 2 2 2 2 2 8 2 5 3" xfId="27510" xr:uid="{800AFD43-D900-4C47-A1F3-944F729DB2D3}"/>
    <cellStyle name="Normal 3 2 2 2 2 2 2 2 2 2 2 2 8 2 5 4" xfId="27511" xr:uid="{22C76E79-C467-4FF7-9D70-1052F412CFB7}"/>
    <cellStyle name="Normal 3 2 2 2 2 2 2 2 2 2 2 2 8 2 5 5" xfId="27512" xr:uid="{4262F5DC-45F9-42FC-A1D0-4834DF4E9012}"/>
    <cellStyle name="Normal 3 2 2 2 2 2 2 2 2 2 2 2 8 2 5 6" xfId="27513" xr:uid="{A1D39225-7F0D-4C35-AEDD-75D8393598DF}"/>
    <cellStyle name="Normal 3 2 2 2 2 2 2 2 2 2 2 2 8 2 6" xfId="27514" xr:uid="{99396D39-6F97-46EE-B5D6-E5466B2FF7AE}"/>
    <cellStyle name="Normal 3 2 2 2 2 2 2 2 2 2 2 2 8 2 7" xfId="27515" xr:uid="{55EFE85C-125B-4F72-8EDF-7C06024D0436}"/>
    <cellStyle name="Normal 3 2 2 2 2 2 2 2 2 2 2 2 8 2 8" xfId="27516" xr:uid="{0D060184-E368-4C40-ADB5-D7651DF6D814}"/>
    <cellStyle name="Normal 3 2 2 2 2 2 2 2 2 2 2 2 8 2 9" xfId="27517" xr:uid="{CF0D811B-A335-45CC-B06C-09EDA8F743BD}"/>
    <cellStyle name="Normal 3 2 2 2 2 2 2 2 2 2 2 2 8 3" xfId="27518" xr:uid="{4B7CE2D4-FDEB-47B7-A0C3-7D4FA48B4D51}"/>
    <cellStyle name="Normal 3 2 2 2 2 2 2 2 2 2 2 2 8 4" xfId="27519" xr:uid="{1E5715D6-739B-49E8-8FC0-7CD4E7709359}"/>
    <cellStyle name="Normal 3 2 2 2 2 2 2 2 2 2 2 2 8 5" xfId="27520" xr:uid="{437FB014-3070-4D83-90A9-9A77D9880C8B}"/>
    <cellStyle name="Normal 3 2 2 2 2 2 2 2 2 2 2 2 8 5 10" xfId="27521" xr:uid="{EC735A14-304C-441F-A53E-EE4A44C3DAA3}"/>
    <cellStyle name="Normal 3 2 2 2 2 2 2 2 2 2 2 2 8 5 11" xfId="27522" xr:uid="{A9954E49-6A0A-405C-8FB3-7F2C4A195037}"/>
    <cellStyle name="Normal 3 2 2 2 2 2 2 2 2 2 2 2 8 5 2" xfId="27523" xr:uid="{9D303EBA-ED7A-47F5-A605-55A257934273}"/>
    <cellStyle name="Normal 3 2 2 2 2 2 2 2 2 2 2 2 8 5 2 10" xfId="27524" xr:uid="{59E50BD7-8E18-4742-A667-C536183A0A24}"/>
    <cellStyle name="Normal 3 2 2 2 2 2 2 2 2 2 2 2 8 5 2 11" xfId="27525" xr:uid="{75F22391-8805-4026-9A33-0FF9B3980287}"/>
    <cellStyle name="Normal 3 2 2 2 2 2 2 2 2 2 2 2 8 5 2 2" xfId="27526" xr:uid="{84CF45CC-466C-4062-AAB7-F6750E012734}"/>
    <cellStyle name="Normal 3 2 2 2 2 2 2 2 2 2 2 2 8 5 2 2 2" xfId="27527" xr:uid="{BE74643E-4B51-4A09-BF8F-79618BA04DED}"/>
    <cellStyle name="Normal 3 2 2 2 2 2 2 2 2 2 2 2 8 5 2 2 2 2" xfId="27528" xr:uid="{065AEF11-2E80-432A-9D45-C85A0D1BBB64}"/>
    <cellStyle name="Normal 3 2 2 2 2 2 2 2 2 2 2 2 8 5 2 2 2 3" xfId="27529" xr:uid="{F8F7F58E-C5D1-4E4B-935C-A1AF1DE72BDD}"/>
    <cellStyle name="Normal 3 2 2 2 2 2 2 2 2 2 2 2 8 5 2 2 2 4" xfId="27530" xr:uid="{B3E9ED22-88C1-419B-90AB-0A834F26A8EA}"/>
    <cellStyle name="Normal 3 2 2 2 2 2 2 2 2 2 2 2 8 5 2 2 3" xfId="27531" xr:uid="{84BC3438-FE1A-40A7-A014-1DC54511E28D}"/>
    <cellStyle name="Normal 3 2 2 2 2 2 2 2 2 2 2 2 8 5 2 2 4" xfId="27532" xr:uid="{3348811A-4742-44E1-96F1-737C5BB76E08}"/>
    <cellStyle name="Normal 3 2 2 2 2 2 2 2 2 2 2 2 8 5 2 2 5" xfId="27533" xr:uid="{498A603D-3986-4FBD-87C2-0B2617DDE44D}"/>
    <cellStyle name="Normal 3 2 2 2 2 2 2 2 2 2 2 2 8 5 2 2 6" xfId="27534" xr:uid="{D3A36234-85F1-4CAB-9060-273E0C9E6948}"/>
    <cellStyle name="Normal 3 2 2 2 2 2 2 2 2 2 2 2 8 5 2 3" xfId="27535" xr:uid="{73CE3B8D-9EDC-4B18-A92C-B9F730C65AA3}"/>
    <cellStyle name="Normal 3 2 2 2 2 2 2 2 2 2 2 2 8 5 2 4" xfId="27536" xr:uid="{6029F2F6-8761-428E-BF82-2A60ACA34426}"/>
    <cellStyle name="Normal 3 2 2 2 2 2 2 2 2 2 2 2 8 5 2 5" xfId="27537" xr:uid="{B5C7E0DE-36FF-4C52-893F-34DCBD00EC6E}"/>
    <cellStyle name="Normal 3 2 2 2 2 2 2 2 2 2 2 2 8 5 2 6" xfId="27538" xr:uid="{07A3ACA0-5FC2-4849-88DD-3FB76C3E83E3}"/>
    <cellStyle name="Normal 3 2 2 2 2 2 2 2 2 2 2 2 8 5 2 7" xfId="27539" xr:uid="{DBB021B3-A795-42E9-8CC8-09E221733409}"/>
    <cellStyle name="Normal 3 2 2 2 2 2 2 2 2 2 2 2 8 5 2 8" xfId="27540" xr:uid="{20CE66C2-8C92-406F-B4D4-54FD93E3C426}"/>
    <cellStyle name="Normal 3 2 2 2 2 2 2 2 2 2 2 2 8 5 2 8 2" xfId="27541" xr:uid="{9FD49BA8-539B-4220-BF21-E0364C17FBAA}"/>
    <cellStyle name="Normal 3 2 2 2 2 2 2 2 2 2 2 2 8 5 2 8 3" xfId="27542" xr:uid="{593FFCF2-E557-4C43-A493-497954D78742}"/>
    <cellStyle name="Normal 3 2 2 2 2 2 2 2 2 2 2 2 8 5 2 8 4" xfId="27543" xr:uid="{A1A148DF-9539-4CFA-8392-D33A05125370}"/>
    <cellStyle name="Normal 3 2 2 2 2 2 2 2 2 2 2 2 8 5 2 9" xfId="27544" xr:uid="{CA151D99-507D-4848-9716-C46244409291}"/>
    <cellStyle name="Normal 3 2 2 2 2 2 2 2 2 2 2 2 8 5 3" xfId="27545" xr:uid="{AC1E9355-F403-41B9-B5D3-34669A67ABEA}"/>
    <cellStyle name="Normal 3 2 2 2 2 2 2 2 2 2 2 2 8 5 3 2" xfId="27546" xr:uid="{48F489C5-98C2-4138-A16D-A27C1468716A}"/>
    <cellStyle name="Normal 3 2 2 2 2 2 2 2 2 2 2 2 8 5 3 2 2" xfId="27547" xr:uid="{B9ADC8C6-F4E3-42C3-96FF-58E8F74C8A8D}"/>
    <cellStyle name="Normal 3 2 2 2 2 2 2 2 2 2 2 2 8 5 3 2 3" xfId="27548" xr:uid="{8A093713-7F49-4747-A6B1-EB47477AFC40}"/>
    <cellStyle name="Normal 3 2 2 2 2 2 2 2 2 2 2 2 8 5 3 2 4" xfId="27549" xr:uid="{A9FFCFCB-CD6D-47C1-A5D4-C7F9309A79B0}"/>
    <cellStyle name="Normal 3 2 2 2 2 2 2 2 2 2 2 2 8 5 3 3" xfId="27550" xr:uid="{3CE64CDB-0D3F-4BBC-9300-33775767D49D}"/>
    <cellStyle name="Normal 3 2 2 2 2 2 2 2 2 2 2 2 8 5 3 4" xfId="27551" xr:uid="{A886451D-7002-4B50-AE1B-79FEB72C6129}"/>
    <cellStyle name="Normal 3 2 2 2 2 2 2 2 2 2 2 2 8 5 3 5" xfId="27552" xr:uid="{EB067F07-1419-4A74-8D9E-EE3A437FC3E1}"/>
    <cellStyle name="Normal 3 2 2 2 2 2 2 2 2 2 2 2 8 5 3 6" xfId="27553" xr:uid="{295A2CB7-FD71-47E0-A94B-718543C888D5}"/>
    <cellStyle name="Normal 3 2 2 2 2 2 2 2 2 2 2 2 8 5 4" xfId="27554" xr:uid="{F6CC07FF-4861-4A15-895A-1A3348293936}"/>
    <cellStyle name="Normal 3 2 2 2 2 2 2 2 2 2 2 2 8 5 5" xfId="27555" xr:uid="{EB0416F1-B6BD-4949-AE62-B83BDFF886F3}"/>
    <cellStyle name="Normal 3 2 2 2 2 2 2 2 2 2 2 2 8 5 6" xfId="27556" xr:uid="{90DD1418-E882-4C66-887E-855172084412}"/>
    <cellStyle name="Normal 3 2 2 2 2 2 2 2 2 2 2 2 8 5 7" xfId="27557" xr:uid="{1F96A7CE-9625-4C4E-913C-005C68818AAB}"/>
    <cellStyle name="Normal 3 2 2 2 2 2 2 2 2 2 2 2 8 5 8" xfId="27558" xr:uid="{7B3F2F75-E171-4062-8B90-0B9D807A3060}"/>
    <cellStyle name="Normal 3 2 2 2 2 2 2 2 2 2 2 2 8 5 8 2" xfId="27559" xr:uid="{1003CCB5-16FF-4FB6-8BDD-77D0C0214CCA}"/>
    <cellStyle name="Normal 3 2 2 2 2 2 2 2 2 2 2 2 8 5 8 3" xfId="27560" xr:uid="{88F4BE40-382F-494A-894D-5874B55D640F}"/>
    <cellStyle name="Normal 3 2 2 2 2 2 2 2 2 2 2 2 8 5 8 4" xfId="27561" xr:uid="{BDFDC35D-8AB8-4A1E-8A9A-970968BC2C35}"/>
    <cellStyle name="Normal 3 2 2 2 2 2 2 2 2 2 2 2 8 5 9" xfId="27562" xr:uid="{5AE6B2E5-B0E5-4975-A1BD-6F774E84CE4A}"/>
    <cellStyle name="Normal 3 2 2 2 2 2 2 2 2 2 2 2 8 6" xfId="27563" xr:uid="{C6FADC47-A327-4411-8C27-616C964A54F0}"/>
    <cellStyle name="Normal 3 2 2 2 2 2 2 2 2 2 2 2 8 7" xfId="27564" xr:uid="{B7B28999-D00A-4DED-B4E8-F0B949FA5B2C}"/>
    <cellStyle name="Normal 3 2 2 2 2 2 2 2 2 2 2 2 8 7 2" xfId="27565" xr:uid="{AED4C5E7-14FE-4D97-9C17-704277E95365}"/>
    <cellStyle name="Normal 3 2 2 2 2 2 2 2 2 2 2 2 8 7 2 2" xfId="27566" xr:uid="{9258711F-86D8-4457-829E-83B65275E5F5}"/>
    <cellStyle name="Normal 3 2 2 2 2 2 2 2 2 2 2 2 8 7 2 3" xfId="27567" xr:uid="{20AD8EA8-964E-42B9-A7C0-465B15357B1E}"/>
    <cellStyle name="Normal 3 2 2 2 2 2 2 2 2 2 2 2 8 7 2 4" xfId="27568" xr:uid="{6ABC4BD5-C0D8-4F9D-B885-66042DBA012D}"/>
    <cellStyle name="Normal 3 2 2 2 2 2 2 2 2 2 2 2 8 7 3" xfId="27569" xr:uid="{8CF9469D-5E6C-451F-8B66-64DE79124F6E}"/>
    <cellStyle name="Normal 3 2 2 2 2 2 2 2 2 2 2 2 8 7 4" xfId="27570" xr:uid="{AD99CEDF-FEF2-4EF7-A421-4ABD65933426}"/>
    <cellStyle name="Normal 3 2 2 2 2 2 2 2 2 2 2 2 8 7 5" xfId="27571" xr:uid="{4316A5D3-A37F-4E1A-AFCB-E9A06ACE82F5}"/>
    <cellStyle name="Normal 3 2 2 2 2 2 2 2 2 2 2 2 8 7 6" xfId="27572" xr:uid="{5CB2372A-DE66-44B3-BB49-DCD1F4FC14EF}"/>
    <cellStyle name="Normal 3 2 2 2 2 2 2 2 2 2 2 2 8 8" xfId="27573" xr:uid="{2EEE0F58-7A00-4065-95FD-2F51C5F3A01A}"/>
    <cellStyle name="Normal 3 2 2 2 2 2 2 2 2 2 2 2 8 9" xfId="27574" xr:uid="{EE4583D4-06E0-4D14-AF93-E32F900D3E49}"/>
    <cellStyle name="Normal 3 2 2 2 2 2 2 2 2 2 2 2 9" xfId="27575" xr:uid="{B74B80E4-9803-4A1A-8B6D-48914DF49492}"/>
    <cellStyle name="Normal 3 2 2 2 2 2 2 2 2 2 2 20" xfId="27576" xr:uid="{0C79053A-00BB-4CB1-AEDC-A5DEAA57C90E}"/>
    <cellStyle name="Normal 3 2 2 2 2 2 2 2 2 2 2 20 2" xfId="27577" xr:uid="{3627C834-B8B6-4D21-B009-C71811FAFAD8}"/>
    <cellStyle name="Normal 3 2 2 2 2 2 2 2 2 2 2 20 2 2" xfId="27578" xr:uid="{8C666053-F5A1-4F65-A994-B35A63A0B392}"/>
    <cellStyle name="Normal 3 2 2 2 2 2 2 2 2 2 2 20 2 3" xfId="27579" xr:uid="{ED86CA8A-0768-45F8-BAE7-3CF29CDBE87B}"/>
    <cellStyle name="Normal 3 2 2 2 2 2 2 2 2 2 2 20 2 4" xfId="27580" xr:uid="{87D4D441-CEF3-4799-8018-6D28A55523EA}"/>
    <cellStyle name="Normal 3 2 2 2 2 2 2 2 2 2 2 20 3" xfId="27581" xr:uid="{3BB2C8E1-3909-48C7-A0F4-44D438065ACE}"/>
    <cellStyle name="Normal 3 2 2 2 2 2 2 2 2 2 2 20 4" xfId="27582" xr:uid="{760C483B-378B-42F3-A1AF-3F7735988D27}"/>
    <cellStyle name="Normal 3 2 2 2 2 2 2 2 2 2 2 20 5" xfId="27583" xr:uid="{6F0D3916-C2DC-463A-A56E-7D62E9A5AFAC}"/>
    <cellStyle name="Normal 3 2 2 2 2 2 2 2 2 2 2 20 6" xfId="27584" xr:uid="{D9A7FFF1-EEDD-4A3A-A316-4543B7D3A733}"/>
    <cellStyle name="Normal 3 2 2 2 2 2 2 2 2 2 2 21" xfId="27585" xr:uid="{1C16DB9C-0FB5-4848-A74C-DFEA8CC55DEA}"/>
    <cellStyle name="Normal 3 2 2 2 2 2 2 2 2 2 2 22" xfId="27586" xr:uid="{61915535-7F17-4572-8BBB-EC6A9FB27864}"/>
    <cellStyle name="Normal 3 2 2 2 2 2 2 2 2 2 2 23" xfId="27587" xr:uid="{9A76B6D4-EB3F-4DE7-A1B4-6283BF614244}"/>
    <cellStyle name="Normal 3 2 2 2 2 2 2 2 2 2 2 24" xfId="27588" xr:uid="{3B1E00A1-4DDD-4B62-B8E2-1AF10791BD1E}"/>
    <cellStyle name="Normal 3 2 2 2 2 2 2 2 2 2 2 25" xfId="27589" xr:uid="{2CB41825-51D8-452B-9033-FF67D24FF93E}"/>
    <cellStyle name="Normal 3 2 2 2 2 2 2 2 2 2 2 26" xfId="27590" xr:uid="{5125D6B7-0436-449D-BB2D-12C13CAADA5F}"/>
    <cellStyle name="Normal 3 2 2 2 2 2 2 2 2 2 2 26 2" xfId="27591" xr:uid="{152889E9-0E91-4A7B-A4FD-8B78B1E20617}"/>
    <cellStyle name="Normal 3 2 2 2 2 2 2 2 2 2 2 26 3" xfId="27592" xr:uid="{832A57C6-3210-492A-90FA-225DD667CBF0}"/>
    <cellStyle name="Normal 3 2 2 2 2 2 2 2 2 2 2 26 4" xfId="27593" xr:uid="{F5D7C523-9A6C-4296-8419-3ECCDEE8A46E}"/>
    <cellStyle name="Normal 3 2 2 2 2 2 2 2 2 2 2 27" xfId="27594" xr:uid="{3966F341-407C-4873-B56F-1FAA56B5EEB7}"/>
    <cellStyle name="Normal 3 2 2 2 2 2 2 2 2 2 2 28" xfId="27595" xr:uid="{8EC016C1-6AF5-43D0-9538-51F4B6405EB4}"/>
    <cellStyle name="Normal 3 2 2 2 2 2 2 2 2 2 2 29" xfId="27596" xr:uid="{18B7723E-7BA3-4239-B439-C9B3481F8136}"/>
    <cellStyle name="Normal 3 2 2 2 2 2 2 2 2 2 2 3" xfId="27597" xr:uid="{0AAD42CD-7FFB-4C19-95B8-31C5CBBA3D4F}"/>
    <cellStyle name="Normal 3 2 2 2 2 2 2 2 2 2 2 30" xfId="27598" xr:uid="{A5EED428-6721-4E3C-95CD-6A20EF067A21}"/>
    <cellStyle name="Normal 3 2 2 2 2 2 2 2 2 2 2 31" xfId="27599" xr:uid="{AFD1C002-FCFC-4DDC-A9CD-B3C1E4E21D2B}"/>
    <cellStyle name="Normal 3 2 2 2 2 2 2 2 2 2 2 32" xfId="27600" xr:uid="{37E0F4EF-1E80-41A8-8422-EE273FDADB24}"/>
    <cellStyle name="Normal 3 2 2 2 2 2 2 2 2 2 2 33" xfId="27601" xr:uid="{958DF51F-167D-4F52-A442-7480084DA331}"/>
    <cellStyle name="Normal 3 2 2 2 2 2 2 2 2 2 2 34" xfId="27602" xr:uid="{A43FD9C6-989E-4453-97BC-5A95558518F1}"/>
    <cellStyle name="Normal 3 2 2 2 2 2 2 2 2 2 2 35" xfId="27603" xr:uid="{3D79CA39-7F20-4632-A328-3CE664FFE393}"/>
    <cellStyle name="Normal 3 2 2 2 2 2 2 2 2 2 2 36" xfId="27604" xr:uid="{43B55A82-3771-4C82-9FB4-05C4734A5333}"/>
    <cellStyle name="Normal 3 2 2 2 2 2 2 2 2 2 2 37" xfId="27605" xr:uid="{E5A0064B-EBC1-478A-B3F3-BAF8467A9BEA}"/>
    <cellStyle name="Normal 3 2 2 2 2 2 2 2 2 2 2 38" xfId="27606" xr:uid="{E463BE9C-CDFD-4AFD-BD92-79A771B79319}"/>
    <cellStyle name="Normal 3 2 2 2 2 2 2 2 2 2 2 39" xfId="27607" xr:uid="{215C507B-9BD3-40D4-ABD6-D336F6FC545E}"/>
    <cellStyle name="Normal 3 2 2 2 2 2 2 2 2 2 2 4" xfId="27608" xr:uid="{83015AA1-C883-4A67-B697-31D445A3D99A}"/>
    <cellStyle name="Normal 3 2 2 2 2 2 2 2 2 2 2 40" xfId="27609" xr:uid="{C24A834B-0B9B-40EB-8A83-799D3C1F3F90}"/>
    <cellStyle name="Normal 3 2 2 2 2 2 2 2 2 2 2 41" xfId="27610" xr:uid="{30DB4C84-21A9-4BB2-8CE8-A1E8CA1C92AA}"/>
    <cellStyle name="Normal 3 2 2 2 2 2 2 2 2 2 2 41 2" xfId="27611" xr:uid="{C98258AC-F1EA-4D72-80CF-173351C0F87E}"/>
    <cellStyle name="Normal 3 2 2 2 2 2 2 2 2 2 2 41 3" xfId="27612" xr:uid="{E1D864E3-A231-40A9-B582-F9956AFF0481}"/>
    <cellStyle name="Normal 3 2 2 2 2 2 2 2 2 2 2 41 4" xfId="27613" xr:uid="{037BBC91-529F-425F-9DB2-D4AC5724EAB9}"/>
    <cellStyle name="Normal 3 2 2 2 2 2 2 2 2 2 2 41 5" xfId="27614" xr:uid="{B8829B7D-8709-4F00-BC56-082CEFE14504}"/>
    <cellStyle name="Normal 3 2 2 2 2 2 2 2 2 2 2 41 6" xfId="27615" xr:uid="{BA472E80-F138-4E9A-A0D7-87E047D8AA45}"/>
    <cellStyle name="Normal 3 2 2 2 2 2 2 2 2 2 2 41 7" xfId="27616" xr:uid="{56BBF291-8424-4623-9794-51E7E0446FEB}"/>
    <cellStyle name="Normal 3 2 2 2 2 2 2 2 2 2 2 42" xfId="27617" xr:uid="{FDA60A2D-2801-4AE2-A752-6F3B471DB460}"/>
    <cellStyle name="Normal 3 2 2 2 2 2 2 2 2 2 2 43" xfId="27618" xr:uid="{7C32F59A-D042-4D60-AE86-86FE813B0953}"/>
    <cellStyle name="Normal 3 2 2 2 2 2 2 2 2 2 2 44" xfId="27619" xr:uid="{525381FA-B60C-4C11-A653-1398446AC2FA}"/>
    <cellStyle name="Normal 3 2 2 2 2 2 2 2 2 2 2 45" xfId="27620" xr:uid="{411E9793-32BA-4570-819A-09EA1FB2EE58}"/>
    <cellStyle name="Normal 3 2 2 2 2 2 2 2 2 2 2 46" xfId="27621" xr:uid="{7CD4AE51-443E-402A-98CA-3A6E1052AA0C}"/>
    <cellStyle name="Normal 3 2 2 2 2 2 2 2 2 2 2 47" xfId="27622" xr:uid="{B0AD52AA-9C73-464E-88B3-B230C92C0ACB}"/>
    <cellStyle name="Normal 3 2 2 2 2 2 2 2 2 2 2 48" xfId="27623" xr:uid="{123EDD12-590B-4C56-A8FC-01D4B499D107}"/>
    <cellStyle name="Normal 3 2 2 2 2 2 2 2 2 2 2 49" xfId="27624" xr:uid="{C4E04B98-71CE-41D3-924E-C8094F6D5C81}"/>
    <cellStyle name="Normal 3 2 2 2 2 2 2 2 2 2 2 5" xfId="27625" xr:uid="{2CF524E2-6DD0-4A00-A71A-C53153B4F778}"/>
    <cellStyle name="Normal 3 2 2 2 2 2 2 2 2 2 2 50" xfId="27626" xr:uid="{79008A03-85EC-4D79-B332-0F1BB21B1C3C}"/>
    <cellStyle name="Normal 3 2 2 2 2 2 2 2 2 2 2 51" xfId="27627" xr:uid="{651B19E9-CA20-44F6-B801-7728ECF3FAA4}"/>
    <cellStyle name="Normal 3 2 2 2 2 2 2 2 2 2 2 52" xfId="27628" xr:uid="{CEFD0D4B-F364-4836-BE97-0543059FEED5}"/>
    <cellStyle name="Normal 3 2 2 2 2 2 2 2 2 2 2 53" xfId="27629" xr:uid="{A1A711C2-7946-4AB0-9B47-385C19F8868F}"/>
    <cellStyle name="Normal 3 2 2 2 2 2 2 2 2 2 2 54" xfId="27630" xr:uid="{C1FA20B2-0DD6-45F0-AB1F-A8F817262ACD}"/>
    <cellStyle name="Normal 3 2 2 2 2 2 2 2 2 2 2 55" xfId="27631" xr:uid="{827A257B-4865-4D45-94DF-19F4F4618B89}"/>
    <cellStyle name="Normal 3 2 2 2 2 2 2 2 2 2 2 56" xfId="27632" xr:uid="{AB8B2D91-DCDB-41CB-97AE-B15052653B5C}"/>
    <cellStyle name="Normal 3 2 2 2 2 2 2 2 2 2 2 57" xfId="27633" xr:uid="{64AE6A12-E2A5-4D33-ABE1-F208119974F4}"/>
    <cellStyle name="Normal 3 2 2 2 2 2 2 2 2 2 2 58" xfId="27634" xr:uid="{09174E30-9301-4256-8C8D-A6AE7E091A8B}"/>
    <cellStyle name="Normal 3 2 2 2 2 2 2 2 2 2 2 59" xfId="27635" xr:uid="{F8D167FE-0CF0-4089-876C-B7B4285C8443}"/>
    <cellStyle name="Normal 3 2 2 2 2 2 2 2 2 2 2 6" xfId="27636" xr:uid="{B13A2417-D494-4D39-AF22-78F71B8BD8A8}"/>
    <cellStyle name="Normal 3 2 2 2 2 2 2 2 2 2 2 60" xfId="27637" xr:uid="{1E9F4800-337D-454A-A7FA-3558355EEDB5}"/>
    <cellStyle name="Normal 3 2 2 2 2 2 2 2 2 2 2 61" xfId="27638" xr:uid="{32DD62A8-85E9-4346-BAA4-A8C0AE98E045}"/>
    <cellStyle name="Normal 3 2 2 2 2 2 2 2 2 2 2 62" xfId="27639" xr:uid="{250741CB-66C3-478F-A8BA-EA7B3120A18E}"/>
    <cellStyle name="Normal 3 2 2 2 2 2 2 2 2 2 2 63" xfId="27640" xr:uid="{C74D2B2C-E679-49F8-9BF4-DAB8D985F6BF}"/>
    <cellStyle name="Normal 3 2 2 2 2 2 2 2 2 2 2 64" xfId="27641" xr:uid="{71036836-6A3C-4E4E-8E9D-A252ECD8C559}"/>
    <cellStyle name="Normal 3 2 2 2 2 2 2 2 2 2 2 65" xfId="27642" xr:uid="{9A8266AA-FB03-4FA3-885F-577E4577BD2C}"/>
    <cellStyle name="Normal 3 2 2 2 2 2 2 2 2 2 2 66" xfId="27643" xr:uid="{B20D66A8-9A5C-4358-926F-B43F70646AAF}"/>
    <cellStyle name="Normal 3 2 2 2 2 2 2 2 2 2 2 67" xfId="27644" xr:uid="{FC7250F1-321E-49BB-BF9A-3FA9DC5CD994}"/>
    <cellStyle name="Normal 3 2 2 2 2 2 2 2 2 2 2 68" xfId="27645" xr:uid="{2F699E28-FD27-441E-AC30-A58D3A4ACD2E}"/>
    <cellStyle name="Normal 3 2 2 2 2 2 2 2 2 2 2 69" xfId="27646" xr:uid="{72FC38ED-A580-4D4C-A638-B99CC5E8BF33}"/>
    <cellStyle name="Normal 3 2 2 2 2 2 2 2 2 2 2 7" xfId="27647" xr:uid="{0716C3BA-4493-47CC-AB96-9631B0EFA443}"/>
    <cellStyle name="Normal 3 2 2 2 2 2 2 2 2 2 2 7 10" xfId="27648" xr:uid="{208D567F-BA41-42B5-BA3E-3E222133B31F}"/>
    <cellStyle name="Normal 3 2 2 2 2 2 2 2 2 2 2 7 11" xfId="27649" xr:uid="{626522FE-B7BD-4B1F-A955-8A9FDB4F63DE}"/>
    <cellStyle name="Normal 3 2 2 2 2 2 2 2 2 2 2 7 11 10" xfId="27650" xr:uid="{63C013C7-B711-403A-936C-880F3EB8A5B8}"/>
    <cellStyle name="Normal 3 2 2 2 2 2 2 2 2 2 2 7 11 11" xfId="27651" xr:uid="{7B608232-648D-4BE1-8C24-5DD5378507AB}"/>
    <cellStyle name="Normal 3 2 2 2 2 2 2 2 2 2 2 7 11 11 2" xfId="27652" xr:uid="{7FA56827-B74D-493C-AAEB-348EF80D054E}"/>
    <cellStyle name="Normal 3 2 2 2 2 2 2 2 2 2 2 7 11 11 3" xfId="27653" xr:uid="{78E8775E-AA7A-4359-9FD4-E1201C5A505D}"/>
    <cellStyle name="Normal 3 2 2 2 2 2 2 2 2 2 2 7 11 11 4" xfId="27654" xr:uid="{C202EC44-D38C-4AF3-A021-1E832E1ECBE2}"/>
    <cellStyle name="Normal 3 2 2 2 2 2 2 2 2 2 2 7 11 12" xfId="27655" xr:uid="{5704EE5E-BFAA-4428-818E-B8D854CF0970}"/>
    <cellStyle name="Normal 3 2 2 2 2 2 2 2 2 2 2 7 11 13" xfId="27656" xr:uid="{C2E896E6-EFCF-4901-AFD3-1128EEA123EF}"/>
    <cellStyle name="Normal 3 2 2 2 2 2 2 2 2 2 2 7 11 14" xfId="27657" xr:uid="{2E9CCDFA-C393-4327-B8E6-3C03CEACD3FE}"/>
    <cellStyle name="Normal 3 2 2 2 2 2 2 2 2 2 2 7 11 2" xfId="27658" xr:uid="{62CBEF9D-C4BF-4806-B87E-93081555EDD7}"/>
    <cellStyle name="Normal 3 2 2 2 2 2 2 2 2 2 2 7 11 2 10" xfId="27659" xr:uid="{C6C47547-1C04-4C55-A11E-2B79767FC0CF}"/>
    <cellStyle name="Normal 3 2 2 2 2 2 2 2 2 2 2 7 11 2 11" xfId="27660" xr:uid="{DB40240A-23F1-4508-B6E5-1CF1685024B3}"/>
    <cellStyle name="Normal 3 2 2 2 2 2 2 2 2 2 2 7 11 2 2" xfId="27661" xr:uid="{1DF0EB71-1D90-4CDC-9921-427D7DBAF08D}"/>
    <cellStyle name="Normal 3 2 2 2 2 2 2 2 2 2 2 7 11 2 2 10" xfId="27662" xr:uid="{BEF49A22-6849-449B-922B-C14435329F1C}"/>
    <cellStyle name="Normal 3 2 2 2 2 2 2 2 2 2 2 7 11 2 2 11" xfId="27663" xr:uid="{8F05BEFD-5DEB-4028-ABD5-B1A9F9C90E52}"/>
    <cellStyle name="Normal 3 2 2 2 2 2 2 2 2 2 2 7 11 2 2 2" xfId="27664" xr:uid="{89E16604-139B-4610-8650-ECC250FB7B1C}"/>
    <cellStyle name="Normal 3 2 2 2 2 2 2 2 2 2 2 7 11 2 2 2 2" xfId="27665" xr:uid="{08CAA68D-3A5B-4DC6-94D3-1B28483FF8ED}"/>
    <cellStyle name="Normal 3 2 2 2 2 2 2 2 2 2 2 7 11 2 2 2 2 2" xfId="27666" xr:uid="{0AC45E13-C1E2-4945-B5E8-DF0766DB5AC6}"/>
    <cellStyle name="Normal 3 2 2 2 2 2 2 2 2 2 2 7 11 2 2 2 2 3" xfId="27667" xr:uid="{255140B1-9064-4F21-9799-1EA536E83B64}"/>
    <cellStyle name="Normal 3 2 2 2 2 2 2 2 2 2 2 7 11 2 2 2 2 4" xfId="27668" xr:uid="{FFF4F7FF-8A84-4728-9917-370DAF8A0ADF}"/>
    <cellStyle name="Normal 3 2 2 2 2 2 2 2 2 2 2 7 11 2 2 2 3" xfId="27669" xr:uid="{48AAB2BE-669E-4CB5-8A63-4A84D0E0B69C}"/>
    <cellStyle name="Normal 3 2 2 2 2 2 2 2 2 2 2 7 11 2 2 2 4" xfId="27670" xr:uid="{8D31DB2B-346E-4971-BF8D-D4FC5C17B2EB}"/>
    <cellStyle name="Normal 3 2 2 2 2 2 2 2 2 2 2 7 11 2 2 2 5" xfId="27671" xr:uid="{B297D7A2-B9A2-41A8-A8E7-8FA7F59473DD}"/>
    <cellStyle name="Normal 3 2 2 2 2 2 2 2 2 2 2 7 11 2 2 2 6" xfId="27672" xr:uid="{B3043879-D982-454C-B280-4680DB011E18}"/>
    <cellStyle name="Normal 3 2 2 2 2 2 2 2 2 2 2 7 11 2 2 3" xfId="27673" xr:uid="{DCDB5018-2BEF-4656-A8AE-4998B1F42AF6}"/>
    <cellStyle name="Normal 3 2 2 2 2 2 2 2 2 2 2 7 11 2 2 4" xfId="27674" xr:uid="{2282FADE-D111-46A7-936B-5E9979380D19}"/>
    <cellStyle name="Normal 3 2 2 2 2 2 2 2 2 2 2 7 11 2 2 5" xfId="27675" xr:uid="{BD9E8312-7777-4C97-8947-3211321B88BE}"/>
    <cellStyle name="Normal 3 2 2 2 2 2 2 2 2 2 2 7 11 2 2 6" xfId="27676" xr:uid="{698F9284-C640-4005-A69C-A42E4CE95A31}"/>
    <cellStyle name="Normal 3 2 2 2 2 2 2 2 2 2 2 7 11 2 2 7" xfId="27677" xr:uid="{5953A08F-E732-4479-8F98-6981B3CBF9B0}"/>
    <cellStyle name="Normal 3 2 2 2 2 2 2 2 2 2 2 7 11 2 2 8" xfId="27678" xr:uid="{EAA9B83B-FF28-486D-8DFD-B3631C6FAD4B}"/>
    <cellStyle name="Normal 3 2 2 2 2 2 2 2 2 2 2 7 11 2 2 8 2" xfId="27679" xr:uid="{F5CE03BD-C46B-4BAB-8BB2-ED5C1612171D}"/>
    <cellStyle name="Normal 3 2 2 2 2 2 2 2 2 2 2 7 11 2 2 8 3" xfId="27680" xr:uid="{CB3237EC-5A9A-46D1-A499-8A617114038D}"/>
    <cellStyle name="Normal 3 2 2 2 2 2 2 2 2 2 2 7 11 2 2 8 4" xfId="27681" xr:uid="{CF118223-DD05-40BF-8BF7-F5EA5FB12BFC}"/>
    <cellStyle name="Normal 3 2 2 2 2 2 2 2 2 2 2 7 11 2 2 9" xfId="27682" xr:uid="{D633E5D8-FAC4-485E-BF28-0CBDB794DB25}"/>
    <cellStyle name="Normal 3 2 2 2 2 2 2 2 2 2 2 7 11 2 3" xfId="27683" xr:uid="{78464C96-BB06-4C4C-BC1D-0381F7A65538}"/>
    <cellStyle name="Normal 3 2 2 2 2 2 2 2 2 2 2 7 11 2 3 2" xfId="27684" xr:uid="{B5D20216-9F64-4101-A92C-6BA915307D25}"/>
    <cellStyle name="Normal 3 2 2 2 2 2 2 2 2 2 2 7 11 2 3 2 2" xfId="27685" xr:uid="{E26D36C8-549D-414E-9A4E-939449C0839D}"/>
    <cellStyle name="Normal 3 2 2 2 2 2 2 2 2 2 2 7 11 2 3 2 3" xfId="27686" xr:uid="{C0F87275-90E8-4218-81C5-1813814B35E1}"/>
    <cellStyle name="Normal 3 2 2 2 2 2 2 2 2 2 2 7 11 2 3 2 4" xfId="27687" xr:uid="{34CABC18-7DD0-4E27-8752-657FA9D48F30}"/>
    <cellStyle name="Normal 3 2 2 2 2 2 2 2 2 2 2 7 11 2 3 3" xfId="27688" xr:uid="{EDA72211-D98A-4CE5-AAED-E29FD9F8F99F}"/>
    <cellStyle name="Normal 3 2 2 2 2 2 2 2 2 2 2 7 11 2 3 4" xfId="27689" xr:uid="{476DDC43-0F03-4389-A617-296508A99E22}"/>
    <cellStyle name="Normal 3 2 2 2 2 2 2 2 2 2 2 7 11 2 3 5" xfId="27690" xr:uid="{23D34D5A-56DE-4424-8CC4-0CD8DBC1D51A}"/>
    <cellStyle name="Normal 3 2 2 2 2 2 2 2 2 2 2 7 11 2 3 6" xfId="27691" xr:uid="{1D140B5A-FDB8-48E1-8135-4895C95AD585}"/>
    <cellStyle name="Normal 3 2 2 2 2 2 2 2 2 2 2 7 11 2 4" xfId="27692" xr:uid="{850AA013-B462-44F7-8314-A67ADDD82A15}"/>
    <cellStyle name="Normal 3 2 2 2 2 2 2 2 2 2 2 7 11 2 5" xfId="27693" xr:uid="{76FC8C59-ED0F-447F-9847-5A7251C6F082}"/>
    <cellStyle name="Normal 3 2 2 2 2 2 2 2 2 2 2 7 11 2 6" xfId="27694" xr:uid="{F8AC2F00-A2BA-4ECE-8992-EAFEE62CE19B}"/>
    <cellStyle name="Normal 3 2 2 2 2 2 2 2 2 2 2 7 11 2 7" xfId="27695" xr:uid="{B067D0B7-E4B1-4A78-AA92-7FF009D711BF}"/>
    <cellStyle name="Normal 3 2 2 2 2 2 2 2 2 2 2 7 11 2 8" xfId="27696" xr:uid="{9BFE0362-02CF-44B5-9F74-53B502105822}"/>
    <cellStyle name="Normal 3 2 2 2 2 2 2 2 2 2 2 7 11 2 8 2" xfId="27697" xr:uid="{E9443C7A-5618-4AA3-BD68-7CC36221037D}"/>
    <cellStyle name="Normal 3 2 2 2 2 2 2 2 2 2 2 7 11 2 8 3" xfId="27698" xr:uid="{BDB8B06C-A326-4583-AFFA-85FC9BBF5707}"/>
    <cellStyle name="Normal 3 2 2 2 2 2 2 2 2 2 2 7 11 2 8 4" xfId="27699" xr:uid="{9A96EE78-7527-4094-AED2-5936AD8A2D07}"/>
    <cellStyle name="Normal 3 2 2 2 2 2 2 2 2 2 2 7 11 2 9" xfId="27700" xr:uid="{7F8C5CA9-5BDC-4069-BDBC-582B875B7DFD}"/>
    <cellStyle name="Normal 3 2 2 2 2 2 2 2 2 2 2 7 11 3" xfId="27701" xr:uid="{B7B58A12-330D-465F-B67C-D38988E8714A}"/>
    <cellStyle name="Normal 3 2 2 2 2 2 2 2 2 2 2 7 11 4" xfId="27702" xr:uid="{EC2DA8F1-C667-446F-B2C3-0038A73B4379}"/>
    <cellStyle name="Normal 3 2 2 2 2 2 2 2 2 2 2 7 11 5" xfId="27703" xr:uid="{FB55B6C4-00C9-4C8E-A3CC-FB70F88262D6}"/>
    <cellStyle name="Normal 3 2 2 2 2 2 2 2 2 2 2 7 11 5 2" xfId="27704" xr:uid="{00255D16-425F-4C47-B46B-F4A523AC08C4}"/>
    <cellStyle name="Normal 3 2 2 2 2 2 2 2 2 2 2 7 11 5 2 2" xfId="27705" xr:uid="{86B4086C-380A-4E4D-B31D-4B69EA823A3B}"/>
    <cellStyle name="Normal 3 2 2 2 2 2 2 2 2 2 2 7 11 5 2 3" xfId="27706" xr:uid="{A9BC786D-BD39-416A-8A73-3E7EA84F3CA9}"/>
    <cellStyle name="Normal 3 2 2 2 2 2 2 2 2 2 2 7 11 5 2 4" xfId="27707" xr:uid="{AB8237B7-1246-443E-9FE6-30075BFA7325}"/>
    <cellStyle name="Normal 3 2 2 2 2 2 2 2 2 2 2 7 11 5 3" xfId="27708" xr:uid="{30A84439-CA20-4C82-B6C8-71EA63BA0245}"/>
    <cellStyle name="Normal 3 2 2 2 2 2 2 2 2 2 2 7 11 5 4" xfId="27709" xr:uid="{108C806F-DC71-48A8-8C60-510D64C3BC59}"/>
    <cellStyle name="Normal 3 2 2 2 2 2 2 2 2 2 2 7 11 5 5" xfId="27710" xr:uid="{9165E9CB-B881-46AB-822A-C093558869F9}"/>
    <cellStyle name="Normal 3 2 2 2 2 2 2 2 2 2 2 7 11 5 6" xfId="27711" xr:uid="{1599B171-88F9-4DE4-9960-23A2086BD749}"/>
    <cellStyle name="Normal 3 2 2 2 2 2 2 2 2 2 2 7 11 6" xfId="27712" xr:uid="{AC00F667-A32A-4830-9B6E-5CB1E7A8BEDB}"/>
    <cellStyle name="Normal 3 2 2 2 2 2 2 2 2 2 2 7 11 7" xfId="27713" xr:uid="{D920D498-04D8-488E-AECC-7791AA0583F2}"/>
    <cellStyle name="Normal 3 2 2 2 2 2 2 2 2 2 2 7 11 8" xfId="27714" xr:uid="{2F37E32A-093D-46A5-ABD2-09E6BA20DEFF}"/>
    <cellStyle name="Normal 3 2 2 2 2 2 2 2 2 2 2 7 11 9" xfId="27715" xr:uid="{C157C80C-D01D-4314-8EC5-D9212DE29023}"/>
    <cellStyle name="Normal 3 2 2 2 2 2 2 2 2 2 2 7 12" xfId="27716" xr:uid="{671544AE-26BB-4043-9C2B-0EF0A09ECE3E}"/>
    <cellStyle name="Normal 3 2 2 2 2 2 2 2 2 2 2 7 13" xfId="27717" xr:uid="{452CEC25-CC78-4903-ADEE-6597139030BE}"/>
    <cellStyle name="Normal 3 2 2 2 2 2 2 2 2 2 2 7 13 10" xfId="27718" xr:uid="{CAB363B4-0A32-4C0B-B27B-D66345084148}"/>
    <cellStyle name="Normal 3 2 2 2 2 2 2 2 2 2 2 7 13 11" xfId="27719" xr:uid="{CA1504C0-1385-4365-B2A3-177E066AD398}"/>
    <cellStyle name="Normal 3 2 2 2 2 2 2 2 2 2 2 7 13 2" xfId="27720" xr:uid="{CA060C1E-CD0A-4AC4-8B83-414263F675E4}"/>
    <cellStyle name="Normal 3 2 2 2 2 2 2 2 2 2 2 7 13 2 10" xfId="27721" xr:uid="{CB521DCB-E4F8-48F2-900D-46B5772991A1}"/>
    <cellStyle name="Normal 3 2 2 2 2 2 2 2 2 2 2 7 13 2 11" xfId="27722" xr:uid="{091E1B86-2E4D-4548-A8D4-436904B2B177}"/>
    <cellStyle name="Normal 3 2 2 2 2 2 2 2 2 2 2 7 13 2 2" xfId="27723" xr:uid="{85A10507-EDC6-4195-8A18-9FE8742C6708}"/>
    <cellStyle name="Normal 3 2 2 2 2 2 2 2 2 2 2 7 13 2 2 2" xfId="27724" xr:uid="{D94B0C62-520B-4588-B4AD-22904075A9F7}"/>
    <cellStyle name="Normal 3 2 2 2 2 2 2 2 2 2 2 7 13 2 2 2 2" xfId="27725" xr:uid="{34B4CD80-743A-4EC2-B13C-A454A924B725}"/>
    <cellStyle name="Normal 3 2 2 2 2 2 2 2 2 2 2 7 13 2 2 2 3" xfId="27726" xr:uid="{9A150E12-BCF0-4CF7-89CB-E4DCEC9BF5C6}"/>
    <cellStyle name="Normal 3 2 2 2 2 2 2 2 2 2 2 7 13 2 2 2 4" xfId="27727" xr:uid="{F62FD0B1-B7EF-4A5A-9016-376D1B725004}"/>
    <cellStyle name="Normal 3 2 2 2 2 2 2 2 2 2 2 7 13 2 2 3" xfId="27728" xr:uid="{405D2668-1A3C-4605-8ABD-2251589F672B}"/>
    <cellStyle name="Normal 3 2 2 2 2 2 2 2 2 2 2 7 13 2 2 4" xfId="27729" xr:uid="{4F46EDAA-CCB7-4D24-BF09-BDAE45F56D0E}"/>
    <cellStyle name="Normal 3 2 2 2 2 2 2 2 2 2 2 7 13 2 2 5" xfId="27730" xr:uid="{61B9A90B-22D9-4A64-B7B4-162C42FD6F96}"/>
    <cellStyle name="Normal 3 2 2 2 2 2 2 2 2 2 2 7 13 2 2 6" xfId="27731" xr:uid="{EC42E543-9934-462D-892A-2C5A4B19EC8C}"/>
    <cellStyle name="Normal 3 2 2 2 2 2 2 2 2 2 2 7 13 2 3" xfId="27732" xr:uid="{03A66950-A936-4BCB-BCA9-452E915B9B55}"/>
    <cellStyle name="Normal 3 2 2 2 2 2 2 2 2 2 2 7 13 2 4" xfId="27733" xr:uid="{19C33E24-83B2-4432-8A69-74DC3D60D92F}"/>
    <cellStyle name="Normal 3 2 2 2 2 2 2 2 2 2 2 7 13 2 5" xfId="27734" xr:uid="{5AB3FF6D-DC72-4A9E-8CE0-D773D32D3ADB}"/>
    <cellStyle name="Normal 3 2 2 2 2 2 2 2 2 2 2 7 13 2 6" xfId="27735" xr:uid="{1B128A86-85E2-4703-81B4-7E15C5525788}"/>
    <cellStyle name="Normal 3 2 2 2 2 2 2 2 2 2 2 7 13 2 7" xfId="27736" xr:uid="{13AF86F7-F149-4B69-AD2F-7084D8885365}"/>
    <cellStyle name="Normal 3 2 2 2 2 2 2 2 2 2 2 7 13 2 8" xfId="27737" xr:uid="{C2D8FF1E-41A3-4B5F-899E-BF41D0B47B69}"/>
    <cellStyle name="Normal 3 2 2 2 2 2 2 2 2 2 2 7 13 2 8 2" xfId="27738" xr:uid="{9E6A6762-FE74-4E30-BDC2-3F68594320AA}"/>
    <cellStyle name="Normal 3 2 2 2 2 2 2 2 2 2 2 7 13 2 8 3" xfId="27739" xr:uid="{14ABCE2E-2716-4732-BD75-A290DBC5DDFB}"/>
    <cellStyle name="Normal 3 2 2 2 2 2 2 2 2 2 2 7 13 2 8 4" xfId="27740" xr:uid="{4BBD3319-C8D2-4732-94B5-77D1A79D410D}"/>
    <cellStyle name="Normal 3 2 2 2 2 2 2 2 2 2 2 7 13 2 9" xfId="27741" xr:uid="{982561B0-99C1-4F4E-87EF-782CF5FD2359}"/>
    <cellStyle name="Normal 3 2 2 2 2 2 2 2 2 2 2 7 13 3" xfId="27742" xr:uid="{FD307593-05C5-4C7F-9DC8-791F73EFD4BA}"/>
    <cellStyle name="Normal 3 2 2 2 2 2 2 2 2 2 2 7 13 3 2" xfId="27743" xr:uid="{442158F1-CC08-4881-B171-6BD7F3527853}"/>
    <cellStyle name="Normal 3 2 2 2 2 2 2 2 2 2 2 7 13 3 2 2" xfId="27744" xr:uid="{61FAA298-F95A-4D6E-8B26-C310757B0421}"/>
    <cellStyle name="Normal 3 2 2 2 2 2 2 2 2 2 2 7 13 3 2 3" xfId="27745" xr:uid="{AA13B958-8295-433E-9BA8-0D3281A39802}"/>
    <cellStyle name="Normal 3 2 2 2 2 2 2 2 2 2 2 7 13 3 2 4" xfId="27746" xr:uid="{451C441F-A8E2-4CCD-A705-31AC5FD63A22}"/>
    <cellStyle name="Normal 3 2 2 2 2 2 2 2 2 2 2 7 13 3 3" xfId="27747" xr:uid="{47A9C069-EDCB-4EA8-B48B-8C73B1D96DEA}"/>
    <cellStyle name="Normal 3 2 2 2 2 2 2 2 2 2 2 7 13 3 4" xfId="27748" xr:uid="{2F3D6732-D29F-4C46-97A3-2E141B45BA08}"/>
    <cellStyle name="Normal 3 2 2 2 2 2 2 2 2 2 2 7 13 3 5" xfId="27749" xr:uid="{1C9EE196-4EDD-4837-A466-C072D61F66FA}"/>
    <cellStyle name="Normal 3 2 2 2 2 2 2 2 2 2 2 7 13 3 6" xfId="27750" xr:uid="{E78D3578-E0A1-4842-BC2D-A0968CAAD862}"/>
    <cellStyle name="Normal 3 2 2 2 2 2 2 2 2 2 2 7 13 4" xfId="27751" xr:uid="{54ACF960-D57C-48E4-B784-8108553C8C73}"/>
    <cellStyle name="Normal 3 2 2 2 2 2 2 2 2 2 2 7 13 5" xfId="27752" xr:uid="{A3E13A7B-A7BA-4ADF-8048-4401BEDB4CB3}"/>
    <cellStyle name="Normal 3 2 2 2 2 2 2 2 2 2 2 7 13 6" xfId="27753" xr:uid="{43BC8ED2-7686-4F96-87C4-33304CF2D552}"/>
    <cellStyle name="Normal 3 2 2 2 2 2 2 2 2 2 2 7 13 7" xfId="27754" xr:uid="{9595DEAF-02C0-4246-8B9E-E386AA2B43A5}"/>
    <cellStyle name="Normal 3 2 2 2 2 2 2 2 2 2 2 7 13 8" xfId="27755" xr:uid="{51CD5C48-7267-4647-BF15-BA7F9D5B4C69}"/>
    <cellStyle name="Normal 3 2 2 2 2 2 2 2 2 2 2 7 13 8 2" xfId="27756" xr:uid="{ABAE0D03-5B87-40B4-815B-C1ADE86089AD}"/>
    <cellStyle name="Normal 3 2 2 2 2 2 2 2 2 2 2 7 13 8 3" xfId="27757" xr:uid="{095B16F4-41DC-4FA6-A251-98F99EE2262F}"/>
    <cellStyle name="Normal 3 2 2 2 2 2 2 2 2 2 2 7 13 8 4" xfId="27758" xr:uid="{0A681198-14D3-4659-A020-D64C0ACB86E0}"/>
    <cellStyle name="Normal 3 2 2 2 2 2 2 2 2 2 2 7 13 9" xfId="27759" xr:uid="{E7CCC006-0BA1-4B1B-9D2A-54CB49DC8407}"/>
    <cellStyle name="Normal 3 2 2 2 2 2 2 2 2 2 2 7 14" xfId="27760" xr:uid="{17AF3FC7-4148-4925-BF05-E0AEF7C28715}"/>
    <cellStyle name="Normal 3 2 2 2 2 2 2 2 2 2 2 7 15" xfId="27761" xr:uid="{7C01A8A4-D2C1-4BF8-B813-F8CC97C0D496}"/>
    <cellStyle name="Normal 3 2 2 2 2 2 2 2 2 2 2 7 15 2" xfId="27762" xr:uid="{BF014B4D-6F8F-4916-B7A5-FCEFD5289321}"/>
    <cellStyle name="Normal 3 2 2 2 2 2 2 2 2 2 2 7 15 2 2" xfId="27763" xr:uid="{EC89BB29-05E7-4672-9127-1F35614D15D0}"/>
    <cellStyle name="Normal 3 2 2 2 2 2 2 2 2 2 2 7 15 2 3" xfId="27764" xr:uid="{83FB479B-D72A-4920-A714-1B01A4B26536}"/>
    <cellStyle name="Normal 3 2 2 2 2 2 2 2 2 2 2 7 15 2 4" xfId="27765" xr:uid="{79DAA50E-8F0F-494A-9C8C-DC14BB1816A0}"/>
    <cellStyle name="Normal 3 2 2 2 2 2 2 2 2 2 2 7 15 3" xfId="27766" xr:uid="{FC00A168-783B-46E5-BE66-B21598AF3CBD}"/>
    <cellStyle name="Normal 3 2 2 2 2 2 2 2 2 2 2 7 15 4" xfId="27767" xr:uid="{3B82662E-92DA-4126-AB62-6689CEA06B41}"/>
    <cellStyle name="Normal 3 2 2 2 2 2 2 2 2 2 2 7 15 5" xfId="27768" xr:uid="{E2987D35-3D52-4E25-868D-EAECA6CE1AD5}"/>
    <cellStyle name="Normal 3 2 2 2 2 2 2 2 2 2 2 7 15 6" xfId="27769" xr:uid="{3FE2E6ED-C764-49D1-92D5-81CCBA81E1D1}"/>
    <cellStyle name="Normal 3 2 2 2 2 2 2 2 2 2 2 7 16" xfId="27770" xr:uid="{07F9B3EC-1302-4260-85A2-421B53484B61}"/>
    <cellStyle name="Normal 3 2 2 2 2 2 2 2 2 2 2 7 17" xfId="27771" xr:uid="{8B43482A-000F-4C1A-8066-BD841B819656}"/>
    <cellStyle name="Normal 3 2 2 2 2 2 2 2 2 2 2 7 18" xfId="27772" xr:uid="{BC3F601C-188D-4CD4-9FBF-B0B34DBCFC48}"/>
    <cellStyle name="Normal 3 2 2 2 2 2 2 2 2 2 2 7 19" xfId="27773" xr:uid="{6E30124F-BCCA-4898-8965-5490AD1DA2F5}"/>
    <cellStyle name="Normal 3 2 2 2 2 2 2 2 2 2 2 7 2" xfId="27774" xr:uid="{E7BED32A-0E4D-4EB9-93FA-37CE3CE68A75}"/>
    <cellStyle name="Normal 3 2 2 2 2 2 2 2 2 2 2 7 2 10" xfId="27775" xr:uid="{CFDB9B17-6B25-48B2-B8E7-236ACB7D4A42}"/>
    <cellStyle name="Normal 3 2 2 2 2 2 2 2 2 2 2 7 2 11" xfId="27776" xr:uid="{4242E4E3-90C3-46EB-99B7-01D7E4A0B6F6}"/>
    <cellStyle name="Normal 3 2 2 2 2 2 2 2 2 2 2 7 2 12" xfId="27777" xr:uid="{EEB64ADC-C869-47D5-A6F7-6200AA297F20}"/>
    <cellStyle name="Normal 3 2 2 2 2 2 2 2 2 2 2 7 2 13" xfId="27778" xr:uid="{C305E085-0509-4C67-BF53-25B88AB6359C}"/>
    <cellStyle name="Normal 3 2 2 2 2 2 2 2 2 2 2 7 2 13 2" xfId="27779" xr:uid="{3CDE77C3-9D74-4B14-9ED5-02FC69D5908B}"/>
    <cellStyle name="Normal 3 2 2 2 2 2 2 2 2 2 2 7 2 13 3" xfId="27780" xr:uid="{F7C085BA-DC4B-4044-9793-9707995CD40B}"/>
    <cellStyle name="Normal 3 2 2 2 2 2 2 2 2 2 2 7 2 13 4" xfId="27781" xr:uid="{1823A5B6-FA39-4522-9C0D-ECFEF27430ED}"/>
    <cellStyle name="Normal 3 2 2 2 2 2 2 2 2 2 2 7 2 14" xfId="27782" xr:uid="{D12F7DFD-0A50-4FA0-ACBE-81E8B7316B1D}"/>
    <cellStyle name="Normal 3 2 2 2 2 2 2 2 2 2 2 7 2 15" xfId="27783" xr:uid="{07BB909D-A726-4C20-A7C5-0D5FC6435E51}"/>
    <cellStyle name="Normal 3 2 2 2 2 2 2 2 2 2 2 7 2 16" xfId="27784" xr:uid="{B9F3A5F5-905E-41D9-AB22-4317A23F5987}"/>
    <cellStyle name="Normal 3 2 2 2 2 2 2 2 2 2 2 7 2 2" xfId="27785" xr:uid="{EB932963-0E09-4E9A-8C2F-9192B4ABC304}"/>
    <cellStyle name="Normal 3 2 2 2 2 2 2 2 2 2 2 7 2 2 10" xfId="27786" xr:uid="{7623316D-C153-4464-BBFC-67EFB9379CC4}"/>
    <cellStyle name="Normal 3 2 2 2 2 2 2 2 2 2 2 7 2 2 11" xfId="27787" xr:uid="{3CD38789-3535-4B2F-8C02-FDE75B250E35}"/>
    <cellStyle name="Normal 3 2 2 2 2 2 2 2 2 2 2 7 2 2 11 2" xfId="27788" xr:uid="{58257D9B-275D-49F1-B142-6C4706BCA20B}"/>
    <cellStyle name="Normal 3 2 2 2 2 2 2 2 2 2 2 7 2 2 11 3" xfId="27789" xr:uid="{B0DCFF2B-E20E-47B2-82FF-A8A4FFC359DD}"/>
    <cellStyle name="Normal 3 2 2 2 2 2 2 2 2 2 2 7 2 2 11 4" xfId="27790" xr:uid="{CAA39F10-EBFB-4F15-A86E-618C8F18EA48}"/>
    <cellStyle name="Normal 3 2 2 2 2 2 2 2 2 2 2 7 2 2 12" xfId="27791" xr:uid="{4407E622-3DB8-4F00-B9E1-14884080C291}"/>
    <cellStyle name="Normal 3 2 2 2 2 2 2 2 2 2 2 7 2 2 13" xfId="27792" xr:uid="{A3F633A8-A2E1-4B1C-BF86-D5F0D837CEA7}"/>
    <cellStyle name="Normal 3 2 2 2 2 2 2 2 2 2 2 7 2 2 14" xfId="27793" xr:uid="{4D9BDB74-7357-4E29-8FA3-5F747E545EB0}"/>
    <cellStyle name="Normal 3 2 2 2 2 2 2 2 2 2 2 7 2 2 2" xfId="27794" xr:uid="{4A657393-08FF-4FFD-9F90-4C8C69717B65}"/>
    <cellStyle name="Normal 3 2 2 2 2 2 2 2 2 2 2 7 2 2 2 10" xfId="27795" xr:uid="{928C9FCF-1993-4456-934C-3F62C50971DC}"/>
    <cellStyle name="Normal 3 2 2 2 2 2 2 2 2 2 2 7 2 2 2 11" xfId="27796" xr:uid="{34921B7C-5A14-4CF6-86AB-9DB7F559DB3E}"/>
    <cellStyle name="Normal 3 2 2 2 2 2 2 2 2 2 2 7 2 2 2 2" xfId="27797" xr:uid="{03C6EE84-84CD-4730-B90D-2BAC1814579B}"/>
    <cellStyle name="Normal 3 2 2 2 2 2 2 2 2 2 2 7 2 2 2 2 10" xfId="27798" xr:uid="{21555F7A-3677-4337-A67F-9B01CAE628F7}"/>
    <cellStyle name="Normal 3 2 2 2 2 2 2 2 2 2 2 7 2 2 2 2 11" xfId="27799" xr:uid="{33758397-D6CE-4F40-870A-6B344FAC8104}"/>
    <cellStyle name="Normal 3 2 2 2 2 2 2 2 2 2 2 7 2 2 2 2 2" xfId="27800" xr:uid="{88924F6D-8A27-444C-BDA1-95BEDD88343A}"/>
    <cellStyle name="Normal 3 2 2 2 2 2 2 2 2 2 2 7 2 2 2 2 2 2" xfId="27801" xr:uid="{FC02AD0C-181D-46AB-8708-67041D459DB7}"/>
    <cellStyle name="Normal 3 2 2 2 2 2 2 2 2 2 2 7 2 2 2 2 2 2 2" xfId="27802" xr:uid="{BABC46F6-9A89-405D-ADF4-FB8026361049}"/>
    <cellStyle name="Normal 3 2 2 2 2 2 2 2 2 2 2 7 2 2 2 2 2 2 3" xfId="27803" xr:uid="{62C480CD-AF02-4F90-9BF1-BC39F00FFC89}"/>
    <cellStyle name="Normal 3 2 2 2 2 2 2 2 2 2 2 7 2 2 2 2 2 2 4" xfId="27804" xr:uid="{B3027B5E-8271-40D9-AA6B-32CC2A84A451}"/>
    <cellStyle name="Normal 3 2 2 2 2 2 2 2 2 2 2 7 2 2 2 2 2 3" xfId="27805" xr:uid="{16C28309-6B1A-428B-8D7A-57B15730791D}"/>
    <cellStyle name="Normal 3 2 2 2 2 2 2 2 2 2 2 7 2 2 2 2 2 4" xfId="27806" xr:uid="{5EDDE98C-F56C-4C00-A8C2-CA2CEC820326}"/>
    <cellStyle name="Normal 3 2 2 2 2 2 2 2 2 2 2 7 2 2 2 2 2 5" xfId="27807" xr:uid="{9363AC9A-EE69-4E60-BCBE-F0BB9EE153A7}"/>
    <cellStyle name="Normal 3 2 2 2 2 2 2 2 2 2 2 7 2 2 2 2 2 6" xfId="27808" xr:uid="{3409B57F-F849-4E7F-92F1-5B1A171A14D6}"/>
    <cellStyle name="Normal 3 2 2 2 2 2 2 2 2 2 2 7 2 2 2 2 3" xfId="27809" xr:uid="{3BB63F92-EB8B-4F60-B903-0E43873DAAD4}"/>
    <cellStyle name="Normal 3 2 2 2 2 2 2 2 2 2 2 7 2 2 2 2 4" xfId="27810" xr:uid="{1A0779E2-630C-481F-96F2-C4EA723C3ACE}"/>
    <cellStyle name="Normal 3 2 2 2 2 2 2 2 2 2 2 7 2 2 2 2 5" xfId="27811" xr:uid="{CB3C9450-6571-4DE5-9B94-9960E1ED9A07}"/>
    <cellStyle name="Normal 3 2 2 2 2 2 2 2 2 2 2 7 2 2 2 2 6" xfId="27812" xr:uid="{8541E167-201B-4E53-9BD5-69F167046909}"/>
    <cellStyle name="Normal 3 2 2 2 2 2 2 2 2 2 2 7 2 2 2 2 7" xfId="27813" xr:uid="{456880A5-444C-42DD-8CF2-8DFFC2E1DF05}"/>
    <cellStyle name="Normal 3 2 2 2 2 2 2 2 2 2 2 7 2 2 2 2 8" xfId="27814" xr:uid="{89AB5D86-2D33-4C36-AB8D-3E07A6D11425}"/>
    <cellStyle name="Normal 3 2 2 2 2 2 2 2 2 2 2 7 2 2 2 2 8 2" xfId="27815" xr:uid="{9F7024E1-BA67-4EDF-9EFA-A862B82060B5}"/>
    <cellStyle name="Normal 3 2 2 2 2 2 2 2 2 2 2 7 2 2 2 2 8 3" xfId="27816" xr:uid="{49E7AA2B-B05F-41FF-9C71-C87D0E3CC6E6}"/>
    <cellStyle name="Normal 3 2 2 2 2 2 2 2 2 2 2 7 2 2 2 2 8 4" xfId="27817" xr:uid="{62AC744C-D644-4D26-A03F-9233E71D5F28}"/>
    <cellStyle name="Normal 3 2 2 2 2 2 2 2 2 2 2 7 2 2 2 2 9" xfId="27818" xr:uid="{BF4BEA2E-EE13-41B7-BBAB-3D414D15242D}"/>
    <cellStyle name="Normal 3 2 2 2 2 2 2 2 2 2 2 7 2 2 2 3" xfId="27819" xr:uid="{864A06F7-5800-40E0-BEB8-064C4534549D}"/>
    <cellStyle name="Normal 3 2 2 2 2 2 2 2 2 2 2 7 2 2 2 3 2" xfId="27820" xr:uid="{880F6776-ED4A-491E-A8AB-CE5C70326F91}"/>
    <cellStyle name="Normal 3 2 2 2 2 2 2 2 2 2 2 7 2 2 2 3 2 2" xfId="27821" xr:uid="{3C5EBC34-1736-4D76-870D-D217A6F6E16A}"/>
    <cellStyle name="Normal 3 2 2 2 2 2 2 2 2 2 2 7 2 2 2 3 2 3" xfId="27822" xr:uid="{1BB07046-3EA7-4EE8-B7C6-1ABC5C3B7E4E}"/>
    <cellStyle name="Normal 3 2 2 2 2 2 2 2 2 2 2 7 2 2 2 3 2 4" xfId="27823" xr:uid="{691BA400-732E-4D94-8FF5-066B8DD64429}"/>
    <cellStyle name="Normal 3 2 2 2 2 2 2 2 2 2 2 7 2 2 2 3 3" xfId="27824" xr:uid="{ADD3BDDA-0A7B-4562-B892-B3114332F99C}"/>
    <cellStyle name="Normal 3 2 2 2 2 2 2 2 2 2 2 7 2 2 2 3 4" xfId="27825" xr:uid="{0E1CCF08-AC69-47D4-B064-209C96992A60}"/>
    <cellStyle name="Normal 3 2 2 2 2 2 2 2 2 2 2 7 2 2 2 3 5" xfId="27826" xr:uid="{77CCD409-56E1-4EB1-87BB-228211F0033B}"/>
    <cellStyle name="Normal 3 2 2 2 2 2 2 2 2 2 2 7 2 2 2 3 6" xfId="27827" xr:uid="{37F00075-EF20-4299-89A3-110AC384D8A6}"/>
    <cellStyle name="Normal 3 2 2 2 2 2 2 2 2 2 2 7 2 2 2 4" xfId="27828" xr:uid="{047E82F3-8731-43AB-BF8E-6445CE726C73}"/>
    <cellStyle name="Normal 3 2 2 2 2 2 2 2 2 2 2 7 2 2 2 5" xfId="27829" xr:uid="{C1E64475-806A-4675-9B3B-8E50AFB13036}"/>
    <cellStyle name="Normal 3 2 2 2 2 2 2 2 2 2 2 7 2 2 2 6" xfId="27830" xr:uid="{80917743-BDB7-45D8-8CE0-C2F5C353EA42}"/>
    <cellStyle name="Normal 3 2 2 2 2 2 2 2 2 2 2 7 2 2 2 7" xfId="27831" xr:uid="{4BA61922-83E4-4840-B70C-E369D550EDA1}"/>
    <cellStyle name="Normal 3 2 2 2 2 2 2 2 2 2 2 7 2 2 2 8" xfId="27832" xr:uid="{072F88B9-1AA5-4D33-99DD-D7B677D1CC53}"/>
    <cellStyle name="Normal 3 2 2 2 2 2 2 2 2 2 2 7 2 2 2 8 2" xfId="27833" xr:uid="{146D28F7-4F70-4C45-B144-8A84BC6E390F}"/>
    <cellStyle name="Normal 3 2 2 2 2 2 2 2 2 2 2 7 2 2 2 8 3" xfId="27834" xr:uid="{05B06B9F-B643-4FAE-8F3D-EF3C8D41DEA1}"/>
    <cellStyle name="Normal 3 2 2 2 2 2 2 2 2 2 2 7 2 2 2 8 4" xfId="27835" xr:uid="{A67A3D57-822D-45A0-8608-E46B473F20EA}"/>
    <cellStyle name="Normal 3 2 2 2 2 2 2 2 2 2 2 7 2 2 2 9" xfId="27836" xr:uid="{DC937218-9A07-4692-AA7C-EAFC79865468}"/>
    <cellStyle name="Normal 3 2 2 2 2 2 2 2 2 2 2 7 2 2 3" xfId="27837" xr:uid="{CC2EE0DC-56A8-48FB-8D6E-542B5C88E594}"/>
    <cellStyle name="Normal 3 2 2 2 2 2 2 2 2 2 2 7 2 2 4" xfId="27838" xr:uid="{7159B12F-FBDC-48F6-B4C5-559B91723D25}"/>
    <cellStyle name="Normal 3 2 2 2 2 2 2 2 2 2 2 7 2 2 5" xfId="27839" xr:uid="{72BFE846-711C-4AC9-A35C-D6DD3D7EF46F}"/>
    <cellStyle name="Normal 3 2 2 2 2 2 2 2 2 2 2 7 2 2 5 2" xfId="27840" xr:uid="{04AC92D1-2322-4652-9B39-19E3BD648E90}"/>
    <cellStyle name="Normal 3 2 2 2 2 2 2 2 2 2 2 7 2 2 5 2 2" xfId="27841" xr:uid="{A72079D1-FD2F-4DDF-AB01-21E9599A5B45}"/>
    <cellStyle name="Normal 3 2 2 2 2 2 2 2 2 2 2 7 2 2 5 2 3" xfId="27842" xr:uid="{A59EC9DC-C798-49FA-8D2F-70D70616367B}"/>
    <cellStyle name="Normal 3 2 2 2 2 2 2 2 2 2 2 7 2 2 5 2 4" xfId="27843" xr:uid="{6E78F479-2DC6-47DF-9A65-0C0FC12A8E30}"/>
    <cellStyle name="Normal 3 2 2 2 2 2 2 2 2 2 2 7 2 2 5 3" xfId="27844" xr:uid="{490D6B5A-52DB-4EBF-8A29-B6C8A3DD9A4C}"/>
    <cellStyle name="Normal 3 2 2 2 2 2 2 2 2 2 2 7 2 2 5 4" xfId="27845" xr:uid="{A718AAEB-1CF5-4638-9D7D-DD84A630C4E0}"/>
    <cellStyle name="Normal 3 2 2 2 2 2 2 2 2 2 2 7 2 2 5 5" xfId="27846" xr:uid="{4C1222AB-E631-400C-A1C0-87E785952591}"/>
    <cellStyle name="Normal 3 2 2 2 2 2 2 2 2 2 2 7 2 2 5 6" xfId="27847" xr:uid="{8BF9E8E2-8DD0-4114-82EB-E2244E3F2A33}"/>
    <cellStyle name="Normal 3 2 2 2 2 2 2 2 2 2 2 7 2 2 6" xfId="27848" xr:uid="{C55E95E0-B5AD-4D99-AD6F-67307C314E61}"/>
    <cellStyle name="Normal 3 2 2 2 2 2 2 2 2 2 2 7 2 2 7" xfId="27849" xr:uid="{6B22CAEE-E8E7-447E-88AF-AE89D213673C}"/>
    <cellStyle name="Normal 3 2 2 2 2 2 2 2 2 2 2 7 2 2 8" xfId="27850" xr:uid="{A1F0EA0C-2795-4FFE-817C-AA41D6BEA36C}"/>
    <cellStyle name="Normal 3 2 2 2 2 2 2 2 2 2 2 7 2 2 9" xfId="27851" xr:uid="{17087EAD-ABF6-49F8-AC46-C289049630C5}"/>
    <cellStyle name="Normal 3 2 2 2 2 2 2 2 2 2 2 7 2 3" xfId="27852" xr:uid="{A20FBD3E-7179-4926-91B8-75493C7DBE4B}"/>
    <cellStyle name="Normal 3 2 2 2 2 2 2 2 2 2 2 7 2 4" xfId="27853" xr:uid="{0A87A205-AD84-4F1E-B42E-F9845EB0788F}"/>
    <cellStyle name="Normal 3 2 2 2 2 2 2 2 2 2 2 7 2 5" xfId="27854" xr:uid="{D7FCEDF9-412B-471C-9683-9E368DC3543C}"/>
    <cellStyle name="Normal 3 2 2 2 2 2 2 2 2 2 2 7 2 5 10" xfId="27855" xr:uid="{24CB9B5C-F072-411F-9A8E-5B76F8D9C7CD}"/>
    <cellStyle name="Normal 3 2 2 2 2 2 2 2 2 2 2 7 2 5 11" xfId="27856" xr:uid="{3BE8E233-7A03-4D34-8D26-B0497136DB1A}"/>
    <cellStyle name="Normal 3 2 2 2 2 2 2 2 2 2 2 7 2 5 2" xfId="27857" xr:uid="{693A34FC-A36E-42D4-82F2-D49F4E11A3C0}"/>
    <cellStyle name="Normal 3 2 2 2 2 2 2 2 2 2 2 7 2 5 2 10" xfId="27858" xr:uid="{03E78C8F-0D54-43FA-AF8E-6EBD30356B4A}"/>
    <cellStyle name="Normal 3 2 2 2 2 2 2 2 2 2 2 7 2 5 2 11" xfId="27859" xr:uid="{81DB5933-8F49-43C9-83DF-3E3C91AFBA14}"/>
    <cellStyle name="Normal 3 2 2 2 2 2 2 2 2 2 2 7 2 5 2 2" xfId="27860" xr:uid="{A52BC145-BEB0-4704-BD78-FA3673542F81}"/>
    <cellStyle name="Normal 3 2 2 2 2 2 2 2 2 2 2 7 2 5 2 2 2" xfId="27861" xr:uid="{4484E2C8-3650-4D8B-A513-1FFC0F938A01}"/>
    <cellStyle name="Normal 3 2 2 2 2 2 2 2 2 2 2 7 2 5 2 2 2 2" xfId="27862" xr:uid="{DF4965AD-105A-42E4-A4F6-6F573AEE4F44}"/>
    <cellStyle name="Normal 3 2 2 2 2 2 2 2 2 2 2 7 2 5 2 2 2 3" xfId="27863" xr:uid="{04941872-C900-45B6-84DC-078698FEED8F}"/>
    <cellStyle name="Normal 3 2 2 2 2 2 2 2 2 2 2 7 2 5 2 2 2 4" xfId="27864" xr:uid="{C1F7F087-0A78-4001-B7E8-0D8750F339F0}"/>
    <cellStyle name="Normal 3 2 2 2 2 2 2 2 2 2 2 7 2 5 2 2 3" xfId="27865" xr:uid="{71388DE9-0B24-4FD7-983A-AE2FCB92D778}"/>
    <cellStyle name="Normal 3 2 2 2 2 2 2 2 2 2 2 7 2 5 2 2 4" xfId="27866" xr:uid="{F30C21CA-70F2-4BEE-8FC7-2C88434FF291}"/>
    <cellStyle name="Normal 3 2 2 2 2 2 2 2 2 2 2 7 2 5 2 2 5" xfId="27867" xr:uid="{3111F46C-20F2-4727-A850-413CADA9F9D1}"/>
    <cellStyle name="Normal 3 2 2 2 2 2 2 2 2 2 2 7 2 5 2 2 6" xfId="27868" xr:uid="{A7A3D3B4-968B-4378-994B-B0A9DA0E98D1}"/>
    <cellStyle name="Normal 3 2 2 2 2 2 2 2 2 2 2 7 2 5 2 3" xfId="27869" xr:uid="{36C0CB69-4CE1-49D0-868F-A37A543F39E3}"/>
    <cellStyle name="Normal 3 2 2 2 2 2 2 2 2 2 2 7 2 5 2 4" xfId="27870" xr:uid="{977FF745-7386-4F24-923B-54304C01BC6A}"/>
    <cellStyle name="Normal 3 2 2 2 2 2 2 2 2 2 2 7 2 5 2 5" xfId="27871" xr:uid="{8BB1D88A-7A4E-4BFC-B443-7DE5A3C09FB5}"/>
    <cellStyle name="Normal 3 2 2 2 2 2 2 2 2 2 2 7 2 5 2 6" xfId="27872" xr:uid="{D5FB9E5C-BA40-47E1-9222-BEED9D6487A8}"/>
    <cellStyle name="Normal 3 2 2 2 2 2 2 2 2 2 2 7 2 5 2 7" xfId="27873" xr:uid="{57F2411F-8542-4FFE-95C4-2225F9D55891}"/>
    <cellStyle name="Normal 3 2 2 2 2 2 2 2 2 2 2 7 2 5 2 8" xfId="27874" xr:uid="{40C6930A-0D0A-4FA9-9657-0951A221EA5C}"/>
    <cellStyle name="Normal 3 2 2 2 2 2 2 2 2 2 2 7 2 5 2 8 2" xfId="27875" xr:uid="{4CCD9A56-79F6-4D02-A986-EBE8EAFB4BC2}"/>
    <cellStyle name="Normal 3 2 2 2 2 2 2 2 2 2 2 7 2 5 2 8 3" xfId="27876" xr:uid="{09D0E015-8D52-431C-95A8-A20D6A1D26F4}"/>
    <cellStyle name="Normal 3 2 2 2 2 2 2 2 2 2 2 7 2 5 2 8 4" xfId="27877" xr:uid="{0D54ED4E-6899-473D-92E7-C004BDE9D7D5}"/>
    <cellStyle name="Normal 3 2 2 2 2 2 2 2 2 2 2 7 2 5 2 9" xfId="27878" xr:uid="{24E87496-827D-48C0-8519-9922F6E0EDAF}"/>
    <cellStyle name="Normal 3 2 2 2 2 2 2 2 2 2 2 7 2 5 3" xfId="27879" xr:uid="{D3F033A2-B2A3-42A1-9AB0-9DD5AC38FC06}"/>
    <cellStyle name="Normal 3 2 2 2 2 2 2 2 2 2 2 7 2 5 3 2" xfId="27880" xr:uid="{BA069409-D646-4322-A5F8-3828C57D2B3C}"/>
    <cellStyle name="Normal 3 2 2 2 2 2 2 2 2 2 2 7 2 5 3 2 2" xfId="27881" xr:uid="{D72A12C3-D132-410A-916C-3FC9F6B735AD}"/>
    <cellStyle name="Normal 3 2 2 2 2 2 2 2 2 2 2 7 2 5 3 2 3" xfId="27882" xr:uid="{2ED37A23-5285-4F12-B9E1-6536CDF98963}"/>
    <cellStyle name="Normal 3 2 2 2 2 2 2 2 2 2 2 7 2 5 3 2 4" xfId="27883" xr:uid="{DAB6FBDF-5CD9-4278-BCA9-58372045B4EC}"/>
    <cellStyle name="Normal 3 2 2 2 2 2 2 2 2 2 2 7 2 5 3 3" xfId="27884" xr:uid="{614A955A-654D-4049-ADCB-2FFE92202C51}"/>
    <cellStyle name="Normal 3 2 2 2 2 2 2 2 2 2 2 7 2 5 3 4" xfId="27885" xr:uid="{ED1F4C95-E346-4A52-9E32-2A1B473B6574}"/>
    <cellStyle name="Normal 3 2 2 2 2 2 2 2 2 2 2 7 2 5 3 5" xfId="27886" xr:uid="{AC56CF5B-BF93-4DA1-B1D2-E4EDE5261E56}"/>
    <cellStyle name="Normal 3 2 2 2 2 2 2 2 2 2 2 7 2 5 3 6" xfId="27887" xr:uid="{C9DD8C54-C88B-467C-82E7-F54626A19262}"/>
    <cellStyle name="Normal 3 2 2 2 2 2 2 2 2 2 2 7 2 5 4" xfId="27888" xr:uid="{F5E3A64D-24FD-47D1-9E4B-E700168652A1}"/>
    <cellStyle name="Normal 3 2 2 2 2 2 2 2 2 2 2 7 2 5 5" xfId="27889" xr:uid="{E84B23C3-663D-43FC-8366-5DB47BDAA689}"/>
    <cellStyle name="Normal 3 2 2 2 2 2 2 2 2 2 2 7 2 5 6" xfId="27890" xr:uid="{D87CB3F1-9863-498D-A315-B06330932E88}"/>
    <cellStyle name="Normal 3 2 2 2 2 2 2 2 2 2 2 7 2 5 7" xfId="27891" xr:uid="{BE959153-E28A-4F8D-9952-5E91D4BE943E}"/>
    <cellStyle name="Normal 3 2 2 2 2 2 2 2 2 2 2 7 2 5 8" xfId="27892" xr:uid="{ED11BE7D-EF3F-4E5C-A42A-670FA996E516}"/>
    <cellStyle name="Normal 3 2 2 2 2 2 2 2 2 2 2 7 2 5 8 2" xfId="27893" xr:uid="{F356C573-BE05-4CEA-ADC9-D21BDF323744}"/>
    <cellStyle name="Normal 3 2 2 2 2 2 2 2 2 2 2 7 2 5 8 3" xfId="27894" xr:uid="{CC04AAEE-F56F-4F05-9D4C-3E4A6727E175}"/>
    <cellStyle name="Normal 3 2 2 2 2 2 2 2 2 2 2 7 2 5 8 4" xfId="27895" xr:uid="{FEAF6E0C-F431-4366-9E3F-1B7DCDBB1E85}"/>
    <cellStyle name="Normal 3 2 2 2 2 2 2 2 2 2 2 7 2 5 9" xfId="27896" xr:uid="{89A45DFA-000D-43AC-AEF1-2C53F9E1EAC0}"/>
    <cellStyle name="Normal 3 2 2 2 2 2 2 2 2 2 2 7 2 6" xfId="27897" xr:uid="{062305A0-D63C-4517-BBAB-1933AA5EEB4E}"/>
    <cellStyle name="Normal 3 2 2 2 2 2 2 2 2 2 2 7 2 7" xfId="27898" xr:uid="{50FED260-A312-418A-B3FD-CF5728AE8FD4}"/>
    <cellStyle name="Normal 3 2 2 2 2 2 2 2 2 2 2 7 2 7 2" xfId="27899" xr:uid="{5589959B-D346-4B99-95BF-E56DB4D17A1D}"/>
    <cellStyle name="Normal 3 2 2 2 2 2 2 2 2 2 2 7 2 7 2 2" xfId="27900" xr:uid="{0F9B264D-DA6B-4174-B2C4-8F91CDC8BFD2}"/>
    <cellStyle name="Normal 3 2 2 2 2 2 2 2 2 2 2 7 2 7 2 3" xfId="27901" xr:uid="{AFB73230-6FB0-463F-9DB8-9D09F4A9D53F}"/>
    <cellStyle name="Normal 3 2 2 2 2 2 2 2 2 2 2 7 2 7 2 4" xfId="27902" xr:uid="{B0117730-3359-46B7-AE7D-4131758A4145}"/>
    <cellStyle name="Normal 3 2 2 2 2 2 2 2 2 2 2 7 2 7 3" xfId="27903" xr:uid="{7FFCC739-511E-4442-BA11-4B286DDCF952}"/>
    <cellStyle name="Normal 3 2 2 2 2 2 2 2 2 2 2 7 2 7 4" xfId="27904" xr:uid="{B58BE9E6-1439-4A92-AB64-1FB374D6718B}"/>
    <cellStyle name="Normal 3 2 2 2 2 2 2 2 2 2 2 7 2 7 5" xfId="27905" xr:uid="{BACD8BAB-A079-481A-A5F7-DCA971C6F5F5}"/>
    <cellStyle name="Normal 3 2 2 2 2 2 2 2 2 2 2 7 2 7 6" xfId="27906" xr:uid="{7252FF7B-1B78-4D50-929A-9BEEED8097F0}"/>
    <cellStyle name="Normal 3 2 2 2 2 2 2 2 2 2 2 7 2 8" xfId="27907" xr:uid="{5BB8DBC9-D952-48F0-B15C-EDF304636C35}"/>
    <cellStyle name="Normal 3 2 2 2 2 2 2 2 2 2 2 7 2 9" xfId="27908" xr:uid="{AB8E6DFC-B2F1-4976-9CB7-9E6B313305E7}"/>
    <cellStyle name="Normal 3 2 2 2 2 2 2 2 2 2 2 7 20" xfId="27909" xr:uid="{B37D2495-7E26-45DA-AAAC-2AC7CC72AC62}"/>
    <cellStyle name="Normal 3 2 2 2 2 2 2 2 2 2 2 7 21" xfId="27910" xr:uid="{0BCF109E-25BF-443E-87A9-B3C9DBBE1CBA}"/>
    <cellStyle name="Normal 3 2 2 2 2 2 2 2 2 2 2 7 21 2" xfId="27911" xr:uid="{757AB736-F456-438F-9755-21BAE5D1A5FC}"/>
    <cellStyle name="Normal 3 2 2 2 2 2 2 2 2 2 2 7 21 3" xfId="27912" xr:uid="{75E416F9-BCDC-4C01-A7CC-A986B08CC6A7}"/>
    <cellStyle name="Normal 3 2 2 2 2 2 2 2 2 2 2 7 21 4" xfId="27913" xr:uid="{2CA7A40D-8138-4DFD-B1A7-92A9E8DEE846}"/>
    <cellStyle name="Normal 3 2 2 2 2 2 2 2 2 2 2 7 22" xfId="27914" xr:uid="{CE9E35AC-B232-482B-9996-2A2232E7D8E8}"/>
    <cellStyle name="Normal 3 2 2 2 2 2 2 2 2 2 2 7 23" xfId="27915" xr:uid="{E4821B40-E558-40BA-8A51-68C21F7709F1}"/>
    <cellStyle name="Normal 3 2 2 2 2 2 2 2 2 2 2 7 24" xfId="27916" xr:uid="{0D2B1D98-6E59-432C-A21D-C5F0BB49BA48}"/>
    <cellStyle name="Normal 3 2 2 2 2 2 2 2 2 2 2 7 3" xfId="27917" xr:uid="{E4B6F6FE-254B-4015-A717-E7FF57B6527D}"/>
    <cellStyle name="Normal 3 2 2 2 2 2 2 2 2 2 2 7 4" xfId="27918" xr:uid="{1A4372D0-5FE8-4B61-9F92-98A375CD701F}"/>
    <cellStyle name="Normal 3 2 2 2 2 2 2 2 2 2 2 7 5" xfId="27919" xr:uid="{A87C3945-9F4A-4C12-B221-13FE566F101F}"/>
    <cellStyle name="Normal 3 2 2 2 2 2 2 2 2 2 2 7 6" xfId="27920" xr:uid="{7316FF43-9CF2-4A53-9CD9-A63094112C60}"/>
    <cellStyle name="Normal 3 2 2 2 2 2 2 2 2 2 2 7 7" xfId="27921" xr:uid="{3BA510BF-E23E-4C61-82F2-79F99EAF083F}"/>
    <cellStyle name="Normal 3 2 2 2 2 2 2 2 2 2 2 7 8" xfId="27922" xr:uid="{F7C16B15-4465-44BF-8B99-18C95FBE0026}"/>
    <cellStyle name="Normal 3 2 2 2 2 2 2 2 2 2 2 7 9" xfId="27923" xr:uid="{947014B0-5E04-41AF-8A14-832958285B96}"/>
    <cellStyle name="Normal 3 2 2 2 2 2 2 2 2 2 2 70" xfId="27924" xr:uid="{176792BE-EC08-4C63-A66C-27560C5E9FC3}"/>
    <cellStyle name="Normal 3 2 2 2 2 2 2 2 2 2 2 71" xfId="27925" xr:uid="{41A9E23E-CCA7-4A5B-980A-EF921B45205C}"/>
    <cellStyle name="Normal 3 2 2 2 2 2 2 2 2 2 2 72" xfId="27926" xr:uid="{33E6D276-62D5-4D09-B9D5-602E21BCEF2F}"/>
    <cellStyle name="Normal 3 2 2 2 2 2 2 2 2 2 2 73" xfId="27927" xr:uid="{94A178F2-7733-4302-A170-79B335FEE6DA}"/>
    <cellStyle name="Normal 3 2 2 2 2 2 2 2 2 2 2 73 2" xfId="27928" xr:uid="{B5C40E0B-9E34-4B6F-8D29-ECDCF226FA3C}"/>
    <cellStyle name="Normal 3 2 2 2 2 2 2 2 2 2 2 73 3" xfId="27929" xr:uid="{63F40727-6584-4302-8612-A915A991B0F3}"/>
    <cellStyle name="Normal 3 2 2 2 2 2 2 2 2 2 2 73 4" xfId="27930" xr:uid="{5B5A183E-699F-4AC2-9081-4F86421D1FFC}"/>
    <cellStyle name="Normal 3 2 2 2 2 2 2 2 2 2 2 74" xfId="27931" xr:uid="{C0F557ED-E7FB-4E02-81FF-BACAE1F09F14}"/>
    <cellStyle name="Normal 3 2 2 2 2 2 2 2 2 2 2 75" xfId="27932" xr:uid="{47838C6C-A885-4CCB-95F8-F53446B11C92}"/>
    <cellStyle name="Normal 3 2 2 2 2 2 2 2 2 2 2 8" xfId="27933" xr:uid="{8638C0DD-A446-4E7A-8355-FF355616FFDC}"/>
    <cellStyle name="Normal 3 2 2 2 2 2 2 2 2 2 2 8 10" xfId="27934" xr:uid="{29DFAA3C-73E1-499B-A08D-D6F2B1E58FA7}"/>
    <cellStyle name="Normal 3 2 2 2 2 2 2 2 2 2 2 8 11" xfId="27935" xr:uid="{CC3E94F9-3CB5-4B92-B004-3134A3112963}"/>
    <cellStyle name="Normal 3 2 2 2 2 2 2 2 2 2 2 8 12" xfId="27936" xr:uid="{DD17B66C-5635-4A82-AAB5-9F4142967D12}"/>
    <cellStyle name="Normal 3 2 2 2 2 2 2 2 2 2 2 8 13" xfId="27937" xr:uid="{A86F8309-AD74-4414-AE7E-9465D6CCE578}"/>
    <cellStyle name="Normal 3 2 2 2 2 2 2 2 2 2 2 8 13 2" xfId="27938" xr:uid="{A2080AE5-CF6B-4C5D-BB4C-9FCBD9C8F253}"/>
    <cellStyle name="Normal 3 2 2 2 2 2 2 2 2 2 2 8 13 3" xfId="27939" xr:uid="{93AB80D8-8C97-4F63-8908-76BE90149D17}"/>
    <cellStyle name="Normal 3 2 2 2 2 2 2 2 2 2 2 8 13 4" xfId="27940" xr:uid="{D9169197-99D0-4140-9FA8-DB89EB62C95A}"/>
    <cellStyle name="Normal 3 2 2 2 2 2 2 2 2 2 2 8 14" xfId="27941" xr:uid="{2AC67243-E1A6-407B-A2CB-C1CDEAB0E2B8}"/>
    <cellStyle name="Normal 3 2 2 2 2 2 2 2 2 2 2 8 15" xfId="27942" xr:uid="{3867A830-7A24-47AC-A37F-4D5E9A9C8F78}"/>
    <cellStyle name="Normal 3 2 2 2 2 2 2 2 2 2 2 8 16" xfId="27943" xr:uid="{5BB5963E-6DA3-4F55-9DAE-42642CE4B09F}"/>
    <cellStyle name="Normal 3 2 2 2 2 2 2 2 2 2 2 8 2" xfId="27944" xr:uid="{19313106-110D-4201-B267-C387C621C94B}"/>
    <cellStyle name="Normal 3 2 2 2 2 2 2 2 2 2 2 8 2 10" xfId="27945" xr:uid="{64BA2C5E-AB6C-4B1F-A246-9EC1A36E3540}"/>
    <cellStyle name="Normal 3 2 2 2 2 2 2 2 2 2 2 8 2 11" xfId="27946" xr:uid="{84F8E4B1-A2FA-4DB8-ADF7-DC344BB4D8DF}"/>
    <cellStyle name="Normal 3 2 2 2 2 2 2 2 2 2 2 8 2 11 2" xfId="27947" xr:uid="{F8EA5BD7-9867-474C-BFCB-76EF65404100}"/>
    <cellStyle name="Normal 3 2 2 2 2 2 2 2 2 2 2 8 2 11 3" xfId="27948" xr:uid="{6F6BCF28-B284-45C0-86EE-70F10C7DAA8B}"/>
    <cellStyle name="Normal 3 2 2 2 2 2 2 2 2 2 2 8 2 11 4" xfId="27949" xr:uid="{AD3CB656-B66E-461E-B119-2B4EC44C5F68}"/>
    <cellStyle name="Normal 3 2 2 2 2 2 2 2 2 2 2 8 2 12" xfId="27950" xr:uid="{E41C2967-984D-4510-8552-1622B621DE7E}"/>
    <cellStyle name="Normal 3 2 2 2 2 2 2 2 2 2 2 8 2 13" xfId="27951" xr:uid="{B35FF439-280D-4734-BB81-EECAAD196B0E}"/>
    <cellStyle name="Normal 3 2 2 2 2 2 2 2 2 2 2 8 2 14" xfId="27952" xr:uid="{A5779ADE-8C9A-4B9B-8DFE-99A2236A730B}"/>
    <cellStyle name="Normal 3 2 2 2 2 2 2 2 2 2 2 8 2 2" xfId="27953" xr:uid="{6EA35826-B37A-450C-9E06-1C5869DBC9F9}"/>
    <cellStyle name="Normal 3 2 2 2 2 2 2 2 2 2 2 8 2 2 10" xfId="27954" xr:uid="{08F5BDFB-5E4E-4024-A06E-57594CDD9D6F}"/>
    <cellStyle name="Normal 3 2 2 2 2 2 2 2 2 2 2 8 2 2 11" xfId="27955" xr:uid="{239590C5-E9E0-4DCE-BED6-E1B66D0832CD}"/>
    <cellStyle name="Normal 3 2 2 2 2 2 2 2 2 2 2 8 2 2 2" xfId="27956" xr:uid="{84FC2792-29B9-4984-A96E-B5C248B8D657}"/>
    <cellStyle name="Normal 3 2 2 2 2 2 2 2 2 2 2 8 2 2 2 10" xfId="27957" xr:uid="{DA162877-1C0C-4B0B-B06A-8FAA6816B7A4}"/>
    <cellStyle name="Normal 3 2 2 2 2 2 2 2 2 2 2 8 2 2 2 11" xfId="27958" xr:uid="{A1F7E620-BDC0-4967-A97F-4FB06C51EA16}"/>
    <cellStyle name="Normal 3 2 2 2 2 2 2 2 2 2 2 8 2 2 2 2" xfId="27959" xr:uid="{CC7231EB-2827-4BFD-9607-3C1F9BE847A7}"/>
    <cellStyle name="Normal 3 2 2 2 2 2 2 2 2 2 2 8 2 2 2 2 2" xfId="27960" xr:uid="{EEF96497-2039-45BC-BA30-05F43E9CB50B}"/>
    <cellStyle name="Normal 3 2 2 2 2 2 2 2 2 2 2 8 2 2 2 2 2 2" xfId="27961" xr:uid="{19AEC4DF-F76E-4E7B-8DCD-5F6E4ECDF4E1}"/>
    <cellStyle name="Normal 3 2 2 2 2 2 2 2 2 2 2 8 2 2 2 2 2 3" xfId="27962" xr:uid="{09FB2F4C-426C-4EDB-8B24-0CF050559B06}"/>
    <cellStyle name="Normal 3 2 2 2 2 2 2 2 2 2 2 8 2 2 2 2 2 4" xfId="27963" xr:uid="{1DA91CE8-72FF-4269-8029-91690F8015F5}"/>
    <cellStyle name="Normal 3 2 2 2 2 2 2 2 2 2 2 8 2 2 2 2 3" xfId="27964" xr:uid="{751A971F-1BDB-4F32-A822-4F29F75F9CC9}"/>
    <cellStyle name="Normal 3 2 2 2 2 2 2 2 2 2 2 8 2 2 2 2 4" xfId="27965" xr:uid="{AE7C1D9C-D8C1-4E3D-B22E-7EC509B6DC16}"/>
    <cellStyle name="Normal 3 2 2 2 2 2 2 2 2 2 2 8 2 2 2 2 5" xfId="27966" xr:uid="{494E89CB-444E-4CE1-BF78-432BB8A0D187}"/>
    <cellStyle name="Normal 3 2 2 2 2 2 2 2 2 2 2 8 2 2 2 2 6" xfId="27967" xr:uid="{ADB0B925-AA34-4DB5-81E6-870730E1FC82}"/>
    <cellStyle name="Normal 3 2 2 2 2 2 2 2 2 2 2 8 2 2 2 3" xfId="27968" xr:uid="{BF975505-8347-4FAD-8F11-7D0153E30099}"/>
    <cellStyle name="Normal 3 2 2 2 2 2 2 2 2 2 2 8 2 2 2 4" xfId="27969" xr:uid="{96F44E46-9F5A-4FE2-B6E8-CA7CE3514F64}"/>
    <cellStyle name="Normal 3 2 2 2 2 2 2 2 2 2 2 8 2 2 2 5" xfId="27970" xr:uid="{FA1CC4E3-8271-4CC5-8248-9CD07D7602F6}"/>
    <cellStyle name="Normal 3 2 2 2 2 2 2 2 2 2 2 8 2 2 2 6" xfId="27971" xr:uid="{9CF555F2-A460-4A0C-A709-304BF8998AC2}"/>
    <cellStyle name="Normal 3 2 2 2 2 2 2 2 2 2 2 8 2 2 2 7" xfId="27972" xr:uid="{DEC0917D-E702-4A00-A10D-BFCECA4666B8}"/>
    <cellStyle name="Normal 3 2 2 2 2 2 2 2 2 2 2 8 2 2 2 8" xfId="27973" xr:uid="{4CF81E62-C3D2-4DA7-AB39-BA2DA857AB8E}"/>
    <cellStyle name="Normal 3 2 2 2 2 2 2 2 2 2 2 8 2 2 2 8 2" xfId="27974" xr:uid="{AEB4AF6E-49C0-4FFB-857C-29E62210B419}"/>
    <cellStyle name="Normal 3 2 2 2 2 2 2 2 2 2 2 8 2 2 2 8 3" xfId="27975" xr:uid="{62C3511C-84C3-4590-89B6-60C2BCA7A973}"/>
    <cellStyle name="Normal 3 2 2 2 2 2 2 2 2 2 2 8 2 2 2 8 4" xfId="27976" xr:uid="{4998660B-8623-43D2-8CF6-A7DA81A7F965}"/>
    <cellStyle name="Normal 3 2 2 2 2 2 2 2 2 2 2 8 2 2 2 9" xfId="27977" xr:uid="{549CFC0E-9C6D-4937-A118-8D1A9254D991}"/>
    <cellStyle name="Normal 3 2 2 2 2 2 2 2 2 2 2 8 2 2 3" xfId="27978" xr:uid="{0875B4F8-2DB7-4F3F-A479-CEE91042C73B}"/>
    <cellStyle name="Normal 3 2 2 2 2 2 2 2 2 2 2 8 2 2 3 2" xfId="27979" xr:uid="{A8E18645-9215-4B09-92EE-B50B7709D89C}"/>
    <cellStyle name="Normal 3 2 2 2 2 2 2 2 2 2 2 8 2 2 3 2 2" xfId="27980" xr:uid="{D55C42E9-309A-4452-83EF-56C9F1A014C3}"/>
    <cellStyle name="Normal 3 2 2 2 2 2 2 2 2 2 2 8 2 2 3 2 3" xfId="27981" xr:uid="{CE3D16C1-BFDB-4743-94D1-1FF3D785C9FE}"/>
    <cellStyle name="Normal 3 2 2 2 2 2 2 2 2 2 2 8 2 2 3 2 4" xfId="27982" xr:uid="{B8EC378E-A236-47E3-BA54-EA9274F49E08}"/>
    <cellStyle name="Normal 3 2 2 2 2 2 2 2 2 2 2 8 2 2 3 3" xfId="27983" xr:uid="{511E2647-3923-4777-BA68-EC7A20AE01C0}"/>
    <cellStyle name="Normal 3 2 2 2 2 2 2 2 2 2 2 8 2 2 3 4" xfId="27984" xr:uid="{DEBB860F-1164-4FFD-A77C-36201A41F2B4}"/>
    <cellStyle name="Normal 3 2 2 2 2 2 2 2 2 2 2 8 2 2 3 5" xfId="27985" xr:uid="{14414507-BBC8-40F2-8F0A-0E0C46688930}"/>
    <cellStyle name="Normal 3 2 2 2 2 2 2 2 2 2 2 8 2 2 3 6" xfId="27986" xr:uid="{42169CA7-8B65-4AC0-953C-8596888C5E94}"/>
    <cellStyle name="Normal 3 2 2 2 2 2 2 2 2 2 2 8 2 2 4" xfId="27987" xr:uid="{464EE454-0999-4683-861E-91F047F67F5C}"/>
    <cellStyle name="Normal 3 2 2 2 2 2 2 2 2 2 2 8 2 2 5" xfId="27988" xr:uid="{719FBB2F-F7FF-44A7-9C76-18CE9E3CC1D6}"/>
    <cellStyle name="Normal 3 2 2 2 2 2 2 2 2 2 2 8 2 2 6" xfId="27989" xr:uid="{4285E8CC-AE8A-4259-A911-222B7377FDFE}"/>
    <cellStyle name="Normal 3 2 2 2 2 2 2 2 2 2 2 8 2 2 7" xfId="27990" xr:uid="{CA21FFC2-2B0B-4863-98D2-14899318E6A4}"/>
    <cellStyle name="Normal 3 2 2 2 2 2 2 2 2 2 2 8 2 2 8" xfId="27991" xr:uid="{A25DEBB5-E216-4604-AB56-77D2398EC932}"/>
    <cellStyle name="Normal 3 2 2 2 2 2 2 2 2 2 2 8 2 2 8 2" xfId="27992" xr:uid="{BC5FA2FD-5DA2-48C8-AB35-CAB1C4DBE1C1}"/>
    <cellStyle name="Normal 3 2 2 2 2 2 2 2 2 2 2 8 2 2 8 3" xfId="27993" xr:uid="{00B10DB3-FF0C-461C-A10C-E63DD718CFDC}"/>
    <cellStyle name="Normal 3 2 2 2 2 2 2 2 2 2 2 8 2 2 8 4" xfId="27994" xr:uid="{4511DA88-8CB3-4B29-B8C1-1B8825D7460F}"/>
    <cellStyle name="Normal 3 2 2 2 2 2 2 2 2 2 2 8 2 2 9" xfId="27995" xr:uid="{531A5265-97BC-4CA0-8863-310F7E799D07}"/>
    <cellStyle name="Normal 3 2 2 2 2 2 2 2 2 2 2 8 2 3" xfId="27996" xr:uid="{72057E83-1D81-454D-9F9A-A9CA620D5107}"/>
    <cellStyle name="Normal 3 2 2 2 2 2 2 2 2 2 2 8 2 4" xfId="27997" xr:uid="{9CC69859-4791-4A5B-A2EE-7865F54A9415}"/>
    <cellStyle name="Normal 3 2 2 2 2 2 2 2 2 2 2 8 2 5" xfId="27998" xr:uid="{3AEF3590-D45B-4415-AD82-82B9472F9FE2}"/>
    <cellStyle name="Normal 3 2 2 2 2 2 2 2 2 2 2 8 2 5 2" xfId="27999" xr:uid="{46883300-BCFE-40F2-B778-AB02971A79E4}"/>
    <cellStyle name="Normal 3 2 2 2 2 2 2 2 2 2 2 8 2 5 2 2" xfId="28000" xr:uid="{425F3AE2-D607-487A-B0F8-0892FB377B7E}"/>
    <cellStyle name="Normal 3 2 2 2 2 2 2 2 2 2 2 8 2 5 2 3" xfId="28001" xr:uid="{9B1BF182-DF9A-4D42-8C56-167869C03D75}"/>
    <cellStyle name="Normal 3 2 2 2 2 2 2 2 2 2 2 8 2 5 2 4" xfId="28002" xr:uid="{40464AED-EC48-4CDD-8EFE-E0DEE1C6329C}"/>
    <cellStyle name="Normal 3 2 2 2 2 2 2 2 2 2 2 8 2 5 3" xfId="28003" xr:uid="{214AC577-79D2-41B4-8710-34D0A8FC505A}"/>
    <cellStyle name="Normal 3 2 2 2 2 2 2 2 2 2 2 8 2 5 4" xfId="28004" xr:uid="{0EDA6A6D-A856-46D5-8F23-9BAFF90C5CFF}"/>
    <cellStyle name="Normal 3 2 2 2 2 2 2 2 2 2 2 8 2 5 5" xfId="28005" xr:uid="{B52E29B5-353C-4333-9892-5BA37C009E9A}"/>
    <cellStyle name="Normal 3 2 2 2 2 2 2 2 2 2 2 8 2 5 6" xfId="28006" xr:uid="{E3330BC7-ABA9-4BF8-B87C-D52F3266CC5B}"/>
    <cellStyle name="Normal 3 2 2 2 2 2 2 2 2 2 2 8 2 6" xfId="28007" xr:uid="{4967DDAC-2B04-4214-9C73-DC077147DAC9}"/>
    <cellStyle name="Normal 3 2 2 2 2 2 2 2 2 2 2 8 2 7" xfId="28008" xr:uid="{7BAB2F02-C808-47AF-8DE7-27B9C4577851}"/>
    <cellStyle name="Normal 3 2 2 2 2 2 2 2 2 2 2 8 2 8" xfId="28009" xr:uid="{0E95A980-EF99-48EB-98E9-32BED7056F8C}"/>
    <cellStyle name="Normal 3 2 2 2 2 2 2 2 2 2 2 8 2 9" xfId="28010" xr:uid="{BF44B383-C32D-467B-856E-1DEFA93594D0}"/>
    <cellStyle name="Normal 3 2 2 2 2 2 2 2 2 2 2 8 3" xfId="28011" xr:uid="{741527E0-3A62-4316-BBF3-3C3370328C84}"/>
    <cellStyle name="Normal 3 2 2 2 2 2 2 2 2 2 2 8 4" xfId="28012" xr:uid="{AB63D9CA-E6E2-445E-9A29-05410D590288}"/>
    <cellStyle name="Normal 3 2 2 2 2 2 2 2 2 2 2 8 5" xfId="28013" xr:uid="{53ABAD47-2C01-44A7-A5F0-2C2ABA7EA9B4}"/>
    <cellStyle name="Normal 3 2 2 2 2 2 2 2 2 2 2 8 5 10" xfId="28014" xr:uid="{D8FB2ABC-0FD2-4B3F-9BF4-84840A28B567}"/>
    <cellStyle name="Normal 3 2 2 2 2 2 2 2 2 2 2 8 5 11" xfId="28015" xr:uid="{CF635975-C4EF-48EC-BDCC-21879A4A9E70}"/>
    <cellStyle name="Normal 3 2 2 2 2 2 2 2 2 2 2 8 5 2" xfId="28016" xr:uid="{9DE84B08-FAAF-44C6-B35B-A081E4FF28CE}"/>
    <cellStyle name="Normal 3 2 2 2 2 2 2 2 2 2 2 8 5 2 10" xfId="28017" xr:uid="{0D191051-53E0-4146-8010-40F56EF722CB}"/>
    <cellStyle name="Normal 3 2 2 2 2 2 2 2 2 2 2 8 5 2 11" xfId="28018" xr:uid="{2EA382F7-04C3-45A0-8B12-BA210087576F}"/>
    <cellStyle name="Normal 3 2 2 2 2 2 2 2 2 2 2 8 5 2 2" xfId="28019" xr:uid="{EBC7F803-01B4-45AE-AA29-34D815DA93B8}"/>
    <cellStyle name="Normal 3 2 2 2 2 2 2 2 2 2 2 8 5 2 2 2" xfId="28020" xr:uid="{194160BC-CEC1-4925-8E1D-C51CC407F15A}"/>
    <cellStyle name="Normal 3 2 2 2 2 2 2 2 2 2 2 8 5 2 2 2 2" xfId="28021" xr:uid="{CC4A0E3E-BAC7-4C46-B90B-A3D1A33F2E18}"/>
    <cellStyle name="Normal 3 2 2 2 2 2 2 2 2 2 2 8 5 2 2 2 3" xfId="28022" xr:uid="{B799CF61-56F4-49A4-B6C1-A18EB58FC22D}"/>
    <cellStyle name="Normal 3 2 2 2 2 2 2 2 2 2 2 8 5 2 2 2 4" xfId="28023" xr:uid="{2808AC15-D6AA-423E-BD4D-E8BE6378EA78}"/>
    <cellStyle name="Normal 3 2 2 2 2 2 2 2 2 2 2 8 5 2 2 3" xfId="28024" xr:uid="{F75136FE-F93D-416D-BFF1-B831DF6A1BE3}"/>
    <cellStyle name="Normal 3 2 2 2 2 2 2 2 2 2 2 8 5 2 2 4" xfId="28025" xr:uid="{2BA1E460-6508-4D92-80A9-1E4BAA5D0D50}"/>
    <cellStyle name="Normal 3 2 2 2 2 2 2 2 2 2 2 8 5 2 2 5" xfId="28026" xr:uid="{FB0CFDA3-BB84-4333-802B-C5FE3B49916E}"/>
    <cellStyle name="Normal 3 2 2 2 2 2 2 2 2 2 2 8 5 2 2 6" xfId="28027" xr:uid="{81232618-9A82-46CC-89C5-BB4CB48D34B4}"/>
    <cellStyle name="Normal 3 2 2 2 2 2 2 2 2 2 2 8 5 2 3" xfId="28028" xr:uid="{C08D0DB9-63A1-47BA-95B4-14296E820AE0}"/>
    <cellStyle name="Normal 3 2 2 2 2 2 2 2 2 2 2 8 5 2 4" xfId="28029" xr:uid="{7715FE93-647E-4DFE-8847-BCEBD6C1424E}"/>
    <cellStyle name="Normal 3 2 2 2 2 2 2 2 2 2 2 8 5 2 5" xfId="28030" xr:uid="{32D111FE-9FA3-4C12-B496-D47B082F1F19}"/>
    <cellStyle name="Normal 3 2 2 2 2 2 2 2 2 2 2 8 5 2 6" xfId="28031" xr:uid="{25DD5AFC-76B1-4957-9F07-F63255A1FB3C}"/>
    <cellStyle name="Normal 3 2 2 2 2 2 2 2 2 2 2 8 5 2 7" xfId="28032" xr:uid="{2F347584-F2D9-42D2-9ECD-AB2AAC33E57D}"/>
    <cellStyle name="Normal 3 2 2 2 2 2 2 2 2 2 2 8 5 2 8" xfId="28033" xr:uid="{BEBA299A-C8AA-4355-BF6F-263BDF96FB40}"/>
    <cellStyle name="Normal 3 2 2 2 2 2 2 2 2 2 2 8 5 2 8 2" xfId="28034" xr:uid="{DBD06703-BBB6-4208-8449-5ABA91EF0290}"/>
    <cellStyle name="Normal 3 2 2 2 2 2 2 2 2 2 2 8 5 2 8 3" xfId="28035" xr:uid="{68ECA01E-0F72-4375-A422-2F8D6DC6324C}"/>
    <cellStyle name="Normal 3 2 2 2 2 2 2 2 2 2 2 8 5 2 8 4" xfId="28036" xr:uid="{3A4CBA05-0A46-4E15-AD85-7CBD02BC9FC4}"/>
    <cellStyle name="Normal 3 2 2 2 2 2 2 2 2 2 2 8 5 2 9" xfId="28037" xr:uid="{BD1FE435-204C-445E-843F-AC9CE97F668A}"/>
    <cellStyle name="Normal 3 2 2 2 2 2 2 2 2 2 2 8 5 3" xfId="28038" xr:uid="{0C745C0E-8ECE-46A6-8E17-2B32C69D6568}"/>
    <cellStyle name="Normal 3 2 2 2 2 2 2 2 2 2 2 8 5 3 2" xfId="28039" xr:uid="{AA957682-F730-4257-9E56-7E5E6BDC74B3}"/>
    <cellStyle name="Normal 3 2 2 2 2 2 2 2 2 2 2 8 5 3 2 2" xfId="28040" xr:uid="{3E3DF2F8-5AEF-4C1F-B88D-8B3652572041}"/>
    <cellStyle name="Normal 3 2 2 2 2 2 2 2 2 2 2 8 5 3 2 3" xfId="28041" xr:uid="{FB8076D3-E750-4725-98DB-A31963978AFB}"/>
    <cellStyle name="Normal 3 2 2 2 2 2 2 2 2 2 2 8 5 3 2 4" xfId="28042" xr:uid="{F7F847FB-6145-4B69-A4A2-F5322F4E930B}"/>
    <cellStyle name="Normal 3 2 2 2 2 2 2 2 2 2 2 8 5 3 3" xfId="28043" xr:uid="{BD418955-7B5E-4C9F-B156-DF2E589B4BAD}"/>
    <cellStyle name="Normal 3 2 2 2 2 2 2 2 2 2 2 8 5 3 4" xfId="28044" xr:uid="{CE2B3538-1277-4CBA-8880-DA8542A16E09}"/>
    <cellStyle name="Normal 3 2 2 2 2 2 2 2 2 2 2 8 5 3 5" xfId="28045" xr:uid="{1149EBD9-7FED-443B-80B6-E9F016C4C301}"/>
    <cellStyle name="Normal 3 2 2 2 2 2 2 2 2 2 2 8 5 3 6" xfId="28046" xr:uid="{F0CAA942-B642-455D-9063-5D5633F257F4}"/>
    <cellStyle name="Normal 3 2 2 2 2 2 2 2 2 2 2 8 5 4" xfId="28047" xr:uid="{226D8107-2F59-4478-8460-2A35C67E15C9}"/>
    <cellStyle name="Normal 3 2 2 2 2 2 2 2 2 2 2 8 5 5" xfId="28048" xr:uid="{5874F45E-9C59-46F3-B181-4EC6CE034B51}"/>
    <cellStyle name="Normal 3 2 2 2 2 2 2 2 2 2 2 8 5 6" xfId="28049" xr:uid="{D2900274-0B44-4745-BDDD-37395C43FC8E}"/>
    <cellStyle name="Normal 3 2 2 2 2 2 2 2 2 2 2 8 5 7" xfId="28050" xr:uid="{7E3A1570-E452-4BEC-98EC-CF34FBB11654}"/>
    <cellStyle name="Normal 3 2 2 2 2 2 2 2 2 2 2 8 5 8" xfId="28051" xr:uid="{9481C1B7-9803-4BFC-AAE4-E3173DE022EA}"/>
    <cellStyle name="Normal 3 2 2 2 2 2 2 2 2 2 2 8 5 8 2" xfId="28052" xr:uid="{C8CD273B-E8D3-4D89-9344-516ED27362BA}"/>
    <cellStyle name="Normal 3 2 2 2 2 2 2 2 2 2 2 8 5 8 3" xfId="28053" xr:uid="{0B99E76C-766B-44A8-A6BD-4CD8CD1C9ED1}"/>
    <cellStyle name="Normal 3 2 2 2 2 2 2 2 2 2 2 8 5 8 4" xfId="28054" xr:uid="{94AFEBE4-F115-4669-BB73-85C87D703E5D}"/>
    <cellStyle name="Normal 3 2 2 2 2 2 2 2 2 2 2 8 5 9" xfId="28055" xr:uid="{CF67BBF2-F681-40A7-B876-5D183154755B}"/>
    <cellStyle name="Normal 3 2 2 2 2 2 2 2 2 2 2 8 6" xfId="28056" xr:uid="{DD053888-C449-40D7-93E8-54C3975521F9}"/>
    <cellStyle name="Normal 3 2 2 2 2 2 2 2 2 2 2 8 7" xfId="28057" xr:uid="{E3B58364-82B2-4CB1-8052-6A0D0CA78054}"/>
    <cellStyle name="Normal 3 2 2 2 2 2 2 2 2 2 2 8 7 2" xfId="28058" xr:uid="{3E100A51-8425-46E3-B876-08806A3136B6}"/>
    <cellStyle name="Normal 3 2 2 2 2 2 2 2 2 2 2 8 7 2 2" xfId="28059" xr:uid="{7C53543D-F568-45A4-A875-2C4FB9C561F1}"/>
    <cellStyle name="Normal 3 2 2 2 2 2 2 2 2 2 2 8 7 2 3" xfId="28060" xr:uid="{A53CD931-6B4E-4369-AB57-5278729691AD}"/>
    <cellStyle name="Normal 3 2 2 2 2 2 2 2 2 2 2 8 7 2 4" xfId="28061" xr:uid="{F44383BA-D08F-4773-B0B7-70ADB4AE166C}"/>
    <cellStyle name="Normal 3 2 2 2 2 2 2 2 2 2 2 8 7 3" xfId="28062" xr:uid="{9CE00638-19D2-4739-A3DC-648D48A31787}"/>
    <cellStyle name="Normal 3 2 2 2 2 2 2 2 2 2 2 8 7 4" xfId="28063" xr:uid="{B6287FA5-BB43-4ADA-B658-9D6B7E41880E}"/>
    <cellStyle name="Normal 3 2 2 2 2 2 2 2 2 2 2 8 7 5" xfId="28064" xr:uid="{998FA069-036B-4558-B72F-3A395E08958F}"/>
    <cellStyle name="Normal 3 2 2 2 2 2 2 2 2 2 2 8 7 6" xfId="28065" xr:uid="{7724ACF9-3128-4643-A34D-5D30C28483DD}"/>
    <cellStyle name="Normal 3 2 2 2 2 2 2 2 2 2 2 8 8" xfId="28066" xr:uid="{CCDE46DB-3060-4511-8095-578108213847}"/>
    <cellStyle name="Normal 3 2 2 2 2 2 2 2 2 2 2 8 9" xfId="28067" xr:uid="{90F1DD21-995B-433D-854A-6CE6E383761A}"/>
    <cellStyle name="Normal 3 2 2 2 2 2 2 2 2 2 2 9" xfId="28068" xr:uid="{9BEC44F9-E3DE-4CC5-9467-7AC8B78879D4}"/>
    <cellStyle name="Normal 3 2 2 2 2 2 2 2 2 2 20" xfId="28069" xr:uid="{66D41B98-9CC9-4CC0-BAF7-B4160E734339}"/>
    <cellStyle name="Normal 3 2 2 2 2 2 2 2 2 2 21" xfId="28070" xr:uid="{955C74E6-1DE3-4575-BBD6-CE824C602CEB}"/>
    <cellStyle name="Normal 3 2 2 2 2 2 2 2 2 2 21 2" xfId="28071" xr:uid="{BDEF098A-9FAA-448D-82E5-55536A286A78}"/>
    <cellStyle name="Normal 3 2 2 2 2 2 2 2 2 2 21 2 2" xfId="28072" xr:uid="{7674E9A9-F729-4109-949D-F0D4FDFE005A}"/>
    <cellStyle name="Normal 3 2 2 2 2 2 2 2 2 2 21 2 3" xfId="28073" xr:uid="{CED3C8A5-D6DB-4FC2-9289-364FF16FDEF7}"/>
    <cellStyle name="Normal 3 2 2 2 2 2 2 2 2 2 21 2 4" xfId="28074" xr:uid="{C13DE40E-C20C-4793-A601-BF62D0FE629B}"/>
    <cellStyle name="Normal 3 2 2 2 2 2 2 2 2 2 21 3" xfId="28075" xr:uid="{58857372-E459-4BBA-BDB6-F4C26C651ED5}"/>
    <cellStyle name="Normal 3 2 2 2 2 2 2 2 2 2 21 4" xfId="28076" xr:uid="{1C84697D-2A9D-4956-88DD-2F5D9EE96441}"/>
    <cellStyle name="Normal 3 2 2 2 2 2 2 2 2 2 21 5" xfId="28077" xr:uid="{B2616DA1-ABC6-4E09-8304-1435D86B6E88}"/>
    <cellStyle name="Normal 3 2 2 2 2 2 2 2 2 2 21 6" xfId="28078" xr:uid="{1180D5C6-5230-4F00-85CE-443BD5284028}"/>
    <cellStyle name="Normal 3 2 2 2 2 2 2 2 2 2 22" xfId="28079" xr:uid="{3F3E10F0-2CC3-4228-A139-B2F13DAB9B9A}"/>
    <cellStyle name="Normal 3 2 2 2 2 2 2 2 2 2 23" xfId="28080" xr:uid="{0EE450F6-5DA6-4C08-A4ED-92E79D8ECCD3}"/>
    <cellStyle name="Normal 3 2 2 2 2 2 2 2 2 2 24" xfId="28081" xr:uid="{4D81B134-3F69-4251-A4F4-45E102117CAF}"/>
    <cellStyle name="Normal 3 2 2 2 2 2 2 2 2 2 25" xfId="28082" xr:uid="{06969604-4172-4640-9AB5-D4D93441C92E}"/>
    <cellStyle name="Normal 3 2 2 2 2 2 2 2 2 2 26" xfId="28083" xr:uid="{479708BE-B767-4363-A0DE-49F57B845980}"/>
    <cellStyle name="Normal 3 2 2 2 2 2 2 2 2 2 27" xfId="28084" xr:uid="{DF97DAC2-3F63-4378-976A-33B1FF320365}"/>
    <cellStyle name="Normal 3 2 2 2 2 2 2 2 2 2 27 2" xfId="28085" xr:uid="{F423FE81-A8FE-4D53-8ADB-C44D6EC8B2DA}"/>
    <cellStyle name="Normal 3 2 2 2 2 2 2 2 2 2 27 3" xfId="28086" xr:uid="{D2E2C7F5-BA8A-433F-8451-EEF76D83F0FB}"/>
    <cellStyle name="Normal 3 2 2 2 2 2 2 2 2 2 27 4" xfId="28087" xr:uid="{790C5853-6304-443E-9211-5BA3BD8046C6}"/>
    <cellStyle name="Normal 3 2 2 2 2 2 2 2 2 2 28" xfId="28088" xr:uid="{20716E97-BD92-4968-8BAB-4EF2D850CAE8}"/>
    <cellStyle name="Normal 3 2 2 2 2 2 2 2 2 2 29" xfId="28089" xr:uid="{B0091AF3-9AD3-49A0-A28B-A872B1DF5357}"/>
    <cellStyle name="Normal 3 2 2 2 2 2 2 2 2 2 3" xfId="28090" xr:uid="{9E8322D4-10B1-4DF5-ACDA-17379FC2BA0D}"/>
    <cellStyle name="Normal 3 2 2 2 2 2 2 2 2 2 30" xfId="28091" xr:uid="{5F5286EC-88F9-4687-8E86-630098357A9B}"/>
    <cellStyle name="Normal 3 2 2 2 2 2 2 2 2 2 31" xfId="28092" xr:uid="{9618910A-5ADA-413F-BAF6-D6D568751E73}"/>
    <cellStyle name="Normal 3 2 2 2 2 2 2 2 2 2 32" xfId="28093" xr:uid="{6CBB79EB-B950-4AF3-8A65-D5F899F069B8}"/>
    <cellStyle name="Normal 3 2 2 2 2 2 2 2 2 2 33" xfId="28094" xr:uid="{7D696609-83BC-472D-B5C6-7D0EBDE1BC73}"/>
    <cellStyle name="Normal 3 2 2 2 2 2 2 2 2 2 34" xfId="28095" xr:uid="{5928CDD0-1324-47DF-9594-57A0A2B7D037}"/>
    <cellStyle name="Normal 3 2 2 2 2 2 2 2 2 2 35" xfId="28096" xr:uid="{CDC09585-6614-4DC9-8D3E-50084EE50811}"/>
    <cellStyle name="Normal 3 2 2 2 2 2 2 2 2 2 36" xfId="28097" xr:uid="{289CAC9D-11B9-4114-93E0-1425E8CA0D1E}"/>
    <cellStyle name="Normal 3 2 2 2 2 2 2 2 2 2 37" xfId="28098" xr:uid="{88DDD37D-207E-42C3-84BE-8FF569DADEBC}"/>
    <cellStyle name="Normal 3 2 2 2 2 2 2 2 2 2 38" xfId="28099" xr:uid="{E3D276EE-1F4E-4B39-9A5B-B1F02895BF3C}"/>
    <cellStyle name="Normal 3 2 2 2 2 2 2 2 2 2 39" xfId="28100" xr:uid="{E802121C-9CEB-4121-92EB-56A0E542354F}"/>
    <cellStyle name="Normal 3 2 2 2 2 2 2 2 2 2 4" xfId="28101" xr:uid="{7EC29AAD-08A6-42BE-80AF-1D88E48134E0}"/>
    <cellStyle name="Normal 3 2 2 2 2 2 2 2 2 2 40" xfId="28102" xr:uid="{AEABF889-1346-4508-B9E0-30E7FBCC3AF7}"/>
    <cellStyle name="Normal 3 2 2 2 2 2 2 2 2 2 41" xfId="28103" xr:uid="{23CC17FF-08C7-4EE7-925D-B9422108ACBC}"/>
    <cellStyle name="Normal 3 2 2 2 2 2 2 2 2 2 42" xfId="28104" xr:uid="{92086492-F7B4-463C-9745-84E192685FDC}"/>
    <cellStyle name="Normal 3 2 2 2 2 2 2 2 2 2 42 2" xfId="28105" xr:uid="{E9186468-5090-4261-9277-AD306B64D5AD}"/>
    <cellStyle name="Normal 3 2 2 2 2 2 2 2 2 2 42 3" xfId="28106" xr:uid="{E5ECD50F-6E11-44F9-9DD8-E72B4601CF9D}"/>
    <cellStyle name="Normal 3 2 2 2 2 2 2 2 2 2 42 4" xfId="28107" xr:uid="{CCD1CE1C-1E69-48F2-AA67-0ACF67CA3F44}"/>
    <cellStyle name="Normal 3 2 2 2 2 2 2 2 2 2 42 5" xfId="28108" xr:uid="{4A576E3C-FBBC-4FE5-B0DB-9144A019C19F}"/>
    <cellStyle name="Normal 3 2 2 2 2 2 2 2 2 2 42 6" xfId="28109" xr:uid="{B4779C03-FA0C-480F-B0C2-D90F41910BEA}"/>
    <cellStyle name="Normal 3 2 2 2 2 2 2 2 2 2 42 7" xfId="28110" xr:uid="{B9D9D0B4-AA1F-49D6-B781-ABEAF12BD032}"/>
    <cellStyle name="Normal 3 2 2 2 2 2 2 2 2 2 43" xfId="28111" xr:uid="{D9B112F8-B03F-4504-ABF6-5B4E4FAB0AC5}"/>
    <cellStyle name="Normal 3 2 2 2 2 2 2 2 2 2 44" xfId="28112" xr:uid="{4A3C154E-2312-4558-A503-1239026D17A9}"/>
    <cellStyle name="Normal 3 2 2 2 2 2 2 2 2 2 45" xfId="28113" xr:uid="{189A6CBC-8FBC-4320-B6D4-2B5B53C6C297}"/>
    <cellStyle name="Normal 3 2 2 2 2 2 2 2 2 2 46" xfId="28114" xr:uid="{E1DBBA14-175F-477A-9BE8-AA90CAB5F58E}"/>
    <cellStyle name="Normal 3 2 2 2 2 2 2 2 2 2 47" xfId="28115" xr:uid="{CAB99405-E825-4D2B-A704-9964A535C32C}"/>
    <cellStyle name="Normal 3 2 2 2 2 2 2 2 2 2 48" xfId="28116" xr:uid="{ED337BEF-3A8A-407E-BBB3-2FF54FBB2B21}"/>
    <cellStyle name="Normal 3 2 2 2 2 2 2 2 2 2 49" xfId="28117" xr:uid="{2A133F24-9F4E-4306-9667-85195C4FFB10}"/>
    <cellStyle name="Normal 3 2 2 2 2 2 2 2 2 2 5" xfId="28118" xr:uid="{6E8A5954-C55B-4AFD-B69C-3F3E97532B39}"/>
    <cellStyle name="Normal 3 2 2 2 2 2 2 2 2 2 50" xfId="28119" xr:uid="{9CD538D6-940E-488C-AA69-886976482074}"/>
    <cellStyle name="Normal 3 2 2 2 2 2 2 2 2 2 51" xfId="28120" xr:uid="{8397D006-F5B3-4F59-9ED7-BC3CA813A28A}"/>
    <cellStyle name="Normal 3 2 2 2 2 2 2 2 2 2 52" xfId="28121" xr:uid="{9EC0B2C0-1DF1-48B0-AE27-84513E78F099}"/>
    <cellStyle name="Normal 3 2 2 2 2 2 2 2 2 2 53" xfId="28122" xr:uid="{3645C45B-DC2D-4B96-B5A1-E65E198E562D}"/>
    <cellStyle name="Normal 3 2 2 2 2 2 2 2 2 2 54" xfId="28123" xr:uid="{296BA3E4-9B31-4158-964D-9D305DAB75A3}"/>
    <cellStyle name="Normal 3 2 2 2 2 2 2 2 2 2 55" xfId="28124" xr:uid="{48992892-180E-429B-8F00-8E54A35791D7}"/>
    <cellStyle name="Normal 3 2 2 2 2 2 2 2 2 2 56" xfId="28125" xr:uid="{98F8326F-403D-4663-9200-18455FD365AD}"/>
    <cellStyle name="Normal 3 2 2 2 2 2 2 2 2 2 57" xfId="28126" xr:uid="{4EAB145A-0B3D-40A6-921F-A6AC6130D1D8}"/>
    <cellStyle name="Normal 3 2 2 2 2 2 2 2 2 2 58" xfId="28127" xr:uid="{9F3A3F62-267B-4AEB-825F-2BDE9277CC1B}"/>
    <cellStyle name="Normal 3 2 2 2 2 2 2 2 2 2 59" xfId="28128" xr:uid="{5C16EE25-9405-4AFB-9167-7C1CDAC5F334}"/>
    <cellStyle name="Normal 3 2 2 2 2 2 2 2 2 2 6" xfId="28129" xr:uid="{5E506C44-6089-4ECE-A108-6F30B7EDF3BF}"/>
    <cellStyle name="Normal 3 2 2 2 2 2 2 2 2 2 60" xfId="28130" xr:uid="{C0524999-4ABA-44D7-B19E-BF8A691510BD}"/>
    <cellStyle name="Normal 3 2 2 2 2 2 2 2 2 2 61" xfId="28131" xr:uid="{C6CCE74C-09F1-4694-AA45-44CB344FB078}"/>
    <cellStyle name="Normal 3 2 2 2 2 2 2 2 2 2 62" xfId="28132" xr:uid="{1A01F559-0B9D-468F-A7F6-EB9A9747C71D}"/>
    <cellStyle name="Normal 3 2 2 2 2 2 2 2 2 2 63" xfId="28133" xr:uid="{61E9E6AD-553D-4B6B-9968-8377597B710C}"/>
    <cellStyle name="Normal 3 2 2 2 2 2 2 2 2 2 64" xfId="28134" xr:uid="{13813536-8688-4EED-9233-09CA3107E5D1}"/>
    <cellStyle name="Normal 3 2 2 2 2 2 2 2 2 2 65" xfId="28135" xr:uid="{F5EFC4F9-D0E0-4F49-9D67-7201AFBD543F}"/>
    <cellStyle name="Normal 3 2 2 2 2 2 2 2 2 2 66" xfId="28136" xr:uid="{533216D5-60A5-490B-B803-B06EDCF545C9}"/>
    <cellStyle name="Normal 3 2 2 2 2 2 2 2 2 2 67" xfId="28137" xr:uid="{FA78B304-92F8-4064-ABD5-F6D447E127E7}"/>
    <cellStyle name="Normal 3 2 2 2 2 2 2 2 2 2 68" xfId="28138" xr:uid="{A635A69B-0497-4E16-BCDE-C357ADFE0686}"/>
    <cellStyle name="Normal 3 2 2 2 2 2 2 2 2 2 69" xfId="28139" xr:uid="{AF1D1F4D-AA59-4AA9-99D4-53360CAD4ECF}"/>
    <cellStyle name="Normal 3 2 2 2 2 2 2 2 2 2 7" xfId="28140" xr:uid="{B8E72D80-EC87-4A98-988F-1689AD5A098E}"/>
    <cellStyle name="Normal 3 2 2 2 2 2 2 2 2 2 70" xfId="28141" xr:uid="{2750FD50-1B88-4C90-AD05-E4F502EF6C81}"/>
    <cellStyle name="Normal 3 2 2 2 2 2 2 2 2 2 71" xfId="28142" xr:uid="{10201F29-E2BE-4D83-A174-35A0E13561F0}"/>
    <cellStyle name="Normal 3 2 2 2 2 2 2 2 2 2 72" xfId="28143" xr:uid="{237658AA-13DD-4C6A-B6F9-725FD94205CA}"/>
    <cellStyle name="Normal 3 2 2 2 2 2 2 2 2 2 73" xfId="28144" xr:uid="{208BF047-E67C-49DA-B6D9-DB9B405D1559}"/>
    <cellStyle name="Normal 3 2 2 2 2 2 2 2 2 2 74" xfId="28145" xr:uid="{D0C69080-E29A-4DA3-9E2A-00BE2D40D8ED}"/>
    <cellStyle name="Normal 3 2 2 2 2 2 2 2 2 2 74 2" xfId="28146" xr:uid="{F79BBF81-BFAD-49B8-BC40-5D0766FA746F}"/>
    <cellStyle name="Normal 3 2 2 2 2 2 2 2 2 2 74 3" xfId="28147" xr:uid="{EF85359F-B3D0-4578-AC97-99E823F9C87A}"/>
    <cellStyle name="Normal 3 2 2 2 2 2 2 2 2 2 74 4" xfId="28148" xr:uid="{BDC55CE0-9F04-4B62-A6F6-FAE280EBADC5}"/>
    <cellStyle name="Normal 3 2 2 2 2 2 2 2 2 2 75" xfId="28149" xr:uid="{CA0A7467-FBEB-429F-9830-8D14A74C8572}"/>
    <cellStyle name="Normal 3 2 2 2 2 2 2 2 2 2 76" xfId="28150" xr:uid="{B6AA6890-1849-4900-A62F-06FAC6B1ECD6}"/>
    <cellStyle name="Normal 3 2 2 2 2 2 2 2 2 2 8" xfId="28151" xr:uid="{DC57671C-5BFD-4846-A2AA-E6AEAD497168}"/>
    <cellStyle name="Normal 3 2 2 2 2 2 2 2 2 2 8 10" xfId="28152" xr:uid="{EDBA589A-43A3-438F-BAA2-429D27395C3C}"/>
    <cellStyle name="Normal 3 2 2 2 2 2 2 2 2 2 8 11" xfId="28153" xr:uid="{6366331B-580E-4A5C-9CA9-A20CB1F1F8C7}"/>
    <cellStyle name="Normal 3 2 2 2 2 2 2 2 2 2 8 11 10" xfId="28154" xr:uid="{237474B2-D258-4CCE-863C-7E0D52E01B61}"/>
    <cellStyle name="Normal 3 2 2 2 2 2 2 2 2 2 8 11 11" xfId="28155" xr:uid="{3AE26650-55CA-49C5-95DD-6CACA35E1164}"/>
    <cellStyle name="Normal 3 2 2 2 2 2 2 2 2 2 8 11 11 2" xfId="28156" xr:uid="{7CEF543B-6882-489C-B73C-569859674E62}"/>
    <cellStyle name="Normal 3 2 2 2 2 2 2 2 2 2 8 11 11 3" xfId="28157" xr:uid="{62D68D5B-4D36-40A8-8C03-A6F4F76D1FD9}"/>
    <cellStyle name="Normal 3 2 2 2 2 2 2 2 2 2 8 11 11 4" xfId="28158" xr:uid="{6BE5BDF6-48BF-4FD4-A918-DD6C34A01216}"/>
    <cellStyle name="Normal 3 2 2 2 2 2 2 2 2 2 8 11 12" xfId="28159" xr:uid="{880F1FB5-EA7E-47D6-8388-980932F8819F}"/>
    <cellStyle name="Normal 3 2 2 2 2 2 2 2 2 2 8 11 13" xfId="28160" xr:uid="{CCE6EAA8-D762-4336-B32E-7E30624D867A}"/>
    <cellStyle name="Normal 3 2 2 2 2 2 2 2 2 2 8 11 14" xfId="28161" xr:uid="{D69FD62A-7F90-43CF-AA7D-A705D6CE98F6}"/>
    <cellStyle name="Normal 3 2 2 2 2 2 2 2 2 2 8 11 2" xfId="28162" xr:uid="{30DBF56E-3194-4E22-B0C7-13B4B975CD05}"/>
    <cellStyle name="Normal 3 2 2 2 2 2 2 2 2 2 8 11 2 10" xfId="28163" xr:uid="{BF94CF9D-D0F2-4855-81BC-5DB0E4F26FCF}"/>
    <cellStyle name="Normal 3 2 2 2 2 2 2 2 2 2 8 11 2 11" xfId="28164" xr:uid="{087D2695-BD7E-4269-8803-BC5494F4261D}"/>
    <cellStyle name="Normal 3 2 2 2 2 2 2 2 2 2 8 11 2 2" xfId="28165" xr:uid="{17335F68-DBAA-41B5-A666-3158A138AD7B}"/>
    <cellStyle name="Normal 3 2 2 2 2 2 2 2 2 2 8 11 2 2 10" xfId="28166" xr:uid="{840A11C0-B697-4090-9F84-6AE0B2C2A967}"/>
    <cellStyle name="Normal 3 2 2 2 2 2 2 2 2 2 8 11 2 2 11" xfId="28167" xr:uid="{DE240CAD-AEE9-4B71-B925-88441EB0E8E1}"/>
    <cellStyle name="Normal 3 2 2 2 2 2 2 2 2 2 8 11 2 2 2" xfId="28168" xr:uid="{1B60E75F-E956-4EAC-84FA-7DE11DBD5662}"/>
    <cellStyle name="Normal 3 2 2 2 2 2 2 2 2 2 8 11 2 2 2 2" xfId="28169" xr:uid="{91A0314E-DB81-45BB-BD91-AB0A1C7E9C8D}"/>
    <cellStyle name="Normal 3 2 2 2 2 2 2 2 2 2 8 11 2 2 2 2 2" xfId="28170" xr:uid="{7832E5D1-CD13-48DA-AE0B-2E5BDA8B4A3B}"/>
    <cellStyle name="Normal 3 2 2 2 2 2 2 2 2 2 8 11 2 2 2 2 3" xfId="28171" xr:uid="{48586A30-3375-44B3-A049-46EC42CB4161}"/>
    <cellStyle name="Normal 3 2 2 2 2 2 2 2 2 2 8 11 2 2 2 2 4" xfId="28172" xr:uid="{B6B42CAA-7302-4DF3-ADB8-F4E350298E39}"/>
    <cellStyle name="Normal 3 2 2 2 2 2 2 2 2 2 8 11 2 2 2 3" xfId="28173" xr:uid="{98757571-EC5F-48BB-941D-C2A7B20D61F1}"/>
    <cellStyle name="Normal 3 2 2 2 2 2 2 2 2 2 8 11 2 2 2 4" xfId="28174" xr:uid="{DE58223A-D20D-4B34-BEA2-8D482D20F4D8}"/>
    <cellStyle name="Normal 3 2 2 2 2 2 2 2 2 2 8 11 2 2 2 5" xfId="28175" xr:uid="{9457D29F-AB23-4629-9EFB-79A69CF9DC23}"/>
    <cellStyle name="Normal 3 2 2 2 2 2 2 2 2 2 8 11 2 2 2 6" xfId="28176" xr:uid="{DEC99BAD-F2DE-40D1-ABF1-0DC0AD9C8C0D}"/>
    <cellStyle name="Normal 3 2 2 2 2 2 2 2 2 2 8 11 2 2 3" xfId="28177" xr:uid="{76AB511E-D6C9-4457-A7C1-DEA075B8738A}"/>
    <cellStyle name="Normal 3 2 2 2 2 2 2 2 2 2 8 11 2 2 4" xfId="28178" xr:uid="{23E358E5-8046-49F1-9476-4442D1F9CF32}"/>
    <cellStyle name="Normal 3 2 2 2 2 2 2 2 2 2 8 11 2 2 5" xfId="28179" xr:uid="{A48C0E11-D246-49E4-9EA5-955CEC15444A}"/>
    <cellStyle name="Normal 3 2 2 2 2 2 2 2 2 2 8 11 2 2 6" xfId="28180" xr:uid="{CD32D10B-9F35-45F3-863F-CF0AD88CDD73}"/>
    <cellStyle name="Normal 3 2 2 2 2 2 2 2 2 2 8 11 2 2 7" xfId="28181" xr:uid="{5C46A5BA-E308-49D4-B010-FCA564118530}"/>
    <cellStyle name="Normal 3 2 2 2 2 2 2 2 2 2 8 11 2 2 8" xfId="28182" xr:uid="{478FE94F-9589-4FB5-9BDC-0C479FA99A6F}"/>
    <cellStyle name="Normal 3 2 2 2 2 2 2 2 2 2 8 11 2 2 8 2" xfId="28183" xr:uid="{6C655F75-1370-4D0D-85F1-DFCC91C1EA4A}"/>
    <cellStyle name="Normal 3 2 2 2 2 2 2 2 2 2 8 11 2 2 8 3" xfId="28184" xr:uid="{9423090A-825B-4082-BD72-4BB5B957F379}"/>
    <cellStyle name="Normal 3 2 2 2 2 2 2 2 2 2 8 11 2 2 8 4" xfId="28185" xr:uid="{B0594787-6D07-4387-807F-9AA309A4AA3C}"/>
    <cellStyle name="Normal 3 2 2 2 2 2 2 2 2 2 8 11 2 2 9" xfId="28186" xr:uid="{E371F092-4AE6-4D39-A464-57BE23362F1A}"/>
    <cellStyle name="Normal 3 2 2 2 2 2 2 2 2 2 8 11 2 3" xfId="28187" xr:uid="{8CE5F964-DEC1-432D-A993-86956CFB8E88}"/>
    <cellStyle name="Normal 3 2 2 2 2 2 2 2 2 2 8 11 2 3 2" xfId="28188" xr:uid="{22AB6FAE-45FC-4AB6-A7A1-BA364BD400F6}"/>
    <cellStyle name="Normal 3 2 2 2 2 2 2 2 2 2 8 11 2 3 2 2" xfId="28189" xr:uid="{945183CC-D381-4E40-88CC-5F90014F777E}"/>
    <cellStyle name="Normal 3 2 2 2 2 2 2 2 2 2 8 11 2 3 2 3" xfId="28190" xr:uid="{8FBCC9F7-A6FE-485C-8C3D-C053C78AA449}"/>
    <cellStyle name="Normal 3 2 2 2 2 2 2 2 2 2 8 11 2 3 2 4" xfId="28191" xr:uid="{DAAEA5DC-F03B-44FD-BFF7-E7993AB7499D}"/>
    <cellStyle name="Normal 3 2 2 2 2 2 2 2 2 2 8 11 2 3 3" xfId="28192" xr:uid="{FE3CDD50-9377-4085-BC6D-CB0B56AF5212}"/>
    <cellStyle name="Normal 3 2 2 2 2 2 2 2 2 2 8 11 2 3 4" xfId="28193" xr:uid="{C11C2D43-2C6D-4DEF-BA44-8BCC005F18DA}"/>
    <cellStyle name="Normal 3 2 2 2 2 2 2 2 2 2 8 11 2 3 5" xfId="28194" xr:uid="{AC156349-6A81-4C45-A8D3-9A86487D4E22}"/>
    <cellStyle name="Normal 3 2 2 2 2 2 2 2 2 2 8 11 2 3 6" xfId="28195" xr:uid="{2A086F2A-60BD-4844-B881-0E03E75D74E1}"/>
    <cellStyle name="Normal 3 2 2 2 2 2 2 2 2 2 8 11 2 4" xfId="28196" xr:uid="{16C3F3E0-A75D-490E-B8DB-2B6EC7ED58C0}"/>
    <cellStyle name="Normal 3 2 2 2 2 2 2 2 2 2 8 11 2 5" xfId="28197" xr:uid="{81F181C9-7512-457C-A0BE-A3C996AC1BB3}"/>
    <cellStyle name="Normal 3 2 2 2 2 2 2 2 2 2 8 11 2 6" xfId="28198" xr:uid="{7A469D08-3E0E-4CFE-8B3C-8EA666971E63}"/>
    <cellStyle name="Normal 3 2 2 2 2 2 2 2 2 2 8 11 2 7" xfId="28199" xr:uid="{43C9107C-8188-492B-A150-65FEF3F1D27A}"/>
    <cellStyle name="Normal 3 2 2 2 2 2 2 2 2 2 8 11 2 8" xfId="28200" xr:uid="{129E4266-15FD-45F7-B2C0-51831591F6FB}"/>
    <cellStyle name="Normal 3 2 2 2 2 2 2 2 2 2 8 11 2 8 2" xfId="28201" xr:uid="{7EB57FAB-B4CD-4944-A701-A26D1595952E}"/>
    <cellStyle name="Normal 3 2 2 2 2 2 2 2 2 2 8 11 2 8 3" xfId="28202" xr:uid="{B4735A66-9E5B-4F1B-BDC9-DEE07586EE34}"/>
    <cellStyle name="Normal 3 2 2 2 2 2 2 2 2 2 8 11 2 8 4" xfId="28203" xr:uid="{27F1C502-F760-4813-A3E1-F6D984642EB6}"/>
    <cellStyle name="Normal 3 2 2 2 2 2 2 2 2 2 8 11 2 9" xfId="28204" xr:uid="{B4D64C1D-ACF0-41AE-A515-4BB3917F4AF5}"/>
    <cellStyle name="Normal 3 2 2 2 2 2 2 2 2 2 8 11 3" xfId="28205" xr:uid="{AE385E40-7F28-4619-9210-F675B5E2C730}"/>
    <cellStyle name="Normal 3 2 2 2 2 2 2 2 2 2 8 11 4" xfId="28206" xr:uid="{98D4260D-CE6D-4420-9E61-936A1FBFEA61}"/>
    <cellStyle name="Normal 3 2 2 2 2 2 2 2 2 2 8 11 5" xfId="28207" xr:uid="{C7D27521-79DD-4C6D-873C-D41C07539BAC}"/>
    <cellStyle name="Normal 3 2 2 2 2 2 2 2 2 2 8 11 5 2" xfId="28208" xr:uid="{3606EB75-3319-439E-861A-82FEE4522AF2}"/>
    <cellStyle name="Normal 3 2 2 2 2 2 2 2 2 2 8 11 5 2 2" xfId="28209" xr:uid="{4C42F265-1F8D-4233-8FF8-BBDA87A53D79}"/>
    <cellStyle name="Normal 3 2 2 2 2 2 2 2 2 2 8 11 5 2 3" xfId="28210" xr:uid="{3BF88FEB-C024-4CB8-8536-AE1B71AE5E2A}"/>
    <cellStyle name="Normal 3 2 2 2 2 2 2 2 2 2 8 11 5 2 4" xfId="28211" xr:uid="{05675498-E774-4A47-B94F-142590A6F5D1}"/>
    <cellStyle name="Normal 3 2 2 2 2 2 2 2 2 2 8 11 5 3" xfId="28212" xr:uid="{379D2BB0-3125-4E86-889E-E6175B4BFB83}"/>
    <cellStyle name="Normal 3 2 2 2 2 2 2 2 2 2 8 11 5 4" xfId="28213" xr:uid="{9DE61C8A-1D34-484D-BA98-9A2CC4BDE619}"/>
    <cellStyle name="Normal 3 2 2 2 2 2 2 2 2 2 8 11 5 5" xfId="28214" xr:uid="{1904E06E-C25F-442F-A48D-679406B2178D}"/>
    <cellStyle name="Normal 3 2 2 2 2 2 2 2 2 2 8 11 5 6" xfId="28215" xr:uid="{FE644835-11F4-4D00-9630-609E12174844}"/>
    <cellStyle name="Normal 3 2 2 2 2 2 2 2 2 2 8 11 6" xfId="28216" xr:uid="{8D574742-5A76-447E-926B-FF3BA61ED8AC}"/>
    <cellStyle name="Normal 3 2 2 2 2 2 2 2 2 2 8 11 7" xfId="28217" xr:uid="{00D2EB32-DC0C-47FD-8A7A-F562DFE73C9E}"/>
    <cellStyle name="Normal 3 2 2 2 2 2 2 2 2 2 8 11 8" xfId="28218" xr:uid="{D75C512B-11F0-4D04-B6A5-C8AAF0A49F75}"/>
    <cellStyle name="Normal 3 2 2 2 2 2 2 2 2 2 8 11 9" xfId="28219" xr:uid="{5363D08E-1F27-46E7-87C0-9C31E911DE1F}"/>
    <cellStyle name="Normal 3 2 2 2 2 2 2 2 2 2 8 12" xfId="28220" xr:uid="{5F44219A-1BDA-49E1-B667-11A791D84FFC}"/>
    <cellStyle name="Normal 3 2 2 2 2 2 2 2 2 2 8 13" xfId="28221" xr:uid="{5E06749D-91F6-4468-A03F-9A28C9F0C564}"/>
    <cellStyle name="Normal 3 2 2 2 2 2 2 2 2 2 8 13 10" xfId="28222" xr:uid="{E81735AF-39C0-4E0E-AB64-C4F746B3C206}"/>
    <cellStyle name="Normal 3 2 2 2 2 2 2 2 2 2 8 13 11" xfId="28223" xr:uid="{ED337329-835E-41CE-8316-97A1AEA61360}"/>
    <cellStyle name="Normal 3 2 2 2 2 2 2 2 2 2 8 13 2" xfId="28224" xr:uid="{F0F85A3C-053D-4A96-B5C3-64705B7B4226}"/>
    <cellStyle name="Normal 3 2 2 2 2 2 2 2 2 2 8 13 2 10" xfId="28225" xr:uid="{0D8A6A9D-4CEE-495E-8073-BC4306CA825B}"/>
    <cellStyle name="Normal 3 2 2 2 2 2 2 2 2 2 8 13 2 11" xfId="28226" xr:uid="{E6A51B94-56B5-4221-B32F-39CE7A6FD550}"/>
    <cellStyle name="Normal 3 2 2 2 2 2 2 2 2 2 8 13 2 2" xfId="28227" xr:uid="{F02924BD-B2AC-478F-A88D-F5663CF529D9}"/>
    <cellStyle name="Normal 3 2 2 2 2 2 2 2 2 2 8 13 2 2 2" xfId="28228" xr:uid="{95644E33-B993-4355-8660-F6F9589C85E5}"/>
    <cellStyle name="Normal 3 2 2 2 2 2 2 2 2 2 8 13 2 2 2 2" xfId="28229" xr:uid="{50A94C10-1CFF-4AA8-AF3B-CCF238B67950}"/>
    <cellStyle name="Normal 3 2 2 2 2 2 2 2 2 2 8 13 2 2 2 3" xfId="28230" xr:uid="{F3137DE8-89AF-40A6-BFD9-64B563032093}"/>
    <cellStyle name="Normal 3 2 2 2 2 2 2 2 2 2 8 13 2 2 2 4" xfId="28231" xr:uid="{1A5B5031-F2A1-4C76-99C0-922C7F95AE42}"/>
    <cellStyle name="Normal 3 2 2 2 2 2 2 2 2 2 8 13 2 2 3" xfId="28232" xr:uid="{9488D5F0-94F7-4A82-A25A-8A0779054921}"/>
    <cellStyle name="Normal 3 2 2 2 2 2 2 2 2 2 8 13 2 2 4" xfId="28233" xr:uid="{F993579C-7A3A-45A6-8F60-E4BA6CFC2F91}"/>
    <cellStyle name="Normal 3 2 2 2 2 2 2 2 2 2 8 13 2 2 5" xfId="28234" xr:uid="{FEF17A66-B521-42EB-9545-286917A3CF47}"/>
    <cellStyle name="Normal 3 2 2 2 2 2 2 2 2 2 8 13 2 2 6" xfId="28235" xr:uid="{104BE0D8-A797-4087-AA29-A1164521E046}"/>
    <cellStyle name="Normal 3 2 2 2 2 2 2 2 2 2 8 13 2 3" xfId="28236" xr:uid="{8B248DE7-1BF5-48FF-9663-5A32C48B7A2A}"/>
    <cellStyle name="Normal 3 2 2 2 2 2 2 2 2 2 8 13 2 4" xfId="28237" xr:uid="{A2CC2987-0583-46D2-986D-05D3AE0D40CB}"/>
    <cellStyle name="Normal 3 2 2 2 2 2 2 2 2 2 8 13 2 5" xfId="28238" xr:uid="{79C815EA-FFAE-4879-AA8D-E5061520E4C0}"/>
    <cellStyle name="Normal 3 2 2 2 2 2 2 2 2 2 8 13 2 6" xfId="28239" xr:uid="{3E26D7AA-1F28-40DF-BFFF-8230D0F10BC0}"/>
    <cellStyle name="Normal 3 2 2 2 2 2 2 2 2 2 8 13 2 7" xfId="28240" xr:uid="{C0526A8C-8EED-4762-B0E1-AA3C75DB0EB2}"/>
    <cellStyle name="Normal 3 2 2 2 2 2 2 2 2 2 8 13 2 8" xfId="28241" xr:uid="{F1EC5D24-C0E8-4100-B03D-4FDA166FF4C6}"/>
    <cellStyle name="Normal 3 2 2 2 2 2 2 2 2 2 8 13 2 8 2" xfId="28242" xr:uid="{D5EA9A0F-A52F-47BA-A2F5-53B4C6DEF953}"/>
    <cellStyle name="Normal 3 2 2 2 2 2 2 2 2 2 8 13 2 8 3" xfId="28243" xr:uid="{F817FFDD-F46D-41DF-9B09-0AD4E88FC1C2}"/>
    <cellStyle name="Normal 3 2 2 2 2 2 2 2 2 2 8 13 2 8 4" xfId="28244" xr:uid="{C859333C-C962-4E5C-BED9-0340A4DD6AD2}"/>
    <cellStyle name="Normal 3 2 2 2 2 2 2 2 2 2 8 13 2 9" xfId="28245" xr:uid="{33F6D156-C89A-481F-835D-77DBF79D8012}"/>
    <cellStyle name="Normal 3 2 2 2 2 2 2 2 2 2 8 13 3" xfId="28246" xr:uid="{FF130B75-666F-4088-A5A1-3FE725326938}"/>
    <cellStyle name="Normal 3 2 2 2 2 2 2 2 2 2 8 13 3 2" xfId="28247" xr:uid="{B80AE9FC-7D83-4B98-9F28-BB783DF78C79}"/>
    <cellStyle name="Normal 3 2 2 2 2 2 2 2 2 2 8 13 3 2 2" xfId="28248" xr:uid="{4FC2A735-5B67-46A8-9424-32D4CFBDE92E}"/>
    <cellStyle name="Normal 3 2 2 2 2 2 2 2 2 2 8 13 3 2 3" xfId="28249" xr:uid="{8B5F3432-778A-4D91-9CB9-A6C31C2C93FF}"/>
    <cellStyle name="Normal 3 2 2 2 2 2 2 2 2 2 8 13 3 2 4" xfId="28250" xr:uid="{8F0BCF98-5EA2-469E-BB56-87681D1A3B13}"/>
    <cellStyle name="Normal 3 2 2 2 2 2 2 2 2 2 8 13 3 3" xfId="28251" xr:uid="{10BB73E0-E6BB-42AF-962F-26F2F5C2376E}"/>
    <cellStyle name="Normal 3 2 2 2 2 2 2 2 2 2 8 13 3 4" xfId="28252" xr:uid="{D221C14D-7B32-4779-87CB-1D5613BE0BE8}"/>
    <cellStyle name="Normal 3 2 2 2 2 2 2 2 2 2 8 13 3 5" xfId="28253" xr:uid="{1CF97CA9-8A14-4CC1-A8F9-B518F44C6B6E}"/>
    <cellStyle name="Normal 3 2 2 2 2 2 2 2 2 2 8 13 3 6" xfId="28254" xr:uid="{4E25AB67-BADF-4AF4-8352-49BECE84CF69}"/>
    <cellStyle name="Normal 3 2 2 2 2 2 2 2 2 2 8 13 4" xfId="28255" xr:uid="{9FC74726-1CB6-47AF-99D7-C7FC781AB972}"/>
    <cellStyle name="Normal 3 2 2 2 2 2 2 2 2 2 8 13 5" xfId="28256" xr:uid="{C3E55924-46FF-4ED1-928C-9032459C5437}"/>
    <cellStyle name="Normal 3 2 2 2 2 2 2 2 2 2 8 13 6" xfId="28257" xr:uid="{EA4DBBBA-081C-4BA1-915A-9AD53CC670AE}"/>
    <cellStyle name="Normal 3 2 2 2 2 2 2 2 2 2 8 13 7" xfId="28258" xr:uid="{FBA61F76-94E5-4626-BDCB-169C1F89FCC5}"/>
    <cellStyle name="Normal 3 2 2 2 2 2 2 2 2 2 8 13 8" xfId="28259" xr:uid="{05644C1E-965B-4D16-930D-28D496144071}"/>
    <cellStyle name="Normal 3 2 2 2 2 2 2 2 2 2 8 13 8 2" xfId="28260" xr:uid="{268507CC-474C-4AB4-A890-B3CDA08709D2}"/>
    <cellStyle name="Normal 3 2 2 2 2 2 2 2 2 2 8 13 8 3" xfId="28261" xr:uid="{5289F980-4DBE-404A-A55C-62E38D31A1C2}"/>
    <cellStyle name="Normal 3 2 2 2 2 2 2 2 2 2 8 13 8 4" xfId="28262" xr:uid="{46F659A3-51A7-4C61-8DED-B07DFA4B3E11}"/>
    <cellStyle name="Normal 3 2 2 2 2 2 2 2 2 2 8 13 9" xfId="28263" xr:uid="{9CAD97F8-FBD8-476C-B3E5-53FDD004A410}"/>
    <cellStyle name="Normal 3 2 2 2 2 2 2 2 2 2 8 14" xfId="28264" xr:uid="{5B8F3E4C-1864-4E75-8D8F-92BBD498742E}"/>
    <cellStyle name="Normal 3 2 2 2 2 2 2 2 2 2 8 15" xfId="28265" xr:uid="{11F5B311-309B-437B-8FCC-F1E67E4AB76C}"/>
    <cellStyle name="Normal 3 2 2 2 2 2 2 2 2 2 8 15 2" xfId="28266" xr:uid="{1A0FFD6A-7438-45FA-AE37-6DCE3812BEF4}"/>
    <cellStyle name="Normal 3 2 2 2 2 2 2 2 2 2 8 15 2 2" xfId="28267" xr:uid="{763A8D31-07F2-4CE1-8E2D-6EA0D56ADA36}"/>
    <cellStyle name="Normal 3 2 2 2 2 2 2 2 2 2 8 15 2 3" xfId="28268" xr:uid="{1273B002-582C-496C-B851-F138D5260840}"/>
    <cellStyle name="Normal 3 2 2 2 2 2 2 2 2 2 8 15 2 4" xfId="28269" xr:uid="{5A74EA69-DAFD-4FF5-8B60-1C02EEFF0868}"/>
    <cellStyle name="Normal 3 2 2 2 2 2 2 2 2 2 8 15 3" xfId="28270" xr:uid="{6C37990E-4861-45CE-BD6A-3D5714880B55}"/>
    <cellStyle name="Normal 3 2 2 2 2 2 2 2 2 2 8 15 4" xfId="28271" xr:uid="{BB7D4D52-ECCE-4333-A80E-AE531A3CEBC7}"/>
    <cellStyle name="Normal 3 2 2 2 2 2 2 2 2 2 8 15 5" xfId="28272" xr:uid="{A177A7ED-A0E9-480A-989C-82E1436A8079}"/>
    <cellStyle name="Normal 3 2 2 2 2 2 2 2 2 2 8 15 6" xfId="28273" xr:uid="{78F49788-6DDA-4A35-B13E-04AD8418B469}"/>
    <cellStyle name="Normal 3 2 2 2 2 2 2 2 2 2 8 16" xfId="28274" xr:uid="{657249F7-F786-4BD0-A575-FDB40B7C56D0}"/>
    <cellStyle name="Normal 3 2 2 2 2 2 2 2 2 2 8 17" xfId="28275" xr:uid="{D3008676-5E5E-45DC-828B-45B58E3111F2}"/>
    <cellStyle name="Normal 3 2 2 2 2 2 2 2 2 2 8 18" xfId="28276" xr:uid="{9A14AFEF-BEAE-49EF-8A89-B67A4062E222}"/>
    <cellStyle name="Normal 3 2 2 2 2 2 2 2 2 2 8 19" xfId="28277" xr:uid="{1DA604FD-53DA-43A4-AD86-A93D41C187FF}"/>
    <cellStyle name="Normal 3 2 2 2 2 2 2 2 2 2 8 2" xfId="28278" xr:uid="{C01CE6CA-927C-4D23-83A8-6455B92CF9AD}"/>
    <cellStyle name="Normal 3 2 2 2 2 2 2 2 2 2 8 2 10" xfId="28279" xr:uid="{986EBF8E-990B-4CAA-AF70-6441B6D67E2A}"/>
    <cellStyle name="Normal 3 2 2 2 2 2 2 2 2 2 8 2 11" xfId="28280" xr:uid="{143C898F-7FE3-448A-80D6-E6C604891989}"/>
    <cellStyle name="Normal 3 2 2 2 2 2 2 2 2 2 8 2 12" xfId="28281" xr:uid="{247DB753-1332-4BA7-BB6A-DDD53C351789}"/>
    <cellStyle name="Normal 3 2 2 2 2 2 2 2 2 2 8 2 13" xfId="28282" xr:uid="{F7EEF99C-F796-40E7-94FB-05B184ECA34A}"/>
    <cellStyle name="Normal 3 2 2 2 2 2 2 2 2 2 8 2 13 2" xfId="28283" xr:uid="{BD817A7D-DB26-445D-9C66-6B30FEAA794E}"/>
    <cellStyle name="Normal 3 2 2 2 2 2 2 2 2 2 8 2 13 3" xfId="28284" xr:uid="{AFE952A1-0E4B-48EF-ACD2-EC00FD67B1D2}"/>
    <cellStyle name="Normal 3 2 2 2 2 2 2 2 2 2 8 2 13 4" xfId="28285" xr:uid="{ECC1DB1E-9160-4AA3-A95A-195A4496D532}"/>
    <cellStyle name="Normal 3 2 2 2 2 2 2 2 2 2 8 2 14" xfId="28286" xr:uid="{38475787-BDCA-4872-B84B-9B02EBBD2B81}"/>
    <cellStyle name="Normal 3 2 2 2 2 2 2 2 2 2 8 2 15" xfId="28287" xr:uid="{50E20816-6211-4632-ABFC-91A0A7655FD7}"/>
    <cellStyle name="Normal 3 2 2 2 2 2 2 2 2 2 8 2 16" xfId="28288" xr:uid="{68DE6498-F6BB-4DE0-82B7-F10776BD61AA}"/>
    <cellStyle name="Normal 3 2 2 2 2 2 2 2 2 2 8 2 2" xfId="28289" xr:uid="{04B00742-671A-47DF-AD6E-D2F2A019265C}"/>
    <cellStyle name="Normal 3 2 2 2 2 2 2 2 2 2 8 2 2 10" xfId="28290" xr:uid="{6353499B-1CBE-42C7-A232-A1B3470FF549}"/>
    <cellStyle name="Normal 3 2 2 2 2 2 2 2 2 2 8 2 2 11" xfId="28291" xr:uid="{64F8F0E8-59EF-44FA-8BE2-5C8AE260598D}"/>
    <cellStyle name="Normal 3 2 2 2 2 2 2 2 2 2 8 2 2 11 2" xfId="28292" xr:uid="{337331EE-9A79-4A7F-A119-B4D2E0867D07}"/>
    <cellStyle name="Normal 3 2 2 2 2 2 2 2 2 2 8 2 2 11 3" xfId="28293" xr:uid="{19518D11-BF59-4847-BFDB-8119499B8E10}"/>
    <cellStyle name="Normal 3 2 2 2 2 2 2 2 2 2 8 2 2 11 4" xfId="28294" xr:uid="{5A0896E1-B67A-49AA-8AFB-411BB76B7F58}"/>
    <cellStyle name="Normal 3 2 2 2 2 2 2 2 2 2 8 2 2 12" xfId="28295" xr:uid="{147FC81B-C8B8-4D94-BA8C-1F08EA09BBFA}"/>
    <cellStyle name="Normal 3 2 2 2 2 2 2 2 2 2 8 2 2 13" xfId="28296" xr:uid="{9C25504E-E71E-4DF1-91A1-A343E2542391}"/>
    <cellStyle name="Normal 3 2 2 2 2 2 2 2 2 2 8 2 2 14" xfId="28297" xr:uid="{E8ABEB5C-3FC9-4488-82E8-2F350F959A7B}"/>
    <cellStyle name="Normal 3 2 2 2 2 2 2 2 2 2 8 2 2 2" xfId="28298" xr:uid="{625836B0-845D-4CFE-BB8B-844BB50BAC1D}"/>
    <cellStyle name="Normal 3 2 2 2 2 2 2 2 2 2 8 2 2 2 10" xfId="28299" xr:uid="{9AFDD2D3-416E-45AB-8D16-6DA81AC32B96}"/>
    <cellStyle name="Normal 3 2 2 2 2 2 2 2 2 2 8 2 2 2 11" xfId="28300" xr:uid="{9B52A858-CFD8-4E6D-BF02-D3F81FB1AC31}"/>
    <cellStyle name="Normal 3 2 2 2 2 2 2 2 2 2 8 2 2 2 2" xfId="28301" xr:uid="{BB920741-E229-4A1D-8A88-DEEEF1192909}"/>
    <cellStyle name="Normal 3 2 2 2 2 2 2 2 2 2 8 2 2 2 2 10" xfId="28302" xr:uid="{0CA11665-99DD-47AC-8998-3D1A30DFDE7E}"/>
    <cellStyle name="Normal 3 2 2 2 2 2 2 2 2 2 8 2 2 2 2 11" xfId="28303" xr:uid="{B7ABAE3A-EC9B-4DD0-8EEC-4ADDDB5581D6}"/>
    <cellStyle name="Normal 3 2 2 2 2 2 2 2 2 2 8 2 2 2 2 2" xfId="28304" xr:uid="{89447178-AD0D-494C-964C-45E2294C8C99}"/>
    <cellStyle name="Normal 3 2 2 2 2 2 2 2 2 2 8 2 2 2 2 2 2" xfId="28305" xr:uid="{B10DA401-3E6A-4F43-BA08-73FCF090923B}"/>
    <cellStyle name="Normal 3 2 2 2 2 2 2 2 2 2 8 2 2 2 2 2 2 2" xfId="28306" xr:uid="{07E51F05-3C23-4A22-A455-E02F516BD576}"/>
    <cellStyle name="Normal 3 2 2 2 2 2 2 2 2 2 8 2 2 2 2 2 2 3" xfId="28307" xr:uid="{1BCD25EF-41E5-44B1-807E-5B4482F231FE}"/>
    <cellStyle name="Normal 3 2 2 2 2 2 2 2 2 2 8 2 2 2 2 2 2 4" xfId="28308" xr:uid="{3D9D02EA-B5E8-43E0-BE8E-162F5A89D9C5}"/>
    <cellStyle name="Normal 3 2 2 2 2 2 2 2 2 2 8 2 2 2 2 2 3" xfId="28309" xr:uid="{591851A4-DF04-4F3B-93D1-984DE46A0706}"/>
    <cellStyle name="Normal 3 2 2 2 2 2 2 2 2 2 8 2 2 2 2 2 4" xfId="28310" xr:uid="{9F0FFE10-DED1-47D5-A62B-0605D2A30D6F}"/>
    <cellStyle name="Normal 3 2 2 2 2 2 2 2 2 2 8 2 2 2 2 2 5" xfId="28311" xr:uid="{75BE5E1A-1E4F-4FDA-9AA3-7352DC00284D}"/>
    <cellStyle name="Normal 3 2 2 2 2 2 2 2 2 2 8 2 2 2 2 2 6" xfId="28312" xr:uid="{0EAB7FE7-C840-4611-BD17-CF5D6E1BA287}"/>
    <cellStyle name="Normal 3 2 2 2 2 2 2 2 2 2 8 2 2 2 2 3" xfId="28313" xr:uid="{DEBDABFA-B180-431E-A89C-0D96F25B5A28}"/>
    <cellStyle name="Normal 3 2 2 2 2 2 2 2 2 2 8 2 2 2 2 4" xfId="28314" xr:uid="{0E5BCFC9-412E-440E-ABF4-B1AACB1DCF99}"/>
    <cellStyle name="Normal 3 2 2 2 2 2 2 2 2 2 8 2 2 2 2 5" xfId="28315" xr:uid="{D16DE2B9-CEB0-4F21-8BE9-B5438835A16B}"/>
    <cellStyle name="Normal 3 2 2 2 2 2 2 2 2 2 8 2 2 2 2 6" xfId="28316" xr:uid="{946B941F-6D95-4D43-A05A-F126F8895EA8}"/>
    <cellStyle name="Normal 3 2 2 2 2 2 2 2 2 2 8 2 2 2 2 7" xfId="28317" xr:uid="{2E14D02B-127E-43F2-AA0F-4A2621D8FD3B}"/>
    <cellStyle name="Normal 3 2 2 2 2 2 2 2 2 2 8 2 2 2 2 8" xfId="28318" xr:uid="{1584CD21-8A25-4CDD-B9A8-CE3DAC10E9F0}"/>
    <cellStyle name="Normal 3 2 2 2 2 2 2 2 2 2 8 2 2 2 2 8 2" xfId="28319" xr:uid="{3AB58FEC-BD2C-4D79-A92A-445A151055A0}"/>
    <cellStyle name="Normal 3 2 2 2 2 2 2 2 2 2 8 2 2 2 2 8 3" xfId="28320" xr:uid="{06E6D5A3-414F-44A4-97DC-8229E8B8B849}"/>
    <cellStyle name="Normal 3 2 2 2 2 2 2 2 2 2 8 2 2 2 2 8 4" xfId="28321" xr:uid="{29963092-BA25-438E-A1D7-D551426D66B4}"/>
    <cellStyle name="Normal 3 2 2 2 2 2 2 2 2 2 8 2 2 2 2 9" xfId="28322" xr:uid="{2D2F5959-68E2-4798-9401-444E5E789DF2}"/>
    <cellStyle name="Normal 3 2 2 2 2 2 2 2 2 2 8 2 2 2 3" xfId="28323" xr:uid="{E0F59265-5010-4777-AE4C-0422D93EEDFA}"/>
    <cellStyle name="Normal 3 2 2 2 2 2 2 2 2 2 8 2 2 2 3 2" xfId="28324" xr:uid="{ACF50717-2AC8-47C5-BEE5-60C884A9959B}"/>
    <cellStyle name="Normal 3 2 2 2 2 2 2 2 2 2 8 2 2 2 3 2 2" xfId="28325" xr:uid="{E626EE53-0DCD-4B3A-B99A-C69EB2B73C2E}"/>
    <cellStyle name="Normal 3 2 2 2 2 2 2 2 2 2 8 2 2 2 3 2 3" xfId="28326" xr:uid="{64F363CD-C64B-4D68-AE8A-759930C942F5}"/>
    <cellStyle name="Normal 3 2 2 2 2 2 2 2 2 2 8 2 2 2 3 2 4" xfId="28327" xr:uid="{17B69C01-C2ED-4442-BFE3-CC397C12936C}"/>
    <cellStyle name="Normal 3 2 2 2 2 2 2 2 2 2 8 2 2 2 3 3" xfId="28328" xr:uid="{5B0A7EBF-9D51-4DCF-95D4-28314DD7BA11}"/>
    <cellStyle name="Normal 3 2 2 2 2 2 2 2 2 2 8 2 2 2 3 4" xfId="28329" xr:uid="{1BD03A9E-5DD5-4FF6-8616-E495B8D8162F}"/>
    <cellStyle name="Normal 3 2 2 2 2 2 2 2 2 2 8 2 2 2 3 5" xfId="28330" xr:uid="{D302A18B-54A5-4EE2-93A1-C9A5E33A4957}"/>
    <cellStyle name="Normal 3 2 2 2 2 2 2 2 2 2 8 2 2 2 3 6" xfId="28331" xr:uid="{87F70BFD-DA88-4DFC-B3CB-948283F43856}"/>
    <cellStyle name="Normal 3 2 2 2 2 2 2 2 2 2 8 2 2 2 4" xfId="28332" xr:uid="{CDA7BF3F-5470-46B5-A6EC-52584C42BB36}"/>
    <cellStyle name="Normal 3 2 2 2 2 2 2 2 2 2 8 2 2 2 5" xfId="28333" xr:uid="{7ACE3892-AE11-4ACD-87D6-E1B214144D5C}"/>
    <cellStyle name="Normal 3 2 2 2 2 2 2 2 2 2 8 2 2 2 6" xfId="28334" xr:uid="{3487972A-B86A-454C-91F5-FFD5223402F6}"/>
    <cellStyle name="Normal 3 2 2 2 2 2 2 2 2 2 8 2 2 2 7" xfId="28335" xr:uid="{AFCC6989-68B0-4001-9501-2989ECF80A34}"/>
    <cellStyle name="Normal 3 2 2 2 2 2 2 2 2 2 8 2 2 2 8" xfId="28336" xr:uid="{3A086D66-F850-44D3-B45C-AF65BD9FD412}"/>
    <cellStyle name="Normal 3 2 2 2 2 2 2 2 2 2 8 2 2 2 8 2" xfId="28337" xr:uid="{2DFAEBBA-D81C-41DF-9BAD-3147F73F2A90}"/>
    <cellStyle name="Normal 3 2 2 2 2 2 2 2 2 2 8 2 2 2 8 3" xfId="28338" xr:uid="{F2E1CBE0-4627-4B5B-9CC8-D2FC354FA762}"/>
    <cellStyle name="Normal 3 2 2 2 2 2 2 2 2 2 8 2 2 2 8 4" xfId="28339" xr:uid="{29B2E726-DE54-4928-B333-5E33B6DF12F7}"/>
    <cellStyle name="Normal 3 2 2 2 2 2 2 2 2 2 8 2 2 2 9" xfId="28340" xr:uid="{8D90577E-6EF5-4023-9F7A-EDB8B23CEE4E}"/>
    <cellStyle name="Normal 3 2 2 2 2 2 2 2 2 2 8 2 2 3" xfId="28341" xr:uid="{CCF761FC-A032-4525-B088-12C450E8C0E5}"/>
    <cellStyle name="Normal 3 2 2 2 2 2 2 2 2 2 8 2 2 4" xfId="28342" xr:uid="{FAFCFE8E-0FC5-4870-BDA1-49B081CB7477}"/>
    <cellStyle name="Normal 3 2 2 2 2 2 2 2 2 2 8 2 2 5" xfId="28343" xr:uid="{8D82BAF9-6473-45BC-80FB-48071CB3ECAA}"/>
    <cellStyle name="Normal 3 2 2 2 2 2 2 2 2 2 8 2 2 5 2" xfId="28344" xr:uid="{3B26D888-6112-4FBF-B5FA-4CC623739C34}"/>
    <cellStyle name="Normal 3 2 2 2 2 2 2 2 2 2 8 2 2 5 2 2" xfId="28345" xr:uid="{AA0E54BE-0C14-4C79-9D03-3353F9C53974}"/>
    <cellStyle name="Normal 3 2 2 2 2 2 2 2 2 2 8 2 2 5 2 3" xfId="28346" xr:uid="{6321FCB3-5076-4903-A446-1637F6029CDB}"/>
    <cellStyle name="Normal 3 2 2 2 2 2 2 2 2 2 8 2 2 5 2 4" xfId="28347" xr:uid="{43CA8EC9-4D4D-414D-BE7B-6D5789C7B378}"/>
    <cellStyle name="Normal 3 2 2 2 2 2 2 2 2 2 8 2 2 5 3" xfId="28348" xr:uid="{C997F634-4E03-46F9-B437-D2A9F2112D1D}"/>
    <cellStyle name="Normal 3 2 2 2 2 2 2 2 2 2 8 2 2 5 4" xfId="28349" xr:uid="{FBFD9704-4739-4A70-9DF6-6198B8E2962C}"/>
    <cellStyle name="Normal 3 2 2 2 2 2 2 2 2 2 8 2 2 5 5" xfId="28350" xr:uid="{4DCB2901-8608-46D3-B492-035809CF6A42}"/>
    <cellStyle name="Normal 3 2 2 2 2 2 2 2 2 2 8 2 2 5 6" xfId="28351" xr:uid="{F3D4359D-E190-4EAE-B4CD-1B82137C5AAC}"/>
    <cellStyle name="Normal 3 2 2 2 2 2 2 2 2 2 8 2 2 6" xfId="28352" xr:uid="{05FCDA20-8CE5-4998-ACC3-65C2C3EC1489}"/>
    <cellStyle name="Normal 3 2 2 2 2 2 2 2 2 2 8 2 2 7" xfId="28353" xr:uid="{9E6C7743-B3DC-43EE-BA84-3BCBCD70057E}"/>
    <cellStyle name="Normal 3 2 2 2 2 2 2 2 2 2 8 2 2 8" xfId="28354" xr:uid="{4E99631F-D57E-4061-B383-C5FD6CA4928F}"/>
    <cellStyle name="Normal 3 2 2 2 2 2 2 2 2 2 8 2 2 9" xfId="28355" xr:uid="{F582BE05-FC82-499C-B884-862C326B59F7}"/>
    <cellStyle name="Normal 3 2 2 2 2 2 2 2 2 2 8 2 3" xfId="28356" xr:uid="{B34AC418-D069-471A-A2AA-D48C325F85B2}"/>
    <cellStyle name="Normal 3 2 2 2 2 2 2 2 2 2 8 2 4" xfId="28357" xr:uid="{0452D401-259B-49BF-B567-831A91E232CB}"/>
    <cellStyle name="Normal 3 2 2 2 2 2 2 2 2 2 8 2 5" xfId="28358" xr:uid="{058F2616-5BE6-4B0E-BF36-F454927A7372}"/>
    <cellStyle name="Normal 3 2 2 2 2 2 2 2 2 2 8 2 5 10" xfId="28359" xr:uid="{AD1FA426-0AB5-4D22-BC63-4E5C85D73122}"/>
    <cellStyle name="Normal 3 2 2 2 2 2 2 2 2 2 8 2 5 11" xfId="28360" xr:uid="{A9CF2964-D25B-467C-B686-BE466C1E1AF0}"/>
    <cellStyle name="Normal 3 2 2 2 2 2 2 2 2 2 8 2 5 2" xfId="28361" xr:uid="{CF1D8600-60AB-43FD-80E6-24E1A6D3252D}"/>
    <cellStyle name="Normal 3 2 2 2 2 2 2 2 2 2 8 2 5 2 10" xfId="28362" xr:uid="{B03C6EA9-2A6F-4070-A984-B723F06BEBBB}"/>
    <cellStyle name="Normal 3 2 2 2 2 2 2 2 2 2 8 2 5 2 11" xfId="28363" xr:uid="{CF28196D-5AEF-4530-94D8-03158ACBFAB8}"/>
    <cellStyle name="Normal 3 2 2 2 2 2 2 2 2 2 8 2 5 2 2" xfId="28364" xr:uid="{C9C45B81-E0A6-4045-8A27-9D22B091916D}"/>
    <cellStyle name="Normal 3 2 2 2 2 2 2 2 2 2 8 2 5 2 2 2" xfId="28365" xr:uid="{B4F76D06-A3EA-4FC4-AE7A-50B19E62DA7A}"/>
    <cellStyle name="Normal 3 2 2 2 2 2 2 2 2 2 8 2 5 2 2 2 2" xfId="28366" xr:uid="{B1208437-E1AD-46CF-94E7-6A98A930B722}"/>
    <cellStyle name="Normal 3 2 2 2 2 2 2 2 2 2 8 2 5 2 2 2 3" xfId="28367" xr:uid="{34840F08-538D-40A8-8871-7A640AFDC119}"/>
    <cellStyle name="Normal 3 2 2 2 2 2 2 2 2 2 8 2 5 2 2 2 4" xfId="28368" xr:uid="{5123B5E1-21D6-49FF-AD19-53AD68EB4136}"/>
    <cellStyle name="Normal 3 2 2 2 2 2 2 2 2 2 8 2 5 2 2 3" xfId="28369" xr:uid="{BB9D3A2D-AE5A-4B5B-B8C3-FC8BD76AEF70}"/>
    <cellStyle name="Normal 3 2 2 2 2 2 2 2 2 2 8 2 5 2 2 4" xfId="28370" xr:uid="{A212A72D-6897-48A3-B921-D0DB943A06CF}"/>
    <cellStyle name="Normal 3 2 2 2 2 2 2 2 2 2 8 2 5 2 2 5" xfId="28371" xr:uid="{D2D1D260-FA83-4D78-80E5-F14F13DD4801}"/>
    <cellStyle name="Normal 3 2 2 2 2 2 2 2 2 2 8 2 5 2 2 6" xfId="28372" xr:uid="{12D4A8E4-B719-4A96-AD3B-75E3437D8B80}"/>
    <cellStyle name="Normal 3 2 2 2 2 2 2 2 2 2 8 2 5 2 3" xfId="28373" xr:uid="{50B7EFF7-513D-47E0-BBB2-9CA192EFD659}"/>
    <cellStyle name="Normal 3 2 2 2 2 2 2 2 2 2 8 2 5 2 4" xfId="28374" xr:uid="{AD3B7872-631E-4D15-B339-A05837ECE874}"/>
    <cellStyle name="Normal 3 2 2 2 2 2 2 2 2 2 8 2 5 2 5" xfId="28375" xr:uid="{99EE32AA-8E3A-40D2-8299-73980D7E9DFE}"/>
    <cellStyle name="Normal 3 2 2 2 2 2 2 2 2 2 8 2 5 2 6" xfId="28376" xr:uid="{4907D2A0-ECCB-4D3E-86C9-3AC281BEBF9C}"/>
    <cellStyle name="Normal 3 2 2 2 2 2 2 2 2 2 8 2 5 2 7" xfId="28377" xr:uid="{6267B8F6-A51B-43D1-97EA-534BBB40C3EE}"/>
    <cellStyle name="Normal 3 2 2 2 2 2 2 2 2 2 8 2 5 2 8" xfId="28378" xr:uid="{41B0DA4F-DB3F-446B-B6BE-EE0E369062FE}"/>
    <cellStyle name="Normal 3 2 2 2 2 2 2 2 2 2 8 2 5 2 8 2" xfId="28379" xr:uid="{4261156C-F5CB-4ACA-B828-994BE2140FBD}"/>
    <cellStyle name="Normal 3 2 2 2 2 2 2 2 2 2 8 2 5 2 8 3" xfId="28380" xr:uid="{37E19F5C-96D7-4AE5-8617-EBB473DA33A2}"/>
    <cellStyle name="Normal 3 2 2 2 2 2 2 2 2 2 8 2 5 2 8 4" xfId="28381" xr:uid="{4CFDB214-3FFC-4BA7-B8FB-D56A65907115}"/>
    <cellStyle name="Normal 3 2 2 2 2 2 2 2 2 2 8 2 5 2 9" xfId="28382" xr:uid="{375F5912-1FAA-47BE-ABAC-221C35FA092E}"/>
    <cellStyle name="Normal 3 2 2 2 2 2 2 2 2 2 8 2 5 3" xfId="28383" xr:uid="{7FBB4065-DE12-43C8-899E-FA440C0F7957}"/>
    <cellStyle name="Normal 3 2 2 2 2 2 2 2 2 2 8 2 5 3 2" xfId="28384" xr:uid="{7D2C4FED-DAAE-4CD7-84B7-B3BB70F097BE}"/>
    <cellStyle name="Normal 3 2 2 2 2 2 2 2 2 2 8 2 5 3 2 2" xfId="28385" xr:uid="{753B8404-C711-466D-99FC-83BF791FD594}"/>
    <cellStyle name="Normal 3 2 2 2 2 2 2 2 2 2 8 2 5 3 2 3" xfId="28386" xr:uid="{3F5A3D72-DBE7-40FA-A1F4-DC805DBF96D6}"/>
    <cellStyle name="Normal 3 2 2 2 2 2 2 2 2 2 8 2 5 3 2 4" xfId="28387" xr:uid="{7E1027C3-9A00-40A1-B49D-99906976E401}"/>
    <cellStyle name="Normal 3 2 2 2 2 2 2 2 2 2 8 2 5 3 3" xfId="28388" xr:uid="{0A79A78A-ED52-4745-BDBE-5A210D48CF61}"/>
    <cellStyle name="Normal 3 2 2 2 2 2 2 2 2 2 8 2 5 3 4" xfId="28389" xr:uid="{C949C19C-CA35-44E8-BAE1-2D55005F89F4}"/>
    <cellStyle name="Normal 3 2 2 2 2 2 2 2 2 2 8 2 5 3 5" xfId="28390" xr:uid="{ABB0612F-0907-4DFC-A359-37186BBD0619}"/>
    <cellStyle name="Normal 3 2 2 2 2 2 2 2 2 2 8 2 5 3 6" xfId="28391" xr:uid="{BCCFBE83-0220-427E-B8D8-599E907E9385}"/>
    <cellStyle name="Normal 3 2 2 2 2 2 2 2 2 2 8 2 5 4" xfId="28392" xr:uid="{6F80E997-AF76-49C6-A88B-CDEE1D4938B5}"/>
    <cellStyle name="Normal 3 2 2 2 2 2 2 2 2 2 8 2 5 5" xfId="28393" xr:uid="{A84B52B1-8456-4D3F-8BD9-944C91F11DE6}"/>
    <cellStyle name="Normal 3 2 2 2 2 2 2 2 2 2 8 2 5 6" xfId="28394" xr:uid="{E0A9DCA6-E804-4E22-BBB2-E17062E6279B}"/>
    <cellStyle name="Normal 3 2 2 2 2 2 2 2 2 2 8 2 5 7" xfId="28395" xr:uid="{51DB4B58-C146-44CD-AD20-4D8DD87297B9}"/>
    <cellStyle name="Normal 3 2 2 2 2 2 2 2 2 2 8 2 5 8" xfId="28396" xr:uid="{2E5B9815-BFA2-4A6F-A332-E2C701B5ED92}"/>
    <cellStyle name="Normal 3 2 2 2 2 2 2 2 2 2 8 2 5 8 2" xfId="28397" xr:uid="{D737B24C-BA90-4603-AE24-FF8364370AF9}"/>
    <cellStyle name="Normal 3 2 2 2 2 2 2 2 2 2 8 2 5 8 3" xfId="28398" xr:uid="{FFA74573-9C80-4F7F-BF31-50677248B4D1}"/>
    <cellStyle name="Normal 3 2 2 2 2 2 2 2 2 2 8 2 5 8 4" xfId="28399" xr:uid="{F18241FA-32DF-4B5B-96A1-F42E132BE6A5}"/>
    <cellStyle name="Normal 3 2 2 2 2 2 2 2 2 2 8 2 5 9" xfId="28400" xr:uid="{0E9BCF17-7FEC-4865-B51D-6CB901F3B9A9}"/>
    <cellStyle name="Normal 3 2 2 2 2 2 2 2 2 2 8 2 6" xfId="28401" xr:uid="{220BA638-4C97-442A-96C0-53625ED4D7EB}"/>
    <cellStyle name="Normal 3 2 2 2 2 2 2 2 2 2 8 2 7" xfId="28402" xr:uid="{B2D3C9E4-64D7-4127-9444-A996CA51DDC7}"/>
    <cellStyle name="Normal 3 2 2 2 2 2 2 2 2 2 8 2 7 2" xfId="28403" xr:uid="{B632930D-3565-4B72-B361-4A4AD615CAF4}"/>
    <cellStyle name="Normal 3 2 2 2 2 2 2 2 2 2 8 2 7 2 2" xfId="28404" xr:uid="{D4936804-325F-4966-8FF0-2EFF6B69FB35}"/>
    <cellStyle name="Normal 3 2 2 2 2 2 2 2 2 2 8 2 7 2 3" xfId="28405" xr:uid="{A6F8A005-AC63-4438-B4F6-218F9E3C1495}"/>
    <cellStyle name="Normal 3 2 2 2 2 2 2 2 2 2 8 2 7 2 4" xfId="28406" xr:uid="{DB1CDC94-8874-4DDB-9BE1-7C4CADF5E64F}"/>
    <cellStyle name="Normal 3 2 2 2 2 2 2 2 2 2 8 2 7 3" xfId="28407" xr:uid="{73ACE839-1DB9-4272-9BE3-7503E47349B3}"/>
    <cellStyle name="Normal 3 2 2 2 2 2 2 2 2 2 8 2 7 4" xfId="28408" xr:uid="{922E8445-CE40-47AC-839D-6924CA366C4F}"/>
    <cellStyle name="Normal 3 2 2 2 2 2 2 2 2 2 8 2 7 5" xfId="28409" xr:uid="{2D671483-4443-4DA3-8251-DDBEBCF63714}"/>
    <cellStyle name="Normal 3 2 2 2 2 2 2 2 2 2 8 2 7 6" xfId="28410" xr:uid="{6844FC10-ABAD-4494-BC8D-CE826028561B}"/>
    <cellStyle name="Normal 3 2 2 2 2 2 2 2 2 2 8 2 8" xfId="28411" xr:uid="{D2882A9A-4471-4F0C-9B47-F6B1404E7B2C}"/>
    <cellStyle name="Normal 3 2 2 2 2 2 2 2 2 2 8 2 9" xfId="28412" xr:uid="{827BE9EB-5037-4540-90F3-4A5AA6B3BA50}"/>
    <cellStyle name="Normal 3 2 2 2 2 2 2 2 2 2 8 20" xfId="28413" xr:uid="{7CFBEA46-B72A-4FC3-8A45-BD222F0D249B}"/>
    <cellStyle name="Normal 3 2 2 2 2 2 2 2 2 2 8 21" xfId="28414" xr:uid="{C3353743-B528-4027-B565-C1EB24EF0443}"/>
    <cellStyle name="Normal 3 2 2 2 2 2 2 2 2 2 8 21 2" xfId="28415" xr:uid="{EA8314B9-191F-43C7-ACBD-B9F3B53A13D5}"/>
    <cellStyle name="Normal 3 2 2 2 2 2 2 2 2 2 8 21 3" xfId="28416" xr:uid="{B4B2AC9A-03B6-4BDE-BA6E-284F8BB3824F}"/>
    <cellStyle name="Normal 3 2 2 2 2 2 2 2 2 2 8 21 4" xfId="28417" xr:uid="{D4C5055D-957A-4603-BE62-66C0AE0E5467}"/>
    <cellStyle name="Normal 3 2 2 2 2 2 2 2 2 2 8 22" xfId="28418" xr:uid="{CFA2A5A2-35F1-44DC-B8CA-8172573BD7E3}"/>
    <cellStyle name="Normal 3 2 2 2 2 2 2 2 2 2 8 23" xfId="28419" xr:uid="{2458006E-FFD2-41FF-9489-DB0706AE4A3C}"/>
    <cellStyle name="Normal 3 2 2 2 2 2 2 2 2 2 8 24" xfId="28420" xr:uid="{3F40BD4F-9733-4B13-91A2-7E3396E82273}"/>
    <cellStyle name="Normal 3 2 2 2 2 2 2 2 2 2 8 3" xfId="28421" xr:uid="{67257BB1-2BDC-4A52-95D9-728236E8D5D3}"/>
    <cellStyle name="Normal 3 2 2 2 2 2 2 2 2 2 8 4" xfId="28422" xr:uid="{B8BE9236-5AC9-496D-9842-C987174456C4}"/>
    <cellStyle name="Normal 3 2 2 2 2 2 2 2 2 2 8 5" xfId="28423" xr:uid="{D4F7517B-3A39-4FD6-8CC2-8D25DB03B136}"/>
    <cellStyle name="Normal 3 2 2 2 2 2 2 2 2 2 8 6" xfId="28424" xr:uid="{55A3020D-90FB-4666-BDB0-30EEFC9C510A}"/>
    <cellStyle name="Normal 3 2 2 2 2 2 2 2 2 2 8 7" xfId="28425" xr:uid="{AB3D6794-CD66-458B-B1FB-28491734D406}"/>
    <cellStyle name="Normal 3 2 2 2 2 2 2 2 2 2 8 8" xfId="28426" xr:uid="{AFCBCA1C-DB62-4C85-BDEE-69E956668C87}"/>
    <cellStyle name="Normal 3 2 2 2 2 2 2 2 2 2 8 9" xfId="28427" xr:uid="{F6A44DC1-3E93-4828-994A-85185CA63A4B}"/>
    <cellStyle name="Normal 3 2 2 2 2 2 2 2 2 2 9" xfId="28428" xr:uid="{64AFA335-0C6F-42B1-8262-A2E61B5EB5D7}"/>
    <cellStyle name="Normal 3 2 2 2 2 2 2 2 2 2 9 10" xfId="28429" xr:uid="{65347CD3-804F-4EE1-B471-4D15F8BB0F57}"/>
    <cellStyle name="Normal 3 2 2 2 2 2 2 2 2 2 9 11" xfId="28430" xr:uid="{BA6B4D1D-A955-445B-9D10-603C4C4C6CA3}"/>
    <cellStyle name="Normal 3 2 2 2 2 2 2 2 2 2 9 12" xfId="28431" xr:uid="{59FF7BDB-5C4A-425D-B287-38FEACFDDE8A}"/>
    <cellStyle name="Normal 3 2 2 2 2 2 2 2 2 2 9 13" xfId="28432" xr:uid="{A943AA14-2973-423B-BDDA-6710953CCC76}"/>
    <cellStyle name="Normal 3 2 2 2 2 2 2 2 2 2 9 13 2" xfId="28433" xr:uid="{C3D9D3CD-C775-4FC1-B1D8-2B928CA73264}"/>
    <cellStyle name="Normal 3 2 2 2 2 2 2 2 2 2 9 13 3" xfId="28434" xr:uid="{5BB289AF-391D-42DB-AC59-7256BDCF9110}"/>
    <cellStyle name="Normal 3 2 2 2 2 2 2 2 2 2 9 13 4" xfId="28435" xr:uid="{2A2D59A4-7A83-4F07-8C60-428AE56E43A2}"/>
    <cellStyle name="Normal 3 2 2 2 2 2 2 2 2 2 9 14" xfId="28436" xr:uid="{498779D1-7163-4CEA-A8DE-9D8361F27190}"/>
    <cellStyle name="Normal 3 2 2 2 2 2 2 2 2 2 9 15" xfId="28437" xr:uid="{37FBCA11-E9C3-4053-88DA-C34B29B12DD0}"/>
    <cellStyle name="Normal 3 2 2 2 2 2 2 2 2 2 9 16" xfId="28438" xr:uid="{12339A30-FF61-4FA0-9725-331FB53EAA34}"/>
    <cellStyle name="Normal 3 2 2 2 2 2 2 2 2 2 9 2" xfId="28439" xr:uid="{B7D5576B-1A99-4CE5-B3E0-585C63F66075}"/>
    <cellStyle name="Normal 3 2 2 2 2 2 2 2 2 2 9 2 10" xfId="28440" xr:uid="{60D1C399-142D-4052-9FE5-ED3A5610A8FA}"/>
    <cellStyle name="Normal 3 2 2 2 2 2 2 2 2 2 9 2 11" xfId="28441" xr:uid="{6C23E194-77BD-4787-A445-E2AA9D7EFDD8}"/>
    <cellStyle name="Normal 3 2 2 2 2 2 2 2 2 2 9 2 11 2" xfId="28442" xr:uid="{36217CFE-C7A1-4727-B5C9-899A58F80AC2}"/>
    <cellStyle name="Normal 3 2 2 2 2 2 2 2 2 2 9 2 11 3" xfId="28443" xr:uid="{7573B5A2-F89E-4F41-8E14-0A6F043053C6}"/>
    <cellStyle name="Normal 3 2 2 2 2 2 2 2 2 2 9 2 11 4" xfId="28444" xr:uid="{EF73F767-65ED-4C8C-887E-93301186E367}"/>
    <cellStyle name="Normal 3 2 2 2 2 2 2 2 2 2 9 2 12" xfId="28445" xr:uid="{0B2717D1-281B-411A-BBB9-57AC08B128EE}"/>
    <cellStyle name="Normal 3 2 2 2 2 2 2 2 2 2 9 2 13" xfId="28446" xr:uid="{8C3C7C42-CE65-43EC-9EB8-971030A3FF56}"/>
    <cellStyle name="Normal 3 2 2 2 2 2 2 2 2 2 9 2 14" xfId="28447" xr:uid="{C09812F4-8BFF-4A99-BDFB-CCE9ACDAFD39}"/>
    <cellStyle name="Normal 3 2 2 2 2 2 2 2 2 2 9 2 2" xfId="28448" xr:uid="{4C7E1E8F-3BEC-4358-BC5A-9ED90E450912}"/>
    <cellStyle name="Normal 3 2 2 2 2 2 2 2 2 2 9 2 2 10" xfId="28449" xr:uid="{EF71272A-E887-4D7A-B67C-80DC6C3AA6D3}"/>
    <cellStyle name="Normal 3 2 2 2 2 2 2 2 2 2 9 2 2 11" xfId="28450" xr:uid="{783F3F1B-A993-4621-B120-34AD2F39588D}"/>
    <cellStyle name="Normal 3 2 2 2 2 2 2 2 2 2 9 2 2 2" xfId="28451" xr:uid="{E76AC1D0-3D46-4BF6-BC17-4D707791072A}"/>
    <cellStyle name="Normal 3 2 2 2 2 2 2 2 2 2 9 2 2 2 10" xfId="28452" xr:uid="{62C1802A-37D2-45EB-9B37-77C9F544CAC7}"/>
    <cellStyle name="Normal 3 2 2 2 2 2 2 2 2 2 9 2 2 2 11" xfId="28453" xr:uid="{5DEDB1D4-A420-4C81-A9E5-F8B389980B62}"/>
    <cellStyle name="Normal 3 2 2 2 2 2 2 2 2 2 9 2 2 2 2" xfId="28454" xr:uid="{99A5DF68-3FBC-4ECF-884E-48B2CA2AA0FC}"/>
    <cellStyle name="Normal 3 2 2 2 2 2 2 2 2 2 9 2 2 2 2 2" xfId="28455" xr:uid="{B53837BE-B3B1-4876-9F26-2DAE6FB4662E}"/>
    <cellStyle name="Normal 3 2 2 2 2 2 2 2 2 2 9 2 2 2 2 2 2" xfId="28456" xr:uid="{EB4F474D-3D8D-4090-AEBD-A87FAABC5954}"/>
    <cellStyle name="Normal 3 2 2 2 2 2 2 2 2 2 9 2 2 2 2 2 3" xfId="28457" xr:uid="{DB8C57F4-15FA-4DE8-8902-D79FF06EE067}"/>
    <cellStyle name="Normal 3 2 2 2 2 2 2 2 2 2 9 2 2 2 2 2 4" xfId="28458" xr:uid="{923796A5-D036-49B2-ABA3-D98AB600BB2A}"/>
    <cellStyle name="Normal 3 2 2 2 2 2 2 2 2 2 9 2 2 2 2 3" xfId="28459" xr:uid="{C51880E0-29A6-48D2-B37C-42084C543EBC}"/>
    <cellStyle name="Normal 3 2 2 2 2 2 2 2 2 2 9 2 2 2 2 4" xfId="28460" xr:uid="{FD6E3335-1140-4DBE-9663-16AEC0B60D3A}"/>
    <cellStyle name="Normal 3 2 2 2 2 2 2 2 2 2 9 2 2 2 2 5" xfId="28461" xr:uid="{1339FA80-4E5C-4FAE-8158-EDB998678EE6}"/>
    <cellStyle name="Normal 3 2 2 2 2 2 2 2 2 2 9 2 2 2 2 6" xfId="28462" xr:uid="{9B748412-4B9A-4087-81DB-E85305E6249E}"/>
    <cellStyle name="Normal 3 2 2 2 2 2 2 2 2 2 9 2 2 2 3" xfId="28463" xr:uid="{16093F4E-4C0C-4C96-A4CE-D9B292FB700D}"/>
    <cellStyle name="Normal 3 2 2 2 2 2 2 2 2 2 9 2 2 2 4" xfId="28464" xr:uid="{C6E963E3-A2FF-4625-BFC1-DB54822AF9D1}"/>
    <cellStyle name="Normal 3 2 2 2 2 2 2 2 2 2 9 2 2 2 5" xfId="28465" xr:uid="{DF9670DA-5DFE-428B-B01B-1128BCB9E16D}"/>
    <cellStyle name="Normal 3 2 2 2 2 2 2 2 2 2 9 2 2 2 6" xfId="28466" xr:uid="{AB7FB5C5-E31C-408C-934D-CD75FE76C550}"/>
    <cellStyle name="Normal 3 2 2 2 2 2 2 2 2 2 9 2 2 2 7" xfId="28467" xr:uid="{5CB0AFEC-DB06-4FCB-800C-1A2D2B41ABF2}"/>
    <cellStyle name="Normal 3 2 2 2 2 2 2 2 2 2 9 2 2 2 8" xfId="28468" xr:uid="{05553FC4-98DC-4833-B8F5-AB5F26BAC6F3}"/>
    <cellStyle name="Normal 3 2 2 2 2 2 2 2 2 2 9 2 2 2 8 2" xfId="28469" xr:uid="{206E93B3-46E2-4A2A-BFF5-0E57F0E58E3F}"/>
    <cellStyle name="Normal 3 2 2 2 2 2 2 2 2 2 9 2 2 2 8 3" xfId="28470" xr:uid="{C71778C2-3187-4822-A50A-95BD2D0B3FE7}"/>
    <cellStyle name="Normal 3 2 2 2 2 2 2 2 2 2 9 2 2 2 8 4" xfId="28471" xr:uid="{05089233-0219-49F0-A6F7-90ADE816D7D5}"/>
    <cellStyle name="Normal 3 2 2 2 2 2 2 2 2 2 9 2 2 2 9" xfId="28472" xr:uid="{C1C2AC43-9DAB-44F8-8CC3-F30BC5CEF06D}"/>
    <cellStyle name="Normal 3 2 2 2 2 2 2 2 2 2 9 2 2 3" xfId="28473" xr:uid="{B790BA0E-33A3-4223-99E2-9ADBC00A5A7D}"/>
    <cellStyle name="Normal 3 2 2 2 2 2 2 2 2 2 9 2 2 3 2" xfId="28474" xr:uid="{65600A5F-109F-4E04-82A3-5D80758972B1}"/>
    <cellStyle name="Normal 3 2 2 2 2 2 2 2 2 2 9 2 2 3 2 2" xfId="28475" xr:uid="{68CF600E-ED16-49CD-8095-51A7F05BF905}"/>
    <cellStyle name="Normal 3 2 2 2 2 2 2 2 2 2 9 2 2 3 2 3" xfId="28476" xr:uid="{4854F847-804D-4507-A4F3-7B52D7983D39}"/>
    <cellStyle name="Normal 3 2 2 2 2 2 2 2 2 2 9 2 2 3 2 4" xfId="28477" xr:uid="{597F3203-6C88-4B22-9FC3-F930BA173B89}"/>
    <cellStyle name="Normal 3 2 2 2 2 2 2 2 2 2 9 2 2 3 3" xfId="28478" xr:uid="{7F0E1ED7-5E34-445C-97C2-A775043EC34D}"/>
    <cellStyle name="Normal 3 2 2 2 2 2 2 2 2 2 9 2 2 3 4" xfId="28479" xr:uid="{B2CDFB54-6EA5-4141-8D9B-E055DD32265B}"/>
    <cellStyle name="Normal 3 2 2 2 2 2 2 2 2 2 9 2 2 3 5" xfId="28480" xr:uid="{F27DA4FB-B93A-4306-959C-1F216936E9CC}"/>
    <cellStyle name="Normal 3 2 2 2 2 2 2 2 2 2 9 2 2 3 6" xfId="28481" xr:uid="{D882D553-97A5-4FFD-8AA7-7929AC4A3F62}"/>
    <cellStyle name="Normal 3 2 2 2 2 2 2 2 2 2 9 2 2 4" xfId="28482" xr:uid="{EB61101E-B1B2-4976-BA47-12F781AC55AE}"/>
    <cellStyle name="Normal 3 2 2 2 2 2 2 2 2 2 9 2 2 5" xfId="28483" xr:uid="{F84096C5-AB2B-4B3C-BD98-3ECED51E2484}"/>
    <cellStyle name="Normal 3 2 2 2 2 2 2 2 2 2 9 2 2 6" xfId="28484" xr:uid="{BDB0565D-AF2C-4D05-B030-2E4C27D99A76}"/>
    <cellStyle name="Normal 3 2 2 2 2 2 2 2 2 2 9 2 2 7" xfId="28485" xr:uid="{9D6D42C7-2F2F-4079-85BF-E8AD038A3CF3}"/>
    <cellStyle name="Normal 3 2 2 2 2 2 2 2 2 2 9 2 2 8" xfId="28486" xr:uid="{70BA95B2-1798-4C78-BA2B-0ED5CB952883}"/>
    <cellStyle name="Normal 3 2 2 2 2 2 2 2 2 2 9 2 2 8 2" xfId="28487" xr:uid="{4241832B-A16E-487C-93C1-C32F3EE2834F}"/>
    <cellStyle name="Normal 3 2 2 2 2 2 2 2 2 2 9 2 2 8 3" xfId="28488" xr:uid="{73018F19-1F29-44BD-AE91-B75E39C9EBD7}"/>
    <cellStyle name="Normal 3 2 2 2 2 2 2 2 2 2 9 2 2 8 4" xfId="28489" xr:uid="{8DC77AFF-42D5-47F2-A83D-7DC95ADCCD2C}"/>
    <cellStyle name="Normal 3 2 2 2 2 2 2 2 2 2 9 2 2 9" xfId="28490" xr:uid="{E4622F4C-503E-4EDB-8791-8770E2EF899E}"/>
    <cellStyle name="Normal 3 2 2 2 2 2 2 2 2 2 9 2 3" xfId="28491" xr:uid="{06C6F253-F307-4A6A-9F11-B4DC9A534086}"/>
    <cellStyle name="Normal 3 2 2 2 2 2 2 2 2 2 9 2 4" xfId="28492" xr:uid="{077451D7-64A9-4E38-B823-5F9DF8F4D39C}"/>
    <cellStyle name="Normal 3 2 2 2 2 2 2 2 2 2 9 2 5" xfId="28493" xr:uid="{8FA32EAA-3799-44D5-AECB-94EE849AA511}"/>
    <cellStyle name="Normal 3 2 2 2 2 2 2 2 2 2 9 2 5 2" xfId="28494" xr:uid="{39E2E19E-658D-47AA-900D-2EE303ED7609}"/>
    <cellStyle name="Normal 3 2 2 2 2 2 2 2 2 2 9 2 5 2 2" xfId="28495" xr:uid="{E964F4AD-3E87-4A35-B59F-029E937E6C17}"/>
    <cellStyle name="Normal 3 2 2 2 2 2 2 2 2 2 9 2 5 2 3" xfId="28496" xr:uid="{64AAD93B-109F-48BC-BC50-828F0AA3FE2E}"/>
    <cellStyle name="Normal 3 2 2 2 2 2 2 2 2 2 9 2 5 2 4" xfId="28497" xr:uid="{E3AAF1FD-C3B1-4387-BBA1-6930B51138A4}"/>
    <cellStyle name="Normal 3 2 2 2 2 2 2 2 2 2 9 2 5 3" xfId="28498" xr:uid="{EC71478E-C9E5-4613-9F50-5B1EFE040128}"/>
    <cellStyle name="Normal 3 2 2 2 2 2 2 2 2 2 9 2 5 4" xfId="28499" xr:uid="{790BFA7B-3361-450A-B99B-86E4B47334B1}"/>
    <cellStyle name="Normal 3 2 2 2 2 2 2 2 2 2 9 2 5 5" xfId="28500" xr:uid="{4356C946-3E55-48B3-A58C-80E2C51AB960}"/>
    <cellStyle name="Normal 3 2 2 2 2 2 2 2 2 2 9 2 5 6" xfId="28501" xr:uid="{63CBD1B2-9516-46A3-AFDB-065143DAA550}"/>
    <cellStyle name="Normal 3 2 2 2 2 2 2 2 2 2 9 2 6" xfId="28502" xr:uid="{3839CA1A-B348-4124-8CE5-3902C98718B4}"/>
    <cellStyle name="Normal 3 2 2 2 2 2 2 2 2 2 9 2 7" xfId="28503" xr:uid="{E9850EB4-33EE-419A-BC72-226C46343C65}"/>
    <cellStyle name="Normal 3 2 2 2 2 2 2 2 2 2 9 2 8" xfId="28504" xr:uid="{B8C55730-3307-4FC8-AA28-BB7BA59EA6C8}"/>
    <cellStyle name="Normal 3 2 2 2 2 2 2 2 2 2 9 2 9" xfId="28505" xr:uid="{95C825F8-64EE-4847-90BD-D523B3E63529}"/>
    <cellStyle name="Normal 3 2 2 2 2 2 2 2 2 2 9 3" xfId="28506" xr:uid="{1CE1E93E-467E-46D7-931A-8854BDF5A8A6}"/>
    <cellStyle name="Normal 3 2 2 2 2 2 2 2 2 2 9 4" xfId="28507" xr:uid="{3C9B7BAA-53C5-45D4-9E63-7DED65B5D76E}"/>
    <cellStyle name="Normal 3 2 2 2 2 2 2 2 2 2 9 5" xfId="28508" xr:uid="{F9C8162D-42C6-41CF-9D42-54714C47A272}"/>
    <cellStyle name="Normal 3 2 2 2 2 2 2 2 2 2 9 5 10" xfId="28509" xr:uid="{81625112-DAEE-4F43-8D3F-E618A6031A8B}"/>
    <cellStyle name="Normal 3 2 2 2 2 2 2 2 2 2 9 5 11" xfId="28510" xr:uid="{3E0B388E-B648-466F-8B54-5A234DD9B6CA}"/>
    <cellStyle name="Normal 3 2 2 2 2 2 2 2 2 2 9 5 2" xfId="28511" xr:uid="{7BA153B1-ABAF-4B9F-923F-2353541D8857}"/>
    <cellStyle name="Normal 3 2 2 2 2 2 2 2 2 2 9 5 2 10" xfId="28512" xr:uid="{BD1B1DDC-9E72-4D2B-80A8-7D53AE553944}"/>
    <cellStyle name="Normal 3 2 2 2 2 2 2 2 2 2 9 5 2 11" xfId="28513" xr:uid="{FD5AFD52-5D17-41D6-8B84-74A7EB3757CD}"/>
    <cellStyle name="Normal 3 2 2 2 2 2 2 2 2 2 9 5 2 2" xfId="28514" xr:uid="{8C7672A2-83D2-4D9D-88DE-2D9A117F0A34}"/>
    <cellStyle name="Normal 3 2 2 2 2 2 2 2 2 2 9 5 2 2 2" xfId="28515" xr:uid="{122FB445-7C79-41C5-8A42-4CC209A11EA8}"/>
    <cellStyle name="Normal 3 2 2 2 2 2 2 2 2 2 9 5 2 2 2 2" xfId="28516" xr:uid="{2003C88E-6239-4B0D-83D1-B42EC7AFFD50}"/>
    <cellStyle name="Normal 3 2 2 2 2 2 2 2 2 2 9 5 2 2 2 3" xfId="28517" xr:uid="{C8A2A7CB-CAE3-47B0-B92A-EDBD759B2A5D}"/>
    <cellStyle name="Normal 3 2 2 2 2 2 2 2 2 2 9 5 2 2 2 4" xfId="28518" xr:uid="{CFA719D6-8742-428C-90C7-5D328A9EB0A1}"/>
    <cellStyle name="Normal 3 2 2 2 2 2 2 2 2 2 9 5 2 2 3" xfId="28519" xr:uid="{ADED7F2F-16AC-4A8D-BCFD-983CA8ADEF43}"/>
    <cellStyle name="Normal 3 2 2 2 2 2 2 2 2 2 9 5 2 2 4" xfId="28520" xr:uid="{8DC3041C-084E-4BB9-81B4-C08CB045B6FD}"/>
    <cellStyle name="Normal 3 2 2 2 2 2 2 2 2 2 9 5 2 2 5" xfId="28521" xr:uid="{7CD5B3B9-3751-47E0-8F67-B08D87AC4CB3}"/>
    <cellStyle name="Normal 3 2 2 2 2 2 2 2 2 2 9 5 2 2 6" xfId="28522" xr:uid="{91DC5148-83F3-4827-AD22-E4F97689D9E5}"/>
    <cellStyle name="Normal 3 2 2 2 2 2 2 2 2 2 9 5 2 3" xfId="28523" xr:uid="{1E0FAA97-96DF-4977-971A-082C00B12338}"/>
    <cellStyle name="Normal 3 2 2 2 2 2 2 2 2 2 9 5 2 4" xfId="28524" xr:uid="{4F8467A4-420E-4F9F-B50E-D9D24E012F5F}"/>
    <cellStyle name="Normal 3 2 2 2 2 2 2 2 2 2 9 5 2 5" xfId="28525" xr:uid="{FAEA5CDC-65EA-4A1B-9695-7E2AE44B1B12}"/>
    <cellStyle name="Normal 3 2 2 2 2 2 2 2 2 2 9 5 2 6" xfId="28526" xr:uid="{F909494B-1352-4E8C-9117-ED539B6FE6EB}"/>
    <cellStyle name="Normal 3 2 2 2 2 2 2 2 2 2 9 5 2 7" xfId="28527" xr:uid="{5EFB4E8E-265C-4862-8FB5-9365187F628B}"/>
    <cellStyle name="Normal 3 2 2 2 2 2 2 2 2 2 9 5 2 8" xfId="28528" xr:uid="{75ED7116-6E83-4E30-A8AC-78D4F59C434A}"/>
    <cellStyle name="Normal 3 2 2 2 2 2 2 2 2 2 9 5 2 8 2" xfId="28529" xr:uid="{ACB36293-06F7-400C-832C-FA02DD86421D}"/>
    <cellStyle name="Normal 3 2 2 2 2 2 2 2 2 2 9 5 2 8 3" xfId="28530" xr:uid="{1D576079-CC83-46A2-8D04-F06C33175061}"/>
    <cellStyle name="Normal 3 2 2 2 2 2 2 2 2 2 9 5 2 8 4" xfId="28531" xr:uid="{3224FDD8-A25D-45D0-A143-6EF42DA0DDC0}"/>
    <cellStyle name="Normal 3 2 2 2 2 2 2 2 2 2 9 5 2 9" xfId="28532" xr:uid="{58444080-100A-42DC-A522-713F95F4A7BE}"/>
    <cellStyle name="Normal 3 2 2 2 2 2 2 2 2 2 9 5 3" xfId="28533" xr:uid="{7A44E180-BD33-4141-9FA6-A741F1841EDF}"/>
    <cellStyle name="Normal 3 2 2 2 2 2 2 2 2 2 9 5 3 2" xfId="28534" xr:uid="{E37AD60C-4F50-4860-8AD5-8EA2281D92A6}"/>
    <cellStyle name="Normal 3 2 2 2 2 2 2 2 2 2 9 5 3 2 2" xfId="28535" xr:uid="{910B3BCC-CCCE-48C2-BABB-F25FEAB8AA71}"/>
    <cellStyle name="Normal 3 2 2 2 2 2 2 2 2 2 9 5 3 2 3" xfId="28536" xr:uid="{F0184CF0-AC15-45A1-A9A5-FBD877C2599D}"/>
    <cellStyle name="Normal 3 2 2 2 2 2 2 2 2 2 9 5 3 2 4" xfId="28537" xr:uid="{7972DDDC-BFE1-4F2C-8795-F417FC0E45E2}"/>
    <cellStyle name="Normal 3 2 2 2 2 2 2 2 2 2 9 5 3 3" xfId="28538" xr:uid="{C483A943-049D-4C8B-A349-8FF5C72356D3}"/>
    <cellStyle name="Normal 3 2 2 2 2 2 2 2 2 2 9 5 3 4" xfId="28539" xr:uid="{F26BBE41-5062-40EE-9F05-B2063CAFEB43}"/>
    <cellStyle name="Normal 3 2 2 2 2 2 2 2 2 2 9 5 3 5" xfId="28540" xr:uid="{B4196E05-FDE6-455E-A0BC-2A582402C3ED}"/>
    <cellStyle name="Normal 3 2 2 2 2 2 2 2 2 2 9 5 3 6" xfId="28541" xr:uid="{0C450BAE-4BE2-441B-925C-F3A3C0718A1E}"/>
    <cellStyle name="Normal 3 2 2 2 2 2 2 2 2 2 9 5 4" xfId="28542" xr:uid="{6DEA7C0D-A0B6-4EE9-A1A9-98CAB04D593F}"/>
    <cellStyle name="Normal 3 2 2 2 2 2 2 2 2 2 9 5 5" xfId="28543" xr:uid="{2E6BA151-F544-4411-83D2-6F495B468B86}"/>
    <cellStyle name="Normal 3 2 2 2 2 2 2 2 2 2 9 5 6" xfId="28544" xr:uid="{71206C3E-6F1A-493A-9654-B73AA43A5DCA}"/>
    <cellStyle name="Normal 3 2 2 2 2 2 2 2 2 2 9 5 7" xfId="28545" xr:uid="{BCA4F282-237E-40BD-B19A-538CD3380A67}"/>
    <cellStyle name="Normal 3 2 2 2 2 2 2 2 2 2 9 5 8" xfId="28546" xr:uid="{15700D62-9954-428A-B967-52005B349840}"/>
    <cellStyle name="Normal 3 2 2 2 2 2 2 2 2 2 9 5 8 2" xfId="28547" xr:uid="{DAD0BDE2-2A71-4656-B656-D41B46C80861}"/>
    <cellStyle name="Normal 3 2 2 2 2 2 2 2 2 2 9 5 8 3" xfId="28548" xr:uid="{4880A0E7-63F7-49D8-BD8B-31CC48D8C310}"/>
    <cellStyle name="Normal 3 2 2 2 2 2 2 2 2 2 9 5 8 4" xfId="28549" xr:uid="{164A4392-A2A5-406D-9DE3-9A0DDA5C1F2A}"/>
    <cellStyle name="Normal 3 2 2 2 2 2 2 2 2 2 9 5 9" xfId="28550" xr:uid="{0E2D8F86-78AC-40CC-A228-9CFDC14A1532}"/>
    <cellStyle name="Normal 3 2 2 2 2 2 2 2 2 2 9 6" xfId="28551" xr:uid="{F65C50FE-0043-49E7-AC00-502271BED821}"/>
    <cellStyle name="Normal 3 2 2 2 2 2 2 2 2 2 9 7" xfId="28552" xr:uid="{21083D7E-851F-4869-AF8B-E6D3BE6425B9}"/>
    <cellStyle name="Normal 3 2 2 2 2 2 2 2 2 2 9 7 2" xfId="28553" xr:uid="{8491A9FA-FF3C-4761-9EE9-B3CD9D0A5480}"/>
    <cellStyle name="Normal 3 2 2 2 2 2 2 2 2 2 9 7 2 2" xfId="28554" xr:uid="{8905E956-831C-4434-8FF6-3C6248C4594E}"/>
    <cellStyle name="Normal 3 2 2 2 2 2 2 2 2 2 9 7 2 3" xfId="28555" xr:uid="{423680ED-4764-4BAC-9810-1C6BA92A249C}"/>
    <cellStyle name="Normal 3 2 2 2 2 2 2 2 2 2 9 7 2 4" xfId="28556" xr:uid="{E79544BC-CF99-4BA4-B6B7-06DCAEBABD56}"/>
    <cellStyle name="Normal 3 2 2 2 2 2 2 2 2 2 9 7 3" xfId="28557" xr:uid="{A23E5B92-2003-442C-8960-28259D351C49}"/>
    <cellStyle name="Normal 3 2 2 2 2 2 2 2 2 2 9 7 4" xfId="28558" xr:uid="{A84DBC05-E8DE-42F2-8550-824C2E7A84D3}"/>
    <cellStyle name="Normal 3 2 2 2 2 2 2 2 2 2 9 7 5" xfId="28559" xr:uid="{506677A1-D5DA-4218-B1B0-B9C00607CEAB}"/>
    <cellStyle name="Normal 3 2 2 2 2 2 2 2 2 2 9 7 6" xfId="28560" xr:uid="{467DA0B8-4ED9-4C98-8A50-32288AE663FF}"/>
    <cellStyle name="Normal 3 2 2 2 2 2 2 2 2 2 9 8" xfId="28561" xr:uid="{16DED891-5D3C-4BC5-8286-0A0431C59A2D}"/>
    <cellStyle name="Normal 3 2 2 2 2 2 2 2 2 2 9 9" xfId="28562" xr:uid="{21533F9C-BD78-4F4F-AD29-4ADDC2E61EF5}"/>
    <cellStyle name="Normal 3 2 2 2 2 2 2 2 2 20" xfId="28563" xr:uid="{712A9A48-AE48-4A14-B6E1-09917C559E98}"/>
    <cellStyle name="Normal 3 2 2 2 2 2 2 2 2 21" xfId="28564" xr:uid="{DFA13422-7939-443F-B588-F46F4A9056D3}"/>
    <cellStyle name="Normal 3 2 2 2 2 2 2 2 2 21 2" xfId="28565" xr:uid="{83DDC370-4929-4972-B772-EB895B66EE4B}"/>
    <cellStyle name="Normal 3 2 2 2 2 2 2 2 2 21 2 2" xfId="28566" xr:uid="{DBE6A69C-4382-435E-AC89-E69D0ECE7D7C}"/>
    <cellStyle name="Normal 3 2 2 2 2 2 2 2 2 21 2 3" xfId="28567" xr:uid="{CF36C9B9-53EC-41EB-8BA5-91C785195A73}"/>
    <cellStyle name="Normal 3 2 2 2 2 2 2 2 2 21 2 4" xfId="28568" xr:uid="{CA4F5BDC-56D1-4C11-994E-967317C57EE7}"/>
    <cellStyle name="Normal 3 2 2 2 2 2 2 2 2 21 3" xfId="28569" xr:uid="{5D43B509-BEA7-482B-9412-F09CFF4F36A3}"/>
    <cellStyle name="Normal 3 2 2 2 2 2 2 2 2 21 4" xfId="28570" xr:uid="{F4CCB3B3-9788-45CA-8478-94C797D0286A}"/>
    <cellStyle name="Normal 3 2 2 2 2 2 2 2 2 21 5" xfId="28571" xr:uid="{23245213-06B1-4F18-8089-DDA500FECC83}"/>
    <cellStyle name="Normal 3 2 2 2 2 2 2 2 2 21 6" xfId="28572" xr:uid="{680904AC-1B2F-4825-840B-5F1EBFD5CEE4}"/>
    <cellStyle name="Normal 3 2 2 2 2 2 2 2 2 22" xfId="28573" xr:uid="{0F5624D5-06CF-40E0-89E1-276134BF67AD}"/>
    <cellStyle name="Normal 3 2 2 2 2 2 2 2 2 23" xfId="28574" xr:uid="{585FE467-2B86-4D86-BF2A-3A25FA775002}"/>
    <cellStyle name="Normal 3 2 2 2 2 2 2 2 2 24" xfId="28575" xr:uid="{8A0D55AB-C510-4639-A1F5-FF5A8674DE25}"/>
    <cellStyle name="Normal 3 2 2 2 2 2 2 2 2 25" xfId="28576" xr:uid="{C1088073-4D3A-48AB-807C-F27769FFC224}"/>
    <cellStyle name="Normal 3 2 2 2 2 2 2 2 2 26" xfId="28577" xr:uid="{545C6785-7EAB-485E-9D04-9A1FC938D665}"/>
    <cellStyle name="Normal 3 2 2 2 2 2 2 2 2 27" xfId="28578" xr:uid="{313F867E-1196-4E9A-8DB2-95DA13F2EFC0}"/>
    <cellStyle name="Normal 3 2 2 2 2 2 2 2 2 27 2" xfId="28579" xr:uid="{21870B99-01EF-4A55-BC4C-2D39C4007832}"/>
    <cellStyle name="Normal 3 2 2 2 2 2 2 2 2 27 3" xfId="28580" xr:uid="{65503E10-B7B6-453A-B1B8-5C6127804866}"/>
    <cellStyle name="Normal 3 2 2 2 2 2 2 2 2 27 4" xfId="28581" xr:uid="{6BD03C21-3A77-4940-A917-5AD0EF486E70}"/>
    <cellStyle name="Normal 3 2 2 2 2 2 2 2 2 28" xfId="28582" xr:uid="{4CCE4D12-4DC6-4AA7-957E-E4DD88BD710C}"/>
    <cellStyle name="Normal 3 2 2 2 2 2 2 2 2 29" xfId="28583" xr:uid="{C3C7289B-7564-4A29-88DB-3A15CD727C20}"/>
    <cellStyle name="Normal 3 2 2 2 2 2 2 2 2 3" xfId="28584" xr:uid="{4A877AD6-1CD3-468A-BCA3-F70341D3B20A}"/>
    <cellStyle name="Normal 3 2 2 2 2 2 2 2 2 30" xfId="28585" xr:uid="{93F34926-7DE8-4BCD-B0BE-B119DCE587C2}"/>
    <cellStyle name="Normal 3 2 2 2 2 2 2 2 2 31" xfId="28586" xr:uid="{919816FE-580C-4C0F-A65D-DBD774E86744}"/>
    <cellStyle name="Normal 3 2 2 2 2 2 2 2 2 32" xfId="28587" xr:uid="{E7BDFF0A-8592-4243-BC97-9665E5ADECDC}"/>
    <cellStyle name="Normal 3 2 2 2 2 2 2 2 2 33" xfId="28588" xr:uid="{A04FE4CA-4B83-434A-8861-80B4463D2C8D}"/>
    <cellStyle name="Normal 3 2 2 2 2 2 2 2 2 34" xfId="28589" xr:uid="{554F2A6A-CA09-42B1-BAD9-E4F2819899AE}"/>
    <cellStyle name="Normal 3 2 2 2 2 2 2 2 2 35" xfId="28590" xr:uid="{6BD5D97C-D364-404A-B7B0-328F8A556481}"/>
    <cellStyle name="Normal 3 2 2 2 2 2 2 2 2 36" xfId="28591" xr:uid="{42D285FB-1F16-41FA-B1B1-82FA24640EDD}"/>
    <cellStyle name="Normal 3 2 2 2 2 2 2 2 2 37" xfId="28592" xr:uid="{860E7BC8-E90B-46C0-B30A-71B740039FD1}"/>
    <cellStyle name="Normal 3 2 2 2 2 2 2 2 2 38" xfId="28593" xr:uid="{535E304F-857B-4B41-9FB7-5DC631453F58}"/>
    <cellStyle name="Normal 3 2 2 2 2 2 2 2 2 39" xfId="28594" xr:uid="{459E50EA-95F3-48E2-AAA7-67103A7792DB}"/>
    <cellStyle name="Normal 3 2 2 2 2 2 2 2 2 4" xfId="28595" xr:uid="{83A6C6BD-0013-4A71-BCE4-3F277AA62098}"/>
    <cellStyle name="Normal 3 2 2 2 2 2 2 2 2 40" xfId="28596" xr:uid="{5A208029-6AEF-496C-B4E3-D2C199BDB02A}"/>
    <cellStyle name="Normal 3 2 2 2 2 2 2 2 2 41" xfId="28597" xr:uid="{439D1D88-32BE-48C2-AA01-0E822D40D499}"/>
    <cellStyle name="Normal 3 2 2 2 2 2 2 2 2 42" xfId="28598" xr:uid="{A23B0118-68B6-44CF-B7CA-41D8709526FF}"/>
    <cellStyle name="Normal 3 2 2 2 2 2 2 2 2 42 2" xfId="28599" xr:uid="{04F252E8-DB2E-4E7F-8F74-8674B700597C}"/>
    <cellStyle name="Normal 3 2 2 2 2 2 2 2 2 42 3" xfId="28600" xr:uid="{856A09CE-6548-480F-9477-AEF8F4773996}"/>
    <cellStyle name="Normal 3 2 2 2 2 2 2 2 2 42 4" xfId="28601" xr:uid="{FE14FEBE-4AE9-4993-9708-F9B474FEA381}"/>
    <cellStyle name="Normal 3 2 2 2 2 2 2 2 2 42 5" xfId="28602" xr:uid="{C5F228EB-C9A9-4FBC-8417-9C985FD7641D}"/>
    <cellStyle name="Normal 3 2 2 2 2 2 2 2 2 42 6" xfId="28603" xr:uid="{A8552796-286E-4C65-A797-5148B478AE4D}"/>
    <cellStyle name="Normal 3 2 2 2 2 2 2 2 2 42 7" xfId="28604" xr:uid="{19F998F0-CE73-4C52-BD5F-FE93BBFC5D3B}"/>
    <cellStyle name="Normal 3 2 2 2 2 2 2 2 2 43" xfId="28605" xr:uid="{FA330207-8F9F-42F6-82EB-C7800037C5A5}"/>
    <cellStyle name="Normal 3 2 2 2 2 2 2 2 2 44" xfId="28606" xr:uid="{BAE4BBC9-1AA3-4E17-89C2-F6CB904FBE7D}"/>
    <cellStyle name="Normal 3 2 2 2 2 2 2 2 2 45" xfId="28607" xr:uid="{97961BCB-312C-46BB-B786-A0D78E187BD5}"/>
    <cellStyle name="Normal 3 2 2 2 2 2 2 2 2 46" xfId="28608" xr:uid="{CA7AA8E5-01B6-4E2A-AFFD-54FAA03CA39D}"/>
    <cellStyle name="Normal 3 2 2 2 2 2 2 2 2 47" xfId="28609" xr:uid="{8B87DB24-CABC-4462-897E-2F256B0926EA}"/>
    <cellStyle name="Normal 3 2 2 2 2 2 2 2 2 48" xfId="28610" xr:uid="{F865D421-BBF8-4D4C-8479-03334CDB94F7}"/>
    <cellStyle name="Normal 3 2 2 2 2 2 2 2 2 49" xfId="28611" xr:uid="{85AA51A4-90EC-4867-ABC5-A5B411574E5A}"/>
    <cellStyle name="Normal 3 2 2 2 2 2 2 2 2 5" xfId="28612" xr:uid="{96179806-E6F6-4496-8F6D-03AF8963DFD2}"/>
    <cellStyle name="Normal 3 2 2 2 2 2 2 2 2 50" xfId="28613" xr:uid="{E1847058-A061-4893-9603-9672EDCF73B5}"/>
    <cellStyle name="Normal 3 2 2 2 2 2 2 2 2 51" xfId="28614" xr:uid="{A6236A33-CCEA-49CA-84FC-B3B113E907C5}"/>
    <cellStyle name="Normal 3 2 2 2 2 2 2 2 2 52" xfId="28615" xr:uid="{511A19EC-28CE-4AFD-8939-F3FA856C3051}"/>
    <cellStyle name="Normal 3 2 2 2 2 2 2 2 2 53" xfId="28616" xr:uid="{87EE0230-8E3D-4703-85B9-33D48D1383B0}"/>
    <cellStyle name="Normal 3 2 2 2 2 2 2 2 2 54" xfId="28617" xr:uid="{3B9249D1-5DED-49A2-A665-A2538A6C6658}"/>
    <cellStyle name="Normal 3 2 2 2 2 2 2 2 2 55" xfId="28618" xr:uid="{8E0DF476-D38F-4393-B846-0C6BDFE71FE0}"/>
    <cellStyle name="Normal 3 2 2 2 2 2 2 2 2 56" xfId="28619" xr:uid="{953A5DE1-3514-4647-AE6F-DB40FDEB971C}"/>
    <cellStyle name="Normal 3 2 2 2 2 2 2 2 2 57" xfId="28620" xr:uid="{D4DFC0F4-319F-41C4-B2BA-0719ECB6FA05}"/>
    <cellStyle name="Normal 3 2 2 2 2 2 2 2 2 58" xfId="28621" xr:uid="{CCB13D8B-7A8D-4C59-B0D5-A37ECE03656B}"/>
    <cellStyle name="Normal 3 2 2 2 2 2 2 2 2 59" xfId="28622" xr:uid="{7D370EFE-485C-42B2-B91C-32CF4D4F1BCD}"/>
    <cellStyle name="Normal 3 2 2 2 2 2 2 2 2 6" xfId="28623" xr:uid="{76A75AC6-AFB6-4CFE-B5BB-E054BA38E5F9}"/>
    <cellStyle name="Normal 3 2 2 2 2 2 2 2 2 60" xfId="28624" xr:uid="{52EE8EF2-FF1F-4DA0-8B30-818E841A66F1}"/>
    <cellStyle name="Normal 3 2 2 2 2 2 2 2 2 61" xfId="28625" xr:uid="{BF80217E-DB00-466E-B8AD-C779DDB4ECFA}"/>
    <cellStyle name="Normal 3 2 2 2 2 2 2 2 2 62" xfId="28626" xr:uid="{12642116-ADCF-47E1-851F-2B3AE1CDF7D6}"/>
    <cellStyle name="Normal 3 2 2 2 2 2 2 2 2 63" xfId="28627" xr:uid="{7F6DDC35-307A-48F9-88CA-22CDCEC86145}"/>
    <cellStyle name="Normal 3 2 2 2 2 2 2 2 2 64" xfId="28628" xr:uid="{BC5F6B0D-8DDA-41C2-8C76-816649D43EFA}"/>
    <cellStyle name="Normal 3 2 2 2 2 2 2 2 2 65" xfId="28629" xr:uid="{01BD2793-6208-43A8-B521-981C466707C4}"/>
    <cellStyle name="Normal 3 2 2 2 2 2 2 2 2 66" xfId="28630" xr:uid="{F1BCEC68-BA04-456C-A409-08B1EF654248}"/>
    <cellStyle name="Normal 3 2 2 2 2 2 2 2 2 67" xfId="28631" xr:uid="{C4561F79-9BEC-48BC-9A0F-BE7DCB99A22C}"/>
    <cellStyle name="Normal 3 2 2 2 2 2 2 2 2 68" xfId="28632" xr:uid="{F928828F-F3AD-43F6-8BB7-4C6C24D83FE4}"/>
    <cellStyle name="Normal 3 2 2 2 2 2 2 2 2 69" xfId="28633" xr:uid="{8C90DA4D-1662-408D-8750-AF7B60BF6E0F}"/>
    <cellStyle name="Normal 3 2 2 2 2 2 2 2 2 7" xfId="28634" xr:uid="{E1490C6E-4DE3-4485-8A08-2B4C8E94301E}"/>
    <cellStyle name="Normal 3 2 2 2 2 2 2 2 2 70" xfId="28635" xr:uid="{EE6C189B-9412-4E4E-80DF-0CF1C400F6A4}"/>
    <cellStyle name="Normal 3 2 2 2 2 2 2 2 2 71" xfId="28636" xr:uid="{125C6EBB-90E0-43EB-B5AA-460A342A2663}"/>
    <cellStyle name="Normal 3 2 2 2 2 2 2 2 2 72" xfId="28637" xr:uid="{9055BECC-5096-4073-8384-62C11A88A4B5}"/>
    <cellStyle name="Normal 3 2 2 2 2 2 2 2 2 73" xfId="28638" xr:uid="{83F1F9BA-F376-44AA-B1CC-311498A9B459}"/>
    <cellStyle name="Normal 3 2 2 2 2 2 2 2 2 74" xfId="28639" xr:uid="{07A21B4E-DFF4-4BA5-9F40-B7366C6F280C}"/>
    <cellStyle name="Normal 3 2 2 2 2 2 2 2 2 74 2" xfId="28640" xr:uid="{B878BE42-F3F6-4B09-85CA-5CBD9839158D}"/>
    <cellStyle name="Normal 3 2 2 2 2 2 2 2 2 74 3" xfId="28641" xr:uid="{F7AF1A3F-E680-4C92-9165-859527B84A59}"/>
    <cellStyle name="Normal 3 2 2 2 2 2 2 2 2 74 4" xfId="28642" xr:uid="{7078FE68-45AA-4060-A8E4-58CE6AA52266}"/>
    <cellStyle name="Normal 3 2 2 2 2 2 2 2 2 75" xfId="28643" xr:uid="{E9469069-FAB7-4D8E-B53D-BE0EE314D519}"/>
    <cellStyle name="Normal 3 2 2 2 2 2 2 2 2 76" xfId="28644" xr:uid="{0435F9B5-5DA9-4B11-BEDF-5CDD7046681B}"/>
    <cellStyle name="Normal 3 2 2 2 2 2 2 2 2 8" xfId="28645" xr:uid="{FA2B0434-BB47-4E6C-A3BC-5EFE10F0654B}"/>
    <cellStyle name="Normal 3 2 2 2 2 2 2 2 2 8 10" xfId="28646" xr:uid="{23DBC6D6-C84F-4490-A56E-BDFE5065BEAD}"/>
    <cellStyle name="Normal 3 2 2 2 2 2 2 2 2 8 11" xfId="28647" xr:uid="{BF8B0943-69DE-40DF-BA5B-A1BB73054933}"/>
    <cellStyle name="Normal 3 2 2 2 2 2 2 2 2 8 11 10" xfId="28648" xr:uid="{D048A802-738E-4DCB-B158-8294C2DD3097}"/>
    <cellStyle name="Normal 3 2 2 2 2 2 2 2 2 8 11 11" xfId="28649" xr:uid="{5BD8D66D-2A7E-4A03-ABCE-0CBEF37A3405}"/>
    <cellStyle name="Normal 3 2 2 2 2 2 2 2 2 8 11 11 2" xfId="28650" xr:uid="{5F54FE2D-90AC-44D7-AC51-8007E0DFB52B}"/>
    <cellStyle name="Normal 3 2 2 2 2 2 2 2 2 8 11 11 3" xfId="28651" xr:uid="{010C599B-E7A2-41AF-84D6-C650B74BE87C}"/>
    <cellStyle name="Normal 3 2 2 2 2 2 2 2 2 8 11 11 4" xfId="28652" xr:uid="{6278A636-C932-4F69-91A7-CC413E866623}"/>
    <cellStyle name="Normal 3 2 2 2 2 2 2 2 2 8 11 12" xfId="28653" xr:uid="{EB90FBAF-FB2E-4215-8D8F-52AA0FB483E5}"/>
    <cellStyle name="Normal 3 2 2 2 2 2 2 2 2 8 11 13" xfId="28654" xr:uid="{7DF34691-59E5-43E4-89CB-49263CB2171D}"/>
    <cellStyle name="Normal 3 2 2 2 2 2 2 2 2 8 11 14" xfId="28655" xr:uid="{924D76A3-DC4F-4B91-8B19-6BE7220F6F1C}"/>
    <cellStyle name="Normal 3 2 2 2 2 2 2 2 2 8 11 2" xfId="28656" xr:uid="{63C9DF02-609C-4386-88EA-3CA638621F05}"/>
    <cellStyle name="Normal 3 2 2 2 2 2 2 2 2 8 11 2 10" xfId="28657" xr:uid="{138D50AF-47EE-4557-A9A6-E38B44F15925}"/>
    <cellStyle name="Normal 3 2 2 2 2 2 2 2 2 8 11 2 11" xfId="28658" xr:uid="{F3B7D1C9-34D2-484A-A233-7C93866ACBF2}"/>
    <cellStyle name="Normal 3 2 2 2 2 2 2 2 2 8 11 2 2" xfId="28659" xr:uid="{07E6B845-8E0C-4DB6-963D-855C5C3534D7}"/>
    <cellStyle name="Normal 3 2 2 2 2 2 2 2 2 8 11 2 2 10" xfId="28660" xr:uid="{0A300A1F-104B-4760-B4F0-EBD30238FC4E}"/>
    <cellStyle name="Normal 3 2 2 2 2 2 2 2 2 8 11 2 2 11" xfId="28661" xr:uid="{0E428BA1-CCF6-44CE-A590-B15BED6B1DFA}"/>
    <cellStyle name="Normal 3 2 2 2 2 2 2 2 2 8 11 2 2 2" xfId="28662" xr:uid="{8D3455F6-9D4A-41FC-B207-9B1CE474A799}"/>
    <cellStyle name="Normal 3 2 2 2 2 2 2 2 2 8 11 2 2 2 2" xfId="28663" xr:uid="{AB79A47F-0EB5-42E8-B6CF-6CEAE9C6E1EC}"/>
    <cellStyle name="Normal 3 2 2 2 2 2 2 2 2 8 11 2 2 2 2 2" xfId="28664" xr:uid="{5A3029A8-5257-4B14-A0EE-E337D03F7677}"/>
    <cellStyle name="Normal 3 2 2 2 2 2 2 2 2 8 11 2 2 2 2 3" xfId="28665" xr:uid="{6FDDDFDF-316A-40E2-BF99-0D44DE952832}"/>
    <cellStyle name="Normal 3 2 2 2 2 2 2 2 2 8 11 2 2 2 2 4" xfId="28666" xr:uid="{2213DACA-F438-4A03-96A7-72FE56B9C83D}"/>
    <cellStyle name="Normal 3 2 2 2 2 2 2 2 2 8 11 2 2 2 3" xfId="28667" xr:uid="{83982187-9929-412B-9B8F-BA78AA61AC20}"/>
    <cellStyle name="Normal 3 2 2 2 2 2 2 2 2 8 11 2 2 2 4" xfId="28668" xr:uid="{2381350B-A8F7-47A0-AC8F-0928C2F507C1}"/>
    <cellStyle name="Normal 3 2 2 2 2 2 2 2 2 8 11 2 2 2 5" xfId="28669" xr:uid="{06584E2A-0762-41AE-A9D2-1EC0C2F08299}"/>
    <cellStyle name="Normal 3 2 2 2 2 2 2 2 2 8 11 2 2 2 6" xfId="28670" xr:uid="{92DE0506-5AD3-4121-8CB8-17B042204A36}"/>
    <cellStyle name="Normal 3 2 2 2 2 2 2 2 2 8 11 2 2 3" xfId="28671" xr:uid="{4B68D511-3CFB-4D8A-9169-E0AE3EB59257}"/>
    <cellStyle name="Normal 3 2 2 2 2 2 2 2 2 8 11 2 2 4" xfId="28672" xr:uid="{26072C2A-9CB9-4A85-AFD1-68BEF128AF74}"/>
    <cellStyle name="Normal 3 2 2 2 2 2 2 2 2 8 11 2 2 5" xfId="28673" xr:uid="{C15B8316-7956-4FB0-9F8F-DFCC16D48448}"/>
    <cellStyle name="Normal 3 2 2 2 2 2 2 2 2 8 11 2 2 6" xfId="28674" xr:uid="{45FB8059-8D4F-47D3-ABD8-0524EFCDC7F0}"/>
    <cellStyle name="Normal 3 2 2 2 2 2 2 2 2 8 11 2 2 7" xfId="28675" xr:uid="{3F2BD4D4-3DC5-4219-8D20-0E953AEE72C9}"/>
    <cellStyle name="Normal 3 2 2 2 2 2 2 2 2 8 11 2 2 8" xfId="28676" xr:uid="{63D28D16-6B4D-4BA4-A8B8-B4D067FB26B7}"/>
    <cellStyle name="Normal 3 2 2 2 2 2 2 2 2 8 11 2 2 8 2" xfId="28677" xr:uid="{D16355D4-82AF-49DF-9A40-85AE35806C74}"/>
    <cellStyle name="Normal 3 2 2 2 2 2 2 2 2 8 11 2 2 8 3" xfId="28678" xr:uid="{6CAE7485-C494-43C3-B2C3-2C2CA1229476}"/>
    <cellStyle name="Normal 3 2 2 2 2 2 2 2 2 8 11 2 2 8 4" xfId="28679" xr:uid="{B7C9D55B-D66B-4430-A1B0-40CA0B37FD9D}"/>
    <cellStyle name="Normal 3 2 2 2 2 2 2 2 2 8 11 2 2 9" xfId="28680" xr:uid="{27129896-6091-4011-95DE-B87AA934BBA1}"/>
    <cellStyle name="Normal 3 2 2 2 2 2 2 2 2 8 11 2 3" xfId="28681" xr:uid="{26B77B76-84B7-4472-8FB9-C25CE40A6924}"/>
    <cellStyle name="Normal 3 2 2 2 2 2 2 2 2 8 11 2 3 2" xfId="28682" xr:uid="{470BB747-6F40-40B4-ADAC-AFF9EC590607}"/>
    <cellStyle name="Normal 3 2 2 2 2 2 2 2 2 8 11 2 3 2 2" xfId="28683" xr:uid="{772E8583-2B0F-4FF9-8DF6-7C9DEA180DB0}"/>
    <cellStyle name="Normal 3 2 2 2 2 2 2 2 2 8 11 2 3 2 3" xfId="28684" xr:uid="{3828AB96-C93B-40FE-A6A3-AC6FE824F8D0}"/>
    <cellStyle name="Normal 3 2 2 2 2 2 2 2 2 8 11 2 3 2 4" xfId="28685" xr:uid="{47CD98D2-B927-44A9-BF3F-83685348F004}"/>
    <cellStyle name="Normal 3 2 2 2 2 2 2 2 2 8 11 2 3 3" xfId="28686" xr:uid="{E58D150A-F369-4279-9D62-6044DD71605A}"/>
    <cellStyle name="Normal 3 2 2 2 2 2 2 2 2 8 11 2 3 4" xfId="28687" xr:uid="{A1107820-2654-4F4F-860A-53E7D84564E1}"/>
    <cellStyle name="Normal 3 2 2 2 2 2 2 2 2 8 11 2 3 5" xfId="28688" xr:uid="{ACB3F022-B02D-43A4-869F-0381B7EE021D}"/>
    <cellStyle name="Normal 3 2 2 2 2 2 2 2 2 8 11 2 3 6" xfId="28689" xr:uid="{ACF046B0-5756-495B-8E88-56CA1811ABD2}"/>
    <cellStyle name="Normal 3 2 2 2 2 2 2 2 2 8 11 2 4" xfId="28690" xr:uid="{046A2F23-78A0-4B07-9045-F563E52DF3BA}"/>
    <cellStyle name="Normal 3 2 2 2 2 2 2 2 2 8 11 2 5" xfId="28691" xr:uid="{EA13A490-C28A-47BD-8DB7-28B1100CBBB9}"/>
    <cellStyle name="Normal 3 2 2 2 2 2 2 2 2 8 11 2 6" xfId="28692" xr:uid="{9131FFFF-D85A-4C28-B682-CA4DF8732896}"/>
    <cellStyle name="Normal 3 2 2 2 2 2 2 2 2 8 11 2 7" xfId="28693" xr:uid="{FCE50D32-A694-498F-BED1-E62C533E039B}"/>
    <cellStyle name="Normal 3 2 2 2 2 2 2 2 2 8 11 2 8" xfId="28694" xr:uid="{3D7CB3A6-D4D8-4E43-8B34-2269696D2B99}"/>
    <cellStyle name="Normal 3 2 2 2 2 2 2 2 2 8 11 2 8 2" xfId="28695" xr:uid="{9938DAAE-223A-4F8C-BC20-2E62BD14C98B}"/>
    <cellStyle name="Normal 3 2 2 2 2 2 2 2 2 8 11 2 8 3" xfId="28696" xr:uid="{B39B3865-279C-4D66-B099-8318BBCF3805}"/>
    <cellStyle name="Normal 3 2 2 2 2 2 2 2 2 8 11 2 8 4" xfId="28697" xr:uid="{E39C3623-1A5E-49E1-AFA4-1781BDE7078E}"/>
    <cellStyle name="Normal 3 2 2 2 2 2 2 2 2 8 11 2 9" xfId="28698" xr:uid="{C4F96932-DD05-4E6F-8679-80BDC2E0FCC9}"/>
    <cellStyle name="Normal 3 2 2 2 2 2 2 2 2 8 11 3" xfId="28699" xr:uid="{4099B679-6414-484C-A139-009EF9BF2AF3}"/>
    <cellStyle name="Normal 3 2 2 2 2 2 2 2 2 8 11 4" xfId="28700" xr:uid="{1325F707-20EA-4B57-97A3-6B99164C4C4F}"/>
    <cellStyle name="Normal 3 2 2 2 2 2 2 2 2 8 11 5" xfId="28701" xr:uid="{A0318D87-FFA8-4871-8149-6A2632228003}"/>
    <cellStyle name="Normal 3 2 2 2 2 2 2 2 2 8 11 5 2" xfId="28702" xr:uid="{4751C7CA-D24E-4BB0-ACE6-29CE44889593}"/>
    <cellStyle name="Normal 3 2 2 2 2 2 2 2 2 8 11 5 2 2" xfId="28703" xr:uid="{7D1B3A95-556C-45FC-A637-139A6794FE51}"/>
    <cellStyle name="Normal 3 2 2 2 2 2 2 2 2 8 11 5 2 3" xfId="28704" xr:uid="{12D4BEF8-FB8C-4A2A-AFAB-EC800DC6EC6E}"/>
    <cellStyle name="Normal 3 2 2 2 2 2 2 2 2 8 11 5 2 4" xfId="28705" xr:uid="{7FA23DFC-E50D-4C44-9107-D56593791413}"/>
    <cellStyle name="Normal 3 2 2 2 2 2 2 2 2 8 11 5 3" xfId="28706" xr:uid="{9545E68F-234B-4417-B666-1ED6172A0E8D}"/>
    <cellStyle name="Normal 3 2 2 2 2 2 2 2 2 8 11 5 4" xfId="28707" xr:uid="{BD684484-1943-43F8-840D-60D303F1FB51}"/>
    <cellStyle name="Normal 3 2 2 2 2 2 2 2 2 8 11 5 5" xfId="28708" xr:uid="{0EB3A152-5A30-48AB-ABAB-F26D0E531D57}"/>
    <cellStyle name="Normal 3 2 2 2 2 2 2 2 2 8 11 5 6" xfId="28709" xr:uid="{6466CF08-9BA2-44B6-9B91-9E7869980BD9}"/>
    <cellStyle name="Normal 3 2 2 2 2 2 2 2 2 8 11 6" xfId="28710" xr:uid="{26431D32-4135-4BCD-A889-016C56011B76}"/>
    <cellStyle name="Normal 3 2 2 2 2 2 2 2 2 8 11 7" xfId="28711" xr:uid="{4C61E188-31D1-4FEF-8609-F4BC8576FE5A}"/>
    <cellStyle name="Normal 3 2 2 2 2 2 2 2 2 8 11 8" xfId="28712" xr:uid="{0E141230-941A-4C42-AB9B-77FCC508FFE1}"/>
    <cellStyle name="Normal 3 2 2 2 2 2 2 2 2 8 11 9" xfId="28713" xr:uid="{0C405429-6876-4668-9021-F097C9119E1E}"/>
    <cellStyle name="Normal 3 2 2 2 2 2 2 2 2 8 12" xfId="28714" xr:uid="{5DFF3E37-FE3D-4591-95F8-20BAF8F73362}"/>
    <cellStyle name="Normal 3 2 2 2 2 2 2 2 2 8 13" xfId="28715" xr:uid="{20A84115-DC72-4B03-8179-8A1C3EF9DA3D}"/>
    <cellStyle name="Normal 3 2 2 2 2 2 2 2 2 8 13 10" xfId="28716" xr:uid="{791F3ED6-E5DB-4320-BFCA-D197842B5F8F}"/>
    <cellStyle name="Normal 3 2 2 2 2 2 2 2 2 8 13 11" xfId="28717" xr:uid="{821DCF16-CFAE-47F9-9D07-B20E8421A99D}"/>
    <cellStyle name="Normal 3 2 2 2 2 2 2 2 2 8 13 2" xfId="28718" xr:uid="{BFE477C0-1981-41B0-82BD-ED2AF55D5AA2}"/>
    <cellStyle name="Normal 3 2 2 2 2 2 2 2 2 8 13 2 10" xfId="28719" xr:uid="{91D70C13-2E6C-441C-98A9-481185381856}"/>
    <cellStyle name="Normal 3 2 2 2 2 2 2 2 2 8 13 2 11" xfId="28720" xr:uid="{413A970F-D33A-4756-9D00-599185798234}"/>
    <cellStyle name="Normal 3 2 2 2 2 2 2 2 2 8 13 2 2" xfId="28721" xr:uid="{EE539F0A-ECB6-49D9-ABF6-F7B92BB7DD5A}"/>
    <cellStyle name="Normal 3 2 2 2 2 2 2 2 2 8 13 2 2 2" xfId="28722" xr:uid="{24A65F56-5CFE-43F6-88C1-4805E5D4818F}"/>
    <cellStyle name="Normal 3 2 2 2 2 2 2 2 2 8 13 2 2 2 2" xfId="28723" xr:uid="{2CF2567A-BD46-4707-BCCD-9C3767593C65}"/>
    <cellStyle name="Normal 3 2 2 2 2 2 2 2 2 8 13 2 2 2 3" xfId="28724" xr:uid="{2185375B-7BF5-45BB-94BE-4663ACE1FAA0}"/>
    <cellStyle name="Normal 3 2 2 2 2 2 2 2 2 8 13 2 2 2 4" xfId="28725" xr:uid="{F2C1A28D-1396-45CE-9B72-4B8973E5BA8F}"/>
    <cellStyle name="Normal 3 2 2 2 2 2 2 2 2 8 13 2 2 3" xfId="28726" xr:uid="{33989A5F-49F2-4BCE-B80E-5E738CFCF912}"/>
    <cellStyle name="Normal 3 2 2 2 2 2 2 2 2 8 13 2 2 4" xfId="28727" xr:uid="{D8200D5D-863E-46C4-98B1-B28E8B3A3264}"/>
    <cellStyle name="Normal 3 2 2 2 2 2 2 2 2 8 13 2 2 5" xfId="28728" xr:uid="{D32B8FA5-2120-46C5-8A99-C45373657AAA}"/>
    <cellStyle name="Normal 3 2 2 2 2 2 2 2 2 8 13 2 2 6" xfId="28729" xr:uid="{AB8829A5-CB54-4763-89A1-558C3E953D32}"/>
    <cellStyle name="Normal 3 2 2 2 2 2 2 2 2 8 13 2 3" xfId="28730" xr:uid="{AB50244D-7375-457C-80E7-F108700E5554}"/>
    <cellStyle name="Normal 3 2 2 2 2 2 2 2 2 8 13 2 4" xfId="28731" xr:uid="{B83B6EAE-09E8-4C8A-A17F-BE3E03DEC466}"/>
    <cellStyle name="Normal 3 2 2 2 2 2 2 2 2 8 13 2 5" xfId="28732" xr:uid="{6A929655-B92C-4399-84CD-B4A0AE12CE01}"/>
    <cellStyle name="Normal 3 2 2 2 2 2 2 2 2 8 13 2 6" xfId="28733" xr:uid="{D67E755A-B713-454E-A914-7C2677D5037D}"/>
    <cellStyle name="Normal 3 2 2 2 2 2 2 2 2 8 13 2 7" xfId="28734" xr:uid="{A26A06CC-C1C7-4CCD-8794-947ACC27584D}"/>
    <cellStyle name="Normal 3 2 2 2 2 2 2 2 2 8 13 2 8" xfId="28735" xr:uid="{E785D36A-3A8B-4803-A37E-631BFBD887BD}"/>
    <cellStyle name="Normal 3 2 2 2 2 2 2 2 2 8 13 2 8 2" xfId="28736" xr:uid="{F200593A-C294-4A0D-97A6-9EFBA2FA04FF}"/>
    <cellStyle name="Normal 3 2 2 2 2 2 2 2 2 8 13 2 8 3" xfId="28737" xr:uid="{09D1AC8D-C661-41A9-83C8-7BA746185E4D}"/>
    <cellStyle name="Normal 3 2 2 2 2 2 2 2 2 8 13 2 8 4" xfId="28738" xr:uid="{2B1CBA74-38F7-48EA-ADC1-A35F74024836}"/>
    <cellStyle name="Normal 3 2 2 2 2 2 2 2 2 8 13 2 9" xfId="28739" xr:uid="{C4E9211A-E046-497B-96DA-4CB4E2E25F11}"/>
    <cellStyle name="Normal 3 2 2 2 2 2 2 2 2 8 13 3" xfId="28740" xr:uid="{932EC941-B675-4705-9714-E932E4DE0723}"/>
    <cellStyle name="Normal 3 2 2 2 2 2 2 2 2 8 13 3 2" xfId="28741" xr:uid="{099991D9-4FC3-447B-9AF2-5F48A3807AF8}"/>
    <cellStyle name="Normal 3 2 2 2 2 2 2 2 2 8 13 3 2 2" xfId="28742" xr:uid="{58DF917E-5A2C-48C8-9B1B-E5B40468827B}"/>
    <cellStyle name="Normal 3 2 2 2 2 2 2 2 2 8 13 3 2 3" xfId="28743" xr:uid="{6CE31027-731F-4E77-BBD7-6E0A8854B79D}"/>
    <cellStyle name="Normal 3 2 2 2 2 2 2 2 2 8 13 3 2 4" xfId="28744" xr:uid="{AB0CDD0D-9A94-4E4D-8A70-1F1C6D17C076}"/>
    <cellStyle name="Normal 3 2 2 2 2 2 2 2 2 8 13 3 3" xfId="28745" xr:uid="{A5A5B94D-E466-4C16-BC83-EDD528FFA408}"/>
    <cellStyle name="Normal 3 2 2 2 2 2 2 2 2 8 13 3 4" xfId="28746" xr:uid="{6C3A0098-E131-4064-8166-381A0BB75CE4}"/>
    <cellStyle name="Normal 3 2 2 2 2 2 2 2 2 8 13 3 5" xfId="28747" xr:uid="{BBEF606D-32DF-4CA7-8F0F-FFBF9CB96F7F}"/>
    <cellStyle name="Normal 3 2 2 2 2 2 2 2 2 8 13 3 6" xfId="28748" xr:uid="{2C97EB85-4263-44F5-A515-4F3AC056447B}"/>
    <cellStyle name="Normal 3 2 2 2 2 2 2 2 2 8 13 4" xfId="28749" xr:uid="{8F8A8DB9-905B-48D0-9A87-DDB7B0E36471}"/>
    <cellStyle name="Normal 3 2 2 2 2 2 2 2 2 8 13 5" xfId="28750" xr:uid="{3B7C0B9A-2BBE-43C1-ADB5-835AA016DB9D}"/>
    <cellStyle name="Normal 3 2 2 2 2 2 2 2 2 8 13 6" xfId="28751" xr:uid="{78E917CB-279E-4EE8-A61F-429C6224CBE4}"/>
    <cellStyle name="Normal 3 2 2 2 2 2 2 2 2 8 13 7" xfId="28752" xr:uid="{42EC58A0-6E41-4647-966A-565E2CEC3BCF}"/>
    <cellStyle name="Normal 3 2 2 2 2 2 2 2 2 8 13 8" xfId="28753" xr:uid="{8741075C-9306-4144-BDFE-CE3A3F1D7175}"/>
    <cellStyle name="Normal 3 2 2 2 2 2 2 2 2 8 13 8 2" xfId="28754" xr:uid="{633E5411-DAD6-4E11-A594-B294D757BC58}"/>
    <cellStyle name="Normal 3 2 2 2 2 2 2 2 2 8 13 8 3" xfId="28755" xr:uid="{BB168825-CB09-4065-BF9D-7713D0A6A1D9}"/>
    <cellStyle name="Normal 3 2 2 2 2 2 2 2 2 8 13 8 4" xfId="28756" xr:uid="{E2502362-A71F-451B-A6B1-86E11A2A3333}"/>
    <cellStyle name="Normal 3 2 2 2 2 2 2 2 2 8 13 9" xfId="28757" xr:uid="{90102E39-993B-4EE3-8781-5E7ACE67C41A}"/>
    <cellStyle name="Normal 3 2 2 2 2 2 2 2 2 8 14" xfId="28758" xr:uid="{17899FA8-F13D-4C1F-819C-A864D89B3E2F}"/>
    <cellStyle name="Normal 3 2 2 2 2 2 2 2 2 8 15" xfId="28759" xr:uid="{F88E4643-8391-46A3-86B8-C7EDE1F704DB}"/>
    <cellStyle name="Normal 3 2 2 2 2 2 2 2 2 8 15 2" xfId="28760" xr:uid="{D67A5252-81E3-4168-8A51-584EB8DD31CE}"/>
    <cellStyle name="Normal 3 2 2 2 2 2 2 2 2 8 15 2 2" xfId="28761" xr:uid="{879792D3-809E-4D86-994D-9CF6DF6782F6}"/>
    <cellStyle name="Normal 3 2 2 2 2 2 2 2 2 8 15 2 3" xfId="28762" xr:uid="{C9529C66-80D3-44D1-B5A5-740F868336FB}"/>
    <cellStyle name="Normal 3 2 2 2 2 2 2 2 2 8 15 2 4" xfId="28763" xr:uid="{8D07DD7A-ADD8-42EB-8384-518DC1697CB4}"/>
    <cellStyle name="Normal 3 2 2 2 2 2 2 2 2 8 15 3" xfId="28764" xr:uid="{E388A424-6CBF-48E8-91F6-52614FAD164C}"/>
    <cellStyle name="Normal 3 2 2 2 2 2 2 2 2 8 15 4" xfId="28765" xr:uid="{711C33EE-1414-4A5C-BD4F-98AD7EA2F92B}"/>
    <cellStyle name="Normal 3 2 2 2 2 2 2 2 2 8 15 5" xfId="28766" xr:uid="{ADDA37A0-0923-4AE6-9188-06088E1F9236}"/>
    <cellStyle name="Normal 3 2 2 2 2 2 2 2 2 8 15 6" xfId="28767" xr:uid="{DBD36590-8E31-4E7A-BEC1-F307224298FA}"/>
    <cellStyle name="Normal 3 2 2 2 2 2 2 2 2 8 16" xfId="28768" xr:uid="{F7F419B5-0370-40C8-AD72-DE0D3D613357}"/>
    <cellStyle name="Normal 3 2 2 2 2 2 2 2 2 8 17" xfId="28769" xr:uid="{FE667456-FD5B-4C3F-B9AE-C44D075EE429}"/>
    <cellStyle name="Normal 3 2 2 2 2 2 2 2 2 8 18" xfId="28770" xr:uid="{2765FE07-A577-4956-9331-86FCA8407E7E}"/>
    <cellStyle name="Normal 3 2 2 2 2 2 2 2 2 8 19" xfId="28771" xr:uid="{4821584C-757F-4752-9946-9894CB77B0C4}"/>
    <cellStyle name="Normal 3 2 2 2 2 2 2 2 2 8 2" xfId="28772" xr:uid="{B81C06A4-E747-449C-87E7-FAF59F6A2A9E}"/>
    <cellStyle name="Normal 3 2 2 2 2 2 2 2 2 8 2 10" xfId="28773" xr:uid="{DA3BC156-6EFF-4463-B526-D66F562DADF6}"/>
    <cellStyle name="Normal 3 2 2 2 2 2 2 2 2 8 2 11" xfId="28774" xr:uid="{D82A21CE-8172-4B14-98C0-C3484DFF0AAD}"/>
    <cellStyle name="Normal 3 2 2 2 2 2 2 2 2 8 2 12" xfId="28775" xr:uid="{0332228D-0BA9-417C-9B8A-C72A682EE848}"/>
    <cellStyle name="Normal 3 2 2 2 2 2 2 2 2 8 2 13" xfId="28776" xr:uid="{966D2E71-82A2-46F7-A058-A9422ACC75F0}"/>
    <cellStyle name="Normal 3 2 2 2 2 2 2 2 2 8 2 13 2" xfId="28777" xr:uid="{E1D7D0CF-5DB4-48F2-B196-CD96BE82ED12}"/>
    <cellStyle name="Normal 3 2 2 2 2 2 2 2 2 8 2 13 3" xfId="28778" xr:uid="{B57030F7-8DE1-490D-BBF7-4ADCEC84E955}"/>
    <cellStyle name="Normal 3 2 2 2 2 2 2 2 2 8 2 13 4" xfId="28779" xr:uid="{1A1530A2-1FC7-4F8A-8834-8C11A732AABE}"/>
    <cellStyle name="Normal 3 2 2 2 2 2 2 2 2 8 2 14" xfId="28780" xr:uid="{89B248BC-C963-4A40-B8A2-EC3CC9B666F8}"/>
    <cellStyle name="Normal 3 2 2 2 2 2 2 2 2 8 2 15" xfId="28781" xr:uid="{CC43B1D2-B5C9-4FA8-842D-E4AF3987F66D}"/>
    <cellStyle name="Normal 3 2 2 2 2 2 2 2 2 8 2 16" xfId="28782" xr:uid="{C0B7F289-2FBF-4522-8433-E0BC85D5CAD5}"/>
    <cellStyle name="Normal 3 2 2 2 2 2 2 2 2 8 2 2" xfId="28783" xr:uid="{0DC077D0-5037-435B-9F01-32F36E832DA2}"/>
    <cellStyle name="Normal 3 2 2 2 2 2 2 2 2 8 2 2 10" xfId="28784" xr:uid="{8F8B3DB7-2868-4936-9FFA-C4E22A585723}"/>
    <cellStyle name="Normal 3 2 2 2 2 2 2 2 2 8 2 2 11" xfId="28785" xr:uid="{D68C7814-AE5B-4545-92AD-845A4FA584FC}"/>
    <cellStyle name="Normal 3 2 2 2 2 2 2 2 2 8 2 2 11 2" xfId="28786" xr:uid="{FB7F64F6-A682-4D62-B825-C872BA710712}"/>
    <cellStyle name="Normal 3 2 2 2 2 2 2 2 2 8 2 2 11 3" xfId="28787" xr:uid="{FC81EE9B-709B-4531-AD89-3C7129A0C1F8}"/>
    <cellStyle name="Normal 3 2 2 2 2 2 2 2 2 8 2 2 11 4" xfId="28788" xr:uid="{25AD1E7B-4443-4ABB-883E-A6616E3C1BB3}"/>
    <cellStyle name="Normal 3 2 2 2 2 2 2 2 2 8 2 2 12" xfId="28789" xr:uid="{5FA23E5F-55FD-484A-A20A-06A11875ABB0}"/>
    <cellStyle name="Normal 3 2 2 2 2 2 2 2 2 8 2 2 13" xfId="28790" xr:uid="{DBA5CC38-05C7-4D07-BAB5-E294ABCB2326}"/>
    <cellStyle name="Normal 3 2 2 2 2 2 2 2 2 8 2 2 14" xfId="28791" xr:uid="{75096084-6BD6-4DE7-A765-7BAF0BE77AD9}"/>
    <cellStyle name="Normal 3 2 2 2 2 2 2 2 2 8 2 2 2" xfId="28792" xr:uid="{F1448718-F341-4E31-B4FE-237C3B42AD19}"/>
    <cellStyle name="Normal 3 2 2 2 2 2 2 2 2 8 2 2 2 10" xfId="28793" xr:uid="{865D0FF6-7D8C-4552-8F6C-461250992DE4}"/>
    <cellStyle name="Normal 3 2 2 2 2 2 2 2 2 8 2 2 2 11" xfId="28794" xr:uid="{5C522AA4-F8F1-4119-B1A0-756957D7C376}"/>
    <cellStyle name="Normal 3 2 2 2 2 2 2 2 2 8 2 2 2 2" xfId="28795" xr:uid="{65131403-6596-406B-BC23-569205D34804}"/>
    <cellStyle name="Normal 3 2 2 2 2 2 2 2 2 8 2 2 2 2 10" xfId="28796" xr:uid="{CF5F4535-E18B-4196-AE40-B155563A93F5}"/>
    <cellStyle name="Normal 3 2 2 2 2 2 2 2 2 8 2 2 2 2 11" xfId="28797" xr:uid="{7F137E79-7892-4CF6-99F2-B0B877EE50A8}"/>
    <cellStyle name="Normal 3 2 2 2 2 2 2 2 2 8 2 2 2 2 2" xfId="28798" xr:uid="{BE0EFD75-7E26-425D-9FAB-E6DD74E29084}"/>
    <cellStyle name="Normal 3 2 2 2 2 2 2 2 2 8 2 2 2 2 2 2" xfId="28799" xr:uid="{5777D058-F911-4482-9F02-5F4E4779696F}"/>
    <cellStyle name="Normal 3 2 2 2 2 2 2 2 2 8 2 2 2 2 2 2 2" xfId="28800" xr:uid="{CD1930C4-6865-4E79-8738-BEE55DC6A3E0}"/>
    <cellStyle name="Normal 3 2 2 2 2 2 2 2 2 8 2 2 2 2 2 2 3" xfId="28801" xr:uid="{F5B8414F-580D-4F6D-B382-5330D5D58E48}"/>
    <cellStyle name="Normal 3 2 2 2 2 2 2 2 2 8 2 2 2 2 2 2 4" xfId="28802" xr:uid="{81528F01-CCAD-4A43-A093-9F62EC77DCCA}"/>
    <cellStyle name="Normal 3 2 2 2 2 2 2 2 2 8 2 2 2 2 2 3" xfId="28803" xr:uid="{A97746F8-C369-4EF1-AD48-C4E97555B590}"/>
    <cellStyle name="Normal 3 2 2 2 2 2 2 2 2 8 2 2 2 2 2 4" xfId="28804" xr:uid="{1AF3CE12-3D55-4CE7-A7E2-29027DB5BD41}"/>
    <cellStyle name="Normal 3 2 2 2 2 2 2 2 2 8 2 2 2 2 2 5" xfId="28805" xr:uid="{CD9E1669-6172-47BA-8D2B-FC2435CC3E8F}"/>
    <cellStyle name="Normal 3 2 2 2 2 2 2 2 2 8 2 2 2 2 2 6" xfId="28806" xr:uid="{06ABFDD4-068D-4378-8D2E-8027D670FAA4}"/>
    <cellStyle name="Normal 3 2 2 2 2 2 2 2 2 8 2 2 2 2 3" xfId="28807" xr:uid="{0696FD10-ED15-4DEF-AA41-5B25B3695C76}"/>
    <cellStyle name="Normal 3 2 2 2 2 2 2 2 2 8 2 2 2 2 4" xfId="28808" xr:uid="{55FF0423-795D-4032-A5AF-5DF07491A68A}"/>
    <cellStyle name="Normal 3 2 2 2 2 2 2 2 2 8 2 2 2 2 5" xfId="28809" xr:uid="{276C199C-D29E-48EE-AADE-D20313CEB096}"/>
    <cellStyle name="Normal 3 2 2 2 2 2 2 2 2 8 2 2 2 2 6" xfId="28810" xr:uid="{8FB66043-CEAE-4970-99CF-C30330EB5062}"/>
    <cellStyle name="Normal 3 2 2 2 2 2 2 2 2 8 2 2 2 2 7" xfId="28811" xr:uid="{955AF42F-9AEC-4F5E-BE65-AB4E59C10406}"/>
    <cellStyle name="Normal 3 2 2 2 2 2 2 2 2 8 2 2 2 2 8" xfId="28812" xr:uid="{6C82C80B-3597-4073-93C4-180D370FCAD4}"/>
    <cellStyle name="Normal 3 2 2 2 2 2 2 2 2 8 2 2 2 2 8 2" xfId="28813" xr:uid="{62B9E827-2F22-47C2-9A05-54E232E918DE}"/>
    <cellStyle name="Normal 3 2 2 2 2 2 2 2 2 8 2 2 2 2 8 3" xfId="28814" xr:uid="{C103E8DC-E3D3-4FF1-8559-AEDE3358B7CB}"/>
    <cellStyle name="Normal 3 2 2 2 2 2 2 2 2 8 2 2 2 2 8 4" xfId="28815" xr:uid="{6521DAA8-1D81-4929-829A-E0C99A002A6F}"/>
    <cellStyle name="Normal 3 2 2 2 2 2 2 2 2 8 2 2 2 2 9" xfId="28816" xr:uid="{5CF80CD1-32DC-414F-AFDA-F72AA8C50DA7}"/>
    <cellStyle name="Normal 3 2 2 2 2 2 2 2 2 8 2 2 2 3" xfId="28817" xr:uid="{CA71189E-CF2B-4651-9C89-C35D8FAC8645}"/>
    <cellStyle name="Normal 3 2 2 2 2 2 2 2 2 8 2 2 2 3 2" xfId="28818" xr:uid="{7D6C65BA-BBCB-4831-9614-45400E4CD656}"/>
    <cellStyle name="Normal 3 2 2 2 2 2 2 2 2 8 2 2 2 3 2 2" xfId="28819" xr:uid="{2F9A14A0-EA42-4347-A7D7-77BE65743F5A}"/>
    <cellStyle name="Normal 3 2 2 2 2 2 2 2 2 8 2 2 2 3 2 3" xfId="28820" xr:uid="{1A92B06D-6317-4E22-A826-3B4A24E49406}"/>
    <cellStyle name="Normal 3 2 2 2 2 2 2 2 2 8 2 2 2 3 2 4" xfId="28821" xr:uid="{E9789848-6562-4C9A-983B-6F47E98B4455}"/>
    <cellStyle name="Normal 3 2 2 2 2 2 2 2 2 8 2 2 2 3 3" xfId="28822" xr:uid="{E2F12D9F-B26A-49A5-9BA9-56CABFCB98C7}"/>
    <cellStyle name="Normal 3 2 2 2 2 2 2 2 2 8 2 2 2 3 4" xfId="28823" xr:uid="{F1E8CA20-FB14-4BCC-91A5-02EBF11043EB}"/>
    <cellStyle name="Normal 3 2 2 2 2 2 2 2 2 8 2 2 2 3 5" xfId="28824" xr:uid="{88D87A59-516D-4307-A832-F03D5175686B}"/>
    <cellStyle name="Normal 3 2 2 2 2 2 2 2 2 8 2 2 2 3 6" xfId="28825" xr:uid="{F1838956-C1D6-491C-A41E-77FCCFC93EBD}"/>
    <cellStyle name="Normal 3 2 2 2 2 2 2 2 2 8 2 2 2 4" xfId="28826" xr:uid="{F238E24E-E5AF-42A3-A9F5-9C15D0E7A604}"/>
    <cellStyle name="Normal 3 2 2 2 2 2 2 2 2 8 2 2 2 5" xfId="28827" xr:uid="{E10AC91E-AB85-4ED7-AE98-1D5E57FE4FC5}"/>
    <cellStyle name="Normal 3 2 2 2 2 2 2 2 2 8 2 2 2 6" xfId="28828" xr:uid="{84A02C2F-2919-4FCF-B34E-23DA2FCDC2B2}"/>
    <cellStyle name="Normal 3 2 2 2 2 2 2 2 2 8 2 2 2 7" xfId="28829" xr:uid="{177B0B7F-90ED-49A8-BCB6-704145782E14}"/>
    <cellStyle name="Normal 3 2 2 2 2 2 2 2 2 8 2 2 2 8" xfId="28830" xr:uid="{3DA31167-D550-4A84-9F8E-0C6F85775233}"/>
    <cellStyle name="Normal 3 2 2 2 2 2 2 2 2 8 2 2 2 8 2" xfId="28831" xr:uid="{213D6FBF-B086-4685-A62E-CB2A33176B9D}"/>
    <cellStyle name="Normal 3 2 2 2 2 2 2 2 2 8 2 2 2 8 3" xfId="28832" xr:uid="{84B0C2A9-9298-47EC-B95C-2AD2B08A8ADC}"/>
    <cellStyle name="Normal 3 2 2 2 2 2 2 2 2 8 2 2 2 8 4" xfId="28833" xr:uid="{EDECC070-684E-4397-AEA4-4A5EEB63A5E3}"/>
    <cellStyle name="Normal 3 2 2 2 2 2 2 2 2 8 2 2 2 9" xfId="28834" xr:uid="{E9F6B307-D12C-42A7-9FCE-4A68510E1782}"/>
    <cellStyle name="Normal 3 2 2 2 2 2 2 2 2 8 2 2 3" xfId="28835" xr:uid="{7C7A20C2-9BBB-486A-B8D1-54A8CA79C3B0}"/>
    <cellStyle name="Normal 3 2 2 2 2 2 2 2 2 8 2 2 4" xfId="28836" xr:uid="{4A7EA312-4871-4E9B-8BBB-26559566B9B6}"/>
    <cellStyle name="Normal 3 2 2 2 2 2 2 2 2 8 2 2 5" xfId="28837" xr:uid="{1AF2A483-9DDA-4C53-ABB3-63A0EB0314B6}"/>
    <cellStyle name="Normal 3 2 2 2 2 2 2 2 2 8 2 2 5 2" xfId="28838" xr:uid="{74B68975-C930-4906-972D-21A5E5E4769F}"/>
    <cellStyle name="Normal 3 2 2 2 2 2 2 2 2 8 2 2 5 2 2" xfId="28839" xr:uid="{726E4175-444B-4D89-901F-FA0148485096}"/>
    <cellStyle name="Normal 3 2 2 2 2 2 2 2 2 8 2 2 5 2 3" xfId="28840" xr:uid="{350017E8-7E7E-488A-9D64-C2ECE22701F4}"/>
    <cellStyle name="Normal 3 2 2 2 2 2 2 2 2 8 2 2 5 2 4" xfId="28841" xr:uid="{6DE88AF6-5FE6-4DAF-BAB9-2A865EE83FBD}"/>
    <cellStyle name="Normal 3 2 2 2 2 2 2 2 2 8 2 2 5 3" xfId="28842" xr:uid="{EBC4140C-372F-4733-BDA4-703F5DD21773}"/>
    <cellStyle name="Normal 3 2 2 2 2 2 2 2 2 8 2 2 5 4" xfId="28843" xr:uid="{EA60A005-A9C7-44B5-BB6F-299C177DEDAF}"/>
    <cellStyle name="Normal 3 2 2 2 2 2 2 2 2 8 2 2 5 5" xfId="28844" xr:uid="{C961AF54-B32F-4092-AA15-7C58C2CA0C6E}"/>
    <cellStyle name="Normal 3 2 2 2 2 2 2 2 2 8 2 2 5 6" xfId="28845" xr:uid="{75F4C29B-65AC-47EA-A451-1B835A630AC8}"/>
    <cellStyle name="Normal 3 2 2 2 2 2 2 2 2 8 2 2 6" xfId="28846" xr:uid="{640E6053-5CFE-45E7-B2B0-D170E00513ED}"/>
    <cellStyle name="Normal 3 2 2 2 2 2 2 2 2 8 2 2 7" xfId="28847" xr:uid="{DE2A22B2-2A43-408D-B382-F58FA11F4B6D}"/>
    <cellStyle name="Normal 3 2 2 2 2 2 2 2 2 8 2 2 8" xfId="28848" xr:uid="{6F8E9D56-933B-48CA-9475-9AE949D66C67}"/>
    <cellStyle name="Normal 3 2 2 2 2 2 2 2 2 8 2 2 9" xfId="28849" xr:uid="{DD255803-D1B4-463C-B53D-8793A3DFEA30}"/>
    <cellStyle name="Normal 3 2 2 2 2 2 2 2 2 8 2 3" xfId="28850" xr:uid="{7D4A2AF1-CFB7-4827-9E63-7F2D03F3714F}"/>
    <cellStyle name="Normal 3 2 2 2 2 2 2 2 2 8 2 4" xfId="28851" xr:uid="{9B3CCBAB-6A11-4E98-B5B6-CFC55A2347AB}"/>
    <cellStyle name="Normal 3 2 2 2 2 2 2 2 2 8 2 5" xfId="28852" xr:uid="{23D0C462-271B-4583-99E9-CD33E2524701}"/>
    <cellStyle name="Normal 3 2 2 2 2 2 2 2 2 8 2 5 10" xfId="28853" xr:uid="{D431B7AE-70F8-4331-902F-977E5377D4FE}"/>
    <cellStyle name="Normal 3 2 2 2 2 2 2 2 2 8 2 5 11" xfId="28854" xr:uid="{26B6189B-6577-44E3-A614-4D8726705964}"/>
    <cellStyle name="Normal 3 2 2 2 2 2 2 2 2 8 2 5 2" xfId="28855" xr:uid="{C68E03A8-8B58-4372-905A-4B9B625A0526}"/>
    <cellStyle name="Normal 3 2 2 2 2 2 2 2 2 8 2 5 2 10" xfId="28856" xr:uid="{E26481B2-899F-4EB9-86F5-9982E2564AF1}"/>
    <cellStyle name="Normal 3 2 2 2 2 2 2 2 2 8 2 5 2 11" xfId="28857" xr:uid="{0B907B23-3993-4FDE-BCF7-954BAADA2838}"/>
    <cellStyle name="Normal 3 2 2 2 2 2 2 2 2 8 2 5 2 2" xfId="28858" xr:uid="{BEA4658C-D041-4A01-81CE-A28043B97BD3}"/>
    <cellStyle name="Normal 3 2 2 2 2 2 2 2 2 8 2 5 2 2 2" xfId="28859" xr:uid="{59E05ADC-3D5A-485F-96EE-8DBA1307B094}"/>
    <cellStyle name="Normal 3 2 2 2 2 2 2 2 2 8 2 5 2 2 2 2" xfId="28860" xr:uid="{A08CFBE6-AFD7-419B-AF28-92D306FF6937}"/>
    <cellStyle name="Normal 3 2 2 2 2 2 2 2 2 8 2 5 2 2 2 3" xfId="28861" xr:uid="{07D59096-2E61-4D8A-874B-B2EB8ECEAF04}"/>
    <cellStyle name="Normal 3 2 2 2 2 2 2 2 2 8 2 5 2 2 2 4" xfId="28862" xr:uid="{00C41102-79F4-4D9F-931A-EF7B0AFBFDBA}"/>
    <cellStyle name="Normal 3 2 2 2 2 2 2 2 2 8 2 5 2 2 3" xfId="28863" xr:uid="{17DE7703-EA49-4A37-9BD7-1D616A570C5B}"/>
    <cellStyle name="Normal 3 2 2 2 2 2 2 2 2 8 2 5 2 2 4" xfId="28864" xr:uid="{10D95F47-F36D-4A20-A24A-3D588E19A5AC}"/>
    <cellStyle name="Normal 3 2 2 2 2 2 2 2 2 8 2 5 2 2 5" xfId="28865" xr:uid="{ACAF6381-6E33-4C54-81C6-178AB20DD07A}"/>
    <cellStyle name="Normal 3 2 2 2 2 2 2 2 2 8 2 5 2 2 6" xfId="28866" xr:uid="{78173742-EAD4-4A74-B397-D296999E2B09}"/>
    <cellStyle name="Normal 3 2 2 2 2 2 2 2 2 8 2 5 2 3" xfId="28867" xr:uid="{6CF14AA6-2454-4811-8034-1C183BF04449}"/>
    <cellStyle name="Normal 3 2 2 2 2 2 2 2 2 8 2 5 2 4" xfId="28868" xr:uid="{FDC914B9-E89C-4E5D-A163-37FCF4F6ED79}"/>
    <cellStyle name="Normal 3 2 2 2 2 2 2 2 2 8 2 5 2 5" xfId="28869" xr:uid="{AAD0A79C-4B6D-4A28-B234-A893DDB22390}"/>
    <cellStyle name="Normal 3 2 2 2 2 2 2 2 2 8 2 5 2 6" xfId="28870" xr:uid="{EBF00C3E-CF37-47E3-8BEF-4379561B210B}"/>
    <cellStyle name="Normal 3 2 2 2 2 2 2 2 2 8 2 5 2 7" xfId="28871" xr:uid="{2F96D8FA-EAAE-42DE-A902-B7A49D45E2BF}"/>
    <cellStyle name="Normal 3 2 2 2 2 2 2 2 2 8 2 5 2 8" xfId="28872" xr:uid="{A0AA0F2B-D063-4B1F-876B-B02ECBABD402}"/>
    <cellStyle name="Normal 3 2 2 2 2 2 2 2 2 8 2 5 2 8 2" xfId="28873" xr:uid="{F8E57AB7-1EC0-447B-85D6-CFCC5CC0FA02}"/>
    <cellStyle name="Normal 3 2 2 2 2 2 2 2 2 8 2 5 2 8 3" xfId="28874" xr:uid="{76666556-1792-4E68-9603-36BC451CDEBA}"/>
    <cellStyle name="Normal 3 2 2 2 2 2 2 2 2 8 2 5 2 8 4" xfId="28875" xr:uid="{3918A0BB-0BDA-42B5-A060-D6EE39DDEDDA}"/>
    <cellStyle name="Normal 3 2 2 2 2 2 2 2 2 8 2 5 2 9" xfId="28876" xr:uid="{A4D9F706-CDD9-4C05-9E82-4FECE28F4F3D}"/>
    <cellStyle name="Normal 3 2 2 2 2 2 2 2 2 8 2 5 3" xfId="28877" xr:uid="{046E96A4-C250-41C3-82CD-F6B11C1A40CD}"/>
    <cellStyle name="Normal 3 2 2 2 2 2 2 2 2 8 2 5 3 2" xfId="28878" xr:uid="{94FF3D19-8850-4149-9309-F6F3DDBA9EF2}"/>
    <cellStyle name="Normal 3 2 2 2 2 2 2 2 2 8 2 5 3 2 2" xfId="28879" xr:uid="{BD8FE150-4129-4924-A0E9-912E289DC026}"/>
    <cellStyle name="Normal 3 2 2 2 2 2 2 2 2 8 2 5 3 2 3" xfId="28880" xr:uid="{FDD491D9-6E85-4DC8-8BC8-B73DBB95ABF0}"/>
    <cellStyle name="Normal 3 2 2 2 2 2 2 2 2 8 2 5 3 2 4" xfId="28881" xr:uid="{C51B7200-5F2E-4B06-87EC-C50BA54B55C8}"/>
    <cellStyle name="Normal 3 2 2 2 2 2 2 2 2 8 2 5 3 3" xfId="28882" xr:uid="{9022B4C1-FF6A-4F0B-A020-FCE4B7E9463E}"/>
    <cellStyle name="Normal 3 2 2 2 2 2 2 2 2 8 2 5 3 4" xfId="28883" xr:uid="{A7B361B6-1CC7-4E10-B51C-C62C5FEFA6C2}"/>
    <cellStyle name="Normal 3 2 2 2 2 2 2 2 2 8 2 5 3 5" xfId="28884" xr:uid="{44E0A99F-31E6-4085-98EA-84458AF5573F}"/>
    <cellStyle name="Normal 3 2 2 2 2 2 2 2 2 8 2 5 3 6" xfId="28885" xr:uid="{201818E8-F690-40C0-9C1C-07D880B715F1}"/>
    <cellStyle name="Normal 3 2 2 2 2 2 2 2 2 8 2 5 4" xfId="28886" xr:uid="{416EAE35-9E7B-450D-AEAA-D83B9B6596F1}"/>
    <cellStyle name="Normal 3 2 2 2 2 2 2 2 2 8 2 5 5" xfId="28887" xr:uid="{14AA10C3-0B0C-4B0C-A1F4-44A859F99444}"/>
    <cellStyle name="Normal 3 2 2 2 2 2 2 2 2 8 2 5 6" xfId="28888" xr:uid="{678E7801-E433-4569-A675-0DA1D0B6D9BF}"/>
    <cellStyle name="Normal 3 2 2 2 2 2 2 2 2 8 2 5 7" xfId="28889" xr:uid="{CC96D5DA-CB8A-4D7A-9658-8A367AEBE11B}"/>
    <cellStyle name="Normal 3 2 2 2 2 2 2 2 2 8 2 5 8" xfId="28890" xr:uid="{C5EC8918-B542-4CD4-B9D3-929C6DB42AFC}"/>
    <cellStyle name="Normal 3 2 2 2 2 2 2 2 2 8 2 5 8 2" xfId="28891" xr:uid="{65FD18C7-B2BB-48B0-8378-B62444476C79}"/>
    <cellStyle name="Normal 3 2 2 2 2 2 2 2 2 8 2 5 8 3" xfId="28892" xr:uid="{64C08ED4-BC61-45F6-B844-C750469E8CF2}"/>
    <cellStyle name="Normal 3 2 2 2 2 2 2 2 2 8 2 5 8 4" xfId="28893" xr:uid="{2F619A39-C618-4B44-9270-11EEAD6CD3D5}"/>
    <cellStyle name="Normal 3 2 2 2 2 2 2 2 2 8 2 5 9" xfId="28894" xr:uid="{8A3DF447-6C42-4608-99AA-E0AFC6DFBB6B}"/>
    <cellStyle name="Normal 3 2 2 2 2 2 2 2 2 8 2 6" xfId="28895" xr:uid="{10272E84-A1ED-4E1D-8691-E3267E28B764}"/>
    <cellStyle name="Normal 3 2 2 2 2 2 2 2 2 8 2 7" xfId="28896" xr:uid="{4D005982-A916-4372-B297-C389D90E4438}"/>
    <cellStyle name="Normal 3 2 2 2 2 2 2 2 2 8 2 7 2" xfId="28897" xr:uid="{5058D2A0-D00B-4BE8-86F9-9A8BFC34B79D}"/>
    <cellStyle name="Normal 3 2 2 2 2 2 2 2 2 8 2 7 2 2" xfId="28898" xr:uid="{8D4E5079-167D-49B8-91E1-139CE957DC07}"/>
    <cellStyle name="Normal 3 2 2 2 2 2 2 2 2 8 2 7 2 3" xfId="28899" xr:uid="{F3D7EAF9-078F-4F0E-BF7C-E45ED5AFD65A}"/>
    <cellStyle name="Normal 3 2 2 2 2 2 2 2 2 8 2 7 2 4" xfId="28900" xr:uid="{50BC2038-13CE-4CAB-8652-84BC3A8E7FBB}"/>
    <cellStyle name="Normal 3 2 2 2 2 2 2 2 2 8 2 7 3" xfId="28901" xr:uid="{ACA88388-8A74-48BE-BA89-ADCD9DFBE52D}"/>
    <cellStyle name="Normal 3 2 2 2 2 2 2 2 2 8 2 7 4" xfId="28902" xr:uid="{5153A3F7-30BC-4354-B64F-66785729218C}"/>
    <cellStyle name="Normal 3 2 2 2 2 2 2 2 2 8 2 7 5" xfId="28903" xr:uid="{6F0761D0-6846-45ED-BEC1-4E9BF12B83FC}"/>
    <cellStyle name="Normal 3 2 2 2 2 2 2 2 2 8 2 7 6" xfId="28904" xr:uid="{170ED79C-8D94-4319-86FB-05DBC09C28EE}"/>
    <cellStyle name="Normal 3 2 2 2 2 2 2 2 2 8 2 8" xfId="28905" xr:uid="{2EE185CB-E458-4C85-8323-31C989B9D3CA}"/>
    <cellStyle name="Normal 3 2 2 2 2 2 2 2 2 8 2 9" xfId="28906" xr:uid="{BF2C4FF7-3659-4EE1-9868-82297EB0EE56}"/>
    <cellStyle name="Normal 3 2 2 2 2 2 2 2 2 8 20" xfId="28907" xr:uid="{A5DEC604-96D6-4E58-B69E-EFB2FC696C95}"/>
    <cellStyle name="Normal 3 2 2 2 2 2 2 2 2 8 21" xfId="28908" xr:uid="{6017272A-94CB-409C-87C9-7609CB8A8025}"/>
    <cellStyle name="Normal 3 2 2 2 2 2 2 2 2 8 21 2" xfId="28909" xr:uid="{B61D9DD4-32C2-46E8-BC18-A1AA21C44DBC}"/>
    <cellStyle name="Normal 3 2 2 2 2 2 2 2 2 8 21 3" xfId="28910" xr:uid="{1D8A442A-B9E1-4055-AA61-DC46656E1438}"/>
    <cellStyle name="Normal 3 2 2 2 2 2 2 2 2 8 21 4" xfId="28911" xr:uid="{D02A24CB-D380-4E6A-92E5-CAF912CF69C1}"/>
    <cellStyle name="Normal 3 2 2 2 2 2 2 2 2 8 22" xfId="28912" xr:uid="{EFD9434A-CE73-42C4-A942-C9EBEDF4E285}"/>
    <cellStyle name="Normal 3 2 2 2 2 2 2 2 2 8 23" xfId="28913" xr:uid="{4D8FD2A1-E403-4049-B479-FBCF5BF4165B}"/>
    <cellStyle name="Normal 3 2 2 2 2 2 2 2 2 8 24" xfId="28914" xr:uid="{B0CDCD1C-4AF9-4E2C-B7C9-DAF1CD0CD431}"/>
    <cellStyle name="Normal 3 2 2 2 2 2 2 2 2 8 3" xfId="28915" xr:uid="{B88E5512-6E4C-412D-9ACA-DDA36C30350B}"/>
    <cellStyle name="Normal 3 2 2 2 2 2 2 2 2 8 4" xfId="28916" xr:uid="{E9EAC2C8-DCC5-4210-93E8-FBB85D0463C9}"/>
    <cellStyle name="Normal 3 2 2 2 2 2 2 2 2 8 5" xfId="28917" xr:uid="{1E542B61-8126-46F3-92E7-EEAFBBF93071}"/>
    <cellStyle name="Normal 3 2 2 2 2 2 2 2 2 8 6" xfId="28918" xr:uid="{4075723B-5852-4F2B-831C-59502C6E3262}"/>
    <cellStyle name="Normal 3 2 2 2 2 2 2 2 2 8 7" xfId="28919" xr:uid="{C694A4A4-2A29-4E93-B2D7-D55E07B7C548}"/>
    <cellStyle name="Normal 3 2 2 2 2 2 2 2 2 8 8" xfId="28920" xr:uid="{AD4229D2-09B5-4296-B2C7-5F33D9DBFF93}"/>
    <cellStyle name="Normal 3 2 2 2 2 2 2 2 2 8 9" xfId="28921" xr:uid="{5E782806-1470-4FAC-A256-F0A025BCEE24}"/>
    <cellStyle name="Normal 3 2 2 2 2 2 2 2 2 9" xfId="28922" xr:uid="{78999C91-8DE5-45DC-B746-E415CF3189CF}"/>
    <cellStyle name="Normal 3 2 2 2 2 2 2 2 2 9 10" xfId="28923" xr:uid="{9AF4957B-93AE-409B-AE40-F037A8DF4213}"/>
    <cellStyle name="Normal 3 2 2 2 2 2 2 2 2 9 11" xfId="28924" xr:uid="{E3F64C6C-6532-403C-BBEE-E7A8079558B0}"/>
    <cellStyle name="Normal 3 2 2 2 2 2 2 2 2 9 12" xfId="28925" xr:uid="{BAB0F1D4-D054-4443-981A-30EE44D31FC2}"/>
    <cellStyle name="Normal 3 2 2 2 2 2 2 2 2 9 13" xfId="28926" xr:uid="{40C40091-C282-4E6F-94A2-C4B474910614}"/>
    <cellStyle name="Normal 3 2 2 2 2 2 2 2 2 9 13 2" xfId="28927" xr:uid="{DE362452-3CD5-4105-8847-D7FEFE767555}"/>
    <cellStyle name="Normal 3 2 2 2 2 2 2 2 2 9 13 3" xfId="28928" xr:uid="{64FBDC69-2EC7-490B-A253-D84B306BA893}"/>
    <cellStyle name="Normal 3 2 2 2 2 2 2 2 2 9 13 4" xfId="28929" xr:uid="{A9EAFC4D-18A5-435A-99BD-293E5DC89C63}"/>
    <cellStyle name="Normal 3 2 2 2 2 2 2 2 2 9 14" xfId="28930" xr:uid="{E58A1A93-1063-4D93-868C-B98B2121B56C}"/>
    <cellStyle name="Normal 3 2 2 2 2 2 2 2 2 9 15" xfId="28931" xr:uid="{08B34D5E-C69A-4D44-BF30-35950BF1EDAF}"/>
    <cellStyle name="Normal 3 2 2 2 2 2 2 2 2 9 16" xfId="28932" xr:uid="{5CF64D45-FA6E-4007-9488-19950301552E}"/>
    <cellStyle name="Normal 3 2 2 2 2 2 2 2 2 9 2" xfId="28933" xr:uid="{35F01A2C-07DA-4998-AAD9-324CC1CD9C13}"/>
    <cellStyle name="Normal 3 2 2 2 2 2 2 2 2 9 2 10" xfId="28934" xr:uid="{E3ACF212-EF6E-4383-8C06-AEB3B21C7B47}"/>
    <cellStyle name="Normal 3 2 2 2 2 2 2 2 2 9 2 11" xfId="28935" xr:uid="{B2DE1924-3C34-498B-8024-20573AA7386E}"/>
    <cellStyle name="Normal 3 2 2 2 2 2 2 2 2 9 2 11 2" xfId="28936" xr:uid="{4E57BBCA-DF09-4BB3-A54D-CDC366304DA9}"/>
    <cellStyle name="Normal 3 2 2 2 2 2 2 2 2 9 2 11 3" xfId="28937" xr:uid="{89E992FE-29C0-464D-8092-A53EC6B0AF72}"/>
    <cellStyle name="Normal 3 2 2 2 2 2 2 2 2 9 2 11 4" xfId="28938" xr:uid="{C006DC3B-15D6-46F6-99F2-F109A3DB2E2D}"/>
    <cellStyle name="Normal 3 2 2 2 2 2 2 2 2 9 2 12" xfId="28939" xr:uid="{CE33ECE0-5ACC-4D3E-A328-56D5C0634465}"/>
    <cellStyle name="Normal 3 2 2 2 2 2 2 2 2 9 2 13" xfId="28940" xr:uid="{9A38983A-40C3-4C73-B28D-B18E3C6D905B}"/>
    <cellStyle name="Normal 3 2 2 2 2 2 2 2 2 9 2 14" xfId="28941" xr:uid="{8679E8D3-51E2-4AAF-94D3-887474763C7D}"/>
    <cellStyle name="Normal 3 2 2 2 2 2 2 2 2 9 2 2" xfId="28942" xr:uid="{4418EB70-1658-4445-A98F-9566D314CEEC}"/>
    <cellStyle name="Normal 3 2 2 2 2 2 2 2 2 9 2 2 10" xfId="28943" xr:uid="{EC56AE41-2147-4678-85BF-1C09324A7ACA}"/>
    <cellStyle name="Normal 3 2 2 2 2 2 2 2 2 9 2 2 11" xfId="28944" xr:uid="{45D5FA2D-A39C-49E4-9C29-9ABF49E3D19A}"/>
    <cellStyle name="Normal 3 2 2 2 2 2 2 2 2 9 2 2 2" xfId="28945" xr:uid="{7B98D468-6FCA-425E-B50A-5CAF84CA83D8}"/>
    <cellStyle name="Normal 3 2 2 2 2 2 2 2 2 9 2 2 2 10" xfId="28946" xr:uid="{A0F99CBE-3CC3-474C-96D2-1AFBEACBD2D9}"/>
    <cellStyle name="Normal 3 2 2 2 2 2 2 2 2 9 2 2 2 11" xfId="28947" xr:uid="{EA6D5C37-2A26-4442-9748-D0F2B39CE299}"/>
    <cellStyle name="Normal 3 2 2 2 2 2 2 2 2 9 2 2 2 2" xfId="28948" xr:uid="{1B8D8EF4-BEFC-45AF-B2D5-C1BD99BC59FA}"/>
    <cellStyle name="Normal 3 2 2 2 2 2 2 2 2 9 2 2 2 2 2" xfId="28949" xr:uid="{FA5CEB68-2924-4FAF-8260-4A78ED6BD35E}"/>
    <cellStyle name="Normal 3 2 2 2 2 2 2 2 2 9 2 2 2 2 2 2" xfId="28950" xr:uid="{D4906E51-CE82-4790-BC20-E9374083E8D8}"/>
    <cellStyle name="Normal 3 2 2 2 2 2 2 2 2 9 2 2 2 2 2 3" xfId="28951" xr:uid="{AC10B578-5E70-4CD1-9657-FAB595927246}"/>
    <cellStyle name="Normal 3 2 2 2 2 2 2 2 2 9 2 2 2 2 2 4" xfId="28952" xr:uid="{FB63FEF3-EC58-4341-A566-1AD9A5C47273}"/>
    <cellStyle name="Normal 3 2 2 2 2 2 2 2 2 9 2 2 2 2 3" xfId="28953" xr:uid="{806DD473-6910-497D-A300-3E7801F608D8}"/>
    <cellStyle name="Normal 3 2 2 2 2 2 2 2 2 9 2 2 2 2 4" xfId="28954" xr:uid="{003B0A37-9A31-42E2-BCAD-B85628F1DE18}"/>
    <cellStyle name="Normal 3 2 2 2 2 2 2 2 2 9 2 2 2 2 5" xfId="28955" xr:uid="{E3EBD2C3-E3BA-4BBD-84FA-A5CC536DC14C}"/>
    <cellStyle name="Normal 3 2 2 2 2 2 2 2 2 9 2 2 2 2 6" xfId="28956" xr:uid="{7B7D30B5-1BAF-48BF-AA60-676428AFED63}"/>
    <cellStyle name="Normal 3 2 2 2 2 2 2 2 2 9 2 2 2 3" xfId="28957" xr:uid="{009D1CEB-92D7-42A1-82F3-342AA8B06D04}"/>
    <cellStyle name="Normal 3 2 2 2 2 2 2 2 2 9 2 2 2 4" xfId="28958" xr:uid="{253DA91B-F4C3-4897-9B4D-07FB60A2101A}"/>
    <cellStyle name="Normal 3 2 2 2 2 2 2 2 2 9 2 2 2 5" xfId="28959" xr:uid="{D4C0C8DA-F53F-4040-9E51-308F9BA37ED7}"/>
    <cellStyle name="Normal 3 2 2 2 2 2 2 2 2 9 2 2 2 6" xfId="28960" xr:uid="{86A25D52-164E-4B9C-B1EE-0F5FEBC4FDCC}"/>
    <cellStyle name="Normal 3 2 2 2 2 2 2 2 2 9 2 2 2 7" xfId="28961" xr:uid="{E60215CD-2A1E-44DF-A0FA-A8A1EE2E69B2}"/>
    <cellStyle name="Normal 3 2 2 2 2 2 2 2 2 9 2 2 2 8" xfId="28962" xr:uid="{5DC0C67A-2969-4725-A165-A0416216B984}"/>
    <cellStyle name="Normal 3 2 2 2 2 2 2 2 2 9 2 2 2 8 2" xfId="28963" xr:uid="{4A4F2076-13B4-48FE-A5BA-59C20369F538}"/>
    <cellStyle name="Normal 3 2 2 2 2 2 2 2 2 9 2 2 2 8 3" xfId="28964" xr:uid="{DA360749-D141-400E-9827-91D2A78C8761}"/>
    <cellStyle name="Normal 3 2 2 2 2 2 2 2 2 9 2 2 2 8 4" xfId="28965" xr:uid="{B2E84460-0253-465F-AFEF-502A34253F63}"/>
    <cellStyle name="Normal 3 2 2 2 2 2 2 2 2 9 2 2 2 9" xfId="28966" xr:uid="{5118331E-FCAF-4404-BB1A-619E54013283}"/>
    <cellStyle name="Normal 3 2 2 2 2 2 2 2 2 9 2 2 3" xfId="28967" xr:uid="{98525B76-C4AB-4883-BDCB-BD4FB0712B11}"/>
    <cellStyle name="Normal 3 2 2 2 2 2 2 2 2 9 2 2 3 2" xfId="28968" xr:uid="{C4F872FB-7C41-4DC4-8E20-835361112C1C}"/>
    <cellStyle name="Normal 3 2 2 2 2 2 2 2 2 9 2 2 3 2 2" xfId="28969" xr:uid="{AAE1C1C1-F9D3-4421-A83B-18B88DF1977F}"/>
    <cellStyle name="Normal 3 2 2 2 2 2 2 2 2 9 2 2 3 2 3" xfId="28970" xr:uid="{46E1EDF1-D98A-4530-B406-D20BD868F7EA}"/>
    <cellStyle name="Normal 3 2 2 2 2 2 2 2 2 9 2 2 3 2 4" xfId="28971" xr:uid="{37A1853C-6869-4BCB-A03B-FAD0FE741136}"/>
    <cellStyle name="Normal 3 2 2 2 2 2 2 2 2 9 2 2 3 3" xfId="28972" xr:uid="{BAB4E56C-E0B6-4CAD-B979-B7C70CD47BC2}"/>
    <cellStyle name="Normal 3 2 2 2 2 2 2 2 2 9 2 2 3 4" xfId="28973" xr:uid="{6291B578-1904-489E-AD9D-9CE39BBB1920}"/>
    <cellStyle name="Normal 3 2 2 2 2 2 2 2 2 9 2 2 3 5" xfId="28974" xr:uid="{09834EBD-1878-4078-99A4-2D272BA45171}"/>
    <cellStyle name="Normal 3 2 2 2 2 2 2 2 2 9 2 2 3 6" xfId="28975" xr:uid="{FBEA6472-89D1-4AB3-AC64-DCB730962F93}"/>
    <cellStyle name="Normal 3 2 2 2 2 2 2 2 2 9 2 2 4" xfId="28976" xr:uid="{76A0331B-83F6-4BE4-8E2F-CD1FDD138AE8}"/>
    <cellStyle name="Normal 3 2 2 2 2 2 2 2 2 9 2 2 5" xfId="28977" xr:uid="{C6C742A1-50F3-4969-B418-A339C9FA6B2A}"/>
    <cellStyle name="Normal 3 2 2 2 2 2 2 2 2 9 2 2 6" xfId="28978" xr:uid="{122B6BC8-72DB-4599-9707-C89F48CCDD40}"/>
    <cellStyle name="Normal 3 2 2 2 2 2 2 2 2 9 2 2 7" xfId="28979" xr:uid="{8BD1F446-7673-46EF-A7DE-9A48B1401DB7}"/>
    <cellStyle name="Normal 3 2 2 2 2 2 2 2 2 9 2 2 8" xfId="28980" xr:uid="{39545C56-127E-46AB-ADBB-9049E6620FED}"/>
    <cellStyle name="Normal 3 2 2 2 2 2 2 2 2 9 2 2 8 2" xfId="28981" xr:uid="{48ACD2B9-6203-4ED0-B7EC-4C8BD00A6458}"/>
    <cellStyle name="Normal 3 2 2 2 2 2 2 2 2 9 2 2 8 3" xfId="28982" xr:uid="{51D3A30F-C96F-4130-8297-99C48A1FD00F}"/>
    <cellStyle name="Normal 3 2 2 2 2 2 2 2 2 9 2 2 8 4" xfId="28983" xr:uid="{CFA5AA86-FCB1-41E6-B009-99DB4AF3422F}"/>
    <cellStyle name="Normal 3 2 2 2 2 2 2 2 2 9 2 2 9" xfId="28984" xr:uid="{40D6ED2C-ADF6-4929-A7BB-2B9478DE2357}"/>
    <cellStyle name="Normal 3 2 2 2 2 2 2 2 2 9 2 3" xfId="28985" xr:uid="{665341FD-33A0-40FA-8A09-9C13B08FD37E}"/>
    <cellStyle name="Normal 3 2 2 2 2 2 2 2 2 9 2 4" xfId="28986" xr:uid="{015B4AEE-1A92-4351-95BA-CCB106402F91}"/>
    <cellStyle name="Normal 3 2 2 2 2 2 2 2 2 9 2 5" xfId="28987" xr:uid="{3704DF68-41DE-483A-93DE-05291831B16B}"/>
    <cellStyle name="Normal 3 2 2 2 2 2 2 2 2 9 2 5 2" xfId="28988" xr:uid="{6C667151-CC11-46AD-9877-8334312F2D2D}"/>
    <cellStyle name="Normal 3 2 2 2 2 2 2 2 2 9 2 5 2 2" xfId="28989" xr:uid="{D929748A-D515-4DB5-A1E0-D58FC978DCCA}"/>
    <cellStyle name="Normal 3 2 2 2 2 2 2 2 2 9 2 5 2 3" xfId="28990" xr:uid="{633D15AA-F35D-4890-9202-68ED9A621993}"/>
    <cellStyle name="Normal 3 2 2 2 2 2 2 2 2 9 2 5 2 4" xfId="28991" xr:uid="{76E33273-ACEB-44F8-A44F-8838FC63273E}"/>
    <cellStyle name="Normal 3 2 2 2 2 2 2 2 2 9 2 5 3" xfId="28992" xr:uid="{ACD5B895-6865-4B09-A1CC-DE44FC735671}"/>
    <cellStyle name="Normal 3 2 2 2 2 2 2 2 2 9 2 5 4" xfId="28993" xr:uid="{B90DA7CE-4F8F-4BAB-80FF-C85275A3A323}"/>
    <cellStyle name="Normal 3 2 2 2 2 2 2 2 2 9 2 5 5" xfId="28994" xr:uid="{0DA4D1A9-B87E-471B-8CC7-23A2FED2D9DC}"/>
    <cellStyle name="Normal 3 2 2 2 2 2 2 2 2 9 2 5 6" xfId="28995" xr:uid="{1A72399E-2FC3-4C06-B2EC-765E0298408D}"/>
    <cellStyle name="Normal 3 2 2 2 2 2 2 2 2 9 2 6" xfId="28996" xr:uid="{8831C4F0-BF94-474D-87DB-B5BB8D03D6CA}"/>
    <cellStyle name="Normal 3 2 2 2 2 2 2 2 2 9 2 7" xfId="28997" xr:uid="{E9FA72BF-9F67-4069-B22F-DFA5B52E00A5}"/>
    <cellStyle name="Normal 3 2 2 2 2 2 2 2 2 9 2 8" xfId="28998" xr:uid="{9AF73DF7-0C66-4BE9-9098-17592D42F741}"/>
    <cellStyle name="Normal 3 2 2 2 2 2 2 2 2 9 2 9" xfId="28999" xr:uid="{45CF27FB-40E9-4F50-9545-F90EE11DEE36}"/>
    <cellStyle name="Normal 3 2 2 2 2 2 2 2 2 9 3" xfId="29000" xr:uid="{AA7E224B-30F3-4469-B49F-4EBEE7152AFA}"/>
    <cellStyle name="Normal 3 2 2 2 2 2 2 2 2 9 4" xfId="29001" xr:uid="{90C4FC8B-CC71-45AC-9FD4-146904BA4931}"/>
    <cellStyle name="Normal 3 2 2 2 2 2 2 2 2 9 5" xfId="29002" xr:uid="{33EC9E3D-7A3E-4FBC-B46A-F5E4DBEEDC37}"/>
    <cellStyle name="Normal 3 2 2 2 2 2 2 2 2 9 5 10" xfId="29003" xr:uid="{1A199BA1-5703-4CF5-B0EE-D0E4C5FBBB75}"/>
    <cellStyle name="Normal 3 2 2 2 2 2 2 2 2 9 5 11" xfId="29004" xr:uid="{542EBF57-797E-44F4-9611-1C613E2D34EB}"/>
    <cellStyle name="Normal 3 2 2 2 2 2 2 2 2 9 5 2" xfId="29005" xr:uid="{4C2A9ADF-D851-41FC-BCC6-DE5B3AFB13C5}"/>
    <cellStyle name="Normal 3 2 2 2 2 2 2 2 2 9 5 2 10" xfId="29006" xr:uid="{DC80896C-E902-4E29-8FE3-11B3F616A001}"/>
    <cellStyle name="Normal 3 2 2 2 2 2 2 2 2 9 5 2 11" xfId="29007" xr:uid="{13A472D9-1C6D-4D61-B8C8-002569BC416F}"/>
    <cellStyle name="Normal 3 2 2 2 2 2 2 2 2 9 5 2 2" xfId="29008" xr:uid="{2223D2E6-6116-4400-8395-5498C5B5F4A7}"/>
    <cellStyle name="Normal 3 2 2 2 2 2 2 2 2 9 5 2 2 2" xfId="29009" xr:uid="{A93895BD-2EA0-4ED9-B71C-4E35EED1EA42}"/>
    <cellStyle name="Normal 3 2 2 2 2 2 2 2 2 9 5 2 2 2 2" xfId="29010" xr:uid="{C6B23E20-B9E1-40C5-A17F-BB777B2950E5}"/>
    <cellStyle name="Normal 3 2 2 2 2 2 2 2 2 9 5 2 2 2 3" xfId="29011" xr:uid="{A32B1150-125A-4EAD-BDE0-FD6F81348F40}"/>
    <cellStyle name="Normal 3 2 2 2 2 2 2 2 2 9 5 2 2 2 4" xfId="29012" xr:uid="{1F336E2B-851D-4373-9ED1-3BB337B11706}"/>
    <cellStyle name="Normal 3 2 2 2 2 2 2 2 2 9 5 2 2 3" xfId="29013" xr:uid="{FD8D8B76-BDA6-48DC-915A-1CBB65512FD3}"/>
    <cellStyle name="Normal 3 2 2 2 2 2 2 2 2 9 5 2 2 4" xfId="29014" xr:uid="{B9801FB6-3B36-4911-A910-E10F304B0F55}"/>
    <cellStyle name="Normal 3 2 2 2 2 2 2 2 2 9 5 2 2 5" xfId="29015" xr:uid="{F90FDB5D-90EA-4474-9998-818B623D9D00}"/>
    <cellStyle name="Normal 3 2 2 2 2 2 2 2 2 9 5 2 2 6" xfId="29016" xr:uid="{61BA464F-B4BC-423F-BA1E-0DCE72E133B5}"/>
    <cellStyle name="Normal 3 2 2 2 2 2 2 2 2 9 5 2 3" xfId="29017" xr:uid="{49300DAB-186F-4EEE-BB93-976E305646A0}"/>
    <cellStyle name="Normal 3 2 2 2 2 2 2 2 2 9 5 2 4" xfId="29018" xr:uid="{3CDCFE2B-24F7-4DDC-A158-3FCE79869AD3}"/>
    <cellStyle name="Normal 3 2 2 2 2 2 2 2 2 9 5 2 5" xfId="29019" xr:uid="{A41EE9DB-68B7-4083-BA1B-BCBB88878B3E}"/>
    <cellStyle name="Normal 3 2 2 2 2 2 2 2 2 9 5 2 6" xfId="29020" xr:uid="{B142B79B-363C-4569-B273-DD31FA9DDDBD}"/>
    <cellStyle name="Normal 3 2 2 2 2 2 2 2 2 9 5 2 7" xfId="29021" xr:uid="{F5EEE387-50B1-400D-B6C1-D5ECEE5BEF87}"/>
    <cellStyle name="Normal 3 2 2 2 2 2 2 2 2 9 5 2 8" xfId="29022" xr:uid="{58BCBDA3-3D69-4C23-B4CE-95AFD4CBAA71}"/>
    <cellStyle name="Normal 3 2 2 2 2 2 2 2 2 9 5 2 8 2" xfId="29023" xr:uid="{B93E97D2-23E2-4347-B7A9-3969C60D62F1}"/>
    <cellStyle name="Normal 3 2 2 2 2 2 2 2 2 9 5 2 8 3" xfId="29024" xr:uid="{2FEDE693-412D-4169-9ADD-CA8369E15849}"/>
    <cellStyle name="Normal 3 2 2 2 2 2 2 2 2 9 5 2 8 4" xfId="29025" xr:uid="{9C87DD46-8714-409F-804D-485E8E1E1355}"/>
    <cellStyle name="Normal 3 2 2 2 2 2 2 2 2 9 5 2 9" xfId="29026" xr:uid="{ECA93F3E-2096-41D4-B6B8-7D956D27C9A7}"/>
    <cellStyle name="Normal 3 2 2 2 2 2 2 2 2 9 5 3" xfId="29027" xr:uid="{A459FD19-F4DC-4A7B-9A91-E981CFE2DC8F}"/>
    <cellStyle name="Normal 3 2 2 2 2 2 2 2 2 9 5 3 2" xfId="29028" xr:uid="{95565ECA-501A-43FF-A558-F2EB85D88342}"/>
    <cellStyle name="Normal 3 2 2 2 2 2 2 2 2 9 5 3 2 2" xfId="29029" xr:uid="{2BADCE18-A269-4EF2-9B96-BD77E7F5C86D}"/>
    <cellStyle name="Normal 3 2 2 2 2 2 2 2 2 9 5 3 2 3" xfId="29030" xr:uid="{DEDA0D2E-5ECE-4172-8EDF-1013857B4538}"/>
    <cellStyle name="Normal 3 2 2 2 2 2 2 2 2 9 5 3 2 4" xfId="29031" xr:uid="{8235FDB0-656C-4C7D-827B-08EF57EE4FCD}"/>
    <cellStyle name="Normal 3 2 2 2 2 2 2 2 2 9 5 3 3" xfId="29032" xr:uid="{F770A664-7EE9-4416-9B6B-F934053A2825}"/>
    <cellStyle name="Normal 3 2 2 2 2 2 2 2 2 9 5 3 4" xfId="29033" xr:uid="{C47B3936-484F-4B8E-98FA-B008AA8CA55B}"/>
    <cellStyle name="Normal 3 2 2 2 2 2 2 2 2 9 5 3 5" xfId="29034" xr:uid="{D8B3D116-F9F4-43F8-B6D4-86A49B56963C}"/>
    <cellStyle name="Normal 3 2 2 2 2 2 2 2 2 9 5 3 6" xfId="29035" xr:uid="{5AB3BC25-A8F8-4A09-81EE-113C19BFEB52}"/>
    <cellStyle name="Normal 3 2 2 2 2 2 2 2 2 9 5 4" xfId="29036" xr:uid="{6D2186FF-C0F4-4738-B4A2-2A42628FDE2D}"/>
    <cellStyle name="Normal 3 2 2 2 2 2 2 2 2 9 5 5" xfId="29037" xr:uid="{C8FF6296-0DAF-4B1C-8B37-3DA95007DCFC}"/>
    <cellStyle name="Normal 3 2 2 2 2 2 2 2 2 9 5 6" xfId="29038" xr:uid="{7A563BF3-C943-4FA9-AA15-687652A51A79}"/>
    <cellStyle name="Normal 3 2 2 2 2 2 2 2 2 9 5 7" xfId="29039" xr:uid="{29811BEF-6053-48F7-B551-770A4E38E551}"/>
    <cellStyle name="Normal 3 2 2 2 2 2 2 2 2 9 5 8" xfId="29040" xr:uid="{9E871E06-78DE-4F43-986F-C6AF4AFC8DDE}"/>
    <cellStyle name="Normal 3 2 2 2 2 2 2 2 2 9 5 8 2" xfId="29041" xr:uid="{D02BB3EA-654F-4231-B51B-6E45D9B649E3}"/>
    <cellStyle name="Normal 3 2 2 2 2 2 2 2 2 9 5 8 3" xfId="29042" xr:uid="{8240780E-24B7-4E22-BE85-F8CEA8D0A8AD}"/>
    <cellStyle name="Normal 3 2 2 2 2 2 2 2 2 9 5 8 4" xfId="29043" xr:uid="{19E3B16B-7AEA-4D52-9D43-2CB2DB943770}"/>
    <cellStyle name="Normal 3 2 2 2 2 2 2 2 2 9 5 9" xfId="29044" xr:uid="{CA55F107-E755-43BD-9200-C60A4DA7C85A}"/>
    <cellStyle name="Normal 3 2 2 2 2 2 2 2 2 9 6" xfId="29045" xr:uid="{D3FC7DB9-EC36-4869-A4C3-D6ABB22D9289}"/>
    <cellStyle name="Normal 3 2 2 2 2 2 2 2 2 9 7" xfId="29046" xr:uid="{36906BC3-8580-472A-A060-39B57E99E1DF}"/>
    <cellStyle name="Normal 3 2 2 2 2 2 2 2 2 9 7 2" xfId="29047" xr:uid="{9AAE8EB0-648B-4CE8-9509-3953F4B1DEA1}"/>
    <cellStyle name="Normal 3 2 2 2 2 2 2 2 2 9 7 2 2" xfId="29048" xr:uid="{101CE9F2-DD83-41C6-BCDA-E922E968D5A1}"/>
    <cellStyle name="Normal 3 2 2 2 2 2 2 2 2 9 7 2 3" xfId="29049" xr:uid="{C5CFF0C9-EBB3-4BF9-A811-E049460F391B}"/>
    <cellStyle name="Normal 3 2 2 2 2 2 2 2 2 9 7 2 4" xfId="29050" xr:uid="{BC5B7E46-2A60-4D77-A322-5F45CA05DB29}"/>
    <cellStyle name="Normal 3 2 2 2 2 2 2 2 2 9 7 3" xfId="29051" xr:uid="{335450EA-51AD-41CC-A5C7-F6DD119BB867}"/>
    <cellStyle name="Normal 3 2 2 2 2 2 2 2 2 9 7 4" xfId="29052" xr:uid="{F2DC47D1-E460-4ADD-826A-6C1E97A03426}"/>
    <cellStyle name="Normal 3 2 2 2 2 2 2 2 2 9 7 5" xfId="29053" xr:uid="{6E85DE51-B853-45E2-896A-FEAD64BC3947}"/>
    <cellStyle name="Normal 3 2 2 2 2 2 2 2 2 9 7 6" xfId="29054" xr:uid="{10182BAD-C5C9-4F68-9A28-FB865E9E46A2}"/>
    <cellStyle name="Normal 3 2 2 2 2 2 2 2 2 9 8" xfId="29055" xr:uid="{A8F63B96-F3AD-428D-9892-D560960A9A2D}"/>
    <cellStyle name="Normal 3 2 2 2 2 2 2 2 2 9 9" xfId="29056" xr:uid="{A5AD6888-10BA-4649-9DC7-1194F0106D61}"/>
    <cellStyle name="Normal 3 2 2 2 2 2 2 2 20" xfId="29057" xr:uid="{EF9E815D-BC5B-49C5-BB13-E248F46E1CB1}"/>
    <cellStyle name="Normal 3 2 2 2 2 2 2 2 21" xfId="29058" xr:uid="{F7172008-C6C4-44BB-AF41-165CFB0C32E7}"/>
    <cellStyle name="Normal 3 2 2 2 2 2 2 2 21 10" xfId="29059" xr:uid="{99B66D3E-C113-41EB-8937-C4C992BDFB16}"/>
    <cellStyle name="Normal 3 2 2 2 2 2 2 2 21 11" xfId="29060" xr:uid="{BA0E0EDA-51F9-4D81-8434-8F5CD26AEB3C}"/>
    <cellStyle name="Normal 3 2 2 2 2 2 2 2 21 11 2" xfId="29061" xr:uid="{814BD64C-4AEE-4DE6-B85B-F078FE3C7223}"/>
    <cellStyle name="Normal 3 2 2 2 2 2 2 2 21 11 3" xfId="29062" xr:uid="{AB92DC59-8537-4235-A79D-729EBFB1DF8A}"/>
    <cellStyle name="Normal 3 2 2 2 2 2 2 2 21 11 4" xfId="29063" xr:uid="{7BC047AE-C62E-433D-8AB3-13A4BA9AF938}"/>
    <cellStyle name="Normal 3 2 2 2 2 2 2 2 21 12" xfId="29064" xr:uid="{A0277278-AD40-4A97-9E5B-38E35AC6535B}"/>
    <cellStyle name="Normal 3 2 2 2 2 2 2 2 21 13" xfId="29065" xr:uid="{430E7192-358E-452B-99FE-E8CA1407F4FA}"/>
    <cellStyle name="Normal 3 2 2 2 2 2 2 2 21 14" xfId="29066" xr:uid="{F945866A-D1C2-452F-9D4E-603CE06A9A7D}"/>
    <cellStyle name="Normal 3 2 2 2 2 2 2 2 21 2" xfId="29067" xr:uid="{F17841F9-C192-47DA-9864-28871A2484A1}"/>
    <cellStyle name="Normal 3 2 2 2 2 2 2 2 21 2 10" xfId="29068" xr:uid="{92F3731C-2447-487B-9CF6-850DFA30C73B}"/>
    <cellStyle name="Normal 3 2 2 2 2 2 2 2 21 2 11" xfId="29069" xr:uid="{ED927F24-376E-4B2F-BFC2-37E857F645EE}"/>
    <cellStyle name="Normal 3 2 2 2 2 2 2 2 21 2 2" xfId="29070" xr:uid="{5300E1F6-DB0C-42D3-8AB9-306FFE9818F2}"/>
    <cellStyle name="Normal 3 2 2 2 2 2 2 2 21 2 2 10" xfId="29071" xr:uid="{F2F32113-59B7-4AED-8277-F61226CE039E}"/>
    <cellStyle name="Normal 3 2 2 2 2 2 2 2 21 2 2 11" xfId="29072" xr:uid="{3D81F623-13AA-497F-8F33-7A3908942BF8}"/>
    <cellStyle name="Normal 3 2 2 2 2 2 2 2 21 2 2 2" xfId="29073" xr:uid="{B098C998-BE40-4119-8378-4978488CDE83}"/>
    <cellStyle name="Normal 3 2 2 2 2 2 2 2 21 2 2 2 2" xfId="29074" xr:uid="{F175D56F-A8BA-40D6-9FEC-679BF568C6E8}"/>
    <cellStyle name="Normal 3 2 2 2 2 2 2 2 21 2 2 2 2 2" xfId="29075" xr:uid="{F36DE19E-A6F9-416A-B797-84E13D47F770}"/>
    <cellStyle name="Normal 3 2 2 2 2 2 2 2 21 2 2 2 2 3" xfId="29076" xr:uid="{60D241D9-050B-46D2-9702-5DBF859054E8}"/>
    <cellStyle name="Normal 3 2 2 2 2 2 2 2 21 2 2 2 2 4" xfId="29077" xr:uid="{4E8B6EE3-25C2-4BC0-8327-9EFE9A348802}"/>
    <cellStyle name="Normal 3 2 2 2 2 2 2 2 21 2 2 2 3" xfId="29078" xr:uid="{1023DE69-B829-42EA-AA27-19D8E12B2C3D}"/>
    <cellStyle name="Normal 3 2 2 2 2 2 2 2 21 2 2 2 4" xfId="29079" xr:uid="{6B129B20-5846-483A-B031-C8FDA3223F25}"/>
    <cellStyle name="Normal 3 2 2 2 2 2 2 2 21 2 2 2 5" xfId="29080" xr:uid="{4BC742A5-F46B-4237-A2E5-3697CA79A4D0}"/>
    <cellStyle name="Normal 3 2 2 2 2 2 2 2 21 2 2 2 6" xfId="29081" xr:uid="{E9D3065C-6F42-4614-AFF7-5C4D050A544B}"/>
    <cellStyle name="Normal 3 2 2 2 2 2 2 2 21 2 2 3" xfId="29082" xr:uid="{2BEF091F-60CE-4C85-B9BB-92993BCD8A9C}"/>
    <cellStyle name="Normal 3 2 2 2 2 2 2 2 21 2 2 4" xfId="29083" xr:uid="{641F3AA4-3446-4938-AAB3-526CCD76435B}"/>
    <cellStyle name="Normal 3 2 2 2 2 2 2 2 21 2 2 5" xfId="29084" xr:uid="{40EF266A-F7B3-4F17-B2A7-03E00C822C6F}"/>
    <cellStyle name="Normal 3 2 2 2 2 2 2 2 21 2 2 6" xfId="29085" xr:uid="{6650EC46-C471-48E8-8EB0-7F245B9FD799}"/>
    <cellStyle name="Normal 3 2 2 2 2 2 2 2 21 2 2 7" xfId="29086" xr:uid="{3191AA97-154B-4DD3-932F-1D2B89337AD2}"/>
    <cellStyle name="Normal 3 2 2 2 2 2 2 2 21 2 2 8" xfId="29087" xr:uid="{3F02590D-CC27-49FC-900F-21C63A618C39}"/>
    <cellStyle name="Normal 3 2 2 2 2 2 2 2 21 2 2 8 2" xfId="29088" xr:uid="{17A1BA0E-CA7D-43DC-8AC5-3D50C1424382}"/>
    <cellStyle name="Normal 3 2 2 2 2 2 2 2 21 2 2 8 3" xfId="29089" xr:uid="{8F63D260-B9FE-496A-96C2-4EDC66029CE0}"/>
    <cellStyle name="Normal 3 2 2 2 2 2 2 2 21 2 2 8 4" xfId="29090" xr:uid="{CAFF318C-9C0B-4C5E-9A62-81CBEC7232DB}"/>
    <cellStyle name="Normal 3 2 2 2 2 2 2 2 21 2 2 9" xfId="29091" xr:uid="{CCBE93FC-3E39-4A3C-B151-3B0A69B8597A}"/>
    <cellStyle name="Normal 3 2 2 2 2 2 2 2 21 2 3" xfId="29092" xr:uid="{9CB1A1D9-C22C-4614-A2B4-6A41A7A86215}"/>
    <cellStyle name="Normal 3 2 2 2 2 2 2 2 21 2 3 2" xfId="29093" xr:uid="{5AB02405-1B2F-4632-8B19-3C15B1FE012C}"/>
    <cellStyle name="Normal 3 2 2 2 2 2 2 2 21 2 3 2 2" xfId="29094" xr:uid="{F3F0E89F-4B99-4D1A-8B32-AB92A2E7AA77}"/>
    <cellStyle name="Normal 3 2 2 2 2 2 2 2 21 2 3 2 3" xfId="29095" xr:uid="{3EB106F8-DE6D-465E-8ECC-BA2ABCCFA236}"/>
    <cellStyle name="Normal 3 2 2 2 2 2 2 2 21 2 3 2 4" xfId="29096" xr:uid="{A5F8D66E-1CA6-4CDF-8B95-0BD93CB1F558}"/>
    <cellStyle name="Normal 3 2 2 2 2 2 2 2 21 2 3 3" xfId="29097" xr:uid="{5DCC99AC-C926-4EC9-9C40-2E2FE44CB514}"/>
    <cellStyle name="Normal 3 2 2 2 2 2 2 2 21 2 3 4" xfId="29098" xr:uid="{8D013FD7-3CE5-47F3-B241-E15B1BD895EB}"/>
    <cellStyle name="Normal 3 2 2 2 2 2 2 2 21 2 3 5" xfId="29099" xr:uid="{E050ADDD-F086-4125-B645-C3E26D898667}"/>
    <cellStyle name="Normal 3 2 2 2 2 2 2 2 21 2 3 6" xfId="29100" xr:uid="{D7E2F8E9-5CCE-4391-8DB0-91BE82FBB7FA}"/>
    <cellStyle name="Normal 3 2 2 2 2 2 2 2 21 2 4" xfId="29101" xr:uid="{BA50753D-52E4-4E92-937D-BCD036906745}"/>
    <cellStyle name="Normal 3 2 2 2 2 2 2 2 21 2 5" xfId="29102" xr:uid="{5D64E4DF-6EEC-412B-B241-E8B0667B649E}"/>
    <cellStyle name="Normal 3 2 2 2 2 2 2 2 21 2 6" xfId="29103" xr:uid="{07BA6790-ADDE-45FE-A21C-7746389C54B1}"/>
    <cellStyle name="Normal 3 2 2 2 2 2 2 2 21 2 7" xfId="29104" xr:uid="{5E792B6E-EA62-4BB7-88EC-9985A83F0EF1}"/>
    <cellStyle name="Normal 3 2 2 2 2 2 2 2 21 2 8" xfId="29105" xr:uid="{63D11BF6-EB67-4A22-B58A-477457500359}"/>
    <cellStyle name="Normal 3 2 2 2 2 2 2 2 21 2 8 2" xfId="29106" xr:uid="{0B428014-119D-40DE-9937-601133C628A6}"/>
    <cellStyle name="Normal 3 2 2 2 2 2 2 2 21 2 8 3" xfId="29107" xr:uid="{539D13AE-FEBE-4553-869A-701725398D52}"/>
    <cellStyle name="Normal 3 2 2 2 2 2 2 2 21 2 8 4" xfId="29108" xr:uid="{591EB22F-61F9-4197-9097-86BD48FF4F4D}"/>
    <cellStyle name="Normal 3 2 2 2 2 2 2 2 21 2 9" xfId="29109" xr:uid="{35419F32-BA6D-4DD9-954C-65B6171B3859}"/>
    <cellStyle name="Normal 3 2 2 2 2 2 2 2 21 3" xfId="29110" xr:uid="{46909B3B-B09F-4C1D-B774-30135A37FC14}"/>
    <cellStyle name="Normal 3 2 2 2 2 2 2 2 21 4" xfId="29111" xr:uid="{F8754979-65FB-4006-97F2-165D1E719D81}"/>
    <cellStyle name="Normal 3 2 2 2 2 2 2 2 21 5" xfId="29112" xr:uid="{67CB8793-5CBC-4379-B5D8-73E6CE0D4B4E}"/>
    <cellStyle name="Normal 3 2 2 2 2 2 2 2 21 5 2" xfId="29113" xr:uid="{2E93DB4E-370D-4721-878E-70F64D874E66}"/>
    <cellStyle name="Normal 3 2 2 2 2 2 2 2 21 5 2 2" xfId="29114" xr:uid="{952E6650-7E4C-4219-A55B-1B6F824E3508}"/>
    <cellStyle name="Normal 3 2 2 2 2 2 2 2 21 5 2 3" xfId="29115" xr:uid="{4F6527E2-2DAD-49D0-85E0-97B8577C7142}"/>
    <cellStyle name="Normal 3 2 2 2 2 2 2 2 21 5 2 4" xfId="29116" xr:uid="{55BECF6D-C63A-4B80-B56E-F7068CB143BB}"/>
    <cellStyle name="Normal 3 2 2 2 2 2 2 2 21 5 3" xfId="29117" xr:uid="{D73EBF41-6548-4A69-882B-17CABAAE7C03}"/>
    <cellStyle name="Normal 3 2 2 2 2 2 2 2 21 5 4" xfId="29118" xr:uid="{23AB9A38-D606-4444-A14C-244887C6D102}"/>
    <cellStyle name="Normal 3 2 2 2 2 2 2 2 21 5 5" xfId="29119" xr:uid="{30E8B2AF-12D6-43CD-B75F-72A339B0F346}"/>
    <cellStyle name="Normal 3 2 2 2 2 2 2 2 21 5 6" xfId="29120" xr:uid="{8987B5E3-2F67-4CBE-A3B9-AE9F4A8CE802}"/>
    <cellStyle name="Normal 3 2 2 2 2 2 2 2 21 6" xfId="29121" xr:uid="{65EDF089-201A-47C7-835A-929752DAC7E3}"/>
    <cellStyle name="Normal 3 2 2 2 2 2 2 2 21 7" xfId="29122" xr:uid="{10C9061D-5208-4085-9B8E-E64F6878FA8E}"/>
    <cellStyle name="Normal 3 2 2 2 2 2 2 2 21 8" xfId="29123" xr:uid="{524457F9-B9C7-4FF1-9487-41E1037BEC3D}"/>
    <cellStyle name="Normal 3 2 2 2 2 2 2 2 21 9" xfId="29124" xr:uid="{BC08C661-7DF8-4CD8-91D6-4F03B912B475}"/>
    <cellStyle name="Normal 3 2 2 2 2 2 2 2 22" xfId="29125" xr:uid="{7229E7EE-8465-4DE3-9E81-76BC42B87177}"/>
    <cellStyle name="Normal 3 2 2 2 2 2 2 2 23" xfId="29126" xr:uid="{0C48BEC3-2017-4D55-B7CA-ECDC8EE53B67}"/>
    <cellStyle name="Normal 3 2 2 2 2 2 2 2 23 10" xfId="29127" xr:uid="{4F76A6A9-DFA2-4C2E-9D6D-74391B12D920}"/>
    <cellStyle name="Normal 3 2 2 2 2 2 2 2 23 11" xfId="29128" xr:uid="{07370C22-9BCC-4E3B-B783-CF2915B2845F}"/>
    <cellStyle name="Normal 3 2 2 2 2 2 2 2 23 2" xfId="29129" xr:uid="{9EF3F8B8-D7D9-444A-83FC-8584385EAB20}"/>
    <cellStyle name="Normal 3 2 2 2 2 2 2 2 23 2 10" xfId="29130" xr:uid="{BA4E0F7C-C88E-4C05-943C-BC7D44268D02}"/>
    <cellStyle name="Normal 3 2 2 2 2 2 2 2 23 2 11" xfId="29131" xr:uid="{A7CA4F73-4A9B-4AF2-B287-0139F0003536}"/>
    <cellStyle name="Normal 3 2 2 2 2 2 2 2 23 2 2" xfId="29132" xr:uid="{E1868C2D-D957-4981-83F2-26DED2589156}"/>
    <cellStyle name="Normal 3 2 2 2 2 2 2 2 23 2 2 2" xfId="29133" xr:uid="{4CB37A4B-90CA-4F25-945F-FFE8A29AB40F}"/>
    <cellStyle name="Normal 3 2 2 2 2 2 2 2 23 2 2 2 2" xfId="29134" xr:uid="{99EA6852-AE29-4460-B443-B3A456F38325}"/>
    <cellStyle name="Normal 3 2 2 2 2 2 2 2 23 2 2 2 3" xfId="29135" xr:uid="{4000A703-AA0F-4E41-BBEF-4604B8DE3478}"/>
    <cellStyle name="Normal 3 2 2 2 2 2 2 2 23 2 2 2 4" xfId="29136" xr:uid="{AA0CEA29-BDBF-4F3A-9B44-F66E89E25003}"/>
    <cellStyle name="Normal 3 2 2 2 2 2 2 2 23 2 2 3" xfId="29137" xr:uid="{C5513C20-9C35-4C3E-BE2D-5166EC5493F3}"/>
    <cellStyle name="Normal 3 2 2 2 2 2 2 2 23 2 2 4" xfId="29138" xr:uid="{25604B77-3C4F-44FB-B938-68D894C45448}"/>
    <cellStyle name="Normal 3 2 2 2 2 2 2 2 23 2 2 5" xfId="29139" xr:uid="{F55CE496-A6A5-4A38-8C8A-5EBAF72297B0}"/>
    <cellStyle name="Normal 3 2 2 2 2 2 2 2 23 2 2 6" xfId="29140" xr:uid="{93A763B8-19E2-4D06-9474-76216F6DC3D1}"/>
    <cellStyle name="Normal 3 2 2 2 2 2 2 2 23 2 3" xfId="29141" xr:uid="{B039C988-892E-4853-9D4F-D750AA09D6F6}"/>
    <cellStyle name="Normal 3 2 2 2 2 2 2 2 23 2 4" xfId="29142" xr:uid="{6C25DA23-3FBA-49D6-B820-9FD81E29F3A4}"/>
    <cellStyle name="Normal 3 2 2 2 2 2 2 2 23 2 5" xfId="29143" xr:uid="{0BCABBE9-5EF5-43EC-BC26-E236D7C59B70}"/>
    <cellStyle name="Normal 3 2 2 2 2 2 2 2 23 2 6" xfId="29144" xr:uid="{D1185625-074E-49AA-8080-766D811897B6}"/>
    <cellStyle name="Normal 3 2 2 2 2 2 2 2 23 2 7" xfId="29145" xr:uid="{502D9011-E34B-4BCC-9FF8-9C1EE7E14005}"/>
    <cellStyle name="Normal 3 2 2 2 2 2 2 2 23 2 8" xfId="29146" xr:uid="{8C3FDFE5-294C-4F55-A2C5-C9408B4F92B8}"/>
    <cellStyle name="Normal 3 2 2 2 2 2 2 2 23 2 8 2" xfId="29147" xr:uid="{CC23EB24-0D60-461E-97B4-21E78F852A5D}"/>
    <cellStyle name="Normal 3 2 2 2 2 2 2 2 23 2 8 3" xfId="29148" xr:uid="{1FAD04BC-E19B-445A-928F-ABF19FE7D9AB}"/>
    <cellStyle name="Normal 3 2 2 2 2 2 2 2 23 2 8 4" xfId="29149" xr:uid="{25680C61-4F6C-4BF4-B9E4-680B387144C1}"/>
    <cellStyle name="Normal 3 2 2 2 2 2 2 2 23 2 9" xfId="29150" xr:uid="{33372FB2-E079-406A-A26E-D73E5BFE8909}"/>
    <cellStyle name="Normal 3 2 2 2 2 2 2 2 23 3" xfId="29151" xr:uid="{41FD0F08-FFB2-4D00-86CF-DC49F276F9FA}"/>
    <cellStyle name="Normal 3 2 2 2 2 2 2 2 23 3 2" xfId="29152" xr:uid="{02F31585-F69B-4F53-9ED3-ED70533FF4C3}"/>
    <cellStyle name="Normal 3 2 2 2 2 2 2 2 23 3 2 2" xfId="29153" xr:uid="{53829105-5ACF-44B5-8267-6C6692C50AD9}"/>
    <cellStyle name="Normal 3 2 2 2 2 2 2 2 23 3 2 3" xfId="29154" xr:uid="{5A5F9828-D1B8-4E65-A13F-742685A65BB6}"/>
    <cellStyle name="Normal 3 2 2 2 2 2 2 2 23 3 2 4" xfId="29155" xr:uid="{F6296160-EF13-442B-BAB8-9F3CB82D3313}"/>
    <cellStyle name="Normal 3 2 2 2 2 2 2 2 23 3 3" xfId="29156" xr:uid="{5AA8AA51-57A3-4357-8AEA-EBD45D5E2903}"/>
    <cellStyle name="Normal 3 2 2 2 2 2 2 2 23 3 4" xfId="29157" xr:uid="{24DFBA10-A0B8-458B-A521-0A0C2B132A9F}"/>
    <cellStyle name="Normal 3 2 2 2 2 2 2 2 23 3 5" xfId="29158" xr:uid="{C8535904-F27E-4C8B-BADA-5D5F87C0C1AC}"/>
    <cellStyle name="Normal 3 2 2 2 2 2 2 2 23 3 6" xfId="29159" xr:uid="{3022BDF5-D887-4815-ABF6-B7C1D0A9C3E5}"/>
    <cellStyle name="Normal 3 2 2 2 2 2 2 2 23 4" xfId="29160" xr:uid="{39D74ED1-8191-4EDA-B176-D619E3C2742F}"/>
    <cellStyle name="Normal 3 2 2 2 2 2 2 2 23 5" xfId="29161" xr:uid="{98DCEC76-0085-4151-A470-372E1629604F}"/>
    <cellStyle name="Normal 3 2 2 2 2 2 2 2 23 6" xfId="29162" xr:uid="{FB34B77A-4B66-4D3B-8E41-D81AAD567943}"/>
    <cellStyle name="Normal 3 2 2 2 2 2 2 2 23 7" xfId="29163" xr:uid="{15F64A1F-DFAE-44BB-AD72-6F3D093EC0A6}"/>
    <cellStyle name="Normal 3 2 2 2 2 2 2 2 23 8" xfId="29164" xr:uid="{E79F78BC-ACE0-4457-8658-0E6F4C4D925E}"/>
    <cellStyle name="Normal 3 2 2 2 2 2 2 2 23 8 2" xfId="29165" xr:uid="{E24E58EE-91A9-43B0-BF25-EC4917E41285}"/>
    <cellStyle name="Normal 3 2 2 2 2 2 2 2 23 8 3" xfId="29166" xr:uid="{552A3520-5628-445E-AE6E-6C98D82E1124}"/>
    <cellStyle name="Normal 3 2 2 2 2 2 2 2 23 8 4" xfId="29167" xr:uid="{9555C864-9194-4A12-BC64-E215D6E010A7}"/>
    <cellStyle name="Normal 3 2 2 2 2 2 2 2 23 9" xfId="29168" xr:uid="{D1714B20-A04A-4FA2-96C4-B6C500F1DE2E}"/>
    <cellStyle name="Normal 3 2 2 2 2 2 2 2 24" xfId="29169" xr:uid="{60A6FBA3-51DF-42AD-AFAF-E6957863CEE4}"/>
    <cellStyle name="Normal 3 2 2 2 2 2 2 2 25" xfId="29170" xr:uid="{FFFBF310-9BC7-4E43-AF18-BE23E5117871}"/>
    <cellStyle name="Normal 3 2 2 2 2 2 2 2 25 2" xfId="29171" xr:uid="{9B1F9631-469E-49EE-8009-E2C67311A20A}"/>
    <cellStyle name="Normal 3 2 2 2 2 2 2 2 25 2 2" xfId="29172" xr:uid="{C30206D6-3B65-4ACB-AD7F-D292AF3FCB15}"/>
    <cellStyle name="Normal 3 2 2 2 2 2 2 2 25 2 3" xfId="29173" xr:uid="{2940E631-C591-42FA-913D-D41C599EAF26}"/>
    <cellStyle name="Normal 3 2 2 2 2 2 2 2 25 2 4" xfId="29174" xr:uid="{F4868E41-97A4-4D5F-A557-BE847432775A}"/>
    <cellStyle name="Normal 3 2 2 2 2 2 2 2 25 3" xfId="29175" xr:uid="{279053D8-BF81-4B72-BFF7-C935C67D10C7}"/>
    <cellStyle name="Normal 3 2 2 2 2 2 2 2 25 4" xfId="29176" xr:uid="{B1E33590-4269-4DE3-8023-C609E4C9392E}"/>
    <cellStyle name="Normal 3 2 2 2 2 2 2 2 25 5" xfId="29177" xr:uid="{2F02EB50-533D-423C-8C52-0F279710397F}"/>
    <cellStyle name="Normal 3 2 2 2 2 2 2 2 25 6" xfId="29178" xr:uid="{9D3D4682-FB72-4B3A-8AF3-5188B025269A}"/>
    <cellStyle name="Normal 3 2 2 2 2 2 2 2 26" xfId="29179" xr:uid="{1A5789F4-BAFB-4321-9127-D8237D513C37}"/>
    <cellStyle name="Normal 3 2 2 2 2 2 2 2 27" xfId="29180" xr:uid="{62B15FBF-517C-4133-8D4D-5794D0D3D78C}"/>
    <cellStyle name="Normal 3 2 2 2 2 2 2 2 28" xfId="29181" xr:uid="{467A493F-E16B-4C12-A862-897E28AD014F}"/>
    <cellStyle name="Normal 3 2 2 2 2 2 2 2 29" xfId="29182" xr:uid="{47D0AFDD-1AA2-4F0D-B406-119D25C55286}"/>
    <cellStyle name="Normal 3 2 2 2 2 2 2 2 3" xfId="29183" xr:uid="{E38F1764-376A-42F4-A516-363A712A2CD6}"/>
    <cellStyle name="Normal 3 2 2 2 2 2 2 2 3 2" xfId="29184" xr:uid="{79DC2B96-E9D9-43F1-8D63-F6FA51D4C8FB}"/>
    <cellStyle name="Normal 3 2 2 2 2 2 2 2 3 3" xfId="29185" xr:uid="{8CE3DD03-69F8-4A2B-B5F7-460378B5E4A4}"/>
    <cellStyle name="Normal 3 2 2 2 2 2 2 2 3 4" xfId="29186" xr:uid="{370897D7-B806-4D14-B8AF-A809CA11426A}"/>
    <cellStyle name="Normal 3 2 2 2 2 2 2 2 3 5" xfId="29187" xr:uid="{57EDED43-2D08-4F85-910F-B392FA3A85B5}"/>
    <cellStyle name="Normal 3 2 2 2 2 2 2 2 3 6" xfId="29188" xr:uid="{D6347DD3-A08B-488D-B7DF-1C099A57375A}"/>
    <cellStyle name="Normal 3 2 2 2 2 2 2 2 30" xfId="29189" xr:uid="{ED006823-A817-4C8E-B737-F944BFF69143}"/>
    <cellStyle name="Normal 3 2 2 2 2 2 2 2 31" xfId="29190" xr:uid="{A97C478B-F257-4702-9BD0-B300A1CF3916}"/>
    <cellStyle name="Normal 3 2 2 2 2 2 2 2 31 2" xfId="29191" xr:uid="{F5BFF944-0F96-4E78-B752-A3430C715C1D}"/>
    <cellStyle name="Normal 3 2 2 2 2 2 2 2 31 3" xfId="29192" xr:uid="{EDB728C0-B315-4E61-9945-ACB616C92284}"/>
    <cellStyle name="Normal 3 2 2 2 2 2 2 2 31 4" xfId="29193" xr:uid="{8904E7B8-AD91-48E8-B628-F85772C03865}"/>
    <cellStyle name="Normal 3 2 2 2 2 2 2 2 32" xfId="29194" xr:uid="{346E86B9-8388-47DC-8343-09DE384C92E1}"/>
    <cellStyle name="Normal 3 2 2 2 2 2 2 2 33" xfId="29195" xr:uid="{206A2DBF-5961-434E-8046-1D93F92EA04F}"/>
    <cellStyle name="Normal 3 2 2 2 2 2 2 2 34" xfId="29196" xr:uid="{7EDC7BC9-A3F9-4BD9-A036-47EEF84E6A23}"/>
    <cellStyle name="Normal 3 2 2 2 2 2 2 2 35" xfId="29197" xr:uid="{AE326C4D-B948-4518-BF7A-6C47DFD9A9CD}"/>
    <cellStyle name="Normal 3 2 2 2 2 2 2 2 36" xfId="29198" xr:uid="{51270095-F19E-4EA2-B799-9ECB30E565C3}"/>
    <cellStyle name="Normal 3 2 2 2 2 2 2 2 37" xfId="29199" xr:uid="{CACB4B22-BC0A-4058-97A3-25E89C6127E7}"/>
    <cellStyle name="Normal 3 2 2 2 2 2 2 2 38" xfId="29200" xr:uid="{1A38E213-2FAF-4C26-8F77-F4D23006D33E}"/>
    <cellStyle name="Normal 3 2 2 2 2 2 2 2 39" xfId="29201" xr:uid="{B17ACC8D-9DEB-43FD-8E26-FC10872B7228}"/>
    <cellStyle name="Normal 3 2 2 2 2 2 2 2 4" xfId="29202" xr:uid="{7ECB9CD4-E01D-4F45-99A0-F4D4F259A9CA}"/>
    <cellStyle name="Normal 3 2 2 2 2 2 2 2 4 2" xfId="29203" xr:uid="{199A940D-3EA1-4C17-8144-ADFFBCC06575}"/>
    <cellStyle name="Normal 3 2 2 2 2 2 2 2 4 3" xfId="29204" xr:uid="{37695A60-74D7-45DF-A947-3A4E8BED3B6B}"/>
    <cellStyle name="Normal 3 2 2 2 2 2 2 2 4 4" xfId="29205" xr:uid="{6CE8FB5D-EEBA-4A65-9770-662102FF14DC}"/>
    <cellStyle name="Normal 3 2 2 2 2 2 2 2 4 5" xfId="29206" xr:uid="{4F1C2973-A8D4-4C21-BACC-B1BB472A4B72}"/>
    <cellStyle name="Normal 3 2 2 2 2 2 2 2 4 6" xfId="29207" xr:uid="{21EDBB8F-4BD2-4E28-B6D2-A1DE7F479A52}"/>
    <cellStyle name="Normal 3 2 2 2 2 2 2 2 40" xfId="29208" xr:uid="{26712839-C7EB-4D30-81EF-220CD14F412D}"/>
    <cellStyle name="Normal 3 2 2 2 2 2 2 2 41" xfId="29209" xr:uid="{141C934A-6D86-4A1C-B308-93FA5FC82990}"/>
    <cellStyle name="Normal 3 2 2 2 2 2 2 2 42" xfId="29210" xr:uid="{BB205D98-CB52-4CD0-9337-BD83611A1142}"/>
    <cellStyle name="Normal 3 2 2 2 2 2 2 2 43" xfId="29211" xr:uid="{C39EF6EA-4635-4D1D-A6F2-F577FD0FB2CF}"/>
    <cellStyle name="Normal 3 2 2 2 2 2 2 2 44" xfId="29212" xr:uid="{AA597192-B0A9-4B77-BDE2-B8484D0CF9FD}"/>
    <cellStyle name="Normal 3 2 2 2 2 2 2 2 45" xfId="29213" xr:uid="{6CC930C7-69BD-4C16-A0BC-EBBB47973EB1}"/>
    <cellStyle name="Normal 3 2 2 2 2 2 2 2 46" xfId="29214" xr:uid="{59F04BC4-5BF2-46E7-8A09-15E54A27C1C7}"/>
    <cellStyle name="Normal 3 2 2 2 2 2 2 2 46 2" xfId="29215" xr:uid="{97AF27AE-ECD0-4F6E-92A0-41606EFBC6CE}"/>
    <cellStyle name="Normal 3 2 2 2 2 2 2 2 46 3" xfId="29216" xr:uid="{11F6E11D-CC59-4A15-A58E-428FAAB12485}"/>
    <cellStyle name="Normal 3 2 2 2 2 2 2 2 46 4" xfId="29217" xr:uid="{9A0AC4CD-9FCF-461C-A769-E97DFE25A705}"/>
    <cellStyle name="Normal 3 2 2 2 2 2 2 2 46 5" xfId="29218" xr:uid="{E312F082-5DDE-4E9D-AE0A-9816FCC1CC1E}"/>
    <cellStyle name="Normal 3 2 2 2 2 2 2 2 46 6" xfId="29219" xr:uid="{265E1207-1D65-4099-95D2-1F00B30848EA}"/>
    <cellStyle name="Normal 3 2 2 2 2 2 2 2 46 7" xfId="29220" xr:uid="{7D9E9D63-9BEA-494A-B0F6-D08C8384488C}"/>
    <cellStyle name="Normal 3 2 2 2 2 2 2 2 47" xfId="29221" xr:uid="{A0C207C5-DFC8-41DE-830F-F18AA04FC158}"/>
    <cellStyle name="Normal 3 2 2 2 2 2 2 2 48" xfId="29222" xr:uid="{AE0E6931-F13E-486F-8B4B-52A804C32EAF}"/>
    <cellStyle name="Normal 3 2 2 2 2 2 2 2 49" xfId="29223" xr:uid="{BD601EF4-A3DB-4E37-BB50-E6AC5EBEBC44}"/>
    <cellStyle name="Normal 3 2 2 2 2 2 2 2 5" xfId="29224" xr:uid="{F4CE2D15-02CB-4799-B330-F3CDBF8732E5}"/>
    <cellStyle name="Normal 3 2 2 2 2 2 2 2 5 2" xfId="29225" xr:uid="{A558EC8E-736E-42E1-8411-7249540870BF}"/>
    <cellStyle name="Normal 3 2 2 2 2 2 2 2 5 3" xfId="29226" xr:uid="{A626F7D1-DEF8-4AC1-8BEA-4AA5C5DA47EB}"/>
    <cellStyle name="Normal 3 2 2 2 2 2 2 2 5 4" xfId="29227" xr:uid="{85EC078E-82ED-48C4-930A-0FD540328EDC}"/>
    <cellStyle name="Normal 3 2 2 2 2 2 2 2 5 5" xfId="29228" xr:uid="{B02C3A51-119C-4432-BF71-BF931F1F2CF1}"/>
    <cellStyle name="Normal 3 2 2 2 2 2 2 2 5 6" xfId="29229" xr:uid="{DE95FADB-79BB-4A2F-8FC5-6AD9D3EC40D9}"/>
    <cellStyle name="Normal 3 2 2 2 2 2 2 2 50" xfId="29230" xr:uid="{B1C88133-C6AA-48C5-A5B3-934804365D6C}"/>
    <cellStyle name="Normal 3 2 2 2 2 2 2 2 51" xfId="29231" xr:uid="{84F00C2B-CABE-47A8-82FE-A1B40F9C7EF0}"/>
    <cellStyle name="Normal 3 2 2 2 2 2 2 2 52" xfId="29232" xr:uid="{DFB7E973-648D-4FB7-9EE7-96FACBE8A8C8}"/>
    <cellStyle name="Normal 3 2 2 2 2 2 2 2 53" xfId="29233" xr:uid="{0192F150-5760-4651-B183-D4A47D2F94A3}"/>
    <cellStyle name="Normal 3 2 2 2 2 2 2 2 54" xfId="29234" xr:uid="{A36B8ABB-FCD1-45CE-9D69-039E8172CC89}"/>
    <cellStyle name="Normal 3 2 2 2 2 2 2 2 55" xfId="29235" xr:uid="{D8885ADD-3B77-4146-A75A-70F8AC151817}"/>
    <cellStyle name="Normal 3 2 2 2 2 2 2 2 56" xfId="29236" xr:uid="{4012A12B-3AE0-4BE4-9837-3AFF6D6863A8}"/>
    <cellStyle name="Normal 3 2 2 2 2 2 2 2 57" xfId="29237" xr:uid="{41D1A396-6831-49D8-926D-6195200F4ED3}"/>
    <cellStyle name="Normal 3 2 2 2 2 2 2 2 58" xfId="29238" xr:uid="{55DB30DE-0DE3-4685-B185-5BE9B90DE04E}"/>
    <cellStyle name="Normal 3 2 2 2 2 2 2 2 59" xfId="29239" xr:uid="{B0838628-2811-4876-BC48-FC041C753A38}"/>
    <cellStyle name="Normal 3 2 2 2 2 2 2 2 6" xfId="29240" xr:uid="{2C0A95D6-AD0A-479B-8DBD-034330D1422F}"/>
    <cellStyle name="Normal 3 2 2 2 2 2 2 2 6 2" xfId="29241" xr:uid="{7E7283C0-B70F-44EE-84E7-0B46085EB48C}"/>
    <cellStyle name="Normal 3 2 2 2 2 2 2 2 6 3" xfId="29242" xr:uid="{D9F16ABF-64AD-49D7-B1F1-0520D5272573}"/>
    <cellStyle name="Normal 3 2 2 2 2 2 2 2 6 4" xfId="29243" xr:uid="{9F19777E-8744-4E0E-9BD4-7656F3CBAC0D}"/>
    <cellStyle name="Normal 3 2 2 2 2 2 2 2 6 5" xfId="29244" xr:uid="{81B0773C-0770-40B3-A634-8DB0BD87125B}"/>
    <cellStyle name="Normal 3 2 2 2 2 2 2 2 6 6" xfId="29245" xr:uid="{EF7F66AD-22A9-4098-BA1E-C20B096E2CA0}"/>
    <cellStyle name="Normal 3 2 2 2 2 2 2 2 60" xfId="29246" xr:uid="{6719ACCE-EE63-4F47-A003-DA8F839B0C99}"/>
    <cellStyle name="Normal 3 2 2 2 2 2 2 2 61" xfId="29247" xr:uid="{D2DBEF9E-C7BD-4929-8AD4-51C7ABD8521F}"/>
    <cellStyle name="Normal 3 2 2 2 2 2 2 2 62" xfId="29248" xr:uid="{B452957D-B61D-4ACA-9535-F65965207E2D}"/>
    <cellStyle name="Normal 3 2 2 2 2 2 2 2 63" xfId="29249" xr:uid="{C5CD3D24-BF81-486B-AE67-60F6CC2A55FE}"/>
    <cellStyle name="Normal 3 2 2 2 2 2 2 2 64" xfId="29250" xr:uid="{701C6330-0345-4359-9EBD-50F5D2BA4077}"/>
    <cellStyle name="Normal 3 2 2 2 2 2 2 2 65" xfId="29251" xr:uid="{58B1919E-CB52-4777-A2E9-1F22707A182C}"/>
    <cellStyle name="Normal 3 2 2 2 2 2 2 2 66" xfId="29252" xr:uid="{B66BB43C-348E-4601-BBF2-2E37822ACC93}"/>
    <cellStyle name="Normal 3 2 2 2 2 2 2 2 67" xfId="29253" xr:uid="{89E49FE1-61C7-409E-86CF-2E973E8C0E18}"/>
    <cellStyle name="Normal 3 2 2 2 2 2 2 2 68" xfId="29254" xr:uid="{7E62DA55-0D5C-4017-9105-7A75AC5D22C8}"/>
    <cellStyle name="Normal 3 2 2 2 2 2 2 2 69" xfId="29255" xr:uid="{7470B77B-7516-4FBE-8802-53FE178C3DCB}"/>
    <cellStyle name="Normal 3 2 2 2 2 2 2 2 7" xfId="29256" xr:uid="{B894B4AA-D04B-4039-A0BE-67458ABEC17A}"/>
    <cellStyle name="Normal 3 2 2 2 2 2 2 2 70" xfId="29257" xr:uid="{67D2682F-3610-4345-B7DE-B54D9E9E375E}"/>
    <cellStyle name="Normal 3 2 2 2 2 2 2 2 71" xfId="29258" xr:uid="{0025739C-CC4B-4B56-A00F-6E87E063CC76}"/>
    <cellStyle name="Normal 3 2 2 2 2 2 2 2 72" xfId="29259" xr:uid="{247ABB54-7E52-4265-9FDF-912101870557}"/>
    <cellStyle name="Normal 3 2 2 2 2 2 2 2 73" xfId="29260" xr:uid="{618EA661-E54C-49B1-9E17-FEFF32B76585}"/>
    <cellStyle name="Normal 3 2 2 2 2 2 2 2 74" xfId="29261" xr:uid="{7048FADB-9A5C-4643-801D-7F68F607BCC1}"/>
    <cellStyle name="Normal 3 2 2 2 2 2 2 2 75" xfId="29262" xr:uid="{DEA66689-45A3-4AB8-8306-7BE6658B68CE}"/>
    <cellStyle name="Normal 3 2 2 2 2 2 2 2 76" xfId="29263" xr:uid="{2D0D474E-C1E5-44A6-BA57-C5C8E11E6E5D}"/>
    <cellStyle name="Normal 3 2 2 2 2 2 2 2 77" xfId="29264" xr:uid="{FF8C6144-9776-478E-A6A8-F3DA400DAFA2}"/>
    <cellStyle name="Normal 3 2 2 2 2 2 2 2 78" xfId="29265" xr:uid="{60BDE431-0DBF-46E9-89F5-4DEF852573E2}"/>
    <cellStyle name="Normal 3 2 2 2 2 2 2 2 78 2" xfId="29266" xr:uid="{01A5F82A-2119-4051-B78A-70679632B2C7}"/>
    <cellStyle name="Normal 3 2 2 2 2 2 2 2 78 3" xfId="29267" xr:uid="{704C2E50-F934-4C97-A1A3-4DA83DC71F2C}"/>
    <cellStyle name="Normal 3 2 2 2 2 2 2 2 78 4" xfId="29268" xr:uid="{D2A00A3F-CA4B-425B-B4DB-31CEDBE37D89}"/>
    <cellStyle name="Normal 3 2 2 2 2 2 2 2 79" xfId="29269" xr:uid="{021BB729-6831-4EB3-AF02-88C32A66525F}"/>
    <cellStyle name="Normal 3 2 2 2 2 2 2 2 8" xfId="29270" xr:uid="{E345F1EC-7E0F-4A61-B970-F89F05E99410}"/>
    <cellStyle name="Normal 3 2 2 2 2 2 2 2 80" xfId="29271" xr:uid="{0DE25748-48BA-40DB-AE76-6495CB4203EF}"/>
    <cellStyle name="Normal 3 2 2 2 2 2 2 2 9" xfId="29272" xr:uid="{BA22456B-A515-4027-BC5E-EC465876947D}"/>
    <cellStyle name="Normal 3 2 2 2 2 2 2 20" xfId="29273" xr:uid="{A286AB74-802A-4052-B802-020E3EE44B93}"/>
    <cellStyle name="Normal 3 2 2 2 2 2 2 21" xfId="29274" xr:uid="{0805D2C0-E721-45A0-85FE-8A183A03F13E}"/>
    <cellStyle name="Normal 3 2 2 2 2 2 2 22" xfId="29275" xr:uid="{2EC20E80-DF3A-4FE2-BFA2-0068FA1CFE7E}"/>
    <cellStyle name="Normal 3 2 2 2 2 2 2 22 10" xfId="29276" xr:uid="{97C56942-DEEF-42D3-88F1-CA7006EB861F}"/>
    <cellStyle name="Normal 3 2 2 2 2 2 2 22 11" xfId="29277" xr:uid="{A10AE02C-0244-463A-A2E0-0C4388CA9DB7}"/>
    <cellStyle name="Normal 3 2 2 2 2 2 2 22 11 2" xfId="29278" xr:uid="{A290F116-77DC-456B-83A2-A2509929C958}"/>
    <cellStyle name="Normal 3 2 2 2 2 2 2 22 11 3" xfId="29279" xr:uid="{372CC83F-A128-446A-AD86-FBC315CB7788}"/>
    <cellStyle name="Normal 3 2 2 2 2 2 2 22 11 4" xfId="29280" xr:uid="{BF601D66-58D1-43FE-8BD7-2B5003593761}"/>
    <cellStyle name="Normal 3 2 2 2 2 2 2 22 12" xfId="29281" xr:uid="{A314A9DF-1341-447F-AECA-8E00A31177FF}"/>
    <cellStyle name="Normal 3 2 2 2 2 2 2 22 13" xfId="29282" xr:uid="{52C60D8E-A57B-49AE-A716-6D9E771BE083}"/>
    <cellStyle name="Normal 3 2 2 2 2 2 2 22 14" xfId="29283" xr:uid="{48986C65-5A81-402B-84DE-CF78BBE067E5}"/>
    <cellStyle name="Normal 3 2 2 2 2 2 2 22 2" xfId="29284" xr:uid="{4277F42A-42FA-4269-9A2A-0711DC7EFEF8}"/>
    <cellStyle name="Normal 3 2 2 2 2 2 2 22 2 10" xfId="29285" xr:uid="{98AE8B32-0F6E-4B6E-B775-21E717FD6FE6}"/>
    <cellStyle name="Normal 3 2 2 2 2 2 2 22 2 11" xfId="29286" xr:uid="{75A83F9C-D7B3-4391-ABEB-18375C9C2A54}"/>
    <cellStyle name="Normal 3 2 2 2 2 2 2 22 2 2" xfId="29287" xr:uid="{EB396598-1EE4-4C6C-BF57-4F631F1D4577}"/>
    <cellStyle name="Normal 3 2 2 2 2 2 2 22 2 2 10" xfId="29288" xr:uid="{8326516F-1FC9-4DDA-B8A7-FAA1E2DBD41B}"/>
    <cellStyle name="Normal 3 2 2 2 2 2 2 22 2 2 11" xfId="29289" xr:uid="{B6AD2AB3-C870-422B-9063-08B9D8991B36}"/>
    <cellStyle name="Normal 3 2 2 2 2 2 2 22 2 2 2" xfId="29290" xr:uid="{E0E2C65F-F982-46AA-8EFF-0D92A36EE56B}"/>
    <cellStyle name="Normal 3 2 2 2 2 2 2 22 2 2 2 2" xfId="29291" xr:uid="{38228C9E-41A9-4F0D-9451-ADEF8FFFE213}"/>
    <cellStyle name="Normal 3 2 2 2 2 2 2 22 2 2 2 2 2" xfId="29292" xr:uid="{3E305697-D09F-4B11-8043-188D75B4F30C}"/>
    <cellStyle name="Normal 3 2 2 2 2 2 2 22 2 2 2 2 3" xfId="29293" xr:uid="{7B722818-BECF-4B1C-99FA-AAF86BA1B94E}"/>
    <cellStyle name="Normal 3 2 2 2 2 2 2 22 2 2 2 2 4" xfId="29294" xr:uid="{B1EB9958-A56D-4A17-A0B4-50C592CB28AE}"/>
    <cellStyle name="Normal 3 2 2 2 2 2 2 22 2 2 2 3" xfId="29295" xr:uid="{907ABC15-68E3-489F-A5E7-A4571704255C}"/>
    <cellStyle name="Normal 3 2 2 2 2 2 2 22 2 2 2 4" xfId="29296" xr:uid="{025A603F-6D43-43B8-ABB8-54102D1DE233}"/>
    <cellStyle name="Normal 3 2 2 2 2 2 2 22 2 2 2 5" xfId="29297" xr:uid="{DC377D6A-FC05-49EA-98D4-A6F9A60ED6EB}"/>
    <cellStyle name="Normal 3 2 2 2 2 2 2 22 2 2 2 6" xfId="29298" xr:uid="{B9AEEF77-2353-4E05-8EE1-21BD27909E28}"/>
    <cellStyle name="Normal 3 2 2 2 2 2 2 22 2 2 3" xfId="29299" xr:uid="{B25B8B47-D4D9-48DB-A05E-6127BCA8EE1A}"/>
    <cellStyle name="Normal 3 2 2 2 2 2 2 22 2 2 4" xfId="29300" xr:uid="{AFA0FCD5-93C3-4871-8EE5-7F2F318CEDE2}"/>
    <cellStyle name="Normal 3 2 2 2 2 2 2 22 2 2 5" xfId="29301" xr:uid="{FF66EA20-FC1C-48F9-B9F7-0699ABD4981B}"/>
    <cellStyle name="Normal 3 2 2 2 2 2 2 22 2 2 6" xfId="29302" xr:uid="{2F11017F-70C3-4021-8602-FD7DC2300A40}"/>
    <cellStyle name="Normal 3 2 2 2 2 2 2 22 2 2 7" xfId="29303" xr:uid="{58627A46-5EC7-4E08-AFFC-7E1454CA7380}"/>
    <cellStyle name="Normal 3 2 2 2 2 2 2 22 2 2 8" xfId="29304" xr:uid="{1F5F0EF6-4D34-43F2-A4EF-5C196A888746}"/>
    <cellStyle name="Normal 3 2 2 2 2 2 2 22 2 2 8 2" xfId="29305" xr:uid="{0EA3A21A-56D5-4D90-8D24-3F42F32F9BCB}"/>
    <cellStyle name="Normal 3 2 2 2 2 2 2 22 2 2 8 3" xfId="29306" xr:uid="{88933661-8F1C-4C00-AF2E-AEDDEC997878}"/>
    <cellStyle name="Normal 3 2 2 2 2 2 2 22 2 2 8 4" xfId="29307" xr:uid="{AF42A2A5-13A5-4252-B8E3-E222A5004FEC}"/>
    <cellStyle name="Normal 3 2 2 2 2 2 2 22 2 2 9" xfId="29308" xr:uid="{D327DEB9-7BD5-45A8-897C-E0AE99C9CF1A}"/>
    <cellStyle name="Normal 3 2 2 2 2 2 2 22 2 3" xfId="29309" xr:uid="{C5B0786E-3F80-4BB0-B7C6-7774EE0C6C99}"/>
    <cellStyle name="Normal 3 2 2 2 2 2 2 22 2 3 2" xfId="29310" xr:uid="{786D8825-D9C9-4D42-9321-C3DC324715B7}"/>
    <cellStyle name="Normal 3 2 2 2 2 2 2 22 2 3 2 2" xfId="29311" xr:uid="{E59EA840-8778-4982-8B32-523EE270A2D1}"/>
    <cellStyle name="Normal 3 2 2 2 2 2 2 22 2 3 2 3" xfId="29312" xr:uid="{0DA65B91-3576-4C67-BEDB-19318B7DC426}"/>
    <cellStyle name="Normal 3 2 2 2 2 2 2 22 2 3 2 4" xfId="29313" xr:uid="{BC9A4CF4-9F14-4F7F-985C-2CBABDD5022E}"/>
    <cellStyle name="Normal 3 2 2 2 2 2 2 22 2 3 3" xfId="29314" xr:uid="{B460F896-70A4-4FB6-A889-840006E05FBD}"/>
    <cellStyle name="Normal 3 2 2 2 2 2 2 22 2 3 4" xfId="29315" xr:uid="{BA71B8AC-2689-4C47-A703-038836738836}"/>
    <cellStyle name="Normal 3 2 2 2 2 2 2 22 2 3 5" xfId="29316" xr:uid="{EEC7AA1E-466A-4507-A656-35874F126BFB}"/>
    <cellStyle name="Normal 3 2 2 2 2 2 2 22 2 3 6" xfId="29317" xr:uid="{3792B331-1DA2-46B2-83EB-93E9D207C995}"/>
    <cellStyle name="Normal 3 2 2 2 2 2 2 22 2 4" xfId="29318" xr:uid="{3781A043-35C0-418F-8164-CFEFAAC3EF9D}"/>
    <cellStyle name="Normal 3 2 2 2 2 2 2 22 2 5" xfId="29319" xr:uid="{EAA0E660-1D9E-47FB-BB04-E275B3663368}"/>
    <cellStyle name="Normal 3 2 2 2 2 2 2 22 2 6" xfId="29320" xr:uid="{1383B8DA-356E-4163-9903-546552F1482C}"/>
    <cellStyle name="Normal 3 2 2 2 2 2 2 22 2 7" xfId="29321" xr:uid="{440E8021-3AB7-462E-95B0-1D9D62E6A45E}"/>
    <cellStyle name="Normal 3 2 2 2 2 2 2 22 2 8" xfId="29322" xr:uid="{6E7D60D2-C4D6-4B6D-9FFF-4038C097DE09}"/>
    <cellStyle name="Normal 3 2 2 2 2 2 2 22 2 8 2" xfId="29323" xr:uid="{D11BBA58-AFD5-40B0-9189-68809F6D3E91}"/>
    <cellStyle name="Normal 3 2 2 2 2 2 2 22 2 8 3" xfId="29324" xr:uid="{7CCF775C-3C27-43C8-BEB1-BBB4867E7D4A}"/>
    <cellStyle name="Normal 3 2 2 2 2 2 2 22 2 8 4" xfId="29325" xr:uid="{1207C847-6F2A-4E75-AFBE-C7BE81462C56}"/>
    <cellStyle name="Normal 3 2 2 2 2 2 2 22 2 9" xfId="29326" xr:uid="{1B21502B-4BF7-4ACF-94A4-0A9E2A6779B2}"/>
    <cellStyle name="Normal 3 2 2 2 2 2 2 22 3" xfId="29327" xr:uid="{C3D0846D-3AA5-4F0A-9DD5-94BB486C768B}"/>
    <cellStyle name="Normal 3 2 2 2 2 2 2 22 4" xfId="29328" xr:uid="{4F943CF6-C89F-4391-99A6-CA7CFAC3C54B}"/>
    <cellStyle name="Normal 3 2 2 2 2 2 2 22 5" xfId="29329" xr:uid="{6FCAA064-B1ED-489B-A93D-2B8B2F94A8ED}"/>
    <cellStyle name="Normal 3 2 2 2 2 2 2 22 5 2" xfId="29330" xr:uid="{6D38B164-FEC2-4CD8-94D4-2226206DC103}"/>
    <cellStyle name="Normal 3 2 2 2 2 2 2 22 5 2 2" xfId="29331" xr:uid="{7908C98F-AF8C-40B6-A75B-9FDC20E04504}"/>
    <cellStyle name="Normal 3 2 2 2 2 2 2 22 5 2 3" xfId="29332" xr:uid="{FC591E20-5BA1-419B-8EB1-81CC3100E4FE}"/>
    <cellStyle name="Normal 3 2 2 2 2 2 2 22 5 2 4" xfId="29333" xr:uid="{423641D3-E02A-440F-8F62-48F72925E926}"/>
    <cellStyle name="Normal 3 2 2 2 2 2 2 22 5 3" xfId="29334" xr:uid="{F56FF3E3-7B2E-445F-9403-72256606CBAB}"/>
    <cellStyle name="Normal 3 2 2 2 2 2 2 22 5 4" xfId="29335" xr:uid="{EBAE8351-A9F5-412C-A609-1D28BC0CB59A}"/>
    <cellStyle name="Normal 3 2 2 2 2 2 2 22 5 5" xfId="29336" xr:uid="{6CC6BD50-FF1D-4509-BE85-2F28189C45EB}"/>
    <cellStyle name="Normal 3 2 2 2 2 2 2 22 5 6" xfId="29337" xr:uid="{3AED1133-EFDA-4E7B-9248-C53900ED6837}"/>
    <cellStyle name="Normal 3 2 2 2 2 2 2 22 6" xfId="29338" xr:uid="{181C7078-5B3B-423D-AE7F-FE073DF693F9}"/>
    <cellStyle name="Normal 3 2 2 2 2 2 2 22 7" xfId="29339" xr:uid="{DD53CD0F-A676-4A57-9AF4-6B2EE000B92B}"/>
    <cellStyle name="Normal 3 2 2 2 2 2 2 22 8" xfId="29340" xr:uid="{F3237A56-70DA-4B78-93F7-F2A2487437BF}"/>
    <cellStyle name="Normal 3 2 2 2 2 2 2 22 9" xfId="29341" xr:uid="{15558652-D558-46E2-9722-D94E604DF3F7}"/>
    <cellStyle name="Normal 3 2 2 2 2 2 2 23" xfId="29342" xr:uid="{FFFC799E-6929-4360-9310-F8B0B9AEDB47}"/>
    <cellStyle name="Normal 3 2 2 2 2 2 2 24" xfId="29343" xr:uid="{699ED091-DAEA-4C03-9A2E-FECC8BF65E21}"/>
    <cellStyle name="Normal 3 2 2 2 2 2 2 24 10" xfId="29344" xr:uid="{47BE82AE-CE39-4A9D-89AD-AEFE90BE12E1}"/>
    <cellStyle name="Normal 3 2 2 2 2 2 2 24 11" xfId="29345" xr:uid="{4DD74272-122F-4FFC-8BD0-98417DC55F13}"/>
    <cellStyle name="Normal 3 2 2 2 2 2 2 24 2" xfId="29346" xr:uid="{78D9E439-A8BF-486E-9403-9A018C0804FF}"/>
    <cellStyle name="Normal 3 2 2 2 2 2 2 24 2 10" xfId="29347" xr:uid="{6D3B7331-0062-45C3-9E52-491935F3B8DB}"/>
    <cellStyle name="Normal 3 2 2 2 2 2 2 24 2 11" xfId="29348" xr:uid="{D9EEBA92-5214-46DD-BF8F-6A936A0B47D7}"/>
    <cellStyle name="Normal 3 2 2 2 2 2 2 24 2 2" xfId="29349" xr:uid="{43D23419-0F6F-4A84-BA7E-8851A6629EFB}"/>
    <cellStyle name="Normal 3 2 2 2 2 2 2 24 2 2 2" xfId="29350" xr:uid="{46FF8283-6AF8-463D-BA6F-7FF8377E8D83}"/>
    <cellStyle name="Normal 3 2 2 2 2 2 2 24 2 2 2 2" xfId="29351" xr:uid="{1D1E74E9-B786-40FC-9FCD-39A472854435}"/>
    <cellStyle name="Normal 3 2 2 2 2 2 2 24 2 2 2 3" xfId="29352" xr:uid="{193C601D-88D4-45B8-B5B5-0EBCE9B90FB3}"/>
    <cellStyle name="Normal 3 2 2 2 2 2 2 24 2 2 2 4" xfId="29353" xr:uid="{4D3B6D18-EAC3-4849-B960-2343185917F8}"/>
    <cellStyle name="Normal 3 2 2 2 2 2 2 24 2 2 3" xfId="29354" xr:uid="{50D0FC3D-0553-4D83-8D55-8C3806EDEE96}"/>
    <cellStyle name="Normal 3 2 2 2 2 2 2 24 2 2 4" xfId="29355" xr:uid="{D451D25C-9AC1-484E-87DA-3C2726544184}"/>
    <cellStyle name="Normal 3 2 2 2 2 2 2 24 2 2 5" xfId="29356" xr:uid="{82D915ED-FFCE-4A10-982C-287E6CA751AC}"/>
    <cellStyle name="Normal 3 2 2 2 2 2 2 24 2 2 6" xfId="29357" xr:uid="{D518395D-E729-46C8-8320-82D76BE49D67}"/>
    <cellStyle name="Normal 3 2 2 2 2 2 2 24 2 3" xfId="29358" xr:uid="{2F8A8BB6-8CAE-4ACC-8845-FA170FC01C7C}"/>
    <cellStyle name="Normal 3 2 2 2 2 2 2 24 2 4" xfId="29359" xr:uid="{A60C7BCC-728F-497C-8C35-B6CBD41417A0}"/>
    <cellStyle name="Normal 3 2 2 2 2 2 2 24 2 5" xfId="29360" xr:uid="{CC983AD7-25A1-4285-86DB-7926D7F173A3}"/>
    <cellStyle name="Normal 3 2 2 2 2 2 2 24 2 6" xfId="29361" xr:uid="{15070BB4-CFF8-44D2-BDE6-2B6A477EFA4E}"/>
    <cellStyle name="Normal 3 2 2 2 2 2 2 24 2 7" xfId="29362" xr:uid="{BFF15F1C-D8E4-4DEA-B5DA-EE7AED12FDAF}"/>
    <cellStyle name="Normal 3 2 2 2 2 2 2 24 2 8" xfId="29363" xr:uid="{513280ED-A906-4676-AC21-3562C41A6F1E}"/>
    <cellStyle name="Normal 3 2 2 2 2 2 2 24 2 8 2" xfId="29364" xr:uid="{68EF72BE-1562-43E7-A2D1-BF0C667371CB}"/>
    <cellStyle name="Normal 3 2 2 2 2 2 2 24 2 8 3" xfId="29365" xr:uid="{BEC0E656-4EF0-49D6-ABC3-1EBC8B00348B}"/>
    <cellStyle name="Normal 3 2 2 2 2 2 2 24 2 8 4" xfId="29366" xr:uid="{5B6E827D-CA21-4E8D-A4A5-CBF543E534B4}"/>
    <cellStyle name="Normal 3 2 2 2 2 2 2 24 2 9" xfId="29367" xr:uid="{81A4760F-966E-4282-A7AD-48E8CE3E469D}"/>
    <cellStyle name="Normal 3 2 2 2 2 2 2 24 3" xfId="29368" xr:uid="{7FDC1969-DED4-4597-9683-38C885B25196}"/>
    <cellStyle name="Normal 3 2 2 2 2 2 2 24 3 2" xfId="29369" xr:uid="{2425EC9B-4D78-4C56-AF75-D939F95B0835}"/>
    <cellStyle name="Normal 3 2 2 2 2 2 2 24 3 2 2" xfId="29370" xr:uid="{25293B35-AFCE-47F2-9490-7EAB1A57BBF8}"/>
    <cellStyle name="Normal 3 2 2 2 2 2 2 24 3 2 3" xfId="29371" xr:uid="{9C95B4E9-1457-40AC-94C3-5F68E8CEDE96}"/>
    <cellStyle name="Normal 3 2 2 2 2 2 2 24 3 2 4" xfId="29372" xr:uid="{2169EBF6-A2FD-45B6-9407-4A65C089B87C}"/>
    <cellStyle name="Normal 3 2 2 2 2 2 2 24 3 3" xfId="29373" xr:uid="{F2EABEDD-F75A-4CE7-9F4A-AD8AEC7331DF}"/>
    <cellStyle name="Normal 3 2 2 2 2 2 2 24 3 4" xfId="29374" xr:uid="{0DBB2569-BD0D-4573-8D28-649CC5685D22}"/>
    <cellStyle name="Normal 3 2 2 2 2 2 2 24 3 5" xfId="29375" xr:uid="{BAFCAD2A-4026-4216-9CBC-582015496272}"/>
    <cellStyle name="Normal 3 2 2 2 2 2 2 24 3 6" xfId="29376" xr:uid="{AFA8280C-8C15-4D73-96E4-C05F766A64E6}"/>
    <cellStyle name="Normal 3 2 2 2 2 2 2 24 4" xfId="29377" xr:uid="{17D090F0-A06B-436F-A40F-45FF5C7DA293}"/>
    <cellStyle name="Normal 3 2 2 2 2 2 2 24 5" xfId="29378" xr:uid="{9CD42933-2841-4E9F-ADAF-498B6A36B69F}"/>
    <cellStyle name="Normal 3 2 2 2 2 2 2 24 6" xfId="29379" xr:uid="{36045043-C403-4C93-83EB-27A1780B7114}"/>
    <cellStyle name="Normal 3 2 2 2 2 2 2 24 7" xfId="29380" xr:uid="{D2B8295A-E67A-48B9-ADA8-D067C573388C}"/>
    <cellStyle name="Normal 3 2 2 2 2 2 2 24 8" xfId="29381" xr:uid="{329A53B7-6986-42D9-B2EB-3C4A515ED7EA}"/>
    <cellStyle name="Normal 3 2 2 2 2 2 2 24 8 2" xfId="29382" xr:uid="{8688F309-3767-433B-ACA6-DCC7C08CE334}"/>
    <cellStyle name="Normal 3 2 2 2 2 2 2 24 8 3" xfId="29383" xr:uid="{5447508E-1456-448F-A4D4-203FF0674AA3}"/>
    <cellStyle name="Normal 3 2 2 2 2 2 2 24 8 4" xfId="29384" xr:uid="{A2D97075-47FD-4E29-BF47-E55B25716C56}"/>
    <cellStyle name="Normal 3 2 2 2 2 2 2 24 9" xfId="29385" xr:uid="{762314FA-3D93-46F1-9E46-159FB88F7222}"/>
    <cellStyle name="Normal 3 2 2 2 2 2 2 25" xfId="29386" xr:uid="{272C4A25-6182-4FB8-93D7-154150684EF0}"/>
    <cellStyle name="Normal 3 2 2 2 2 2 2 26" xfId="29387" xr:uid="{B55E744F-3E0E-48F2-816C-88F70575867F}"/>
    <cellStyle name="Normal 3 2 2 2 2 2 2 26 2" xfId="29388" xr:uid="{D17A81E2-A7AF-41C4-BB71-EEE6995D6391}"/>
    <cellStyle name="Normal 3 2 2 2 2 2 2 26 2 2" xfId="29389" xr:uid="{6ABBBAD1-766B-4569-AC6C-D262E15C0A81}"/>
    <cellStyle name="Normal 3 2 2 2 2 2 2 26 2 3" xfId="29390" xr:uid="{410CA28D-7E4C-4FFF-ADF7-02045D161926}"/>
    <cellStyle name="Normal 3 2 2 2 2 2 2 26 2 4" xfId="29391" xr:uid="{BE8620C0-F716-433D-BC8D-95E1C69B43FA}"/>
    <cellStyle name="Normal 3 2 2 2 2 2 2 26 3" xfId="29392" xr:uid="{95AD3397-6176-4BB7-8E42-1A8BA1D47D4A}"/>
    <cellStyle name="Normal 3 2 2 2 2 2 2 26 4" xfId="29393" xr:uid="{6D24F14B-66EE-4990-975F-7566E8CF1CB4}"/>
    <cellStyle name="Normal 3 2 2 2 2 2 2 26 5" xfId="29394" xr:uid="{BABC64E6-1BEC-45F2-AAA0-84B610CB168B}"/>
    <cellStyle name="Normal 3 2 2 2 2 2 2 26 6" xfId="29395" xr:uid="{B354DAA1-B2F9-4473-B483-A40D0B790F29}"/>
    <cellStyle name="Normal 3 2 2 2 2 2 2 27" xfId="29396" xr:uid="{A0852C98-AEFF-4262-97C3-D4685C4EE759}"/>
    <cellStyle name="Normal 3 2 2 2 2 2 2 28" xfId="29397" xr:uid="{B4B53CF7-CD68-4C54-BFD6-E9CDF2FB5F7E}"/>
    <cellStyle name="Normal 3 2 2 2 2 2 2 29" xfId="29398" xr:uid="{07669B9D-C131-4534-9A32-74B6A407938D}"/>
    <cellStyle name="Normal 3 2 2 2 2 2 2 3" xfId="29399" xr:uid="{92F9811D-D120-41B9-87E0-9108BBEC1C42}"/>
    <cellStyle name="Normal 3 2 2 2 2 2 2 3 2" xfId="29400" xr:uid="{3616F55A-F97A-4D19-A3C3-03461347F957}"/>
    <cellStyle name="Normal 3 2 2 2 2 2 2 3 3" xfId="29401" xr:uid="{1F9D754A-0842-4D30-A754-C3E1470B27D9}"/>
    <cellStyle name="Normal 3 2 2 2 2 2 2 3 4" xfId="29402" xr:uid="{6AD0D823-FAB9-45DC-89BA-2047FA653DC9}"/>
    <cellStyle name="Normal 3 2 2 2 2 2 2 3 5" xfId="29403" xr:uid="{D3F68F1F-A5BC-4CAD-8757-05DC970D7F6A}"/>
    <cellStyle name="Normal 3 2 2 2 2 2 2 3 6" xfId="29404" xr:uid="{34542D3B-F14E-408A-A10A-667AAA63E25D}"/>
    <cellStyle name="Normal 3 2 2 2 2 2 2 30" xfId="29405" xr:uid="{3BC2FE36-1E57-4EFC-9D45-7A0D53CD5134}"/>
    <cellStyle name="Normal 3 2 2 2 2 2 2 31" xfId="29406" xr:uid="{2B32223D-65D9-4798-B7CD-13D9915C1DD8}"/>
    <cellStyle name="Normal 3 2 2 2 2 2 2 32" xfId="29407" xr:uid="{1A421E44-4FB1-4628-855B-C1606A54FE12}"/>
    <cellStyle name="Normal 3 2 2 2 2 2 2 32 2" xfId="29408" xr:uid="{CE9FC4F1-F831-4A55-BFCA-0D020FF94E44}"/>
    <cellStyle name="Normal 3 2 2 2 2 2 2 32 3" xfId="29409" xr:uid="{A4CE8019-CF92-40AD-BB37-2B32654A770D}"/>
    <cellStyle name="Normal 3 2 2 2 2 2 2 32 4" xfId="29410" xr:uid="{4C756ABD-58A8-43D6-AA39-18B2BA945330}"/>
    <cellStyle name="Normal 3 2 2 2 2 2 2 33" xfId="29411" xr:uid="{81D7D978-15FC-45A2-B8C3-00181988D9B5}"/>
    <cellStyle name="Normal 3 2 2 2 2 2 2 34" xfId="29412" xr:uid="{856A0236-314B-4E83-8E8B-C31CB47E7368}"/>
    <cellStyle name="Normal 3 2 2 2 2 2 2 35" xfId="29413" xr:uid="{A7CA30DD-9CF3-4B98-AB1F-2C932B7E549B}"/>
    <cellStyle name="Normal 3 2 2 2 2 2 2 36" xfId="29414" xr:uid="{91441DA7-9A27-4B87-BCC1-511AAD1E6D61}"/>
    <cellStyle name="Normal 3 2 2 2 2 2 2 37" xfId="29415" xr:uid="{88B1EEF9-D8CA-4C25-AD0A-041BAE99E7D3}"/>
    <cellStyle name="Normal 3 2 2 2 2 2 2 38" xfId="29416" xr:uid="{C183AB0B-6C61-4965-8D12-677BC003D922}"/>
    <cellStyle name="Normal 3 2 2 2 2 2 2 39" xfId="29417" xr:uid="{6281A90F-D4E9-4EB3-98BE-32BE4818247B}"/>
    <cellStyle name="Normal 3 2 2 2 2 2 2 4" xfId="29418" xr:uid="{4AB0130C-0EE8-43A3-9FE0-6747B24A83FC}"/>
    <cellStyle name="Normal 3 2 2 2 2 2 2 4 2" xfId="29419" xr:uid="{5D183D8A-10A4-4439-AEFA-05713F7E4EDC}"/>
    <cellStyle name="Normal 3 2 2 2 2 2 2 4 2 2" xfId="29420" xr:uid="{F9EA47D0-D7A5-43B2-A1E3-50C321FB7075}"/>
    <cellStyle name="Normal 3 2 2 2 2 2 2 4 2 3" xfId="29421" xr:uid="{CEEBC3B9-74A7-4DEB-B5EF-B5FBFD07A19C}"/>
    <cellStyle name="Normal 3 2 2 2 2 2 2 4 2 4" xfId="29422" xr:uid="{C117E3B2-8039-4233-9878-F638D2FB731B}"/>
    <cellStyle name="Normal 3 2 2 2 2 2 2 4 2 5" xfId="29423" xr:uid="{CFC28255-FCD5-4A89-95AE-B767B68E9356}"/>
    <cellStyle name="Normal 3 2 2 2 2 2 2 4 2 6" xfId="29424" xr:uid="{50BDB573-E8E9-4624-B235-93E61D5FF137}"/>
    <cellStyle name="Normal 3 2 2 2 2 2 2 4 2 7" xfId="29425" xr:uid="{90CD8341-AB02-41C3-9DA7-07AAE42DEA7E}"/>
    <cellStyle name="Normal 3 2 2 2 2 2 2 40" xfId="29426" xr:uid="{6A449F8E-3343-4AA1-9CF9-D9843A614571}"/>
    <cellStyle name="Normal 3 2 2 2 2 2 2 41" xfId="29427" xr:uid="{EF99F6EA-FE7B-4FA1-81B2-1C68EFD6F741}"/>
    <cellStyle name="Normal 3 2 2 2 2 2 2 42" xfId="29428" xr:uid="{C2F8E2AB-0B18-4FB6-96D2-A6FF6B1F1745}"/>
    <cellStyle name="Normal 3 2 2 2 2 2 2 43" xfId="29429" xr:uid="{726CAF4B-BD8C-413A-9002-BD8D191A3A7C}"/>
    <cellStyle name="Normal 3 2 2 2 2 2 2 44" xfId="29430" xr:uid="{C04CEC98-534F-4C57-BA64-096F52421782}"/>
    <cellStyle name="Normal 3 2 2 2 2 2 2 45" xfId="29431" xr:uid="{417601D3-E6A7-49F7-BC58-53CF041C894B}"/>
    <cellStyle name="Normal 3 2 2 2 2 2 2 46" xfId="29432" xr:uid="{B8D55713-FA90-427D-AF1A-AF8F48AD4341}"/>
    <cellStyle name="Normal 3 2 2 2 2 2 2 47" xfId="29433" xr:uid="{CDC21FBE-69F0-41C0-9C80-984B02AFCB36}"/>
    <cellStyle name="Normal 3 2 2 2 2 2 2 47 2" xfId="29434" xr:uid="{59A56E55-5D3B-4F1D-B02B-B643443720F7}"/>
    <cellStyle name="Normal 3 2 2 2 2 2 2 47 3" xfId="29435" xr:uid="{0218B69D-2E7A-4E30-8272-34F2AA21C322}"/>
    <cellStyle name="Normal 3 2 2 2 2 2 2 47 4" xfId="29436" xr:uid="{6193564D-072B-4E92-83AA-A640D7ABED7C}"/>
    <cellStyle name="Normal 3 2 2 2 2 2 2 47 5" xfId="29437" xr:uid="{D35FDC19-AB1D-44BD-BDFC-A6A847544312}"/>
    <cellStyle name="Normal 3 2 2 2 2 2 2 47 6" xfId="29438" xr:uid="{21CCE6E0-1E8A-4181-8D2B-E6D5257D35A4}"/>
    <cellStyle name="Normal 3 2 2 2 2 2 2 47 7" xfId="29439" xr:uid="{45BA1469-C7AB-41CA-9E7E-B1165A5B3260}"/>
    <cellStyle name="Normal 3 2 2 2 2 2 2 48" xfId="29440" xr:uid="{826CD326-2BE5-410D-B3E2-912B2F6A1FA3}"/>
    <cellStyle name="Normal 3 2 2 2 2 2 2 49" xfId="29441" xr:uid="{AD0A2F58-C2F7-4A0D-81E0-E46F1E9DE016}"/>
    <cellStyle name="Normal 3 2 2 2 2 2 2 5" xfId="29442" xr:uid="{1FF3296C-7D10-467D-9C50-4C41463D7563}"/>
    <cellStyle name="Normal 3 2 2 2 2 2 2 50" xfId="29443" xr:uid="{6736C523-6B5D-4BAC-80AA-A270BCD41315}"/>
    <cellStyle name="Normal 3 2 2 2 2 2 2 51" xfId="29444" xr:uid="{DB19F6BB-CF36-4632-8F96-3F5F4665337B}"/>
    <cellStyle name="Normal 3 2 2 2 2 2 2 52" xfId="29445" xr:uid="{D758425D-C5EF-434F-A283-C10615AFCF30}"/>
    <cellStyle name="Normal 3 2 2 2 2 2 2 53" xfId="29446" xr:uid="{294E4C5C-0F88-4FBF-B949-12079F5F5725}"/>
    <cellStyle name="Normal 3 2 2 2 2 2 2 54" xfId="29447" xr:uid="{BD54BDC2-B691-4161-9F05-B15B9F4E4F8E}"/>
    <cellStyle name="Normal 3 2 2 2 2 2 2 55" xfId="29448" xr:uid="{0E5CA03E-D2D2-4FE1-985D-C6BBA178F224}"/>
    <cellStyle name="Normal 3 2 2 2 2 2 2 56" xfId="29449" xr:uid="{92F01E3B-E473-4AFE-9941-2E38A014EDFF}"/>
    <cellStyle name="Normal 3 2 2 2 2 2 2 57" xfId="29450" xr:uid="{6089EAA2-A56A-4473-854C-2D1BFBE1BE31}"/>
    <cellStyle name="Normal 3 2 2 2 2 2 2 58" xfId="29451" xr:uid="{96D64BE5-07B2-47FB-80CA-1D03746DB79F}"/>
    <cellStyle name="Normal 3 2 2 2 2 2 2 59" xfId="29452" xr:uid="{34945893-04DF-4C3A-A41D-87360B97B49D}"/>
    <cellStyle name="Normal 3 2 2 2 2 2 2 6" xfId="29453" xr:uid="{F6E5E6C5-0B07-41C7-A3AF-FF53EBA3CCEC}"/>
    <cellStyle name="Normal 3 2 2 2 2 2 2 60" xfId="29454" xr:uid="{68931015-8978-4126-A643-9154CE68CB1C}"/>
    <cellStyle name="Normal 3 2 2 2 2 2 2 61" xfId="29455" xr:uid="{C74794ED-E660-4FFE-8318-CD1C7EAA614D}"/>
    <cellStyle name="Normal 3 2 2 2 2 2 2 62" xfId="29456" xr:uid="{F3113728-C25D-404F-A2DA-DD72D99EFF5F}"/>
    <cellStyle name="Normal 3 2 2 2 2 2 2 63" xfId="29457" xr:uid="{783A72DE-2CE0-492F-9C84-EA8F70F6FB24}"/>
    <cellStyle name="Normal 3 2 2 2 2 2 2 64" xfId="29458" xr:uid="{057234EC-333F-4D23-87D6-FCF35ED43924}"/>
    <cellStyle name="Normal 3 2 2 2 2 2 2 65" xfId="29459" xr:uid="{1CCFAFF0-9850-4744-81AF-E6F70EC880F2}"/>
    <cellStyle name="Normal 3 2 2 2 2 2 2 66" xfId="29460" xr:uid="{4AE57A47-BAA2-4BD1-BAB4-4B12524A01B9}"/>
    <cellStyle name="Normal 3 2 2 2 2 2 2 67" xfId="29461" xr:uid="{BD2532A3-82DA-471A-9BC9-9205B6996C16}"/>
    <cellStyle name="Normal 3 2 2 2 2 2 2 68" xfId="29462" xr:uid="{966BECBE-02E2-4629-9CBB-BF0B460DCBDE}"/>
    <cellStyle name="Normal 3 2 2 2 2 2 2 69" xfId="29463" xr:uid="{8FBE61AC-8742-4CAC-B2FA-CB7C22CA8B10}"/>
    <cellStyle name="Normal 3 2 2 2 2 2 2 7" xfId="29464" xr:uid="{66B81D21-8D90-46F1-9B1D-57DCB9F1E64A}"/>
    <cellStyle name="Normal 3 2 2 2 2 2 2 70" xfId="29465" xr:uid="{8A45E3B9-F329-4FBF-8208-C11319CB3B87}"/>
    <cellStyle name="Normal 3 2 2 2 2 2 2 71" xfId="29466" xr:uid="{24855E3E-C7EA-4D3D-BCE4-41D8CC204319}"/>
    <cellStyle name="Normal 3 2 2 2 2 2 2 72" xfId="29467" xr:uid="{9D49DFCA-2AFE-4618-9A4C-27E607583A1C}"/>
    <cellStyle name="Normal 3 2 2 2 2 2 2 73" xfId="29468" xr:uid="{CA31118E-A36B-4298-845F-F351D14DC12A}"/>
    <cellStyle name="Normal 3 2 2 2 2 2 2 74" xfId="29469" xr:uid="{785918D0-1811-4B4C-BA94-5606E61041CC}"/>
    <cellStyle name="Normal 3 2 2 2 2 2 2 75" xfId="29470" xr:uid="{2C7C14B3-FECF-46BD-A603-0762CEFF74D8}"/>
    <cellStyle name="Normal 3 2 2 2 2 2 2 76" xfId="29471" xr:uid="{43DD5BD9-CE5F-4FAC-A513-C7853661B409}"/>
    <cellStyle name="Normal 3 2 2 2 2 2 2 77" xfId="29472" xr:uid="{11832C2E-319E-497E-83B3-01514D796C9E}"/>
    <cellStyle name="Normal 3 2 2 2 2 2 2 78" xfId="29473" xr:uid="{FBE150D3-F41C-4CFD-A268-46F42B5FC361}"/>
    <cellStyle name="Normal 3 2 2 2 2 2 2 79" xfId="29474" xr:uid="{EF6394D9-29D4-4B6D-B446-B0AE3A45F829}"/>
    <cellStyle name="Normal 3 2 2 2 2 2 2 79 2" xfId="29475" xr:uid="{C972FDB1-AF9E-4695-882A-D67B244E314A}"/>
    <cellStyle name="Normal 3 2 2 2 2 2 2 79 3" xfId="29476" xr:uid="{0D7A1285-F3C3-407F-889F-0D6D6DAF3529}"/>
    <cellStyle name="Normal 3 2 2 2 2 2 2 79 4" xfId="29477" xr:uid="{1CA25E69-C7AE-4FBB-91FD-96664C05AC57}"/>
    <cellStyle name="Normal 3 2 2 2 2 2 2 8" xfId="29478" xr:uid="{31E64943-0D05-4CF9-94B9-183B7F591184}"/>
    <cellStyle name="Normal 3 2 2 2 2 2 2 80" xfId="29479" xr:uid="{4230E7E2-F5C0-4BA9-B3A7-93FB72FB3AB7}"/>
    <cellStyle name="Normal 3 2 2 2 2 2 2 81" xfId="29480" xr:uid="{2F4C73B5-FDE4-4100-919C-FB38060F6124}"/>
    <cellStyle name="Normal 3 2 2 2 2 2 2 9" xfId="29481" xr:uid="{B1B7CFD9-EF04-472A-99F1-B79720E23EBF}"/>
    <cellStyle name="Normal 3 2 2 2 2 2 20" xfId="29482" xr:uid="{92929F03-AC1E-4C1C-8A00-EE879328830E}"/>
    <cellStyle name="Normal 3 2 2 2 2 2 20 10" xfId="29483" xr:uid="{2A3B5410-626C-45A9-AD57-DADD0EB298AB}"/>
    <cellStyle name="Normal 3 2 2 2 2 2 20 11" xfId="29484" xr:uid="{C5B5E170-2574-4EC9-B94A-31B42FDE4A78}"/>
    <cellStyle name="Normal 3 2 2 2 2 2 20 11 10" xfId="29485" xr:uid="{808191DE-2382-4203-B03B-A032AA5A9603}"/>
    <cellStyle name="Normal 3 2 2 2 2 2 20 11 11" xfId="29486" xr:uid="{54990144-E342-4327-BBC0-96C16C43D0F9}"/>
    <cellStyle name="Normal 3 2 2 2 2 2 20 11 11 2" xfId="29487" xr:uid="{0BF63621-F46F-447B-A743-47EC5467F4F4}"/>
    <cellStyle name="Normal 3 2 2 2 2 2 20 11 11 3" xfId="29488" xr:uid="{41A33962-6814-485E-B783-366AFCA0B92C}"/>
    <cellStyle name="Normal 3 2 2 2 2 2 20 11 11 4" xfId="29489" xr:uid="{61E35041-48B0-4DF0-B352-7A04F92526EB}"/>
    <cellStyle name="Normal 3 2 2 2 2 2 20 11 12" xfId="29490" xr:uid="{471064C0-1903-4029-8846-E26842F4E3FB}"/>
    <cellStyle name="Normal 3 2 2 2 2 2 20 11 13" xfId="29491" xr:uid="{B911BB41-B17E-40FF-AF09-EBA5D59F59D8}"/>
    <cellStyle name="Normal 3 2 2 2 2 2 20 11 14" xfId="29492" xr:uid="{61670AB8-7E53-4D94-8218-858EA3AD61F3}"/>
    <cellStyle name="Normal 3 2 2 2 2 2 20 11 2" xfId="29493" xr:uid="{054537EE-F0C5-4D93-B6A3-FAA6BD68D439}"/>
    <cellStyle name="Normal 3 2 2 2 2 2 20 11 2 10" xfId="29494" xr:uid="{9252C127-15B6-43FF-B3B4-9AFD70CB0FAE}"/>
    <cellStyle name="Normal 3 2 2 2 2 2 20 11 2 11" xfId="29495" xr:uid="{361EBF5B-ACBE-45EB-95AA-4212D75AE19E}"/>
    <cellStyle name="Normal 3 2 2 2 2 2 20 11 2 2" xfId="29496" xr:uid="{8D1C3EA7-93FC-471A-9932-981F6179FD80}"/>
    <cellStyle name="Normal 3 2 2 2 2 2 20 11 2 2 10" xfId="29497" xr:uid="{7EDEF9EA-F9D7-4106-AEDE-B70E62D3F465}"/>
    <cellStyle name="Normal 3 2 2 2 2 2 20 11 2 2 11" xfId="29498" xr:uid="{EC0BC89D-B81F-4B12-877C-379BA5EFAAD7}"/>
    <cellStyle name="Normal 3 2 2 2 2 2 20 11 2 2 2" xfId="29499" xr:uid="{2A853A45-F57C-4741-A763-FD39F8802426}"/>
    <cellStyle name="Normal 3 2 2 2 2 2 20 11 2 2 2 2" xfId="29500" xr:uid="{CB0C493C-086C-40DA-AE4A-0D845328E7D7}"/>
    <cellStyle name="Normal 3 2 2 2 2 2 20 11 2 2 2 2 2" xfId="29501" xr:uid="{B51E7B26-1D50-4284-8DF6-F2FD8DFD793D}"/>
    <cellStyle name="Normal 3 2 2 2 2 2 20 11 2 2 2 2 3" xfId="29502" xr:uid="{89F30B12-2F97-4299-ACAA-D70BB902D30E}"/>
    <cellStyle name="Normal 3 2 2 2 2 2 20 11 2 2 2 2 4" xfId="29503" xr:uid="{AD397642-0C48-424D-B3B0-274027977A93}"/>
    <cellStyle name="Normal 3 2 2 2 2 2 20 11 2 2 2 3" xfId="29504" xr:uid="{E3465AD3-F3C8-47CD-80B7-1C032DE8EB15}"/>
    <cellStyle name="Normal 3 2 2 2 2 2 20 11 2 2 2 4" xfId="29505" xr:uid="{4BB2D3AA-9045-4588-B208-C0DA8CE58AE8}"/>
    <cellStyle name="Normal 3 2 2 2 2 2 20 11 2 2 2 5" xfId="29506" xr:uid="{B269CABC-5D1F-4541-8EED-8247A3950691}"/>
    <cellStyle name="Normal 3 2 2 2 2 2 20 11 2 2 2 6" xfId="29507" xr:uid="{60A44620-A08A-4BAB-B899-A5692E517A33}"/>
    <cellStyle name="Normal 3 2 2 2 2 2 20 11 2 2 3" xfId="29508" xr:uid="{F47FD4AB-F169-4979-B4F8-1934BB75750F}"/>
    <cellStyle name="Normal 3 2 2 2 2 2 20 11 2 2 4" xfId="29509" xr:uid="{9F986AA9-3C3C-48D6-B7B2-36D6325CA25F}"/>
    <cellStyle name="Normal 3 2 2 2 2 2 20 11 2 2 5" xfId="29510" xr:uid="{844CF163-F080-4536-A5F1-A5F8E9C8891F}"/>
    <cellStyle name="Normal 3 2 2 2 2 2 20 11 2 2 6" xfId="29511" xr:uid="{8A63916A-4EC2-48BB-9BEB-D48AC2FBC2DF}"/>
    <cellStyle name="Normal 3 2 2 2 2 2 20 11 2 2 7" xfId="29512" xr:uid="{01562371-3FDE-4917-B897-B66DC5E9E190}"/>
    <cellStyle name="Normal 3 2 2 2 2 2 20 11 2 2 8" xfId="29513" xr:uid="{A03BC9EE-DB4F-45E7-8660-3B422E32AB2B}"/>
    <cellStyle name="Normal 3 2 2 2 2 2 20 11 2 2 8 2" xfId="29514" xr:uid="{6CBA14D0-CDBA-4473-8E20-7241B7D2836F}"/>
    <cellStyle name="Normal 3 2 2 2 2 2 20 11 2 2 8 3" xfId="29515" xr:uid="{5E222496-7F24-4216-B4CF-D31E8083258C}"/>
    <cellStyle name="Normal 3 2 2 2 2 2 20 11 2 2 8 4" xfId="29516" xr:uid="{680BD3EF-160F-4F90-BFF0-A49525298DA4}"/>
    <cellStyle name="Normal 3 2 2 2 2 2 20 11 2 2 9" xfId="29517" xr:uid="{A224A449-664E-422C-B47C-EA6E50ABF6EE}"/>
    <cellStyle name="Normal 3 2 2 2 2 2 20 11 2 3" xfId="29518" xr:uid="{75843447-D724-4F01-8CA9-FE34526EDAE9}"/>
    <cellStyle name="Normal 3 2 2 2 2 2 20 11 2 3 2" xfId="29519" xr:uid="{742351FA-C318-40E7-AB50-18B94881C5A9}"/>
    <cellStyle name="Normal 3 2 2 2 2 2 20 11 2 3 2 2" xfId="29520" xr:uid="{C5F960AC-8249-4540-8DF6-54276A6E5693}"/>
    <cellStyle name="Normal 3 2 2 2 2 2 20 11 2 3 2 3" xfId="29521" xr:uid="{EA72B66A-AAE2-4272-BBFA-43010525EEB8}"/>
    <cellStyle name="Normal 3 2 2 2 2 2 20 11 2 3 2 4" xfId="29522" xr:uid="{112F924A-E758-4428-9BD0-188C613E4B2E}"/>
    <cellStyle name="Normal 3 2 2 2 2 2 20 11 2 3 3" xfId="29523" xr:uid="{3334FEA8-7B19-4678-A39F-2694A15DB50F}"/>
    <cellStyle name="Normal 3 2 2 2 2 2 20 11 2 3 4" xfId="29524" xr:uid="{25CAD834-03D5-4C4A-8A2F-93668D72C370}"/>
    <cellStyle name="Normal 3 2 2 2 2 2 20 11 2 3 5" xfId="29525" xr:uid="{7146A106-5016-46CD-ABFE-7B0BAE782693}"/>
    <cellStyle name="Normal 3 2 2 2 2 2 20 11 2 3 6" xfId="29526" xr:uid="{E644EE4F-9000-4382-930D-61E33D2F4E50}"/>
    <cellStyle name="Normal 3 2 2 2 2 2 20 11 2 4" xfId="29527" xr:uid="{CAF386CD-48F5-4678-AF4A-E3E92C44E4C1}"/>
    <cellStyle name="Normal 3 2 2 2 2 2 20 11 2 5" xfId="29528" xr:uid="{24E4FBFE-8F42-4AAA-B4BE-68FE49B70509}"/>
    <cellStyle name="Normal 3 2 2 2 2 2 20 11 2 6" xfId="29529" xr:uid="{270233E5-88C5-4AD9-8A94-AD5A1F76DAE8}"/>
    <cellStyle name="Normal 3 2 2 2 2 2 20 11 2 7" xfId="29530" xr:uid="{9B58B545-B683-4862-B0DD-5AD19248A1DD}"/>
    <cellStyle name="Normal 3 2 2 2 2 2 20 11 2 8" xfId="29531" xr:uid="{8304FC7D-C61C-486A-AEDF-DAC9F1D07AD6}"/>
    <cellStyle name="Normal 3 2 2 2 2 2 20 11 2 8 2" xfId="29532" xr:uid="{0FDAD29A-49C2-43BA-A422-CB47B37C4F53}"/>
    <cellStyle name="Normal 3 2 2 2 2 2 20 11 2 8 3" xfId="29533" xr:uid="{ABCF3329-E57B-4442-B998-86F2F5D12B3C}"/>
    <cellStyle name="Normal 3 2 2 2 2 2 20 11 2 8 4" xfId="29534" xr:uid="{4D1F71CD-5829-42BF-A649-C3B62A87E41B}"/>
    <cellStyle name="Normal 3 2 2 2 2 2 20 11 2 9" xfId="29535" xr:uid="{049353D9-6BD7-4C49-90CA-AF0FC8ABC2C5}"/>
    <cellStyle name="Normal 3 2 2 2 2 2 20 11 3" xfId="29536" xr:uid="{37A214E7-282A-4AA3-87A8-62EAAFA64011}"/>
    <cellStyle name="Normal 3 2 2 2 2 2 20 11 4" xfId="29537" xr:uid="{481C6BB1-078E-4067-91FA-4917ACEF566B}"/>
    <cellStyle name="Normal 3 2 2 2 2 2 20 11 5" xfId="29538" xr:uid="{CBD7BFA9-8B75-46C1-BDD1-A7684B0BA107}"/>
    <cellStyle name="Normal 3 2 2 2 2 2 20 11 5 2" xfId="29539" xr:uid="{7FD581DA-7918-4902-9875-B7042C2E4001}"/>
    <cellStyle name="Normal 3 2 2 2 2 2 20 11 5 2 2" xfId="29540" xr:uid="{D8D04171-8198-47BD-8752-74455E16C89B}"/>
    <cellStyle name="Normal 3 2 2 2 2 2 20 11 5 2 3" xfId="29541" xr:uid="{84CE36E9-8BEC-4767-B83B-FFF78C4D9288}"/>
    <cellStyle name="Normal 3 2 2 2 2 2 20 11 5 2 4" xfId="29542" xr:uid="{F657E457-7BF3-4794-AAC2-6642051B6E5C}"/>
    <cellStyle name="Normal 3 2 2 2 2 2 20 11 5 3" xfId="29543" xr:uid="{FD888ED7-6E7A-4887-8D30-6B20491FD346}"/>
    <cellStyle name="Normal 3 2 2 2 2 2 20 11 5 4" xfId="29544" xr:uid="{0C0176CA-163F-4807-9B7F-91DF8D6B7BA7}"/>
    <cellStyle name="Normal 3 2 2 2 2 2 20 11 5 5" xfId="29545" xr:uid="{9EBFEB88-90F9-4E1B-B587-178744B96DC1}"/>
    <cellStyle name="Normal 3 2 2 2 2 2 20 11 5 6" xfId="29546" xr:uid="{CAAFE58D-C263-48E5-AD11-932E576D2689}"/>
    <cellStyle name="Normal 3 2 2 2 2 2 20 11 6" xfId="29547" xr:uid="{8C49F329-10F9-4A4A-BA2B-1295CB17003E}"/>
    <cellStyle name="Normal 3 2 2 2 2 2 20 11 7" xfId="29548" xr:uid="{738A2E51-5E4C-4505-8CC0-96691D50DD03}"/>
    <cellStyle name="Normal 3 2 2 2 2 2 20 11 8" xfId="29549" xr:uid="{5DB8996A-AF0D-4D8C-8814-0C970EF7E283}"/>
    <cellStyle name="Normal 3 2 2 2 2 2 20 11 9" xfId="29550" xr:uid="{E7CD89D1-545C-4328-875C-BBCCF5B2E54B}"/>
    <cellStyle name="Normal 3 2 2 2 2 2 20 12" xfId="29551" xr:uid="{C1636A3F-3C51-499A-AA95-8EC0CE7D68D8}"/>
    <cellStyle name="Normal 3 2 2 2 2 2 20 13" xfId="29552" xr:uid="{AF710ADE-CECD-4419-88DD-13883ABFCBBA}"/>
    <cellStyle name="Normal 3 2 2 2 2 2 20 13 10" xfId="29553" xr:uid="{67D0AC08-31A5-46A2-ABB9-35FDEA1571FB}"/>
    <cellStyle name="Normal 3 2 2 2 2 2 20 13 11" xfId="29554" xr:uid="{6890DCC6-1DF3-4899-9E3A-2508BC857EFC}"/>
    <cellStyle name="Normal 3 2 2 2 2 2 20 13 2" xfId="29555" xr:uid="{360B6CD7-7C51-4896-B0B2-51D2DBBAC2DF}"/>
    <cellStyle name="Normal 3 2 2 2 2 2 20 13 2 10" xfId="29556" xr:uid="{16E99446-1D64-42C0-80B1-5ADB6677CA65}"/>
    <cellStyle name="Normal 3 2 2 2 2 2 20 13 2 11" xfId="29557" xr:uid="{648AB3F1-F31C-4BE6-8C06-8A1584038641}"/>
    <cellStyle name="Normal 3 2 2 2 2 2 20 13 2 2" xfId="29558" xr:uid="{EC3D852A-8784-4396-8FAA-4BF591E98B0C}"/>
    <cellStyle name="Normal 3 2 2 2 2 2 20 13 2 2 2" xfId="29559" xr:uid="{3928FB8F-2F93-4443-884E-A5F9AB59188C}"/>
    <cellStyle name="Normal 3 2 2 2 2 2 20 13 2 2 2 2" xfId="29560" xr:uid="{98485557-A9D3-4AE4-984D-1632C57EFD90}"/>
    <cellStyle name="Normal 3 2 2 2 2 2 20 13 2 2 2 3" xfId="29561" xr:uid="{46E91971-1889-47E9-81F6-ECD15FE67FF2}"/>
    <cellStyle name="Normal 3 2 2 2 2 2 20 13 2 2 2 4" xfId="29562" xr:uid="{41168702-0119-40D0-9EC4-2151258E51BC}"/>
    <cellStyle name="Normal 3 2 2 2 2 2 20 13 2 2 3" xfId="29563" xr:uid="{73D6578C-59E2-41F6-BA75-B1C8000F5CF7}"/>
    <cellStyle name="Normal 3 2 2 2 2 2 20 13 2 2 4" xfId="29564" xr:uid="{8E75733E-0DF7-429F-B158-85F3F5F19495}"/>
    <cellStyle name="Normal 3 2 2 2 2 2 20 13 2 2 5" xfId="29565" xr:uid="{8C3534BD-8F0A-48E3-8A88-98EEF02288CB}"/>
    <cellStyle name="Normal 3 2 2 2 2 2 20 13 2 2 6" xfId="29566" xr:uid="{0D5704CE-96E8-41B8-83DE-156DB4EB9EB1}"/>
    <cellStyle name="Normal 3 2 2 2 2 2 20 13 2 3" xfId="29567" xr:uid="{E12356D1-3C58-490C-9371-9D4E2325D4A2}"/>
    <cellStyle name="Normal 3 2 2 2 2 2 20 13 2 4" xfId="29568" xr:uid="{879EDFC4-6FF1-4DC9-BF9E-38B3DE96863F}"/>
    <cellStyle name="Normal 3 2 2 2 2 2 20 13 2 5" xfId="29569" xr:uid="{F0606F4C-8893-4EFB-8116-2219085BEC88}"/>
    <cellStyle name="Normal 3 2 2 2 2 2 20 13 2 6" xfId="29570" xr:uid="{0C7A2C40-EA41-43C5-8B82-76FD4C4FE8A9}"/>
    <cellStyle name="Normal 3 2 2 2 2 2 20 13 2 7" xfId="29571" xr:uid="{6B742F01-3E9E-47C1-86FC-93E06CB1EA67}"/>
    <cellStyle name="Normal 3 2 2 2 2 2 20 13 2 8" xfId="29572" xr:uid="{8441E955-DEF5-469E-BD7B-3CA5DB89FAC1}"/>
    <cellStyle name="Normal 3 2 2 2 2 2 20 13 2 8 2" xfId="29573" xr:uid="{8137349D-5341-415C-BA90-F5F18B8B5A0C}"/>
    <cellStyle name="Normal 3 2 2 2 2 2 20 13 2 8 3" xfId="29574" xr:uid="{4214E13F-FDA2-4688-9E61-59BA3E5E3673}"/>
    <cellStyle name="Normal 3 2 2 2 2 2 20 13 2 8 4" xfId="29575" xr:uid="{9CE6D0BF-AC38-4211-965F-19BD91A1202E}"/>
    <cellStyle name="Normal 3 2 2 2 2 2 20 13 2 9" xfId="29576" xr:uid="{5AAB5120-84BC-4C8E-8616-74FF6B6BB556}"/>
    <cellStyle name="Normal 3 2 2 2 2 2 20 13 3" xfId="29577" xr:uid="{793B714F-85D8-4CA9-9C53-A6887962CC9F}"/>
    <cellStyle name="Normal 3 2 2 2 2 2 20 13 3 2" xfId="29578" xr:uid="{E31BDF02-140A-4FFE-B35A-B6FFE22B20D4}"/>
    <cellStyle name="Normal 3 2 2 2 2 2 20 13 3 2 2" xfId="29579" xr:uid="{251E344F-619E-4B85-96E1-75486A412FE3}"/>
    <cellStyle name="Normal 3 2 2 2 2 2 20 13 3 2 3" xfId="29580" xr:uid="{3BF0FB0F-725F-491F-A258-C12547B01D06}"/>
    <cellStyle name="Normal 3 2 2 2 2 2 20 13 3 2 4" xfId="29581" xr:uid="{EAEC2D0E-A22E-433D-AA8F-C61184172BDE}"/>
    <cellStyle name="Normal 3 2 2 2 2 2 20 13 3 3" xfId="29582" xr:uid="{5A7A082A-CBF8-402B-A5B3-BF655876D242}"/>
    <cellStyle name="Normal 3 2 2 2 2 2 20 13 3 4" xfId="29583" xr:uid="{98A51A7B-E6B9-47B9-9CAB-A12AF990AB51}"/>
    <cellStyle name="Normal 3 2 2 2 2 2 20 13 3 5" xfId="29584" xr:uid="{821FC387-BC7B-4453-818E-FE2EA64AB113}"/>
    <cellStyle name="Normal 3 2 2 2 2 2 20 13 3 6" xfId="29585" xr:uid="{6338ACCE-E258-470A-915D-89A15C7D77A8}"/>
    <cellStyle name="Normal 3 2 2 2 2 2 20 13 4" xfId="29586" xr:uid="{026C70C3-0CC9-41A8-990A-80969E3E2F7D}"/>
    <cellStyle name="Normal 3 2 2 2 2 2 20 13 5" xfId="29587" xr:uid="{E5C5E131-7A36-40ED-B740-6F6BC398ED9D}"/>
    <cellStyle name="Normal 3 2 2 2 2 2 20 13 6" xfId="29588" xr:uid="{5BF6972E-2EFB-4F66-9EF3-983F288F5BF4}"/>
    <cellStyle name="Normal 3 2 2 2 2 2 20 13 7" xfId="29589" xr:uid="{FE741DFC-47F8-4EEA-8BF5-3C1C5C1F29C4}"/>
    <cellStyle name="Normal 3 2 2 2 2 2 20 13 8" xfId="29590" xr:uid="{B4E6D49A-90EA-4935-B718-AA3FD1629BD9}"/>
    <cellStyle name="Normal 3 2 2 2 2 2 20 13 8 2" xfId="29591" xr:uid="{B20C181A-6103-4F0A-8D3D-4D9C4688A2D4}"/>
    <cellStyle name="Normal 3 2 2 2 2 2 20 13 8 3" xfId="29592" xr:uid="{9C4575BE-B213-40CB-8240-AF7B66A931B7}"/>
    <cellStyle name="Normal 3 2 2 2 2 2 20 13 8 4" xfId="29593" xr:uid="{383EBA88-CFB4-4554-B4F2-019C93D9C7B0}"/>
    <cellStyle name="Normal 3 2 2 2 2 2 20 13 9" xfId="29594" xr:uid="{5E51C219-F01E-4657-B16D-971AFE064BFF}"/>
    <cellStyle name="Normal 3 2 2 2 2 2 20 14" xfId="29595" xr:uid="{A3318834-15AA-4F92-AAAC-0D62EF72CDA9}"/>
    <cellStyle name="Normal 3 2 2 2 2 2 20 15" xfId="29596" xr:uid="{CAABE15C-B8D8-4CD4-BF43-A6B6D5B8C16B}"/>
    <cellStyle name="Normal 3 2 2 2 2 2 20 15 2" xfId="29597" xr:uid="{7D933A4A-A5C1-427B-8862-DF0E73C9AAA4}"/>
    <cellStyle name="Normal 3 2 2 2 2 2 20 15 2 2" xfId="29598" xr:uid="{4EC8DCAD-9DF7-4221-BAE2-E220B91058AA}"/>
    <cellStyle name="Normal 3 2 2 2 2 2 20 15 2 3" xfId="29599" xr:uid="{C43F0C64-6365-4E63-952D-C574FC600120}"/>
    <cellStyle name="Normal 3 2 2 2 2 2 20 15 2 4" xfId="29600" xr:uid="{F63BAAC2-1591-4314-8D9C-20590013670E}"/>
    <cellStyle name="Normal 3 2 2 2 2 2 20 15 3" xfId="29601" xr:uid="{8DFAC234-698D-40BE-9C1B-185D3CA3D391}"/>
    <cellStyle name="Normal 3 2 2 2 2 2 20 15 4" xfId="29602" xr:uid="{D55E7EFA-0D5B-42FD-A330-8DD5594FAD28}"/>
    <cellStyle name="Normal 3 2 2 2 2 2 20 15 5" xfId="29603" xr:uid="{176550EF-FC47-4793-8496-EC79F6F21177}"/>
    <cellStyle name="Normal 3 2 2 2 2 2 20 15 6" xfId="29604" xr:uid="{B9672136-2AB2-4B71-A75B-6180A4D540E9}"/>
    <cellStyle name="Normal 3 2 2 2 2 2 20 16" xfId="29605" xr:uid="{194A2EAB-0690-4D35-A63C-14DD33B8FE5E}"/>
    <cellStyle name="Normal 3 2 2 2 2 2 20 17" xfId="29606" xr:uid="{6F6B896C-DD51-41FB-ACA4-5C251387244E}"/>
    <cellStyle name="Normal 3 2 2 2 2 2 20 18" xfId="29607" xr:uid="{BA58C558-AC29-4B99-A9EE-82BC92261A92}"/>
    <cellStyle name="Normal 3 2 2 2 2 2 20 19" xfId="29608" xr:uid="{AA59E2BC-4923-4A34-9BE8-F48645BAEA83}"/>
    <cellStyle name="Normal 3 2 2 2 2 2 20 2" xfId="29609" xr:uid="{FB2B4746-3403-4D8F-85CD-1811F862E4DD}"/>
    <cellStyle name="Normal 3 2 2 2 2 2 20 2 10" xfId="29610" xr:uid="{6546441A-EAEF-4187-A848-112C7402782A}"/>
    <cellStyle name="Normal 3 2 2 2 2 2 20 2 11" xfId="29611" xr:uid="{538B1F52-B812-4B54-950A-539783BCC0B2}"/>
    <cellStyle name="Normal 3 2 2 2 2 2 20 2 12" xfId="29612" xr:uid="{D0194ADC-46C4-45B3-BAA1-2796C476481A}"/>
    <cellStyle name="Normal 3 2 2 2 2 2 20 2 13" xfId="29613" xr:uid="{788B3022-30D7-4315-8DD7-DA0B2FC89498}"/>
    <cellStyle name="Normal 3 2 2 2 2 2 20 2 13 2" xfId="29614" xr:uid="{6AC5C35A-9023-418D-B45B-9BBB9382E2D2}"/>
    <cellStyle name="Normal 3 2 2 2 2 2 20 2 13 3" xfId="29615" xr:uid="{28DB0185-56CF-46F5-A8D4-70E151A3039E}"/>
    <cellStyle name="Normal 3 2 2 2 2 2 20 2 13 4" xfId="29616" xr:uid="{2E2C0596-6966-481C-8262-B7A6EF51EB97}"/>
    <cellStyle name="Normal 3 2 2 2 2 2 20 2 14" xfId="29617" xr:uid="{9971ED95-317A-4022-9D4E-FDAA62F1D1B3}"/>
    <cellStyle name="Normal 3 2 2 2 2 2 20 2 15" xfId="29618" xr:uid="{790E94A7-C6A5-45AD-A9D3-E7DC8C2C5B06}"/>
    <cellStyle name="Normal 3 2 2 2 2 2 20 2 16" xfId="29619" xr:uid="{C287E678-2212-41A8-819F-AA3E3D773EF2}"/>
    <cellStyle name="Normal 3 2 2 2 2 2 20 2 2" xfId="29620" xr:uid="{95D0B393-D959-4376-AB50-122284125BFE}"/>
    <cellStyle name="Normal 3 2 2 2 2 2 20 2 2 10" xfId="29621" xr:uid="{8AB983B5-B11D-4387-83DD-FB58ECFEED14}"/>
    <cellStyle name="Normal 3 2 2 2 2 2 20 2 2 11" xfId="29622" xr:uid="{BD47CE31-4ECE-4446-B04F-16308388502E}"/>
    <cellStyle name="Normal 3 2 2 2 2 2 20 2 2 11 2" xfId="29623" xr:uid="{472BE499-F0B0-48C0-995D-4A9A9FD2C581}"/>
    <cellStyle name="Normal 3 2 2 2 2 2 20 2 2 11 3" xfId="29624" xr:uid="{926D9E4F-E9B6-44DC-93B9-35369881549F}"/>
    <cellStyle name="Normal 3 2 2 2 2 2 20 2 2 11 4" xfId="29625" xr:uid="{F17B2DDB-092B-4B35-9527-D265694A5A1E}"/>
    <cellStyle name="Normal 3 2 2 2 2 2 20 2 2 12" xfId="29626" xr:uid="{17E3E232-180C-460F-A1F4-732700F6D514}"/>
    <cellStyle name="Normal 3 2 2 2 2 2 20 2 2 13" xfId="29627" xr:uid="{D84DB52E-8729-4015-BCC3-E5FE0743D8DD}"/>
    <cellStyle name="Normal 3 2 2 2 2 2 20 2 2 14" xfId="29628" xr:uid="{861A11CC-0EDB-459E-9A33-97824670D89F}"/>
    <cellStyle name="Normal 3 2 2 2 2 2 20 2 2 2" xfId="29629" xr:uid="{2F88A407-8571-4419-B9C4-70390FCCA838}"/>
    <cellStyle name="Normal 3 2 2 2 2 2 20 2 2 2 10" xfId="29630" xr:uid="{94A0968D-5D64-4762-8C1E-069A6D493B16}"/>
    <cellStyle name="Normal 3 2 2 2 2 2 20 2 2 2 11" xfId="29631" xr:uid="{555030BB-77F7-46CD-9974-9F5D1A0E6586}"/>
    <cellStyle name="Normal 3 2 2 2 2 2 20 2 2 2 2" xfId="29632" xr:uid="{7022473B-4C5C-4E15-8D1F-C74182F46789}"/>
    <cellStyle name="Normal 3 2 2 2 2 2 20 2 2 2 2 10" xfId="29633" xr:uid="{20B601E7-6101-4362-A192-F2AB1C8C555C}"/>
    <cellStyle name="Normal 3 2 2 2 2 2 20 2 2 2 2 11" xfId="29634" xr:uid="{911432CA-CEA4-480A-A01E-9FBC1A21D948}"/>
    <cellStyle name="Normal 3 2 2 2 2 2 20 2 2 2 2 2" xfId="29635" xr:uid="{1674D6B6-77FE-4D21-9AE6-6D5A2302F2A2}"/>
    <cellStyle name="Normal 3 2 2 2 2 2 20 2 2 2 2 2 2" xfId="29636" xr:uid="{338C46F1-CB80-4FC8-A7A6-F2DB4B207AEB}"/>
    <cellStyle name="Normal 3 2 2 2 2 2 20 2 2 2 2 2 2 2" xfId="29637" xr:uid="{51E8B23E-57B4-4990-90D1-B80A59AFA3EC}"/>
    <cellStyle name="Normal 3 2 2 2 2 2 20 2 2 2 2 2 2 3" xfId="29638" xr:uid="{AB3C5BC6-D55D-499A-AA37-29EBE1371BF4}"/>
    <cellStyle name="Normal 3 2 2 2 2 2 20 2 2 2 2 2 2 4" xfId="29639" xr:uid="{EEDBF786-CAB9-419C-871A-943AE6C5D4FD}"/>
    <cellStyle name="Normal 3 2 2 2 2 2 20 2 2 2 2 2 3" xfId="29640" xr:uid="{FA649A33-0727-40B0-87C2-9DCE9AE141F0}"/>
    <cellStyle name="Normal 3 2 2 2 2 2 20 2 2 2 2 2 4" xfId="29641" xr:uid="{61EA5468-B56A-4809-8A6B-74958810CC21}"/>
    <cellStyle name="Normal 3 2 2 2 2 2 20 2 2 2 2 2 5" xfId="29642" xr:uid="{86E75113-F997-4BB1-A3D1-FF46FD72F6AA}"/>
    <cellStyle name="Normal 3 2 2 2 2 2 20 2 2 2 2 2 6" xfId="29643" xr:uid="{2FFA00FD-C9E0-4F85-A86A-EAD63FBDA7BE}"/>
    <cellStyle name="Normal 3 2 2 2 2 2 20 2 2 2 2 3" xfId="29644" xr:uid="{2686E02D-7EF5-4E2D-904A-28F28EFB9319}"/>
    <cellStyle name="Normal 3 2 2 2 2 2 20 2 2 2 2 4" xfId="29645" xr:uid="{554B7C86-A917-4AA2-8907-A6B4D424B7AF}"/>
    <cellStyle name="Normal 3 2 2 2 2 2 20 2 2 2 2 5" xfId="29646" xr:uid="{109D11BA-24A4-4BFF-AFB3-51B27CADC5E1}"/>
    <cellStyle name="Normal 3 2 2 2 2 2 20 2 2 2 2 6" xfId="29647" xr:uid="{66499953-19A0-4AE1-AC8A-F7EA8579ABC4}"/>
    <cellStyle name="Normal 3 2 2 2 2 2 20 2 2 2 2 7" xfId="29648" xr:uid="{0A097BE1-B003-47DF-983B-B3EEE511136D}"/>
    <cellStyle name="Normal 3 2 2 2 2 2 20 2 2 2 2 8" xfId="29649" xr:uid="{1A33631B-5AC6-49CB-A3A5-FA6C44C56DFA}"/>
    <cellStyle name="Normal 3 2 2 2 2 2 20 2 2 2 2 8 2" xfId="29650" xr:uid="{BEAFC6F7-F95B-40C3-9BE5-AB2F68013362}"/>
    <cellStyle name="Normal 3 2 2 2 2 2 20 2 2 2 2 8 3" xfId="29651" xr:uid="{C0F3C3E2-20A5-45AA-9735-37B89EB182E4}"/>
    <cellStyle name="Normal 3 2 2 2 2 2 20 2 2 2 2 8 4" xfId="29652" xr:uid="{93775260-9E8B-4591-B733-D10309763EDE}"/>
    <cellStyle name="Normal 3 2 2 2 2 2 20 2 2 2 2 9" xfId="29653" xr:uid="{EA3D18A8-284F-4C0D-90AC-78A73A96496A}"/>
    <cellStyle name="Normal 3 2 2 2 2 2 20 2 2 2 3" xfId="29654" xr:uid="{CD0C798F-BBF3-4FF1-B380-D2EC70E3AAAF}"/>
    <cellStyle name="Normal 3 2 2 2 2 2 20 2 2 2 3 2" xfId="29655" xr:uid="{C4253FEF-955C-4FA7-B142-4EC4B53EEC99}"/>
    <cellStyle name="Normal 3 2 2 2 2 2 20 2 2 2 3 2 2" xfId="29656" xr:uid="{9BC15844-C01A-4046-A4BB-7C05345B69F7}"/>
    <cellStyle name="Normal 3 2 2 2 2 2 20 2 2 2 3 2 3" xfId="29657" xr:uid="{8E2E7000-1861-422A-8AFC-592B69538F92}"/>
    <cellStyle name="Normal 3 2 2 2 2 2 20 2 2 2 3 2 4" xfId="29658" xr:uid="{D246CB68-9DA0-4C4E-A89E-CD6116EEFF32}"/>
    <cellStyle name="Normal 3 2 2 2 2 2 20 2 2 2 3 3" xfId="29659" xr:uid="{42CACB18-1B49-4887-8FED-45DEB653083A}"/>
    <cellStyle name="Normal 3 2 2 2 2 2 20 2 2 2 3 4" xfId="29660" xr:uid="{5C73D641-758C-4A46-A15F-3DA932194B1C}"/>
    <cellStyle name="Normal 3 2 2 2 2 2 20 2 2 2 3 5" xfId="29661" xr:uid="{4D93F258-E503-4C68-BE0F-757DA13BCC11}"/>
    <cellStyle name="Normal 3 2 2 2 2 2 20 2 2 2 3 6" xfId="29662" xr:uid="{11362BD7-A363-47BD-98BE-C6DBD2C559D6}"/>
    <cellStyle name="Normal 3 2 2 2 2 2 20 2 2 2 4" xfId="29663" xr:uid="{5349D01A-A62F-48B2-9EF9-EC9DB5F6AEF9}"/>
    <cellStyle name="Normal 3 2 2 2 2 2 20 2 2 2 5" xfId="29664" xr:uid="{2F69903A-1E2C-4777-A660-BC3EF2244913}"/>
    <cellStyle name="Normal 3 2 2 2 2 2 20 2 2 2 6" xfId="29665" xr:uid="{7903DE5D-BB77-4DF8-8B78-EEA3E5CC4D9D}"/>
    <cellStyle name="Normal 3 2 2 2 2 2 20 2 2 2 7" xfId="29666" xr:uid="{B4000A53-A955-4D3B-843E-14919A201103}"/>
    <cellStyle name="Normal 3 2 2 2 2 2 20 2 2 2 8" xfId="29667" xr:uid="{A695BE84-DFE6-4A09-84BC-55A1996F3C3A}"/>
    <cellStyle name="Normal 3 2 2 2 2 2 20 2 2 2 8 2" xfId="29668" xr:uid="{518D4BC1-877F-46F1-8DFD-357D6EC04543}"/>
    <cellStyle name="Normal 3 2 2 2 2 2 20 2 2 2 8 3" xfId="29669" xr:uid="{138EEB94-D31D-4986-8A96-D4BA8D5D64E8}"/>
    <cellStyle name="Normal 3 2 2 2 2 2 20 2 2 2 8 4" xfId="29670" xr:uid="{DD1D24BF-F786-4063-BA69-B8ED009BDE84}"/>
    <cellStyle name="Normal 3 2 2 2 2 2 20 2 2 2 9" xfId="29671" xr:uid="{F1C68366-EC30-4374-A821-C976138FFDA1}"/>
    <cellStyle name="Normal 3 2 2 2 2 2 20 2 2 3" xfId="29672" xr:uid="{BB2867B7-E753-4C47-B232-9CCE27C198BE}"/>
    <cellStyle name="Normal 3 2 2 2 2 2 20 2 2 4" xfId="29673" xr:uid="{544614FC-CE32-478C-883E-0BAE85B9F2D9}"/>
    <cellStyle name="Normal 3 2 2 2 2 2 20 2 2 5" xfId="29674" xr:uid="{BD484684-A431-4E02-916A-BEF26706641B}"/>
    <cellStyle name="Normal 3 2 2 2 2 2 20 2 2 5 2" xfId="29675" xr:uid="{498D330E-22DC-4D53-9328-FA0272B49CB7}"/>
    <cellStyle name="Normal 3 2 2 2 2 2 20 2 2 5 2 2" xfId="29676" xr:uid="{5C1E5701-0044-4806-A61A-8BD4A05B9E18}"/>
    <cellStyle name="Normal 3 2 2 2 2 2 20 2 2 5 2 3" xfId="29677" xr:uid="{673BB63C-06BA-4239-933C-4819EB0C9560}"/>
    <cellStyle name="Normal 3 2 2 2 2 2 20 2 2 5 2 4" xfId="29678" xr:uid="{6AE66E2A-9719-4FA0-8211-2E8961125B6A}"/>
    <cellStyle name="Normal 3 2 2 2 2 2 20 2 2 5 3" xfId="29679" xr:uid="{3F99C23A-D68E-44CC-9329-D089B30C9AF5}"/>
    <cellStyle name="Normal 3 2 2 2 2 2 20 2 2 5 4" xfId="29680" xr:uid="{FBDCD6E7-9FEA-44A1-8E95-52E4FE7BDAEA}"/>
    <cellStyle name="Normal 3 2 2 2 2 2 20 2 2 5 5" xfId="29681" xr:uid="{A82C5BD8-D329-47CD-95C2-3CA9ED58436B}"/>
    <cellStyle name="Normal 3 2 2 2 2 2 20 2 2 5 6" xfId="29682" xr:uid="{ECC1CA20-20DB-4F8A-B4F1-0938C613A239}"/>
    <cellStyle name="Normal 3 2 2 2 2 2 20 2 2 6" xfId="29683" xr:uid="{383FF234-945B-465F-AF59-8B0D0696C213}"/>
    <cellStyle name="Normal 3 2 2 2 2 2 20 2 2 7" xfId="29684" xr:uid="{2DF3505D-025B-4C9A-8CB2-8BAD1F05CFB1}"/>
    <cellStyle name="Normal 3 2 2 2 2 2 20 2 2 8" xfId="29685" xr:uid="{9D24CB27-255C-446F-A5E1-D0F942351AA2}"/>
    <cellStyle name="Normal 3 2 2 2 2 2 20 2 2 9" xfId="29686" xr:uid="{18CC7D64-E143-432C-866F-464BD5242368}"/>
    <cellStyle name="Normal 3 2 2 2 2 2 20 2 3" xfId="29687" xr:uid="{863250D2-7350-4DA2-A4B7-9124437A5CFC}"/>
    <cellStyle name="Normal 3 2 2 2 2 2 20 2 4" xfId="29688" xr:uid="{DC120893-5916-4528-BE6B-7D617823E64A}"/>
    <cellStyle name="Normal 3 2 2 2 2 2 20 2 5" xfId="29689" xr:uid="{23672C28-12AF-488F-97C0-51BDF93FC45A}"/>
    <cellStyle name="Normal 3 2 2 2 2 2 20 2 5 10" xfId="29690" xr:uid="{C271E10F-128A-46A5-8598-37855977607D}"/>
    <cellStyle name="Normal 3 2 2 2 2 2 20 2 5 11" xfId="29691" xr:uid="{03270D20-0424-482A-A9BF-7DE7F183F81E}"/>
    <cellStyle name="Normal 3 2 2 2 2 2 20 2 5 2" xfId="29692" xr:uid="{A4443991-3C69-4F5C-8A08-9B41FF8DA2AC}"/>
    <cellStyle name="Normal 3 2 2 2 2 2 20 2 5 2 10" xfId="29693" xr:uid="{A6D8251F-F7C1-4ECD-ABAC-0E8AA9218910}"/>
    <cellStyle name="Normal 3 2 2 2 2 2 20 2 5 2 11" xfId="29694" xr:uid="{0763456C-DA9B-4330-9C40-917E4CB90B6E}"/>
    <cellStyle name="Normal 3 2 2 2 2 2 20 2 5 2 2" xfId="29695" xr:uid="{05A2C042-D81C-4997-BE37-6C643BEC7D49}"/>
    <cellStyle name="Normal 3 2 2 2 2 2 20 2 5 2 2 2" xfId="29696" xr:uid="{ADE98BE0-6572-401C-ADEA-CC647479E202}"/>
    <cellStyle name="Normal 3 2 2 2 2 2 20 2 5 2 2 2 2" xfId="29697" xr:uid="{8DD08DD6-A8AE-4434-9ABE-30C5C26CA3FB}"/>
    <cellStyle name="Normal 3 2 2 2 2 2 20 2 5 2 2 2 3" xfId="29698" xr:uid="{4294727C-B568-4DD5-9242-6C4FEED075CD}"/>
    <cellStyle name="Normal 3 2 2 2 2 2 20 2 5 2 2 2 4" xfId="29699" xr:uid="{EBDC90D5-1094-410F-9EA9-337DC3F4D8FE}"/>
    <cellStyle name="Normal 3 2 2 2 2 2 20 2 5 2 2 3" xfId="29700" xr:uid="{3901E9D4-7DBA-4225-96EE-745B3E84ACCB}"/>
    <cellStyle name="Normal 3 2 2 2 2 2 20 2 5 2 2 4" xfId="29701" xr:uid="{5550F756-C2AB-4048-B198-72751B64FFDA}"/>
    <cellStyle name="Normal 3 2 2 2 2 2 20 2 5 2 2 5" xfId="29702" xr:uid="{734746F6-B282-49C4-A790-90341687B102}"/>
    <cellStyle name="Normal 3 2 2 2 2 2 20 2 5 2 2 6" xfId="29703" xr:uid="{D1F07311-213A-4D2E-A1E0-BB71F6654EEF}"/>
    <cellStyle name="Normal 3 2 2 2 2 2 20 2 5 2 3" xfId="29704" xr:uid="{7094F4BA-9469-4B3F-A4BB-6B97B1EE894A}"/>
    <cellStyle name="Normal 3 2 2 2 2 2 20 2 5 2 4" xfId="29705" xr:uid="{330AEB99-93AF-4541-A8C4-3BBE1C180CF1}"/>
    <cellStyle name="Normal 3 2 2 2 2 2 20 2 5 2 5" xfId="29706" xr:uid="{097CFF80-71C2-4C01-A71D-01CF13C09311}"/>
    <cellStyle name="Normal 3 2 2 2 2 2 20 2 5 2 6" xfId="29707" xr:uid="{07BB74A4-6E5C-481B-A443-E9DA6FDC2E81}"/>
    <cellStyle name="Normal 3 2 2 2 2 2 20 2 5 2 7" xfId="29708" xr:uid="{69579ECE-D48F-4F0F-A635-771F9780A168}"/>
    <cellStyle name="Normal 3 2 2 2 2 2 20 2 5 2 8" xfId="29709" xr:uid="{29DB77BF-EAC5-47C4-9487-83EEED308751}"/>
    <cellStyle name="Normal 3 2 2 2 2 2 20 2 5 2 8 2" xfId="29710" xr:uid="{84636A1A-D879-4CB4-89BA-428E7700183E}"/>
    <cellStyle name="Normal 3 2 2 2 2 2 20 2 5 2 8 3" xfId="29711" xr:uid="{CEE573B1-479B-4226-96D7-A044CBEF9A2F}"/>
    <cellStyle name="Normal 3 2 2 2 2 2 20 2 5 2 8 4" xfId="29712" xr:uid="{0E5A1733-9F09-4130-B771-F1ED40597492}"/>
    <cellStyle name="Normal 3 2 2 2 2 2 20 2 5 2 9" xfId="29713" xr:uid="{DE1CD6E3-B1A7-4E37-8246-A4F7C9006147}"/>
    <cellStyle name="Normal 3 2 2 2 2 2 20 2 5 3" xfId="29714" xr:uid="{28D6DD9A-2A00-42EC-812C-F386EA644CEA}"/>
    <cellStyle name="Normal 3 2 2 2 2 2 20 2 5 3 2" xfId="29715" xr:uid="{2F42808C-5304-46AB-A747-E77468FD3F90}"/>
    <cellStyle name="Normal 3 2 2 2 2 2 20 2 5 3 2 2" xfId="29716" xr:uid="{A528CEAF-CB6A-48BB-8B2A-BB7B05C9CA5E}"/>
    <cellStyle name="Normal 3 2 2 2 2 2 20 2 5 3 2 3" xfId="29717" xr:uid="{94B2FB83-3A9F-4B43-B584-A24FB4B6D9FD}"/>
    <cellStyle name="Normal 3 2 2 2 2 2 20 2 5 3 2 4" xfId="29718" xr:uid="{B7760F2F-D71E-421C-B841-297E37D0DCF4}"/>
    <cellStyle name="Normal 3 2 2 2 2 2 20 2 5 3 3" xfId="29719" xr:uid="{2C6F3AB9-00A1-41FA-9AE6-63033E27CDF9}"/>
    <cellStyle name="Normal 3 2 2 2 2 2 20 2 5 3 4" xfId="29720" xr:uid="{8B6AD95E-BA66-4775-A640-EE6A7CE90562}"/>
    <cellStyle name="Normal 3 2 2 2 2 2 20 2 5 3 5" xfId="29721" xr:uid="{26BA6B08-B911-4BC7-B2CE-93F6E62DD658}"/>
    <cellStyle name="Normal 3 2 2 2 2 2 20 2 5 3 6" xfId="29722" xr:uid="{44252523-AC6B-4FAD-B3D7-93572E573849}"/>
    <cellStyle name="Normal 3 2 2 2 2 2 20 2 5 4" xfId="29723" xr:uid="{0F9CAF1B-ECC1-48D7-95AC-76CFE4EEE21B}"/>
    <cellStyle name="Normal 3 2 2 2 2 2 20 2 5 5" xfId="29724" xr:uid="{06D5F768-837D-4786-A6AF-B31EE376B7F3}"/>
    <cellStyle name="Normal 3 2 2 2 2 2 20 2 5 6" xfId="29725" xr:uid="{FA36D76F-12EA-49B1-A8C0-6EB365653A77}"/>
    <cellStyle name="Normal 3 2 2 2 2 2 20 2 5 7" xfId="29726" xr:uid="{0DA936B2-F60B-494F-A9B3-1A2796CF8B3D}"/>
    <cellStyle name="Normal 3 2 2 2 2 2 20 2 5 8" xfId="29727" xr:uid="{44E58970-2E8D-4DCF-8319-2EAB0406869F}"/>
    <cellStyle name="Normal 3 2 2 2 2 2 20 2 5 8 2" xfId="29728" xr:uid="{810B3526-5199-4AE2-AD8E-B6D59D574CAF}"/>
    <cellStyle name="Normal 3 2 2 2 2 2 20 2 5 8 3" xfId="29729" xr:uid="{C0076CA7-FD18-4DB6-8CB3-BA1B77CE7A1B}"/>
    <cellStyle name="Normal 3 2 2 2 2 2 20 2 5 8 4" xfId="29730" xr:uid="{862A2862-27FF-4C02-8E64-166DBA38FDA4}"/>
    <cellStyle name="Normal 3 2 2 2 2 2 20 2 5 9" xfId="29731" xr:uid="{D93CACDA-8C4A-41EA-BDE1-CE58D4D4253B}"/>
    <cellStyle name="Normal 3 2 2 2 2 2 20 2 6" xfId="29732" xr:uid="{9DDD3FB5-9BBE-4966-B1AA-81756D3A69B7}"/>
    <cellStyle name="Normal 3 2 2 2 2 2 20 2 7" xfId="29733" xr:uid="{8546B1AC-2C8A-451B-B076-8CBA41FCCDC6}"/>
    <cellStyle name="Normal 3 2 2 2 2 2 20 2 7 2" xfId="29734" xr:uid="{EC3C1E30-B70F-4D24-9728-655F7492454E}"/>
    <cellStyle name="Normal 3 2 2 2 2 2 20 2 7 2 2" xfId="29735" xr:uid="{B7CAFD21-CAD0-4C3C-AECD-32BAE6935410}"/>
    <cellStyle name="Normal 3 2 2 2 2 2 20 2 7 2 3" xfId="29736" xr:uid="{DDD4EBCC-6679-438D-87C5-86333A701A98}"/>
    <cellStyle name="Normal 3 2 2 2 2 2 20 2 7 2 4" xfId="29737" xr:uid="{8B7940AB-CA80-4CB7-8998-92045712E85A}"/>
    <cellStyle name="Normal 3 2 2 2 2 2 20 2 7 3" xfId="29738" xr:uid="{0459423B-56E9-4776-A091-446B2689D15A}"/>
    <cellStyle name="Normal 3 2 2 2 2 2 20 2 7 4" xfId="29739" xr:uid="{D301C9CF-16B4-414E-92B0-6B561F77B585}"/>
    <cellStyle name="Normal 3 2 2 2 2 2 20 2 7 5" xfId="29740" xr:uid="{26C669CE-6DA5-4ADA-9D3F-8EABE153CD8B}"/>
    <cellStyle name="Normal 3 2 2 2 2 2 20 2 7 6" xfId="29741" xr:uid="{2D8CD37A-FABC-40BB-BFA0-1E3353C98E2C}"/>
    <cellStyle name="Normal 3 2 2 2 2 2 20 2 8" xfId="29742" xr:uid="{F48E2BA8-2E6C-4B7E-B67F-A4B2B89F92C9}"/>
    <cellStyle name="Normal 3 2 2 2 2 2 20 2 9" xfId="29743" xr:uid="{98C26D10-C227-4161-99F9-57052E00ABC5}"/>
    <cellStyle name="Normal 3 2 2 2 2 2 20 20" xfId="29744" xr:uid="{1084A093-4EB4-445C-927D-895119489D57}"/>
    <cellStyle name="Normal 3 2 2 2 2 2 20 21" xfId="29745" xr:uid="{4FA7EC90-FF76-4FB5-B3EE-2340FD70A9F0}"/>
    <cellStyle name="Normal 3 2 2 2 2 2 20 21 2" xfId="29746" xr:uid="{D65FADEB-9699-4655-860D-C45002A519D2}"/>
    <cellStyle name="Normal 3 2 2 2 2 2 20 21 3" xfId="29747" xr:uid="{122C1A52-C908-480A-9CFB-594D0044B5C2}"/>
    <cellStyle name="Normal 3 2 2 2 2 2 20 21 4" xfId="29748" xr:uid="{A8C2D482-1F96-4B6A-B6E1-719865CCC7CB}"/>
    <cellStyle name="Normal 3 2 2 2 2 2 20 22" xfId="29749" xr:uid="{8757EE43-8CB7-4772-98AB-88C4145B1F43}"/>
    <cellStyle name="Normal 3 2 2 2 2 2 20 23" xfId="29750" xr:uid="{E774D614-C58C-46C0-A821-BC3A1C1CD9D8}"/>
    <cellStyle name="Normal 3 2 2 2 2 2 20 24" xfId="29751" xr:uid="{4C3A38E0-23F4-462D-A4C0-F69387D91E28}"/>
    <cellStyle name="Normal 3 2 2 2 2 2 20 3" xfId="29752" xr:uid="{33CE61BB-4113-4CAD-B598-F54E796E4916}"/>
    <cellStyle name="Normal 3 2 2 2 2 2 20 4" xfId="29753" xr:uid="{FD77EEB0-7D98-492D-B2BF-C6436ECACB37}"/>
    <cellStyle name="Normal 3 2 2 2 2 2 20 5" xfId="29754" xr:uid="{13735B70-4792-4142-85A9-DE5847741384}"/>
    <cellStyle name="Normal 3 2 2 2 2 2 20 6" xfId="29755" xr:uid="{0029A30A-125F-44FC-AB01-71D0A3CB5EEC}"/>
    <cellStyle name="Normal 3 2 2 2 2 2 20 7" xfId="29756" xr:uid="{33AAE74D-9EBB-4CFF-9E01-355A74CD58D5}"/>
    <cellStyle name="Normal 3 2 2 2 2 2 20 8" xfId="29757" xr:uid="{DA29606D-6E45-44CF-9522-F8CA92FFCAB5}"/>
    <cellStyle name="Normal 3 2 2 2 2 2 20 9" xfId="29758" xr:uid="{3D5B0C07-4127-4930-A1D6-DD10DA7CE8FA}"/>
    <cellStyle name="Normal 3 2 2 2 2 2 21" xfId="29759" xr:uid="{84F08C9E-3C7D-4512-99CF-A38ABCF3BDE7}"/>
    <cellStyle name="Normal 3 2 2 2 2 2 21 10" xfId="29760" xr:uid="{829E4075-E9DF-408C-881D-7BA55B408211}"/>
    <cellStyle name="Normal 3 2 2 2 2 2 21 11" xfId="29761" xr:uid="{B15EAC52-E2ED-4C71-836D-D7E9EEE08D3C}"/>
    <cellStyle name="Normal 3 2 2 2 2 2 21 12" xfId="29762" xr:uid="{70C0767F-3846-4965-976B-5B5A5FEEC980}"/>
    <cellStyle name="Normal 3 2 2 2 2 2 21 13" xfId="29763" xr:uid="{37D9C43F-3B43-4E58-924E-D773889D2A70}"/>
    <cellStyle name="Normal 3 2 2 2 2 2 21 13 2" xfId="29764" xr:uid="{B0F2686B-E126-453E-BF13-DF4549534EB4}"/>
    <cellStyle name="Normal 3 2 2 2 2 2 21 13 3" xfId="29765" xr:uid="{0FE29F86-9B11-4825-AEA1-CD78FD62E14B}"/>
    <cellStyle name="Normal 3 2 2 2 2 2 21 13 4" xfId="29766" xr:uid="{9589E664-E74E-4D81-A07F-E93473F6D958}"/>
    <cellStyle name="Normal 3 2 2 2 2 2 21 14" xfId="29767" xr:uid="{45A984B6-9BE5-4F96-960B-09F6AE18977E}"/>
    <cellStyle name="Normal 3 2 2 2 2 2 21 15" xfId="29768" xr:uid="{4D45EFDE-1414-4337-A35F-1A497B4A2F09}"/>
    <cellStyle name="Normal 3 2 2 2 2 2 21 16" xfId="29769" xr:uid="{9845CCCF-1B11-4362-BDA0-F740844CAA9D}"/>
    <cellStyle name="Normal 3 2 2 2 2 2 21 2" xfId="29770" xr:uid="{AF07DA4B-EB6C-4441-BE42-221E52F06F35}"/>
    <cellStyle name="Normal 3 2 2 2 2 2 21 2 10" xfId="29771" xr:uid="{942194FD-AECB-4E40-955A-57E5BD10015B}"/>
    <cellStyle name="Normal 3 2 2 2 2 2 21 2 11" xfId="29772" xr:uid="{348D55CD-EB09-45E4-8AF6-76E4C6D3B60E}"/>
    <cellStyle name="Normal 3 2 2 2 2 2 21 2 11 2" xfId="29773" xr:uid="{33FEB6B5-043E-4760-B1A8-D2D898C9FBE2}"/>
    <cellStyle name="Normal 3 2 2 2 2 2 21 2 11 3" xfId="29774" xr:uid="{3FC2DB12-B432-4AB5-8E1F-AC3DC63FA6B6}"/>
    <cellStyle name="Normal 3 2 2 2 2 2 21 2 11 4" xfId="29775" xr:uid="{B43A0EEA-9AD4-4914-BEFB-A19E96ED69C5}"/>
    <cellStyle name="Normal 3 2 2 2 2 2 21 2 12" xfId="29776" xr:uid="{F977FEFC-1C25-4746-9058-AEC5059D751F}"/>
    <cellStyle name="Normal 3 2 2 2 2 2 21 2 13" xfId="29777" xr:uid="{6E40102D-FF7C-4013-9FE9-57056BE15CDC}"/>
    <cellStyle name="Normal 3 2 2 2 2 2 21 2 14" xfId="29778" xr:uid="{E639CBE4-1F1E-4BA2-83CD-24AD9830226F}"/>
    <cellStyle name="Normal 3 2 2 2 2 2 21 2 2" xfId="29779" xr:uid="{F495C3F1-4AA1-46CA-8AEF-6B4946B70136}"/>
    <cellStyle name="Normal 3 2 2 2 2 2 21 2 2 10" xfId="29780" xr:uid="{5DC2A07E-E024-4863-9301-6C9204385C4F}"/>
    <cellStyle name="Normal 3 2 2 2 2 2 21 2 2 11" xfId="29781" xr:uid="{E58EF0F7-0B53-4023-8C07-803FE80200B6}"/>
    <cellStyle name="Normal 3 2 2 2 2 2 21 2 2 2" xfId="29782" xr:uid="{D30D0146-84B0-43C2-9E84-724B7D3A4C6B}"/>
    <cellStyle name="Normal 3 2 2 2 2 2 21 2 2 2 10" xfId="29783" xr:uid="{EAEC299A-232D-4716-A829-1AB3CE311366}"/>
    <cellStyle name="Normal 3 2 2 2 2 2 21 2 2 2 11" xfId="29784" xr:uid="{9B82F435-C9F5-4970-BA2C-E02556E327BE}"/>
    <cellStyle name="Normal 3 2 2 2 2 2 21 2 2 2 2" xfId="29785" xr:uid="{EA7C6E88-E4E6-48D2-9583-1B60981266DA}"/>
    <cellStyle name="Normal 3 2 2 2 2 2 21 2 2 2 2 2" xfId="29786" xr:uid="{D048B327-F5A1-4A74-A8C2-38A46D1348CA}"/>
    <cellStyle name="Normal 3 2 2 2 2 2 21 2 2 2 2 2 2" xfId="29787" xr:uid="{319145F9-C6AE-4214-B113-ACFA7A1923BC}"/>
    <cellStyle name="Normal 3 2 2 2 2 2 21 2 2 2 2 2 3" xfId="29788" xr:uid="{E7A334FE-6D16-4200-9879-7F48473C6994}"/>
    <cellStyle name="Normal 3 2 2 2 2 2 21 2 2 2 2 2 4" xfId="29789" xr:uid="{F1AE62A1-7B21-4CFE-9914-F92BAE2422FB}"/>
    <cellStyle name="Normal 3 2 2 2 2 2 21 2 2 2 2 3" xfId="29790" xr:uid="{4DCFDD42-F0B5-4C2F-A90E-71AF99A79A9A}"/>
    <cellStyle name="Normal 3 2 2 2 2 2 21 2 2 2 2 4" xfId="29791" xr:uid="{15FAB337-B270-4159-9C39-93FA5CF39164}"/>
    <cellStyle name="Normal 3 2 2 2 2 2 21 2 2 2 2 5" xfId="29792" xr:uid="{166FD1E9-B254-435C-904F-E76965810C9F}"/>
    <cellStyle name="Normal 3 2 2 2 2 2 21 2 2 2 2 6" xfId="29793" xr:uid="{5E1EFCD2-C186-455D-B9E5-9212219907AF}"/>
    <cellStyle name="Normal 3 2 2 2 2 2 21 2 2 2 3" xfId="29794" xr:uid="{F1363319-1324-47E9-8E2F-9FD6EA8E1733}"/>
    <cellStyle name="Normal 3 2 2 2 2 2 21 2 2 2 4" xfId="29795" xr:uid="{D74F053D-5057-49DB-B2AC-00D48DCC2928}"/>
    <cellStyle name="Normal 3 2 2 2 2 2 21 2 2 2 5" xfId="29796" xr:uid="{8FA731F3-3C41-41C8-B7DD-B304BCF38815}"/>
    <cellStyle name="Normal 3 2 2 2 2 2 21 2 2 2 6" xfId="29797" xr:uid="{0D9D0111-EE6B-4C7D-9C18-959ED69B9A26}"/>
    <cellStyle name="Normal 3 2 2 2 2 2 21 2 2 2 7" xfId="29798" xr:uid="{DC0B6B89-9B3B-4EAB-9A97-982F9879D1F6}"/>
    <cellStyle name="Normal 3 2 2 2 2 2 21 2 2 2 8" xfId="29799" xr:uid="{D4143954-368C-41DD-AB3D-CF856D6F3649}"/>
    <cellStyle name="Normal 3 2 2 2 2 2 21 2 2 2 8 2" xfId="29800" xr:uid="{93A9E8B0-66A2-4A67-AACC-60FF2C969753}"/>
    <cellStyle name="Normal 3 2 2 2 2 2 21 2 2 2 8 3" xfId="29801" xr:uid="{AFB9CE7C-E95D-40B4-958E-C1FD83A830DA}"/>
    <cellStyle name="Normal 3 2 2 2 2 2 21 2 2 2 8 4" xfId="29802" xr:uid="{62AAD11B-1397-4662-A980-80802BFA0B6F}"/>
    <cellStyle name="Normal 3 2 2 2 2 2 21 2 2 2 9" xfId="29803" xr:uid="{908C2F53-31E5-4EE3-80E8-1566F7AC0BCB}"/>
    <cellStyle name="Normal 3 2 2 2 2 2 21 2 2 3" xfId="29804" xr:uid="{4E6DD79D-E23A-4235-8DEB-02FC4D7BC501}"/>
    <cellStyle name="Normal 3 2 2 2 2 2 21 2 2 3 2" xfId="29805" xr:uid="{C6347E63-B0A4-4F2A-B9DE-532EE10E9EF5}"/>
    <cellStyle name="Normal 3 2 2 2 2 2 21 2 2 3 2 2" xfId="29806" xr:uid="{4906EC6F-E7BC-4D80-ADDD-3B90684FCC0C}"/>
    <cellStyle name="Normal 3 2 2 2 2 2 21 2 2 3 2 3" xfId="29807" xr:uid="{60FB4E1F-150E-41F0-B544-64CC60E911C6}"/>
    <cellStyle name="Normal 3 2 2 2 2 2 21 2 2 3 2 4" xfId="29808" xr:uid="{12557E29-5BFB-4F67-A008-69A3E713D581}"/>
    <cellStyle name="Normal 3 2 2 2 2 2 21 2 2 3 3" xfId="29809" xr:uid="{DDFC1274-6177-4D42-8863-18D503F46B17}"/>
    <cellStyle name="Normal 3 2 2 2 2 2 21 2 2 3 4" xfId="29810" xr:uid="{D1FFB10E-9D34-42A4-B970-897DDBC2A19D}"/>
    <cellStyle name="Normal 3 2 2 2 2 2 21 2 2 3 5" xfId="29811" xr:uid="{53E199AA-65AE-444E-B2E7-A2288A01B9A4}"/>
    <cellStyle name="Normal 3 2 2 2 2 2 21 2 2 3 6" xfId="29812" xr:uid="{F0041456-024D-4429-9E5D-1D69A783CF04}"/>
    <cellStyle name="Normal 3 2 2 2 2 2 21 2 2 4" xfId="29813" xr:uid="{4257041C-6DDF-4C5C-B8BE-171CC432A113}"/>
    <cellStyle name="Normal 3 2 2 2 2 2 21 2 2 5" xfId="29814" xr:uid="{7A9AA610-22EB-4C5E-9A9F-5744C5DF757F}"/>
    <cellStyle name="Normal 3 2 2 2 2 2 21 2 2 6" xfId="29815" xr:uid="{1857C608-0067-4B07-8068-CFD4ECD54597}"/>
    <cellStyle name="Normal 3 2 2 2 2 2 21 2 2 7" xfId="29816" xr:uid="{4902B3A7-038A-42E4-B200-53AF5BE14F75}"/>
    <cellStyle name="Normal 3 2 2 2 2 2 21 2 2 8" xfId="29817" xr:uid="{E9DFEFBC-CD97-46CA-88C8-50B874D5DD22}"/>
    <cellStyle name="Normal 3 2 2 2 2 2 21 2 2 8 2" xfId="29818" xr:uid="{501459B2-6A9D-4023-AF7B-3C6B320892F1}"/>
    <cellStyle name="Normal 3 2 2 2 2 2 21 2 2 8 3" xfId="29819" xr:uid="{823C352F-EF37-4918-9106-CD2582FCD208}"/>
    <cellStyle name="Normal 3 2 2 2 2 2 21 2 2 8 4" xfId="29820" xr:uid="{32D89009-DBE4-4F68-B823-EDDFBAFF439E}"/>
    <cellStyle name="Normal 3 2 2 2 2 2 21 2 2 9" xfId="29821" xr:uid="{4F4AAA41-F1E0-483F-8C18-12E4335B7898}"/>
    <cellStyle name="Normal 3 2 2 2 2 2 21 2 3" xfId="29822" xr:uid="{396C6812-B9DB-4E62-9A5D-DAF4742F9081}"/>
    <cellStyle name="Normal 3 2 2 2 2 2 21 2 4" xfId="29823" xr:uid="{CEAFA73F-D0BE-4324-B053-4AF0EA38810F}"/>
    <cellStyle name="Normal 3 2 2 2 2 2 21 2 5" xfId="29824" xr:uid="{C76B1069-9DA9-4470-9B2A-1C71903ED597}"/>
    <cellStyle name="Normal 3 2 2 2 2 2 21 2 5 2" xfId="29825" xr:uid="{39CB6F22-03FC-4AAE-874F-135546170309}"/>
    <cellStyle name="Normal 3 2 2 2 2 2 21 2 5 2 2" xfId="29826" xr:uid="{797261BC-ECA3-4775-89C8-A9378EEBCBE8}"/>
    <cellStyle name="Normal 3 2 2 2 2 2 21 2 5 2 3" xfId="29827" xr:uid="{38F995DE-08B4-4E83-A679-695B50125F72}"/>
    <cellStyle name="Normal 3 2 2 2 2 2 21 2 5 2 4" xfId="29828" xr:uid="{E7E3D516-C635-466B-9FA3-E09366FA9996}"/>
    <cellStyle name="Normal 3 2 2 2 2 2 21 2 5 3" xfId="29829" xr:uid="{74474AFE-1C95-4CA0-A85E-2479466D3B98}"/>
    <cellStyle name="Normal 3 2 2 2 2 2 21 2 5 4" xfId="29830" xr:uid="{0C5CC7CA-D51B-4C75-81A5-4C7494D7E485}"/>
    <cellStyle name="Normal 3 2 2 2 2 2 21 2 5 5" xfId="29831" xr:uid="{CB7A2CB1-E784-4B92-803A-7CCAF1CB8B3D}"/>
    <cellStyle name="Normal 3 2 2 2 2 2 21 2 5 6" xfId="29832" xr:uid="{5932C133-2F4D-4437-BB19-70E94AA3DF34}"/>
    <cellStyle name="Normal 3 2 2 2 2 2 21 2 6" xfId="29833" xr:uid="{F1E047BF-A4CB-4CBF-BB91-8EDC121CD557}"/>
    <cellStyle name="Normal 3 2 2 2 2 2 21 2 7" xfId="29834" xr:uid="{8109A3D0-8C3B-4458-8720-CD991F1BD3E1}"/>
    <cellStyle name="Normal 3 2 2 2 2 2 21 2 8" xfId="29835" xr:uid="{B28AF3C7-4AC6-49A8-81C5-5BA4BB7D9FF0}"/>
    <cellStyle name="Normal 3 2 2 2 2 2 21 2 9" xfId="29836" xr:uid="{4055C882-1596-46EA-A7B0-9D42ACB8EAC9}"/>
    <cellStyle name="Normal 3 2 2 2 2 2 21 3" xfId="29837" xr:uid="{1E6AA838-F558-48B9-8169-297D8BCAB268}"/>
    <cellStyle name="Normal 3 2 2 2 2 2 21 4" xfId="29838" xr:uid="{9F545DC8-7BA8-41A3-9944-76F2C2598730}"/>
    <cellStyle name="Normal 3 2 2 2 2 2 21 5" xfId="29839" xr:uid="{FF76D932-86AA-40FC-BF0B-C17FD792E629}"/>
    <cellStyle name="Normal 3 2 2 2 2 2 21 5 10" xfId="29840" xr:uid="{A9CD13E8-19E6-4C47-9C6D-97E67203DBFA}"/>
    <cellStyle name="Normal 3 2 2 2 2 2 21 5 11" xfId="29841" xr:uid="{5EC92910-470D-46E6-B3ED-C241173B3FC0}"/>
    <cellStyle name="Normal 3 2 2 2 2 2 21 5 2" xfId="29842" xr:uid="{29ECC915-741E-4810-A4EF-A7CA05490FC8}"/>
    <cellStyle name="Normal 3 2 2 2 2 2 21 5 2 10" xfId="29843" xr:uid="{FA23C865-6E74-42C4-AB78-A20E1E66B15A}"/>
    <cellStyle name="Normal 3 2 2 2 2 2 21 5 2 11" xfId="29844" xr:uid="{0901E423-4F3A-48ED-AEAC-29CD70BB6563}"/>
    <cellStyle name="Normal 3 2 2 2 2 2 21 5 2 2" xfId="29845" xr:uid="{6B2987A2-28E4-499C-AFC6-1ACCCEE61D2F}"/>
    <cellStyle name="Normal 3 2 2 2 2 2 21 5 2 2 2" xfId="29846" xr:uid="{8A86D680-9453-4EBB-98E8-6F9D4D6F88D3}"/>
    <cellStyle name="Normal 3 2 2 2 2 2 21 5 2 2 2 2" xfId="29847" xr:uid="{1849032D-8DDF-471A-94C7-843A03803650}"/>
    <cellStyle name="Normal 3 2 2 2 2 2 21 5 2 2 2 3" xfId="29848" xr:uid="{156CCF08-2A68-4487-8618-80FC6A9FA9A0}"/>
    <cellStyle name="Normal 3 2 2 2 2 2 21 5 2 2 2 4" xfId="29849" xr:uid="{8E41A83F-5CDB-43F3-9602-D9599CE8F39B}"/>
    <cellStyle name="Normal 3 2 2 2 2 2 21 5 2 2 3" xfId="29850" xr:uid="{1E175EBE-41FC-4F2A-994D-393FE18C4846}"/>
    <cellStyle name="Normal 3 2 2 2 2 2 21 5 2 2 4" xfId="29851" xr:uid="{C167F3F2-69F1-4BCE-9909-8B61ABB99A2B}"/>
    <cellStyle name="Normal 3 2 2 2 2 2 21 5 2 2 5" xfId="29852" xr:uid="{9689CF26-F787-4B33-926B-33B2F9D432B4}"/>
    <cellStyle name="Normal 3 2 2 2 2 2 21 5 2 2 6" xfId="29853" xr:uid="{EE69F1F9-E93B-4C84-9344-501A3394104F}"/>
    <cellStyle name="Normal 3 2 2 2 2 2 21 5 2 3" xfId="29854" xr:uid="{464A6AC7-5C5A-43E1-8277-B4024EF1DC37}"/>
    <cellStyle name="Normal 3 2 2 2 2 2 21 5 2 4" xfId="29855" xr:uid="{BAFC4214-A7D9-44C1-A4FC-FAA59345285C}"/>
    <cellStyle name="Normal 3 2 2 2 2 2 21 5 2 5" xfId="29856" xr:uid="{6DABD49A-43EF-4B83-86B5-A00D7DB68751}"/>
    <cellStyle name="Normal 3 2 2 2 2 2 21 5 2 6" xfId="29857" xr:uid="{3B2C8586-FA11-43B2-9249-BC616048668F}"/>
    <cellStyle name="Normal 3 2 2 2 2 2 21 5 2 7" xfId="29858" xr:uid="{541C0DBB-A3CF-493B-862B-4E9625653F17}"/>
    <cellStyle name="Normal 3 2 2 2 2 2 21 5 2 8" xfId="29859" xr:uid="{C98D52C7-55E8-40D3-B36A-10A3448D97F6}"/>
    <cellStyle name="Normal 3 2 2 2 2 2 21 5 2 8 2" xfId="29860" xr:uid="{2002031F-7FAC-4330-8312-E89E171E46D8}"/>
    <cellStyle name="Normal 3 2 2 2 2 2 21 5 2 8 3" xfId="29861" xr:uid="{45D0AC82-5CE3-4F4E-AEC5-6ECB7373F89F}"/>
    <cellStyle name="Normal 3 2 2 2 2 2 21 5 2 8 4" xfId="29862" xr:uid="{7FFB13A4-BBE6-453B-8909-731743B1EDDC}"/>
    <cellStyle name="Normal 3 2 2 2 2 2 21 5 2 9" xfId="29863" xr:uid="{ADFF750E-15A1-45F4-8963-DCBF489F7414}"/>
    <cellStyle name="Normal 3 2 2 2 2 2 21 5 3" xfId="29864" xr:uid="{4B8A79C0-73D3-4CCB-BB78-83B7FD43A098}"/>
    <cellStyle name="Normal 3 2 2 2 2 2 21 5 3 2" xfId="29865" xr:uid="{E95556E8-3B66-418B-9E45-B4B0D972C9D1}"/>
    <cellStyle name="Normal 3 2 2 2 2 2 21 5 3 2 2" xfId="29866" xr:uid="{D62A058A-9BB4-4D7E-870B-9C65E14CF1F1}"/>
    <cellStyle name="Normal 3 2 2 2 2 2 21 5 3 2 3" xfId="29867" xr:uid="{84E1CA17-5306-450C-A7FC-A5D096094D14}"/>
    <cellStyle name="Normal 3 2 2 2 2 2 21 5 3 2 4" xfId="29868" xr:uid="{6EF26AEB-6141-4CA6-9C2F-B6D1F00E42CE}"/>
    <cellStyle name="Normal 3 2 2 2 2 2 21 5 3 3" xfId="29869" xr:uid="{F25D4240-4903-401F-91D3-AD78B38CBD3F}"/>
    <cellStyle name="Normal 3 2 2 2 2 2 21 5 3 4" xfId="29870" xr:uid="{A3FB21F6-9249-4F75-AD75-15A1B425A6A5}"/>
    <cellStyle name="Normal 3 2 2 2 2 2 21 5 3 5" xfId="29871" xr:uid="{73910626-4C16-45EB-A8D0-2BF4A7EE8974}"/>
    <cellStyle name="Normal 3 2 2 2 2 2 21 5 3 6" xfId="29872" xr:uid="{DECD2232-3881-4271-9E52-789C9FEF6459}"/>
    <cellStyle name="Normal 3 2 2 2 2 2 21 5 4" xfId="29873" xr:uid="{4DD69FC5-A3F8-469E-9DB1-694E593349E7}"/>
    <cellStyle name="Normal 3 2 2 2 2 2 21 5 5" xfId="29874" xr:uid="{1A572A64-807C-45BA-AD00-37A1FDF421DB}"/>
    <cellStyle name="Normal 3 2 2 2 2 2 21 5 6" xfId="29875" xr:uid="{6E7AB712-141F-4D66-9474-2F77ADFE2016}"/>
    <cellStyle name="Normal 3 2 2 2 2 2 21 5 7" xfId="29876" xr:uid="{C6C22B63-48E9-420F-BF0C-8B0B7B38728D}"/>
    <cellStyle name="Normal 3 2 2 2 2 2 21 5 8" xfId="29877" xr:uid="{1A7010D0-2466-47E4-A1E0-422334339A29}"/>
    <cellStyle name="Normal 3 2 2 2 2 2 21 5 8 2" xfId="29878" xr:uid="{EAF214C6-FF7F-4257-8858-0F227FDCB8EC}"/>
    <cellStyle name="Normal 3 2 2 2 2 2 21 5 8 3" xfId="29879" xr:uid="{972C9BB1-BBEB-4905-A46C-8EA1D0F30784}"/>
    <cellStyle name="Normal 3 2 2 2 2 2 21 5 8 4" xfId="29880" xr:uid="{A0D6B57D-BA3F-4384-B09D-19C143434EEE}"/>
    <cellStyle name="Normal 3 2 2 2 2 2 21 5 9" xfId="29881" xr:uid="{F044878D-778B-49F2-89F7-1847100C1E42}"/>
    <cellStyle name="Normal 3 2 2 2 2 2 21 6" xfId="29882" xr:uid="{A8D1566C-BAAE-420E-A96E-3D63F2F3CEBC}"/>
    <cellStyle name="Normal 3 2 2 2 2 2 21 7" xfId="29883" xr:uid="{95ED4C5C-0B89-468C-9948-BC61128D2110}"/>
    <cellStyle name="Normal 3 2 2 2 2 2 21 7 2" xfId="29884" xr:uid="{B28B1E12-79C1-424B-9209-BDD35FBE0713}"/>
    <cellStyle name="Normal 3 2 2 2 2 2 21 7 2 2" xfId="29885" xr:uid="{7F40232A-CAE1-4165-A41B-B65B1F43F989}"/>
    <cellStyle name="Normal 3 2 2 2 2 2 21 7 2 3" xfId="29886" xr:uid="{E554C596-3BDC-427D-A441-602D316148C4}"/>
    <cellStyle name="Normal 3 2 2 2 2 2 21 7 2 4" xfId="29887" xr:uid="{FB07EF75-AF51-4912-82A8-08D23AC69574}"/>
    <cellStyle name="Normal 3 2 2 2 2 2 21 7 3" xfId="29888" xr:uid="{4D65B15F-582C-4C3E-9C9E-E992AE7D2D84}"/>
    <cellStyle name="Normal 3 2 2 2 2 2 21 7 4" xfId="29889" xr:uid="{54322D32-57BE-4D8E-921F-8DBFD2CEF379}"/>
    <cellStyle name="Normal 3 2 2 2 2 2 21 7 5" xfId="29890" xr:uid="{6537880B-58E9-4652-B49C-3437397657A1}"/>
    <cellStyle name="Normal 3 2 2 2 2 2 21 7 6" xfId="29891" xr:uid="{03C760FB-50C8-4792-B2D5-5E94543E7CBA}"/>
    <cellStyle name="Normal 3 2 2 2 2 2 21 8" xfId="29892" xr:uid="{98548158-6684-4904-ADA3-941C48EC1C27}"/>
    <cellStyle name="Normal 3 2 2 2 2 2 21 9" xfId="29893" xr:uid="{28BBCB7D-B8FB-49F5-BA91-C550F6F5DBFB}"/>
    <cellStyle name="Normal 3 2 2 2 2 2 22" xfId="29894" xr:uid="{237AE070-CD86-47E7-B880-9E24BD05B9D6}"/>
    <cellStyle name="Normal 3 2 2 2 2 2 23" xfId="29895" xr:uid="{A1A58679-F389-4B47-AC62-61D7A93C1837}"/>
    <cellStyle name="Normal 3 2 2 2 2 2 24" xfId="29896" xr:uid="{C75FC00A-BEBF-41D2-96F3-1DFE5C053DF3}"/>
    <cellStyle name="Normal 3 2 2 2 2 2 25" xfId="29897" xr:uid="{8D15D8F0-690B-443B-918F-B47F6885E515}"/>
    <cellStyle name="Normal 3 2 2 2 2 2 26" xfId="29898" xr:uid="{B6475467-ED83-44D3-BC7B-CA454FA8EE41}"/>
    <cellStyle name="Normal 3 2 2 2 2 2 27" xfId="29899" xr:uid="{F966D5EB-0CF9-4243-A6EE-3B4BA3D42C17}"/>
    <cellStyle name="Normal 3 2 2 2 2 2 28" xfId="29900" xr:uid="{EADAA9A4-02F3-411F-8EAB-F5AF3A3E37AA}"/>
    <cellStyle name="Normal 3 2 2 2 2 2 29" xfId="29901" xr:uid="{49C42108-E622-4E9F-AD26-7C3288528A55}"/>
    <cellStyle name="Normal 3 2 2 2 2 2 29 10" xfId="29902" xr:uid="{5F6C0DE9-DDBF-470B-A150-BFF1EC7EAB33}"/>
    <cellStyle name="Normal 3 2 2 2 2 2 29 11" xfId="29903" xr:uid="{82545BB0-4E02-415E-BA74-F3C5A3738C8F}"/>
    <cellStyle name="Normal 3 2 2 2 2 2 29 11 2" xfId="29904" xr:uid="{04A75337-0AD9-4076-BC15-00896C57AB86}"/>
    <cellStyle name="Normal 3 2 2 2 2 2 29 11 3" xfId="29905" xr:uid="{1A5D7938-B92E-4538-8466-E76860BAB819}"/>
    <cellStyle name="Normal 3 2 2 2 2 2 29 11 4" xfId="29906" xr:uid="{B1FDCBE8-8A1C-462B-B66B-89F8718AEAE9}"/>
    <cellStyle name="Normal 3 2 2 2 2 2 29 12" xfId="29907" xr:uid="{4B391540-E967-428B-9D7A-8B480BCC46F7}"/>
    <cellStyle name="Normal 3 2 2 2 2 2 29 13" xfId="29908" xr:uid="{9B2C7AAF-1E8E-4A6E-B395-7E50A780E6D7}"/>
    <cellStyle name="Normal 3 2 2 2 2 2 29 14" xfId="29909" xr:uid="{7704DDA1-49F6-42F3-BA14-14681AC6D89E}"/>
    <cellStyle name="Normal 3 2 2 2 2 2 29 2" xfId="29910" xr:uid="{15051F98-4F49-4141-B95B-4C7BB20BBE85}"/>
    <cellStyle name="Normal 3 2 2 2 2 2 29 2 10" xfId="29911" xr:uid="{E43835AF-F1DB-45B8-B31E-404239754F5A}"/>
    <cellStyle name="Normal 3 2 2 2 2 2 29 2 11" xfId="29912" xr:uid="{116A4B7C-4009-44EA-A22A-4B5335B71542}"/>
    <cellStyle name="Normal 3 2 2 2 2 2 29 2 2" xfId="29913" xr:uid="{02E38C66-C818-4F40-A08D-948E50C56FE1}"/>
    <cellStyle name="Normal 3 2 2 2 2 2 29 2 2 10" xfId="29914" xr:uid="{9DF2324B-F980-47D8-83BE-3D5281AF89D0}"/>
    <cellStyle name="Normal 3 2 2 2 2 2 29 2 2 11" xfId="29915" xr:uid="{55CC3DB6-66EB-4265-980D-BFB9886FC310}"/>
    <cellStyle name="Normal 3 2 2 2 2 2 29 2 2 2" xfId="29916" xr:uid="{166401FB-C648-4008-B075-313F06A6FE62}"/>
    <cellStyle name="Normal 3 2 2 2 2 2 29 2 2 2 2" xfId="29917" xr:uid="{4E048BE5-CA16-41BF-9FDA-332D0EBF9FCF}"/>
    <cellStyle name="Normal 3 2 2 2 2 2 29 2 2 2 2 2" xfId="29918" xr:uid="{2A70A4F7-7E24-4977-99A7-FD5000989C09}"/>
    <cellStyle name="Normal 3 2 2 2 2 2 29 2 2 2 2 3" xfId="29919" xr:uid="{7CB987BD-1138-4394-9242-2AA9687F7FE8}"/>
    <cellStyle name="Normal 3 2 2 2 2 2 29 2 2 2 2 4" xfId="29920" xr:uid="{939E715C-8BB1-40CC-AFE1-73C96A263D25}"/>
    <cellStyle name="Normal 3 2 2 2 2 2 29 2 2 2 3" xfId="29921" xr:uid="{F6AFF340-2676-4467-920A-7D3AB067C77F}"/>
    <cellStyle name="Normal 3 2 2 2 2 2 29 2 2 2 4" xfId="29922" xr:uid="{E8304C45-2FA1-4DB5-8776-7072377743BC}"/>
    <cellStyle name="Normal 3 2 2 2 2 2 29 2 2 2 5" xfId="29923" xr:uid="{28C95DF9-D216-4E26-A71D-ED81D732A1C5}"/>
    <cellStyle name="Normal 3 2 2 2 2 2 29 2 2 2 6" xfId="29924" xr:uid="{AC24AF77-099E-4183-8BED-E45BC8293F3A}"/>
    <cellStyle name="Normal 3 2 2 2 2 2 29 2 2 3" xfId="29925" xr:uid="{A5B0FF22-0444-4FD7-AD03-98E036D3CC3D}"/>
    <cellStyle name="Normal 3 2 2 2 2 2 29 2 2 4" xfId="29926" xr:uid="{F4E6EFCF-9439-477A-9612-F158D7DD9772}"/>
    <cellStyle name="Normal 3 2 2 2 2 2 29 2 2 5" xfId="29927" xr:uid="{4D902967-6D26-42AA-99CF-31B4F4C6F9BB}"/>
    <cellStyle name="Normal 3 2 2 2 2 2 29 2 2 6" xfId="29928" xr:uid="{1A299920-2C92-48CA-8118-05DE2B6F7E94}"/>
    <cellStyle name="Normal 3 2 2 2 2 2 29 2 2 7" xfId="29929" xr:uid="{FE43D7B1-0845-45A9-8B98-65FD4B8093F2}"/>
    <cellStyle name="Normal 3 2 2 2 2 2 29 2 2 8" xfId="29930" xr:uid="{749FCC14-8AF8-4899-9A1A-62A8FBCAEF54}"/>
    <cellStyle name="Normal 3 2 2 2 2 2 29 2 2 8 2" xfId="29931" xr:uid="{3DC68274-FE0D-4012-B1E6-5610720AF59B}"/>
    <cellStyle name="Normal 3 2 2 2 2 2 29 2 2 8 3" xfId="29932" xr:uid="{C84B2E64-59E3-4841-8AF0-1C7A9526051E}"/>
    <cellStyle name="Normal 3 2 2 2 2 2 29 2 2 8 4" xfId="29933" xr:uid="{C2C08740-664B-4F39-BB45-2C54BDA682B6}"/>
    <cellStyle name="Normal 3 2 2 2 2 2 29 2 2 9" xfId="29934" xr:uid="{5ABBC1E7-8D19-4F61-98B3-549BDEFBCE30}"/>
    <cellStyle name="Normal 3 2 2 2 2 2 29 2 3" xfId="29935" xr:uid="{6D8B7029-385F-4151-9B89-052729D5EE22}"/>
    <cellStyle name="Normal 3 2 2 2 2 2 29 2 3 2" xfId="29936" xr:uid="{649A0D3A-8B42-4BEB-A300-0BC3DFDC480B}"/>
    <cellStyle name="Normal 3 2 2 2 2 2 29 2 3 2 2" xfId="29937" xr:uid="{D8B63C72-CE0A-4CC9-81D7-7A579D6172DC}"/>
    <cellStyle name="Normal 3 2 2 2 2 2 29 2 3 2 3" xfId="29938" xr:uid="{8CE24A3B-FE8D-412E-B505-E22409319778}"/>
    <cellStyle name="Normal 3 2 2 2 2 2 29 2 3 2 4" xfId="29939" xr:uid="{CE8D1F62-0FB2-4748-B687-105F427E722F}"/>
    <cellStyle name="Normal 3 2 2 2 2 2 29 2 3 3" xfId="29940" xr:uid="{32E7A6D3-7227-406B-9FAE-ADC935B06CAB}"/>
    <cellStyle name="Normal 3 2 2 2 2 2 29 2 3 4" xfId="29941" xr:uid="{FAA04EE5-04B3-4867-AB2B-063E5EC9D906}"/>
    <cellStyle name="Normal 3 2 2 2 2 2 29 2 3 5" xfId="29942" xr:uid="{3A966D99-3F2C-4895-9850-7AD1473A3DD7}"/>
    <cellStyle name="Normal 3 2 2 2 2 2 29 2 3 6" xfId="29943" xr:uid="{19C4E1FA-B6B3-4C6C-ACB2-61A6D4398943}"/>
    <cellStyle name="Normal 3 2 2 2 2 2 29 2 4" xfId="29944" xr:uid="{8F18D27D-7E2E-4A21-83BE-B9E4214C9B8F}"/>
    <cellStyle name="Normal 3 2 2 2 2 2 29 2 5" xfId="29945" xr:uid="{6A683B14-DFC3-42AB-AD40-89F8E45E2C76}"/>
    <cellStyle name="Normal 3 2 2 2 2 2 29 2 6" xfId="29946" xr:uid="{2E60D1CA-4B81-4A28-9C7F-1303CD0AB837}"/>
    <cellStyle name="Normal 3 2 2 2 2 2 29 2 7" xfId="29947" xr:uid="{61D0F4A3-7AF6-4817-9F44-2F767C9B9426}"/>
    <cellStyle name="Normal 3 2 2 2 2 2 29 2 8" xfId="29948" xr:uid="{34B43701-9F44-4E98-98E9-9C14E20C3139}"/>
    <cellStyle name="Normal 3 2 2 2 2 2 29 2 8 2" xfId="29949" xr:uid="{6B195CBB-9BDB-46CA-BA33-BE6FAC8B317C}"/>
    <cellStyle name="Normal 3 2 2 2 2 2 29 2 8 3" xfId="29950" xr:uid="{0D915DCC-F89E-4FFF-A42A-C8B67392BBFA}"/>
    <cellStyle name="Normal 3 2 2 2 2 2 29 2 8 4" xfId="29951" xr:uid="{1A08944F-C5C5-4273-BC5E-CD1E9E71C1A2}"/>
    <cellStyle name="Normal 3 2 2 2 2 2 29 2 9" xfId="29952" xr:uid="{523E7009-48DE-4990-BB42-6CEEE0D16D3D}"/>
    <cellStyle name="Normal 3 2 2 2 2 2 29 3" xfId="29953" xr:uid="{E5698ECF-67B7-40D8-B6E3-54DE7A6AD6E7}"/>
    <cellStyle name="Normal 3 2 2 2 2 2 29 4" xfId="29954" xr:uid="{058BC9C7-C8A6-46C5-8AF1-5CF75EC793BC}"/>
    <cellStyle name="Normal 3 2 2 2 2 2 29 5" xfId="29955" xr:uid="{D390483D-3465-4C4A-96C6-86972B16BB42}"/>
    <cellStyle name="Normal 3 2 2 2 2 2 29 5 2" xfId="29956" xr:uid="{689FE3B9-82AA-4E6E-8B20-3327682A994C}"/>
    <cellStyle name="Normal 3 2 2 2 2 2 29 5 2 2" xfId="29957" xr:uid="{796EAC62-B518-4C48-991A-2881F4C5E13B}"/>
    <cellStyle name="Normal 3 2 2 2 2 2 29 5 2 3" xfId="29958" xr:uid="{4FF56D45-4291-40D8-927D-E2869F617EAC}"/>
    <cellStyle name="Normal 3 2 2 2 2 2 29 5 2 4" xfId="29959" xr:uid="{73B17FA0-0A44-4482-A002-4AD0093FA422}"/>
    <cellStyle name="Normal 3 2 2 2 2 2 29 5 3" xfId="29960" xr:uid="{09B9D017-EF71-4745-ADCD-95DF5EB3BC95}"/>
    <cellStyle name="Normal 3 2 2 2 2 2 29 5 4" xfId="29961" xr:uid="{E7E947EF-47CC-4C50-9FBC-93DD6FB04430}"/>
    <cellStyle name="Normal 3 2 2 2 2 2 29 5 5" xfId="29962" xr:uid="{F7AB0AD7-E16E-4D78-B6E5-2177E7A0C660}"/>
    <cellStyle name="Normal 3 2 2 2 2 2 29 5 6" xfId="29963" xr:uid="{81B49F9A-0FF6-44C2-A485-177ED271A260}"/>
    <cellStyle name="Normal 3 2 2 2 2 2 29 6" xfId="29964" xr:uid="{E95A114E-C077-4C8E-85A8-FC68A3E69DB4}"/>
    <cellStyle name="Normal 3 2 2 2 2 2 29 7" xfId="29965" xr:uid="{8B7B8ED2-4E4C-4B82-8032-F6E1F103F178}"/>
    <cellStyle name="Normal 3 2 2 2 2 2 29 8" xfId="29966" xr:uid="{5425272E-ABA3-4865-90AE-20FE3D77BDF2}"/>
    <cellStyle name="Normal 3 2 2 2 2 2 29 9" xfId="29967" xr:uid="{C8B3E5EE-8035-4FDB-8538-4D6E4CDDA456}"/>
    <cellStyle name="Normal 3 2 2 2 2 2 3" xfId="29968" xr:uid="{C02E6D41-CFE2-4FBF-841E-C749EADE0A4A}"/>
    <cellStyle name="Normal 3 2 2 2 2 2 3 10" xfId="29969" xr:uid="{FC263788-A4FC-49C1-8EF3-E29A83659B21}"/>
    <cellStyle name="Normal 3 2 2 2 2 2 3 11" xfId="29970" xr:uid="{1BD5506B-73EB-42B1-98A4-5307ACA2DC06}"/>
    <cellStyle name="Normal 3 2 2 2 2 2 3 2" xfId="29971" xr:uid="{BB5A5A26-510D-40E5-A9B5-EB85DF1FF8BC}"/>
    <cellStyle name="Normal 3 2 2 2 2 2 3 2 2" xfId="29972" xr:uid="{66102567-9D1B-41C4-942D-6F37EFE37D38}"/>
    <cellStyle name="Normal 3 2 2 2 2 2 3 2 3" xfId="29973" xr:uid="{3CE6C7D0-71E2-4B63-A251-C8844B1A30B7}"/>
    <cellStyle name="Normal 3 2 2 2 2 2 3 2 4" xfId="29974" xr:uid="{9E62A38F-DCD2-45FC-BB6A-CA6374DC6C7E}"/>
    <cellStyle name="Normal 3 2 2 2 2 2 3 2 5" xfId="29975" xr:uid="{2E132534-540B-48A7-AED7-FA45D4474563}"/>
    <cellStyle name="Normal 3 2 2 2 2 2 3 2 6" xfId="29976" xr:uid="{23B5A5B5-76C2-4F7F-A5E4-E7AC8240FE2C}"/>
    <cellStyle name="Normal 3 2 2 2 2 2 3 3" xfId="29977" xr:uid="{D0021A35-F3C3-4048-BB78-E4A76DCC1A94}"/>
    <cellStyle name="Normal 3 2 2 2 2 2 3 3 2" xfId="29978" xr:uid="{6637FE95-7CD4-4261-9FE4-7B95E5CAE356}"/>
    <cellStyle name="Normal 3 2 2 2 2 2 3 3 3" xfId="29979" xr:uid="{AFDA5FEE-9AA2-45F0-8B28-C40A5A4198B6}"/>
    <cellStyle name="Normal 3 2 2 2 2 2 3 3 4" xfId="29980" xr:uid="{264C6F97-1A03-48F9-A0DB-BE2BFCD9E931}"/>
    <cellStyle name="Normal 3 2 2 2 2 2 3 3 5" xfId="29981" xr:uid="{14C75877-BE92-408C-B7AC-FE9DF5EB6EC5}"/>
    <cellStyle name="Normal 3 2 2 2 2 2 3 3 6" xfId="29982" xr:uid="{CD6AFC77-68F2-4141-9242-3B2AB6F43BF1}"/>
    <cellStyle name="Normal 3 2 2 2 2 2 3 4" xfId="29983" xr:uid="{A112AF57-F3AC-4935-B30F-0C87C6851077}"/>
    <cellStyle name="Normal 3 2 2 2 2 2 3 4 2" xfId="29984" xr:uid="{79E213B2-237D-4C13-8291-3424BA50DD30}"/>
    <cellStyle name="Normal 3 2 2 2 2 2 3 4 3" xfId="29985" xr:uid="{44752092-6286-4EEB-B260-44C6FAD28D06}"/>
    <cellStyle name="Normal 3 2 2 2 2 2 3 4 4" xfId="29986" xr:uid="{062F967A-AF06-4D9D-8D34-DFFBD0CEC6BF}"/>
    <cellStyle name="Normal 3 2 2 2 2 2 3 4 5" xfId="29987" xr:uid="{881B06BB-C830-41B5-A1A0-466B4B350226}"/>
    <cellStyle name="Normal 3 2 2 2 2 2 3 4 6" xfId="29988" xr:uid="{6DBA0251-AAE6-4416-A0C0-E1AE2B99D5F6}"/>
    <cellStyle name="Normal 3 2 2 2 2 2 3 5" xfId="29989" xr:uid="{F9444870-7589-4295-83AD-C0B5F8F20B27}"/>
    <cellStyle name="Normal 3 2 2 2 2 2 3 5 2" xfId="29990" xr:uid="{9DF9FAAB-B7DC-4E18-8073-05289448DCF6}"/>
    <cellStyle name="Normal 3 2 2 2 2 2 3 5 3" xfId="29991" xr:uid="{66C13A90-7D2A-45FF-86F1-C0B7FCE11DCA}"/>
    <cellStyle name="Normal 3 2 2 2 2 2 3 5 4" xfId="29992" xr:uid="{2B467C83-B5F9-42F9-9A1B-E59F3835C303}"/>
    <cellStyle name="Normal 3 2 2 2 2 2 3 5 5" xfId="29993" xr:uid="{33C44492-4061-43E9-BBBF-11E2FA4B48B9}"/>
    <cellStyle name="Normal 3 2 2 2 2 2 3 5 6" xfId="29994" xr:uid="{C2B67C72-2862-4BD8-9165-FCF75A38EEF5}"/>
    <cellStyle name="Normal 3 2 2 2 2 2 3 6" xfId="29995" xr:uid="{A918D5EB-833D-4B49-9528-0669DE487017}"/>
    <cellStyle name="Normal 3 2 2 2 2 2 3 6 2" xfId="29996" xr:uid="{2F1112AA-66FC-44A3-BE34-31D4A6775E90}"/>
    <cellStyle name="Normal 3 2 2 2 2 2 3 6 3" xfId="29997" xr:uid="{429AE27B-311B-4E8F-9EC1-2E5F09929F64}"/>
    <cellStyle name="Normal 3 2 2 2 2 2 3 6 4" xfId="29998" xr:uid="{1722166F-D546-44C0-9A8D-7EADC7B1B137}"/>
    <cellStyle name="Normal 3 2 2 2 2 2 3 6 5" xfId="29999" xr:uid="{858C123B-E8B3-470B-9947-FCC646318F21}"/>
    <cellStyle name="Normal 3 2 2 2 2 2 3 6 6" xfId="30000" xr:uid="{7B680E54-9BAB-4160-B844-506B26569DBC}"/>
    <cellStyle name="Normal 3 2 2 2 2 2 3 7" xfId="30001" xr:uid="{ED4AFAE8-9F66-4653-84B1-6DB9CC9D5755}"/>
    <cellStyle name="Normal 3 2 2 2 2 2 3 8" xfId="30002" xr:uid="{0F9879FB-AA75-4A7F-8563-DF3CAF4AEA71}"/>
    <cellStyle name="Normal 3 2 2 2 2 2 3 9" xfId="30003" xr:uid="{64B60468-120D-450F-89D6-50E8C211B093}"/>
    <cellStyle name="Normal 3 2 2 2 2 2 30" xfId="30004" xr:uid="{F9D38791-1ABF-4937-946F-52C87D827936}"/>
    <cellStyle name="Normal 3 2 2 2 2 2 31" xfId="30005" xr:uid="{DAE48946-61EE-481A-BF97-176123043F6E}"/>
    <cellStyle name="Normal 3 2 2 2 2 2 31 10" xfId="30006" xr:uid="{0FAC45E6-8F75-4A8B-9AB6-A32EF0980450}"/>
    <cellStyle name="Normal 3 2 2 2 2 2 31 11" xfId="30007" xr:uid="{F8AD2CDC-3B1A-421D-868A-BFBB76DB7033}"/>
    <cellStyle name="Normal 3 2 2 2 2 2 31 2" xfId="30008" xr:uid="{44A0FEF1-7745-496F-A8D7-02F40BFE8EE9}"/>
    <cellStyle name="Normal 3 2 2 2 2 2 31 2 10" xfId="30009" xr:uid="{57066560-CCE1-449C-84B8-674B89371A00}"/>
    <cellStyle name="Normal 3 2 2 2 2 2 31 2 11" xfId="30010" xr:uid="{CD1BAA16-7032-460D-A997-EB22F6333754}"/>
    <cellStyle name="Normal 3 2 2 2 2 2 31 2 2" xfId="30011" xr:uid="{448F3E77-6FB7-47BC-A09E-5DB88978C54E}"/>
    <cellStyle name="Normal 3 2 2 2 2 2 31 2 2 2" xfId="30012" xr:uid="{9D2AD868-47F2-4600-A2F0-6C5CD7BC5FA9}"/>
    <cellStyle name="Normal 3 2 2 2 2 2 31 2 2 2 2" xfId="30013" xr:uid="{28EFCB5E-0188-4449-B22A-D0475B9CB9E0}"/>
    <cellStyle name="Normal 3 2 2 2 2 2 31 2 2 2 3" xfId="30014" xr:uid="{625C364F-B35A-43D9-A634-D1EB8F4D89A9}"/>
    <cellStyle name="Normal 3 2 2 2 2 2 31 2 2 2 4" xfId="30015" xr:uid="{6EEA8DF9-A99E-4FAE-B42D-2B8F209C0329}"/>
    <cellStyle name="Normal 3 2 2 2 2 2 31 2 2 3" xfId="30016" xr:uid="{AB90AE99-8C6F-4D4E-A267-8A48EA163180}"/>
    <cellStyle name="Normal 3 2 2 2 2 2 31 2 2 4" xfId="30017" xr:uid="{448FCC27-FDC6-4693-A212-E75EF7AE431A}"/>
    <cellStyle name="Normal 3 2 2 2 2 2 31 2 2 5" xfId="30018" xr:uid="{7EF7557E-40BF-4E48-BE70-CF950B2A551C}"/>
    <cellStyle name="Normal 3 2 2 2 2 2 31 2 2 6" xfId="30019" xr:uid="{2B143AB3-766B-46BE-A9F0-D534A2E83A8D}"/>
    <cellStyle name="Normal 3 2 2 2 2 2 31 2 3" xfId="30020" xr:uid="{4739830A-D3F9-46B4-8173-4DCFA41FC697}"/>
    <cellStyle name="Normal 3 2 2 2 2 2 31 2 4" xfId="30021" xr:uid="{354AE7DA-9186-4CB2-9695-8AB6A56A640C}"/>
    <cellStyle name="Normal 3 2 2 2 2 2 31 2 5" xfId="30022" xr:uid="{EA5BC000-0646-4631-8CCE-27E06E4AF3AF}"/>
    <cellStyle name="Normal 3 2 2 2 2 2 31 2 6" xfId="30023" xr:uid="{D643B34F-C03E-405B-B9E2-CCE3A456C439}"/>
    <cellStyle name="Normal 3 2 2 2 2 2 31 2 7" xfId="30024" xr:uid="{3E38EBE3-7375-4C27-ABAC-6E54E88C9A49}"/>
    <cellStyle name="Normal 3 2 2 2 2 2 31 2 8" xfId="30025" xr:uid="{B327E3C7-8C9F-4434-976B-2552937A29B1}"/>
    <cellStyle name="Normal 3 2 2 2 2 2 31 2 8 2" xfId="30026" xr:uid="{35F4C67B-7EDE-46AA-B8C1-234D76054947}"/>
    <cellStyle name="Normal 3 2 2 2 2 2 31 2 8 3" xfId="30027" xr:uid="{BF07A985-31AE-44F8-92FF-D98B08A482E2}"/>
    <cellStyle name="Normal 3 2 2 2 2 2 31 2 8 4" xfId="30028" xr:uid="{F306C991-0D80-4F3C-95BC-9106F02993CE}"/>
    <cellStyle name="Normal 3 2 2 2 2 2 31 2 9" xfId="30029" xr:uid="{F0D343BE-9C6D-4C38-B58C-517C41AEDB69}"/>
    <cellStyle name="Normal 3 2 2 2 2 2 31 3" xfId="30030" xr:uid="{139268CC-B1FA-4D9E-BC68-A6042411C0CB}"/>
    <cellStyle name="Normal 3 2 2 2 2 2 31 3 2" xfId="30031" xr:uid="{7DF3806B-024A-42BA-9A23-5C9CA6F402A6}"/>
    <cellStyle name="Normal 3 2 2 2 2 2 31 3 2 2" xfId="30032" xr:uid="{5D49284A-0789-4476-9856-F3E29555E75A}"/>
    <cellStyle name="Normal 3 2 2 2 2 2 31 3 2 3" xfId="30033" xr:uid="{89B47997-4ED4-437F-89E2-E5E101057BB8}"/>
    <cellStyle name="Normal 3 2 2 2 2 2 31 3 2 4" xfId="30034" xr:uid="{E24062BB-1942-4E1E-A930-9097A512F0CA}"/>
    <cellStyle name="Normal 3 2 2 2 2 2 31 3 3" xfId="30035" xr:uid="{4C5BCAAE-41EF-4D91-929E-36A2666E8B12}"/>
    <cellStyle name="Normal 3 2 2 2 2 2 31 3 4" xfId="30036" xr:uid="{45DCDD3E-A3DB-47F6-9065-FA6657313DEF}"/>
    <cellStyle name="Normal 3 2 2 2 2 2 31 3 5" xfId="30037" xr:uid="{64DB36A7-3AF7-429F-8E82-D84FD82A2FF4}"/>
    <cellStyle name="Normal 3 2 2 2 2 2 31 3 6" xfId="30038" xr:uid="{E260E9AE-9D16-4A98-94A6-E2D579B3A8E9}"/>
    <cellStyle name="Normal 3 2 2 2 2 2 31 4" xfId="30039" xr:uid="{6AEAA291-BE30-4EBD-938E-D15B1E42AFAB}"/>
    <cellStyle name="Normal 3 2 2 2 2 2 31 5" xfId="30040" xr:uid="{D0253CD5-0D17-4AC9-B806-792AEB59F902}"/>
    <cellStyle name="Normal 3 2 2 2 2 2 31 6" xfId="30041" xr:uid="{8A60E3AE-9EA3-46E9-BD8F-80A5DA6F70DB}"/>
    <cellStyle name="Normal 3 2 2 2 2 2 31 7" xfId="30042" xr:uid="{76C35CAC-9A22-420F-8BEA-0E63DB45675F}"/>
    <cellStyle name="Normal 3 2 2 2 2 2 31 8" xfId="30043" xr:uid="{FE89B4A4-9F17-46AE-AF50-D90AB9FC2C1F}"/>
    <cellStyle name="Normal 3 2 2 2 2 2 31 8 2" xfId="30044" xr:uid="{7B932742-6806-48A2-8ADC-B083DC31F030}"/>
    <cellStyle name="Normal 3 2 2 2 2 2 31 8 3" xfId="30045" xr:uid="{9A588B5A-BE5D-4007-9834-E673F5EE3D77}"/>
    <cellStyle name="Normal 3 2 2 2 2 2 31 8 4" xfId="30046" xr:uid="{6979D90C-E845-40BE-A7E3-32184CA8695D}"/>
    <cellStyle name="Normal 3 2 2 2 2 2 31 9" xfId="30047" xr:uid="{14E39491-92D8-49AE-B55E-3260E7C58A2D}"/>
    <cellStyle name="Normal 3 2 2 2 2 2 32" xfId="30048" xr:uid="{91D43947-B7A0-4ACC-AF95-FB4A98B6D0D7}"/>
    <cellStyle name="Normal 3 2 2 2 2 2 33" xfId="30049" xr:uid="{20E0480F-CA9E-4A32-B543-305CE0534A54}"/>
    <cellStyle name="Normal 3 2 2 2 2 2 33 2" xfId="30050" xr:uid="{4FC27EA3-590F-4EB0-8B45-A3524394565E}"/>
    <cellStyle name="Normal 3 2 2 2 2 2 33 2 2" xfId="30051" xr:uid="{DF55BCEE-1853-46C4-B30C-E5145BC817DD}"/>
    <cellStyle name="Normal 3 2 2 2 2 2 33 2 3" xfId="30052" xr:uid="{1F20DBD3-0480-489B-9D15-4D432E842C52}"/>
    <cellStyle name="Normal 3 2 2 2 2 2 33 2 4" xfId="30053" xr:uid="{732C5434-A947-4C55-A4F5-FCC8F545F972}"/>
    <cellStyle name="Normal 3 2 2 2 2 2 33 3" xfId="30054" xr:uid="{5B3C147B-B7AC-4714-882B-927F5936F1F6}"/>
    <cellStyle name="Normal 3 2 2 2 2 2 33 4" xfId="30055" xr:uid="{618333DC-1C4A-4268-AFDC-87A3B648BFF9}"/>
    <cellStyle name="Normal 3 2 2 2 2 2 33 5" xfId="30056" xr:uid="{6D4EAC61-5539-450D-995C-1FCCDB440D47}"/>
    <cellStyle name="Normal 3 2 2 2 2 2 33 6" xfId="30057" xr:uid="{F9070827-950B-48EC-9EAC-3CFF17172B55}"/>
    <cellStyle name="Normal 3 2 2 2 2 2 34" xfId="30058" xr:uid="{3093DDC2-49FA-4E0D-952F-6F76BB924AEF}"/>
    <cellStyle name="Normal 3 2 2 2 2 2 35" xfId="30059" xr:uid="{44D00851-68F4-46C6-8A34-40ED3E644C60}"/>
    <cellStyle name="Normal 3 2 2 2 2 2 36" xfId="30060" xr:uid="{C2A955F8-7259-4033-A5E1-CE42665E1C7D}"/>
    <cellStyle name="Normal 3 2 2 2 2 2 37" xfId="30061" xr:uid="{D64DCF82-3EE8-4D19-BB6C-86DBE1FDB908}"/>
    <cellStyle name="Normal 3 2 2 2 2 2 38" xfId="30062" xr:uid="{E0496006-08E1-4125-AD01-E1DE1B00F16A}"/>
    <cellStyle name="Normal 3 2 2 2 2 2 39" xfId="30063" xr:uid="{6871F9D2-C877-42E0-9376-448052A65A44}"/>
    <cellStyle name="Normal 3 2 2 2 2 2 39 2" xfId="30064" xr:uid="{2CDFD151-21F5-44CB-9246-113E9580CBE1}"/>
    <cellStyle name="Normal 3 2 2 2 2 2 39 3" xfId="30065" xr:uid="{63C37DF2-91E6-43CA-A1CB-8E6C53B7C11C}"/>
    <cellStyle name="Normal 3 2 2 2 2 2 39 4" xfId="30066" xr:uid="{7648BA0A-5F09-4284-9DC9-0267EBE24389}"/>
    <cellStyle name="Normal 3 2 2 2 2 2 4" xfId="30067" xr:uid="{1765672A-C472-4F78-A7F5-EA02C9781734}"/>
    <cellStyle name="Normal 3 2 2 2 2 2 4 10" xfId="30068" xr:uid="{90A4D070-607D-4D66-AFCF-833A91A4C7AD}"/>
    <cellStyle name="Normal 3 2 2 2 2 2 4 11" xfId="30069" xr:uid="{BACE4773-E379-4411-B7E8-FA0F92BD92E4}"/>
    <cellStyle name="Normal 3 2 2 2 2 2 4 2" xfId="30070" xr:uid="{20EF5621-B77F-4BFA-8A62-4CAD67821F71}"/>
    <cellStyle name="Normal 3 2 2 2 2 2 4 2 2" xfId="30071" xr:uid="{FF8E9599-41CC-470A-BF75-0E8EBA76A3ED}"/>
    <cellStyle name="Normal 3 2 2 2 2 2 4 2 3" xfId="30072" xr:uid="{4D5E0592-80C8-4051-A1F3-AF52744772B8}"/>
    <cellStyle name="Normal 3 2 2 2 2 2 4 2 4" xfId="30073" xr:uid="{00F01055-4EC7-4662-820A-7CDFCCD9E695}"/>
    <cellStyle name="Normal 3 2 2 2 2 2 4 2 5" xfId="30074" xr:uid="{03D584F7-94BD-42B6-AE01-82568E238DB9}"/>
    <cellStyle name="Normal 3 2 2 2 2 2 4 2 6" xfId="30075" xr:uid="{EF7B1D2E-7164-4612-9A4B-D00AB38ABC77}"/>
    <cellStyle name="Normal 3 2 2 2 2 2 4 3" xfId="30076" xr:uid="{047DAC96-1514-48C5-B2FF-887C18D88CB7}"/>
    <cellStyle name="Normal 3 2 2 2 2 2 4 3 2" xfId="30077" xr:uid="{E3312030-A248-4C83-A993-B8CD0BE63B55}"/>
    <cellStyle name="Normal 3 2 2 2 2 2 4 3 3" xfId="30078" xr:uid="{FCEC8C90-795A-45A0-83AC-1F3CEF88E991}"/>
    <cellStyle name="Normal 3 2 2 2 2 2 4 3 4" xfId="30079" xr:uid="{6EC14C4F-1332-474C-827F-BE0D92066CD3}"/>
    <cellStyle name="Normal 3 2 2 2 2 2 4 3 5" xfId="30080" xr:uid="{95AA1C72-F780-469F-84BC-EA14B2E24FCC}"/>
    <cellStyle name="Normal 3 2 2 2 2 2 4 3 6" xfId="30081" xr:uid="{CAB04967-D1A9-4E5D-87A2-7D93A1858605}"/>
    <cellStyle name="Normal 3 2 2 2 2 2 4 4" xfId="30082" xr:uid="{766FF2A6-56F4-4236-A35B-08480DFB82C9}"/>
    <cellStyle name="Normal 3 2 2 2 2 2 4 4 2" xfId="30083" xr:uid="{CC813CD3-04CF-4377-A521-11F6CFD2E7A6}"/>
    <cellStyle name="Normal 3 2 2 2 2 2 4 4 3" xfId="30084" xr:uid="{7D67D582-447A-4341-957C-4D9ED373EE09}"/>
    <cellStyle name="Normal 3 2 2 2 2 2 4 4 4" xfId="30085" xr:uid="{DD887CDE-F238-463A-8913-4C6A0E4C29E7}"/>
    <cellStyle name="Normal 3 2 2 2 2 2 4 4 5" xfId="30086" xr:uid="{55E10CA1-6573-4BC5-A5D4-9C83B7B6C0F9}"/>
    <cellStyle name="Normal 3 2 2 2 2 2 4 4 6" xfId="30087" xr:uid="{0C47E6CB-91AB-4C02-A1C9-1248EE21B0C9}"/>
    <cellStyle name="Normal 3 2 2 2 2 2 4 5" xfId="30088" xr:uid="{12D3E5B0-C3E0-4394-BB39-0113D3F8AF7B}"/>
    <cellStyle name="Normal 3 2 2 2 2 2 4 5 2" xfId="30089" xr:uid="{B1FD89E7-F117-45C8-9690-6ADEFEBE4E52}"/>
    <cellStyle name="Normal 3 2 2 2 2 2 4 5 3" xfId="30090" xr:uid="{E604ABBD-F75F-445F-A3AB-EB5E9CA055D4}"/>
    <cellStyle name="Normal 3 2 2 2 2 2 4 5 4" xfId="30091" xr:uid="{CE1B698D-A2E0-4D8C-B172-8C65358DDC0D}"/>
    <cellStyle name="Normal 3 2 2 2 2 2 4 5 5" xfId="30092" xr:uid="{6579C0F9-8139-4ADF-81AC-4B08C2600ABE}"/>
    <cellStyle name="Normal 3 2 2 2 2 2 4 5 6" xfId="30093" xr:uid="{E427026A-7733-41BB-8D02-6AA2BD8D5FC1}"/>
    <cellStyle name="Normal 3 2 2 2 2 2 4 6" xfId="30094" xr:uid="{4BE240FB-2C92-4472-A37A-CAEE89EB2671}"/>
    <cellStyle name="Normal 3 2 2 2 2 2 4 6 2" xfId="30095" xr:uid="{F24A5F84-D7FB-40AF-83AA-7571022B5000}"/>
    <cellStyle name="Normal 3 2 2 2 2 2 4 6 3" xfId="30096" xr:uid="{7269B00B-F44D-480F-B67F-06A356C5F1ED}"/>
    <cellStyle name="Normal 3 2 2 2 2 2 4 6 4" xfId="30097" xr:uid="{2FB2EACD-ADAD-4B25-A9C2-9374AAEA4893}"/>
    <cellStyle name="Normal 3 2 2 2 2 2 4 6 5" xfId="30098" xr:uid="{103692C6-5D87-471B-A362-80D10FB4522A}"/>
    <cellStyle name="Normal 3 2 2 2 2 2 4 6 6" xfId="30099" xr:uid="{921FC05D-972C-4632-AB61-2CEDF2736EA0}"/>
    <cellStyle name="Normal 3 2 2 2 2 2 4 7" xfId="30100" xr:uid="{F21A736F-CA1F-4D13-865C-E23C6EB5F6F6}"/>
    <cellStyle name="Normal 3 2 2 2 2 2 4 8" xfId="30101" xr:uid="{00395322-DE8E-4B49-BE31-1E15D1932B30}"/>
    <cellStyle name="Normal 3 2 2 2 2 2 4 9" xfId="30102" xr:uid="{640A0079-5306-4850-8CA9-1A27FF9FA0FB}"/>
    <cellStyle name="Normal 3 2 2 2 2 2 40" xfId="30103" xr:uid="{23620F8F-68E3-4D08-9FB7-05822CB4F675}"/>
    <cellStyle name="Normal 3 2 2 2 2 2 41" xfId="30104" xr:uid="{F4F7852A-C451-43D2-9EDB-1ECD9F3E2F46}"/>
    <cellStyle name="Normal 3 2 2 2 2 2 42" xfId="30105" xr:uid="{8C447B6F-844E-40F4-BC7B-59171DA7AB48}"/>
    <cellStyle name="Normal 3 2 2 2 2 2 43" xfId="30106" xr:uid="{5F7453F4-C26A-48BF-9CCE-3FB9CCDC4162}"/>
    <cellStyle name="Normal 3 2 2 2 2 2 44" xfId="30107" xr:uid="{2814246F-C9F9-4808-9138-4B78CE0DC096}"/>
    <cellStyle name="Normal 3 2 2 2 2 2 45" xfId="30108" xr:uid="{54932B81-95B5-46AF-9D15-52D413F39A4D}"/>
    <cellStyle name="Normal 3 2 2 2 2 2 46" xfId="30109" xr:uid="{ED496D48-A2E1-4932-8347-B95AF0B645C4}"/>
    <cellStyle name="Normal 3 2 2 2 2 2 47" xfId="30110" xr:uid="{2A885154-67E1-468E-8C57-CA7595797166}"/>
    <cellStyle name="Normal 3 2 2 2 2 2 48" xfId="30111" xr:uid="{F65F0368-CD54-4C4C-8D39-418E5BBD5209}"/>
    <cellStyle name="Normal 3 2 2 2 2 2 49" xfId="30112" xr:uid="{8D9711B4-E73F-4B1B-A5EE-7125DE57FC16}"/>
    <cellStyle name="Normal 3 2 2 2 2 2 5" xfId="30113" xr:uid="{7DB609B2-03D6-4BC4-90E2-19B1048E7C90}"/>
    <cellStyle name="Normal 3 2 2 2 2 2 5 10" xfId="30114" xr:uid="{1E57BA7C-38E8-4A12-96B5-180783A6687D}"/>
    <cellStyle name="Normal 3 2 2 2 2 2 5 11" xfId="30115" xr:uid="{F562A785-BC1E-4B28-9021-CD6ADE23ACF5}"/>
    <cellStyle name="Normal 3 2 2 2 2 2 5 2" xfId="30116" xr:uid="{71B27111-95D6-460C-86B4-8A8C4D06F703}"/>
    <cellStyle name="Normal 3 2 2 2 2 2 5 2 2" xfId="30117" xr:uid="{820F078C-1827-4389-AFFA-599E8557B80C}"/>
    <cellStyle name="Normal 3 2 2 2 2 2 5 2 3" xfId="30118" xr:uid="{3E7D1FA9-8053-4E28-974B-FF71A5C2F605}"/>
    <cellStyle name="Normal 3 2 2 2 2 2 5 2 4" xfId="30119" xr:uid="{B6212F3D-8346-4038-B8B8-142EE487A938}"/>
    <cellStyle name="Normal 3 2 2 2 2 2 5 2 5" xfId="30120" xr:uid="{1E5029F5-60CB-4C65-B1FD-FBE10E394511}"/>
    <cellStyle name="Normal 3 2 2 2 2 2 5 2 6" xfId="30121" xr:uid="{A45FF774-B12E-4603-AA4B-22E4BC868000}"/>
    <cellStyle name="Normal 3 2 2 2 2 2 5 3" xfId="30122" xr:uid="{7C0B588A-B401-4F3B-83C4-168FF3E2E94B}"/>
    <cellStyle name="Normal 3 2 2 2 2 2 5 3 2" xfId="30123" xr:uid="{BF5B8833-7A13-467B-BD20-1EC71DACDFC2}"/>
    <cellStyle name="Normal 3 2 2 2 2 2 5 3 3" xfId="30124" xr:uid="{7565879E-C055-4072-A40C-422D400947F4}"/>
    <cellStyle name="Normal 3 2 2 2 2 2 5 3 4" xfId="30125" xr:uid="{309298B6-B044-4583-9A3B-582D53FEAD44}"/>
    <cellStyle name="Normal 3 2 2 2 2 2 5 3 5" xfId="30126" xr:uid="{78DE34F8-96FE-4CCE-9D14-1838270B131F}"/>
    <cellStyle name="Normal 3 2 2 2 2 2 5 3 6" xfId="30127" xr:uid="{D62624A8-E7EA-493D-88E8-B74801126E20}"/>
    <cellStyle name="Normal 3 2 2 2 2 2 5 4" xfId="30128" xr:uid="{8974B245-B2E8-47D8-926B-1734FA3B8A5A}"/>
    <cellStyle name="Normal 3 2 2 2 2 2 5 4 2" xfId="30129" xr:uid="{588E06B4-8431-43B2-BC19-1BBE37687E3B}"/>
    <cellStyle name="Normal 3 2 2 2 2 2 5 4 3" xfId="30130" xr:uid="{C5C9D53A-401F-4242-87DC-723B37D973D9}"/>
    <cellStyle name="Normal 3 2 2 2 2 2 5 4 4" xfId="30131" xr:uid="{217615F9-30FD-4C10-A118-17EB5C66971A}"/>
    <cellStyle name="Normal 3 2 2 2 2 2 5 4 5" xfId="30132" xr:uid="{12E4E211-F26E-4EF8-B988-1C04C752F3F2}"/>
    <cellStyle name="Normal 3 2 2 2 2 2 5 4 6" xfId="30133" xr:uid="{F33002A5-EB76-4748-B196-DCEF02255683}"/>
    <cellStyle name="Normal 3 2 2 2 2 2 5 5" xfId="30134" xr:uid="{19939C8E-F10F-479E-9887-110F88168879}"/>
    <cellStyle name="Normal 3 2 2 2 2 2 5 5 2" xfId="30135" xr:uid="{437B4B24-6773-49AC-998D-6DCC21E3B4B5}"/>
    <cellStyle name="Normal 3 2 2 2 2 2 5 5 3" xfId="30136" xr:uid="{C375A983-2CF6-4B3B-A61A-C0856C7A1E89}"/>
    <cellStyle name="Normal 3 2 2 2 2 2 5 5 4" xfId="30137" xr:uid="{5934F49F-9C5B-47CE-973C-A9823C296F69}"/>
    <cellStyle name="Normal 3 2 2 2 2 2 5 5 5" xfId="30138" xr:uid="{BBBF6FB5-2F12-4BE6-B103-FBE6EA261E64}"/>
    <cellStyle name="Normal 3 2 2 2 2 2 5 5 6" xfId="30139" xr:uid="{9DAD80A4-4885-442B-8F2B-DAF75887DC66}"/>
    <cellStyle name="Normal 3 2 2 2 2 2 5 6" xfId="30140" xr:uid="{32D8CA39-0289-4F3E-AE5D-6AC6CD35160D}"/>
    <cellStyle name="Normal 3 2 2 2 2 2 5 6 2" xfId="30141" xr:uid="{DBBB3ED3-15DF-4A91-B728-EE15CC44D777}"/>
    <cellStyle name="Normal 3 2 2 2 2 2 5 6 3" xfId="30142" xr:uid="{A3C912F0-B6CA-46EA-BE0F-B4670838D093}"/>
    <cellStyle name="Normal 3 2 2 2 2 2 5 6 4" xfId="30143" xr:uid="{880CC3E5-0BEB-4A84-A880-DE810089B558}"/>
    <cellStyle name="Normal 3 2 2 2 2 2 5 6 5" xfId="30144" xr:uid="{BD9BCBBE-CDCD-403A-AB97-392E6DAD6386}"/>
    <cellStyle name="Normal 3 2 2 2 2 2 5 6 6" xfId="30145" xr:uid="{8F21CC6B-4B05-45D5-BFFE-CDD94A0BE888}"/>
    <cellStyle name="Normal 3 2 2 2 2 2 5 7" xfId="30146" xr:uid="{C89A6CF0-5666-4341-A663-8B4000CECA99}"/>
    <cellStyle name="Normal 3 2 2 2 2 2 5 8" xfId="30147" xr:uid="{4BC2A68D-8C6A-40AB-8950-42EFCACF80F0}"/>
    <cellStyle name="Normal 3 2 2 2 2 2 5 9" xfId="30148" xr:uid="{5D95CC8E-8B89-49B0-9491-0B015D55493E}"/>
    <cellStyle name="Normal 3 2 2 2 2 2 50" xfId="30149" xr:uid="{62113255-DE63-4E0F-9A5B-F47DE9FC530B}"/>
    <cellStyle name="Normal 3 2 2 2 2 2 51" xfId="30150" xr:uid="{07D452E2-0792-4D6F-8A72-2F95DA52F848}"/>
    <cellStyle name="Normal 3 2 2 2 2 2 52" xfId="30151" xr:uid="{F67D3D29-2649-4EE4-9F27-A9F2E49E6FCC}"/>
    <cellStyle name="Normal 3 2 2 2 2 2 53" xfId="30152" xr:uid="{F3A0C401-0858-498F-864C-4855A39A8709}"/>
    <cellStyle name="Normal 3 2 2 2 2 2 54" xfId="30153" xr:uid="{83B8BDF5-66F7-4612-9A72-F9831A56D714}"/>
    <cellStyle name="Normal 3 2 2 2 2 2 54 2" xfId="30154" xr:uid="{BACF1743-A380-4BF9-9C61-088DFA69ADEF}"/>
    <cellStyle name="Normal 3 2 2 2 2 2 54 3" xfId="30155" xr:uid="{E4DA92EC-602F-40FB-AB92-43E80A45BDFD}"/>
    <cellStyle name="Normal 3 2 2 2 2 2 54 4" xfId="30156" xr:uid="{681FA3A0-F444-49BA-BC4D-13B21D4F31A7}"/>
    <cellStyle name="Normal 3 2 2 2 2 2 54 5" xfId="30157" xr:uid="{0F1A15D6-DC67-479C-892E-256F133BAEF0}"/>
    <cellStyle name="Normal 3 2 2 2 2 2 54 6" xfId="30158" xr:uid="{CEFBEA9D-3FE5-4E7F-B446-540473DE1AD8}"/>
    <cellStyle name="Normal 3 2 2 2 2 2 54 7" xfId="30159" xr:uid="{C2024BC4-234F-45F6-8E98-8973C685CBE8}"/>
    <cellStyle name="Normal 3 2 2 2 2 2 55" xfId="30160" xr:uid="{94B5A7D3-7B6D-4AF7-B227-A61C199F6E86}"/>
    <cellStyle name="Normal 3 2 2 2 2 2 56" xfId="30161" xr:uid="{9CC9ECC3-AE12-4E92-BFAD-B1EE62FA83CC}"/>
    <cellStyle name="Normal 3 2 2 2 2 2 57" xfId="30162" xr:uid="{0B1BBA3A-FA5A-488D-9517-F8C6FA6DCB09}"/>
    <cellStyle name="Normal 3 2 2 2 2 2 58" xfId="30163" xr:uid="{688C3285-6682-41C0-9E27-390998877EDE}"/>
    <cellStyle name="Normal 3 2 2 2 2 2 59" xfId="30164" xr:uid="{D67AEB7A-3B3C-4F3B-AE77-758AE33D623C}"/>
    <cellStyle name="Normal 3 2 2 2 2 2 6" xfId="30165" xr:uid="{324D8D0E-BEA4-4E61-862D-6FACD9D7D613}"/>
    <cellStyle name="Normal 3 2 2 2 2 2 6 10" xfId="30166" xr:uid="{6C8FB133-014A-4B3B-8B3E-0F88DE1D9AA6}"/>
    <cellStyle name="Normal 3 2 2 2 2 2 6 11" xfId="30167" xr:uid="{A87975A4-A023-49CD-9F52-A7F3F4925C26}"/>
    <cellStyle name="Normal 3 2 2 2 2 2 6 2" xfId="30168" xr:uid="{D74C51B3-1727-4AAB-B6C5-BA8F3A0168AC}"/>
    <cellStyle name="Normal 3 2 2 2 2 2 6 2 2" xfId="30169" xr:uid="{EFAAC0AC-C1A0-47DF-8904-08B8158B2DAA}"/>
    <cellStyle name="Normal 3 2 2 2 2 2 6 2 3" xfId="30170" xr:uid="{7A51BD4E-F62C-434C-8C5C-A98258D57977}"/>
    <cellStyle name="Normal 3 2 2 2 2 2 6 2 4" xfId="30171" xr:uid="{62A5BB43-0C5D-4B14-9FE7-EE58BC5C79DB}"/>
    <cellStyle name="Normal 3 2 2 2 2 2 6 2 5" xfId="30172" xr:uid="{1B4192D2-CE32-4E8E-AD0D-2527C8B2EFD1}"/>
    <cellStyle name="Normal 3 2 2 2 2 2 6 2 6" xfId="30173" xr:uid="{E214E8C4-D308-4375-9696-7CBB58291596}"/>
    <cellStyle name="Normal 3 2 2 2 2 2 6 3" xfId="30174" xr:uid="{68813318-F92A-444A-8F75-C60BE3E69CD8}"/>
    <cellStyle name="Normal 3 2 2 2 2 2 6 3 2" xfId="30175" xr:uid="{C06F355C-99C7-47DD-8C6C-75EDBDB2E48B}"/>
    <cellStyle name="Normal 3 2 2 2 2 2 6 3 3" xfId="30176" xr:uid="{350E9949-0AE3-410B-A68C-EF1545EEB478}"/>
    <cellStyle name="Normal 3 2 2 2 2 2 6 3 4" xfId="30177" xr:uid="{1A0DA757-52F4-4287-B08D-A7E383FABACD}"/>
    <cellStyle name="Normal 3 2 2 2 2 2 6 3 5" xfId="30178" xr:uid="{08D665BB-DFC3-43D6-9DA6-889D8D2B8987}"/>
    <cellStyle name="Normal 3 2 2 2 2 2 6 3 6" xfId="30179" xr:uid="{3155AEC7-19B3-498A-8AF0-9865FE5943A3}"/>
    <cellStyle name="Normal 3 2 2 2 2 2 6 4" xfId="30180" xr:uid="{A38D7D6B-9DFA-4059-81E2-D3A0757B2BCE}"/>
    <cellStyle name="Normal 3 2 2 2 2 2 6 4 2" xfId="30181" xr:uid="{6FD056B3-9C84-4A2E-903E-38AFE2139FA8}"/>
    <cellStyle name="Normal 3 2 2 2 2 2 6 4 3" xfId="30182" xr:uid="{E0D4C55E-B392-48F3-8DA7-2404FD55E9E2}"/>
    <cellStyle name="Normal 3 2 2 2 2 2 6 4 4" xfId="30183" xr:uid="{59C10855-4964-442C-940D-86FD07AF2097}"/>
    <cellStyle name="Normal 3 2 2 2 2 2 6 4 5" xfId="30184" xr:uid="{68736A8F-785B-4642-92F7-2A751D7C9F65}"/>
    <cellStyle name="Normal 3 2 2 2 2 2 6 4 6" xfId="30185" xr:uid="{0FA1A80E-0684-476B-A4A3-A3DE45AA1C64}"/>
    <cellStyle name="Normal 3 2 2 2 2 2 6 5" xfId="30186" xr:uid="{96AC6525-E527-45C4-B070-7C405424AE6A}"/>
    <cellStyle name="Normal 3 2 2 2 2 2 6 5 2" xfId="30187" xr:uid="{E00B6892-15A2-446C-B313-8060093713BE}"/>
    <cellStyle name="Normal 3 2 2 2 2 2 6 5 3" xfId="30188" xr:uid="{AC7DFAC9-1C33-4A6D-867C-FD514D2E4AB1}"/>
    <cellStyle name="Normal 3 2 2 2 2 2 6 5 4" xfId="30189" xr:uid="{4AB6B80F-956B-4B47-B2DD-9A2BA92CDB3E}"/>
    <cellStyle name="Normal 3 2 2 2 2 2 6 5 5" xfId="30190" xr:uid="{B0DB5E1E-EC2B-43E3-85C5-251987983692}"/>
    <cellStyle name="Normal 3 2 2 2 2 2 6 5 6" xfId="30191" xr:uid="{5E3CFAF8-901D-40FC-A894-E40A301557E1}"/>
    <cellStyle name="Normal 3 2 2 2 2 2 6 6" xfId="30192" xr:uid="{99797739-9BE5-4E29-8849-6BCE82C4A566}"/>
    <cellStyle name="Normal 3 2 2 2 2 2 6 6 2" xfId="30193" xr:uid="{596677B7-D76E-44B9-8B3B-488101BBADED}"/>
    <cellStyle name="Normal 3 2 2 2 2 2 6 6 3" xfId="30194" xr:uid="{6082A251-889E-45A1-882A-5F0F536ADA50}"/>
    <cellStyle name="Normal 3 2 2 2 2 2 6 6 4" xfId="30195" xr:uid="{B1FDACC7-AED5-41F4-99E6-409B4913F0CD}"/>
    <cellStyle name="Normal 3 2 2 2 2 2 6 6 5" xfId="30196" xr:uid="{E9D5644F-177C-4732-BE37-06578D046815}"/>
    <cellStyle name="Normal 3 2 2 2 2 2 6 6 6" xfId="30197" xr:uid="{B71EE470-9D5B-4D5F-8C43-AB09C1D0BA2B}"/>
    <cellStyle name="Normal 3 2 2 2 2 2 6 7" xfId="30198" xr:uid="{022640D5-7AB1-4ACF-B899-82A9B779E0B7}"/>
    <cellStyle name="Normal 3 2 2 2 2 2 6 8" xfId="30199" xr:uid="{F9629EA7-90F8-4883-8E94-E9AE84A25F72}"/>
    <cellStyle name="Normal 3 2 2 2 2 2 6 9" xfId="30200" xr:uid="{6D2D17ED-5075-4808-83F1-B3972549A044}"/>
    <cellStyle name="Normal 3 2 2 2 2 2 60" xfId="30201" xr:uid="{AE9C2CD9-2F31-4A3A-843D-B6AB2657194B}"/>
    <cellStyle name="Normal 3 2 2 2 2 2 61" xfId="30202" xr:uid="{99E23BB9-670F-4568-AB33-AEEF331C2F91}"/>
    <cellStyle name="Normal 3 2 2 2 2 2 62" xfId="30203" xr:uid="{84A68F42-CAAE-4214-9BDF-88F0401257FE}"/>
    <cellStyle name="Normal 3 2 2 2 2 2 63" xfId="30204" xr:uid="{66519233-2002-4DAD-8355-48D89E429164}"/>
    <cellStyle name="Normal 3 2 2 2 2 2 64" xfId="30205" xr:uid="{FF70FC2D-F165-406C-9E09-FB27A5D4A175}"/>
    <cellStyle name="Normal 3 2 2 2 2 2 65" xfId="30206" xr:uid="{0FB3D267-6432-4950-A83B-75DE3BBF7C4D}"/>
    <cellStyle name="Normal 3 2 2 2 2 2 66" xfId="30207" xr:uid="{B1FE9B58-AC82-4899-89B5-E5F6402DD105}"/>
    <cellStyle name="Normal 3 2 2 2 2 2 67" xfId="30208" xr:uid="{A76BE29C-A957-4637-9519-A458140BE80E}"/>
    <cellStyle name="Normal 3 2 2 2 2 2 68" xfId="30209" xr:uid="{2698BA3D-C946-4C19-9CF5-62FD59B09FFB}"/>
    <cellStyle name="Normal 3 2 2 2 2 2 69" xfId="30210" xr:uid="{59434CB5-3816-484D-9F87-6935521AA10E}"/>
    <cellStyle name="Normal 3 2 2 2 2 2 7" xfId="30211" xr:uid="{02BED749-BAF6-469B-9E54-EF09207EB895}"/>
    <cellStyle name="Normal 3 2 2 2 2 2 7 10" xfId="30212" xr:uid="{1D7A236E-4AB2-4DED-A369-B1D2052A69D2}"/>
    <cellStyle name="Normal 3 2 2 2 2 2 7 11" xfId="30213" xr:uid="{B426A3A2-8BC2-4BE9-B308-3572908F7F84}"/>
    <cellStyle name="Normal 3 2 2 2 2 2 7 2" xfId="30214" xr:uid="{81BB5BC4-02CC-4847-BAE0-0997A0420CA7}"/>
    <cellStyle name="Normal 3 2 2 2 2 2 7 2 2" xfId="30215" xr:uid="{6BEC1EE4-BFD7-4261-9137-AFE22CD94A34}"/>
    <cellStyle name="Normal 3 2 2 2 2 2 7 2 3" xfId="30216" xr:uid="{E6B9FD4C-CF89-4F30-9981-F93B90D54189}"/>
    <cellStyle name="Normal 3 2 2 2 2 2 7 2 4" xfId="30217" xr:uid="{BFF12290-8C02-4516-ABE1-33AB71713A6D}"/>
    <cellStyle name="Normal 3 2 2 2 2 2 7 2 5" xfId="30218" xr:uid="{33E9EB6C-7C74-4F5C-A40F-112376D09F01}"/>
    <cellStyle name="Normal 3 2 2 2 2 2 7 2 6" xfId="30219" xr:uid="{5ED2A1B5-4F93-423F-8A31-5DE9EAF4BEB8}"/>
    <cellStyle name="Normal 3 2 2 2 2 2 7 3" xfId="30220" xr:uid="{F7267C75-46FC-435B-B4ED-5ED3FD238F2A}"/>
    <cellStyle name="Normal 3 2 2 2 2 2 7 3 2" xfId="30221" xr:uid="{58B9EC3C-8319-4656-940B-FF994CB7573D}"/>
    <cellStyle name="Normal 3 2 2 2 2 2 7 3 3" xfId="30222" xr:uid="{DDD6AE3E-A294-4E56-9737-4FDEE38D831B}"/>
    <cellStyle name="Normal 3 2 2 2 2 2 7 3 4" xfId="30223" xr:uid="{8AB469D4-1611-4A41-9C61-A2EB0A3347A7}"/>
    <cellStyle name="Normal 3 2 2 2 2 2 7 3 5" xfId="30224" xr:uid="{7DE4E827-64CB-4934-B591-6638EBD7781C}"/>
    <cellStyle name="Normal 3 2 2 2 2 2 7 3 6" xfId="30225" xr:uid="{00DEEE9D-2E2A-46C2-8D47-3327D1E0DEE4}"/>
    <cellStyle name="Normal 3 2 2 2 2 2 7 4" xfId="30226" xr:uid="{9BA46C75-C5C2-4BC5-9463-5C2C395BB451}"/>
    <cellStyle name="Normal 3 2 2 2 2 2 7 4 2" xfId="30227" xr:uid="{0A9895B1-585E-4BD8-9752-D3FCD4ECB78E}"/>
    <cellStyle name="Normal 3 2 2 2 2 2 7 4 3" xfId="30228" xr:uid="{07EA5BB0-2128-419C-AD22-8DB911CAD37B}"/>
    <cellStyle name="Normal 3 2 2 2 2 2 7 4 4" xfId="30229" xr:uid="{D85A0D9B-0D3B-42C2-B878-39CD131234FF}"/>
    <cellStyle name="Normal 3 2 2 2 2 2 7 4 5" xfId="30230" xr:uid="{E38284A4-EBFA-49A1-9CE3-F8D78C7F33AD}"/>
    <cellStyle name="Normal 3 2 2 2 2 2 7 4 6" xfId="30231" xr:uid="{B19D9108-FAB5-462F-B965-7BD98F96849F}"/>
    <cellStyle name="Normal 3 2 2 2 2 2 7 5" xfId="30232" xr:uid="{766F7C69-C4FB-4312-98E1-327CE66F20E6}"/>
    <cellStyle name="Normal 3 2 2 2 2 2 7 5 2" xfId="30233" xr:uid="{71331205-3C25-4FA1-B0C3-17B1CB33B4AA}"/>
    <cellStyle name="Normal 3 2 2 2 2 2 7 5 3" xfId="30234" xr:uid="{A18834A9-28CB-411D-8DA8-0C7DB949C571}"/>
    <cellStyle name="Normal 3 2 2 2 2 2 7 5 4" xfId="30235" xr:uid="{7706898D-C510-4F00-8D84-3E2DB22CCA17}"/>
    <cellStyle name="Normal 3 2 2 2 2 2 7 5 5" xfId="30236" xr:uid="{8407C680-EDB8-463E-B5D0-6365A1A7469C}"/>
    <cellStyle name="Normal 3 2 2 2 2 2 7 5 6" xfId="30237" xr:uid="{3F6E2D3D-65AF-4F41-9406-369234C03467}"/>
    <cellStyle name="Normal 3 2 2 2 2 2 7 6" xfId="30238" xr:uid="{3AF42342-A084-472A-B135-7562BDF54F2C}"/>
    <cellStyle name="Normal 3 2 2 2 2 2 7 6 2" xfId="30239" xr:uid="{5109B59F-9854-47F1-9815-22AE842A0054}"/>
    <cellStyle name="Normal 3 2 2 2 2 2 7 6 3" xfId="30240" xr:uid="{620E7698-DF5D-4C6E-9D92-97A6F0187042}"/>
    <cellStyle name="Normal 3 2 2 2 2 2 7 6 4" xfId="30241" xr:uid="{42207DE0-6C5F-445C-AEBB-7289F27C17E8}"/>
    <cellStyle name="Normal 3 2 2 2 2 2 7 6 5" xfId="30242" xr:uid="{1773BDCC-CF01-4B66-93A6-D6B20B352CC0}"/>
    <cellStyle name="Normal 3 2 2 2 2 2 7 6 6" xfId="30243" xr:uid="{F24B9D21-3FA9-44D1-A4D6-C4B1A44909E8}"/>
    <cellStyle name="Normal 3 2 2 2 2 2 7 7" xfId="30244" xr:uid="{62C9C5D9-6764-4A63-9824-D49DFE96F171}"/>
    <cellStyle name="Normal 3 2 2 2 2 2 7 8" xfId="30245" xr:uid="{80A61279-67EF-4E4E-8465-6B0AE0C8557A}"/>
    <cellStyle name="Normal 3 2 2 2 2 2 7 9" xfId="30246" xr:uid="{CE4EC271-3087-4370-AA88-EA5D82537CE7}"/>
    <cellStyle name="Normal 3 2 2 2 2 2 70" xfId="30247" xr:uid="{18D9CF24-1838-42C0-8A63-7B2A87A49CB6}"/>
    <cellStyle name="Normal 3 2 2 2 2 2 71" xfId="30248" xr:uid="{7FB80BA1-50CA-43D1-8C91-982D7D8096D4}"/>
    <cellStyle name="Normal 3 2 2 2 2 2 72" xfId="30249" xr:uid="{12C80698-D79A-4232-93A4-A240DE9AF8C4}"/>
    <cellStyle name="Normal 3 2 2 2 2 2 73" xfId="30250" xr:uid="{6CFBD8EE-9F20-44F3-BAA0-9F15A2D2ED01}"/>
    <cellStyle name="Normal 3 2 2 2 2 2 74" xfId="30251" xr:uid="{4D7116F7-AFBA-44E1-807F-BF2D6AAA4237}"/>
    <cellStyle name="Normal 3 2 2 2 2 2 75" xfId="30252" xr:uid="{25A1BB08-1B2B-4406-B0AA-EAD3AF83AEA9}"/>
    <cellStyle name="Normal 3 2 2 2 2 2 76" xfId="30253" xr:uid="{B553E163-E750-42CD-8CAE-F6296CB700B8}"/>
    <cellStyle name="Normal 3 2 2 2 2 2 77" xfId="30254" xr:uid="{71A0A81C-14E4-43E3-950D-B88B3404545D}"/>
    <cellStyle name="Normal 3 2 2 2 2 2 78" xfId="30255" xr:uid="{AE9D7213-F025-42BF-AF50-7259312DEBB9}"/>
    <cellStyle name="Normal 3 2 2 2 2 2 79" xfId="30256" xr:uid="{943BFC2A-07DA-4351-B77A-43AB92C53665}"/>
    <cellStyle name="Normal 3 2 2 2 2 2 8" xfId="30257" xr:uid="{9B9F03FD-0A09-4558-970B-E1F2AF67968B}"/>
    <cellStyle name="Normal 3 2 2 2 2 2 8 10" xfId="30258" xr:uid="{52445FF7-09A2-4482-8578-EFFEF69C1DF2}"/>
    <cellStyle name="Normal 3 2 2 2 2 2 8 11" xfId="30259" xr:uid="{202CCA91-1CCF-4340-8A81-70A706A4BD25}"/>
    <cellStyle name="Normal 3 2 2 2 2 2 8 2" xfId="30260" xr:uid="{3B1BDFDE-6B56-4661-B663-60937E7F5B8B}"/>
    <cellStyle name="Normal 3 2 2 2 2 2 8 2 2" xfId="30261" xr:uid="{850BBD87-5EBE-41F3-9F09-D3B5B09D4890}"/>
    <cellStyle name="Normal 3 2 2 2 2 2 8 2 3" xfId="30262" xr:uid="{F8B94B20-E8D2-495E-AB3D-19CDE2733F46}"/>
    <cellStyle name="Normal 3 2 2 2 2 2 8 2 4" xfId="30263" xr:uid="{8C7BF48F-9BE8-480F-BB8D-15CC9091B9B3}"/>
    <cellStyle name="Normal 3 2 2 2 2 2 8 2 5" xfId="30264" xr:uid="{FEB8078A-E32A-4688-985B-557DA22BB350}"/>
    <cellStyle name="Normal 3 2 2 2 2 2 8 2 6" xfId="30265" xr:uid="{EE40F33B-2238-4C2A-971B-EF607B8CCE0A}"/>
    <cellStyle name="Normal 3 2 2 2 2 2 8 3" xfId="30266" xr:uid="{24EFBE94-C422-4FE3-A932-7255AAE6152E}"/>
    <cellStyle name="Normal 3 2 2 2 2 2 8 3 2" xfId="30267" xr:uid="{A9C940BD-E839-44B7-BDB1-6B5A7C088201}"/>
    <cellStyle name="Normal 3 2 2 2 2 2 8 3 3" xfId="30268" xr:uid="{8FCCEDE4-F9B8-469C-899D-4F161AD15EE9}"/>
    <cellStyle name="Normal 3 2 2 2 2 2 8 3 4" xfId="30269" xr:uid="{B093132D-9831-4CAE-8FFA-9C182AEC664E}"/>
    <cellStyle name="Normal 3 2 2 2 2 2 8 3 5" xfId="30270" xr:uid="{D5987B48-0865-4DF2-8A83-2B3BC712E9C7}"/>
    <cellStyle name="Normal 3 2 2 2 2 2 8 3 6" xfId="30271" xr:uid="{20B5F978-EF99-4D43-ACA5-C931EB74581D}"/>
    <cellStyle name="Normal 3 2 2 2 2 2 8 4" xfId="30272" xr:uid="{B749640B-9E2C-42E0-B262-57C606678360}"/>
    <cellStyle name="Normal 3 2 2 2 2 2 8 4 2" xfId="30273" xr:uid="{03F304B8-A184-4693-B9C1-CB66D1A211B2}"/>
    <cellStyle name="Normal 3 2 2 2 2 2 8 4 3" xfId="30274" xr:uid="{2BC6BB70-8921-4986-B2F5-6D0F4BB9AF6E}"/>
    <cellStyle name="Normal 3 2 2 2 2 2 8 4 4" xfId="30275" xr:uid="{90395D2F-860E-40C8-B0EE-298024831E99}"/>
    <cellStyle name="Normal 3 2 2 2 2 2 8 4 5" xfId="30276" xr:uid="{44825942-17F1-438A-BA64-714A3F31FAD8}"/>
    <cellStyle name="Normal 3 2 2 2 2 2 8 4 6" xfId="30277" xr:uid="{122AC4BD-CDD7-40D2-A32A-BFEA1A66DFFA}"/>
    <cellStyle name="Normal 3 2 2 2 2 2 8 5" xfId="30278" xr:uid="{A3ED1E58-46BC-406D-A942-FB80AF67CF25}"/>
    <cellStyle name="Normal 3 2 2 2 2 2 8 5 2" xfId="30279" xr:uid="{1B62AA6C-66A1-44F0-B754-310824AC3BAF}"/>
    <cellStyle name="Normal 3 2 2 2 2 2 8 5 3" xfId="30280" xr:uid="{B2D645E5-76DE-4FEA-999D-63F475763C02}"/>
    <cellStyle name="Normal 3 2 2 2 2 2 8 5 4" xfId="30281" xr:uid="{18C70FE3-F944-4166-8915-B5BB60F50A8A}"/>
    <cellStyle name="Normal 3 2 2 2 2 2 8 5 5" xfId="30282" xr:uid="{F8041F0F-2E8F-4287-81F8-0DD8CE82009A}"/>
    <cellStyle name="Normal 3 2 2 2 2 2 8 5 6" xfId="30283" xr:uid="{0CB8C951-9E4A-4B68-9F8B-598FC9EEC9F0}"/>
    <cellStyle name="Normal 3 2 2 2 2 2 8 6" xfId="30284" xr:uid="{D9EBF9B6-7BF2-4036-AD60-2EA4415D3510}"/>
    <cellStyle name="Normal 3 2 2 2 2 2 8 6 2" xfId="30285" xr:uid="{9794FA30-71C1-4EEE-A80B-31D4703D5C20}"/>
    <cellStyle name="Normal 3 2 2 2 2 2 8 6 3" xfId="30286" xr:uid="{4E9D920C-3164-4237-8B1F-B3075EAD200F}"/>
    <cellStyle name="Normal 3 2 2 2 2 2 8 6 4" xfId="30287" xr:uid="{CC412FFF-5F44-49BB-8A88-6918870AAD91}"/>
    <cellStyle name="Normal 3 2 2 2 2 2 8 6 5" xfId="30288" xr:uid="{C1824657-A76E-4FE6-8D89-A36A432752D6}"/>
    <cellStyle name="Normal 3 2 2 2 2 2 8 6 6" xfId="30289" xr:uid="{09240BC5-550D-48AB-A816-34E4670473DD}"/>
    <cellStyle name="Normal 3 2 2 2 2 2 8 7" xfId="30290" xr:uid="{7844DCDC-8C7E-446F-834D-7E9BB2FAA64D}"/>
    <cellStyle name="Normal 3 2 2 2 2 2 8 8" xfId="30291" xr:uid="{6A431BE6-1115-4023-AC19-6242FB95A4B5}"/>
    <cellStyle name="Normal 3 2 2 2 2 2 8 9" xfId="30292" xr:uid="{E02CA6C8-F28E-4D9A-9F61-E8B3C44BC905}"/>
    <cellStyle name="Normal 3 2 2 2 2 2 80" xfId="30293" xr:uid="{DC563BBE-293C-41A0-8223-CE40BF9E05E2}"/>
    <cellStyle name="Normal 3 2 2 2 2 2 81" xfId="30294" xr:uid="{70E88FE2-9541-4504-B814-7A864DBEF914}"/>
    <cellStyle name="Normal 3 2 2 2 2 2 82" xfId="30295" xr:uid="{A55E8A4B-B89B-4D7B-B0D2-1E6615D9D370}"/>
    <cellStyle name="Normal 3 2 2 2 2 2 83" xfId="30296" xr:uid="{F49AFB4E-3D93-47CD-9157-ED0907A0A93B}"/>
    <cellStyle name="Normal 3 2 2 2 2 2 84" xfId="30297" xr:uid="{A4F9849E-3CC3-4343-8296-EA44830DF714}"/>
    <cellStyle name="Normal 3 2 2 2 2 2 85" xfId="30298" xr:uid="{DA78B023-2E73-444D-A5E8-3CE322C5D6A1}"/>
    <cellStyle name="Normal 3 2 2 2 2 2 86" xfId="30299" xr:uid="{FE656872-5936-4E71-B7E9-E664D5AA3975}"/>
    <cellStyle name="Normal 3 2 2 2 2 2 86 2" xfId="30300" xr:uid="{FA79C0AF-0804-4290-A64A-96508AB57144}"/>
    <cellStyle name="Normal 3 2 2 2 2 2 86 3" xfId="30301" xr:uid="{F7A922F2-C7B6-4DCB-A9F5-9BDB38D19E92}"/>
    <cellStyle name="Normal 3 2 2 2 2 2 86 4" xfId="30302" xr:uid="{A0ACEE96-80FB-42F1-A0E6-DBA902E5D80A}"/>
    <cellStyle name="Normal 3 2 2 2 2 2 87" xfId="30303" xr:uid="{BAD34111-270E-4FC1-9278-F9B85007F95D}"/>
    <cellStyle name="Normal 3 2 2 2 2 2 88" xfId="30304" xr:uid="{178761D0-0A4F-4727-AFE3-82A3C39EE49A}"/>
    <cellStyle name="Normal 3 2 2 2 2 2 9" xfId="30305" xr:uid="{BBF1E7A9-8D30-4F7C-890C-3B68F5440DFA}"/>
    <cellStyle name="Normal 3 2 2 2 2 2 9 10" xfId="30306" xr:uid="{CB08EB7B-692E-41F4-A462-570FCC81CC39}"/>
    <cellStyle name="Normal 3 2 2 2 2 2 9 11" xfId="30307" xr:uid="{EDF6EE48-D6F4-4C8F-AF09-7E4D6F663A45}"/>
    <cellStyle name="Normal 3 2 2 2 2 2 9 2" xfId="30308" xr:uid="{06AA1D29-D73F-45C5-B280-78F659EECE8A}"/>
    <cellStyle name="Normal 3 2 2 2 2 2 9 2 2" xfId="30309" xr:uid="{5F70B6AB-80EF-453F-A696-06209794DBC9}"/>
    <cellStyle name="Normal 3 2 2 2 2 2 9 2 3" xfId="30310" xr:uid="{76A0539B-1E18-4F16-A76F-38A5F622EE91}"/>
    <cellStyle name="Normal 3 2 2 2 2 2 9 2 4" xfId="30311" xr:uid="{3DB84F3B-F01C-4D19-BAE9-7BD974341D0E}"/>
    <cellStyle name="Normal 3 2 2 2 2 2 9 2 5" xfId="30312" xr:uid="{99B59EC0-0993-4AC1-8F33-8AC4FBE5D545}"/>
    <cellStyle name="Normal 3 2 2 2 2 2 9 2 6" xfId="30313" xr:uid="{CFB4A538-413F-49A8-828F-9C3BE78F6CE0}"/>
    <cellStyle name="Normal 3 2 2 2 2 2 9 3" xfId="30314" xr:uid="{A5BA2B27-6C92-411D-8207-E4F33F8FF718}"/>
    <cellStyle name="Normal 3 2 2 2 2 2 9 3 2" xfId="30315" xr:uid="{22D5BCA6-776A-4982-8DFB-072BEFE5B1FB}"/>
    <cellStyle name="Normal 3 2 2 2 2 2 9 3 3" xfId="30316" xr:uid="{DD37DDCB-CD0C-48A0-9FBA-371E492542B5}"/>
    <cellStyle name="Normal 3 2 2 2 2 2 9 3 4" xfId="30317" xr:uid="{BAABA2A5-56F7-4175-854C-B1937483A150}"/>
    <cellStyle name="Normal 3 2 2 2 2 2 9 3 5" xfId="30318" xr:uid="{CA55557F-C16B-405E-A331-E9F292D9D269}"/>
    <cellStyle name="Normal 3 2 2 2 2 2 9 3 6" xfId="30319" xr:uid="{5D606748-6842-4C7D-9DC7-BA6FB53FA3BF}"/>
    <cellStyle name="Normal 3 2 2 2 2 2 9 4" xfId="30320" xr:uid="{CFAF5C41-71D0-4277-BC96-3419C4C38A6A}"/>
    <cellStyle name="Normal 3 2 2 2 2 2 9 4 2" xfId="30321" xr:uid="{D00BBA48-6DA5-47F0-B245-6E8932D0F784}"/>
    <cellStyle name="Normal 3 2 2 2 2 2 9 4 3" xfId="30322" xr:uid="{09F036C9-904A-4153-9A73-9E59D986E13A}"/>
    <cellStyle name="Normal 3 2 2 2 2 2 9 4 4" xfId="30323" xr:uid="{CDB4064A-2DFC-4EB7-9FCF-1ED04578DB11}"/>
    <cellStyle name="Normal 3 2 2 2 2 2 9 4 5" xfId="30324" xr:uid="{F0D31439-3FDF-4D44-BFC4-5B1A8D358A6F}"/>
    <cellStyle name="Normal 3 2 2 2 2 2 9 4 6" xfId="30325" xr:uid="{9F6DE3A3-C631-42BF-ABF1-E05EA84C8163}"/>
    <cellStyle name="Normal 3 2 2 2 2 2 9 5" xfId="30326" xr:uid="{51F6F4BD-6618-455D-9FCA-67E51FA140C1}"/>
    <cellStyle name="Normal 3 2 2 2 2 2 9 5 2" xfId="30327" xr:uid="{3FCEE5F9-2DFA-411A-8598-C1EEB03B1659}"/>
    <cellStyle name="Normal 3 2 2 2 2 2 9 5 3" xfId="30328" xr:uid="{80E300F6-7F5F-4CE3-8DAA-2716478A8FA8}"/>
    <cellStyle name="Normal 3 2 2 2 2 2 9 5 4" xfId="30329" xr:uid="{CD23B22F-E485-4120-B8BE-7E4BBA491B9A}"/>
    <cellStyle name="Normal 3 2 2 2 2 2 9 5 5" xfId="30330" xr:uid="{B304D6AC-A258-41C4-8948-B39F09AF4E94}"/>
    <cellStyle name="Normal 3 2 2 2 2 2 9 5 6" xfId="30331" xr:uid="{4ABA9539-C913-4AC0-BD8E-A85A01DA6650}"/>
    <cellStyle name="Normal 3 2 2 2 2 2 9 6" xfId="30332" xr:uid="{B864EFCF-8610-4276-AF1A-42428496011C}"/>
    <cellStyle name="Normal 3 2 2 2 2 2 9 6 2" xfId="30333" xr:uid="{6CE2B56F-532A-438C-BDC7-7D584CB71046}"/>
    <cellStyle name="Normal 3 2 2 2 2 2 9 6 3" xfId="30334" xr:uid="{910EE110-A20E-4203-BA8B-851EF7C63A42}"/>
    <cellStyle name="Normal 3 2 2 2 2 2 9 6 4" xfId="30335" xr:uid="{189B68A1-9031-4A00-BD8B-8BBFBDD6F66A}"/>
    <cellStyle name="Normal 3 2 2 2 2 2 9 6 5" xfId="30336" xr:uid="{4DA3755A-6387-4DAA-94F4-1919E32FEA88}"/>
    <cellStyle name="Normal 3 2 2 2 2 2 9 6 6" xfId="30337" xr:uid="{6BEFFACD-90CA-4D5D-9F1C-0AF6AEC26CC0}"/>
    <cellStyle name="Normal 3 2 2 2 2 2 9 7" xfId="30338" xr:uid="{018EE7C6-7863-4949-850D-668EDEB06D71}"/>
    <cellStyle name="Normal 3 2 2 2 2 2 9 8" xfId="30339" xr:uid="{43C3B0F6-DA5F-4514-B896-6D292DCB32F2}"/>
    <cellStyle name="Normal 3 2 2 2 2 2 9 9" xfId="30340" xr:uid="{0ABA711C-CAA1-467B-9337-9BBE11A74155}"/>
    <cellStyle name="Normal 3 2 2 2 2 20" xfId="30341" xr:uid="{C6926BFC-F524-4E76-AB33-0CE0838247F0}"/>
    <cellStyle name="Normal 3 2 2 2 2 20 10" xfId="30342" xr:uid="{FD774376-08E9-4A4A-BE4A-A616D67B39A9}"/>
    <cellStyle name="Normal 3 2 2 2 2 20 11" xfId="30343" xr:uid="{86F57204-928A-4DEE-9534-1B38D4B167F0}"/>
    <cellStyle name="Normal 3 2 2 2 2 20 11 10" xfId="30344" xr:uid="{4EF776C8-4C5C-4F10-BE9E-CCA91C74B569}"/>
    <cellStyle name="Normal 3 2 2 2 2 20 11 11" xfId="30345" xr:uid="{863167E8-C51D-4482-AA24-DD18824282C0}"/>
    <cellStyle name="Normal 3 2 2 2 2 20 11 11 2" xfId="30346" xr:uid="{9D5D91DC-7FBB-4174-A452-DD00B855128C}"/>
    <cellStyle name="Normal 3 2 2 2 2 20 11 11 3" xfId="30347" xr:uid="{619BBDAC-8938-493B-B7E7-A11EBAE05B4F}"/>
    <cellStyle name="Normal 3 2 2 2 2 20 11 11 4" xfId="30348" xr:uid="{492D1D68-FBE9-448F-8821-C36518DD716E}"/>
    <cellStyle name="Normal 3 2 2 2 2 20 11 12" xfId="30349" xr:uid="{722A7B68-9A8B-4FD0-9501-2A0E7BABBEA0}"/>
    <cellStyle name="Normal 3 2 2 2 2 20 11 13" xfId="30350" xr:uid="{690D2EA1-8351-423E-9091-2F3831BCAD31}"/>
    <cellStyle name="Normal 3 2 2 2 2 20 11 14" xfId="30351" xr:uid="{D700078E-EEA8-4373-BA0A-A4F79ACD0AE5}"/>
    <cellStyle name="Normal 3 2 2 2 2 20 11 2" xfId="30352" xr:uid="{650E4844-77D4-44AB-BE5A-BBDAA881C805}"/>
    <cellStyle name="Normal 3 2 2 2 2 20 11 2 10" xfId="30353" xr:uid="{5BCA3126-D636-4C7E-8C80-089CE741333E}"/>
    <cellStyle name="Normal 3 2 2 2 2 20 11 2 11" xfId="30354" xr:uid="{AC18B9BA-C347-42B7-BBD5-C7E15DFDE0A7}"/>
    <cellStyle name="Normal 3 2 2 2 2 20 11 2 2" xfId="30355" xr:uid="{A430E904-ABB4-43D2-B2F0-B65AE9E149DC}"/>
    <cellStyle name="Normal 3 2 2 2 2 20 11 2 2 10" xfId="30356" xr:uid="{1E5C8D3C-A6D7-4CC5-94A3-468B9715AC79}"/>
    <cellStyle name="Normal 3 2 2 2 2 20 11 2 2 11" xfId="30357" xr:uid="{38E55939-DB3C-4C84-BBAC-C30F10F8CBEA}"/>
    <cellStyle name="Normal 3 2 2 2 2 20 11 2 2 2" xfId="30358" xr:uid="{94BB8F70-8E3E-4C91-BA7A-7ADE2D0548E2}"/>
    <cellStyle name="Normal 3 2 2 2 2 20 11 2 2 2 2" xfId="30359" xr:uid="{1B8F6239-A14F-457B-9290-69BA0B7E3F4B}"/>
    <cellStyle name="Normal 3 2 2 2 2 20 11 2 2 2 2 2" xfId="30360" xr:uid="{7F01E304-0388-4F00-8C83-8E98299CB250}"/>
    <cellStyle name="Normal 3 2 2 2 2 20 11 2 2 2 2 3" xfId="30361" xr:uid="{4099FF4B-7084-4375-A360-9F64A265A315}"/>
    <cellStyle name="Normal 3 2 2 2 2 20 11 2 2 2 2 4" xfId="30362" xr:uid="{D0971C67-5ACA-4A20-9D7B-2ABA2184D1D8}"/>
    <cellStyle name="Normal 3 2 2 2 2 20 11 2 2 2 3" xfId="30363" xr:uid="{C41B4EB4-5E13-44B4-B3C3-828228A977E0}"/>
    <cellStyle name="Normal 3 2 2 2 2 20 11 2 2 2 4" xfId="30364" xr:uid="{0465C5B2-9D85-4920-914F-82C88A0EE007}"/>
    <cellStyle name="Normal 3 2 2 2 2 20 11 2 2 2 5" xfId="30365" xr:uid="{53FA95D7-7372-48A2-A4CF-28DC4C3D6EAE}"/>
    <cellStyle name="Normal 3 2 2 2 2 20 11 2 2 2 6" xfId="30366" xr:uid="{5022C763-E238-49BD-8B9E-38FCC2054D3A}"/>
    <cellStyle name="Normal 3 2 2 2 2 20 11 2 2 3" xfId="30367" xr:uid="{EC96C72F-3262-4DB4-99D0-3C1AA02E5975}"/>
    <cellStyle name="Normal 3 2 2 2 2 20 11 2 2 4" xfId="30368" xr:uid="{A6B5C6A8-227A-4AE5-9E55-60D8FDF319C2}"/>
    <cellStyle name="Normal 3 2 2 2 2 20 11 2 2 5" xfId="30369" xr:uid="{EE807B7D-61F5-4E31-AFB7-BE6D453F52C1}"/>
    <cellStyle name="Normal 3 2 2 2 2 20 11 2 2 6" xfId="30370" xr:uid="{650A67F9-DD2E-4268-8F16-30B544CD0D20}"/>
    <cellStyle name="Normal 3 2 2 2 2 20 11 2 2 7" xfId="30371" xr:uid="{968FBCAD-3EA3-4D02-8890-8B223222F716}"/>
    <cellStyle name="Normal 3 2 2 2 2 20 11 2 2 8" xfId="30372" xr:uid="{54CB7234-9F42-4F42-AB02-9A25EAEAAA02}"/>
    <cellStyle name="Normal 3 2 2 2 2 20 11 2 2 8 2" xfId="30373" xr:uid="{B104D054-14D7-4A19-8FA7-8CD3311817B2}"/>
    <cellStyle name="Normal 3 2 2 2 2 20 11 2 2 8 3" xfId="30374" xr:uid="{51D1D6FF-2EEC-47EF-A32D-1275E0C3629C}"/>
    <cellStyle name="Normal 3 2 2 2 2 20 11 2 2 8 4" xfId="30375" xr:uid="{4E881653-0D0A-4244-8548-D0D8ADE6B863}"/>
    <cellStyle name="Normal 3 2 2 2 2 20 11 2 2 9" xfId="30376" xr:uid="{CC680C16-7B29-4D3E-AD9F-9CF26C4CB93A}"/>
    <cellStyle name="Normal 3 2 2 2 2 20 11 2 3" xfId="30377" xr:uid="{9B04F175-04F3-4E7E-8BA5-CC12C526197B}"/>
    <cellStyle name="Normal 3 2 2 2 2 20 11 2 3 2" xfId="30378" xr:uid="{0FF72F39-D227-444F-9151-A53CB16C1220}"/>
    <cellStyle name="Normal 3 2 2 2 2 20 11 2 3 2 2" xfId="30379" xr:uid="{360F637F-26A6-4915-B604-DE30752034C9}"/>
    <cellStyle name="Normal 3 2 2 2 2 20 11 2 3 2 3" xfId="30380" xr:uid="{FB3C67E5-6F13-40B4-83A7-BF7D339B2E60}"/>
    <cellStyle name="Normal 3 2 2 2 2 20 11 2 3 2 4" xfId="30381" xr:uid="{32167FD3-E6CB-4FC7-B3CB-0F20EC086CBD}"/>
    <cellStyle name="Normal 3 2 2 2 2 20 11 2 3 3" xfId="30382" xr:uid="{A97BA535-F8D2-4340-97E7-20BDFC0714B0}"/>
    <cellStyle name="Normal 3 2 2 2 2 20 11 2 3 4" xfId="30383" xr:uid="{DA2CFDC0-03DD-4705-B60A-790D1F1ECE59}"/>
    <cellStyle name="Normal 3 2 2 2 2 20 11 2 3 5" xfId="30384" xr:uid="{0C5CED86-8920-4B40-8DF4-6539627A9052}"/>
    <cellStyle name="Normal 3 2 2 2 2 20 11 2 3 6" xfId="30385" xr:uid="{335F0BC4-7E45-45BE-A45F-6C29E7A3DED5}"/>
    <cellStyle name="Normal 3 2 2 2 2 20 11 2 4" xfId="30386" xr:uid="{67434E22-7DF4-40D1-B79B-83A60D144187}"/>
    <cellStyle name="Normal 3 2 2 2 2 20 11 2 5" xfId="30387" xr:uid="{8D9B06CE-529E-4452-B3C7-46428E29CDCB}"/>
    <cellStyle name="Normal 3 2 2 2 2 20 11 2 6" xfId="30388" xr:uid="{C4151253-0C1D-420F-8C89-3535F2B40F98}"/>
    <cellStyle name="Normal 3 2 2 2 2 20 11 2 7" xfId="30389" xr:uid="{2F98FF01-E8C1-4262-81EE-6FD5ACD3E6F9}"/>
    <cellStyle name="Normal 3 2 2 2 2 20 11 2 8" xfId="30390" xr:uid="{D398BC38-A00D-4A89-A4F0-1BE3B43D211B}"/>
    <cellStyle name="Normal 3 2 2 2 2 20 11 2 8 2" xfId="30391" xr:uid="{A2751F50-8109-477A-B809-61A9B138EF26}"/>
    <cellStyle name="Normal 3 2 2 2 2 20 11 2 8 3" xfId="30392" xr:uid="{AF79D4FE-75D3-4A0B-A48D-C1BAB6AE4625}"/>
    <cellStyle name="Normal 3 2 2 2 2 20 11 2 8 4" xfId="30393" xr:uid="{E76CBDDF-6029-4519-A3BA-46C8E1A2F748}"/>
    <cellStyle name="Normal 3 2 2 2 2 20 11 2 9" xfId="30394" xr:uid="{4D1E8D6B-BABE-4379-B78B-859C4AC491AF}"/>
    <cellStyle name="Normal 3 2 2 2 2 20 11 3" xfId="30395" xr:uid="{28220528-458F-41A6-A762-58242A3C34DD}"/>
    <cellStyle name="Normal 3 2 2 2 2 20 11 4" xfId="30396" xr:uid="{00BC079A-8424-4DC0-82A5-1BE7E5958CD9}"/>
    <cellStyle name="Normal 3 2 2 2 2 20 11 5" xfId="30397" xr:uid="{C2DE7511-A862-4A49-9719-1A1F515FBD07}"/>
    <cellStyle name="Normal 3 2 2 2 2 20 11 5 2" xfId="30398" xr:uid="{97A78B43-E3B5-4871-BE1D-8901950142B9}"/>
    <cellStyle name="Normal 3 2 2 2 2 20 11 5 2 2" xfId="30399" xr:uid="{EAAE73AE-6F2A-401E-A451-6921D63A34EC}"/>
    <cellStyle name="Normal 3 2 2 2 2 20 11 5 2 3" xfId="30400" xr:uid="{4DD98654-39B3-484B-80BC-704F165C5F2A}"/>
    <cellStyle name="Normal 3 2 2 2 2 20 11 5 2 4" xfId="30401" xr:uid="{4BCF276D-5819-495E-9954-9D4C1A0D66A1}"/>
    <cellStyle name="Normal 3 2 2 2 2 20 11 5 3" xfId="30402" xr:uid="{0B14E857-2A09-4005-958B-74FF052CD302}"/>
    <cellStyle name="Normal 3 2 2 2 2 20 11 5 4" xfId="30403" xr:uid="{1603332E-FFF5-4B90-BE8E-DF215E0DE187}"/>
    <cellStyle name="Normal 3 2 2 2 2 20 11 5 5" xfId="30404" xr:uid="{0A2AFC1C-DA95-4BEE-95EE-68639B7865E8}"/>
    <cellStyle name="Normal 3 2 2 2 2 20 11 5 6" xfId="30405" xr:uid="{1DAD7FF9-5343-477A-A0A7-CF620816FFFF}"/>
    <cellStyle name="Normal 3 2 2 2 2 20 11 6" xfId="30406" xr:uid="{5D987158-7505-458D-8704-879475E59ADD}"/>
    <cellStyle name="Normal 3 2 2 2 2 20 11 7" xfId="30407" xr:uid="{610510CE-9C4F-4212-939A-CA2F38045BB5}"/>
    <cellStyle name="Normal 3 2 2 2 2 20 11 8" xfId="30408" xr:uid="{22AB17EC-AD9D-46FB-99ED-98BAC4083F08}"/>
    <cellStyle name="Normal 3 2 2 2 2 20 11 9" xfId="30409" xr:uid="{EC0D3F79-0D33-4BCE-9A97-259287EFA163}"/>
    <cellStyle name="Normal 3 2 2 2 2 20 12" xfId="30410" xr:uid="{2E13B4D0-FF75-457C-93E2-8BCAA9B4D083}"/>
    <cellStyle name="Normal 3 2 2 2 2 20 13" xfId="30411" xr:uid="{A29D2BA0-CC79-4777-ABE6-2EE043D56665}"/>
    <cellStyle name="Normal 3 2 2 2 2 20 13 10" xfId="30412" xr:uid="{351D0770-6843-43D3-A64D-4074B91449CC}"/>
    <cellStyle name="Normal 3 2 2 2 2 20 13 11" xfId="30413" xr:uid="{23463593-B324-4A94-9F07-995B0C6E84EE}"/>
    <cellStyle name="Normal 3 2 2 2 2 20 13 2" xfId="30414" xr:uid="{B29E18D5-7BB2-4AB0-BF0C-9EB0E785E2EB}"/>
    <cellStyle name="Normal 3 2 2 2 2 20 13 2 10" xfId="30415" xr:uid="{D892D31B-A58A-47E8-814E-E41EA652C12B}"/>
    <cellStyle name="Normal 3 2 2 2 2 20 13 2 11" xfId="30416" xr:uid="{1E0F8D7C-801C-4EB9-9A37-D3A9B6BE180D}"/>
    <cellStyle name="Normal 3 2 2 2 2 20 13 2 2" xfId="30417" xr:uid="{81E191E3-8710-4ABF-BA6D-74506B93C6B9}"/>
    <cellStyle name="Normal 3 2 2 2 2 20 13 2 2 2" xfId="30418" xr:uid="{9B5C7A55-25D0-49FC-AE03-878B31EB0D82}"/>
    <cellStyle name="Normal 3 2 2 2 2 20 13 2 2 2 2" xfId="30419" xr:uid="{CAEA7562-33A4-4A86-B95D-A77EF4D7F540}"/>
    <cellStyle name="Normal 3 2 2 2 2 20 13 2 2 2 3" xfId="30420" xr:uid="{851A5C2E-CD35-43AD-AA64-D705C73F7A21}"/>
    <cellStyle name="Normal 3 2 2 2 2 20 13 2 2 2 4" xfId="30421" xr:uid="{3FF6028E-C69A-4816-B64A-2A2AAF4C04F5}"/>
    <cellStyle name="Normal 3 2 2 2 2 20 13 2 2 3" xfId="30422" xr:uid="{0E1B1102-0745-4F25-BC8A-995D30402201}"/>
    <cellStyle name="Normal 3 2 2 2 2 20 13 2 2 4" xfId="30423" xr:uid="{F7AD2671-E864-4902-9CBA-A86DBF6606D5}"/>
    <cellStyle name="Normal 3 2 2 2 2 20 13 2 2 5" xfId="30424" xr:uid="{4316DA7E-9AA9-4AA6-B222-7262157F7A80}"/>
    <cellStyle name="Normal 3 2 2 2 2 20 13 2 2 6" xfId="30425" xr:uid="{D0C6AA6B-F286-4382-82EE-2FE7C1D993A0}"/>
    <cellStyle name="Normal 3 2 2 2 2 20 13 2 3" xfId="30426" xr:uid="{719324F0-1911-4CAF-9FCB-8CBFCD3B980B}"/>
    <cellStyle name="Normal 3 2 2 2 2 20 13 2 4" xfId="30427" xr:uid="{9E5339B4-DFD3-4B06-9E0E-A5BDDD8EF380}"/>
    <cellStyle name="Normal 3 2 2 2 2 20 13 2 5" xfId="30428" xr:uid="{55E408C0-3F63-4DA9-A445-64810B674723}"/>
    <cellStyle name="Normal 3 2 2 2 2 20 13 2 6" xfId="30429" xr:uid="{E5C34B83-B68C-4E8C-BE94-298316B711E1}"/>
    <cellStyle name="Normal 3 2 2 2 2 20 13 2 7" xfId="30430" xr:uid="{AF5E1E86-70F5-4E01-98CC-5A29D56B52D0}"/>
    <cellStyle name="Normal 3 2 2 2 2 20 13 2 8" xfId="30431" xr:uid="{8846AA1B-5873-42E7-8966-B42A09676D0B}"/>
    <cellStyle name="Normal 3 2 2 2 2 20 13 2 8 2" xfId="30432" xr:uid="{DC3AD9BA-1D00-4A66-85DC-D58604EA739B}"/>
    <cellStyle name="Normal 3 2 2 2 2 20 13 2 8 3" xfId="30433" xr:uid="{B44613B7-D860-4016-8092-1C6F4C277478}"/>
    <cellStyle name="Normal 3 2 2 2 2 20 13 2 8 4" xfId="30434" xr:uid="{368B18FD-A7D3-4C40-82DB-81753195CBF2}"/>
    <cellStyle name="Normal 3 2 2 2 2 20 13 2 9" xfId="30435" xr:uid="{8096C2FE-5BE8-452B-AA5B-4D602DAED7DC}"/>
    <cellStyle name="Normal 3 2 2 2 2 20 13 3" xfId="30436" xr:uid="{D4875C01-E588-41F7-B9EC-FDC6B2317A1F}"/>
    <cellStyle name="Normal 3 2 2 2 2 20 13 3 2" xfId="30437" xr:uid="{B928E102-9931-4D32-A0E1-A47D973DB159}"/>
    <cellStyle name="Normal 3 2 2 2 2 20 13 3 2 2" xfId="30438" xr:uid="{B602675B-0AEF-42A5-AF72-D14A96A691B2}"/>
    <cellStyle name="Normal 3 2 2 2 2 20 13 3 2 3" xfId="30439" xr:uid="{40F14A2E-FA1B-4F2D-A7B3-A63A503342A5}"/>
    <cellStyle name="Normal 3 2 2 2 2 20 13 3 2 4" xfId="30440" xr:uid="{197782D3-C1F2-437F-BE6C-1DBD3EA7F8A2}"/>
    <cellStyle name="Normal 3 2 2 2 2 20 13 3 3" xfId="30441" xr:uid="{40A65A67-4577-41E4-8F65-3C5CC98F777D}"/>
    <cellStyle name="Normal 3 2 2 2 2 20 13 3 4" xfId="30442" xr:uid="{ECF7A06B-BB2B-4D98-A309-8C5481047E32}"/>
    <cellStyle name="Normal 3 2 2 2 2 20 13 3 5" xfId="30443" xr:uid="{377D1FDC-7E90-4F5F-BC1B-0498BF746E9D}"/>
    <cellStyle name="Normal 3 2 2 2 2 20 13 3 6" xfId="30444" xr:uid="{36EB5698-638E-4C3A-81B7-024762E154B9}"/>
    <cellStyle name="Normal 3 2 2 2 2 20 13 4" xfId="30445" xr:uid="{46C70B6D-1208-429C-A93A-6EBB4B9EAEE8}"/>
    <cellStyle name="Normal 3 2 2 2 2 20 13 5" xfId="30446" xr:uid="{C3FBD76D-3689-4F32-BE49-9BC914D82F78}"/>
    <cellStyle name="Normal 3 2 2 2 2 20 13 6" xfId="30447" xr:uid="{12DAE4F2-D9AF-4015-8817-DC7B434FF9C9}"/>
    <cellStyle name="Normal 3 2 2 2 2 20 13 7" xfId="30448" xr:uid="{50A4063B-5D21-47B8-A31C-6C8EDEEB2B0B}"/>
    <cellStyle name="Normal 3 2 2 2 2 20 13 8" xfId="30449" xr:uid="{CDF58EF8-DA60-4697-8B73-828A58D4CC01}"/>
    <cellStyle name="Normal 3 2 2 2 2 20 13 8 2" xfId="30450" xr:uid="{83F2BFF3-005A-4081-A872-A64F2F72A917}"/>
    <cellStyle name="Normal 3 2 2 2 2 20 13 8 3" xfId="30451" xr:uid="{E803FB51-D879-4568-A317-B16A2EE603DF}"/>
    <cellStyle name="Normal 3 2 2 2 2 20 13 8 4" xfId="30452" xr:uid="{F03880E2-DA3E-4F93-86CA-27CFDE08897F}"/>
    <cellStyle name="Normal 3 2 2 2 2 20 13 9" xfId="30453" xr:uid="{D0DF4DC1-6296-4697-90BF-86A221321847}"/>
    <cellStyle name="Normal 3 2 2 2 2 20 14" xfId="30454" xr:uid="{0AC321D1-8954-4E53-945E-EDAD310FE231}"/>
    <cellStyle name="Normal 3 2 2 2 2 20 15" xfId="30455" xr:uid="{2BC73660-45B9-454F-8C6C-B29C0844C31C}"/>
    <cellStyle name="Normal 3 2 2 2 2 20 15 2" xfId="30456" xr:uid="{73009C7B-C6E9-46BA-88B0-F700BCCB1037}"/>
    <cellStyle name="Normal 3 2 2 2 2 20 15 2 2" xfId="30457" xr:uid="{BAA6B493-4CF3-4CEC-B67D-3EB77B488750}"/>
    <cellStyle name="Normal 3 2 2 2 2 20 15 2 3" xfId="30458" xr:uid="{077A4663-2FF3-4B99-BF57-47D479B3CDC1}"/>
    <cellStyle name="Normal 3 2 2 2 2 20 15 2 4" xfId="30459" xr:uid="{89B055E9-DFB3-4CF9-8AF5-C7FB2A62FFAF}"/>
    <cellStyle name="Normal 3 2 2 2 2 20 15 3" xfId="30460" xr:uid="{4AFD6B3D-D6F4-4796-8075-15B58C56FD55}"/>
    <cellStyle name="Normal 3 2 2 2 2 20 15 4" xfId="30461" xr:uid="{9755B329-A51E-4F7F-96A2-DC283297F122}"/>
    <cellStyle name="Normal 3 2 2 2 2 20 15 5" xfId="30462" xr:uid="{8DA85287-ED0F-4EEC-B2A9-6D6CA4EE56B0}"/>
    <cellStyle name="Normal 3 2 2 2 2 20 15 6" xfId="30463" xr:uid="{D1BE49B6-687C-479D-9B7A-58FDD130C97D}"/>
    <cellStyle name="Normal 3 2 2 2 2 20 16" xfId="30464" xr:uid="{397103BF-C583-4683-8AA8-E008A6C5F715}"/>
    <cellStyle name="Normal 3 2 2 2 2 20 17" xfId="30465" xr:uid="{3C170605-B145-427C-8BCD-F25F997E1A79}"/>
    <cellStyle name="Normal 3 2 2 2 2 20 18" xfId="30466" xr:uid="{D7EDA3C1-1D38-44EE-9CC7-A827A69FBD42}"/>
    <cellStyle name="Normal 3 2 2 2 2 20 19" xfId="30467" xr:uid="{E28034CF-A669-4325-BDDC-DF183577BA83}"/>
    <cellStyle name="Normal 3 2 2 2 2 20 2" xfId="30468" xr:uid="{BC98AFB1-1CA0-48E3-9543-07CA8A9363FF}"/>
    <cellStyle name="Normal 3 2 2 2 2 20 2 10" xfId="30469" xr:uid="{F12AD0C0-5893-4EB9-A552-944A64D1CB92}"/>
    <cellStyle name="Normal 3 2 2 2 2 20 2 11" xfId="30470" xr:uid="{B6460177-1FB8-410E-B6F6-06F07BCEA18D}"/>
    <cellStyle name="Normal 3 2 2 2 2 20 2 12" xfId="30471" xr:uid="{2C6C6603-4902-403F-A6A7-6406C5460203}"/>
    <cellStyle name="Normal 3 2 2 2 2 20 2 13" xfId="30472" xr:uid="{820A8BB7-3F08-46ED-8886-E598A73D3B5E}"/>
    <cellStyle name="Normal 3 2 2 2 2 20 2 13 2" xfId="30473" xr:uid="{1FEBA3F5-479B-44C7-8F81-412AC0A0C972}"/>
    <cellStyle name="Normal 3 2 2 2 2 20 2 13 3" xfId="30474" xr:uid="{E847D73F-0852-4ABB-846E-FF2F407D2F8F}"/>
    <cellStyle name="Normal 3 2 2 2 2 20 2 13 4" xfId="30475" xr:uid="{48B93F58-773A-4F80-A053-DF34753EB51E}"/>
    <cellStyle name="Normal 3 2 2 2 2 20 2 14" xfId="30476" xr:uid="{BFF16744-9B71-4633-BE41-AA39F7EFB391}"/>
    <cellStyle name="Normal 3 2 2 2 2 20 2 15" xfId="30477" xr:uid="{5A7D4655-80A9-4F89-AC3A-B36ACF43A0BC}"/>
    <cellStyle name="Normal 3 2 2 2 2 20 2 16" xfId="30478" xr:uid="{C15E6091-019D-4F99-9EBD-03ACBCAFA591}"/>
    <cellStyle name="Normal 3 2 2 2 2 20 2 2" xfId="30479" xr:uid="{06B1DF7E-58EC-4DC8-A416-8207A69243E9}"/>
    <cellStyle name="Normal 3 2 2 2 2 20 2 2 10" xfId="30480" xr:uid="{ABFE0F79-CAEA-4FDB-A8A8-B83BF707D868}"/>
    <cellStyle name="Normal 3 2 2 2 2 20 2 2 11" xfId="30481" xr:uid="{AEA0AB16-4DC8-4761-BFA7-91C4A7539835}"/>
    <cellStyle name="Normal 3 2 2 2 2 20 2 2 11 2" xfId="30482" xr:uid="{01AB253C-90AF-421A-8A59-F71B8A5A60D3}"/>
    <cellStyle name="Normal 3 2 2 2 2 20 2 2 11 3" xfId="30483" xr:uid="{17BEF22C-4761-46AD-AE7E-F31BC3DD27E9}"/>
    <cellStyle name="Normal 3 2 2 2 2 20 2 2 11 4" xfId="30484" xr:uid="{864F6EE4-AD60-449D-9701-CF4F3C46B389}"/>
    <cellStyle name="Normal 3 2 2 2 2 20 2 2 12" xfId="30485" xr:uid="{F55F840F-8C89-4B75-BDA7-45F568C2296F}"/>
    <cellStyle name="Normal 3 2 2 2 2 20 2 2 13" xfId="30486" xr:uid="{5B761B36-CC4C-491F-BE0D-414D53A24AE2}"/>
    <cellStyle name="Normal 3 2 2 2 2 20 2 2 14" xfId="30487" xr:uid="{CA73AE1C-4CB1-4B0F-8202-469CE633630B}"/>
    <cellStyle name="Normal 3 2 2 2 2 20 2 2 2" xfId="30488" xr:uid="{C88C965B-68D5-444E-8B2B-37D019D3E5A3}"/>
    <cellStyle name="Normal 3 2 2 2 2 20 2 2 2 10" xfId="30489" xr:uid="{3A42A222-8C25-430F-BD3B-DC959FF47C5A}"/>
    <cellStyle name="Normal 3 2 2 2 2 20 2 2 2 11" xfId="30490" xr:uid="{9AFB8E0B-A9A6-4502-8481-1DF980487BC8}"/>
    <cellStyle name="Normal 3 2 2 2 2 20 2 2 2 2" xfId="30491" xr:uid="{0C840403-42AA-4951-96AE-5CFD7A224D6D}"/>
    <cellStyle name="Normal 3 2 2 2 2 20 2 2 2 2 10" xfId="30492" xr:uid="{36ADC79D-4F81-4798-8987-F7C0F85CDDB7}"/>
    <cellStyle name="Normal 3 2 2 2 2 20 2 2 2 2 11" xfId="30493" xr:uid="{8BF508D8-7C5B-4C86-80E9-55883ED7ED36}"/>
    <cellStyle name="Normal 3 2 2 2 2 20 2 2 2 2 2" xfId="30494" xr:uid="{617C780A-6B9D-4862-8ED6-0C578E82DD0A}"/>
    <cellStyle name="Normal 3 2 2 2 2 20 2 2 2 2 2 2" xfId="30495" xr:uid="{0DCC85BF-B90B-4C26-881B-7144F88A69FB}"/>
    <cellStyle name="Normal 3 2 2 2 2 20 2 2 2 2 2 2 2" xfId="30496" xr:uid="{1391C162-F41B-4A10-9C2E-5C6D2CCA7010}"/>
    <cellStyle name="Normal 3 2 2 2 2 20 2 2 2 2 2 2 3" xfId="30497" xr:uid="{8CAD5BA8-145E-44CE-9745-512C00237851}"/>
    <cellStyle name="Normal 3 2 2 2 2 20 2 2 2 2 2 2 4" xfId="30498" xr:uid="{812D2F2E-1D6F-4CE9-9C61-5F19B79180B2}"/>
    <cellStyle name="Normal 3 2 2 2 2 20 2 2 2 2 2 3" xfId="30499" xr:uid="{2E4DD365-7A19-4ED6-AD30-2D56EE51E3B5}"/>
    <cellStyle name="Normal 3 2 2 2 2 20 2 2 2 2 2 4" xfId="30500" xr:uid="{70BBA286-46BD-4182-92C8-66FC2ED280FD}"/>
    <cellStyle name="Normal 3 2 2 2 2 20 2 2 2 2 2 5" xfId="30501" xr:uid="{449C4230-B312-43DC-B0D8-5F21D43C7899}"/>
    <cellStyle name="Normal 3 2 2 2 2 20 2 2 2 2 2 6" xfId="30502" xr:uid="{996656F2-CFA2-43C6-BB92-4C0DFE54C072}"/>
    <cellStyle name="Normal 3 2 2 2 2 20 2 2 2 2 3" xfId="30503" xr:uid="{7E9D1A03-3185-4689-87D8-EA2C7D498F6C}"/>
    <cellStyle name="Normal 3 2 2 2 2 20 2 2 2 2 4" xfId="30504" xr:uid="{BFFF7EEE-9ABA-4495-A0AA-BB640BD46D20}"/>
    <cellStyle name="Normal 3 2 2 2 2 20 2 2 2 2 5" xfId="30505" xr:uid="{3228653A-03C0-46E9-9993-E105AD162EE6}"/>
    <cellStyle name="Normal 3 2 2 2 2 20 2 2 2 2 6" xfId="30506" xr:uid="{4F98C1E4-D77D-4820-85CC-175E82100456}"/>
    <cellStyle name="Normal 3 2 2 2 2 20 2 2 2 2 7" xfId="30507" xr:uid="{080D1538-3566-4E39-A651-6D9DFBF0780B}"/>
    <cellStyle name="Normal 3 2 2 2 2 20 2 2 2 2 8" xfId="30508" xr:uid="{B20BEC53-24EB-4954-B90A-1AB121E5DB18}"/>
    <cellStyle name="Normal 3 2 2 2 2 20 2 2 2 2 8 2" xfId="30509" xr:uid="{5633F1AA-033B-4A46-A984-C670D2841E13}"/>
    <cellStyle name="Normal 3 2 2 2 2 20 2 2 2 2 8 3" xfId="30510" xr:uid="{C3CECB41-3713-4533-8C41-2DD7579CF14A}"/>
    <cellStyle name="Normal 3 2 2 2 2 20 2 2 2 2 8 4" xfId="30511" xr:uid="{9B699C37-4A16-4157-B84D-DE4C251CE911}"/>
    <cellStyle name="Normal 3 2 2 2 2 20 2 2 2 2 9" xfId="30512" xr:uid="{86D4F7DB-0F80-4240-B61C-D41ED860511B}"/>
    <cellStyle name="Normal 3 2 2 2 2 20 2 2 2 3" xfId="30513" xr:uid="{CE5008B6-B9C3-4373-9924-E916D600A79B}"/>
    <cellStyle name="Normal 3 2 2 2 2 20 2 2 2 3 2" xfId="30514" xr:uid="{E1FCB825-DD3D-41E7-BD3D-22F51E4DE649}"/>
    <cellStyle name="Normal 3 2 2 2 2 20 2 2 2 3 2 2" xfId="30515" xr:uid="{EE02CF46-7E22-47A0-A088-E5478A149C05}"/>
    <cellStyle name="Normal 3 2 2 2 2 20 2 2 2 3 2 3" xfId="30516" xr:uid="{CA80A1AF-13CB-4BA8-BE9B-2905D65CFE66}"/>
    <cellStyle name="Normal 3 2 2 2 2 20 2 2 2 3 2 4" xfId="30517" xr:uid="{ADDE4ECC-ECB7-404B-9098-B98B21B45504}"/>
    <cellStyle name="Normal 3 2 2 2 2 20 2 2 2 3 3" xfId="30518" xr:uid="{5C54D014-DBF9-43D1-9002-D17D0D1086B9}"/>
    <cellStyle name="Normal 3 2 2 2 2 20 2 2 2 3 4" xfId="30519" xr:uid="{1FD44E41-FFDD-4319-B2E0-F4E556F793E0}"/>
    <cellStyle name="Normal 3 2 2 2 2 20 2 2 2 3 5" xfId="30520" xr:uid="{20369D26-3E84-42D2-B796-1EDE1E3363C2}"/>
    <cellStyle name="Normal 3 2 2 2 2 20 2 2 2 3 6" xfId="30521" xr:uid="{0D147979-3DEA-434A-A8A1-F5660D59A770}"/>
    <cellStyle name="Normal 3 2 2 2 2 20 2 2 2 4" xfId="30522" xr:uid="{E48F26AD-94C4-40C1-89E8-A62454AD3E57}"/>
    <cellStyle name="Normal 3 2 2 2 2 20 2 2 2 5" xfId="30523" xr:uid="{8FB497DF-18F6-4EAE-91C4-C0490F5E2BC1}"/>
    <cellStyle name="Normal 3 2 2 2 2 20 2 2 2 6" xfId="30524" xr:uid="{7D23AD18-09B4-4974-81AC-FC5F2BD2681D}"/>
    <cellStyle name="Normal 3 2 2 2 2 20 2 2 2 7" xfId="30525" xr:uid="{14805B7E-D47A-4B51-ABEA-A3ECD50AF8E4}"/>
    <cellStyle name="Normal 3 2 2 2 2 20 2 2 2 8" xfId="30526" xr:uid="{BB2B32AA-42FF-4A43-82CE-EE839CCCFC87}"/>
    <cellStyle name="Normal 3 2 2 2 2 20 2 2 2 8 2" xfId="30527" xr:uid="{A98E6149-E19F-4EB7-9193-4F9792CD269A}"/>
    <cellStyle name="Normal 3 2 2 2 2 20 2 2 2 8 3" xfId="30528" xr:uid="{C983D242-4941-4170-9A25-C726EC32C56C}"/>
    <cellStyle name="Normal 3 2 2 2 2 20 2 2 2 8 4" xfId="30529" xr:uid="{BB180F3A-1E2F-4E1D-A0B6-4736B9A0D749}"/>
    <cellStyle name="Normal 3 2 2 2 2 20 2 2 2 9" xfId="30530" xr:uid="{E8F2D0F9-066F-44A2-BF5D-98819BE4454C}"/>
    <cellStyle name="Normal 3 2 2 2 2 20 2 2 3" xfId="30531" xr:uid="{378590B7-D879-427C-8699-9EC7FBED4BE3}"/>
    <cellStyle name="Normal 3 2 2 2 2 20 2 2 4" xfId="30532" xr:uid="{19A5BECB-30B9-418C-9D76-C69E11C43C04}"/>
    <cellStyle name="Normal 3 2 2 2 2 20 2 2 5" xfId="30533" xr:uid="{FA3615A9-693E-4D5C-B037-8492A649E19E}"/>
    <cellStyle name="Normal 3 2 2 2 2 20 2 2 5 2" xfId="30534" xr:uid="{3A48FAB7-4D1D-4A2E-A452-52612194F2F7}"/>
    <cellStyle name="Normal 3 2 2 2 2 20 2 2 5 2 2" xfId="30535" xr:uid="{61DC2CCB-F8A0-4D7A-943C-BDA395B368C2}"/>
    <cellStyle name="Normal 3 2 2 2 2 20 2 2 5 2 3" xfId="30536" xr:uid="{CD86F072-373B-4FB6-9F73-93DAE75E06F1}"/>
    <cellStyle name="Normal 3 2 2 2 2 20 2 2 5 2 4" xfId="30537" xr:uid="{B73C1014-868F-4CEA-94A3-933E788C0C45}"/>
    <cellStyle name="Normal 3 2 2 2 2 20 2 2 5 3" xfId="30538" xr:uid="{7D4EA9AF-2BE3-4BE8-9209-D02DA64A6947}"/>
    <cellStyle name="Normal 3 2 2 2 2 20 2 2 5 4" xfId="30539" xr:uid="{8F901BD7-FC9A-485C-BD61-C2458AEE3D0B}"/>
    <cellStyle name="Normal 3 2 2 2 2 20 2 2 5 5" xfId="30540" xr:uid="{69655EA8-2A40-4EAE-A6E1-84C84555DB62}"/>
    <cellStyle name="Normal 3 2 2 2 2 20 2 2 5 6" xfId="30541" xr:uid="{1B5927F3-D0DE-4CBD-A21D-AF896FD1296E}"/>
    <cellStyle name="Normal 3 2 2 2 2 20 2 2 6" xfId="30542" xr:uid="{5922C207-4512-477A-8413-EDB7D7DEE910}"/>
    <cellStyle name="Normal 3 2 2 2 2 20 2 2 7" xfId="30543" xr:uid="{CFCB515A-CDB5-4C43-BFFB-7632EE3FC058}"/>
    <cellStyle name="Normal 3 2 2 2 2 20 2 2 8" xfId="30544" xr:uid="{22517A00-C7F7-4A88-A334-70ABE52BA998}"/>
    <cellStyle name="Normal 3 2 2 2 2 20 2 2 9" xfId="30545" xr:uid="{3904455E-8E7F-47A5-8024-E45C52AE76D9}"/>
    <cellStyle name="Normal 3 2 2 2 2 20 2 3" xfId="30546" xr:uid="{BC39FE6B-D244-4047-9F81-FC134F5B7034}"/>
    <cellStyle name="Normal 3 2 2 2 2 20 2 4" xfId="30547" xr:uid="{E563EA02-F8C9-40FC-BAB7-985D0DDE962D}"/>
    <cellStyle name="Normal 3 2 2 2 2 20 2 5" xfId="30548" xr:uid="{121EF8F8-A3E0-4C4E-A7D8-576AF111F0DC}"/>
    <cellStyle name="Normal 3 2 2 2 2 20 2 5 10" xfId="30549" xr:uid="{4A1A98F2-89C1-422C-BBD5-0DB72A17D939}"/>
    <cellStyle name="Normal 3 2 2 2 2 20 2 5 11" xfId="30550" xr:uid="{C48F1674-444F-45BC-A640-93E18AB22EE3}"/>
    <cellStyle name="Normal 3 2 2 2 2 20 2 5 2" xfId="30551" xr:uid="{708CAE1D-5DE7-4323-86D7-3641819F357C}"/>
    <cellStyle name="Normal 3 2 2 2 2 20 2 5 2 10" xfId="30552" xr:uid="{44833313-C8A0-4A68-9725-DB49C915466C}"/>
    <cellStyle name="Normal 3 2 2 2 2 20 2 5 2 11" xfId="30553" xr:uid="{0D85A1E2-EF62-41CE-B873-BB07259F2F4D}"/>
    <cellStyle name="Normal 3 2 2 2 2 20 2 5 2 2" xfId="30554" xr:uid="{E6EC1790-CAE5-4145-8BCD-B5928D22F90A}"/>
    <cellStyle name="Normal 3 2 2 2 2 20 2 5 2 2 2" xfId="30555" xr:uid="{5A1F12A4-1F97-4E2F-99A5-7D377CFD911F}"/>
    <cellStyle name="Normal 3 2 2 2 2 20 2 5 2 2 2 2" xfId="30556" xr:uid="{11EF67B0-9C85-408A-88BA-B2AAF5F259CF}"/>
    <cellStyle name="Normal 3 2 2 2 2 20 2 5 2 2 2 3" xfId="30557" xr:uid="{A68677C2-F9A4-487E-833F-37A4D510364C}"/>
    <cellStyle name="Normal 3 2 2 2 2 20 2 5 2 2 2 4" xfId="30558" xr:uid="{6C6DBBCE-090A-437A-9369-0CCBADACAAB9}"/>
    <cellStyle name="Normal 3 2 2 2 2 20 2 5 2 2 3" xfId="30559" xr:uid="{E500F4A6-D2BF-44A6-94A2-83038CDE8C62}"/>
    <cellStyle name="Normal 3 2 2 2 2 20 2 5 2 2 4" xfId="30560" xr:uid="{A1A01D20-F5AA-47E7-A010-20BBEF9ECF33}"/>
    <cellStyle name="Normal 3 2 2 2 2 20 2 5 2 2 5" xfId="30561" xr:uid="{6728B669-AC3E-49EB-9D21-97DB2738ADC1}"/>
    <cellStyle name="Normal 3 2 2 2 2 20 2 5 2 2 6" xfId="30562" xr:uid="{0C8A21BB-803F-4507-9777-590E83941028}"/>
    <cellStyle name="Normal 3 2 2 2 2 20 2 5 2 3" xfId="30563" xr:uid="{7869B1A6-F2F0-48EB-BE34-734FA8C76406}"/>
    <cellStyle name="Normal 3 2 2 2 2 20 2 5 2 4" xfId="30564" xr:uid="{202D7C82-78DA-4A2E-A650-3531D3FC9EA0}"/>
    <cellStyle name="Normal 3 2 2 2 2 20 2 5 2 5" xfId="30565" xr:uid="{0A94840F-38DE-4804-AB1A-8014851BE42F}"/>
    <cellStyle name="Normal 3 2 2 2 2 20 2 5 2 6" xfId="30566" xr:uid="{28D496C5-0982-488A-B36E-1271D07CF692}"/>
    <cellStyle name="Normal 3 2 2 2 2 20 2 5 2 7" xfId="30567" xr:uid="{10BB043F-289A-4A98-BC4B-607BBD0CD4AF}"/>
    <cellStyle name="Normal 3 2 2 2 2 20 2 5 2 8" xfId="30568" xr:uid="{F8DDDAF7-085A-4E40-90F5-782E2F2D8982}"/>
    <cellStyle name="Normal 3 2 2 2 2 20 2 5 2 8 2" xfId="30569" xr:uid="{EC88CF8F-6A97-4E0F-A380-48AE82989558}"/>
    <cellStyle name="Normal 3 2 2 2 2 20 2 5 2 8 3" xfId="30570" xr:uid="{E016FC63-1737-4C7E-99BE-CE0D7E9088DB}"/>
    <cellStyle name="Normal 3 2 2 2 2 20 2 5 2 8 4" xfId="30571" xr:uid="{5B863DAA-7AFC-45B7-8B7D-A0CC08A67B13}"/>
    <cellStyle name="Normal 3 2 2 2 2 20 2 5 2 9" xfId="30572" xr:uid="{70488E84-F09B-4B53-8619-4D88EA32FB04}"/>
    <cellStyle name="Normal 3 2 2 2 2 20 2 5 3" xfId="30573" xr:uid="{A00B42A6-7DD0-4AFD-BECE-D486248BA68C}"/>
    <cellStyle name="Normal 3 2 2 2 2 20 2 5 3 2" xfId="30574" xr:uid="{6C5D5077-8B41-4CDA-90B3-B50426EFA096}"/>
    <cellStyle name="Normal 3 2 2 2 2 20 2 5 3 2 2" xfId="30575" xr:uid="{CB1FF2EA-0DCE-49A9-8025-764250CDA6BC}"/>
    <cellStyle name="Normal 3 2 2 2 2 20 2 5 3 2 3" xfId="30576" xr:uid="{05838131-F17B-4CDA-B1AF-C6CF4F106078}"/>
    <cellStyle name="Normal 3 2 2 2 2 20 2 5 3 2 4" xfId="30577" xr:uid="{BBFB4F1B-6A31-4F32-8330-F00906C15101}"/>
    <cellStyle name="Normal 3 2 2 2 2 20 2 5 3 3" xfId="30578" xr:uid="{09AAEBAB-F767-46C1-8453-C7F923D5B0B3}"/>
    <cellStyle name="Normal 3 2 2 2 2 20 2 5 3 4" xfId="30579" xr:uid="{B5FD66FB-016B-4133-9EF3-E103E175DA77}"/>
    <cellStyle name="Normal 3 2 2 2 2 20 2 5 3 5" xfId="30580" xr:uid="{6C81FDC9-ED9A-4AC9-909C-051B9FA97E0F}"/>
    <cellStyle name="Normal 3 2 2 2 2 20 2 5 3 6" xfId="30581" xr:uid="{7DFE1268-DC04-44C9-AFE7-012A05789F6C}"/>
    <cellStyle name="Normal 3 2 2 2 2 20 2 5 4" xfId="30582" xr:uid="{7F263D9B-6AF6-44C2-8D76-411DA8721DDE}"/>
    <cellStyle name="Normal 3 2 2 2 2 20 2 5 5" xfId="30583" xr:uid="{92F68BB8-F492-4762-880B-C9D579D0F99C}"/>
    <cellStyle name="Normal 3 2 2 2 2 20 2 5 6" xfId="30584" xr:uid="{F64D71F6-F294-49C3-BCC7-98BBB111CFD2}"/>
    <cellStyle name="Normal 3 2 2 2 2 20 2 5 7" xfId="30585" xr:uid="{A2C13022-E541-4ECB-B7BD-851F9B8CFE3D}"/>
    <cellStyle name="Normal 3 2 2 2 2 20 2 5 8" xfId="30586" xr:uid="{9F6DB647-0FF3-4F79-868B-96A6CD9F4D4F}"/>
    <cellStyle name="Normal 3 2 2 2 2 20 2 5 8 2" xfId="30587" xr:uid="{1370C947-EF22-4833-A4D9-1CB7720C622C}"/>
    <cellStyle name="Normal 3 2 2 2 2 20 2 5 8 3" xfId="30588" xr:uid="{9640445F-E7BA-4CE3-BACD-35844A0FE49B}"/>
    <cellStyle name="Normal 3 2 2 2 2 20 2 5 8 4" xfId="30589" xr:uid="{F20373D0-6D9D-4F96-93D9-E4AE737B8CC5}"/>
    <cellStyle name="Normal 3 2 2 2 2 20 2 5 9" xfId="30590" xr:uid="{85FF730C-C388-4D16-96DE-BC4FCA0161CB}"/>
    <cellStyle name="Normal 3 2 2 2 2 20 2 6" xfId="30591" xr:uid="{77738E8E-795D-41AA-8A70-BBF9005C2354}"/>
    <cellStyle name="Normal 3 2 2 2 2 20 2 7" xfId="30592" xr:uid="{B41F7589-4AD6-42D3-A5C9-590B78CE1D2C}"/>
    <cellStyle name="Normal 3 2 2 2 2 20 2 7 2" xfId="30593" xr:uid="{52C2C9AA-D460-4AB2-9E32-3E7A2DB97058}"/>
    <cellStyle name="Normal 3 2 2 2 2 20 2 7 2 2" xfId="30594" xr:uid="{7DD79EF2-499B-4757-AB43-19FF73DAC838}"/>
    <cellStyle name="Normal 3 2 2 2 2 20 2 7 2 3" xfId="30595" xr:uid="{4CB8E0BD-FDDC-40E0-8357-D669361B07F9}"/>
    <cellStyle name="Normal 3 2 2 2 2 20 2 7 2 4" xfId="30596" xr:uid="{6EC290C9-92FD-4AA5-937E-0EFC215A1B13}"/>
    <cellStyle name="Normal 3 2 2 2 2 20 2 7 3" xfId="30597" xr:uid="{B5EF29B2-4563-4A3D-9E2C-ECF3DA028B3B}"/>
    <cellStyle name="Normal 3 2 2 2 2 20 2 7 4" xfId="30598" xr:uid="{144D5173-2782-4735-A14D-E1AAFD4870B2}"/>
    <cellStyle name="Normal 3 2 2 2 2 20 2 7 5" xfId="30599" xr:uid="{79D7086C-B714-4085-8DD7-82AFA2FA0F71}"/>
    <cellStyle name="Normal 3 2 2 2 2 20 2 7 6" xfId="30600" xr:uid="{32B2267F-EFBC-4D9B-98BD-687A46BB4C77}"/>
    <cellStyle name="Normal 3 2 2 2 2 20 2 8" xfId="30601" xr:uid="{EBFAED00-185B-43DF-9604-01DFD1690532}"/>
    <cellStyle name="Normal 3 2 2 2 2 20 2 9" xfId="30602" xr:uid="{572679C3-C9F6-4988-B48A-7CB9007081CB}"/>
    <cellStyle name="Normal 3 2 2 2 2 20 20" xfId="30603" xr:uid="{03456016-39A5-42D5-B9C7-2A219E6F6ED8}"/>
    <cellStyle name="Normal 3 2 2 2 2 20 21" xfId="30604" xr:uid="{C2375F29-831D-468B-B132-8BB626E843FC}"/>
    <cellStyle name="Normal 3 2 2 2 2 20 21 2" xfId="30605" xr:uid="{98ED0115-DA2D-439A-A0E2-6CE4DEBE614C}"/>
    <cellStyle name="Normal 3 2 2 2 2 20 21 3" xfId="30606" xr:uid="{179F98E0-D7E7-4376-BF08-73CEB43556F8}"/>
    <cellStyle name="Normal 3 2 2 2 2 20 21 4" xfId="30607" xr:uid="{A3542C46-0A1B-4306-AACD-6D6D058D6534}"/>
    <cellStyle name="Normal 3 2 2 2 2 20 22" xfId="30608" xr:uid="{B8D845EC-FF9F-4965-B1A4-C46A777B1130}"/>
    <cellStyle name="Normal 3 2 2 2 2 20 23" xfId="30609" xr:uid="{E8288935-FF6B-4A4D-8C2F-3BC6B8210B67}"/>
    <cellStyle name="Normal 3 2 2 2 2 20 24" xfId="30610" xr:uid="{32CC5E74-D667-443B-8604-AA52365A5F5F}"/>
    <cellStyle name="Normal 3 2 2 2 2 20 3" xfId="30611" xr:uid="{0AEF6762-7814-4D86-808C-5B9F7DD7ABED}"/>
    <cellStyle name="Normal 3 2 2 2 2 20 4" xfId="30612" xr:uid="{FFCCA3D9-DC02-4A52-AC00-F58F2653D0E8}"/>
    <cellStyle name="Normal 3 2 2 2 2 20 5" xfId="30613" xr:uid="{46F61EFA-7DCE-4639-85FF-0E65E9A96C63}"/>
    <cellStyle name="Normal 3 2 2 2 2 20 6" xfId="30614" xr:uid="{E11423FC-5AC2-4DF7-ADF5-50676B18E6DA}"/>
    <cellStyle name="Normal 3 2 2 2 2 20 7" xfId="30615" xr:uid="{D2589D18-8AC6-4E78-B30C-E8F569427C09}"/>
    <cellStyle name="Normal 3 2 2 2 2 20 8" xfId="30616" xr:uid="{FA07FB32-2832-4573-870B-53CE910F71CE}"/>
    <cellStyle name="Normal 3 2 2 2 2 20 9" xfId="30617" xr:uid="{608F950F-631E-441C-8CDB-C9158A956937}"/>
    <cellStyle name="Normal 3 2 2 2 2 21" xfId="30618" xr:uid="{B67B154C-D80A-4725-B219-8DD60A574299}"/>
    <cellStyle name="Normal 3 2 2 2 2 21 10" xfId="30619" xr:uid="{1542527A-AF64-4DD2-9CC9-6C657EDBE8ED}"/>
    <cellStyle name="Normal 3 2 2 2 2 21 11" xfId="30620" xr:uid="{A9592410-F8D3-4CD1-B036-FE30E27E2857}"/>
    <cellStyle name="Normal 3 2 2 2 2 21 12" xfId="30621" xr:uid="{565C3419-4B61-4444-B83B-055D2B55E0AE}"/>
    <cellStyle name="Normal 3 2 2 2 2 21 13" xfId="30622" xr:uid="{8C447E1E-B25F-4A35-8BBC-B12F738237BD}"/>
    <cellStyle name="Normal 3 2 2 2 2 21 13 2" xfId="30623" xr:uid="{33EDB598-2100-4EE4-B8E4-B3C5A1B4FD88}"/>
    <cellStyle name="Normal 3 2 2 2 2 21 13 3" xfId="30624" xr:uid="{66F60FCC-62F6-4292-89AA-998F42DBBCAC}"/>
    <cellStyle name="Normal 3 2 2 2 2 21 13 4" xfId="30625" xr:uid="{84EAB4A5-45FF-483D-A8A1-D2764A2F8614}"/>
    <cellStyle name="Normal 3 2 2 2 2 21 14" xfId="30626" xr:uid="{3EBD87DC-2AD5-4E96-AA66-352004B2DA77}"/>
    <cellStyle name="Normal 3 2 2 2 2 21 15" xfId="30627" xr:uid="{AE8E1746-57B7-43A1-B63E-1FA528BE0E25}"/>
    <cellStyle name="Normal 3 2 2 2 2 21 16" xfId="30628" xr:uid="{668AA9D1-E8AF-4928-83B3-8D3C5CFD0D32}"/>
    <cellStyle name="Normal 3 2 2 2 2 21 2" xfId="30629" xr:uid="{042E5C7A-431E-4647-8567-3D4EC8B8525F}"/>
    <cellStyle name="Normal 3 2 2 2 2 21 2 10" xfId="30630" xr:uid="{6AFB0C2B-F68C-4576-A184-9494B2E8F6BB}"/>
    <cellStyle name="Normal 3 2 2 2 2 21 2 11" xfId="30631" xr:uid="{015D8794-8301-4657-A4EE-378EDBADDAA8}"/>
    <cellStyle name="Normal 3 2 2 2 2 21 2 11 2" xfId="30632" xr:uid="{71F171B1-6DB1-457B-B2C9-B3B7F617AF85}"/>
    <cellStyle name="Normal 3 2 2 2 2 21 2 11 3" xfId="30633" xr:uid="{3BEB43A2-4325-4321-BA8A-54544D4B1316}"/>
    <cellStyle name="Normal 3 2 2 2 2 21 2 11 4" xfId="30634" xr:uid="{FC27C6CF-F10D-4359-8E9A-7A07C34294DE}"/>
    <cellStyle name="Normal 3 2 2 2 2 21 2 12" xfId="30635" xr:uid="{3A3B3E45-D73D-4B0B-B79B-60023086DF93}"/>
    <cellStyle name="Normal 3 2 2 2 2 21 2 13" xfId="30636" xr:uid="{2A483672-AD79-4AB6-B161-03D7A4EF2E91}"/>
    <cellStyle name="Normal 3 2 2 2 2 21 2 14" xfId="30637" xr:uid="{627221EF-E023-45FA-9F95-1A832A73C536}"/>
    <cellStyle name="Normal 3 2 2 2 2 21 2 2" xfId="30638" xr:uid="{9E2E216E-3ECF-4F42-AAFF-1AD46AADCB7C}"/>
    <cellStyle name="Normal 3 2 2 2 2 21 2 2 10" xfId="30639" xr:uid="{20B70AE0-E846-4D34-B3D7-45A37BF7FE05}"/>
    <cellStyle name="Normal 3 2 2 2 2 21 2 2 11" xfId="30640" xr:uid="{7089D103-7D83-4940-9A4D-FC3245EB3A65}"/>
    <cellStyle name="Normal 3 2 2 2 2 21 2 2 2" xfId="30641" xr:uid="{BAC2B39D-9B56-4755-AE36-A31A6BC6B6B7}"/>
    <cellStyle name="Normal 3 2 2 2 2 21 2 2 2 10" xfId="30642" xr:uid="{DF7DD319-4AA0-4DBB-8BAF-C4ABCE8D8C10}"/>
    <cellStyle name="Normal 3 2 2 2 2 21 2 2 2 11" xfId="30643" xr:uid="{8E8B7234-7D76-4150-B238-3D10844590E1}"/>
    <cellStyle name="Normal 3 2 2 2 2 21 2 2 2 2" xfId="30644" xr:uid="{28D01C2E-1D20-448A-97F5-559885A9DC00}"/>
    <cellStyle name="Normal 3 2 2 2 2 21 2 2 2 2 2" xfId="30645" xr:uid="{B7B3E0C8-9901-44CE-ADF6-89CDA86631E3}"/>
    <cellStyle name="Normal 3 2 2 2 2 21 2 2 2 2 2 2" xfId="30646" xr:uid="{01F99884-BA49-4968-9A97-BFBF87F3055E}"/>
    <cellStyle name="Normal 3 2 2 2 2 21 2 2 2 2 2 3" xfId="30647" xr:uid="{8519FD9E-7904-404D-966C-46D33ADC29F8}"/>
    <cellStyle name="Normal 3 2 2 2 2 21 2 2 2 2 2 4" xfId="30648" xr:uid="{E8661CC3-1C81-4274-913C-271B086ABDC3}"/>
    <cellStyle name="Normal 3 2 2 2 2 21 2 2 2 2 3" xfId="30649" xr:uid="{C700A9B4-5ED5-4450-AD8C-D6EF6568E455}"/>
    <cellStyle name="Normal 3 2 2 2 2 21 2 2 2 2 4" xfId="30650" xr:uid="{EA31F0EB-810D-41AD-BAB8-949C79DBBE20}"/>
    <cellStyle name="Normal 3 2 2 2 2 21 2 2 2 2 5" xfId="30651" xr:uid="{B05B0671-A597-4A5B-A872-6E8985466718}"/>
    <cellStyle name="Normal 3 2 2 2 2 21 2 2 2 2 6" xfId="30652" xr:uid="{43D5673C-4A63-45A2-B29B-85390FC3A548}"/>
    <cellStyle name="Normal 3 2 2 2 2 21 2 2 2 3" xfId="30653" xr:uid="{A264B206-59EB-4B33-B8DE-64E69826AEFB}"/>
    <cellStyle name="Normal 3 2 2 2 2 21 2 2 2 4" xfId="30654" xr:uid="{E5F8E1CC-CA26-4EDA-A51B-4B42BBF8F1B5}"/>
    <cellStyle name="Normal 3 2 2 2 2 21 2 2 2 5" xfId="30655" xr:uid="{F70B8139-C290-49E8-A65B-3464AA0E9E56}"/>
    <cellStyle name="Normal 3 2 2 2 2 21 2 2 2 6" xfId="30656" xr:uid="{7F25FBB4-F266-4E5B-801A-89147D169DBA}"/>
    <cellStyle name="Normal 3 2 2 2 2 21 2 2 2 7" xfId="30657" xr:uid="{6779E1CE-88E9-40C0-87E8-8E7BA0B7463E}"/>
    <cellStyle name="Normal 3 2 2 2 2 21 2 2 2 8" xfId="30658" xr:uid="{163C4E4D-9DDA-4DD9-81F0-B5631918F6D6}"/>
    <cellStyle name="Normal 3 2 2 2 2 21 2 2 2 8 2" xfId="30659" xr:uid="{E4A5953A-8B1E-4BD9-A6C7-37383B627B22}"/>
    <cellStyle name="Normal 3 2 2 2 2 21 2 2 2 8 3" xfId="30660" xr:uid="{6C5C192E-6F1E-46F4-BD6C-8DD800D28FD0}"/>
    <cellStyle name="Normal 3 2 2 2 2 21 2 2 2 8 4" xfId="30661" xr:uid="{8B0AD31A-D149-40D0-88FE-F869AF31A029}"/>
    <cellStyle name="Normal 3 2 2 2 2 21 2 2 2 9" xfId="30662" xr:uid="{290098A3-EECA-4871-B976-D36AA4B045FF}"/>
    <cellStyle name="Normal 3 2 2 2 2 21 2 2 3" xfId="30663" xr:uid="{8F6231AC-C920-4B8F-900A-B013BB9BCFCF}"/>
    <cellStyle name="Normal 3 2 2 2 2 21 2 2 3 2" xfId="30664" xr:uid="{65EEBA48-C79F-43C7-99AB-37733116DDE1}"/>
    <cellStyle name="Normal 3 2 2 2 2 21 2 2 3 2 2" xfId="30665" xr:uid="{09F53521-2EC4-4A52-8EA1-EA699277049F}"/>
    <cellStyle name="Normal 3 2 2 2 2 21 2 2 3 2 3" xfId="30666" xr:uid="{0FE6671D-A3D4-4F73-9C82-B3A8D17F88C7}"/>
    <cellStyle name="Normal 3 2 2 2 2 21 2 2 3 2 4" xfId="30667" xr:uid="{7ACA08CA-23DB-4F59-86D8-96E988EE6A04}"/>
    <cellStyle name="Normal 3 2 2 2 2 21 2 2 3 3" xfId="30668" xr:uid="{075110BA-FA29-46E2-BA30-0CE94B4ED005}"/>
    <cellStyle name="Normal 3 2 2 2 2 21 2 2 3 4" xfId="30669" xr:uid="{11B5FFF9-1E62-4CDF-B8CB-94AB01D9E04D}"/>
    <cellStyle name="Normal 3 2 2 2 2 21 2 2 3 5" xfId="30670" xr:uid="{C71E0691-C18C-48B5-BEFA-348ACBF6007B}"/>
    <cellStyle name="Normal 3 2 2 2 2 21 2 2 3 6" xfId="30671" xr:uid="{5DE9B8B4-94AF-48FE-B92A-87CEF8F2FFD9}"/>
    <cellStyle name="Normal 3 2 2 2 2 21 2 2 4" xfId="30672" xr:uid="{EBA473FB-2824-49CD-8392-5C953B42AA36}"/>
    <cellStyle name="Normal 3 2 2 2 2 21 2 2 5" xfId="30673" xr:uid="{27A9497D-2C98-480B-B167-FBC3DC071BF2}"/>
    <cellStyle name="Normal 3 2 2 2 2 21 2 2 6" xfId="30674" xr:uid="{D1779919-550A-4266-9996-E78D7453E221}"/>
    <cellStyle name="Normal 3 2 2 2 2 21 2 2 7" xfId="30675" xr:uid="{A97A4246-6043-4BEF-8257-AFBB48F8D036}"/>
    <cellStyle name="Normal 3 2 2 2 2 21 2 2 8" xfId="30676" xr:uid="{8BD2FB57-8E68-4AAA-850B-44111EEEF390}"/>
    <cellStyle name="Normal 3 2 2 2 2 21 2 2 8 2" xfId="30677" xr:uid="{E055D644-C2D5-485E-BD74-FF164865BE4F}"/>
    <cellStyle name="Normal 3 2 2 2 2 21 2 2 8 3" xfId="30678" xr:uid="{7BABB8C8-ABEC-4206-B806-EF7F93EEE2B0}"/>
    <cellStyle name="Normal 3 2 2 2 2 21 2 2 8 4" xfId="30679" xr:uid="{51191425-0650-48DD-9334-8C91D89EFA7E}"/>
    <cellStyle name="Normal 3 2 2 2 2 21 2 2 9" xfId="30680" xr:uid="{519C7199-AE87-4395-8BB0-115FBFE67269}"/>
    <cellStyle name="Normal 3 2 2 2 2 21 2 3" xfId="30681" xr:uid="{E2136F38-3FF8-4522-8D84-4B5C8F9114E3}"/>
    <cellStyle name="Normal 3 2 2 2 2 21 2 4" xfId="30682" xr:uid="{BBA083D9-8616-429A-81A5-CD8EF639BE75}"/>
    <cellStyle name="Normal 3 2 2 2 2 21 2 5" xfId="30683" xr:uid="{E5A5A2D7-DA27-43DF-BAC0-6793BCEA49E2}"/>
    <cellStyle name="Normal 3 2 2 2 2 21 2 5 2" xfId="30684" xr:uid="{596F55A2-F876-442F-B700-5830AD5C8E88}"/>
    <cellStyle name="Normal 3 2 2 2 2 21 2 5 2 2" xfId="30685" xr:uid="{B004A566-6324-4EEF-ADE5-6E6CB37F4D02}"/>
    <cellStyle name="Normal 3 2 2 2 2 21 2 5 2 3" xfId="30686" xr:uid="{43905C27-A839-4050-AD43-DAFFEC23FBB5}"/>
    <cellStyle name="Normal 3 2 2 2 2 21 2 5 2 4" xfId="30687" xr:uid="{DB77240E-4FEF-406A-95AA-F4ACB4DC9C98}"/>
    <cellStyle name="Normal 3 2 2 2 2 21 2 5 3" xfId="30688" xr:uid="{A3482AF6-2792-4BB7-BAE8-B6BDDF2CEFAF}"/>
    <cellStyle name="Normal 3 2 2 2 2 21 2 5 4" xfId="30689" xr:uid="{5EE82EE4-972F-4F98-868B-2405B99274EF}"/>
    <cellStyle name="Normal 3 2 2 2 2 21 2 5 5" xfId="30690" xr:uid="{73BC6CDC-65C9-4410-AECC-04A8CE266F74}"/>
    <cellStyle name="Normal 3 2 2 2 2 21 2 5 6" xfId="30691" xr:uid="{78314700-21ED-4C44-B445-8756EE5DC8CD}"/>
    <cellStyle name="Normal 3 2 2 2 2 21 2 6" xfId="30692" xr:uid="{0C9CEEEE-DA3E-4D44-BDDF-E450977B9A27}"/>
    <cellStyle name="Normal 3 2 2 2 2 21 2 7" xfId="30693" xr:uid="{CC0DD0F6-C5A6-4776-9304-E909801E2F2E}"/>
    <cellStyle name="Normal 3 2 2 2 2 21 2 8" xfId="30694" xr:uid="{0C7777BE-4951-4086-BF2F-E06C4CB29157}"/>
    <cellStyle name="Normal 3 2 2 2 2 21 2 9" xfId="30695" xr:uid="{1F050634-2A6B-4FC3-8B72-E50B630158B2}"/>
    <cellStyle name="Normal 3 2 2 2 2 21 3" xfId="30696" xr:uid="{EDB0133A-C8E7-4A56-B493-C545EDE28CCD}"/>
    <cellStyle name="Normal 3 2 2 2 2 21 4" xfId="30697" xr:uid="{C7730C99-95C5-40E7-896E-91F02DC079E5}"/>
    <cellStyle name="Normal 3 2 2 2 2 21 5" xfId="30698" xr:uid="{4C50060F-825C-450C-893D-6399658BAB03}"/>
    <cellStyle name="Normal 3 2 2 2 2 21 5 10" xfId="30699" xr:uid="{1BFA1053-3BFE-4E13-AD5A-F69116037F24}"/>
    <cellStyle name="Normal 3 2 2 2 2 21 5 11" xfId="30700" xr:uid="{C06A3182-C0F9-4C73-BDF0-B5C729FA96DB}"/>
    <cellStyle name="Normal 3 2 2 2 2 21 5 2" xfId="30701" xr:uid="{0EA0D668-9CE7-4F4A-9328-564558255C80}"/>
    <cellStyle name="Normal 3 2 2 2 2 21 5 2 10" xfId="30702" xr:uid="{88FA8FA4-50DE-4039-BDCD-96729312C72C}"/>
    <cellStyle name="Normal 3 2 2 2 2 21 5 2 11" xfId="30703" xr:uid="{562979EF-0859-47F5-ACAC-DE7813110B27}"/>
    <cellStyle name="Normal 3 2 2 2 2 21 5 2 2" xfId="30704" xr:uid="{FBCDF3D8-8915-4C6B-9C7A-12C20B80F626}"/>
    <cellStyle name="Normal 3 2 2 2 2 21 5 2 2 2" xfId="30705" xr:uid="{4783A4C8-0E18-43CB-9E85-603CD4CB0AB4}"/>
    <cellStyle name="Normal 3 2 2 2 2 21 5 2 2 2 2" xfId="30706" xr:uid="{93082196-F558-4E3E-856C-5CBDEAE6D604}"/>
    <cellStyle name="Normal 3 2 2 2 2 21 5 2 2 2 3" xfId="30707" xr:uid="{4DB6D149-08F9-4A9B-9BE3-4D6C9E41D299}"/>
    <cellStyle name="Normal 3 2 2 2 2 21 5 2 2 2 4" xfId="30708" xr:uid="{E88EB8F3-5D03-49B7-B426-78E50CA3645D}"/>
    <cellStyle name="Normal 3 2 2 2 2 21 5 2 2 3" xfId="30709" xr:uid="{1FB1D0EB-EC14-414D-BE26-7EAF76B4C9B4}"/>
    <cellStyle name="Normal 3 2 2 2 2 21 5 2 2 4" xfId="30710" xr:uid="{00701466-108A-4880-A8B3-8482EF1A9A1E}"/>
    <cellStyle name="Normal 3 2 2 2 2 21 5 2 2 5" xfId="30711" xr:uid="{55AE6907-96AC-4542-9FCD-396BCDB82BA7}"/>
    <cellStyle name="Normal 3 2 2 2 2 21 5 2 2 6" xfId="30712" xr:uid="{C9E21D56-F14F-4824-B333-138066C2F857}"/>
    <cellStyle name="Normal 3 2 2 2 2 21 5 2 3" xfId="30713" xr:uid="{389024A1-B8AB-48F8-A809-A975183D5501}"/>
    <cellStyle name="Normal 3 2 2 2 2 21 5 2 4" xfId="30714" xr:uid="{BFDE39BA-5C7B-4647-B123-EBF1A97B5695}"/>
    <cellStyle name="Normal 3 2 2 2 2 21 5 2 5" xfId="30715" xr:uid="{7819D9FC-211A-4AB7-9670-372330029E37}"/>
    <cellStyle name="Normal 3 2 2 2 2 21 5 2 6" xfId="30716" xr:uid="{8D8FD535-2A1D-4FF0-9F9C-75D3997ECFE5}"/>
    <cellStyle name="Normal 3 2 2 2 2 21 5 2 7" xfId="30717" xr:uid="{345EB785-B141-4396-B638-CFD09274EEBC}"/>
    <cellStyle name="Normal 3 2 2 2 2 21 5 2 8" xfId="30718" xr:uid="{B5E112C1-E57A-4C12-B3F9-26E4E724567D}"/>
    <cellStyle name="Normal 3 2 2 2 2 21 5 2 8 2" xfId="30719" xr:uid="{3AB7DD60-87F0-439F-B0AA-794BFF4A2AB1}"/>
    <cellStyle name="Normal 3 2 2 2 2 21 5 2 8 3" xfId="30720" xr:uid="{0A00BD50-AF4B-4E28-820C-286180CC661A}"/>
    <cellStyle name="Normal 3 2 2 2 2 21 5 2 8 4" xfId="30721" xr:uid="{992D8AF4-19E0-4E6A-B725-E0B734039669}"/>
    <cellStyle name="Normal 3 2 2 2 2 21 5 2 9" xfId="30722" xr:uid="{2EA8940E-F636-42AA-B9A6-D2861F1A88C4}"/>
    <cellStyle name="Normal 3 2 2 2 2 21 5 3" xfId="30723" xr:uid="{04D2F2CC-41DF-4F69-AA5F-E7ABA84F9323}"/>
    <cellStyle name="Normal 3 2 2 2 2 21 5 3 2" xfId="30724" xr:uid="{76921044-86C5-4732-BE98-D70077E72CCE}"/>
    <cellStyle name="Normal 3 2 2 2 2 21 5 3 2 2" xfId="30725" xr:uid="{C371BDCA-0067-45FB-991B-DEF938EBE71D}"/>
    <cellStyle name="Normal 3 2 2 2 2 21 5 3 2 3" xfId="30726" xr:uid="{FBBC26D0-47EA-49E6-9CB7-7EF380FC4B4E}"/>
    <cellStyle name="Normal 3 2 2 2 2 21 5 3 2 4" xfId="30727" xr:uid="{55847C31-BFA2-4502-B32C-658E17F27282}"/>
    <cellStyle name="Normal 3 2 2 2 2 21 5 3 3" xfId="30728" xr:uid="{458C4299-D709-4BE5-8FB6-740FD38D5DDE}"/>
    <cellStyle name="Normal 3 2 2 2 2 21 5 3 4" xfId="30729" xr:uid="{EBBD6C48-BF9D-483E-82D0-591F58E71325}"/>
    <cellStyle name="Normal 3 2 2 2 2 21 5 3 5" xfId="30730" xr:uid="{D807B684-2FE7-4772-A097-8343364CDF50}"/>
    <cellStyle name="Normal 3 2 2 2 2 21 5 3 6" xfId="30731" xr:uid="{215BA411-C5E9-4141-A682-0DEB69E0FC6F}"/>
    <cellStyle name="Normal 3 2 2 2 2 21 5 4" xfId="30732" xr:uid="{BAA60AEE-61FB-4726-84FD-BB1646C0F2ED}"/>
    <cellStyle name="Normal 3 2 2 2 2 21 5 5" xfId="30733" xr:uid="{5BA2F8F7-1D7E-4632-8DC3-8F443A691ADC}"/>
    <cellStyle name="Normal 3 2 2 2 2 21 5 6" xfId="30734" xr:uid="{212608B6-8A2F-4944-9E7E-299895CF8A52}"/>
    <cellStyle name="Normal 3 2 2 2 2 21 5 7" xfId="30735" xr:uid="{143A1CA5-7052-4781-96A6-127DF1926B74}"/>
    <cellStyle name="Normal 3 2 2 2 2 21 5 8" xfId="30736" xr:uid="{7E977D17-E06B-4CC2-A68C-C1A1D20C4196}"/>
    <cellStyle name="Normal 3 2 2 2 2 21 5 8 2" xfId="30737" xr:uid="{E2B199E2-71FA-49FB-8025-6C93B6E04702}"/>
    <cellStyle name="Normal 3 2 2 2 2 21 5 8 3" xfId="30738" xr:uid="{CFDF99D6-BE45-44FA-A078-1D9497C24947}"/>
    <cellStyle name="Normal 3 2 2 2 2 21 5 8 4" xfId="30739" xr:uid="{1A605023-D870-4164-9CC7-E26448F4A632}"/>
    <cellStyle name="Normal 3 2 2 2 2 21 5 9" xfId="30740" xr:uid="{AE0EACE2-36DE-4CAA-A9D2-EA4853FFFBA0}"/>
    <cellStyle name="Normal 3 2 2 2 2 21 6" xfId="30741" xr:uid="{3C2801D9-807D-45A0-9A9C-A026F11AF4E2}"/>
    <cellStyle name="Normal 3 2 2 2 2 21 7" xfId="30742" xr:uid="{CE1B131E-8D3A-4D80-BED8-610279A58359}"/>
    <cellStyle name="Normal 3 2 2 2 2 21 7 2" xfId="30743" xr:uid="{DA5D3B7D-7CAB-4FD8-B018-74B9141E33ED}"/>
    <cellStyle name="Normal 3 2 2 2 2 21 7 2 2" xfId="30744" xr:uid="{75960F92-B701-48C9-BEEA-8634B5134E73}"/>
    <cellStyle name="Normal 3 2 2 2 2 21 7 2 3" xfId="30745" xr:uid="{87A50A90-1A9E-493D-B014-C7132531A76D}"/>
    <cellStyle name="Normal 3 2 2 2 2 21 7 2 4" xfId="30746" xr:uid="{C73D14D2-D993-4B8F-ABD5-B532230222CB}"/>
    <cellStyle name="Normal 3 2 2 2 2 21 7 3" xfId="30747" xr:uid="{F63715C0-3D2D-41E5-84A3-0191148B53FC}"/>
    <cellStyle name="Normal 3 2 2 2 2 21 7 4" xfId="30748" xr:uid="{45ABC44A-A44B-4B8F-92FC-E6B5953ED9CA}"/>
    <cellStyle name="Normal 3 2 2 2 2 21 7 5" xfId="30749" xr:uid="{A9F3F3D9-C4B9-48EB-802F-12B96C6F3D16}"/>
    <cellStyle name="Normal 3 2 2 2 2 21 7 6" xfId="30750" xr:uid="{62D6DA9D-02EB-4C68-840A-138E5E33E6ED}"/>
    <cellStyle name="Normal 3 2 2 2 2 21 8" xfId="30751" xr:uid="{D7F38571-37FB-4E8F-A90D-8CF6AC390FD8}"/>
    <cellStyle name="Normal 3 2 2 2 2 21 9" xfId="30752" xr:uid="{D70AFB56-DD02-4041-AE9A-D1F37D02899B}"/>
    <cellStyle name="Normal 3 2 2 2 2 22" xfId="30753" xr:uid="{5E9008CC-D139-4DA6-84FA-5EC6626ADD86}"/>
    <cellStyle name="Normal 3 2 2 2 2 23" xfId="30754" xr:uid="{1743395C-DF72-44EC-8CC0-D0F639DF2E03}"/>
    <cellStyle name="Normal 3 2 2 2 2 24" xfId="30755" xr:uid="{F54D4CFC-46AF-4987-9C15-647058C08260}"/>
    <cellStyle name="Normal 3 2 2 2 2 25" xfId="30756" xr:uid="{08CF166A-9B4E-45EB-931A-B69D68CB1EFD}"/>
    <cellStyle name="Normal 3 2 2 2 2 26" xfId="30757" xr:uid="{528284A4-163C-455C-8F56-EC7671CA7B39}"/>
    <cellStyle name="Normal 3 2 2 2 2 27" xfId="30758" xr:uid="{147BDCE5-2E5A-4689-A844-17E69748A655}"/>
    <cellStyle name="Normal 3 2 2 2 2 28" xfId="30759" xr:uid="{E36C42FB-AA51-4114-B085-DF55C05E1598}"/>
    <cellStyle name="Normal 3 2 2 2 2 29" xfId="30760" xr:uid="{B6CB416C-E750-4DFA-B303-576FF1DAC244}"/>
    <cellStyle name="Normal 3 2 2 2 2 29 10" xfId="30761" xr:uid="{20D03A62-E84D-4552-AD9A-FB59B1F070C6}"/>
    <cellStyle name="Normal 3 2 2 2 2 29 11" xfId="30762" xr:uid="{A514E2A5-2C8E-41BD-992A-009FA22AA798}"/>
    <cellStyle name="Normal 3 2 2 2 2 29 11 2" xfId="30763" xr:uid="{8E5DCFFB-6D2E-45D2-9F1C-7877FB4AB19E}"/>
    <cellStyle name="Normal 3 2 2 2 2 29 11 3" xfId="30764" xr:uid="{B7829C73-C798-4462-AA09-10EFE968655E}"/>
    <cellStyle name="Normal 3 2 2 2 2 29 11 4" xfId="30765" xr:uid="{2BB224DD-D42D-4EEA-817A-1BA4137C783B}"/>
    <cellStyle name="Normal 3 2 2 2 2 29 12" xfId="30766" xr:uid="{481C2EF9-3FA2-42EF-8B46-72CB86E326C5}"/>
    <cellStyle name="Normal 3 2 2 2 2 29 13" xfId="30767" xr:uid="{18430B36-2408-49C2-8A57-74958534C630}"/>
    <cellStyle name="Normal 3 2 2 2 2 29 14" xfId="30768" xr:uid="{4EC14777-2422-44FD-9D1E-42670CC20C8B}"/>
    <cellStyle name="Normal 3 2 2 2 2 29 2" xfId="30769" xr:uid="{91DD911D-32AE-46D3-A884-64D0C3BE1870}"/>
    <cellStyle name="Normal 3 2 2 2 2 29 2 10" xfId="30770" xr:uid="{87CE3912-0625-42F1-B7AA-FFDA06E8E079}"/>
    <cellStyle name="Normal 3 2 2 2 2 29 2 11" xfId="30771" xr:uid="{0AADAC5C-8344-4955-A773-C5DD088FB923}"/>
    <cellStyle name="Normal 3 2 2 2 2 29 2 2" xfId="30772" xr:uid="{FBB4F086-E2F6-41D4-BC8A-7E59084E5E21}"/>
    <cellStyle name="Normal 3 2 2 2 2 29 2 2 10" xfId="30773" xr:uid="{D89315AE-F029-4E41-8B59-779263FA9A95}"/>
    <cellStyle name="Normal 3 2 2 2 2 29 2 2 11" xfId="30774" xr:uid="{F7FDD825-28CB-4B51-B6F2-26949E0F6B2E}"/>
    <cellStyle name="Normal 3 2 2 2 2 29 2 2 2" xfId="30775" xr:uid="{8789B8A5-2747-4DB0-8B89-8D3E3CB46FE1}"/>
    <cellStyle name="Normal 3 2 2 2 2 29 2 2 2 2" xfId="30776" xr:uid="{5D70507C-BCD8-4148-A2D6-EE421E05C11E}"/>
    <cellStyle name="Normal 3 2 2 2 2 29 2 2 2 2 2" xfId="30777" xr:uid="{67D915AE-A9DE-4B49-84CE-9EBBDE663E58}"/>
    <cellStyle name="Normal 3 2 2 2 2 29 2 2 2 2 3" xfId="30778" xr:uid="{10AB10D1-5D8B-467C-9E06-62CADAE952E3}"/>
    <cellStyle name="Normal 3 2 2 2 2 29 2 2 2 2 4" xfId="30779" xr:uid="{8142545A-8CC4-4BAF-B35B-7048271D16C4}"/>
    <cellStyle name="Normal 3 2 2 2 2 29 2 2 2 3" xfId="30780" xr:uid="{4BBEFB87-0D37-420D-9242-1137D6822C4E}"/>
    <cellStyle name="Normal 3 2 2 2 2 29 2 2 2 4" xfId="30781" xr:uid="{3FEB0A05-8B5F-4EFB-9DEC-F303013A6804}"/>
    <cellStyle name="Normal 3 2 2 2 2 29 2 2 2 5" xfId="30782" xr:uid="{3C898A16-C568-43E2-A27F-81A8267EFE38}"/>
    <cellStyle name="Normal 3 2 2 2 2 29 2 2 2 6" xfId="30783" xr:uid="{20BE5E6F-2F37-42D6-A2CC-578C7DDAD3E6}"/>
    <cellStyle name="Normal 3 2 2 2 2 29 2 2 3" xfId="30784" xr:uid="{A974AD15-CD40-41A5-8C21-5136926CD85D}"/>
    <cellStyle name="Normal 3 2 2 2 2 29 2 2 4" xfId="30785" xr:uid="{27A214CF-ADF0-481B-B0DB-7267400509D5}"/>
    <cellStyle name="Normal 3 2 2 2 2 29 2 2 5" xfId="30786" xr:uid="{AD0FAA0F-E9EF-4B3E-A310-1C2F3507DFA5}"/>
    <cellStyle name="Normal 3 2 2 2 2 29 2 2 6" xfId="30787" xr:uid="{A1E8A027-BF79-4B17-B1C2-4DC56A26F598}"/>
    <cellStyle name="Normal 3 2 2 2 2 29 2 2 7" xfId="30788" xr:uid="{1562742C-0A50-4CB8-B7E5-455434E91D25}"/>
    <cellStyle name="Normal 3 2 2 2 2 29 2 2 8" xfId="30789" xr:uid="{85EFFBD7-0365-46C4-8553-FDAE18F3A933}"/>
    <cellStyle name="Normal 3 2 2 2 2 29 2 2 8 2" xfId="30790" xr:uid="{6AB46699-E4DE-4233-9474-C58C884C9A27}"/>
    <cellStyle name="Normal 3 2 2 2 2 29 2 2 8 3" xfId="30791" xr:uid="{F81C5444-0404-4B8C-B069-F66A621B1B0C}"/>
    <cellStyle name="Normal 3 2 2 2 2 29 2 2 8 4" xfId="30792" xr:uid="{D53DC0F7-EACE-400F-BF9A-15441285521D}"/>
    <cellStyle name="Normal 3 2 2 2 2 29 2 2 9" xfId="30793" xr:uid="{0CA1D5B0-63A2-4735-9F2F-BF88C68E9B32}"/>
    <cellStyle name="Normal 3 2 2 2 2 29 2 3" xfId="30794" xr:uid="{94AB0560-46C1-48F8-8C3A-DEACA493C37A}"/>
    <cellStyle name="Normal 3 2 2 2 2 29 2 3 2" xfId="30795" xr:uid="{E422F096-A250-444D-9B99-57AAA829B57C}"/>
    <cellStyle name="Normal 3 2 2 2 2 29 2 3 2 2" xfId="30796" xr:uid="{4F191EEB-444F-43CE-A3F0-8C079D0358F8}"/>
    <cellStyle name="Normal 3 2 2 2 2 29 2 3 2 3" xfId="30797" xr:uid="{2195BF42-BEC5-4B5E-9165-3427CE73CB34}"/>
    <cellStyle name="Normal 3 2 2 2 2 29 2 3 2 4" xfId="30798" xr:uid="{766F7C38-6637-4264-8B45-58FDD6D913ED}"/>
    <cellStyle name="Normal 3 2 2 2 2 29 2 3 3" xfId="30799" xr:uid="{2EE384A2-71D9-4E6F-85C2-C77E51486C19}"/>
    <cellStyle name="Normal 3 2 2 2 2 29 2 3 4" xfId="30800" xr:uid="{C03EB5B5-40C7-482C-88DB-52F3C7D1D15E}"/>
    <cellStyle name="Normal 3 2 2 2 2 29 2 3 5" xfId="30801" xr:uid="{54573B48-76D4-4472-B465-25932E2BE46C}"/>
    <cellStyle name="Normal 3 2 2 2 2 29 2 3 6" xfId="30802" xr:uid="{ABBA1C28-3DAC-4C2F-B8EF-9722382FBB3D}"/>
    <cellStyle name="Normal 3 2 2 2 2 29 2 4" xfId="30803" xr:uid="{C8E0B80A-63A7-49BA-8E29-6ADEFFEE99D8}"/>
    <cellStyle name="Normal 3 2 2 2 2 29 2 5" xfId="30804" xr:uid="{52641907-2328-425E-BEDA-BB231AB68F61}"/>
    <cellStyle name="Normal 3 2 2 2 2 29 2 6" xfId="30805" xr:uid="{C5309C44-85AE-41F4-AD09-8E390CE20397}"/>
    <cellStyle name="Normal 3 2 2 2 2 29 2 7" xfId="30806" xr:uid="{640A79CA-FFA3-42FD-B0FF-E31F4211D037}"/>
    <cellStyle name="Normal 3 2 2 2 2 29 2 8" xfId="30807" xr:uid="{CA53BAF8-D36E-4D10-92B6-174713ED87EE}"/>
    <cellStyle name="Normal 3 2 2 2 2 29 2 8 2" xfId="30808" xr:uid="{CB4B3F15-7B2C-4D99-BB19-19A13B12839C}"/>
    <cellStyle name="Normal 3 2 2 2 2 29 2 8 3" xfId="30809" xr:uid="{4D3D172B-1B04-4F79-AC34-2669ECBD7D8C}"/>
    <cellStyle name="Normal 3 2 2 2 2 29 2 8 4" xfId="30810" xr:uid="{965222BE-F3D2-477E-8DA4-AB69AAECD385}"/>
    <cellStyle name="Normal 3 2 2 2 2 29 2 9" xfId="30811" xr:uid="{20E48B68-C38C-47FE-AD44-D50909281947}"/>
    <cellStyle name="Normal 3 2 2 2 2 29 3" xfId="30812" xr:uid="{68056A96-6D46-467A-91B0-534B7AA6A2C1}"/>
    <cellStyle name="Normal 3 2 2 2 2 29 4" xfId="30813" xr:uid="{8775CD40-90DC-444E-8CDA-46CBB659D2CD}"/>
    <cellStyle name="Normal 3 2 2 2 2 29 5" xfId="30814" xr:uid="{A41EAC3C-737D-47BA-AA7C-785583ADB2B1}"/>
    <cellStyle name="Normal 3 2 2 2 2 29 5 2" xfId="30815" xr:uid="{E9231FB4-67DA-491E-AFC6-88158255C668}"/>
    <cellStyle name="Normal 3 2 2 2 2 29 5 2 2" xfId="30816" xr:uid="{46CBB7FE-3177-4070-B882-89ED5D70A236}"/>
    <cellStyle name="Normal 3 2 2 2 2 29 5 2 3" xfId="30817" xr:uid="{BB49045F-C479-43CB-B5B3-3D3A4076C2CE}"/>
    <cellStyle name="Normal 3 2 2 2 2 29 5 2 4" xfId="30818" xr:uid="{10FA2A42-D4E8-4D09-B441-4ACA5E9C2B5B}"/>
    <cellStyle name="Normal 3 2 2 2 2 29 5 3" xfId="30819" xr:uid="{078EFC9E-A267-4B8E-AFC0-C08B398C86DE}"/>
    <cellStyle name="Normal 3 2 2 2 2 29 5 4" xfId="30820" xr:uid="{6D8DA940-F9B7-4448-BE68-9DDD8EC69A96}"/>
    <cellStyle name="Normal 3 2 2 2 2 29 5 5" xfId="30821" xr:uid="{21A69300-6E62-47D9-91C3-41F82A3EB098}"/>
    <cellStyle name="Normal 3 2 2 2 2 29 5 6" xfId="30822" xr:uid="{AE279C15-3FE6-4D48-BB77-FA0C3DB3B78A}"/>
    <cellStyle name="Normal 3 2 2 2 2 29 6" xfId="30823" xr:uid="{E6ADDBF1-2A01-402D-B49E-68ACF3645456}"/>
    <cellStyle name="Normal 3 2 2 2 2 29 7" xfId="30824" xr:uid="{8D7D43F6-D2D7-47D7-B3FB-4768445D997D}"/>
    <cellStyle name="Normal 3 2 2 2 2 29 8" xfId="30825" xr:uid="{4B5F81EB-1968-46E1-B96C-5214833681C1}"/>
    <cellStyle name="Normal 3 2 2 2 2 29 9" xfId="30826" xr:uid="{1E271325-C951-41D5-878C-7ECFB604BD8C}"/>
    <cellStyle name="Normal 3 2 2 2 2 3" xfId="30827" xr:uid="{1515B047-041E-4E02-888E-E811EBA2A203}"/>
    <cellStyle name="Normal 3 2 2 2 2 30" xfId="30828" xr:uid="{EA1B2EFE-CA0B-47AB-B29E-F2C3AACC209F}"/>
    <cellStyle name="Normal 3 2 2 2 2 31" xfId="30829" xr:uid="{C01E9B7B-A9CE-406F-AAB0-82BE91EA9EC7}"/>
    <cellStyle name="Normal 3 2 2 2 2 31 10" xfId="30830" xr:uid="{7F013B40-71B2-419E-9B5B-78001BABA712}"/>
    <cellStyle name="Normal 3 2 2 2 2 31 11" xfId="30831" xr:uid="{349272D4-CF6B-4115-A5C1-89F54B53AF11}"/>
    <cellStyle name="Normal 3 2 2 2 2 31 2" xfId="30832" xr:uid="{E6DEFDF4-C2F6-4046-99E2-2FBAC480FC22}"/>
    <cellStyle name="Normal 3 2 2 2 2 31 2 10" xfId="30833" xr:uid="{20CD343C-66B3-464C-9B62-B219DE49CA02}"/>
    <cellStyle name="Normal 3 2 2 2 2 31 2 11" xfId="30834" xr:uid="{5323AE2E-0635-4B5D-B61B-7DF22908403B}"/>
    <cellStyle name="Normal 3 2 2 2 2 31 2 2" xfId="30835" xr:uid="{BE49F9F7-A823-4D80-A1E1-2FE5704331CB}"/>
    <cellStyle name="Normal 3 2 2 2 2 31 2 2 2" xfId="30836" xr:uid="{901D7E9C-7DBB-42F0-92EF-B9698F674657}"/>
    <cellStyle name="Normal 3 2 2 2 2 31 2 2 2 2" xfId="30837" xr:uid="{6108D878-467B-4479-93A5-5B7AE17BBCD7}"/>
    <cellStyle name="Normal 3 2 2 2 2 31 2 2 2 3" xfId="30838" xr:uid="{8A25D905-1CB1-4504-AA90-9CD5C41B18EE}"/>
    <cellStyle name="Normal 3 2 2 2 2 31 2 2 2 4" xfId="30839" xr:uid="{7A99B74B-46E6-40AD-897B-68EDE5782CE1}"/>
    <cellStyle name="Normal 3 2 2 2 2 31 2 2 3" xfId="30840" xr:uid="{2592B087-2C13-49F2-9E80-F33E22303043}"/>
    <cellStyle name="Normal 3 2 2 2 2 31 2 2 4" xfId="30841" xr:uid="{C85E9563-7FC5-4351-9AC3-B7564520A048}"/>
    <cellStyle name="Normal 3 2 2 2 2 31 2 2 5" xfId="30842" xr:uid="{EB2A063A-28DB-41B6-896D-5F887201C2EE}"/>
    <cellStyle name="Normal 3 2 2 2 2 31 2 2 6" xfId="30843" xr:uid="{23A94D37-B658-4092-9039-8B61AEA03BE2}"/>
    <cellStyle name="Normal 3 2 2 2 2 31 2 3" xfId="30844" xr:uid="{0A5996A2-E4B9-480F-AB7A-205A574B61EC}"/>
    <cellStyle name="Normal 3 2 2 2 2 31 2 4" xfId="30845" xr:uid="{5BE49184-9B3E-4BC7-A03D-5E7211929CE5}"/>
    <cellStyle name="Normal 3 2 2 2 2 31 2 5" xfId="30846" xr:uid="{D5600FD6-0221-49D3-BEA6-D2098B0AA863}"/>
    <cellStyle name="Normal 3 2 2 2 2 31 2 6" xfId="30847" xr:uid="{5C83270F-7CC4-42F0-8FF8-5AC832563C0A}"/>
    <cellStyle name="Normal 3 2 2 2 2 31 2 7" xfId="30848" xr:uid="{B53574E9-EB7B-44DD-B17B-A32D082D81E7}"/>
    <cellStyle name="Normal 3 2 2 2 2 31 2 8" xfId="30849" xr:uid="{A9CF49CD-4D94-4A78-95A5-C03285F52B05}"/>
    <cellStyle name="Normal 3 2 2 2 2 31 2 8 2" xfId="30850" xr:uid="{46280C9C-B917-40C0-925A-612D992D198B}"/>
    <cellStyle name="Normal 3 2 2 2 2 31 2 8 3" xfId="30851" xr:uid="{AA9F246D-ABE1-40DA-B89B-029CD2988ABB}"/>
    <cellStyle name="Normal 3 2 2 2 2 31 2 8 4" xfId="30852" xr:uid="{2CCEA554-8E5F-46FD-B425-EC52F56C3912}"/>
    <cellStyle name="Normal 3 2 2 2 2 31 2 9" xfId="30853" xr:uid="{7ACC3B73-75EA-4365-B97D-11B9E4C2DD81}"/>
    <cellStyle name="Normal 3 2 2 2 2 31 3" xfId="30854" xr:uid="{88D5F10A-5BC3-484E-8C18-DB825C35243F}"/>
    <cellStyle name="Normal 3 2 2 2 2 31 3 2" xfId="30855" xr:uid="{96547874-C9AD-48D6-9DC5-2E70F3903E7C}"/>
    <cellStyle name="Normal 3 2 2 2 2 31 3 2 2" xfId="30856" xr:uid="{606D62B3-EE73-43D5-BA0A-5C852680DEE3}"/>
    <cellStyle name="Normal 3 2 2 2 2 31 3 2 3" xfId="30857" xr:uid="{86DE36F0-29FE-4980-81DF-A19EF1D50152}"/>
    <cellStyle name="Normal 3 2 2 2 2 31 3 2 4" xfId="30858" xr:uid="{309FC090-E401-4A5F-805C-169D1ED40E7F}"/>
    <cellStyle name="Normal 3 2 2 2 2 31 3 3" xfId="30859" xr:uid="{E1DF70A5-6705-4692-B0F8-C232637D0F06}"/>
    <cellStyle name="Normal 3 2 2 2 2 31 3 4" xfId="30860" xr:uid="{EAD44045-4783-47BE-953B-2061BA7CBF1B}"/>
    <cellStyle name="Normal 3 2 2 2 2 31 3 5" xfId="30861" xr:uid="{6F573367-140B-435E-BD7C-1BCE74FD52CE}"/>
    <cellStyle name="Normal 3 2 2 2 2 31 3 6" xfId="30862" xr:uid="{D78556F7-23C3-4D60-9E43-F9CD36F514E5}"/>
    <cellStyle name="Normal 3 2 2 2 2 31 4" xfId="30863" xr:uid="{AE90CC8A-2AB3-4BCC-A58E-67A6496EB8A1}"/>
    <cellStyle name="Normal 3 2 2 2 2 31 5" xfId="30864" xr:uid="{15970961-4896-464D-A121-C5C6508CA93D}"/>
    <cellStyle name="Normal 3 2 2 2 2 31 6" xfId="30865" xr:uid="{190E262B-1BCC-45E9-B310-7862530C7DB0}"/>
    <cellStyle name="Normal 3 2 2 2 2 31 7" xfId="30866" xr:uid="{62412B84-5F1A-4B85-88F4-4F690726E8ED}"/>
    <cellStyle name="Normal 3 2 2 2 2 31 8" xfId="30867" xr:uid="{EE7F51CD-E8D9-450E-B2CC-8408A0B92E42}"/>
    <cellStyle name="Normal 3 2 2 2 2 31 8 2" xfId="30868" xr:uid="{C2FE2752-B308-41D0-B060-8FD69D3BCBCD}"/>
    <cellStyle name="Normal 3 2 2 2 2 31 8 3" xfId="30869" xr:uid="{72231EB6-AB0E-42F0-B250-879EC7884941}"/>
    <cellStyle name="Normal 3 2 2 2 2 31 8 4" xfId="30870" xr:uid="{23456435-7937-4308-BB48-24512B455A1A}"/>
    <cellStyle name="Normal 3 2 2 2 2 31 9" xfId="30871" xr:uid="{1F237499-27B9-4FF3-B31A-C7DF50652161}"/>
    <cellStyle name="Normal 3 2 2 2 2 32" xfId="30872" xr:uid="{E560F24D-1EDB-43D0-8B7A-62FCB0AED701}"/>
    <cellStyle name="Normal 3 2 2 2 2 33" xfId="30873" xr:uid="{BBC64928-AB99-4DB4-A4F6-61C02596AD68}"/>
    <cellStyle name="Normal 3 2 2 2 2 33 2" xfId="30874" xr:uid="{25775EBC-0A36-49EE-94F7-047DF6F2535B}"/>
    <cellStyle name="Normal 3 2 2 2 2 33 2 2" xfId="30875" xr:uid="{1EAC1175-086C-4245-BBA9-CAC4097B7CFF}"/>
    <cellStyle name="Normal 3 2 2 2 2 33 2 3" xfId="30876" xr:uid="{C166A067-1E42-46AF-AA80-32ADA7DAB62C}"/>
    <cellStyle name="Normal 3 2 2 2 2 33 2 4" xfId="30877" xr:uid="{95585F72-26AB-4D2B-9132-7E8FD8855974}"/>
    <cellStyle name="Normal 3 2 2 2 2 33 3" xfId="30878" xr:uid="{1FAF92DB-FC63-49CB-BFE2-61D340844359}"/>
    <cellStyle name="Normal 3 2 2 2 2 33 4" xfId="30879" xr:uid="{DB49750D-A6C3-41D6-ADAC-7983D248A7AB}"/>
    <cellStyle name="Normal 3 2 2 2 2 33 5" xfId="30880" xr:uid="{8C62F958-87A1-45FD-9271-102AC528D26D}"/>
    <cellStyle name="Normal 3 2 2 2 2 33 6" xfId="30881" xr:uid="{97D69CB7-3032-4987-9717-560C6549586C}"/>
    <cellStyle name="Normal 3 2 2 2 2 34" xfId="30882" xr:uid="{EC912F1E-8EAD-4606-865B-7E08DE2A30C3}"/>
    <cellStyle name="Normal 3 2 2 2 2 35" xfId="30883" xr:uid="{D90D6E9F-E3ED-4E2A-82B2-B1050D89AB12}"/>
    <cellStyle name="Normal 3 2 2 2 2 36" xfId="30884" xr:uid="{F5E7A3C5-037F-43BF-AD10-2BD39B64B0BA}"/>
    <cellStyle name="Normal 3 2 2 2 2 37" xfId="30885" xr:uid="{E15EDDD4-79D3-404A-8C4D-178B2B1048CF}"/>
    <cellStyle name="Normal 3 2 2 2 2 38" xfId="30886" xr:uid="{9C572C0C-C35F-47DE-9CBC-6167BF80A77A}"/>
    <cellStyle name="Normal 3 2 2 2 2 39" xfId="30887" xr:uid="{40FDF720-F8E7-420A-97DC-7F123DCA9282}"/>
    <cellStyle name="Normal 3 2 2 2 2 39 2" xfId="30888" xr:uid="{A5C287F2-B149-482D-8E1A-D2F4878994D2}"/>
    <cellStyle name="Normal 3 2 2 2 2 39 3" xfId="30889" xr:uid="{1C17D543-D25D-433B-8BF7-26D75F81DF11}"/>
    <cellStyle name="Normal 3 2 2 2 2 39 4" xfId="30890" xr:uid="{BA2A1F79-5D19-4DF4-AD08-F29DD7423542}"/>
    <cellStyle name="Normal 3 2 2 2 2 4" xfId="30891" xr:uid="{977CB9B1-5408-49D5-8E7A-E768F21E4D69}"/>
    <cellStyle name="Normal 3 2 2 2 2 40" xfId="30892" xr:uid="{B80D7AD8-BC9C-453A-B702-8FC4B6232EA9}"/>
    <cellStyle name="Normal 3 2 2 2 2 41" xfId="30893" xr:uid="{62C3948B-7009-4E58-83FB-CF60E0B8C90C}"/>
    <cellStyle name="Normal 3 2 2 2 2 42" xfId="30894" xr:uid="{BAA3BC3A-B233-44FA-A318-51C80DA48951}"/>
    <cellStyle name="Normal 3 2 2 2 2 43" xfId="30895" xr:uid="{7904068C-D47D-4A51-A5EF-E5833307D81E}"/>
    <cellStyle name="Normal 3 2 2 2 2 44" xfId="30896" xr:uid="{98A20AD7-601F-447E-9F8B-AC86470EC355}"/>
    <cellStyle name="Normal 3 2 2 2 2 45" xfId="30897" xr:uid="{9A356BB2-5DBC-44D5-A53B-3336D7C448B9}"/>
    <cellStyle name="Normal 3 2 2 2 2 46" xfId="30898" xr:uid="{B5C502D5-93FF-41B7-A4B6-788C3EA7CB55}"/>
    <cellStyle name="Normal 3 2 2 2 2 47" xfId="30899" xr:uid="{10F2C0B8-8EFC-49EA-B5DB-61AC9414191B}"/>
    <cellStyle name="Normal 3 2 2 2 2 48" xfId="30900" xr:uid="{978F5BCF-4F20-421D-BF94-7ED1A029BAB8}"/>
    <cellStyle name="Normal 3 2 2 2 2 49" xfId="30901" xr:uid="{3C70959D-6C93-4D37-A408-47BC7BE03E65}"/>
    <cellStyle name="Normal 3 2 2 2 2 5" xfId="30902" xr:uid="{376CE28F-DDDF-4C14-B923-7590527118CA}"/>
    <cellStyle name="Normal 3 2 2 2 2 50" xfId="30903" xr:uid="{ED3753A0-FBD7-48A4-8325-C2028511B8EA}"/>
    <cellStyle name="Normal 3 2 2 2 2 51" xfId="30904" xr:uid="{69A44EDE-F958-4BB6-9EC3-7ACD93A4C05F}"/>
    <cellStyle name="Normal 3 2 2 2 2 52" xfId="30905" xr:uid="{52C41516-801D-4CEE-B6D2-5EDEC7A62FA9}"/>
    <cellStyle name="Normal 3 2 2 2 2 53" xfId="30906" xr:uid="{202D9C21-5C29-4F0F-A4F5-0F12C09D8FE0}"/>
    <cellStyle name="Normal 3 2 2 2 2 54" xfId="30907" xr:uid="{73179A26-7123-49EF-ACF2-2508BAA65914}"/>
    <cellStyle name="Normal 3 2 2 2 2 54 2" xfId="30908" xr:uid="{3D493751-7684-4459-94E2-32364D45BEBC}"/>
    <cellStyle name="Normal 3 2 2 2 2 54 3" xfId="30909" xr:uid="{100E7DE0-DD2B-4750-9C17-EE9DBC24F89F}"/>
    <cellStyle name="Normal 3 2 2 2 2 54 4" xfId="30910" xr:uid="{2CC3556A-FBB6-4971-A517-FA1F0D1D9AFA}"/>
    <cellStyle name="Normal 3 2 2 2 2 54 5" xfId="30911" xr:uid="{A61F1321-98EB-44A1-92A6-C932A912EA6B}"/>
    <cellStyle name="Normal 3 2 2 2 2 54 6" xfId="30912" xr:uid="{AAD0EB84-EBF2-422E-A1DF-5159AF6630B3}"/>
    <cellStyle name="Normal 3 2 2 2 2 54 7" xfId="30913" xr:uid="{05BC682A-A996-41E1-BFF8-81117A0523A5}"/>
    <cellStyle name="Normal 3 2 2 2 2 55" xfId="30914" xr:uid="{11E56450-1CDE-43FB-8054-0D733FEB17E6}"/>
    <cellStyle name="Normal 3 2 2 2 2 56" xfId="30915" xr:uid="{4166ECA1-A6A3-439D-913A-CDA59BA80CD6}"/>
    <cellStyle name="Normal 3 2 2 2 2 57" xfId="30916" xr:uid="{4814416A-185D-41DB-9492-DE1B1E8527C1}"/>
    <cellStyle name="Normal 3 2 2 2 2 58" xfId="30917" xr:uid="{1DE37969-5C79-4F84-B84A-0D823FAB2E66}"/>
    <cellStyle name="Normal 3 2 2 2 2 59" xfId="30918" xr:uid="{9F32D931-DFF5-4944-B08C-66355B2DDBF6}"/>
    <cellStyle name="Normal 3 2 2 2 2 6" xfId="30919" xr:uid="{BE0236AA-D455-4325-B25A-9CC778A123D2}"/>
    <cellStyle name="Normal 3 2 2 2 2 60" xfId="30920" xr:uid="{AE0AE0C7-E320-43BC-A98E-7431FA16D09D}"/>
    <cellStyle name="Normal 3 2 2 2 2 61" xfId="30921" xr:uid="{E5B7A300-72CC-44E3-9864-077B212ED5CE}"/>
    <cellStyle name="Normal 3 2 2 2 2 62" xfId="30922" xr:uid="{EAEE0F67-5168-4E18-A804-0312C6C50B0A}"/>
    <cellStyle name="Normal 3 2 2 2 2 63" xfId="30923" xr:uid="{587D035F-2836-485E-AB94-2CA9C2FF73A4}"/>
    <cellStyle name="Normal 3 2 2 2 2 64" xfId="30924" xr:uid="{ECE3D9AA-6C44-41CA-BCF0-52C28ABE9A4A}"/>
    <cellStyle name="Normal 3 2 2 2 2 65" xfId="30925" xr:uid="{33D999E8-C64C-4860-B580-F5D8A9790124}"/>
    <cellStyle name="Normal 3 2 2 2 2 66" xfId="30926" xr:uid="{CCB112C8-F9E9-4539-B6A5-D22879E54F82}"/>
    <cellStyle name="Normal 3 2 2 2 2 67" xfId="30927" xr:uid="{68D54270-12B3-4A0E-918A-2A1FD739D23D}"/>
    <cellStyle name="Normal 3 2 2 2 2 68" xfId="30928" xr:uid="{765CBCF8-E177-45E7-A4EF-80C2E71C0DE6}"/>
    <cellStyle name="Normal 3 2 2 2 2 69" xfId="30929" xr:uid="{8CC71768-6157-4230-AB7B-43B013ADC1C4}"/>
    <cellStyle name="Normal 3 2 2 2 2 7" xfId="30930" xr:uid="{825C8D2F-CB8E-47EB-9EF0-49AA12886BB3}"/>
    <cellStyle name="Normal 3 2 2 2 2 70" xfId="30931" xr:uid="{2D04B70B-F5E3-443A-B9E4-FE4A8E34C58E}"/>
    <cellStyle name="Normal 3 2 2 2 2 71" xfId="30932" xr:uid="{605C0137-A20F-4DD6-9037-4FAE7A911C1C}"/>
    <cellStyle name="Normal 3 2 2 2 2 72" xfId="30933" xr:uid="{86862773-61C5-4078-BA09-A87C304BC10F}"/>
    <cellStyle name="Normal 3 2 2 2 2 73" xfId="30934" xr:uid="{85368EC2-7DA9-4B8E-AB05-B8AD421BF2D7}"/>
    <cellStyle name="Normal 3 2 2 2 2 74" xfId="30935" xr:uid="{76227884-E780-463C-830B-06485367C747}"/>
    <cellStyle name="Normal 3 2 2 2 2 75" xfId="30936" xr:uid="{3662328E-EB7B-4771-8DCD-F866D17D9DAA}"/>
    <cellStyle name="Normal 3 2 2 2 2 76" xfId="30937" xr:uid="{2B3EC25C-F199-49E3-8941-4F4986A051BD}"/>
    <cellStyle name="Normal 3 2 2 2 2 77" xfId="30938" xr:uid="{4B025471-9D3B-408F-8A7C-118F385A6986}"/>
    <cellStyle name="Normal 3 2 2 2 2 78" xfId="30939" xr:uid="{623A0766-6166-41BA-A3C5-C732A4598A0A}"/>
    <cellStyle name="Normal 3 2 2 2 2 79" xfId="30940" xr:uid="{3A234F46-0E61-4123-A64A-93311189D6A1}"/>
    <cellStyle name="Normal 3 2 2 2 2 8" xfId="30941" xr:uid="{9EEC0958-3DE7-4D1D-B535-71D4B437E4AD}"/>
    <cellStyle name="Normal 3 2 2 2 2 80" xfId="30942" xr:uid="{F8EFB729-4721-4D00-AFE7-5404BC1095DB}"/>
    <cellStyle name="Normal 3 2 2 2 2 81" xfId="30943" xr:uid="{EEB64903-76BE-4DDC-8BEF-636A6916C375}"/>
    <cellStyle name="Normal 3 2 2 2 2 82" xfId="30944" xr:uid="{E602DCF3-8DEC-4CBC-8034-D134C414A47E}"/>
    <cellStyle name="Normal 3 2 2 2 2 83" xfId="30945" xr:uid="{3FB722EE-A1DF-46EC-8024-B52CF1A7DE4D}"/>
    <cellStyle name="Normal 3 2 2 2 2 84" xfId="30946" xr:uid="{25C229E9-C108-4DF0-BEEC-CE14CE7F5A6E}"/>
    <cellStyle name="Normal 3 2 2 2 2 85" xfId="30947" xr:uid="{0800EBBC-6838-412A-A6DF-B9AEC6FC925F}"/>
    <cellStyle name="Normal 3 2 2 2 2 86" xfId="30948" xr:uid="{89FA0097-37A4-4F0E-A35E-2B810116C5AC}"/>
    <cellStyle name="Normal 3 2 2 2 2 86 2" xfId="30949" xr:uid="{19F31E93-1DF0-4AE1-B8F5-E7A2ADAA518E}"/>
    <cellStyle name="Normal 3 2 2 2 2 86 3" xfId="30950" xr:uid="{32BAF23F-4ABF-4EFF-A28C-3C7B5E125F1D}"/>
    <cellStyle name="Normal 3 2 2 2 2 86 4" xfId="30951" xr:uid="{39846F88-1BD5-4E8B-81D3-89361779FF45}"/>
    <cellStyle name="Normal 3 2 2 2 2 87" xfId="30952" xr:uid="{67F06361-4660-468E-A753-57C5335751CD}"/>
    <cellStyle name="Normal 3 2 2 2 2 88" xfId="30953" xr:uid="{134E2FDA-CA2A-49A4-B2C8-1CA3C1A85E4F}"/>
    <cellStyle name="Normal 3 2 2 2 2 89" xfId="30954" xr:uid="{44E1B13E-4BD6-4283-8A31-B83C3ACD27E8}"/>
    <cellStyle name="Normal 3 2 2 2 2 9" xfId="30955" xr:uid="{B785BAA8-8B5A-41C1-B47B-0B8B1013E128}"/>
    <cellStyle name="Normal 3 2 2 2 20" xfId="30956" xr:uid="{EC30ADF2-FD3A-4E88-8F5F-B50FD1B3BE43}"/>
    <cellStyle name="Normal 3 2 2 2 20 2" xfId="30957" xr:uid="{81E0E87C-F5CD-4822-96F6-0247EB72D244}"/>
    <cellStyle name="Normal 3 2 2 2 20 3" xfId="30958" xr:uid="{CC117AFC-4939-4ED4-B8CE-07E9EA854212}"/>
    <cellStyle name="Normal 3 2 2 2 20 4" xfId="30959" xr:uid="{C96D9A9B-96AF-4EDD-93F4-60EA5154AE8F}"/>
    <cellStyle name="Normal 3 2 2 2 20 5" xfId="30960" xr:uid="{7C51FD3C-A8B7-4EC7-BECC-4CDD1283B67E}"/>
    <cellStyle name="Normal 3 2 2 2 20 6" xfId="30961" xr:uid="{B08128AC-5086-4EB3-A8B4-7FDDD131DEEE}"/>
    <cellStyle name="Normal 3 2 2 2 21" xfId="30962" xr:uid="{C3C5F1AC-CEA7-4791-A2D8-9A2568805FE3}"/>
    <cellStyle name="Normal 3 2 2 2 21 2" xfId="30963" xr:uid="{0513006B-D69D-4847-AC48-64ECA5846B04}"/>
    <cellStyle name="Normal 3 2 2 2 21 3" xfId="30964" xr:uid="{0BBF1042-0F5E-4775-A20A-F95BEDA14740}"/>
    <cellStyle name="Normal 3 2 2 2 21 4" xfId="30965" xr:uid="{608E170E-D12B-4617-875C-3BC9D1B0477C}"/>
    <cellStyle name="Normal 3 2 2 2 21 5" xfId="30966" xr:uid="{CEBD05E3-23D6-49A2-AB52-DBD20400F230}"/>
    <cellStyle name="Normal 3 2 2 2 21 6" xfId="30967" xr:uid="{488CF5F0-1D0C-424C-AF9E-88FA0E5851D3}"/>
    <cellStyle name="Normal 3 2 2 2 22" xfId="30968" xr:uid="{5B5A9BAD-BAE1-4F15-81A8-1A573F2CD814}"/>
    <cellStyle name="Normal 3 2 2 2 22 2" xfId="30969" xr:uid="{C4BA4CC7-8D15-4F8E-945B-52269D92F95D}"/>
    <cellStyle name="Normal 3 2 2 2 22 3" xfId="30970" xr:uid="{756577CB-3F67-4B39-A634-B024A0FE1A4F}"/>
    <cellStyle name="Normal 3 2 2 2 22 4" xfId="30971" xr:uid="{DBF04F56-0CA3-45DA-8016-440F4CFBF4C6}"/>
    <cellStyle name="Normal 3 2 2 2 22 5" xfId="30972" xr:uid="{0CEAED8F-02A5-48B2-B10B-DBA7E17BCAD6}"/>
    <cellStyle name="Normal 3 2 2 2 22 6" xfId="30973" xr:uid="{FF1AFD5F-4BA0-4B56-9A62-4D68258DB89F}"/>
    <cellStyle name="Normal 3 2 2 2 23" xfId="30974" xr:uid="{291C140E-3BF0-4F7B-85EE-DDAB502DDB02}"/>
    <cellStyle name="Normal 3 2 2 2 24" xfId="30975" xr:uid="{F2EDBF7F-3142-429F-A103-4AE0A278D075}"/>
    <cellStyle name="Normal 3 2 2 2 25" xfId="30976" xr:uid="{DB9904AE-E9E2-407B-958B-754DEDDE7FB0}"/>
    <cellStyle name="Normal 3 2 2 2 26" xfId="30977" xr:uid="{12F79E48-63A9-4ED9-9C10-6CAED6F9AA3C}"/>
    <cellStyle name="Normal 3 2 2 2 27" xfId="30978" xr:uid="{90105653-9035-436B-ABFF-DAEBAF4CAE5D}"/>
    <cellStyle name="Normal 3 2 2 2 28" xfId="30979" xr:uid="{2811825A-7646-4337-A4DD-D676A79A849B}"/>
    <cellStyle name="Normal 3 2 2 2 28 10" xfId="30980" xr:uid="{A871A610-3DF8-4705-B388-B04D0E11D39F}"/>
    <cellStyle name="Normal 3 2 2 2 28 11" xfId="30981" xr:uid="{CAE8C0AD-4DEC-4AD3-A278-859CFF2E6C61}"/>
    <cellStyle name="Normal 3 2 2 2 28 11 10" xfId="30982" xr:uid="{D1DBCC40-1C8F-4944-A2FD-47E297E7C022}"/>
    <cellStyle name="Normal 3 2 2 2 28 11 11" xfId="30983" xr:uid="{0DFAC3D2-B0C2-45E0-9144-6C10DDC208B0}"/>
    <cellStyle name="Normal 3 2 2 2 28 11 11 2" xfId="30984" xr:uid="{1F4FD881-2A10-457F-A88D-6DA31DBBE6D3}"/>
    <cellStyle name="Normal 3 2 2 2 28 11 11 3" xfId="30985" xr:uid="{CE2D5642-9371-4403-B8EB-FC8E07597975}"/>
    <cellStyle name="Normal 3 2 2 2 28 11 11 4" xfId="30986" xr:uid="{916E87C2-99BF-4406-9B05-68B4936A3BAE}"/>
    <cellStyle name="Normal 3 2 2 2 28 11 12" xfId="30987" xr:uid="{7AC78947-0D31-4DD3-91CF-29BD629058BD}"/>
    <cellStyle name="Normal 3 2 2 2 28 11 13" xfId="30988" xr:uid="{250E86A5-7969-454E-8CE6-3CECA4495BA6}"/>
    <cellStyle name="Normal 3 2 2 2 28 11 14" xfId="30989" xr:uid="{7BF61527-062E-463E-83CE-B4955B764A4A}"/>
    <cellStyle name="Normal 3 2 2 2 28 11 2" xfId="30990" xr:uid="{F03F3F5E-AD64-41F8-8293-F2A8CB0258FE}"/>
    <cellStyle name="Normal 3 2 2 2 28 11 2 10" xfId="30991" xr:uid="{84F66250-B8EC-4CE2-A9D6-63569622EA89}"/>
    <cellStyle name="Normal 3 2 2 2 28 11 2 11" xfId="30992" xr:uid="{FE0F1EB8-428F-4F97-8E7D-2379009571FB}"/>
    <cellStyle name="Normal 3 2 2 2 28 11 2 2" xfId="30993" xr:uid="{D2EC6FBB-AD94-4475-A745-43A258868CE3}"/>
    <cellStyle name="Normal 3 2 2 2 28 11 2 2 10" xfId="30994" xr:uid="{B6E3B905-1A1E-4EDA-AF38-F0AB0288DB61}"/>
    <cellStyle name="Normal 3 2 2 2 28 11 2 2 11" xfId="30995" xr:uid="{FE4D505A-A0D6-491B-ACC7-B4D6C89A004F}"/>
    <cellStyle name="Normal 3 2 2 2 28 11 2 2 2" xfId="30996" xr:uid="{777F8A76-5A85-46CD-A96E-CD4FDA4B9A68}"/>
    <cellStyle name="Normal 3 2 2 2 28 11 2 2 2 2" xfId="30997" xr:uid="{E47A10EA-23D6-415E-8FF0-5A51C41C0380}"/>
    <cellStyle name="Normal 3 2 2 2 28 11 2 2 2 2 2" xfId="30998" xr:uid="{FE4624B3-178A-478A-ACC9-507A1244D85F}"/>
    <cellStyle name="Normal 3 2 2 2 28 11 2 2 2 2 3" xfId="30999" xr:uid="{03891904-1705-4066-BDC3-CE57EAF25500}"/>
    <cellStyle name="Normal 3 2 2 2 28 11 2 2 2 2 4" xfId="31000" xr:uid="{CF2B81AB-59E9-469B-9558-64F18E1C454C}"/>
    <cellStyle name="Normal 3 2 2 2 28 11 2 2 2 3" xfId="31001" xr:uid="{A4978B54-C63F-47A1-8B59-F7B5FF5A28DA}"/>
    <cellStyle name="Normal 3 2 2 2 28 11 2 2 2 4" xfId="31002" xr:uid="{4CEAE1BA-1F9E-42D8-9138-3A825C652F65}"/>
    <cellStyle name="Normal 3 2 2 2 28 11 2 2 2 5" xfId="31003" xr:uid="{F38D8089-A2CC-463C-95C2-EA8E4F19BC43}"/>
    <cellStyle name="Normal 3 2 2 2 28 11 2 2 2 6" xfId="31004" xr:uid="{A7DF1C25-1DBB-4EA0-9AB8-14B97689BDBF}"/>
    <cellStyle name="Normal 3 2 2 2 28 11 2 2 3" xfId="31005" xr:uid="{3C34AFAF-B02F-4D14-847C-CE371FA182D8}"/>
    <cellStyle name="Normal 3 2 2 2 28 11 2 2 4" xfId="31006" xr:uid="{03C68AD5-D9C7-4388-9AB4-11D6C52197DE}"/>
    <cellStyle name="Normal 3 2 2 2 28 11 2 2 5" xfId="31007" xr:uid="{194AB149-7687-4817-9070-ECE263F15D36}"/>
    <cellStyle name="Normal 3 2 2 2 28 11 2 2 6" xfId="31008" xr:uid="{57395C52-1592-4538-B753-8D845A4C4885}"/>
    <cellStyle name="Normal 3 2 2 2 28 11 2 2 7" xfId="31009" xr:uid="{0AA73DD2-AE65-4B15-A55B-5382CAF08C36}"/>
    <cellStyle name="Normal 3 2 2 2 28 11 2 2 8" xfId="31010" xr:uid="{74D0F42A-AD35-43AE-8BF9-BC98FE835B32}"/>
    <cellStyle name="Normal 3 2 2 2 28 11 2 2 8 2" xfId="31011" xr:uid="{BA6EAEC7-52D1-4330-86E2-B52E87DC863B}"/>
    <cellStyle name="Normal 3 2 2 2 28 11 2 2 8 3" xfId="31012" xr:uid="{8439A98D-FE42-47AA-80FD-F4DCC508CEE5}"/>
    <cellStyle name="Normal 3 2 2 2 28 11 2 2 8 4" xfId="31013" xr:uid="{84FCDEB2-A447-4D2B-B181-136D7CE75061}"/>
    <cellStyle name="Normal 3 2 2 2 28 11 2 2 9" xfId="31014" xr:uid="{1AB23BC8-E136-486C-8D77-FDBA750BF397}"/>
    <cellStyle name="Normal 3 2 2 2 28 11 2 3" xfId="31015" xr:uid="{930D1537-BD8B-418A-B95B-FE8C58F7992B}"/>
    <cellStyle name="Normal 3 2 2 2 28 11 2 3 2" xfId="31016" xr:uid="{FE91E9A4-2334-4F1E-A68C-F51037B39D9C}"/>
    <cellStyle name="Normal 3 2 2 2 28 11 2 3 2 2" xfId="31017" xr:uid="{1CDFE3F0-04C7-4714-BC58-E3312CC6BFA9}"/>
    <cellStyle name="Normal 3 2 2 2 28 11 2 3 2 3" xfId="31018" xr:uid="{4D9C52B5-1F70-4994-8FCF-59C612D2ED8B}"/>
    <cellStyle name="Normal 3 2 2 2 28 11 2 3 2 4" xfId="31019" xr:uid="{90F3CA51-3F5C-42D6-B221-4D210D6789B4}"/>
    <cellStyle name="Normal 3 2 2 2 28 11 2 3 3" xfId="31020" xr:uid="{940EB524-C4FE-4B57-8D79-4D0F75D50EF2}"/>
    <cellStyle name="Normal 3 2 2 2 28 11 2 3 4" xfId="31021" xr:uid="{DFE45BC6-6F42-4020-A423-E85B2D04DCA8}"/>
    <cellStyle name="Normal 3 2 2 2 28 11 2 3 5" xfId="31022" xr:uid="{58FEBB9A-0AE4-49C8-B66E-86659647C680}"/>
    <cellStyle name="Normal 3 2 2 2 28 11 2 3 6" xfId="31023" xr:uid="{5892735C-0D22-4680-9CFB-FA164166260C}"/>
    <cellStyle name="Normal 3 2 2 2 28 11 2 4" xfId="31024" xr:uid="{3BA8C48E-51E7-43B4-AE7A-05B22BF9568E}"/>
    <cellStyle name="Normal 3 2 2 2 28 11 2 5" xfId="31025" xr:uid="{3892C31B-9799-4D9A-8937-519BB21C8F97}"/>
    <cellStyle name="Normal 3 2 2 2 28 11 2 6" xfId="31026" xr:uid="{159DC381-6431-4246-8F24-1DA4F84A58BE}"/>
    <cellStyle name="Normal 3 2 2 2 28 11 2 7" xfId="31027" xr:uid="{D3296CAC-4DDF-4014-9873-BA11A880507F}"/>
    <cellStyle name="Normal 3 2 2 2 28 11 2 8" xfId="31028" xr:uid="{25957E06-DC53-4961-89DE-D774A1BA0EE7}"/>
    <cellStyle name="Normal 3 2 2 2 28 11 2 8 2" xfId="31029" xr:uid="{CDA8EBFF-CB33-4C75-BBAF-D23483D47429}"/>
    <cellStyle name="Normal 3 2 2 2 28 11 2 8 3" xfId="31030" xr:uid="{04326367-0782-40D0-ADA0-F67A2E874C24}"/>
    <cellStyle name="Normal 3 2 2 2 28 11 2 8 4" xfId="31031" xr:uid="{643521BD-1326-4D74-A374-90C2543B5CC5}"/>
    <cellStyle name="Normal 3 2 2 2 28 11 2 9" xfId="31032" xr:uid="{B3A2859C-1DC1-42AE-A572-D8613AB5FFA6}"/>
    <cellStyle name="Normal 3 2 2 2 28 11 3" xfId="31033" xr:uid="{50B0B184-66DA-4E0E-8A72-E5B18A0453B3}"/>
    <cellStyle name="Normal 3 2 2 2 28 11 4" xfId="31034" xr:uid="{07A71B85-98F2-44A0-BF9E-A170EE31D5B9}"/>
    <cellStyle name="Normal 3 2 2 2 28 11 5" xfId="31035" xr:uid="{62CDFF5E-67CB-45DD-AA7A-78F6B29769DC}"/>
    <cellStyle name="Normal 3 2 2 2 28 11 5 2" xfId="31036" xr:uid="{576266A7-21BB-4CC3-95B3-D30878ADD678}"/>
    <cellStyle name="Normal 3 2 2 2 28 11 5 2 2" xfId="31037" xr:uid="{CB6D7DA8-7232-49CB-8CBF-E8D86A954FC0}"/>
    <cellStyle name="Normal 3 2 2 2 28 11 5 2 3" xfId="31038" xr:uid="{33216C90-B417-4B60-93F0-F9027A874B61}"/>
    <cellStyle name="Normal 3 2 2 2 28 11 5 2 4" xfId="31039" xr:uid="{ECB8CADD-E940-4B96-A6E3-F8CE778275E8}"/>
    <cellStyle name="Normal 3 2 2 2 28 11 5 3" xfId="31040" xr:uid="{F565D034-5D6F-48E0-8C8D-6C0202C39089}"/>
    <cellStyle name="Normal 3 2 2 2 28 11 5 4" xfId="31041" xr:uid="{634137C0-E9EE-4D6C-8809-7B5B838AC984}"/>
    <cellStyle name="Normal 3 2 2 2 28 11 5 5" xfId="31042" xr:uid="{A96A9A3E-FF69-4911-B26E-144724D29BDB}"/>
    <cellStyle name="Normal 3 2 2 2 28 11 5 6" xfId="31043" xr:uid="{DF862B4F-EAA8-4921-9604-B2367B10862B}"/>
    <cellStyle name="Normal 3 2 2 2 28 11 6" xfId="31044" xr:uid="{A9016870-40F4-4985-86B4-F9FE10F9BB91}"/>
    <cellStyle name="Normal 3 2 2 2 28 11 7" xfId="31045" xr:uid="{403CA102-BC10-4D18-B3DF-CA58C5C0ED6D}"/>
    <cellStyle name="Normal 3 2 2 2 28 11 8" xfId="31046" xr:uid="{4790D981-1512-4FEB-8FC0-AA218B263242}"/>
    <cellStyle name="Normal 3 2 2 2 28 11 9" xfId="31047" xr:uid="{A78992A2-37E3-42A6-8077-C4C956B15DB1}"/>
    <cellStyle name="Normal 3 2 2 2 28 12" xfId="31048" xr:uid="{08D6BBB0-2724-4F41-8884-A2F1C4CDE327}"/>
    <cellStyle name="Normal 3 2 2 2 28 13" xfId="31049" xr:uid="{AF6E12EA-DAB0-414E-819E-B81E63EF1AD7}"/>
    <cellStyle name="Normal 3 2 2 2 28 13 10" xfId="31050" xr:uid="{7A7167EC-6B83-47F0-82AA-86D6954548F5}"/>
    <cellStyle name="Normal 3 2 2 2 28 13 11" xfId="31051" xr:uid="{00804FA0-8D2A-44DD-A871-956E126896CC}"/>
    <cellStyle name="Normal 3 2 2 2 28 13 2" xfId="31052" xr:uid="{E630AB62-F1E4-4AF2-9B25-D6772C1D7746}"/>
    <cellStyle name="Normal 3 2 2 2 28 13 2 10" xfId="31053" xr:uid="{56682E95-69C1-41D1-80A6-3DCF5169AACA}"/>
    <cellStyle name="Normal 3 2 2 2 28 13 2 11" xfId="31054" xr:uid="{A414D0A2-1A57-4965-A141-C4575694E30B}"/>
    <cellStyle name="Normal 3 2 2 2 28 13 2 2" xfId="31055" xr:uid="{5018384B-3990-4D71-B3A3-A1CB0524F21C}"/>
    <cellStyle name="Normal 3 2 2 2 28 13 2 2 2" xfId="31056" xr:uid="{0EF60F53-6D5F-4CFB-95A0-325B7E26DF5E}"/>
    <cellStyle name="Normal 3 2 2 2 28 13 2 2 2 2" xfId="31057" xr:uid="{039DAE76-FC34-49B9-83E8-DEAEAEC8D617}"/>
    <cellStyle name="Normal 3 2 2 2 28 13 2 2 2 3" xfId="31058" xr:uid="{B05DE7DF-DDDC-4C90-9549-102366E2B4A4}"/>
    <cellStyle name="Normal 3 2 2 2 28 13 2 2 2 4" xfId="31059" xr:uid="{5BFAF6CD-B57A-4587-BC8B-D6204DCE21D2}"/>
    <cellStyle name="Normal 3 2 2 2 28 13 2 2 3" xfId="31060" xr:uid="{FFD0F0D4-629B-4784-AAEF-42694A8162CB}"/>
    <cellStyle name="Normal 3 2 2 2 28 13 2 2 4" xfId="31061" xr:uid="{97039E67-CCEB-469A-9CF7-30E95A927C0E}"/>
    <cellStyle name="Normal 3 2 2 2 28 13 2 2 5" xfId="31062" xr:uid="{89C7389D-DAC8-429C-874A-DA5573213D96}"/>
    <cellStyle name="Normal 3 2 2 2 28 13 2 2 6" xfId="31063" xr:uid="{D2CE7E24-6D31-4B8E-BEBF-63C63736C7AD}"/>
    <cellStyle name="Normal 3 2 2 2 28 13 2 3" xfId="31064" xr:uid="{47A30774-72B1-45D1-A06B-BA4CEAD07E60}"/>
    <cellStyle name="Normal 3 2 2 2 28 13 2 4" xfId="31065" xr:uid="{C065AC12-5109-4594-A505-7ABE0DE3B16D}"/>
    <cellStyle name="Normal 3 2 2 2 28 13 2 5" xfId="31066" xr:uid="{C3B955D2-CA6A-4012-ABB3-6C58F731A51B}"/>
    <cellStyle name="Normal 3 2 2 2 28 13 2 6" xfId="31067" xr:uid="{2C1A63F5-13D4-4C54-8699-A4B6D2754AD5}"/>
    <cellStyle name="Normal 3 2 2 2 28 13 2 7" xfId="31068" xr:uid="{C299A218-2DA1-496F-ADD1-FDF432B21297}"/>
    <cellStyle name="Normal 3 2 2 2 28 13 2 8" xfId="31069" xr:uid="{ACE68FC9-EABE-4045-BCC9-D4C6AC5FFC84}"/>
    <cellStyle name="Normal 3 2 2 2 28 13 2 8 2" xfId="31070" xr:uid="{DD55DEFE-6590-49E7-A28A-F36FBF499321}"/>
    <cellStyle name="Normal 3 2 2 2 28 13 2 8 3" xfId="31071" xr:uid="{AA2828D1-ED83-4EC5-9CD1-D87691D10924}"/>
    <cellStyle name="Normal 3 2 2 2 28 13 2 8 4" xfId="31072" xr:uid="{C6BD9743-B071-4DFC-8E73-C54B65955801}"/>
    <cellStyle name="Normal 3 2 2 2 28 13 2 9" xfId="31073" xr:uid="{F60A90A6-F534-4444-AE5F-DEC2DAB9E198}"/>
    <cellStyle name="Normal 3 2 2 2 28 13 3" xfId="31074" xr:uid="{4E13C8B1-56D1-4F80-990B-EADEF8EAAE3F}"/>
    <cellStyle name="Normal 3 2 2 2 28 13 3 2" xfId="31075" xr:uid="{CFC921D0-79C9-4752-9B78-CAB760454E83}"/>
    <cellStyle name="Normal 3 2 2 2 28 13 3 2 2" xfId="31076" xr:uid="{36785672-C509-420A-AB2E-646E68B317D0}"/>
    <cellStyle name="Normal 3 2 2 2 28 13 3 2 3" xfId="31077" xr:uid="{0E831910-59AB-43CB-80BE-62DE7726560B}"/>
    <cellStyle name="Normal 3 2 2 2 28 13 3 2 4" xfId="31078" xr:uid="{D8D6BC75-B4A0-4044-82F8-C0E7D9F175ED}"/>
    <cellStyle name="Normal 3 2 2 2 28 13 3 3" xfId="31079" xr:uid="{120F32F6-D363-4833-8332-2085C327B4D4}"/>
    <cellStyle name="Normal 3 2 2 2 28 13 3 4" xfId="31080" xr:uid="{B38AD29D-6A96-4BD6-9FC0-563FED9B9CE5}"/>
    <cellStyle name="Normal 3 2 2 2 28 13 3 5" xfId="31081" xr:uid="{5E71D7D7-4F9F-4DCD-A078-ADEC5FA4822A}"/>
    <cellStyle name="Normal 3 2 2 2 28 13 3 6" xfId="31082" xr:uid="{2244711F-4C91-41F1-9FDD-17DC81303E74}"/>
    <cellStyle name="Normal 3 2 2 2 28 13 4" xfId="31083" xr:uid="{10BE9365-A3C5-4169-B46B-018154786AEF}"/>
    <cellStyle name="Normal 3 2 2 2 28 13 5" xfId="31084" xr:uid="{537CC68D-8B05-4FE8-BFC6-6EAC00F234C0}"/>
    <cellStyle name="Normal 3 2 2 2 28 13 6" xfId="31085" xr:uid="{BA9861CE-1D82-473F-86C6-313AEAB662EF}"/>
    <cellStyle name="Normal 3 2 2 2 28 13 7" xfId="31086" xr:uid="{A9387F8C-E2CD-44E8-B7AB-5F5FEEA022FD}"/>
    <cellStyle name="Normal 3 2 2 2 28 13 8" xfId="31087" xr:uid="{E7D07C01-B4DC-4255-8442-68C952EB360D}"/>
    <cellStyle name="Normal 3 2 2 2 28 13 8 2" xfId="31088" xr:uid="{3F6387A3-36BE-4671-AEA5-CD81B40B1E56}"/>
    <cellStyle name="Normal 3 2 2 2 28 13 8 3" xfId="31089" xr:uid="{F4086852-ACF2-4161-B772-70AA47CD44CD}"/>
    <cellStyle name="Normal 3 2 2 2 28 13 8 4" xfId="31090" xr:uid="{0F041535-B55E-464B-9A9F-AC89C081A408}"/>
    <cellStyle name="Normal 3 2 2 2 28 13 9" xfId="31091" xr:uid="{67C84F76-4E4D-4083-968F-C2A63361F00B}"/>
    <cellStyle name="Normal 3 2 2 2 28 14" xfId="31092" xr:uid="{C97367D1-9B13-4865-829E-7F7A8DA83B2E}"/>
    <cellStyle name="Normal 3 2 2 2 28 15" xfId="31093" xr:uid="{EC49D9C3-3DB2-4E00-ADDE-14E011EDD22B}"/>
    <cellStyle name="Normal 3 2 2 2 28 15 2" xfId="31094" xr:uid="{D133AA8C-82CA-4D9E-B9CE-A22E233917E5}"/>
    <cellStyle name="Normal 3 2 2 2 28 15 2 2" xfId="31095" xr:uid="{1A8CEFC9-1867-434B-9C34-52F28A1FFDA0}"/>
    <cellStyle name="Normal 3 2 2 2 28 15 2 3" xfId="31096" xr:uid="{2FEB2B99-4026-4D4F-83A1-97ADB5ED2227}"/>
    <cellStyle name="Normal 3 2 2 2 28 15 2 4" xfId="31097" xr:uid="{D0317B6F-CC1E-4EA1-958B-E440070341AE}"/>
    <cellStyle name="Normal 3 2 2 2 28 15 3" xfId="31098" xr:uid="{441100E9-9B26-47C8-9539-16707DFDB896}"/>
    <cellStyle name="Normal 3 2 2 2 28 15 4" xfId="31099" xr:uid="{240516A0-35E3-4638-8942-80572091A26A}"/>
    <cellStyle name="Normal 3 2 2 2 28 15 5" xfId="31100" xr:uid="{606C658E-7680-4DCE-93E0-EB66ADB200BC}"/>
    <cellStyle name="Normal 3 2 2 2 28 15 6" xfId="31101" xr:uid="{342F6B91-D2CA-484F-89A5-23B4E83DB2B6}"/>
    <cellStyle name="Normal 3 2 2 2 28 16" xfId="31102" xr:uid="{83F3E6BF-6138-4ABC-A65D-FC649078DF02}"/>
    <cellStyle name="Normal 3 2 2 2 28 17" xfId="31103" xr:uid="{8D085FF4-968D-44F1-9E65-3F5BB740485A}"/>
    <cellStyle name="Normal 3 2 2 2 28 18" xfId="31104" xr:uid="{0421698A-D584-4509-A249-994AB5BBEEE0}"/>
    <cellStyle name="Normal 3 2 2 2 28 19" xfId="31105" xr:uid="{9A539FA7-5E06-4A04-9108-E21E085E6BDB}"/>
    <cellStyle name="Normal 3 2 2 2 28 2" xfId="31106" xr:uid="{06854283-0012-4750-BFA2-0C1661BCB538}"/>
    <cellStyle name="Normal 3 2 2 2 28 2 10" xfId="31107" xr:uid="{3B4752CC-B4CF-4BE6-9568-656D5C7FC4EB}"/>
    <cellStyle name="Normal 3 2 2 2 28 2 11" xfId="31108" xr:uid="{6C0DEB0D-3591-4D11-B71E-EC46F68FC2B7}"/>
    <cellStyle name="Normal 3 2 2 2 28 2 12" xfId="31109" xr:uid="{CB2B922B-E089-4BDF-A527-EA455D2CF770}"/>
    <cellStyle name="Normal 3 2 2 2 28 2 13" xfId="31110" xr:uid="{13212CB4-F528-41E2-8421-54726D59342B}"/>
    <cellStyle name="Normal 3 2 2 2 28 2 13 2" xfId="31111" xr:uid="{C6DB8687-F90C-4698-9F35-EA02196BAE72}"/>
    <cellStyle name="Normal 3 2 2 2 28 2 13 3" xfId="31112" xr:uid="{75255CE8-2904-4538-AA39-87CFC944C6E5}"/>
    <cellStyle name="Normal 3 2 2 2 28 2 13 4" xfId="31113" xr:uid="{5FFCF1AA-B4F7-4DD4-8C3F-6B757B656441}"/>
    <cellStyle name="Normal 3 2 2 2 28 2 14" xfId="31114" xr:uid="{52642FE2-27FA-437E-A5BA-C570DDDE6D28}"/>
    <cellStyle name="Normal 3 2 2 2 28 2 15" xfId="31115" xr:uid="{40EEF822-84C7-44ED-9647-F5D703A0F86B}"/>
    <cellStyle name="Normal 3 2 2 2 28 2 16" xfId="31116" xr:uid="{BEE7A887-66B9-4861-B38F-AD407E0A747C}"/>
    <cellStyle name="Normal 3 2 2 2 28 2 2" xfId="31117" xr:uid="{67A254B6-5982-47DE-8083-139715B4F08B}"/>
    <cellStyle name="Normal 3 2 2 2 28 2 2 10" xfId="31118" xr:uid="{EBDC0A24-E525-4892-819F-39DA25D25345}"/>
    <cellStyle name="Normal 3 2 2 2 28 2 2 11" xfId="31119" xr:uid="{BA9B4C21-8D4E-409E-AC61-326672629F91}"/>
    <cellStyle name="Normal 3 2 2 2 28 2 2 11 2" xfId="31120" xr:uid="{0F2343B4-2672-4CE0-9DDA-C5A35C7C6076}"/>
    <cellStyle name="Normal 3 2 2 2 28 2 2 11 3" xfId="31121" xr:uid="{67E05BBE-1032-400B-B459-1EC619E07D85}"/>
    <cellStyle name="Normal 3 2 2 2 28 2 2 11 4" xfId="31122" xr:uid="{553C403B-E914-47FD-B625-1E82E87002EE}"/>
    <cellStyle name="Normal 3 2 2 2 28 2 2 12" xfId="31123" xr:uid="{49033EC5-8535-43AD-B688-D9FDD491D63C}"/>
    <cellStyle name="Normal 3 2 2 2 28 2 2 13" xfId="31124" xr:uid="{4822EAC8-8CCA-46DC-8AEC-C844258FDF02}"/>
    <cellStyle name="Normal 3 2 2 2 28 2 2 14" xfId="31125" xr:uid="{C0546865-0BAE-4F8C-88F9-2BFCB33EA416}"/>
    <cellStyle name="Normal 3 2 2 2 28 2 2 2" xfId="31126" xr:uid="{502DA5F1-13C9-4CF8-AE14-30ECBD2064DB}"/>
    <cellStyle name="Normal 3 2 2 2 28 2 2 2 10" xfId="31127" xr:uid="{81277859-FCED-45AA-86EB-150493D8697C}"/>
    <cellStyle name="Normal 3 2 2 2 28 2 2 2 11" xfId="31128" xr:uid="{44154F89-3BEA-4561-8201-0B416D8D14DA}"/>
    <cellStyle name="Normal 3 2 2 2 28 2 2 2 2" xfId="31129" xr:uid="{264E9160-F13D-4D3E-82FD-FA76506E5E98}"/>
    <cellStyle name="Normal 3 2 2 2 28 2 2 2 2 10" xfId="31130" xr:uid="{0CF98090-C9E8-44CE-8141-F05FF908B229}"/>
    <cellStyle name="Normal 3 2 2 2 28 2 2 2 2 11" xfId="31131" xr:uid="{3B96F0F1-0A63-46B8-B15B-E99B987ED02A}"/>
    <cellStyle name="Normal 3 2 2 2 28 2 2 2 2 2" xfId="31132" xr:uid="{3A6E1865-26DD-4D09-B515-F6FFC1125F90}"/>
    <cellStyle name="Normal 3 2 2 2 28 2 2 2 2 2 2" xfId="31133" xr:uid="{E2674FEA-4D9A-4B65-A0B2-C6D163BA8241}"/>
    <cellStyle name="Normal 3 2 2 2 28 2 2 2 2 2 2 2" xfId="31134" xr:uid="{236C97F4-3040-44C6-83AD-6ECC7654D232}"/>
    <cellStyle name="Normal 3 2 2 2 28 2 2 2 2 2 2 3" xfId="31135" xr:uid="{C156F341-8A2B-49DC-A986-9AFE25466762}"/>
    <cellStyle name="Normal 3 2 2 2 28 2 2 2 2 2 2 4" xfId="31136" xr:uid="{4E60478C-37F2-45BF-942E-1729B59CDB9E}"/>
    <cellStyle name="Normal 3 2 2 2 28 2 2 2 2 2 3" xfId="31137" xr:uid="{51B11BA4-3CA2-435F-9A45-8413A0FB3FA2}"/>
    <cellStyle name="Normal 3 2 2 2 28 2 2 2 2 2 4" xfId="31138" xr:uid="{33BFAF5F-AE45-4493-BB19-D58D29F69DCD}"/>
    <cellStyle name="Normal 3 2 2 2 28 2 2 2 2 2 5" xfId="31139" xr:uid="{0C4FAAF2-C20D-494E-8438-D65AE7554C18}"/>
    <cellStyle name="Normal 3 2 2 2 28 2 2 2 2 2 6" xfId="31140" xr:uid="{1B65071D-A021-4FF7-87AB-FEA0DBDD6CB4}"/>
    <cellStyle name="Normal 3 2 2 2 28 2 2 2 2 3" xfId="31141" xr:uid="{4F68E9BA-502C-4D7C-A733-A7FD84E090CB}"/>
    <cellStyle name="Normal 3 2 2 2 28 2 2 2 2 4" xfId="31142" xr:uid="{97875364-6EDB-4382-80BD-EE32535C5BF6}"/>
    <cellStyle name="Normal 3 2 2 2 28 2 2 2 2 5" xfId="31143" xr:uid="{11F059C5-42A3-4E2C-B15C-0FBC277C9C23}"/>
    <cellStyle name="Normal 3 2 2 2 28 2 2 2 2 6" xfId="31144" xr:uid="{1D7DF8FA-602E-4C64-B770-9D527BB0E5BC}"/>
    <cellStyle name="Normal 3 2 2 2 28 2 2 2 2 7" xfId="31145" xr:uid="{834D184B-3206-4A16-9683-1B9F6FC63EDF}"/>
    <cellStyle name="Normal 3 2 2 2 28 2 2 2 2 8" xfId="31146" xr:uid="{FF11B921-C9F6-471F-85FF-ED7D21D7DB5A}"/>
    <cellStyle name="Normal 3 2 2 2 28 2 2 2 2 8 2" xfId="31147" xr:uid="{1EEDB695-4649-434E-9155-D3BFEDD0B9F7}"/>
    <cellStyle name="Normal 3 2 2 2 28 2 2 2 2 8 3" xfId="31148" xr:uid="{86DC6DDA-7B73-4888-BE5D-100789B415E3}"/>
    <cellStyle name="Normal 3 2 2 2 28 2 2 2 2 8 4" xfId="31149" xr:uid="{6CF11155-7DA3-420D-BE08-37BACD7F5510}"/>
    <cellStyle name="Normal 3 2 2 2 28 2 2 2 2 9" xfId="31150" xr:uid="{6CEC7E7B-5687-455A-A3E7-1D4993B00A1B}"/>
    <cellStyle name="Normal 3 2 2 2 28 2 2 2 3" xfId="31151" xr:uid="{E4010422-309B-44A5-8F15-2C31617DA182}"/>
    <cellStyle name="Normal 3 2 2 2 28 2 2 2 3 2" xfId="31152" xr:uid="{8EA7F1E0-8115-45BD-AB65-0E450540A0BB}"/>
    <cellStyle name="Normal 3 2 2 2 28 2 2 2 3 2 2" xfId="31153" xr:uid="{122544D1-994F-42B7-89DE-E7B7749EE296}"/>
    <cellStyle name="Normal 3 2 2 2 28 2 2 2 3 2 3" xfId="31154" xr:uid="{F3C8A03F-6F03-4381-86B7-7FF393F92DF9}"/>
    <cellStyle name="Normal 3 2 2 2 28 2 2 2 3 2 4" xfId="31155" xr:uid="{4988525F-F8AC-4032-9117-9AAA2CAC0B4C}"/>
    <cellStyle name="Normal 3 2 2 2 28 2 2 2 3 3" xfId="31156" xr:uid="{064616CC-1EB8-424F-9854-9225CB9F1314}"/>
    <cellStyle name="Normal 3 2 2 2 28 2 2 2 3 4" xfId="31157" xr:uid="{8DFEB568-F879-483D-907C-CB9356F9DAF3}"/>
    <cellStyle name="Normal 3 2 2 2 28 2 2 2 3 5" xfId="31158" xr:uid="{C6725396-5ECF-4915-932D-D33ECFCBEA49}"/>
    <cellStyle name="Normal 3 2 2 2 28 2 2 2 3 6" xfId="31159" xr:uid="{215A81CE-1CCC-40D0-A138-011718D8DAF1}"/>
    <cellStyle name="Normal 3 2 2 2 28 2 2 2 4" xfId="31160" xr:uid="{364BA7F5-7111-483C-8973-4E186EBE86A4}"/>
    <cellStyle name="Normal 3 2 2 2 28 2 2 2 5" xfId="31161" xr:uid="{14EED5BF-6BF3-48EC-B1E3-CA61A33AA966}"/>
    <cellStyle name="Normal 3 2 2 2 28 2 2 2 6" xfId="31162" xr:uid="{71725990-0034-4BE3-BB36-7E18DFB5A205}"/>
    <cellStyle name="Normal 3 2 2 2 28 2 2 2 7" xfId="31163" xr:uid="{58826BC5-A6D4-425E-8AFE-EDC247DAE7C6}"/>
    <cellStyle name="Normal 3 2 2 2 28 2 2 2 8" xfId="31164" xr:uid="{5EC8D5FA-3A35-4EB1-AFE5-A9973A94A7F5}"/>
    <cellStyle name="Normal 3 2 2 2 28 2 2 2 8 2" xfId="31165" xr:uid="{6D84754B-8930-44F7-B203-8F55ED71C1A9}"/>
    <cellStyle name="Normal 3 2 2 2 28 2 2 2 8 3" xfId="31166" xr:uid="{E1D04BF0-7884-4E4A-B43D-031A888E2B4C}"/>
    <cellStyle name="Normal 3 2 2 2 28 2 2 2 8 4" xfId="31167" xr:uid="{65A51E21-D025-4198-A7C1-EE430646337C}"/>
    <cellStyle name="Normal 3 2 2 2 28 2 2 2 9" xfId="31168" xr:uid="{879E411D-CCF6-494A-99A2-9E4C81B17902}"/>
    <cellStyle name="Normal 3 2 2 2 28 2 2 3" xfId="31169" xr:uid="{0CAAC241-6A9F-42D1-ABFA-C01D7B61397A}"/>
    <cellStyle name="Normal 3 2 2 2 28 2 2 4" xfId="31170" xr:uid="{7A69DA62-7866-4DAB-BA06-2F1D501D4739}"/>
    <cellStyle name="Normal 3 2 2 2 28 2 2 5" xfId="31171" xr:uid="{D996E814-0A31-4C30-8358-4260B008453E}"/>
    <cellStyle name="Normal 3 2 2 2 28 2 2 5 2" xfId="31172" xr:uid="{59C57905-5FAF-4CC3-BFE3-2AC75D8C71DD}"/>
    <cellStyle name="Normal 3 2 2 2 28 2 2 5 2 2" xfId="31173" xr:uid="{212C74B0-1EA3-4C73-90B5-5891720D4183}"/>
    <cellStyle name="Normal 3 2 2 2 28 2 2 5 2 3" xfId="31174" xr:uid="{1D0273D0-2DDF-4494-B16C-603260E38DDB}"/>
    <cellStyle name="Normal 3 2 2 2 28 2 2 5 2 4" xfId="31175" xr:uid="{667C50EE-9356-4489-80A7-C851DC482C98}"/>
    <cellStyle name="Normal 3 2 2 2 28 2 2 5 3" xfId="31176" xr:uid="{A4F21AA4-7D49-407B-B4ED-CE1717980E7F}"/>
    <cellStyle name="Normal 3 2 2 2 28 2 2 5 4" xfId="31177" xr:uid="{3BFB9E25-8AB2-47C8-A28E-75F9F57D489E}"/>
    <cellStyle name="Normal 3 2 2 2 28 2 2 5 5" xfId="31178" xr:uid="{6E661A56-8CC1-4A32-B4AB-E8FFA1956682}"/>
    <cellStyle name="Normal 3 2 2 2 28 2 2 5 6" xfId="31179" xr:uid="{175B427C-0939-456C-A7B7-723DC5F0F5FA}"/>
    <cellStyle name="Normal 3 2 2 2 28 2 2 6" xfId="31180" xr:uid="{36CADC93-96CB-4BAD-83F7-0E050A0C2A11}"/>
    <cellStyle name="Normal 3 2 2 2 28 2 2 7" xfId="31181" xr:uid="{BCCE621E-AE78-4A19-B932-57A559AF3B2F}"/>
    <cellStyle name="Normal 3 2 2 2 28 2 2 8" xfId="31182" xr:uid="{CFC51E67-C968-4CE2-9D3F-07BBEC947D98}"/>
    <cellStyle name="Normal 3 2 2 2 28 2 2 9" xfId="31183" xr:uid="{186162EF-FDEF-4B4A-B459-6604D5A1DFF5}"/>
    <cellStyle name="Normal 3 2 2 2 28 2 3" xfId="31184" xr:uid="{02FB0511-929F-43DA-9257-0D05E41DB453}"/>
    <cellStyle name="Normal 3 2 2 2 28 2 4" xfId="31185" xr:uid="{EFD1C64F-B80F-4432-A076-F724015524D4}"/>
    <cellStyle name="Normal 3 2 2 2 28 2 5" xfId="31186" xr:uid="{E341737A-9070-464D-8394-74109F0E9E6F}"/>
    <cellStyle name="Normal 3 2 2 2 28 2 5 10" xfId="31187" xr:uid="{25DBDBFE-349B-4A01-941F-AB90F081F48D}"/>
    <cellStyle name="Normal 3 2 2 2 28 2 5 11" xfId="31188" xr:uid="{3CD858DC-E250-457C-9AA0-8A73056FF49D}"/>
    <cellStyle name="Normal 3 2 2 2 28 2 5 2" xfId="31189" xr:uid="{E8BC4612-5231-4F5D-9BAE-9B9DACA9ECA5}"/>
    <cellStyle name="Normal 3 2 2 2 28 2 5 2 10" xfId="31190" xr:uid="{CA0DB2CE-2244-4234-ADFF-F23256C62D4A}"/>
    <cellStyle name="Normal 3 2 2 2 28 2 5 2 11" xfId="31191" xr:uid="{FB5B79C9-C552-40F8-96DB-DB63CF6A631C}"/>
    <cellStyle name="Normal 3 2 2 2 28 2 5 2 2" xfId="31192" xr:uid="{6FD46E7A-13D6-4950-B234-41AE2230748D}"/>
    <cellStyle name="Normal 3 2 2 2 28 2 5 2 2 2" xfId="31193" xr:uid="{6C4E62C5-171D-4036-8F14-46901B037891}"/>
    <cellStyle name="Normal 3 2 2 2 28 2 5 2 2 2 2" xfId="31194" xr:uid="{E011B967-73FE-461D-AA85-593867D025F5}"/>
    <cellStyle name="Normal 3 2 2 2 28 2 5 2 2 2 3" xfId="31195" xr:uid="{72086B39-3853-4CFC-B7A7-AA0CD549A54C}"/>
    <cellStyle name="Normal 3 2 2 2 28 2 5 2 2 2 4" xfId="31196" xr:uid="{ABABE4E2-EC04-4573-888E-B4A9732DDA32}"/>
    <cellStyle name="Normal 3 2 2 2 28 2 5 2 2 3" xfId="31197" xr:uid="{6EC39C9C-0292-47BE-9622-71F886615994}"/>
    <cellStyle name="Normal 3 2 2 2 28 2 5 2 2 4" xfId="31198" xr:uid="{BA7298CC-B07D-4E6B-919F-7CBAA4A32A13}"/>
    <cellStyle name="Normal 3 2 2 2 28 2 5 2 2 5" xfId="31199" xr:uid="{6C198D24-5424-4D29-A73C-AFE8953D8B8E}"/>
    <cellStyle name="Normal 3 2 2 2 28 2 5 2 2 6" xfId="31200" xr:uid="{FE9806FA-9DDE-46A4-A226-1F4329F0EC2F}"/>
    <cellStyle name="Normal 3 2 2 2 28 2 5 2 3" xfId="31201" xr:uid="{86F240C5-0490-48D7-9504-C7524A022036}"/>
    <cellStyle name="Normal 3 2 2 2 28 2 5 2 4" xfId="31202" xr:uid="{877B70E7-9F08-44AE-A083-1084A3F9CD98}"/>
    <cellStyle name="Normal 3 2 2 2 28 2 5 2 5" xfId="31203" xr:uid="{D9787451-85EA-4DE1-99D3-99D942F32556}"/>
    <cellStyle name="Normal 3 2 2 2 28 2 5 2 6" xfId="31204" xr:uid="{D7144234-A3E6-4C27-81CB-3C7E6B0D635E}"/>
    <cellStyle name="Normal 3 2 2 2 28 2 5 2 7" xfId="31205" xr:uid="{C4AF1539-50D8-4FFA-BE8D-34700F28C1AF}"/>
    <cellStyle name="Normal 3 2 2 2 28 2 5 2 8" xfId="31206" xr:uid="{CB7DFE01-D96F-411C-90E5-6630FFA76A2C}"/>
    <cellStyle name="Normal 3 2 2 2 28 2 5 2 8 2" xfId="31207" xr:uid="{9FD52634-8FF4-451D-B2F7-52FE969A12BB}"/>
    <cellStyle name="Normal 3 2 2 2 28 2 5 2 8 3" xfId="31208" xr:uid="{0F49C80D-33F7-4C7F-AFF6-DD1461A084CD}"/>
    <cellStyle name="Normal 3 2 2 2 28 2 5 2 8 4" xfId="31209" xr:uid="{23078BFC-14B6-4E3A-9E99-9FB6EBF35FB2}"/>
    <cellStyle name="Normal 3 2 2 2 28 2 5 2 9" xfId="31210" xr:uid="{11257104-344F-4217-872A-15B2C3E7DFFF}"/>
    <cellStyle name="Normal 3 2 2 2 28 2 5 3" xfId="31211" xr:uid="{0F0C975F-1B38-4BE2-A9B9-1FC178B8251B}"/>
    <cellStyle name="Normal 3 2 2 2 28 2 5 3 2" xfId="31212" xr:uid="{9FFCD1E2-59B4-4163-964D-F0ED93A0C203}"/>
    <cellStyle name="Normal 3 2 2 2 28 2 5 3 2 2" xfId="31213" xr:uid="{3D838308-EEAA-47DD-8736-A2DB8DDFF07C}"/>
    <cellStyle name="Normal 3 2 2 2 28 2 5 3 2 3" xfId="31214" xr:uid="{11F88712-FFFE-4869-9118-5B5BC75B7F82}"/>
    <cellStyle name="Normal 3 2 2 2 28 2 5 3 2 4" xfId="31215" xr:uid="{006ED534-D12A-4876-B42F-99296FE910E1}"/>
    <cellStyle name="Normal 3 2 2 2 28 2 5 3 3" xfId="31216" xr:uid="{C915D3EB-A6A9-4740-8A4F-6053D6DB5697}"/>
    <cellStyle name="Normal 3 2 2 2 28 2 5 3 4" xfId="31217" xr:uid="{6003B4F7-B8C6-4EE2-9CFF-5032A444A981}"/>
    <cellStyle name="Normal 3 2 2 2 28 2 5 3 5" xfId="31218" xr:uid="{816EA46A-AFAE-4ED4-A48E-B4579230C1A2}"/>
    <cellStyle name="Normal 3 2 2 2 28 2 5 3 6" xfId="31219" xr:uid="{7694B9BD-F972-4F35-B704-898949CA79C1}"/>
    <cellStyle name="Normal 3 2 2 2 28 2 5 4" xfId="31220" xr:uid="{72395BB5-3C85-40BD-81B8-B7DE7C953B76}"/>
    <cellStyle name="Normal 3 2 2 2 28 2 5 5" xfId="31221" xr:uid="{E4EEB99A-1EE7-4B2E-8206-55305422BC92}"/>
    <cellStyle name="Normal 3 2 2 2 28 2 5 6" xfId="31222" xr:uid="{0A15B33C-4C96-49EA-AF90-8096EC5B9619}"/>
    <cellStyle name="Normal 3 2 2 2 28 2 5 7" xfId="31223" xr:uid="{E18E21EC-AD63-4A1E-B530-32DC47720D42}"/>
    <cellStyle name="Normal 3 2 2 2 28 2 5 8" xfId="31224" xr:uid="{4E4CE90F-6007-4C71-B8C9-1EF624B0C53A}"/>
    <cellStyle name="Normal 3 2 2 2 28 2 5 8 2" xfId="31225" xr:uid="{43E7FAB7-C770-43BA-A443-4F1C2E00F845}"/>
    <cellStyle name="Normal 3 2 2 2 28 2 5 8 3" xfId="31226" xr:uid="{498C7E6B-E935-4BE4-8875-8AAB0854F087}"/>
    <cellStyle name="Normal 3 2 2 2 28 2 5 8 4" xfId="31227" xr:uid="{6D005FCE-4430-4CF2-8E74-B1B903B766BB}"/>
    <cellStyle name="Normal 3 2 2 2 28 2 5 9" xfId="31228" xr:uid="{240C866A-CB41-4180-B215-1B3103749DE3}"/>
    <cellStyle name="Normal 3 2 2 2 28 2 6" xfId="31229" xr:uid="{6821AF65-01FF-44BD-AD9F-CB0FC2AEA253}"/>
    <cellStyle name="Normal 3 2 2 2 28 2 7" xfId="31230" xr:uid="{18EB56D7-9AC9-4BED-BEC9-97EA2412D588}"/>
    <cellStyle name="Normal 3 2 2 2 28 2 7 2" xfId="31231" xr:uid="{DAC73F8A-1934-4560-8A92-E79B328DA47E}"/>
    <cellStyle name="Normal 3 2 2 2 28 2 7 2 2" xfId="31232" xr:uid="{26E20072-F0CF-4420-B634-DE6B72C2EFE5}"/>
    <cellStyle name="Normal 3 2 2 2 28 2 7 2 3" xfId="31233" xr:uid="{221CD50B-7FDF-4B6D-8BC9-E524B4718F74}"/>
    <cellStyle name="Normal 3 2 2 2 28 2 7 2 4" xfId="31234" xr:uid="{7E879145-86BC-478B-BB6F-7BDF07B501B7}"/>
    <cellStyle name="Normal 3 2 2 2 28 2 7 3" xfId="31235" xr:uid="{970242EE-0F98-4CEA-BCAB-8BAACA328ED9}"/>
    <cellStyle name="Normal 3 2 2 2 28 2 7 4" xfId="31236" xr:uid="{33BE8E9C-677C-4D26-B5CD-1BECB3889CFA}"/>
    <cellStyle name="Normal 3 2 2 2 28 2 7 5" xfId="31237" xr:uid="{81B9D790-9BCC-47F8-B62B-E298A688F8B9}"/>
    <cellStyle name="Normal 3 2 2 2 28 2 7 6" xfId="31238" xr:uid="{56B04321-E20C-4CDC-BDCF-27ED5C1412B9}"/>
    <cellStyle name="Normal 3 2 2 2 28 2 8" xfId="31239" xr:uid="{4F97CE75-5F6D-4039-81D1-F370564109E2}"/>
    <cellStyle name="Normal 3 2 2 2 28 2 9" xfId="31240" xr:uid="{375E2867-A46F-4490-AC8E-7EE956370B42}"/>
    <cellStyle name="Normal 3 2 2 2 28 20" xfId="31241" xr:uid="{211A2082-944A-4B33-85FD-BD6E70E02AC6}"/>
    <cellStyle name="Normal 3 2 2 2 28 21" xfId="31242" xr:uid="{0A1F3C33-796A-4969-ACD2-DE2E719D93B3}"/>
    <cellStyle name="Normal 3 2 2 2 28 21 2" xfId="31243" xr:uid="{EB6A347D-C009-410E-AFFB-E64599B68E01}"/>
    <cellStyle name="Normal 3 2 2 2 28 21 3" xfId="31244" xr:uid="{5B5CB267-DF6E-4CDA-BEF7-2ADC76CA8958}"/>
    <cellStyle name="Normal 3 2 2 2 28 21 4" xfId="31245" xr:uid="{861A90E7-F2CB-4C49-A0E0-5CDA65E10988}"/>
    <cellStyle name="Normal 3 2 2 2 28 22" xfId="31246" xr:uid="{C49F65DE-1088-4224-8FF0-9284658A6423}"/>
    <cellStyle name="Normal 3 2 2 2 28 23" xfId="31247" xr:uid="{49660795-4C33-4F8A-AE13-E889F97F472F}"/>
    <cellStyle name="Normal 3 2 2 2 28 24" xfId="31248" xr:uid="{6D86AD55-8472-4244-BA34-727DDFE44DBE}"/>
    <cellStyle name="Normal 3 2 2 2 28 3" xfId="31249" xr:uid="{28424322-6B41-4D10-AA55-2534A9C6EC3C}"/>
    <cellStyle name="Normal 3 2 2 2 28 4" xfId="31250" xr:uid="{FE7E8058-2C57-4300-BDCE-5D695C2AFC25}"/>
    <cellStyle name="Normal 3 2 2 2 28 5" xfId="31251" xr:uid="{5E03D6A0-9C88-4746-ACFB-DF71C997146D}"/>
    <cellStyle name="Normal 3 2 2 2 28 6" xfId="31252" xr:uid="{169B8995-1493-4813-B54A-AF4B774A5600}"/>
    <cellStyle name="Normal 3 2 2 2 28 7" xfId="31253" xr:uid="{1EC61B99-6729-4F3E-8D17-6EE3FA200BF8}"/>
    <cellStyle name="Normal 3 2 2 2 28 8" xfId="31254" xr:uid="{5E44C1B6-9D74-4ECD-85BC-0EF3EE756ACF}"/>
    <cellStyle name="Normal 3 2 2 2 28 9" xfId="31255" xr:uid="{54C377B0-2CC7-4109-9504-1978923FFCEC}"/>
    <cellStyle name="Normal 3 2 2 2 29" xfId="31256" xr:uid="{9FE739BB-EF1B-45D7-887F-127D979B75CA}"/>
    <cellStyle name="Normal 3 2 2 2 29 10" xfId="31257" xr:uid="{582429AF-3E23-42D2-9D05-C696642E81D4}"/>
    <cellStyle name="Normal 3 2 2 2 29 11" xfId="31258" xr:uid="{8090FC50-F6D2-4FD4-AD9D-56A47A8DDB8A}"/>
    <cellStyle name="Normal 3 2 2 2 29 12" xfId="31259" xr:uid="{661828D2-6ADA-466B-83E9-CC430538811A}"/>
    <cellStyle name="Normal 3 2 2 2 29 13" xfId="31260" xr:uid="{8C43FAA5-1A62-4D0B-8A6C-435E1396712A}"/>
    <cellStyle name="Normal 3 2 2 2 29 13 2" xfId="31261" xr:uid="{30D715BA-E89F-4ECF-8870-E2702FDDA6C6}"/>
    <cellStyle name="Normal 3 2 2 2 29 13 3" xfId="31262" xr:uid="{DD60BC01-D9DF-411D-8AB3-9730608ACF27}"/>
    <cellStyle name="Normal 3 2 2 2 29 13 4" xfId="31263" xr:uid="{CC9881F7-AD1A-4F70-83DA-49C85D11F4E5}"/>
    <cellStyle name="Normal 3 2 2 2 29 14" xfId="31264" xr:uid="{22FF4A2D-8ACF-4932-BCF8-0867D708AD66}"/>
    <cellStyle name="Normal 3 2 2 2 29 15" xfId="31265" xr:uid="{E08E949C-8EA8-4210-A86E-722A8BF144D7}"/>
    <cellStyle name="Normal 3 2 2 2 29 16" xfId="31266" xr:uid="{992BF944-E707-4C77-9E8E-C96468592F3B}"/>
    <cellStyle name="Normal 3 2 2 2 29 2" xfId="31267" xr:uid="{39150F35-6616-476E-83DA-575A4DDAA837}"/>
    <cellStyle name="Normal 3 2 2 2 29 2 10" xfId="31268" xr:uid="{82669D7D-ADEB-4628-8C2B-173BD2A1B8C3}"/>
    <cellStyle name="Normal 3 2 2 2 29 2 11" xfId="31269" xr:uid="{AB1DD507-FCB4-45E8-9B83-8601F78FB31E}"/>
    <cellStyle name="Normal 3 2 2 2 29 2 11 2" xfId="31270" xr:uid="{87C57BF1-967A-466B-B575-FBF7FBBDC293}"/>
    <cellStyle name="Normal 3 2 2 2 29 2 11 3" xfId="31271" xr:uid="{5A57D50D-1821-47FE-B187-7A56531A05B4}"/>
    <cellStyle name="Normal 3 2 2 2 29 2 11 4" xfId="31272" xr:uid="{994EDCAB-893F-46AD-A9C1-7F1711A760D9}"/>
    <cellStyle name="Normal 3 2 2 2 29 2 12" xfId="31273" xr:uid="{041CDB8F-0BC2-4CCF-BC88-3E9E79C150BD}"/>
    <cellStyle name="Normal 3 2 2 2 29 2 13" xfId="31274" xr:uid="{D346B155-2A39-4E01-87A4-5DDFD75DB013}"/>
    <cellStyle name="Normal 3 2 2 2 29 2 14" xfId="31275" xr:uid="{A2DA1A46-3FA7-4531-82C8-0376EBC06782}"/>
    <cellStyle name="Normal 3 2 2 2 29 2 2" xfId="31276" xr:uid="{431A2E39-9E51-4AFE-BB6B-BC2649E0DD60}"/>
    <cellStyle name="Normal 3 2 2 2 29 2 2 10" xfId="31277" xr:uid="{71764956-DE63-4B1E-93C1-F4FA48B3690E}"/>
    <cellStyle name="Normal 3 2 2 2 29 2 2 11" xfId="31278" xr:uid="{16A4FAF6-1D18-4A52-A219-89302BC8B26C}"/>
    <cellStyle name="Normal 3 2 2 2 29 2 2 2" xfId="31279" xr:uid="{BEBD6DDD-69C9-418B-899E-708852DC7BA0}"/>
    <cellStyle name="Normal 3 2 2 2 29 2 2 2 10" xfId="31280" xr:uid="{DDE3435E-082A-42C9-811E-0ECACE3C6CD8}"/>
    <cellStyle name="Normal 3 2 2 2 29 2 2 2 11" xfId="31281" xr:uid="{5CE7C948-B2A4-4EE6-9D71-E1F33744427D}"/>
    <cellStyle name="Normal 3 2 2 2 29 2 2 2 2" xfId="31282" xr:uid="{6356A44C-CB77-43D9-A7D2-307AA5A69278}"/>
    <cellStyle name="Normal 3 2 2 2 29 2 2 2 2 2" xfId="31283" xr:uid="{4D393D28-FF88-47B0-8F7E-1A05FB6EC6C5}"/>
    <cellStyle name="Normal 3 2 2 2 29 2 2 2 2 2 2" xfId="31284" xr:uid="{D1245178-5D09-4F78-AE5A-DD8355F7966F}"/>
    <cellStyle name="Normal 3 2 2 2 29 2 2 2 2 2 3" xfId="31285" xr:uid="{6EDA2A1E-7DD6-4694-94DB-A1EA572D3A6E}"/>
    <cellStyle name="Normal 3 2 2 2 29 2 2 2 2 2 4" xfId="31286" xr:uid="{4B779B3F-99FE-4BEA-993C-B5F6B21CA7AB}"/>
    <cellStyle name="Normal 3 2 2 2 29 2 2 2 2 3" xfId="31287" xr:uid="{D073FAB8-C239-418A-97A6-D872F258F3E8}"/>
    <cellStyle name="Normal 3 2 2 2 29 2 2 2 2 4" xfId="31288" xr:uid="{032EB4AB-8EEF-46FB-B19E-A9F46950F64F}"/>
    <cellStyle name="Normal 3 2 2 2 29 2 2 2 2 5" xfId="31289" xr:uid="{37F84D1C-1DA3-4BD8-9F32-F6EB8A48D5B0}"/>
    <cellStyle name="Normal 3 2 2 2 29 2 2 2 2 6" xfId="31290" xr:uid="{480BEEF6-69CE-491E-BAB6-1DFEF546A011}"/>
    <cellStyle name="Normal 3 2 2 2 29 2 2 2 3" xfId="31291" xr:uid="{89EA8EF5-ED2A-414A-8073-C6B1B4B138FF}"/>
    <cellStyle name="Normal 3 2 2 2 29 2 2 2 4" xfId="31292" xr:uid="{D62BE26C-A415-4C9E-AB44-D558A895272F}"/>
    <cellStyle name="Normal 3 2 2 2 29 2 2 2 5" xfId="31293" xr:uid="{D0939B69-D729-4ECE-9950-929F1A2B6E1C}"/>
    <cellStyle name="Normal 3 2 2 2 29 2 2 2 6" xfId="31294" xr:uid="{A86F45FE-EA88-4AD0-8552-98C030696A26}"/>
    <cellStyle name="Normal 3 2 2 2 29 2 2 2 7" xfId="31295" xr:uid="{1A6AE2E7-39A3-4B3E-9E8F-67CC436BCC4C}"/>
    <cellStyle name="Normal 3 2 2 2 29 2 2 2 8" xfId="31296" xr:uid="{DBA20FE8-3504-4FAB-A449-9F5532F37E9A}"/>
    <cellStyle name="Normal 3 2 2 2 29 2 2 2 8 2" xfId="31297" xr:uid="{7F9000E5-74F4-43DC-85CE-D67F7CA1E4B9}"/>
    <cellStyle name="Normal 3 2 2 2 29 2 2 2 8 3" xfId="31298" xr:uid="{D49399C9-0A68-42E9-BBDB-B536AD1A7DAF}"/>
    <cellStyle name="Normal 3 2 2 2 29 2 2 2 8 4" xfId="31299" xr:uid="{FFE98E2E-5B97-45A7-B296-6DB8D5044046}"/>
    <cellStyle name="Normal 3 2 2 2 29 2 2 2 9" xfId="31300" xr:uid="{285F1443-D55C-425F-871F-052765C1D336}"/>
    <cellStyle name="Normal 3 2 2 2 29 2 2 3" xfId="31301" xr:uid="{617AC263-7AF8-43F9-8BE7-819DD8419664}"/>
    <cellStyle name="Normal 3 2 2 2 29 2 2 3 2" xfId="31302" xr:uid="{FEF3E251-1CE9-40A7-BB88-31D488976AED}"/>
    <cellStyle name="Normal 3 2 2 2 29 2 2 3 2 2" xfId="31303" xr:uid="{4BA38EAC-D6EE-4BCE-A768-8896F0323182}"/>
    <cellStyle name="Normal 3 2 2 2 29 2 2 3 2 3" xfId="31304" xr:uid="{64766D34-9EBC-4843-AA7E-B1175FC0CE34}"/>
    <cellStyle name="Normal 3 2 2 2 29 2 2 3 2 4" xfId="31305" xr:uid="{96042F1E-BEF8-4FBA-8DBF-601B5BB0CFCA}"/>
    <cellStyle name="Normal 3 2 2 2 29 2 2 3 3" xfId="31306" xr:uid="{8DDCAB18-E360-4C1A-8708-53D719717C51}"/>
    <cellStyle name="Normal 3 2 2 2 29 2 2 3 4" xfId="31307" xr:uid="{1DCA41C3-E755-42F4-8BA0-002DFDBB549E}"/>
    <cellStyle name="Normal 3 2 2 2 29 2 2 3 5" xfId="31308" xr:uid="{686C2E47-3182-47B4-8287-3BA242C93D7B}"/>
    <cellStyle name="Normal 3 2 2 2 29 2 2 3 6" xfId="31309" xr:uid="{7574C42A-C2E0-4593-8973-B14A7A456786}"/>
    <cellStyle name="Normal 3 2 2 2 29 2 2 4" xfId="31310" xr:uid="{6A72E55D-A64A-44C7-991A-06199DBB377F}"/>
    <cellStyle name="Normal 3 2 2 2 29 2 2 5" xfId="31311" xr:uid="{27FC164C-5EF5-4B6F-9D81-7E5C96F181A8}"/>
    <cellStyle name="Normal 3 2 2 2 29 2 2 6" xfId="31312" xr:uid="{C9910273-C4BE-44BC-B980-C05DB19D37B8}"/>
    <cellStyle name="Normal 3 2 2 2 29 2 2 7" xfId="31313" xr:uid="{3D74679A-7450-4DC6-9F21-BDB4B68BDB08}"/>
    <cellStyle name="Normal 3 2 2 2 29 2 2 8" xfId="31314" xr:uid="{EE25949A-2CFC-4B16-8BB4-EBACC7291B6E}"/>
    <cellStyle name="Normal 3 2 2 2 29 2 2 8 2" xfId="31315" xr:uid="{40A783D3-8424-4DE2-98DB-901FF67E28DB}"/>
    <cellStyle name="Normal 3 2 2 2 29 2 2 8 3" xfId="31316" xr:uid="{9618142A-52B6-4844-A560-9F463ED417A5}"/>
    <cellStyle name="Normal 3 2 2 2 29 2 2 8 4" xfId="31317" xr:uid="{2E365916-BEC9-47C2-BF9B-F325F5FA3ABC}"/>
    <cellStyle name="Normal 3 2 2 2 29 2 2 9" xfId="31318" xr:uid="{9BCDF604-EC20-400F-BB92-2F5D74108F1D}"/>
    <cellStyle name="Normal 3 2 2 2 29 2 3" xfId="31319" xr:uid="{3BF9FAED-31BA-44BE-86B4-CD23D1BD1C63}"/>
    <cellStyle name="Normal 3 2 2 2 29 2 4" xfId="31320" xr:uid="{CBDC476C-7BC5-4496-B0D5-15E21EFE502B}"/>
    <cellStyle name="Normal 3 2 2 2 29 2 5" xfId="31321" xr:uid="{9E36FCAC-A9BC-4357-9273-32F4636F84DE}"/>
    <cellStyle name="Normal 3 2 2 2 29 2 5 2" xfId="31322" xr:uid="{7817D302-C753-4F4E-B9B9-301CF44A2814}"/>
    <cellStyle name="Normal 3 2 2 2 29 2 5 2 2" xfId="31323" xr:uid="{C92EF675-3CFD-4AE1-9E03-F15B1E9BF18D}"/>
    <cellStyle name="Normal 3 2 2 2 29 2 5 2 3" xfId="31324" xr:uid="{E8CF66CD-AA3D-43C8-AD11-9AE17E548758}"/>
    <cellStyle name="Normal 3 2 2 2 29 2 5 2 4" xfId="31325" xr:uid="{5E7E6134-2FC6-4501-86F3-175D9ACAC74C}"/>
    <cellStyle name="Normal 3 2 2 2 29 2 5 3" xfId="31326" xr:uid="{6E0BFE45-8A95-4BD4-BF34-173EAEE046D0}"/>
    <cellStyle name="Normal 3 2 2 2 29 2 5 4" xfId="31327" xr:uid="{69748A85-996B-4273-A206-CCDDF1614844}"/>
    <cellStyle name="Normal 3 2 2 2 29 2 5 5" xfId="31328" xr:uid="{0AECDF1B-B70B-4BE4-8A30-7B2C838716D2}"/>
    <cellStyle name="Normal 3 2 2 2 29 2 5 6" xfId="31329" xr:uid="{BFFCEEDB-068D-41CC-9673-C6732F3420F4}"/>
    <cellStyle name="Normal 3 2 2 2 29 2 6" xfId="31330" xr:uid="{D3BB700E-BCD6-40B7-A277-D7D1262C3091}"/>
    <cellStyle name="Normal 3 2 2 2 29 2 7" xfId="31331" xr:uid="{90C231ED-C37D-44A3-AB88-7C57FED51151}"/>
    <cellStyle name="Normal 3 2 2 2 29 2 8" xfId="31332" xr:uid="{5EFA7307-65FE-4663-8FFF-ABB741D7D25B}"/>
    <cellStyle name="Normal 3 2 2 2 29 2 9" xfId="31333" xr:uid="{82D41156-CA92-4E6A-824D-35EA2476126C}"/>
    <cellStyle name="Normal 3 2 2 2 29 3" xfId="31334" xr:uid="{66FAAE33-245B-4FE5-8AFA-D26CE32AE018}"/>
    <cellStyle name="Normal 3 2 2 2 29 4" xfId="31335" xr:uid="{F0F8D12D-5FD9-4946-BA35-3D984B97D8FF}"/>
    <cellStyle name="Normal 3 2 2 2 29 5" xfId="31336" xr:uid="{49A76440-46DC-49E4-8E25-540B6F38E82C}"/>
    <cellStyle name="Normal 3 2 2 2 29 5 10" xfId="31337" xr:uid="{8A018C91-00B8-401C-8A93-B82C01285282}"/>
    <cellStyle name="Normal 3 2 2 2 29 5 11" xfId="31338" xr:uid="{50087DA1-1303-4E7C-95B5-1EDCCB4DEFD1}"/>
    <cellStyle name="Normal 3 2 2 2 29 5 2" xfId="31339" xr:uid="{A54006A6-7328-4F3F-AD1F-4C8808532B50}"/>
    <cellStyle name="Normal 3 2 2 2 29 5 2 10" xfId="31340" xr:uid="{0C1EEC3A-E605-4B09-8993-BB03D91064BE}"/>
    <cellStyle name="Normal 3 2 2 2 29 5 2 11" xfId="31341" xr:uid="{1BF56836-9DD3-4195-A3A8-B8110460B880}"/>
    <cellStyle name="Normal 3 2 2 2 29 5 2 2" xfId="31342" xr:uid="{97B20BF3-390E-4B55-BEBE-C03C0CCDC1BC}"/>
    <cellStyle name="Normal 3 2 2 2 29 5 2 2 2" xfId="31343" xr:uid="{14816C9D-7B5D-4113-96C0-C9C755B238F5}"/>
    <cellStyle name="Normal 3 2 2 2 29 5 2 2 2 2" xfId="31344" xr:uid="{ED531E28-31CF-4E39-A5D3-9BC86BDEC00E}"/>
    <cellStyle name="Normal 3 2 2 2 29 5 2 2 2 3" xfId="31345" xr:uid="{784C6CBD-560A-46C9-A0A1-9271706E20F8}"/>
    <cellStyle name="Normal 3 2 2 2 29 5 2 2 2 4" xfId="31346" xr:uid="{41987A00-B1E2-4CF0-8776-BC84EB077B1B}"/>
    <cellStyle name="Normal 3 2 2 2 29 5 2 2 3" xfId="31347" xr:uid="{0B4D47BB-E794-42E8-BC15-7E9E2402BCBB}"/>
    <cellStyle name="Normal 3 2 2 2 29 5 2 2 4" xfId="31348" xr:uid="{D7140C44-E29E-4946-89F2-0C143D1EC955}"/>
    <cellStyle name="Normal 3 2 2 2 29 5 2 2 5" xfId="31349" xr:uid="{72113836-82FE-4A8B-8613-4B5B3345560D}"/>
    <cellStyle name="Normal 3 2 2 2 29 5 2 2 6" xfId="31350" xr:uid="{72D62C9E-BBC3-443A-B767-F15B4504B1B0}"/>
    <cellStyle name="Normal 3 2 2 2 29 5 2 3" xfId="31351" xr:uid="{92C9244F-1FED-42C6-A861-0621B336C36A}"/>
    <cellStyle name="Normal 3 2 2 2 29 5 2 4" xfId="31352" xr:uid="{CB91FD7E-2F8A-4DEA-8B10-AE4F6BB9A88B}"/>
    <cellStyle name="Normal 3 2 2 2 29 5 2 5" xfId="31353" xr:uid="{6AD93B3E-C89F-4D54-B91E-C2BD372C3AD2}"/>
    <cellStyle name="Normal 3 2 2 2 29 5 2 6" xfId="31354" xr:uid="{35289F99-9581-4EC0-B68D-471F022D43A1}"/>
    <cellStyle name="Normal 3 2 2 2 29 5 2 7" xfId="31355" xr:uid="{8665DA38-29AE-4D98-B21F-2BDFB0F382D8}"/>
    <cellStyle name="Normal 3 2 2 2 29 5 2 8" xfId="31356" xr:uid="{EA9C987B-E91A-45D7-8268-375B6F45FF9D}"/>
    <cellStyle name="Normal 3 2 2 2 29 5 2 8 2" xfId="31357" xr:uid="{5E5123DD-C5DC-4AEF-8369-4060784B8F82}"/>
    <cellStyle name="Normal 3 2 2 2 29 5 2 8 3" xfId="31358" xr:uid="{96A84AC3-2461-4DB7-A1FD-AF5C9C6886E7}"/>
    <cellStyle name="Normal 3 2 2 2 29 5 2 8 4" xfId="31359" xr:uid="{3510844B-98A6-4E09-9BA9-FC6AEF2AD83B}"/>
    <cellStyle name="Normal 3 2 2 2 29 5 2 9" xfId="31360" xr:uid="{017297E9-0898-41AD-806E-F510854F062E}"/>
    <cellStyle name="Normal 3 2 2 2 29 5 3" xfId="31361" xr:uid="{ADD1014A-0549-4590-8535-514BE0FE1D32}"/>
    <cellStyle name="Normal 3 2 2 2 29 5 3 2" xfId="31362" xr:uid="{50DD7A68-380A-4315-9A3E-07C2C6D368D9}"/>
    <cellStyle name="Normal 3 2 2 2 29 5 3 2 2" xfId="31363" xr:uid="{D3AD248A-1D51-4F13-B43B-8AA133937D55}"/>
    <cellStyle name="Normal 3 2 2 2 29 5 3 2 3" xfId="31364" xr:uid="{DAF43162-AC30-4E71-88A2-B30235421BF8}"/>
    <cellStyle name="Normal 3 2 2 2 29 5 3 2 4" xfId="31365" xr:uid="{60BD1638-484E-47C6-B508-F7297309A7BD}"/>
    <cellStyle name="Normal 3 2 2 2 29 5 3 3" xfId="31366" xr:uid="{A5FE511B-78F3-4772-A47A-B82E70C4F0F4}"/>
    <cellStyle name="Normal 3 2 2 2 29 5 3 4" xfId="31367" xr:uid="{FEF127AC-FA16-4427-ACA9-BDD6D9DC1A54}"/>
    <cellStyle name="Normal 3 2 2 2 29 5 3 5" xfId="31368" xr:uid="{F9C28A7D-541F-491D-908D-F6109D1E158B}"/>
    <cellStyle name="Normal 3 2 2 2 29 5 3 6" xfId="31369" xr:uid="{EDF38576-7C13-4F8E-9E68-63B9BB9BC5D8}"/>
    <cellStyle name="Normal 3 2 2 2 29 5 4" xfId="31370" xr:uid="{490659FC-2409-4BF0-B02B-B251C50E3AA4}"/>
    <cellStyle name="Normal 3 2 2 2 29 5 5" xfId="31371" xr:uid="{EDB8E6B3-230F-427D-8938-555491B8234D}"/>
    <cellStyle name="Normal 3 2 2 2 29 5 6" xfId="31372" xr:uid="{0A86720A-F337-44D3-BC08-0E45D3F443CD}"/>
    <cellStyle name="Normal 3 2 2 2 29 5 7" xfId="31373" xr:uid="{1835F60B-6FED-4F61-B07D-4A82E75B662F}"/>
    <cellStyle name="Normal 3 2 2 2 29 5 8" xfId="31374" xr:uid="{76C478A6-52E7-4951-A2A6-8D728BC39C90}"/>
    <cellStyle name="Normal 3 2 2 2 29 5 8 2" xfId="31375" xr:uid="{122A3A75-93FB-4796-8259-5275AEEA4125}"/>
    <cellStyle name="Normal 3 2 2 2 29 5 8 3" xfId="31376" xr:uid="{E980F0CD-9851-499F-A9BA-192636AB681A}"/>
    <cellStyle name="Normal 3 2 2 2 29 5 8 4" xfId="31377" xr:uid="{C277B5C2-E34D-4193-A997-6A70FE96FD70}"/>
    <cellStyle name="Normal 3 2 2 2 29 5 9" xfId="31378" xr:uid="{00A603A9-3EF4-4BF8-883E-518BA7DB3487}"/>
    <cellStyle name="Normal 3 2 2 2 29 6" xfId="31379" xr:uid="{CFFC86CB-88C2-4619-B137-D766C9D8CC71}"/>
    <cellStyle name="Normal 3 2 2 2 29 7" xfId="31380" xr:uid="{E55D8EBF-9A43-410F-BCA5-996E03C8A9E3}"/>
    <cellStyle name="Normal 3 2 2 2 29 7 2" xfId="31381" xr:uid="{EC1353D8-E716-4AF2-9AC4-219ED555E101}"/>
    <cellStyle name="Normal 3 2 2 2 29 7 2 2" xfId="31382" xr:uid="{DB2FEF81-B7BD-427C-80E3-A2E5CE94B1E1}"/>
    <cellStyle name="Normal 3 2 2 2 29 7 2 3" xfId="31383" xr:uid="{68A452E6-2F84-4701-AF5C-3868DD25CCC5}"/>
    <cellStyle name="Normal 3 2 2 2 29 7 2 4" xfId="31384" xr:uid="{DBDC3BB4-2C7A-4F5D-85A9-9E27FF67EC1F}"/>
    <cellStyle name="Normal 3 2 2 2 29 7 3" xfId="31385" xr:uid="{ED84EF37-BA68-45D6-9A41-CE982C767CD4}"/>
    <cellStyle name="Normal 3 2 2 2 29 7 4" xfId="31386" xr:uid="{3F0CC013-5B41-4A29-975D-4F6E317A1327}"/>
    <cellStyle name="Normal 3 2 2 2 29 7 5" xfId="31387" xr:uid="{C3D84A2D-92C0-4B86-A4EA-7980665AF2C7}"/>
    <cellStyle name="Normal 3 2 2 2 29 7 6" xfId="31388" xr:uid="{3AA7112F-2FA7-492C-B57C-7D391D11BBF8}"/>
    <cellStyle name="Normal 3 2 2 2 29 8" xfId="31389" xr:uid="{714F05B8-6131-47D1-B64A-10BC4F6E001D}"/>
    <cellStyle name="Normal 3 2 2 2 29 9" xfId="31390" xr:uid="{06BB6729-FADC-4749-B619-51785CC22D23}"/>
    <cellStyle name="Normal 3 2 2 2 3" xfId="31391" xr:uid="{B7F1A9C7-CCEF-4FD1-A448-6C91A5C484EE}"/>
    <cellStyle name="Normal 3 2 2 2 3 10" xfId="31392" xr:uid="{B81E627D-5E90-4655-B7F5-754399C6B81E}"/>
    <cellStyle name="Normal 3 2 2 2 3 11" xfId="31393" xr:uid="{A3799827-D2F5-4D5B-B6B1-92FF4EE9D2E1}"/>
    <cellStyle name="Normal 3 2 2 2 3 2" xfId="31394" xr:uid="{8A5CA144-3744-4D2F-97ED-0358DFCE7898}"/>
    <cellStyle name="Normal 3 2 2 2 3 2 2" xfId="31395" xr:uid="{C5BC68C4-EE0F-4C62-BF4C-F05DA701CF0C}"/>
    <cellStyle name="Normal 3 2 2 2 3 2 3" xfId="31396" xr:uid="{4C990EA9-E5DF-459B-A2A8-9B73134FF0F6}"/>
    <cellStyle name="Normal 3 2 2 2 3 2 4" xfId="31397" xr:uid="{C21CA3B6-A79F-4C1C-87F7-43A856411874}"/>
    <cellStyle name="Normal 3 2 2 2 3 2 5" xfId="31398" xr:uid="{10B62BB6-3B74-4FFF-AE38-677F1345356E}"/>
    <cellStyle name="Normal 3 2 2 2 3 2 6" xfId="31399" xr:uid="{F1207FC1-69EB-4B2C-8E23-999A087759A7}"/>
    <cellStyle name="Normal 3 2 2 2 3 3" xfId="31400" xr:uid="{C24DC81F-4DD6-41DB-A78B-423B85715386}"/>
    <cellStyle name="Normal 3 2 2 2 3 3 2" xfId="31401" xr:uid="{D223C34C-8D26-4700-ADF9-0CD2F68BB3F0}"/>
    <cellStyle name="Normal 3 2 2 2 3 3 3" xfId="31402" xr:uid="{0E6D9289-EB26-426C-98CE-71E589B07BF2}"/>
    <cellStyle name="Normal 3 2 2 2 3 3 4" xfId="31403" xr:uid="{2B5E28CA-D8D5-4AEB-B577-10BDBA1D1664}"/>
    <cellStyle name="Normal 3 2 2 2 3 3 5" xfId="31404" xr:uid="{798173A1-941B-4CE2-89D1-722E6288A87A}"/>
    <cellStyle name="Normal 3 2 2 2 3 3 6" xfId="31405" xr:uid="{5F4DDDB4-5F91-4701-AA9B-78AD4B3AC181}"/>
    <cellStyle name="Normal 3 2 2 2 3 4" xfId="31406" xr:uid="{2850B2BF-367A-43AF-A312-22C12D9A21BE}"/>
    <cellStyle name="Normal 3 2 2 2 3 4 2" xfId="31407" xr:uid="{1EB11068-107B-4598-8854-0E288680221E}"/>
    <cellStyle name="Normal 3 2 2 2 3 4 3" xfId="31408" xr:uid="{519F3AD7-435A-488A-B207-E1F97A87E55D}"/>
    <cellStyle name="Normal 3 2 2 2 3 4 4" xfId="31409" xr:uid="{FD0964C2-63F6-4568-A56D-45C825CF01DB}"/>
    <cellStyle name="Normal 3 2 2 2 3 4 5" xfId="31410" xr:uid="{E6DF76D8-2C5F-4E0D-9AEE-E3A5FA76F587}"/>
    <cellStyle name="Normal 3 2 2 2 3 4 6" xfId="31411" xr:uid="{5ED4B2F9-5D1C-4942-84DE-FD57BDDA2740}"/>
    <cellStyle name="Normal 3 2 2 2 3 5" xfId="31412" xr:uid="{BF7AF071-6AAB-4C6C-A7B0-F3D0045FC9DA}"/>
    <cellStyle name="Normal 3 2 2 2 3 5 2" xfId="31413" xr:uid="{37EA9570-256B-4AC2-8BB8-2208FD8B1E0B}"/>
    <cellStyle name="Normal 3 2 2 2 3 5 3" xfId="31414" xr:uid="{20AFC7F6-4267-40C7-930B-CF55F6C9802B}"/>
    <cellStyle name="Normal 3 2 2 2 3 5 4" xfId="31415" xr:uid="{50BF81AD-EBFB-44F0-958D-F7F49815B1CD}"/>
    <cellStyle name="Normal 3 2 2 2 3 5 5" xfId="31416" xr:uid="{73E97113-343A-4553-97E4-C3F8ADB25E3F}"/>
    <cellStyle name="Normal 3 2 2 2 3 5 6" xfId="31417" xr:uid="{D5877BBD-C192-4AC1-A325-680056B97E9C}"/>
    <cellStyle name="Normal 3 2 2 2 3 6" xfId="31418" xr:uid="{5D9DFDF8-E825-47CC-A9EA-AAAFCB510A00}"/>
    <cellStyle name="Normal 3 2 2 2 3 6 2" xfId="31419" xr:uid="{8224BA35-B497-4231-89A8-F32AAE252B09}"/>
    <cellStyle name="Normal 3 2 2 2 3 6 3" xfId="31420" xr:uid="{CDA3EBCC-8C44-4FAD-BF57-22BC43C3110C}"/>
    <cellStyle name="Normal 3 2 2 2 3 6 4" xfId="31421" xr:uid="{BE9144A1-4A37-48A1-A20A-39AEEDBDEC4C}"/>
    <cellStyle name="Normal 3 2 2 2 3 6 5" xfId="31422" xr:uid="{D424E7E1-2C31-4637-9EBC-C5076B0EB4DE}"/>
    <cellStyle name="Normal 3 2 2 2 3 6 6" xfId="31423" xr:uid="{44BD963A-E50A-498B-93A0-C26083C00296}"/>
    <cellStyle name="Normal 3 2 2 2 3 7" xfId="31424" xr:uid="{3F108E31-7ACA-47DB-AA71-8C9DA93ECDC5}"/>
    <cellStyle name="Normal 3 2 2 2 3 8" xfId="31425" xr:uid="{2E2F4923-4C65-4006-AFA4-ED66ADF7E35F}"/>
    <cellStyle name="Normal 3 2 2 2 3 9" xfId="31426" xr:uid="{4F2C2AFC-3E66-458E-817A-66242F456BDC}"/>
    <cellStyle name="Normal 3 2 2 2 30" xfId="31427" xr:uid="{D909F431-6434-40C0-9289-8EEEF96837AB}"/>
    <cellStyle name="Normal 3 2 2 2 31" xfId="31428" xr:uid="{55A6951D-7006-4A89-951F-0C265535FA86}"/>
    <cellStyle name="Normal 3 2 2 2 32" xfId="31429" xr:uid="{12271F56-1255-46BF-BEED-DD0C07E0E0F4}"/>
    <cellStyle name="Normal 3 2 2 2 33" xfId="31430" xr:uid="{1D2CDC03-A79E-4A65-AFD6-903745D71E2D}"/>
    <cellStyle name="Normal 3 2 2 2 34" xfId="31431" xr:uid="{07081C5D-9E3A-4B5E-AE53-F7016D068446}"/>
    <cellStyle name="Normal 3 2 2 2 35" xfId="31432" xr:uid="{9AB7EB4E-D86A-49A1-B629-7C6AC58F1FC2}"/>
    <cellStyle name="Normal 3 2 2 2 36" xfId="31433" xr:uid="{03A83CA8-880C-436D-808C-D132DC644ADF}"/>
    <cellStyle name="Normal 3 2 2 2 37" xfId="31434" xr:uid="{008EE782-FEB2-4967-B849-286C07FD1DC9}"/>
    <cellStyle name="Normal 3 2 2 2 37 10" xfId="31435" xr:uid="{9685E510-B8D8-4FB2-8891-939EF388C9F3}"/>
    <cellStyle name="Normal 3 2 2 2 37 11" xfId="31436" xr:uid="{4DD2CCFC-2589-4D5D-9550-3B6CD93DBA29}"/>
    <cellStyle name="Normal 3 2 2 2 37 11 2" xfId="31437" xr:uid="{EE5A1929-019A-4163-A3D4-7C0288724BCA}"/>
    <cellStyle name="Normal 3 2 2 2 37 11 3" xfId="31438" xr:uid="{4E8C862B-10A1-4477-A5E1-975E26A67600}"/>
    <cellStyle name="Normal 3 2 2 2 37 11 4" xfId="31439" xr:uid="{80E64F36-1A8C-4E0E-8943-0397CBFBB5D9}"/>
    <cellStyle name="Normal 3 2 2 2 37 12" xfId="31440" xr:uid="{A252E6EC-4258-4ED5-A801-ABD301A6055C}"/>
    <cellStyle name="Normal 3 2 2 2 37 13" xfId="31441" xr:uid="{9F029975-9A46-4C5D-BED9-43CA10BA3294}"/>
    <cellStyle name="Normal 3 2 2 2 37 14" xfId="31442" xr:uid="{B00F3A32-D6DA-4E31-BE6E-80521B3C38B0}"/>
    <cellStyle name="Normal 3 2 2 2 37 2" xfId="31443" xr:uid="{16121DC6-BA77-4E03-B235-3295ADB1D517}"/>
    <cellStyle name="Normal 3 2 2 2 37 2 10" xfId="31444" xr:uid="{E2040DD3-5098-4F00-B2E4-DB2EE0668751}"/>
    <cellStyle name="Normal 3 2 2 2 37 2 11" xfId="31445" xr:uid="{D652357B-7B9B-4FFD-B12B-E2CE4CC780A9}"/>
    <cellStyle name="Normal 3 2 2 2 37 2 2" xfId="31446" xr:uid="{9B36050C-50DD-4677-A9ED-2D356D97C9CA}"/>
    <cellStyle name="Normal 3 2 2 2 37 2 2 10" xfId="31447" xr:uid="{35D186E1-0502-460D-9B3F-526BF4BC121F}"/>
    <cellStyle name="Normal 3 2 2 2 37 2 2 11" xfId="31448" xr:uid="{65D2D997-649C-4521-89F6-0EB1D8BA82CE}"/>
    <cellStyle name="Normal 3 2 2 2 37 2 2 2" xfId="31449" xr:uid="{F45D9632-FC28-4A59-8D62-9C7341C30518}"/>
    <cellStyle name="Normal 3 2 2 2 37 2 2 2 2" xfId="31450" xr:uid="{9B084FFB-7971-4911-B686-7A3B8F915EEA}"/>
    <cellStyle name="Normal 3 2 2 2 37 2 2 2 2 2" xfId="31451" xr:uid="{9CED4C07-D478-437D-8C75-94918AE8983A}"/>
    <cellStyle name="Normal 3 2 2 2 37 2 2 2 2 3" xfId="31452" xr:uid="{4CE85ABF-DFBF-4D63-931B-0C71D7132A2F}"/>
    <cellStyle name="Normal 3 2 2 2 37 2 2 2 2 4" xfId="31453" xr:uid="{B70A72A6-56F1-48C1-B882-BD22E46AFD28}"/>
    <cellStyle name="Normal 3 2 2 2 37 2 2 2 3" xfId="31454" xr:uid="{3429D5D3-CE06-42D3-ABF4-2A1690C697BA}"/>
    <cellStyle name="Normal 3 2 2 2 37 2 2 2 4" xfId="31455" xr:uid="{E9871061-22E3-4BC4-884C-6571ACCF4E6D}"/>
    <cellStyle name="Normal 3 2 2 2 37 2 2 2 5" xfId="31456" xr:uid="{117AF671-7238-4EF1-A643-5EE300119DC6}"/>
    <cellStyle name="Normal 3 2 2 2 37 2 2 2 6" xfId="31457" xr:uid="{470CFC7F-4784-4AE6-ACDF-5633795CE1B4}"/>
    <cellStyle name="Normal 3 2 2 2 37 2 2 3" xfId="31458" xr:uid="{76EEB52A-F90A-4339-B232-7AEF31A7F2C2}"/>
    <cellStyle name="Normal 3 2 2 2 37 2 2 4" xfId="31459" xr:uid="{CA821501-30D3-481D-AF85-1463F89B03B1}"/>
    <cellStyle name="Normal 3 2 2 2 37 2 2 5" xfId="31460" xr:uid="{975DC1A0-CED4-4822-811F-9718D2385A12}"/>
    <cellStyle name="Normal 3 2 2 2 37 2 2 6" xfId="31461" xr:uid="{5933F2BC-9073-4357-8413-0962DBBA5A0C}"/>
    <cellStyle name="Normal 3 2 2 2 37 2 2 7" xfId="31462" xr:uid="{511A5AEA-C6FD-491C-84E3-956341A09071}"/>
    <cellStyle name="Normal 3 2 2 2 37 2 2 8" xfId="31463" xr:uid="{D1246E8A-6489-4432-AA59-5DB7E9A49AEF}"/>
    <cellStyle name="Normal 3 2 2 2 37 2 2 8 2" xfId="31464" xr:uid="{6828E701-3974-484D-B986-C467FE003D6B}"/>
    <cellStyle name="Normal 3 2 2 2 37 2 2 8 3" xfId="31465" xr:uid="{DEBCD1F2-48A9-4717-BA85-9BFF787A299D}"/>
    <cellStyle name="Normal 3 2 2 2 37 2 2 8 4" xfId="31466" xr:uid="{DEC4EB98-1A56-413E-A0AA-0188E7B4A6D6}"/>
    <cellStyle name="Normal 3 2 2 2 37 2 2 9" xfId="31467" xr:uid="{CB8AC6EC-4D8A-4F97-B2D9-D721855883F8}"/>
    <cellStyle name="Normal 3 2 2 2 37 2 3" xfId="31468" xr:uid="{E0608B9A-A7E1-449C-879A-33541953A59B}"/>
    <cellStyle name="Normal 3 2 2 2 37 2 3 2" xfId="31469" xr:uid="{0F00E82B-6FF4-48CC-A585-423041993B5D}"/>
    <cellStyle name="Normal 3 2 2 2 37 2 3 2 2" xfId="31470" xr:uid="{C3F178EA-CAAE-4CF1-BBCB-2363002769BA}"/>
    <cellStyle name="Normal 3 2 2 2 37 2 3 2 3" xfId="31471" xr:uid="{D54E86D8-DFBD-4733-936D-1EE3E7E71ABF}"/>
    <cellStyle name="Normal 3 2 2 2 37 2 3 2 4" xfId="31472" xr:uid="{6B084C5E-BC80-445F-B9E8-1ACE8730C02B}"/>
    <cellStyle name="Normal 3 2 2 2 37 2 3 3" xfId="31473" xr:uid="{8F65F972-A974-434D-8E0B-04CB3094AC32}"/>
    <cellStyle name="Normal 3 2 2 2 37 2 3 4" xfId="31474" xr:uid="{EEF87F83-49A0-475D-998C-BC2F82147803}"/>
    <cellStyle name="Normal 3 2 2 2 37 2 3 5" xfId="31475" xr:uid="{F36A2A1F-89FF-41CE-ACB0-42F8BF02813C}"/>
    <cellStyle name="Normal 3 2 2 2 37 2 3 6" xfId="31476" xr:uid="{A8038643-EA65-4409-939B-1438546F79A8}"/>
    <cellStyle name="Normal 3 2 2 2 37 2 4" xfId="31477" xr:uid="{959C1902-41B9-4CE6-AA0C-4EBEFF346FB0}"/>
    <cellStyle name="Normal 3 2 2 2 37 2 5" xfId="31478" xr:uid="{0780183A-6674-4070-9FDA-C359737A7749}"/>
    <cellStyle name="Normal 3 2 2 2 37 2 6" xfId="31479" xr:uid="{45191CCC-C5C3-470F-AF7F-6B7D5726AF91}"/>
    <cellStyle name="Normal 3 2 2 2 37 2 7" xfId="31480" xr:uid="{76EA06E2-D692-42C7-9787-531768BA4973}"/>
    <cellStyle name="Normal 3 2 2 2 37 2 8" xfId="31481" xr:uid="{67F0AB33-B035-43B7-8369-5E692D4494A7}"/>
    <cellStyle name="Normal 3 2 2 2 37 2 8 2" xfId="31482" xr:uid="{7C7FDF6F-1837-4B56-A5AA-E5882499DF13}"/>
    <cellStyle name="Normal 3 2 2 2 37 2 8 3" xfId="31483" xr:uid="{17D53094-3A06-443D-8776-F5AC4C5C592D}"/>
    <cellStyle name="Normal 3 2 2 2 37 2 8 4" xfId="31484" xr:uid="{23A63081-680E-4473-88A8-24778F1285FF}"/>
    <cellStyle name="Normal 3 2 2 2 37 2 9" xfId="31485" xr:uid="{C4A5F676-77DC-4228-83A3-EC9C96E24930}"/>
    <cellStyle name="Normal 3 2 2 2 37 3" xfId="31486" xr:uid="{1411A51B-2326-4E01-8842-F3EF1E7E2B49}"/>
    <cellStyle name="Normal 3 2 2 2 37 4" xfId="31487" xr:uid="{58E47D53-D8B9-4153-A516-72A3AC592157}"/>
    <cellStyle name="Normal 3 2 2 2 37 5" xfId="31488" xr:uid="{C0429EAB-B46C-423A-8C4B-5E9D7A4CEC42}"/>
    <cellStyle name="Normal 3 2 2 2 37 5 2" xfId="31489" xr:uid="{8E166050-2A57-4E25-8E39-B426169254B5}"/>
    <cellStyle name="Normal 3 2 2 2 37 5 2 2" xfId="31490" xr:uid="{3CF8DEF4-7F14-4041-B56A-F43B0EF11164}"/>
    <cellStyle name="Normal 3 2 2 2 37 5 2 3" xfId="31491" xr:uid="{0AAB3524-FF70-4173-81A8-B030A2697F43}"/>
    <cellStyle name="Normal 3 2 2 2 37 5 2 4" xfId="31492" xr:uid="{062FE8AB-6371-47A4-82CF-4ED415554E21}"/>
    <cellStyle name="Normal 3 2 2 2 37 5 3" xfId="31493" xr:uid="{D24034E5-1448-461D-8936-ADB9D0C687AD}"/>
    <cellStyle name="Normal 3 2 2 2 37 5 4" xfId="31494" xr:uid="{C5B2730C-5088-44C5-8531-B661922B90DE}"/>
    <cellStyle name="Normal 3 2 2 2 37 5 5" xfId="31495" xr:uid="{4E46F1B9-DCEE-4673-AB55-28C04FDD63E3}"/>
    <cellStyle name="Normal 3 2 2 2 37 5 6" xfId="31496" xr:uid="{C08AF5A0-16E0-4098-A9BB-6EF8BB26CC6C}"/>
    <cellStyle name="Normal 3 2 2 2 37 6" xfId="31497" xr:uid="{F796066B-55FF-41C2-B4AB-DB923853FF31}"/>
    <cellStyle name="Normal 3 2 2 2 37 7" xfId="31498" xr:uid="{0796D31E-C078-4C37-87BA-05735C5670C5}"/>
    <cellStyle name="Normal 3 2 2 2 37 8" xfId="31499" xr:uid="{460743BC-82F2-4190-B428-915D91E556AF}"/>
    <cellStyle name="Normal 3 2 2 2 37 9" xfId="31500" xr:uid="{500CCFA9-820B-4F01-8FFF-2CFE26D0E1E3}"/>
    <cellStyle name="Normal 3 2 2 2 38" xfId="31501" xr:uid="{A0F0DD0B-31B1-494D-ACCD-0D4B104537A3}"/>
    <cellStyle name="Normal 3 2 2 2 39" xfId="31502" xr:uid="{3BF3F7E7-D699-481C-800D-DB4C5BA09A45}"/>
    <cellStyle name="Normal 3 2 2 2 39 10" xfId="31503" xr:uid="{CF569615-B0DA-407C-ACA9-092DEE556CE1}"/>
    <cellStyle name="Normal 3 2 2 2 39 11" xfId="31504" xr:uid="{732B0884-EC01-4EA1-A2E5-77454E2D4C6C}"/>
    <cellStyle name="Normal 3 2 2 2 39 2" xfId="31505" xr:uid="{123D71E0-5405-4D1C-8EDB-D98542ACA8BC}"/>
    <cellStyle name="Normal 3 2 2 2 39 2 10" xfId="31506" xr:uid="{342E1F24-AE9C-4F8B-853E-B91C5F274713}"/>
    <cellStyle name="Normal 3 2 2 2 39 2 11" xfId="31507" xr:uid="{3A075B8D-F2B2-40DB-8040-E517686BC1F0}"/>
    <cellStyle name="Normal 3 2 2 2 39 2 2" xfId="31508" xr:uid="{EFE371DF-68DA-440E-A903-31DDACBCB57E}"/>
    <cellStyle name="Normal 3 2 2 2 39 2 2 2" xfId="31509" xr:uid="{5458BC9B-4687-4289-9A87-4C67330D8900}"/>
    <cellStyle name="Normal 3 2 2 2 39 2 2 2 2" xfId="31510" xr:uid="{E3FEBC37-8C90-467E-96FB-D8D3BAF9CAFE}"/>
    <cellStyle name="Normal 3 2 2 2 39 2 2 2 3" xfId="31511" xr:uid="{5B4032C5-EB2E-49C5-8931-F3FC365524C3}"/>
    <cellStyle name="Normal 3 2 2 2 39 2 2 2 4" xfId="31512" xr:uid="{60B5B2F2-4EB7-4F48-B86A-74D3F79150A9}"/>
    <cellStyle name="Normal 3 2 2 2 39 2 2 3" xfId="31513" xr:uid="{4117957A-0C99-4EBD-B2FB-591D653872F9}"/>
    <cellStyle name="Normal 3 2 2 2 39 2 2 4" xfId="31514" xr:uid="{DF065C38-66AC-484A-953B-BDCB187DFE74}"/>
    <cellStyle name="Normal 3 2 2 2 39 2 2 5" xfId="31515" xr:uid="{B122457E-1C94-4C5A-8343-E1AD437AE024}"/>
    <cellStyle name="Normal 3 2 2 2 39 2 2 6" xfId="31516" xr:uid="{BD3334FD-821E-4239-935E-F0D5F23444A2}"/>
    <cellStyle name="Normal 3 2 2 2 39 2 3" xfId="31517" xr:uid="{B2B0DA80-CA5C-4B0D-B9E3-9D003C805232}"/>
    <cellStyle name="Normal 3 2 2 2 39 2 4" xfId="31518" xr:uid="{CF9FE9DF-DE97-407F-B244-19574B4AC855}"/>
    <cellStyle name="Normal 3 2 2 2 39 2 5" xfId="31519" xr:uid="{787BD1AB-C65A-4AA9-9C0D-5943AE0474E9}"/>
    <cellStyle name="Normal 3 2 2 2 39 2 6" xfId="31520" xr:uid="{63DBFF29-2B4A-45A7-B707-8429409C6DAF}"/>
    <cellStyle name="Normal 3 2 2 2 39 2 7" xfId="31521" xr:uid="{574C3465-A20F-4BED-93FC-4B86C9BFF9AD}"/>
    <cellStyle name="Normal 3 2 2 2 39 2 8" xfId="31522" xr:uid="{4585CAAA-B4C4-4AEA-BCA9-751247CB750E}"/>
    <cellStyle name="Normal 3 2 2 2 39 2 8 2" xfId="31523" xr:uid="{890BC66A-307C-4411-80EC-155EC75BEA1E}"/>
    <cellStyle name="Normal 3 2 2 2 39 2 8 3" xfId="31524" xr:uid="{FAA2A187-1D39-4882-9FFA-5A04700FFA9C}"/>
    <cellStyle name="Normal 3 2 2 2 39 2 8 4" xfId="31525" xr:uid="{748BAD6B-535B-43F3-B90C-1E280D605CD1}"/>
    <cellStyle name="Normal 3 2 2 2 39 2 9" xfId="31526" xr:uid="{D983DCB2-966E-4089-8A76-DB3215E2E49D}"/>
    <cellStyle name="Normal 3 2 2 2 39 3" xfId="31527" xr:uid="{0B66D0D9-722A-4C42-94E8-900FF61A7F7C}"/>
    <cellStyle name="Normal 3 2 2 2 39 3 2" xfId="31528" xr:uid="{07AA1499-F4B3-4C98-BE41-C3843FF4D40B}"/>
    <cellStyle name="Normal 3 2 2 2 39 3 2 2" xfId="31529" xr:uid="{BC21667D-CEB6-4627-BDAC-FBBAD7AA430B}"/>
    <cellStyle name="Normal 3 2 2 2 39 3 2 3" xfId="31530" xr:uid="{80D1C1C5-4FB3-40E2-AD58-EB3A195E0FB7}"/>
    <cellStyle name="Normal 3 2 2 2 39 3 2 4" xfId="31531" xr:uid="{035DDC04-04FD-400C-B914-BC315FBEADB5}"/>
    <cellStyle name="Normal 3 2 2 2 39 3 3" xfId="31532" xr:uid="{4D4D245C-7BD1-48D2-9169-6EFF2940726F}"/>
    <cellStyle name="Normal 3 2 2 2 39 3 4" xfId="31533" xr:uid="{99DC1ACA-83E1-4D04-B744-D7F24D67C755}"/>
    <cellStyle name="Normal 3 2 2 2 39 3 5" xfId="31534" xr:uid="{545EC5A9-9653-46A8-A949-F6FB41153023}"/>
    <cellStyle name="Normal 3 2 2 2 39 3 6" xfId="31535" xr:uid="{96D9EF6E-C8CB-47A0-9E32-F61C62854CA7}"/>
    <cellStyle name="Normal 3 2 2 2 39 4" xfId="31536" xr:uid="{D5DE5E34-D202-4EC2-893A-717377311DAA}"/>
    <cellStyle name="Normal 3 2 2 2 39 5" xfId="31537" xr:uid="{A4E2100C-0C62-447B-8337-3C1606AB9922}"/>
    <cellStyle name="Normal 3 2 2 2 39 6" xfId="31538" xr:uid="{B1F8B2DC-20C8-48C7-AD79-9AC5F1C15339}"/>
    <cellStyle name="Normal 3 2 2 2 39 7" xfId="31539" xr:uid="{0B81AD32-E4EC-4EE5-8925-72C2F47A457D}"/>
    <cellStyle name="Normal 3 2 2 2 39 8" xfId="31540" xr:uid="{7EE1F2A7-E730-41B4-BCEB-0E4FC67EF6B7}"/>
    <cellStyle name="Normal 3 2 2 2 39 8 2" xfId="31541" xr:uid="{D84F064C-9356-4F3A-A4FC-0A31D36CFA8E}"/>
    <cellStyle name="Normal 3 2 2 2 39 8 3" xfId="31542" xr:uid="{F2B639A9-29B6-4178-A891-3F5DA1B6FC81}"/>
    <cellStyle name="Normal 3 2 2 2 39 8 4" xfId="31543" xr:uid="{7EA342A0-56A4-4E1B-9DE5-4046FC936A89}"/>
    <cellStyle name="Normal 3 2 2 2 39 9" xfId="31544" xr:uid="{F6F887E8-C3F8-4020-8C23-77496FD1A830}"/>
    <cellStyle name="Normal 3 2 2 2 4" xfId="31545" xr:uid="{953B6349-3641-4D4F-8077-18086070733C}"/>
    <cellStyle name="Normal 3 2 2 2 4 10" xfId="31546" xr:uid="{AE821F94-3D24-43D0-9A71-7EB14E712707}"/>
    <cellStyle name="Normal 3 2 2 2 4 11" xfId="31547" xr:uid="{6610530B-D8FE-45D2-AA8C-D4CB1A99A931}"/>
    <cellStyle name="Normal 3 2 2 2 4 2" xfId="31548" xr:uid="{04B46873-6319-4C69-BC76-9C27A5322F09}"/>
    <cellStyle name="Normal 3 2 2 2 4 2 2" xfId="31549" xr:uid="{A14A8B0B-A750-430F-B19F-78AE8940E276}"/>
    <cellStyle name="Normal 3 2 2 2 4 2 3" xfId="31550" xr:uid="{2C4F84D8-F8A0-4494-8DE4-051DDB56C27E}"/>
    <cellStyle name="Normal 3 2 2 2 4 2 4" xfId="31551" xr:uid="{46C13C80-8FB7-4C92-8AB3-030C1A67194E}"/>
    <cellStyle name="Normal 3 2 2 2 4 2 5" xfId="31552" xr:uid="{915EC9CE-6B06-4CA5-BBFB-280BE87AB35A}"/>
    <cellStyle name="Normal 3 2 2 2 4 2 6" xfId="31553" xr:uid="{ABBEBF28-E229-4949-BF7A-722D1F8651FF}"/>
    <cellStyle name="Normal 3 2 2 2 4 3" xfId="31554" xr:uid="{A34BE310-6B4F-4D64-B175-E9E9395EAE7E}"/>
    <cellStyle name="Normal 3 2 2 2 4 3 2" xfId="31555" xr:uid="{4AA3F454-1955-4B12-8F3F-73AEFBA9552A}"/>
    <cellStyle name="Normal 3 2 2 2 4 3 3" xfId="31556" xr:uid="{499E3F79-2D02-4072-B698-5F920F9A782F}"/>
    <cellStyle name="Normal 3 2 2 2 4 3 4" xfId="31557" xr:uid="{5698F022-6A22-4A3C-831D-6EEEE52095CC}"/>
    <cellStyle name="Normal 3 2 2 2 4 3 5" xfId="31558" xr:uid="{4A43381F-8246-4CE5-A9A6-280982CF804D}"/>
    <cellStyle name="Normal 3 2 2 2 4 3 6" xfId="31559" xr:uid="{E3C0DB98-8861-4343-A3D7-62CBCD3B47AD}"/>
    <cellStyle name="Normal 3 2 2 2 4 4" xfId="31560" xr:uid="{5D6018A4-5333-4DDF-89C5-B10EF032ECCF}"/>
    <cellStyle name="Normal 3 2 2 2 4 4 2" xfId="31561" xr:uid="{436FC6FE-8C90-42B2-8A25-2E7713C99A77}"/>
    <cellStyle name="Normal 3 2 2 2 4 4 3" xfId="31562" xr:uid="{0428ABDB-1410-4AB5-8DA0-D2DE343AA6F2}"/>
    <cellStyle name="Normal 3 2 2 2 4 4 4" xfId="31563" xr:uid="{88E7D8E2-DF29-4DF6-88E1-F8A157B51261}"/>
    <cellStyle name="Normal 3 2 2 2 4 4 5" xfId="31564" xr:uid="{59EE4F64-78FD-4610-9C30-654383F8F704}"/>
    <cellStyle name="Normal 3 2 2 2 4 4 6" xfId="31565" xr:uid="{FA71A8F6-815C-4E09-85FE-57B8FF2FBF74}"/>
    <cellStyle name="Normal 3 2 2 2 4 5" xfId="31566" xr:uid="{D8A27515-2BF3-4A2D-B0A9-FC919E71A7E3}"/>
    <cellStyle name="Normal 3 2 2 2 4 5 2" xfId="31567" xr:uid="{07C1DB66-092E-4468-A388-1C9EA5516F55}"/>
    <cellStyle name="Normal 3 2 2 2 4 5 3" xfId="31568" xr:uid="{022ADE77-2515-4CF4-AAC6-10E951EA078F}"/>
    <cellStyle name="Normal 3 2 2 2 4 5 4" xfId="31569" xr:uid="{04CC3F43-82CB-4EE6-82FE-2F4DD85B46C0}"/>
    <cellStyle name="Normal 3 2 2 2 4 5 5" xfId="31570" xr:uid="{AD2DAE03-3266-4BD6-9A3A-FDE8E6EA0E95}"/>
    <cellStyle name="Normal 3 2 2 2 4 5 6" xfId="31571" xr:uid="{B3BCB870-1810-48A6-A1B6-219118F1FF7B}"/>
    <cellStyle name="Normal 3 2 2 2 4 6" xfId="31572" xr:uid="{36D3F301-0C1F-434D-AA65-D0D32A03A650}"/>
    <cellStyle name="Normal 3 2 2 2 4 6 2" xfId="31573" xr:uid="{DE5BAB97-B189-4551-839A-E6442A7757D9}"/>
    <cellStyle name="Normal 3 2 2 2 4 6 3" xfId="31574" xr:uid="{91ACF2E2-A108-4D1E-9195-EAD653FF79A7}"/>
    <cellStyle name="Normal 3 2 2 2 4 6 4" xfId="31575" xr:uid="{E7F28E10-BBAD-488C-957A-20FBEEFB6023}"/>
    <cellStyle name="Normal 3 2 2 2 4 6 5" xfId="31576" xr:uid="{95529792-93AE-4F7F-A36C-0E8A367E7589}"/>
    <cellStyle name="Normal 3 2 2 2 4 6 6" xfId="31577" xr:uid="{D10F1430-C77B-4C55-8D09-AD1E69B43A1F}"/>
    <cellStyle name="Normal 3 2 2 2 4 7" xfId="31578" xr:uid="{9E57AD21-7578-4CA4-92CF-F2EDD3204D08}"/>
    <cellStyle name="Normal 3 2 2 2 4 8" xfId="31579" xr:uid="{CC9B0BBF-330C-4A44-B14D-D354728FB5C4}"/>
    <cellStyle name="Normal 3 2 2 2 4 9" xfId="31580" xr:uid="{B0E159FE-9CFC-4BAE-BA67-6C57F667D760}"/>
    <cellStyle name="Normal 3 2 2 2 40" xfId="31581" xr:uid="{58823CA6-4B69-4F0E-B39D-6CA5C5840A4C}"/>
    <cellStyle name="Normal 3 2 2 2 41" xfId="31582" xr:uid="{A4B59566-AEB7-4E0D-81A1-258F719A14E2}"/>
    <cellStyle name="Normal 3 2 2 2 41 2" xfId="31583" xr:uid="{96D03CEE-39CF-4039-84F0-1722083DDBB2}"/>
    <cellStyle name="Normal 3 2 2 2 41 2 2" xfId="31584" xr:uid="{B260AE4C-83B0-4711-AF2F-1A17D6556931}"/>
    <cellStyle name="Normal 3 2 2 2 41 2 3" xfId="31585" xr:uid="{CBD3BD49-0FA2-4FCD-89DD-831FA95F464C}"/>
    <cellStyle name="Normal 3 2 2 2 41 2 4" xfId="31586" xr:uid="{474293EE-767A-4533-BAB0-B90C7C36BFA5}"/>
    <cellStyle name="Normal 3 2 2 2 41 3" xfId="31587" xr:uid="{0A72CE87-F23B-45EF-B9F6-B3953CFFBC5C}"/>
    <cellStyle name="Normal 3 2 2 2 41 4" xfId="31588" xr:uid="{D3BE83AA-2EA4-444E-B5C2-B57CA6DB67F4}"/>
    <cellStyle name="Normal 3 2 2 2 41 5" xfId="31589" xr:uid="{C2BE336C-5A9B-424F-B619-6F4A078FF2B3}"/>
    <cellStyle name="Normal 3 2 2 2 41 6" xfId="31590" xr:uid="{F33F9EDF-E61A-456F-9F91-67B657E0E796}"/>
    <cellStyle name="Normal 3 2 2 2 42" xfId="31591" xr:uid="{C5B41187-F06B-4884-9634-07C8BED95937}"/>
    <cellStyle name="Normal 3 2 2 2 43" xfId="31592" xr:uid="{64036F1E-7951-4863-875D-995D6DCE1E02}"/>
    <cellStyle name="Normal 3 2 2 2 44" xfId="31593" xr:uid="{69B34EB2-A802-4507-A8AE-EFC682059FE9}"/>
    <cellStyle name="Normal 3 2 2 2 45" xfId="31594" xr:uid="{A6B45DAA-8B75-4F42-880A-2D9619FC921A}"/>
    <cellStyle name="Normal 3 2 2 2 46" xfId="31595" xr:uid="{42FA0EA8-019D-4B43-AD0A-664A48BFF0FA}"/>
    <cellStyle name="Normal 3 2 2 2 47" xfId="31596" xr:uid="{75284B0D-0F63-4500-A320-6F7F800C19AC}"/>
    <cellStyle name="Normal 3 2 2 2 47 2" xfId="31597" xr:uid="{F1864A6E-1D13-4236-AB77-0F4D1AF235EE}"/>
    <cellStyle name="Normal 3 2 2 2 47 3" xfId="31598" xr:uid="{68124ACE-8840-425A-BC16-BFD3E218A2E8}"/>
    <cellStyle name="Normal 3 2 2 2 47 4" xfId="31599" xr:uid="{9A59B519-C8FA-4C3F-92A1-1DFEFAC6B45B}"/>
    <cellStyle name="Normal 3 2 2 2 48" xfId="31600" xr:uid="{27ECC8EC-02B2-475E-AB70-ECDF7174439F}"/>
    <cellStyle name="Normal 3 2 2 2 49" xfId="31601" xr:uid="{0EEB5DAF-8D20-4CBE-AB80-624B0205FFBE}"/>
    <cellStyle name="Normal 3 2 2 2 5" xfId="31602" xr:uid="{84B80324-C73C-444C-B749-3ACFEF3A7AD2}"/>
    <cellStyle name="Normal 3 2 2 2 5 10" xfId="31603" xr:uid="{9C8F4A67-44FD-4747-BC38-36C6B0B22F45}"/>
    <cellStyle name="Normal 3 2 2 2 5 11" xfId="31604" xr:uid="{66917AAE-359B-49DA-B3A4-097DEF49F6ED}"/>
    <cellStyle name="Normal 3 2 2 2 5 2" xfId="31605" xr:uid="{69DA1B7B-A6C0-4850-94B7-341B3C2D886A}"/>
    <cellStyle name="Normal 3 2 2 2 5 2 2" xfId="31606" xr:uid="{7D08B507-4774-42FA-B7F7-AF888666C501}"/>
    <cellStyle name="Normal 3 2 2 2 5 2 3" xfId="31607" xr:uid="{971DC038-E2D6-4E29-BEA6-665764997B3E}"/>
    <cellStyle name="Normal 3 2 2 2 5 2 4" xfId="31608" xr:uid="{ED6A5A77-EA74-4873-859D-1257EF1D1B1C}"/>
    <cellStyle name="Normal 3 2 2 2 5 2 5" xfId="31609" xr:uid="{172C7723-44E6-4160-A50C-A1447D64BC5B}"/>
    <cellStyle name="Normal 3 2 2 2 5 2 6" xfId="31610" xr:uid="{2F625003-2DE7-4C45-B381-0D3D04E28DB9}"/>
    <cellStyle name="Normal 3 2 2 2 5 3" xfId="31611" xr:uid="{F188BCEF-8BAA-4896-A7EF-C416146B69FC}"/>
    <cellStyle name="Normal 3 2 2 2 5 3 2" xfId="31612" xr:uid="{5DE6D65D-D589-4D60-A41E-A290333D0BCD}"/>
    <cellStyle name="Normal 3 2 2 2 5 3 3" xfId="31613" xr:uid="{3AFA2730-174D-4D31-AE69-D94B61CA458D}"/>
    <cellStyle name="Normal 3 2 2 2 5 3 4" xfId="31614" xr:uid="{240C1AE3-0F92-46A0-9852-05E385FB6A77}"/>
    <cellStyle name="Normal 3 2 2 2 5 3 5" xfId="31615" xr:uid="{1D49EE00-B5A1-42B9-93DB-555E301FD000}"/>
    <cellStyle name="Normal 3 2 2 2 5 3 6" xfId="31616" xr:uid="{3C02F1DA-5152-4461-9764-25F3AE31AF7C}"/>
    <cellStyle name="Normal 3 2 2 2 5 4" xfId="31617" xr:uid="{892DEAD2-1859-4093-BF46-E337E3F80203}"/>
    <cellStyle name="Normal 3 2 2 2 5 4 2" xfId="31618" xr:uid="{B988E928-2BB0-45FE-9D2C-0CC8009F1F9C}"/>
    <cellStyle name="Normal 3 2 2 2 5 4 3" xfId="31619" xr:uid="{A0075E03-BB61-4781-A74E-055BB6A42C7E}"/>
    <cellStyle name="Normal 3 2 2 2 5 4 4" xfId="31620" xr:uid="{8E0262FF-D250-483B-9753-67930C78DEBF}"/>
    <cellStyle name="Normal 3 2 2 2 5 4 5" xfId="31621" xr:uid="{796E8669-9F1C-48D1-9866-AA7FB48965F2}"/>
    <cellStyle name="Normal 3 2 2 2 5 4 6" xfId="31622" xr:uid="{9B255D06-9176-40F4-9D74-9F8047AA6309}"/>
    <cellStyle name="Normal 3 2 2 2 5 5" xfId="31623" xr:uid="{0887D1F5-20DD-4D2F-9305-2AD4B133FFBC}"/>
    <cellStyle name="Normal 3 2 2 2 5 5 2" xfId="31624" xr:uid="{0C72FCE8-844B-4D13-9C5F-F68C475DADF0}"/>
    <cellStyle name="Normal 3 2 2 2 5 5 3" xfId="31625" xr:uid="{3660391B-86AD-4490-B059-3871FD1CBA2A}"/>
    <cellStyle name="Normal 3 2 2 2 5 5 4" xfId="31626" xr:uid="{A89E86AC-906C-414D-86B2-8A74ADCF9F2C}"/>
    <cellStyle name="Normal 3 2 2 2 5 5 5" xfId="31627" xr:uid="{B44FCE97-7827-45E4-B9CC-402AAEB60A99}"/>
    <cellStyle name="Normal 3 2 2 2 5 5 6" xfId="31628" xr:uid="{2F41D468-0C28-460E-B5BE-8EFE44C3C6E4}"/>
    <cellStyle name="Normal 3 2 2 2 5 6" xfId="31629" xr:uid="{A70C5015-E60B-4DAB-A48F-3F16FD4EDEE0}"/>
    <cellStyle name="Normal 3 2 2 2 5 6 2" xfId="31630" xr:uid="{50D9033F-69CB-4F82-87BC-87759EB5EE34}"/>
    <cellStyle name="Normal 3 2 2 2 5 6 3" xfId="31631" xr:uid="{517C65BB-9E66-4419-8E85-EF1B4756FD4C}"/>
    <cellStyle name="Normal 3 2 2 2 5 6 4" xfId="31632" xr:uid="{3F842667-D251-4EB3-B4DD-640EFA50E999}"/>
    <cellStyle name="Normal 3 2 2 2 5 6 5" xfId="31633" xr:uid="{D5FA276E-B68C-4DE7-A35A-C7DE67A33122}"/>
    <cellStyle name="Normal 3 2 2 2 5 6 6" xfId="31634" xr:uid="{1C69BE98-B9DB-4711-B843-D3EF1AB0671E}"/>
    <cellStyle name="Normal 3 2 2 2 5 7" xfId="31635" xr:uid="{8871C99E-1315-4589-B28C-0B4F8100FBAA}"/>
    <cellStyle name="Normal 3 2 2 2 5 8" xfId="31636" xr:uid="{41EF9832-22EC-47B5-B4E3-22EAE25E303B}"/>
    <cellStyle name="Normal 3 2 2 2 5 9" xfId="31637" xr:uid="{9C3C97B8-2046-49D2-9205-D2101AE226F5}"/>
    <cellStyle name="Normal 3 2 2 2 50" xfId="31638" xr:uid="{55521FDE-5CE9-432F-9A5F-C9360EBFE4E7}"/>
    <cellStyle name="Normal 3 2 2 2 51" xfId="31639" xr:uid="{A2A3A0B5-6B49-40B9-B5B5-2CCB65298224}"/>
    <cellStyle name="Normal 3 2 2 2 52" xfId="31640" xr:uid="{CA6487A1-03EE-4CA6-9603-E0F67BF89E01}"/>
    <cellStyle name="Normal 3 2 2 2 53" xfId="31641" xr:uid="{E6CC3D84-AB82-4FE7-9CB1-01EC81D8D24B}"/>
    <cellStyle name="Normal 3 2 2 2 54" xfId="31642" xr:uid="{1B522F14-73EE-4451-90B3-5A6DE087580B}"/>
    <cellStyle name="Normal 3 2 2 2 55" xfId="31643" xr:uid="{CAD05616-8706-4150-ACA2-AC0A59E1632B}"/>
    <cellStyle name="Normal 3 2 2 2 56" xfId="31644" xr:uid="{D44FF928-FD52-4745-934C-BF78F96B9B75}"/>
    <cellStyle name="Normal 3 2 2 2 57" xfId="31645" xr:uid="{6FD42D66-BE98-475D-8757-977B6B59D09B}"/>
    <cellStyle name="Normal 3 2 2 2 58" xfId="31646" xr:uid="{E09F45B1-9DBF-4FC3-B7EC-5E2E584F92C9}"/>
    <cellStyle name="Normal 3 2 2 2 59" xfId="31647" xr:uid="{EC5F5034-9696-48A4-8419-3A2D2C81A1DB}"/>
    <cellStyle name="Normal 3 2 2 2 6" xfId="31648" xr:uid="{C3989ED0-5C25-45CD-93DC-88A9DE4785CC}"/>
    <cellStyle name="Normal 3 2 2 2 6 10" xfId="31649" xr:uid="{CEB51CC9-137A-4E54-9AB9-CDD92DDD4554}"/>
    <cellStyle name="Normal 3 2 2 2 6 11" xfId="31650" xr:uid="{227939F2-3BB7-4DC2-A396-F28B5E259D63}"/>
    <cellStyle name="Normal 3 2 2 2 6 2" xfId="31651" xr:uid="{09C22AD3-C2F1-4F05-8463-304F7EC3AAC6}"/>
    <cellStyle name="Normal 3 2 2 2 6 2 2" xfId="31652" xr:uid="{FA4D6367-013E-48F9-8788-C194943595DB}"/>
    <cellStyle name="Normal 3 2 2 2 6 2 3" xfId="31653" xr:uid="{B25E06B5-C794-4BFF-9DA9-FE7AF4E62898}"/>
    <cellStyle name="Normal 3 2 2 2 6 2 4" xfId="31654" xr:uid="{F12D5AA4-339D-49F7-BF88-0DAA58C197FD}"/>
    <cellStyle name="Normal 3 2 2 2 6 2 5" xfId="31655" xr:uid="{8F901390-596D-40E1-978E-E8696E391B5A}"/>
    <cellStyle name="Normal 3 2 2 2 6 2 6" xfId="31656" xr:uid="{7390192E-267E-49CA-9433-8D9F101ED871}"/>
    <cellStyle name="Normal 3 2 2 2 6 3" xfId="31657" xr:uid="{EF91FEA5-6824-4B0F-AD0F-992FC07E2159}"/>
    <cellStyle name="Normal 3 2 2 2 6 3 2" xfId="31658" xr:uid="{1F734DD0-2762-4530-9C86-BE5D0A554FB2}"/>
    <cellStyle name="Normal 3 2 2 2 6 3 3" xfId="31659" xr:uid="{B4B8D501-0569-46D1-82AC-D81E17E783C3}"/>
    <cellStyle name="Normal 3 2 2 2 6 3 4" xfId="31660" xr:uid="{CA024F4B-72F9-4C58-9F51-00177C2D5F22}"/>
    <cellStyle name="Normal 3 2 2 2 6 3 5" xfId="31661" xr:uid="{4C6C36EE-CCFC-4334-B37F-BC00DF56974A}"/>
    <cellStyle name="Normal 3 2 2 2 6 3 6" xfId="31662" xr:uid="{26EB8D81-682A-4889-9394-127801AB0266}"/>
    <cellStyle name="Normal 3 2 2 2 6 4" xfId="31663" xr:uid="{661F9B8A-7BDF-4A01-9436-A7F67C53871B}"/>
    <cellStyle name="Normal 3 2 2 2 6 4 2" xfId="31664" xr:uid="{364B656A-7FCA-4D06-A845-34DCC59629DC}"/>
    <cellStyle name="Normal 3 2 2 2 6 4 3" xfId="31665" xr:uid="{A318ECF3-527C-429A-8559-1A621588516C}"/>
    <cellStyle name="Normal 3 2 2 2 6 4 4" xfId="31666" xr:uid="{3FFA531E-3AEF-4177-B346-F724E3133F72}"/>
    <cellStyle name="Normal 3 2 2 2 6 4 5" xfId="31667" xr:uid="{C919B008-5335-480D-81E6-2675BF818A9C}"/>
    <cellStyle name="Normal 3 2 2 2 6 4 6" xfId="31668" xr:uid="{DD1CF301-D081-41BF-A6C1-16AF8528AE5F}"/>
    <cellStyle name="Normal 3 2 2 2 6 5" xfId="31669" xr:uid="{A4601E91-E77E-41A5-B12D-BFF0D30188BF}"/>
    <cellStyle name="Normal 3 2 2 2 6 5 2" xfId="31670" xr:uid="{03361AC9-CE5F-4042-8C78-A481AE8A5B23}"/>
    <cellStyle name="Normal 3 2 2 2 6 5 3" xfId="31671" xr:uid="{684783F0-78A7-4EC5-AC03-E9669B8C7030}"/>
    <cellStyle name="Normal 3 2 2 2 6 5 4" xfId="31672" xr:uid="{67C0126F-2181-4E3A-BFDC-E5FDBB7BD241}"/>
    <cellStyle name="Normal 3 2 2 2 6 5 5" xfId="31673" xr:uid="{5D6B4F07-A541-4A3D-8762-B3294C07EA29}"/>
    <cellStyle name="Normal 3 2 2 2 6 5 6" xfId="31674" xr:uid="{4F53D491-A04C-41BD-9AF5-A39D7F3F84FE}"/>
    <cellStyle name="Normal 3 2 2 2 6 6" xfId="31675" xr:uid="{83C02B1F-64EE-45EB-ABCD-33C2135F1BE1}"/>
    <cellStyle name="Normal 3 2 2 2 6 6 2" xfId="31676" xr:uid="{6443E180-5661-45F2-B445-5FA822DC0E33}"/>
    <cellStyle name="Normal 3 2 2 2 6 6 3" xfId="31677" xr:uid="{7658AFE7-C52D-4764-8647-D00023985F6C}"/>
    <cellStyle name="Normal 3 2 2 2 6 6 4" xfId="31678" xr:uid="{D41223A3-C600-46EF-9705-15036EEC2387}"/>
    <cellStyle name="Normal 3 2 2 2 6 6 5" xfId="31679" xr:uid="{1CCDA38D-B5FA-4C31-BE33-1E508A3E84C3}"/>
    <cellStyle name="Normal 3 2 2 2 6 6 6" xfId="31680" xr:uid="{1869FE03-6626-470F-BE50-47E9E5F82CE9}"/>
    <cellStyle name="Normal 3 2 2 2 6 7" xfId="31681" xr:uid="{7486C3BB-1452-496F-9E3B-CAD7C275EDF4}"/>
    <cellStyle name="Normal 3 2 2 2 6 8" xfId="31682" xr:uid="{10D7D1E6-96AD-4380-87EB-765C266C8751}"/>
    <cellStyle name="Normal 3 2 2 2 6 9" xfId="31683" xr:uid="{FA9B08E0-7313-4DF2-8B3E-2A79CB7BA739}"/>
    <cellStyle name="Normal 3 2 2 2 60" xfId="31684" xr:uid="{C030CF3B-A646-4393-AA50-92961144860D}"/>
    <cellStyle name="Normal 3 2 2 2 61" xfId="31685" xr:uid="{1D028C2B-F95A-4C5E-845D-0B2C0C4B2ACC}"/>
    <cellStyle name="Normal 3 2 2 2 62" xfId="31686" xr:uid="{4DAA0B64-3786-4B70-B644-37010C575C36}"/>
    <cellStyle name="Normal 3 2 2 2 62 2" xfId="31687" xr:uid="{25351474-BE58-4A43-A583-DAAF13D4C822}"/>
    <cellStyle name="Normal 3 2 2 2 62 3" xfId="31688" xr:uid="{C3BAF517-D424-4F74-A344-E21343DA9F0D}"/>
    <cellStyle name="Normal 3 2 2 2 62 4" xfId="31689" xr:uid="{C29BC522-2A08-446B-83C0-55B010769A1D}"/>
    <cellStyle name="Normal 3 2 2 2 62 5" xfId="31690" xr:uid="{86794499-D8F3-4CD0-84C5-B10C8CAD99CC}"/>
    <cellStyle name="Normal 3 2 2 2 62 6" xfId="31691" xr:uid="{33EAED26-0216-4855-BA11-D82FFF86E6AC}"/>
    <cellStyle name="Normal 3 2 2 2 62 7" xfId="31692" xr:uid="{257DD8BB-2362-4F51-BE2A-17EBC5C67B27}"/>
    <cellStyle name="Normal 3 2 2 2 63" xfId="31693" xr:uid="{16094255-CDC9-4478-ACCE-A3613C941081}"/>
    <cellStyle name="Normal 3 2 2 2 64" xfId="31694" xr:uid="{40CCA848-A414-4EF0-93B1-EAC7A2931E18}"/>
    <cellStyle name="Normal 3 2 2 2 65" xfId="31695" xr:uid="{51CC2D10-3813-4E07-869C-343BA681572F}"/>
    <cellStyle name="Normal 3 2 2 2 66" xfId="31696" xr:uid="{0A5C9061-E7FC-4FE6-A140-CA013F085F44}"/>
    <cellStyle name="Normal 3 2 2 2 67" xfId="31697" xr:uid="{1B106230-046B-4B9A-BF37-7B26936533B0}"/>
    <cellStyle name="Normal 3 2 2 2 68" xfId="31698" xr:uid="{5124B0D7-0C76-488B-8E23-1D72D3026908}"/>
    <cellStyle name="Normal 3 2 2 2 69" xfId="31699" xr:uid="{E0646493-8AFC-4563-A810-00C9F8D35117}"/>
    <cellStyle name="Normal 3 2 2 2 7" xfId="31700" xr:uid="{EB5AACA6-72C7-4204-9BFE-B9F84BB22DB9}"/>
    <cellStyle name="Normal 3 2 2 2 7 10" xfId="31701" xr:uid="{7D07A59A-A0A5-4C65-9811-B1E644282596}"/>
    <cellStyle name="Normal 3 2 2 2 7 11" xfId="31702" xr:uid="{A0D1FA7C-3454-4CDF-8E27-CDEFD96E3D4D}"/>
    <cellStyle name="Normal 3 2 2 2 7 2" xfId="31703" xr:uid="{A79507FA-7F2A-44D9-A6A1-4291466FF296}"/>
    <cellStyle name="Normal 3 2 2 2 7 2 2" xfId="31704" xr:uid="{E2AD5F6D-3AB0-4A71-9A85-6FFB873652B2}"/>
    <cellStyle name="Normal 3 2 2 2 7 2 3" xfId="31705" xr:uid="{D4695A4A-3752-4EF1-98A0-9A4CE159CD86}"/>
    <cellStyle name="Normal 3 2 2 2 7 2 4" xfId="31706" xr:uid="{715840D2-D718-407F-A9E6-B5571DBE1499}"/>
    <cellStyle name="Normal 3 2 2 2 7 2 5" xfId="31707" xr:uid="{9DC87EA7-779A-4C23-B83F-5514962F8957}"/>
    <cellStyle name="Normal 3 2 2 2 7 2 6" xfId="31708" xr:uid="{21CE1DA5-4CEB-40BA-9312-C4508FA9B7C4}"/>
    <cellStyle name="Normal 3 2 2 2 7 3" xfId="31709" xr:uid="{6349C4BC-D6B7-4954-8A68-5105060EB16A}"/>
    <cellStyle name="Normal 3 2 2 2 7 3 2" xfId="31710" xr:uid="{16724B5E-6238-48C5-9FE3-533C7F84D8DE}"/>
    <cellStyle name="Normal 3 2 2 2 7 3 3" xfId="31711" xr:uid="{15B9EF92-3F34-4962-8328-EB583C0AD55F}"/>
    <cellStyle name="Normal 3 2 2 2 7 3 4" xfId="31712" xr:uid="{20978CC4-AC55-465E-BDCE-B4B342A0444B}"/>
    <cellStyle name="Normal 3 2 2 2 7 3 5" xfId="31713" xr:uid="{B196A50D-9A8D-48D5-88DB-30B15A6B0D0C}"/>
    <cellStyle name="Normal 3 2 2 2 7 3 6" xfId="31714" xr:uid="{0592DDDB-FEE7-4322-B133-9948536DF6D6}"/>
    <cellStyle name="Normal 3 2 2 2 7 4" xfId="31715" xr:uid="{C15B68F3-66BB-46F8-9AEA-94785E7465B5}"/>
    <cellStyle name="Normal 3 2 2 2 7 4 2" xfId="31716" xr:uid="{2ED092C6-CC6B-498C-9313-FB90050E0930}"/>
    <cellStyle name="Normal 3 2 2 2 7 4 3" xfId="31717" xr:uid="{96FCFE8B-B0F5-4FE4-946D-8DC2CCC9F192}"/>
    <cellStyle name="Normal 3 2 2 2 7 4 4" xfId="31718" xr:uid="{B8B6D0AD-356B-436E-957F-1F85B54FC7FC}"/>
    <cellStyle name="Normal 3 2 2 2 7 4 5" xfId="31719" xr:uid="{6B39357A-DFAE-478B-8728-5F444F178628}"/>
    <cellStyle name="Normal 3 2 2 2 7 4 6" xfId="31720" xr:uid="{A98DD8B5-A98A-406D-92AD-96E7F7D9B28F}"/>
    <cellStyle name="Normal 3 2 2 2 7 5" xfId="31721" xr:uid="{37149CD6-9AC8-4558-8CE2-E8DAFA585EC6}"/>
    <cellStyle name="Normal 3 2 2 2 7 5 2" xfId="31722" xr:uid="{1BA3B4A1-2B25-44A4-B632-5D31D331CEF8}"/>
    <cellStyle name="Normal 3 2 2 2 7 5 3" xfId="31723" xr:uid="{B0570504-9C82-4940-8E87-24639C2C3938}"/>
    <cellStyle name="Normal 3 2 2 2 7 5 4" xfId="31724" xr:uid="{DE1FC427-F583-4724-B07F-E1B4871B11BC}"/>
    <cellStyle name="Normal 3 2 2 2 7 5 5" xfId="31725" xr:uid="{5B827A46-9241-4F15-BC7E-A27339B00392}"/>
    <cellStyle name="Normal 3 2 2 2 7 5 6" xfId="31726" xr:uid="{27085CFA-46F8-4392-B9F3-DBB077D39446}"/>
    <cellStyle name="Normal 3 2 2 2 7 6" xfId="31727" xr:uid="{8AB1DC38-841D-461D-B9FA-A7EC9A269075}"/>
    <cellStyle name="Normal 3 2 2 2 7 6 2" xfId="31728" xr:uid="{F241F535-2BDE-492D-972B-6A01CCBB5052}"/>
    <cellStyle name="Normal 3 2 2 2 7 6 3" xfId="31729" xr:uid="{DF9CD692-9767-4D36-A6C6-87F25EAF7946}"/>
    <cellStyle name="Normal 3 2 2 2 7 6 4" xfId="31730" xr:uid="{EEECC98C-4551-4473-9FE3-F44455783299}"/>
    <cellStyle name="Normal 3 2 2 2 7 6 5" xfId="31731" xr:uid="{7610B29C-D161-4BC3-AD2D-87F85FEB373B}"/>
    <cellStyle name="Normal 3 2 2 2 7 6 6" xfId="31732" xr:uid="{A846BCA2-38E1-450E-89E9-0D0291B3ED57}"/>
    <cellStyle name="Normal 3 2 2 2 7 7" xfId="31733" xr:uid="{E6B42CFB-7C72-4582-8DFC-61DE48102D45}"/>
    <cellStyle name="Normal 3 2 2 2 7 8" xfId="31734" xr:uid="{2984E713-6B7B-4981-A1BF-5544F9964F77}"/>
    <cellStyle name="Normal 3 2 2 2 7 9" xfId="31735" xr:uid="{3B57E37A-9E21-46EB-807D-6242709A7F6A}"/>
    <cellStyle name="Normal 3 2 2 2 70" xfId="31736" xr:uid="{B46C8CEE-5CE0-49E6-97B0-AF049AECA525}"/>
    <cellStyle name="Normal 3 2 2 2 71" xfId="31737" xr:uid="{2157362B-5751-41F4-9FC1-82F25FC87BCD}"/>
    <cellStyle name="Normal 3 2 2 2 72" xfId="31738" xr:uid="{A6F1F60E-A808-4118-85F6-5F69A6F13076}"/>
    <cellStyle name="Normal 3 2 2 2 73" xfId="31739" xr:uid="{0BFD6D9D-BB34-4E82-BA85-4C9D366BC755}"/>
    <cellStyle name="Normal 3 2 2 2 74" xfId="31740" xr:uid="{7EA022D6-D201-4CB4-B5E0-1DFC9F8E5EB0}"/>
    <cellStyle name="Normal 3 2 2 2 75" xfId="31741" xr:uid="{841A2E0F-C2AC-4489-BF11-8675AF95C633}"/>
    <cellStyle name="Normal 3 2 2 2 76" xfId="31742" xr:uid="{335AC0CC-3F80-40C1-8CE5-4BCB35F4B182}"/>
    <cellStyle name="Normal 3 2 2 2 77" xfId="31743" xr:uid="{6161B338-45E5-4F15-9E77-32D6E0F33893}"/>
    <cellStyle name="Normal 3 2 2 2 78" xfId="31744" xr:uid="{739FF099-7546-4143-A026-03C78695D405}"/>
    <cellStyle name="Normal 3 2 2 2 79" xfId="31745" xr:uid="{2ABB7538-EFFC-42BB-AA2F-8F8D9B0BFDA1}"/>
    <cellStyle name="Normal 3 2 2 2 8" xfId="31746" xr:uid="{B19EE330-E649-45F2-AF86-CAA01B2391B8}"/>
    <cellStyle name="Normal 3 2 2 2 8 10" xfId="31747" xr:uid="{B3623BB7-E248-4D5C-967A-FEB0A9737AE4}"/>
    <cellStyle name="Normal 3 2 2 2 8 11" xfId="31748" xr:uid="{A0736FDB-085A-462F-B13F-048223BB47C5}"/>
    <cellStyle name="Normal 3 2 2 2 8 2" xfId="31749" xr:uid="{38856DA5-7EEA-41D9-A7AC-8721267119EC}"/>
    <cellStyle name="Normal 3 2 2 2 8 2 2" xfId="31750" xr:uid="{6A28E068-281C-408F-95DA-6719B4F9A814}"/>
    <cellStyle name="Normal 3 2 2 2 8 2 3" xfId="31751" xr:uid="{4480C407-C720-440C-8923-A30502746680}"/>
    <cellStyle name="Normal 3 2 2 2 8 2 4" xfId="31752" xr:uid="{D243C328-BEC3-4D4D-89EF-CC20BA340F31}"/>
    <cellStyle name="Normal 3 2 2 2 8 2 5" xfId="31753" xr:uid="{299D4321-F37E-4E39-B1BE-C1DECA7EA8E9}"/>
    <cellStyle name="Normal 3 2 2 2 8 2 6" xfId="31754" xr:uid="{015601CF-B10F-41CA-8399-123C994844CC}"/>
    <cellStyle name="Normal 3 2 2 2 8 3" xfId="31755" xr:uid="{BA6F9F11-902F-4ED5-B992-597B94AE3EDB}"/>
    <cellStyle name="Normal 3 2 2 2 8 3 2" xfId="31756" xr:uid="{12D9B7F1-204A-4858-BCCF-FCC7422FFEF7}"/>
    <cellStyle name="Normal 3 2 2 2 8 3 3" xfId="31757" xr:uid="{492B7B60-6730-472B-8E70-2CA6AF2ABCE4}"/>
    <cellStyle name="Normal 3 2 2 2 8 3 4" xfId="31758" xr:uid="{3C443417-B0A8-4BBB-B515-7A2BE1790632}"/>
    <cellStyle name="Normal 3 2 2 2 8 3 5" xfId="31759" xr:uid="{FFEA994A-5D5B-4A34-93BC-20B10D521152}"/>
    <cellStyle name="Normal 3 2 2 2 8 3 6" xfId="31760" xr:uid="{7DC5A7EB-AAD3-4809-9996-304557EAB83B}"/>
    <cellStyle name="Normal 3 2 2 2 8 4" xfId="31761" xr:uid="{E6355E95-C71B-4B0B-9E12-DC90F9513F05}"/>
    <cellStyle name="Normal 3 2 2 2 8 4 2" xfId="31762" xr:uid="{B4617140-6433-426F-96A7-1B61D399B2B0}"/>
    <cellStyle name="Normal 3 2 2 2 8 4 3" xfId="31763" xr:uid="{297EFE09-4DED-4733-9E40-16082829E131}"/>
    <cellStyle name="Normal 3 2 2 2 8 4 4" xfId="31764" xr:uid="{DC370F41-BC8E-4F77-B32E-D3E8198ECB4A}"/>
    <cellStyle name="Normal 3 2 2 2 8 4 5" xfId="31765" xr:uid="{A585116B-8B87-48CF-8877-E62E65A36808}"/>
    <cellStyle name="Normal 3 2 2 2 8 4 6" xfId="31766" xr:uid="{E69DE4EC-CF86-4BDB-9770-AB31B7C59EAB}"/>
    <cellStyle name="Normal 3 2 2 2 8 5" xfId="31767" xr:uid="{26EDF2B3-1266-462C-BA73-0DC0374CD1DA}"/>
    <cellStyle name="Normal 3 2 2 2 8 5 2" xfId="31768" xr:uid="{4A5D83FC-1CA9-4BA3-B3A2-57DDDB8B053B}"/>
    <cellStyle name="Normal 3 2 2 2 8 5 3" xfId="31769" xr:uid="{77574C6E-8529-45B8-BBDD-BF75A6E634B6}"/>
    <cellStyle name="Normal 3 2 2 2 8 5 4" xfId="31770" xr:uid="{8EEF7818-1B20-48C1-A42F-6B685C14F252}"/>
    <cellStyle name="Normal 3 2 2 2 8 5 5" xfId="31771" xr:uid="{79004D5B-7E14-4A87-A06C-ADD615CBA1B2}"/>
    <cellStyle name="Normal 3 2 2 2 8 5 6" xfId="31772" xr:uid="{71A0060C-1E0F-4957-ADFC-E016EF2F23E4}"/>
    <cellStyle name="Normal 3 2 2 2 8 6" xfId="31773" xr:uid="{8A4C97E9-23BF-4E8E-9058-4CDEAD257F3D}"/>
    <cellStyle name="Normal 3 2 2 2 8 6 2" xfId="31774" xr:uid="{0F98E4DE-1523-4AD4-B9B2-AB25A16DA6C6}"/>
    <cellStyle name="Normal 3 2 2 2 8 6 3" xfId="31775" xr:uid="{15028A87-3DEF-476C-83B5-CF025DF38780}"/>
    <cellStyle name="Normal 3 2 2 2 8 6 4" xfId="31776" xr:uid="{01AA6847-605B-489A-9229-91E3F8E93474}"/>
    <cellStyle name="Normal 3 2 2 2 8 6 5" xfId="31777" xr:uid="{B0FF9058-32C5-4658-BC38-239074ACB855}"/>
    <cellStyle name="Normal 3 2 2 2 8 6 6" xfId="31778" xr:uid="{88B027B0-E68C-425D-9E6A-F699D422899A}"/>
    <cellStyle name="Normal 3 2 2 2 8 7" xfId="31779" xr:uid="{45E0538B-5D30-40FB-890E-D09433BDCFBD}"/>
    <cellStyle name="Normal 3 2 2 2 8 8" xfId="31780" xr:uid="{E7CCC1EB-6920-4F86-B300-3FA2046776AD}"/>
    <cellStyle name="Normal 3 2 2 2 8 9" xfId="31781" xr:uid="{C7E04E59-B0A1-4E41-AA90-B34F48FF56E0}"/>
    <cellStyle name="Normal 3 2 2 2 80" xfId="31782" xr:uid="{1603DDFE-B0B4-474D-86E6-1C61C59A5960}"/>
    <cellStyle name="Normal 3 2 2 2 81" xfId="31783" xr:uid="{46EA40E5-BD18-4EF3-AA66-DEEF99718A9D}"/>
    <cellStyle name="Normal 3 2 2 2 82" xfId="31784" xr:uid="{7B371428-1265-4DB4-9EB8-B133E04680D4}"/>
    <cellStyle name="Normal 3 2 2 2 83" xfId="31785" xr:uid="{695983B9-7A27-4BD5-A6AD-1D65C7936655}"/>
    <cellStyle name="Normal 3 2 2 2 84" xfId="31786" xr:uid="{A2DDC47B-97BA-43D6-8089-15490DA195BD}"/>
    <cellStyle name="Normal 3 2 2 2 85" xfId="31787" xr:uid="{74129B72-1211-4420-A4FF-B89A6220C8B5}"/>
    <cellStyle name="Normal 3 2 2 2 86" xfId="31788" xr:uid="{F25D5F12-093B-4BA6-B620-747B3B4DBDAC}"/>
    <cellStyle name="Normal 3 2 2 2 87" xfId="31789" xr:uid="{A2651E80-B1D5-425B-AD37-F9BD6640C4FB}"/>
    <cellStyle name="Normal 3 2 2 2 88" xfId="31790" xr:uid="{3ADABE73-2ACB-48F8-BCAC-A6F5676A9C68}"/>
    <cellStyle name="Normal 3 2 2 2 89" xfId="31791" xr:uid="{83885405-C57D-4A90-B0A2-22D7407DD8FA}"/>
    <cellStyle name="Normal 3 2 2 2 9" xfId="31792" xr:uid="{D2FA0272-503B-40A5-AC80-C106832A1D97}"/>
    <cellStyle name="Normal 3 2 2 2 9 10" xfId="31793" xr:uid="{A4E6B300-3D4D-4F51-AF51-B6427AA4AE78}"/>
    <cellStyle name="Normal 3 2 2 2 9 11" xfId="31794" xr:uid="{B4A85538-D477-42B3-8E82-BAC8969C3105}"/>
    <cellStyle name="Normal 3 2 2 2 9 2" xfId="31795" xr:uid="{E8CAA4B0-92E2-4941-9920-9A5D3A057E0D}"/>
    <cellStyle name="Normal 3 2 2 2 9 2 2" xfId="31796" xr:uid="{6C96C616-E24E-4480-B77F-4B2B3DEBD8ED}"/>
    <cellStyle name="Normal 3 2 2 2 9 2 3" xfId="31797" xr:uid="{9872F22E-5E6C-41BC-B47D-87B21C3C22F4}"/>
    <cellStyle name="Normal 3 2 2 2 9 2 4" xfId="31798" xr:uid="{E4A3C28E-21C4-458A-8B04-B34B8B2628C2}"/>
    <cellStyle name="Normal 3 2 2 2 9 2 5" xfId="31799" xr:uid="{C4A4A67E-6A74-4F3C-8439-38711FAE3555}"/>
    <cellStyle name="Normal 3 2 2 2 9 2 6" xfId="31800" xr:uid="{40317824-E6EC-4211-AC56-50A44C6BE024}"/>
    <cellStyle name="Normal 3 2 2 2 9 3" xfId="31801" xr:uid="{036E0FA5-663F-4181-9914-3CED74108934}"/>
    <cellStyle name="Normal 3 2 2 2 9 3 2" xfId="31802" xr:uid="{CC8A6BAD-9BBF-41FC-9B40-18DC0553E720}"/>
    <cellStyle name="Normal 3 2 2 2 9 3 3" xfId="31803" xr:uid="{E9632B64-7DC6-4BF2-9342-54F664A9DFC1}"/>
    <cellStyle name="Normal 3 2 2 2 9 3 4" xfId="31804" xr:uid="{DB62FFAD-406C-428B-A17D-6E885A9808C3}"/>
    <cellStyle name="Normal 3 2 2 2 9 3 5" xfId="31805" xr:uid="{64B92F87-6452-4DB8-9E9D-84D2600BEB05}"/>
    <cellStyle name="Normal 3 2 2 2 9 3 6" xfId="31806" xr:uid="{773E418C-8B58-4D6C-B5A3-AE58716554E1}"/>
    <cellStyle name="Normal 3 2 2 2 9 4" xfId="31807" xr:uid="{5B8E523B-04FE-447C-B36D-8CAF11D99055}"/>
    <cellStyle name="Normal 3 2 2 2 9 4 2" xfId="31808" xr:uid="{3E0187FB-4B60-46E5-A3BA-58D40AEA5001}"/>
    <cellStyle name="Normal 3 2 2 2 9 4 3" xfId="31809" xr:uid="{31A9FF22-B82D-4DA5-B5C6-ECF7BB2E07AD}"/>
    <cellStyle name="Normal 3 2 2 2 9 4 4" xfId="31810" xr:uid="{999E0ECE-5D37-44B1-BF56-5B60399C0D99}"/>
    <cellStyle name="Normal 3 2 2 2 9 4 5" xfId="31811" xr:uid="{E4A2A2A3-8469-4D89-9DED-52982A9F90AB}"/>
    <cellStyle name="Normal 3 2 2 2 9 4 6" xfId="31812" xr:uid="{B7AF83FB-4453-4DC0-9FD5-63F002B404E1}"/>
    <cellStyle name="Normal 3 2 2 2 9 5" xfId="31813" xr:uid="{CC994BB8-F61A-45A9-914C-0E4B803ABB00}"/>
    <cellStyle name="Normal 3 2 2 2 9 5 2" xfId="31814" xr:uid="{BB2CB377-7AD8-495C-8CBE-2104A5D04B89}"/>
    <cellStyle name="Normal 3 2 2 2 9 5 3" xfId="31815" xr:uid="{8A575123-27F2-49E0-930E-428BC8A5C8F8}"/>
    <cellStyle name="Normal 3 2 2 2 9 5 4" xfId="31816" xr:uid="{08125542-C94D-418A-859C-41A5E847E1FB}"/>
    <cellStyle name="Normal 3 2 2 2 9 5 5" xfId="31817" xr:uid="{F4E69689-6C82-495D-836B-A420D1793C94}"/>
    <cellStyle name="Normal 3 2 2 2 9 5 6" xfId="31818" xr:uid="{50D20FA0-DAEE-4343-9435-D7BB080BD9AD}"/>
    <cellStyle name="Normal 3 2 2 2 9 6" xfId="31819" xr:uid="{238B6485-9FC8-4049-9EBF-DAE531424FA6}"/>
    <cellStyle name="Normal 3 2 2 2 9 6 2" xfId="31820" xr:uid="{AC7F090E-2C23-45C3-8D85-D1567DFBBD52}"/>
    <cellStyle name="Normal 3 2 2 2 9 6 3" xfId="31821" xr:uid="{D7F02168-C3CA-4C4F-ADEB-E5222752D115}"/>
    <cellStyle name="Normal 3 2 2 2 9 6 4" xfId="31822" xr:uid="{67406ACC-22FE-46A5-B113-00C4AF1DB958}"/>
    <cellStyle name="Normal 3 2 2 2 9 6 5" xfId="31823" xr:uid="{D7805F68-9CCF-4C86-80AC-0E83B5D32416}"/>
    <cellStyle name="Normal 3 2 2 2 9 6 6" xfId="31824" xr:uid="{11597AA5-84ED-44E7-AE66-6D4B9E4F5EBE}"/>
    <cellStyle name="Normal 3 2 2 2 9 7" xfId="31825" xr:uid="{9DA28EDA-13AB-4DDF-8F01-046089D50D2E}"/>
    <cellStyle name="Normal 3 2 2 2 9 8" xfId="31826" xr:uid="{CB34A71A-4C27-49A9-81C6-EC22F8162515}"/>
    <cellStyle name="Normal 3 2 2 2 9 9" xfId="31827" xr:uid="{6092BAED-AD20-48AA-8550-39FC4B7EF750}"/>
    <cellStyle name="Normal 3 2 2 2 90" xfId="31828" xr:uid="{66CD6ECB-22F5-470E-8FDB-CDCACEB39387}"/>
    <cellStyle name="Normal 3 2 2 2 91" xfId="31829" xr:uid="{670CE697-9A2F-4714-8911-07C42088175E}"/>
    <cellStyle name="Normal 3 2 2 2 92" xfId="31830" xr:uid="{06505168-4084-49B9-A435-A95C0A24910C}"/>
    <cellStyle name="Normal 3 2 2 2 93" xfId="31831" xr:uid="{FA6305CB-1E73-440D-A51C-F5CEE476281F}"/>
    <cellStyle name="Normal 3 2 2 2 94" xfId="31832" xr:uid="{19FE9FFA-1203-4B42-BFFF-006D06650E85}"/>
    <cellStyle name="Normal 3 2 2 2 94 2" xfId="31833" xr:uid="{4F3F15F4-665D-45E1-8721-BDC7FB42C914}"/>
    <cellStyle name="Normal 3 2 2 2 94 3" xfId="31834" xr:uid="{9DD9F1A8-A270-4BD3-9F44-746B88F1CCC6}"/>
    <cellStyle name="Normal 3 2 2 2 94 4" xfId="31835" xr:uid="{6B998DA3-D7EB-4809-A2BD-0ADFE680319B}"/>
    <cellStyle name="Normal 3 2 2 2 95" xfId="31836" xr:uid="{C56C5725-E977-418D-A8E7-025DCCF0C64C}"/>
    <cellStyle name="Normal 3 2 2 2 96" xfId="31837" xr:uid="{4633E16E-D40E-4C8D-90CC-EE89C080B1C1}"/>
    <cellStyle name="Normal 3 2 2 2 97" xfId="31838" xr:uid="{33CFBB23-F291-49C1-97DB-BBF2252E4701}"/>
    <cellStyle name="Normal 3 2 2 20" xfId="31839" xr:uid="{BF206460-F767-484D-8FB8-58382D786AF7}"/>
    <cellStyle name="Normal 3 2 2 21" xfId="31840" xr:uid="{662A6B2A-D15B-483D-8CE3-E75FD32F54EB}"/>
    <cellStyle name="Normal 3 2 2 22" xfId="31841" xr:uid="{27EB6394-2AA3-4457-BABA-DB59719ED345}"/>
    <cellStyle name="Normal 3 2 2 23" xfId="31842" xr:uid="{120A7B72-1ABF-4D7C-A99D-0F93355F18BD}"/>
    <cellStyle name="Normal 3 2 2 24" xfId="31843" xr:uid="{A592B2A3-863E-44BD-B8CF-1334B79BB0A7}"/>
    <cellStyle name="Normal 3 2 2 25" xfId="31844" xr:uid="{62093661-8623-44D1-B3CB-79E4305E5308}"/>
    <cellStyle name="Normal 3 2 2 26" xfId="31845" xr:uid="{5F3F55DE-4EA0-4055-9577-6DF1AF8E053E}"/>
    <cellStyle name="Normal 3 2 2 27" xfId="31846" xr:uid="{7D378B3F-B8F7-4954-A07C-65A626F7EF6B}"/>
    <cellStyle name="Normal 3 2 2 28" xfId="31847" xr:uid="{3A5A919C-7F17-42A6-964B-75999D5307BF}"/>
    <cellStyle name="Normal 3 2 2 28 10" xfId="31848" xr:uid="{94CA988C-2944-43C1-9F66-C42BC68F1405}"/>
    <cellStyle name="Normal 3 2 2 28 11" xfId="31849" xr:uid="{E0C39B53-979A-4EFE-8CD5-A094D7E045EB}"/>
    <cellStyle name="Normal 3 2 2 28 11 10" xfId="31850" xr:uid="{7922B13B-BA6C-4F15-8754-41194DEF9612}"/>
    <cellStyle name="Normal 3 2 2 28 11 11" xfId="31851" xr:uid="{35AD4502-FD0B-4835-A0C6-D1A1BF68E099}"/>
    <cellStyle name="Normal 3 2 2 28 11 11 2" xfId="31852" xr:uid="{2B3E7079-6933-49F0-A677-03282B79D8FC}"/>
    <cellStyle name="Normal 3 2 2 28 11 11 3" xfId="31853" xr:uid="{2E777B0A-D428-48BC-BC91-81FF4D7CAEA5}"/>
    <cellStyle name="Normal 3 2 2 28 11 11 4" xfId="31854" xr:uid="{69E18E69-403F-4A2D-A257-16380B9C0790}"/>
    <cellStyle name="Normal 3 2 2 28 11 12" xfId="31855" xr:uid="{7858272C-A7E0-4E62-A65B-EFB015582815}"/>
    <cellStyle name="Normal 3 2 2 28 11 13" xfId="31856" xr:uid="{6144EF00-023B-4674-AB07-A4341D9EF11A}"/>
    <cellStyle name="Normal 3 2 2 28 11 14" xfId="31857" xr:uid="{31AB7322-C4FA-4274-B3CE-892EC8AB936C}"/>
    <cellStyle name="Normal 3 2 2 28 11 2" xfId="31858" xr:uid="{ECDB03E9-01DE-43F0-9D0B-0BCAB9F89FE3}"/>
    <cellStyle name="Normal 3 2 2 28 11 2 10" xfId="31859" xr:uid="{926AF509-101F-4830-8410-21AD73C70248}"/>
    <cellStyle name="Normal 3 2 2 28 11 2 11" xfId="31860" xr:uid="{C52F5DEC-DCFD-4260-ACA6-E5601D01CED6}"/>
    <cellStyle name="Normal 3 2 2 28 11 2 2" xfId="31861" xr:uid="{6CC20319-B618-4218-8931-85B614C4AAF0}"/>
    <cellStyle name="Normal 3 2 2 28 11 2 2 10" xfId="31862" xr:uid="{1DF3ABAB-177E-46BF-BB47-22DA42DF63D9}"/>
    <cellStyle name="Normal 3 2 2 28 11 2 2 11" xfId="31863" xr:uid="{040C5F50-E91C-411E-BA55-65474D466D52}"/>
    <cellStyle name="Normal 3 2 2 28 11 2 2 2" xfId="31864" xr:uid="{197DFCC8-4133-439B-B170-B95EB080298C}"/>
    <cellStyle name="Normal 3 2 2 28 11 2 2 2 2" xfId="31865" xr:uid="{3F5C9BB0-E38F-44D1-93E2-C52EA23E878C}"/>
    <cellStyle name="Normal 3 2 2 28 11 2 2 2 2 2" xfId="31866" xr:uid="{84BFB5AF-6F33-46EE-AD45-D1C401B6157A}"/>
    <cellStyle name="Normal 3 2 2 28 11 2 2 2 2 3" xfId="31867" xr:uid="{03F5AA92-2DEC-412B-A79A-534C7E2E0E64}"/>
    <cellStyle name="Normal 3 2 2 28 11 2 2 2 2 4" xfId="31868" xr:uid="{B26F7840-86F1-470F-8CD9-93629DC7D75B}"/>
    <cellStyle name="Normal 3 2 2 28 11 2 2 2 3" xfId="31869" xr:uid="{41E19571-379E-4B22-9CEB-CCBE8280AA26}"/>
    <cellStyle name="Normal 3 2 2 28 11 2 2 2 4" xfId="31870" xr:uid="{F50139B4-978D-42D5-8FF0-35E58062411B}"/>
    <cellStyle name="Normal 3 2 2 28 11 2 2 2 5" xfId="31871" xr:uid="{83F276D5-B5FB-47AF-9365-5C395A2BD2C9}"/>
    <cellStyle name="Normal 3 2 2 28 11 2 2 2 6" xfId="31872" xr:uid="{222A38A6-5AD6-45A1-8A77-1A70F1127A3F}"/>
    <cellStyle name="Normal 3 2 2 28 11 2 2 3" xfId="31873" xr:uid="{7609FDDD-2738-4A47-BA1E-8F09703BBE70}"/>
    <cellStyle name="Normal 3 2 2 28 11 2 2 4" xfId="31874" xr:uid="{F2638076-E2E1-4D3B-B8E7-13E267E076E0}"/>
    <cellStyle name="Normal 3 2 2 28 11 2 2 5" xfId="31875" xr:uid="{26CF0FC2-8220-4567-B419-09A3C4D69EE2}"/>
    <cellStyle name="Normal 3 2 2 28 11 2 2 6" xfId="31876" xr:uid="{88E3AC5F-D452-4776-9352-B49EE05BA086}"/>
    <cellStyle name="Normal 3 2 2 28 11 2 2 7" xfId="31877" xr:uid="{DC378F1B-347E-4138-BF32-AD6D9D85ED33}"/>
    <cellStyle name="Normal 3 2 2 28 11 2 2 8" xfId="31878" xr:uid="{9E0262CE-9BD9-4FE7-9E7F-EC8EC4592105}"/>
    <cellStyle name="Normal 3 2 2 28 11 2 2 8 2" xfId="31879" xr:uid="{D7EF9F6F-CA08-4044-81BF-8AD6446BA2CE}"/>
    <cellStyle name="Normal 3 2 2 28 11 2 2 8 3" xfId="31880" xr:uid="{FF3AB79C-804A-42E6-B857-71D8136C8D44}"/>
    <cellStyle name="Normal 3 2 2 28 11 2 2 8 4" xfId="31881" xr:uid="{C712AB10-1A2E-4E11-A0C3-6C44ECE3D4FC}"/>
    <cellStyle name="Normal 3 2 2 28 11 2 2 9" xfId="31882" xr:uid="{97CF1C1F-EDC4-472D-A3AD-A463F514C75B}"/>
    <cellStyle name="Normal 3 2 2 28 11 2 3" xfId="31883" xr:uid="{BBD856FB-654A-4C3C-80E7-7192CC73B9BB}"/>
    <cellStyle name="Normal 3 2 2 28 11 2 3 2" xfId="31884" xr:uid="{F1B7390D-59B3-4BED-A1B9-5A490197668D}"/>
    <cellStyle name="Normal 3 2 2 28 11 2 3 2 2" xfId="31885" xr:uid="{15ED36D9-E0EE-46F3-8939-CE155C2943D1}"/>
    <cellStyle name="Normal 3 2 2 28 11 2 3 2 3" xfId="31886" xr:uid="{F54A7991-07A4-4DA3-AA62-2FF0FC56F401}"/>
    <cellStyle name="Normal 3 2 2 28 11 2 3 2 4" xfId="31887" xr:uid="{9C7CB2C2-8567-4240-AB88-9BAB7768DCD4}"/>
    <cellStyle name="Normal 3 2 2 28 11 2 3 3" xfId="31888" xr:uid="{484C1C1E-2C7E-4A86-817F-627AC86F5D58}"/>
    <cellStyle name="Normal 3 2 2 28 11 2 3 4" xfId="31889" xr:uid="{F45F155D-FB60-495A-ACCE-1DE1E74A3CE7}"/>
    <cellStyle name="Normal 3 2 2 28 11 2 3 5" xfId="31890" xr:uid="{E3818DBD-2C42-4038-8AEF-29923F9ADF6D}"/>
    <cellStyle name="Normal 3 2 2 28 11 2 3 6" xfId="31891" xr:uid="{953AD58C-E3A0-489F-88EE-DFCE08F6E023}"/>
    <cellStyle name="Normal 3 2 2 28 11 2 4" xfId="31892" xr:uid="{C911EDF7-738C-4BEA-92B3-049641A142F8}"/>
    <cellStyle name="Normal 3 2 2 28 11 2 5" xfId="31893" xr:uid="{2F538169-715D-4144-B4AD-F33DA29776F1}"/>
    <cellStyle name="Normal 3 2 2 28 11 2 6" xfId="31894" xr:uid="{00C60674-6A6A-4F2A-80CC-E02C6EE978EA}"/>
    <cellStyle name="Normal 3 2 2 28 11 2 7" xfId="31895" xr:uid="{CC6F96B5-8FEC-4A2C-9E4C-CE507218815D}"/>
    <cellStyle name="Normal 3 2 2 28 11 2 8" xfId="31896" xr:uid="{FD14476F-EDEE-432F-A7C6-EE62EF6EDF9B}"/>
    <cellStyle name="Normal 3 2 2 28 11 2 8 2" xfId="31897" xr:uid="{796F641E-285F-406F-A48D-D6DA450FA425}"/>
    <cellStyle name="Normal 3 2 2 28 11 2 8 3" xfId="31898" xr:uid="{06B1F45D-7932-4B45-9652-652DA6C504B4}"/>
    <cellStyle name="Normal 3 2 2 28 11 2 8 4" xfId="31899" xr:uid="{6640B64B-AE82-42E9-A28E-F9F602E0604D}"/>
    <cellStyle name="Normal 3 2 2 28 11 2 9" xfId="31900" xr:uid="{BB8959EC-7DB4-4A17-A67C-D08E7D5A7096}"/>
    <cellStyle name="Normal 3 2 2 28 11 3" xfId="31901" xr:uid="{31D9D2A6-8758-42F7-A352-A7E10F30FD32}"/>
    <cellStyle name="Normal 3 2 2 28 11 4" xfId="31902" xr:uid="{EEDEF664-C9B2-4324-93B0-FA5CF69D928F}"/>
    <cellStyle name="Normal 3 2 2 28 11 5" xfId="31903" xr:uid="{41C6F001-1BE9-45BF-9243-781BC25605B5}"/>
    <cellStyle name="Normal 3 2 2 28 11 5 2" xfId="31904" xr:uid="{B5347DC4-6681-4A15-A948-55C85716D486}"/>
    <cellStyle name="Normal 3 2 2 28 11 5 2 2" xfId="31905" xr:uid="{5734D3D2-B441-43C0-98E3-0F66AF80E227}"/>
    <cellStyle name="Normal 3 2 2 28 11 5 2 3" xfId="31906" xr:uid="{6AD981D0-46D7-47D1-812E-C9B5197D36C7}"/>
    <cellStyle name="Normal 3 2 2 28 11 5 2 4" xfId="31907" xr:uid="{DFD1CB3E-9C83-460F-B2D6-95DCCFCCEC07}"/>
    <cellStyle name="Normal 3 2 2 28 11 5 3" xfId="31908" xr:uid="{0C071BBA-14A2-4705-BAA5-FA78B2BEAE0C}"/>
    <cellStyle name="Normal 3 2 2 28 11 5 4" xfId="31909" xr:uid="{2A46859B-09BC-430F-838C-524209254297}"/>
    <cellStyle name="Normal 3 2 2 28 11 5 5" xfId="31910" xr:uid="{C1D349CA-90F6-4B2E-A6B0-F3E0769CE43C}"/>
    <cellStyle name="Normal 3 2 2 28 11 5 6" xfId="31911" xr:uid="{2C4B4C34-89D4-482B-A5FE-BEB511E8FFD4}"/>
    <cellStyle name="Normal 3 2 2 28 11 6" xfId="31912" xr:uid="{26769D5E-68F9-4D62-85A1-AFBF324922EF}"/>
    <cellStyle name="Normal 3 2 2 28 11 7" xfId="31913" xr:uid="{F618D8A1-2C05-4E84-9D58-0DF6A59E1990}"/>
    <cellStyle name="Normal 3 2 2 28 11 8" xfId="31914" xr:uid="{1620683D-6D41-4C5A-B80F-5A25B0F9395E}"/>
    <cellStyle name="Normal 3 2 2 28 11 9" xfId="31915" xr:uid="{2A830A1A-27D8-46D8-B90A-B7CAE33C3644}"/>
    <cellStyle name="Normal 3 2 2 28 12" xfId="31916" xr:uid="{C819C36D-B970-4962-9174-EDDD589BAA38}"/>
    <cellStyle name="Normal 3 2 2 28 13" xfId="31917" xr:uid="{11C88184-3EF9-47A1-B699-87BB259AB1B1}"/>
    <cellStyle name="Normal 3 2 2 28 13 10" xfId="31918" xr:uid="{1CDD8AD0-A15C-4593-A81B-8895749801DC}"/>
    <cellStyle name="Normal 3 2 2 28 13 11" xfId="31919" xr:uid="{2354D9B0-1D0A-4F3C-9698-A0C5D461A555}"/>
    <cellStyle name="Normal 3 2 2 28 13 2" xfId="31920" xr:uid="{D5ABA369-DA81-4BDD-B23B-4B9A00C2336B}"/>
    <cellStyle name="Normal 3 2 2 28 13 2 10" xfId="31921" xr:uid="{953CBF81-FDC3-49EB-A33A-F7819D60CF83}"/>
    <cellStyle name="Normal 3 2 2 28 13 2 11" xfId="31922" xr:uid="{A45E884E-8F20-4B28-AC22-B7AD675AC10A}"/>
    <cellStyle name="Normal 3 2 2 28 13 2 2" xfId="31923" xr:uid="{1CF57E34-EBF0-4E8C-8FF5-0390FE0DFC48}"/>
    <cellStyle name="Normal 3 2 2 28 13 2 2 2" xfId="31924" xr:uid="{BBA04DE2-E11A-402A-81A9-FD8F99F5F06A}"/>
    <cellStyle name="Normal 3 2 2 28 13 2 2 2 2" xfId="31925" xr:uid="{D4839649-F581-4BEC-AC5D-14964BF03EFA}"/>
    <cellStyle name="Normal 3 2 2 28 13 2 2 2 3" xfId="31926" xr:uid="{61AB6869-740F-41E1-A27D-465C498C0E79}"/>
    <cellStyle name="Normal 3 2 2 28 13 2 2 2 4" xfId="31927" xr:uid="{43BD9B02-30B1-4E61-8F30-1594CD75BFFD}"/>
    <cellStyle name="Normal 3 2 2 28 13 2 2 3" xfId="31928" xr:uid="{7AF9FA68-4230-4FD5-B5C7-A2A0912254E9}"/>
    <cellStyle name="Normal 3 2 2 28 13 2 2 4" xfId="31929" xr:uid="{831C5AC9-69D5-4B64-8595-B4D39DDAA0F0}"/>
    <cellStyle name="Normal 3 2 2 28 13 2 2 5" xfId="31930" xr:uid="{F1AFA36E-11F1-4E3D-BFEB-3DC27BCC74E1}"/>
    <cellStyle name="Normal 3 2 2 28 13 2 2 6" xfId="31931" xr:uid="{1B6FBDC9-0099-48E4-BDE9-3B922C750444}"/>
    <cellStyle name="Normal 3 2 2 28 13 2 3" xfId="31932" xr:uid="{FCE2FD1C-A97E-41F2-BD29-1FE292027E16}"/>
    <cellStyle name="Normal 3 2 2 28 13 2 4" xfId="31933" xr:uid="{6958720B-0F91-4DFD-A620-1E0EBFC4CE0D}"/>
    <cellStyle name="Normal 3 2 2 28 13 2 5" xfId="31934" xr:uid="{A62986A2-CC91-4557-B6B1-416B09F5F5D9}"/>
    <cellStyle name="Normal 3 2 2 28 13 2 6" xfId="31935" xr:uid="{43C6AE0A-6BD4-46BC-AA42-FB7ECE8261B1}"/>
    <cellStyle name="Normal 3 2 2 28 13 2 7" xfId="31936" xr:uid="{9C67828D-A201-49EA-A7A9-51A38989FCE4}"/>
    <cellStyle name="Normal 3 2 2 28 13 2 8" xfId="31937" xr:uid="{C76FD8EB-941B-48CF-AADA-D765EEB73E40}"/>
    <cellStyle name="Normal 3 2 2 28 13 2 8 2" xfId="31938" xr:uid="{523F7F09-2130-4DB6-A544-E60F9BC27490}"/>
    <cellStyle name="Normal 3 2 2 28 13 2 8 3" xfId="31939" xr:uid="{2E78B4E5-9603-402E-BD2B-375D11040D9A}"/>
    <cellStyle name="Normal 3 2 2 28 13 2 8 4" xfId="31940" xr:uid="{0E56CD95-B6F4-4917-B770-D04AC5DDB810}"/>
    <cellStyle name="Normal 3 2 2 28 13 2 9" xfId="31941" xr:uid="{D9BBEEB6-9858-4B5C-8952-7B60B7791821}"/>
    <cellStyle name="Normal 3 2 2 28 13 3" xfId="31942" xr:uid="{5B9609E9-E1E0-4BB1-B2F8-4A216DF7B486}"/>
    <cellStyle name="Normal 3 2 2 28 13 3 2" xfId="31943" xr:uid="{C3E2EC05-1D27-4DB8-B5E3-47B9E85FA7D1}"/>
    <cellStyle name="Normal 3 2 2 28 13 3 2 2" xfId="31944" xr:uid="{D24CAC72-0C3D-4B05-8B76-5114296545FE}"/>
    <cellStyle name="Normal 3 2 2 28 13 3 2 3" xfId="31945" xr:uid="{D85B6D12-9765-4A84-A5D3-B20576CEE994}"/>
    <cellStyle name="Normal 3 2 2 28 13 3 2 4" xfId="31946" xr:uid="{E787B26C-58D4-4A54-A86F-6A16C00E628A}"/>
    <cellStyle name="Normal 3 2 2 28 13 3 3" xfId="31947" xr:uid="{1512BD25-96B2-4D90-96CC-D84613F49B1E}"/>
    <cellStyle name="Normal 3 2 2 28 13 3 4" xfId="31948" xr:uid="{99430D59-45D6-49D2-A7EC-225EDA977042}"/>
    <cellStyle name="Normal 3 2 2 28 13 3 5" xfId="31949" xr:uid="{4BF0FA59-0438-4BC8-A5DB-C09AFFEF0F92}"/>
    <cellStyle name="Normal 3 2 2 28 13 3 6" xfId="31950" xr:uid="{F64A0D32-C14A-4A32-A05C-587521E184C9}"/>
    <cellStyle name="Normal 3 2 2 28 13 4" xfId="31951" xr:uid="{A4E2BA9D-5934-4E45-AD91-D2E2B5778B59}"/>
    <cellStyle name="Normal 3 2 2 28 13 5" xfId="31952" xr:uid="{28561EC2-C36B-48FD-9951-927103BE7E1E}"/>
    <cellStyle name="Normal 3 2 2 28 13 6" xfId="31953" xr:uid="{53D7A11F-B133-46B4-9474-67431510C54F}"/>
    <cellStyle name="Normal 3 2 2 28 13 7" xfId="31954" xr:uid="{A39E7285-F8F8-44C9-97C9-E189A34F1AE7}"/>
    <cellStyle name="Normal 3 2 2 28 13 8" xfId="31955" xr:uid="{E729399C-428C-44B9-9A80-BB6E1DBDDAF2}"/>
    <cellStyle name="Normal 3 2 2 28 13 8 2" xfId="31956" xr:uid="{9643650E-12BA-4CF1-BE21-F11EA555E1EE}"/>
    <cellStyle name="Normal 3 2 2 28 13 8 3" xfId="31957" xr:uid="{9347364C-380A-483C-8CE3-C5879E380747}"/>
    <cellStyle name="Normal 3 2 2 28 13 8 4" xfId="31958" xr:uid="{507E00DB-410E-40D4-AE2F-4068B14AC5CA}"/>
    <cellStyle name="Normal 3 2 2 28 13 9" xfId="31959" xr:uid="{F1D0A317-6B31-4B8E-8E85-C9498D554B51}"/>
    <cellStyle name="Normal 3 2 2 28 14" xfId="31960" xr:uid="{E1D73D86-43D0-403F-8660-CA86E64C79A3}"/>
    <cellStyle name="Normal 3 2 2 28 15" xfId="31961" xr:uid="{C875C06C-C342-4159-85C4-54A2BE39DDA1}"/>
    <cellStyle name="Normal 3 2 2 28 15 2" xfId="31962" xr:uid="{681FD12A-7364-49BC-9FC1-1C42824F7266}"/>
    <cellStyle name="Normal 3 2 2 28 15 2 2" xfId="31963" xr:uid="{EE872EA9-FCA2-4EF3-8BEB-38D75FBAC707}"/>
    <cellStyle name="Normal 3 2 2 28 15 2 3" xfId="31964" xr:uid="{21B6D18E-32C5-4B8A-B82C-A7396287FD69}"/>
    <cellStyle name="Normal 3 2 2 28 15 2 4" xfId="31965" xr:uid="{5DDCB56E-C470-4391-8101-9CD3C5457549}"/>
    <cellStyle name="Normal 3 2 2 28 15 3" xfId="31966" xr:uid="{591ABDB6-6B32-4744-B6D9-EB27E59469C9}"/>
    <cellStyle name="Normal 3 2 2 28 15 4" xfId="31967" xr:uid="{364A0796-DBE4-4B8C-83C2-ECC5E73250A6}"/>
    <cellStyle name="Normal 3 2 2 28 15 5" xfId="31968" xr:uid="{EE0F88F1-4051-4961-8C63-3B3EAEBAD354}"/>
    <cellStyle name="Normal 3 2 2 28 15 6" xfId="31969" xr:uid="{2D2C4BBC-D963-42D7-BA90-FEB8A29711D5}"/>
    <cellStyle name="Normal 3 2 2 28 16" xfId="31970" xr:uid="{5E5780DD-906D-4540-9E88-2F5B04A34A69}"/>
    <cellStyle name="Normal 3 2 2 28 17" xfId="31971" xr:uid="{1B6CC5F0-A573-4133-8BF8-1E8AFE2C31A3}"/>
    <cellStyle name="Normal 3 2 2 28 18" xfId="31972" xr:uid="{123746D3-D4C0-4403-9ACB-A24FB91F64F4}"/>
    <cellStyle name="Normal 3 2 2 28 19" xfId="31973" xr:uid="{C6C8E68C-CB6D-4EF6-9D6B-44B78B2F0F82}"/>
    <cellStyle name="Normal 3 2 2 28 2" xfId="31974" xr:uid="{4698A6F0-9CAD-4D76-A2F7-1970A9AF3C2D}"/>
    <cellStyle name="Normal 3 2 2 28 2 10" xfId="31975" xr:uid="{E7C065BB-3612-4BAA-9F23-DFA0C5EADACE}"/>
    <cellStyle name="Normal 3 2 2 28 2 11" xfId="31976" xr:uid="{CC93BC33-4187-4100-8AAE-723B778CEA5B}"/>
    <cellStyle name="Normal 3 2 2 28 2 12" xfId="31977" xr:uid="{C35A8BB5-0BFC-47E1-A355-7A23A3229B6C}"/>
    <cellStyle name="Normal 3 2 2 28 2 13" xfId="31978" xr:uid="{C0345330-405D-4A41-820E-3D1BD3065321}"/>
    <cellStyle name="Normal 3 2 2 28 2 13 2" xfId="31979" xr:uid="{41A29934-294C-41B8-9223-61CD91467945}"/>
    <cellStyle name="Normal 3 2 2 28 2 13 3" xfId="31980" xr:uid="{79E85F67-5EAD-4C42-A236-359726998D48}"/>
    <cellStyle name="Normal 3 2 2 28 2 13 4" xfId="31981" xr:uid="{BEF26EA7-652E-444A-A12B-FC45E84FC2CF}"/>
    <cellStyle name="Normal 3 2 2 28 2 14" xfId="31982" xr:uid="{2E5BD449-C9B6-4915-A4E6-7BDBB7A650FF}"/>
    <cellStyle name="Normal 3 2 2 28 2 15" xfId="31983" xr:uid="{E3EB4B65-831D-4E36-BCC1-A2F8E8F97E97}"/>
    <cellStyle name="Normal 3 2 2 28 2 16" xfId="31984" xr:uid="{02EC669B-0986-4747-BCB3-AB6D0C08F054}"/>
    <cellStyle name="Normal 3 2 2 28 2 2" xfId="31985" xr:uid="{CF32C0AE-B441-4B3D-839C-0F6C3B4E25D8}"/>
    <cellStyle name="Normal 3 2 2 28 2 2 10" xfId="31986" xr:uid="{826EF89F-2BC4-4B33-B365-D55A2A457C4C}"/>
    <cellStyle name="Normal 3 2 2 28 2 2 11" xfId="31987" xr:uid="{779B65D5-F40A-4DE6-A0BF-91A45679F8B1}"/>
    <cellStyle name="Normal 3 2 2 28 2 2 11 2" xfId="31988" xr:uid="{D93A09EA-9CD4-428A-8F94-9A42C0A7F5EA}"/>
    <cellStyle name="Normal 3 2 2 28 2 2 11 3" xfId="31989" xr:uid="{3F83D4AB-1278-4063-A440-788D384A9160}"/>
    <cellStyle name="Normal 3 2 2 28 2 2 11 4" xfId="31990" xr:uid="{824905C7-F045-4C6A-BC6B-FAAD4E240724}"/>
    <cellStyle name="Normal 3 2 2 28 2 2 12" xfId="31991" xr:uid="{3FFF26BA-8D3B-4413-8F53-7107200401A2}"/>
    <cellStyle name="Normal 3 2 2 28 2 2 13" xfId="31992" xr:uid="{33128C97-9969-4213-976C-3FE02C3A440E}"/>
    <cellStyle name="Normal 3 2 2 28 2 2 14" xfId="31993" xr:uid="{0DA557B0-3ACA-4620-BEFD-F1A45EBE5E68}"/>
    <cellStyle name="Normal 3 2 2 28 2 2 2" xfId="31994" xr:uid="{0E98E002-1A29-45AE-B32F-35934065EDB8}"/>
    <cellStyle name="Normal 3 2 2 28 2 2 2 10" xfId="31995" xr:uid="{5A052D52-131E-44E3-9053-1FE34A65F922}"/>
    <cellStyle name="Normal 3 2 2 28 2 2 2 11" xfId="31996" xr:uid="{43407FF0-75AD-426B-93C0-DD6B75FA2639}"/>
    <cellStyle name="Normal 3 2 2 28 2 2 2 2" xfId="31997" xr:uid="{E7154E9C-737D-409C-BBBB-C00D4EB24CA4}"/>
    <cellStyle name="Normal 3 2 2 28 2 2 2 2 10" xfId="31998" xr:uid="{E2B99BD5-DBAA-41B5-A4CE-C5B47F2CC889}"/>
    <cellStyle name="Normal 3 2 2 28 2 2 2 2 11" xfId="31999" xr:uid="{5123256C-36F6-49B7-B68B-7B66F9D1EB34}"/>
    <cellStyle name="Normal 3 2 2 28 2 2 2 2 2" xfId="32000" xr:uid="{62FDECA5-6027-4D2F-99B2-E339F95CD0F5}"/>
    <cellStyle name="Normal 3 2 2 28 2 2 2 2 2 2" xfId="32001" xr:uid="{32C3BA27-7292-4C2F-BFE6-A92DCC8B66C4}"/>
    <cellStyle name="Normal 3 2 2 28 2 2 2 2 2 2 2" xfId="32002" xr:uid="{93D07EF7-A57D-478F-97B8-B406FD9B9AF1}"/>
    <cellStyle name="Normal 3 2 2 28 2 2 2 2 2 2 3" xfId="32003" xr:uid="{66879459-F3BC-4D1B-835F-6DC44CF48E50}"/>
    <cellStyle name="Normal 3 2 2 28 2 2 2 2 2 2 4" xfId="32004" xr:uid="{4D5ECC69-0F18-4F87-9865-40C8B1748DB2}"/>
    <cellStyle name="Normal 3 2 2 28 2 2 2 2 2 3" xfId="32005" xr:uid="{4377BDA4-E70B-4E47-877C-CC92169B3DC2}"/>
    <cellStyle name="Normal 3 2 2 28 2 2 2 2 2 4" xfId="32006" xr:uid="{7C5B5EAE-A099-40CB-A12A-2B5BD4F19042}"/>
    <cellStyle name="Normal 3 2 2 28 2 2 2 2 2 5" xfId="32007" xr:uid="{D5050A76-A635-4FEF-A153-260FC7170DC3}"/>
    <cellStyle name="Normal 3 2 2 28 2 2 2 2 2 6" xfId="32008" xr:uid="{D3A61821-11C4-48F5-BE24-DDAD6C16EA97}"/>
    <cellStyle name="Normal 3 2 2 28 2 2 2 2 3" xfId="32009" xr:uid="{2868B4AC-568E-478C-A981-5A1D9B01D6F1}"/>
    <cellStyle name="Normal 3 2 2 28 2 2 2 2 4" xfId="32010" xr:uid="{269C610C-0D9E-4EB4-903D-7BC5503B7673}"/>
    <cellStyle name="Normal 3 2 2 28 2 2 2 2 5" xfId="32011" xr:uid="{7A9BC874-A176-435B-A7EC-DB9C69DED00D}"/>
    <cellStyle name="Normal 3 2 2 28 2 2 2 2 6" xfId="32012" xr:uid="{D2982C8A-CBE2-4820-983C-F2A21E152613}"/>
    <cellStyle name="Normal 3 2 2 28 2 2 2 2 7" xfId="32013" xr:uid="{77D908E4-AB77-4A6D-B500-7DF26388BD6B}"/>
    <cellStyle name="Normal 3 2 2 28 2 2 2 2 8" xfId="32014" xr:uid="{7025A46A-0E9C-4BD2-9EF1-D9669A6DF556}"/>
    <cellStyle name="Normal 3 2 2 28 2 2 2 2 8 2" xfId="32015" xr:uid="{43D1BA59-DF6E-4E63-BA39-72D81909DF16}"/>
    <cellStyle name="Normal 3 2 2 28 2 2 2 2 8 3" xfId="32016" xr:uid="{4716C053-BFB2-4234-A4ED-F2DB5154DC39}"/>
    <cellStyle name="Normal 3 2 2 28 2 2 2 2 8 4" xfId="32017" xr:uid="{B7FCDBE6-F37E-422B-89A0-1310D0C67E87}"/>
    <cellStyle name="Normal 3 2 2 28 2 2 2 2 9" xfId="32018" xr:uid="{D15E8303-9C2E-4775-BD46-9B5316BE8EDD}"/>
    <cellStyle name="Normal 3 2 2 28 2 2 2 3" xfId="32019" xr:uid="{6FB9FDDF-725C-47CD-ABDB-5FF42D51F310}"/>
    <cellStyle name="Normal 3 2 2 28 2 2 2 3 2" xfId="32020" xr:uid="{95423EA0-B748-4E7A-ABC3-BC29AD9F4B4C}"/>
    <cellStyle name="Normal 3 2 2 28 2 2 2 3 2 2" xfId="32021" xr:uid="{0EE1CCA1-F857-4051-A826-E17C61ED0B18}"/>
    <cellStyle name="Normal 3 2 2 28 2 2 2 3 2 3" xfId="32022" xr:uid="{D0BD8DC1-82CF-4523-9D9B-0FA4D8798A4E}"/>
    <cellStyle name="Normal 3 2 2 28 2 2 2 3 2 4" xfId="32023" xr:uid="{2CCAEF4E-C8D4-4E31-AF7C-7303D382080E}"/>
    <cellStyle name="Normal 3 2 2 28 2 2 2 3 3" xfId="32024" xr:uid="{C805B740-C45D-4037-B37A-A14D429999A8}"/>
    <cellStyle name="Normal 3 2 2 28 2 2 2 3 4" xfId="32025" xr:uid="{D40C82CD-BA75-46B8-83FC-D5BCC6D75473}"/>
    <cellStyle name="Normal 3 2 2 28 2 2 2 3 5" xfId="32026" xr:uid="{5F70D56F-318E-437C-8200-99CE66F95FA8}"/>
    <cellStyle name="Normal 3 2 2 28 2 2 2 3 6" xfId="32027" xr:uid="{801C19AD-953A-4199-A619-CED08A690BBC}"/>
    <cellStyle name="Normal 3 2 2 28 2 2 2 4" xfId="32028" xr:uid="{E90F04FC-1D81-41BB-BB96-792CBCB2D631}"/>
    <cellStyle name="Normal 3 2 2 28 2 2 2 5" xfId="32029" xr:uid="{1D05AF2D-3E3C-446F-B07B-F6124CD7E63C}"/>
    <cellStyle name="Normal 3 2 2 28 2 2 2 6" xfId="32030" xr:uid="{BE6433C0-CFB1-4345-B4CF-06DE623B165C}"/>
    <cellStyle name="Normal 3 2 2 28 2 2 2 7" xfId="32031" xr:uid="{D5A10D18-0EE2-4D48-BF90-B059BA550B34}"/>
    <cellStyle name="Normal 3 2 2 28 2 2 2 8" xfId="32032" xr:uid="{23868F3D-EE9A-4BA6-88D0-33CD40714B36}"/>
    <cellStyle name="Normal 3 2 2 28 2 2 2 8 2" xfId="32033" xr:uid="{09D25833-082C-4A5A-80A6-E1959453CFEE}"/>
    <cellStyle name="Normal 3 2 2 28 2 2 2 8 3" xfId="32034" xr:uid="{754F588C-8139-4AAE-826A-EBD8ECCD2D7F}"/>
    <cellStyle name="Normal 3 2 2 28 2 2 2 8 4" xfId="32035" xr:uid="{03CBA712-3A99-4076-8360-AF7BC89731E1}"/>
    <cellStyle name="Normal 3 2 2 28 2 2 2 9" xfId="32036" xr:uid="{9290B468-D208-4A89-A999-E7BCEFDBC2D8}"/>
    <cellStyle name="Normal 3 2 2 28 2 2 3" xfId="32037" xr:uid="{20CD55BB-1A75-4047-AD68-13B99720AE80}"/>
    <cellStyle name="Normal 3 2 2 28 2 2 4" xfId="32038" xr:uid="{D6E7FC66-3878-44AD-B754-631B2F861C1C}"/>
    <cellStyle name="Normal 3 2 2 28 2 2 5" xfId="32039" xr:uid="{0004B953-9A00-4F60-9860-537D1250719E}"/>
    <cellStyle name="Normal 3 2 2 28 2 2 5 2" xfId="32040" xr:uid="{27414CEC-88D8-42BD-B4FC-811B8D3EA80B}"/>
    <cellStyle name="Normal 3 2 2 28 2 2 5 2 2" xfId="32041" xr:uid="{A3EB86FE-B20B-4413-9580-5F1520D594AF}"/>
    <cellStyle name="Normal 3 2 2 28 2 2 5 2 3" xfId="32042" xr:uid="{E30BA799-CCFD-42B6-B56C-9586EA0AE0C8}"/>
    <cellStyle name="Normal 3 2 2 28 2 2 5 2 4" xfId="32043" xr:uid="{C06619FA-FDFB-4C48-A044-786326AE6889}"/>
    <cellStyle name="Normal 3 2 2 28 2 2 5 3" xfId="32044" xr:uid="{B53B0786-7808-448A-99C7-8D8C101A7328}"/>
    <cellStyle name="Normal 3 2 2 28 2 2 5 4" xfId="32045" xr:uid="{43BB7CFF-F6F8-4C54-80AB-33475369191C}"/>
    <cellStyle name="Normal 3 2 2 28 2 2 5 5" xfId="32046" xr:uid="{D209CCA1-E365-47DF-9609-9D45B27BACD0}"/>
    <cellStyle name="Normal 3 2 2 28 2 2 5 6" xfId="32047" xr:uid="{62C82230-66CF-4184-8F13-846F8C91D141}"/>
    <cellStyle name="Normal 3 2 2 28 2 2 6" xfId="32048" xr:uid="{5683139B-7B33-4995-A398-527611A25FC8}"/>
    <cellStyle name="Normal 3 2 2 28 2 2 7" xfId="32049" xr:uid="{4CFAF5BA-C7BF-466C-A277-06FE376F24D2}"/>
    <cellStyle name="Normal 3 2 2 28 2 2 8" xfId="32050" xr:uid="{72AE01AC-BA20-4220-A353-0DB37F7302D3}"/>
    <cellStyle name="Normal 3 2 2 28 2 2 9" xfId="32051" xr:uid="{B9F930EE-C2D4-4BB7-BB20-88FD90971D2B}"/>
    <cellStyle name="Normal 3 2 2 28 2 3" xfId="32052" xr:uid="{0ECD1911-B04B-4E43-865C-08A7A3369682}"/>
    <cellStyle name="Normal 3 2 2 28 2 4" xfId="32053" xr:uid="{FA930415-5F26-460E-AEDA-40097973E2B1}"/>
    <cellStyle name="Normal 3 2 2 28 2 5" xfId="32054" xr:uid="{AED798AE-2D9A-418D-8D7A-C90ED4DF5FC9}"/>
    <cellStyle name="Normal 3 2 2 28 2 5 10" xfId="32055" xr:uid="{8773A381-6384-40B7-97FF-FA8BA7B92BAA}"/>
    <cellStyle name="Normal 3 2 2 28 2 5 11" xfId="32056" xr:uid="{EFBABFDF-711B-476F-A82A-5E9A0311504D}"/>
    <cellStyle name="Normal 3 2 2 28 2 5 2" xfId="32057" xr:uid="{78130F92-9B81-4D6B-9762-73370ACD7F6F}"/>
    <cellStyle name="Normal 3 2 2 28 2 5 2 10" xfId="32058" xr:uid="{39255AA1-B425-4F2F-8BB6-16BD6A1B8B05}"/>
    <cellStyle name="Normal 3 2 2 28 2 5 2 11" xfId="32059" xr:uid="{C147EDEE-FF0D-46C3-9F84-E333971EC90F}"/>
    <cellStyle name="Normal 3 2 2 28 2 5 2 2" xfId="32060" xr:uid="{F20BFA50-1D6E-4AA5-9571-749A391A83A1}"/>
    <cellStyle name="Normal 3 2 2 28 2 5 2 2 2" xfId="32061" xr:uid="{87334BD6-E2FE-4E85-8BAE-4F8C69F20937}"/>
    <cellStyle name="Normal 3 2 2 28 2 5 2 2 2 2" xfId="32062" xr:uid="{19CEFD0D-FEA7-4E64-8A8D-0E7CB59BDF36}"/>
    <cellStyle name="Normal 3 2 2 28 2 5 2 2 2 3" xfId="32063" xr:uid="{FB20FEF7-761C-4923-8043-37D70138D442}"/>
    <cellStyle name="Normal 3 2 2 28 2 5 2 2 2 4" xfId="32064" xr:uid="{AA320957-7E6D-402A-B377-BADEE3F193EE}"/>
    <cellStyle name="Normal 3 2 2 28 2 5 2 2 3" xfId="32065" xr:uid="{3F4E1F55-000C-46FC-A7D0-FB228C9D119B}"/>
    <cellStyle name="Normal 3 2 2 28 2 5 2 2 4" xfId="32066" xr:uid="{A6CD4260-D332-497A-8129-BE712378050A}"/>
    <cellStyle name="Normal 3 2 2 28 2 5 2 2 5" xfId="32067" xr:uid="{ABA6FE11-6B19-4812-8101-21A13E2FAFE5}"/>
    <cellStyle name="Normal 3 2 2 28 2 5 2 2 6" xfId="32068" xr:uid="{05C3C7DC-27EB-4E5D-83E1-115CBC954204}"/>
    <cellStyle name="Normal 3 2 2 28 2 5 2 3" xfId="32069" xr:uid="{B9829ECC-8DB1-4F8B-905C-50617A5730CA}"/>
    <cellStyle name="Normal 3 2 2 28 2 5 2 4" xfId="32070" xr:uid="{D428EA39-436B-450B-A73A-A117CD929ADE}"/>
    <cellStyle name="Normal 3 2 2 28 2 5 2 5" xfId="32071" xr:uid="{808439E0-3130-49F4-814D-D9D6FC89C6FA}"/>
    <cellStyle name="Normal 3 2 2 28 2 5 2 6" xfId="32072" xr:uid="{30234D8F-58B1-4AB4-8646-FB97F6AB4551}"/>
    <cellStyle name="Normal 3 2 2 28 2 5 2 7" xfId="32073" xr:uid="{DBAF79A3-AA35-4E3C-87EB-4FB3C73E228C}"/>
    <cellStyle name="Normal 3 2 2 28 2 5 2 8" xfId="32074" xr:uid="{182E5A1E-6306-41F6-B39D-DBA6FF80E6FC}"/>
    <cellStyle name="Normal 3 2 2 28 2 5 2 8 2" xfId="32075" xr:uid="{1F4AD85B-25EC-48E9-BC6C-B74B48B8B39A}"/>
    <cellStyle name="Normal 3 2 2 28 2 5 2 8 3" xfId="32076" xr:uid="{E3D42F75-0DBF-4794-9EB5-F2A7C241D66A}"/>
    <cellStyle name="Normal 3 2 2 28 2 5 2 8 4" xfId="32077" xr:uid="{E23C726D-7852-4F5B-951D-0F5590735E4E}"/>
    <cellStyle name="Normal 3 2 2 28 2 5 2 9" xfId="32078" xr:uid="{8D661087-919A-4FC9-9C33-B5495D9BA14D}"/>
    <cellStyle name="Normal 3 2 2 28 2 5 3" xfId="32079" xr:uid="{322D72BE-A154-45E6-B7E8-C3C30E2DAE30}"/>
    <cellStyle name="Normal 3 2 2 28 2 5 3 2" xfId="32080" xr:uid="{71113122-ADB8-46EF-BB5D-B9AEA62370D5}"/>
    <cellStyle name="Normal 3 2 2 28 2 5 3 2 2" xfId="32081" xr:uid="{0E0B14BC-2C65-492C-BD85-063F9555B1A0}"/>
    <cellStyle name="Normal 3 2 2 28 2 5 3 2 3" xfId="32082" xr:uid="{2CEEFBEA-EA69-4FB7-981B-A09F27F8EE28}"/>
    <cellStyle name="Normal 3 2 2 28 2 5 3 2 4" xfId="32083" xr:uid="{56438A1E-C484-448E-A7B9-307482652E7E}"/>
    <cellStyle name="Normal 3 2 2 28 2 5 3 3" xfId="32084" xr:uid="{CC79D007-889F-47AB-8056-3170E60EAF28}"/>
    <cellStyle name="Normal 3 2 2 28 2 5 3 4" xfId="32085" xr:uid="{9823B159-76A9-450D-AC62-FEA098329DD3}"/>
    <cellStyle name="Normal 3 2 2 28 2 5 3 5" xfId="32086" xr:uid="{A473AF87-AB1C-44F2-A0D3-929F9C59440D}"/>
    <cellStyle name="Normal 3 2 2 28 2 5 3 6" xfId="32087" xr:uid="{201A0B69-8B84-4CE2-8F3C-8BC0C3B8D103}"/>
    <cellStyle name="Normal 3 2 2 28 2 5 4" xfId="32088" xr:uid="{0BB0339A-75E3-4D1D-9218-097C39DEF2FB}"/>
    <cellStyle name="Normal 3 2 2 28 2 5 5" xfId="32089" xr:uid="{C0EADD2C-69AF-44D5-9723-349F07DABFDC}"/>
    <cellStyle name="Normal 3 2 2 28 2 5 6" xfId="32090" xr:uid="{E21431E7-C5CD-4A44-8ECC-589C1E3C600A}"/>
    <cellStyle name="Normal 3 2 2 28 2 5 7" xfId="32091" xr:uid="{C6525999-0D2E-424E-B06F-C9C759EE4786}"/>
    <cellStyle name="Normal 3 2 2 28 2 5 8" xfId="32092" xr:uid="{28E5ADC1-B6EE-4508-BC55-0ED0F97800AC}"/>
    <cellStyle name="Normal 3 2 2 28 2 5 8 2" xfId="32093" xr:uid="{413D3A6C-49C4-48C4-AE04-A331185B6115}"/>
    <cellStyle name="Normal 3 2 2 28 2 5 8 3" xfId="32094" xr:uid="{A68F8CD7-B150-4CCA-9110-ACC406255B01}"/>
    <cellStyle name="Normal 3 2 2 28 2 5 8 4" xfId="32095" xr:uid="{42462E66-C8E6-4DD2-B1F5-CD1815B10D78}"/>
    <cellStyle name="Normal 3 2 2 28 2 5 9" xfId="32096" xr:uid="{11A01EE6-28D6-42A9-9776-57122D62EB44}"/>
    <cellStyle name="Normal 3 2 2 28 2 6" xfId="32097" xr:uid="{D1C69B32-75C4-4116-910D-4971598BC248}"/>
    <cellStyle name="Normal 3 2 2 28 2 7" xfId="32098" xr:uid="{E1AC4D2C-E687-4C0E-836F-7A8472DE4E8B}"/>
    <cellStyle name="Normal 3 2 2 28 2 7 2" xfId="32099" xr:uid="{07E7B800-E215-47BA-B406-FB135351A654}"/>
    <cellStyle name="Normal 3 2 2 28 2 7 2 2" xfId="32100" xr:uid="{5AA1812B-C9D7-4DEA-94D2-44C6ECE45ABD}"/>
    <cellStyle name="Normal 3 2 2 28 2 7 2 3" xfId="32101" xr:uid="{090D14E9-830C-4AF0-AD0D-8A2B6D06919E}"/>
    <cellStyle name="Normal 3 2 2 28 2 7 2 4" xfId="32102" xr:uid="{254212B2-AB97-474F-8C17-AB48A4EEB843}"/>
    <cellStyle name="Normal 3 2 2 28 2 7 3" xfId="32103" xr:uid="{E6391E9D-CF97-4E4F-950A-9C236865C5BA}"/>
    <cellStyle name="Normal 3 2 2 28 2 7 4" xfId="32104" xr:uid="{93EC806A-80CB-4482-8917-CE656BDCA05E}"/>
    <cellStyle name="Normal 3 2 2 28 2 7 5" xfId="32105" xr:uid="{C7F3F420-4DB8-4E49-83AC-11B2BFFE37B3}"/>
    <cellStyle name="Normal 3 2 2 28 2 7 6" xfId="32106" xr:uid="{87A25C62-AF10-4182-8B92-FEC572CEDDD6}"/>
    <cellStyle name="Normal 3 2 2 28 2 8" xfId="32107" xr:uid="{3F9AC661-39E9-4B35-AE2E-088B44D62622}"/>
    <cellStyle name="Normal 3 2 2 28 2 9" xfId="32108" xr:uid="{5C2FCDB6-BC7D-43F0-819A-8CE8B2E788DF}"/>
    <cellStyle name="Normal 3 2 2 28 20" xfId="32109" xr:uid="{70011804-5C5F-4C49-AF65-98ACDFE77AA2}"/>
    <cellStyle name="Normal 3 2 2 28 21" xfId="32110" xr:uid="{D468E599-B548-4F44-86F0-C748DFF79DAB}"/>
    <cellStyle name="Normal 3 2 2 28 21 2" xfId="32111" xr:uid="{EEFAE6F8-0D13-47E2-9059-DF65EC1D19D1}"/>
    <cellStyle name="Normal 3 2 2 28 21 3" xfId="32112" xr:uid="{AC34D363-B4BF-4DA2-8FD5-3E990CD5C42F}"/>
    <cellStyle name="Normal 3 2 2 28 21 4" xfId="32113" xr:uid="{25B62882-6487-49CA-8808-8DFD2FF5F8DA}"/>
    <cellStyle name="Normal 3 2 2 28 22" xfId="32114" xr:uid="{0BD957A9-29A1-4A79-95E4-074F78EAB0B4}"/>
    <cellStyle name="Normal 3 2 2 28 23" xfId="32115" xr:uid="{ABC3F726-7BA1-43BC-B269-06468AE2F6A6}"/>
    <cellStyle name="Normal 3 2 2 28 24" xfId="32116" xr:uid="{E9778430-A336-484D-A3DB-CBA4BAEE4BC3}"/>
    <cellStyle name="Normal 3 2 2 28 3" xfId="32117" xr:uid="{E0343D1A-19DA-431B-9DBC-964FF814E289}"/>
    <cellStyle name="Normal 3 2 2 28 4" xfId="32118" xr:uid="{D78C1B7F-ACE9-491B-AE7C-D181628B7B07}"/>
    <cellStyle name="Normal 3 2 2 28 5" xfId="32119" xr:uid="{1D4FA6CA-DC48-4360-A487-644DE12D4812}"/>
    <cellStyle name="Normal 3 2 2 28 6" xfId="32120" xr:uid="{8056E82D-9660-4BF6-B900-BB77E8F62FCC}"/>
    <cellStyle name="Normal 3 2 2 28 7" xfId="32121" xr:uid="{F0BB1568-FF9B-4EF1-B87C-E8D605610F70}"/>
    <cellStyle name="Normal 3 2 2 28 8" xfId="32122" xr:uid="{D2515A2B-7371-4EED-8A11-9366C388ECEB}"/>
    <cellStyle name="Normal 3 2 2 28 9" xfId="32123" xr:uid="{AA455572-10C8-4636-B97C-94C6DA5DF713}"/>
    <cellStyle name="Normal 3 2 2 29" xfId="32124" xr:uid="{F776723E-1DBD-48FD-9033-8DDD3E66E9D6}"/>
    <cellStyle name="Normal 3 2 2 29 10" xfId="32125" xr:uid="{8859C042-A2D3-401F-8435-E812216CFDA3}"/>
    <cellStyle name="Normal 3 2 2 29 11" xfId="32126" xr:uid="{8D27D79C-09D7-4A2D-9E58-53A1A03AC57D}"/>
    <cellStyle name="Normal 3 2 2 29 12" xfId="32127" xr:uid="{A54D06CA-DB5E-4F9E-88B5-0E6C3D04567F}"/>
    <cellStyle name="Normal 3 2 2 29 13" xfId="32128" xr:uid="{0BDEBFAB-6592-4D14-AEFD-61A4E4F80477}"/>
    <cellStyle name="Normal 3 2 2 29 13 2" xfId="32129" xr:uid="{362084A7-7A18-4433-9AF4-9720679443FC}"/>
    <cellStyle name="Normal 3 2 2 29 13 3" xfId="32130" xr:uid="{89C4B2C0-EEC0-4EAC-8D4B-9205DE010D7F}"/>
    <cellStyle name="Normal 3 2 2 29 13 4" xfId="32131" xr:uid="{5CB990CA-00CA-4F62-B2E5-54CF745A33E9}"/>
    <cellStyle name="Normal 3 2 2 29 14" xfId="32132" xr:uid="{F39FE598-97E2-439F-81F3-AB3FC3CC66DB}"/>
    <cellStyle name="Normal 3 2 2 29 15" xfId="32133" xr:uid="{7405F0CF-402F-42C7-8E30-EDB94C71EAD5}"/>
    <cellStyle name="Normal 3 2 2 29 16" xfId="32134" xr:uid="{78A4C556-A77A-4377-9D56-26235CE0EC11}"/>
    <cellStyle name="Normal 3 2 2 29 2" xfId="32135" xr:uid="{514B60D2-353C-4C96-AE1F-957D4927B357}"/>
    <cellStyle name="Normal 3 2 2 29 2 10" xfId="32136" xr:uid="{AE7496A2-D0FA-4D91-846E-5145BEC18464}"/>
    <cellStyle name="Normal 3 2 2 29 2 11" xfId="32137" xr:uid="{40AC0AD9-382E-48CC-AB11-8D08AC116A49}"/>
    <cellStyle name="Normal 3 2 2 29 2 11 2" xfId="32138" xr:uid="{6572B567-F2CB-4D9E-B59F-8FA97BAC3259}"/>
    <cellStyle name="Normal 3 2 2 29 2 11 3" xfId="32139" xr:uid="{C94611B7-F175-42A1-9F67-013B1BEB509B}"/>
    <cellStyle name="Normal 3 2 2 29 2 11 4" xfId="32140" xr:uid="{1A951196-EF43-4735-A4A8-38F72B2295B9}"/>
    <cellStyle name="Normal 3 2 2 29 2 12" xfId="32141" xr:uid="{A71E7ED7-CE2A-4CFB-8446-B57ACDFA2603}"/>
    <cellStyle name="Normal 3 2 2 29 2 13" xfId="32142" xr:uid="{06D06485-394D-4B39-B9F9-6A21B673E077}"/>
    <cellStyle name="Normal 3 2 2 29 2 14" xfId="32143" xr:uid="{8757C00E-89DB-4E46-8081-68A31E550DDD}"/>
    <cellStyle name="Normal 3 2 2 29 2 2" xfId="32144" xr:uid="{85F8F1A1-D9BF-4DEC-BA52-0890016BDDF8}"/>
    <cellStyle name="Normal 3 2 2 29 2 2 10" xfId="32145" xr:uid="{3B4A65BB-E9A6-4FEE-BF2F-EEA2E5F7A4A1}"/>
    <cellStyle name="Normal 3 2 2 29 2 2 11" xfId="32146" xr:uid="{EDF1A9A8-4AF6-4C81-BBDE-AA0A2664BA44}"/>
    <cellStyle name="Normal 3 2 2 29 2 2 2" xfId="32147" xr:uid="{ACC60E59-DF6B-4760-8864-6547CD6F1F1F}"/>
    <cellStyle name="Normal 3 2 2 29 2 2 2 10" xfId="32148" xr:uid="{28AC2048-F6AA-4C28-A196-CD067127AE05}"/>
    <cellStyle name="Normal 3 2 2 29 2 2 2 11" xfId="32149" xr:uid="{0322D8A2-6562-4683-A2EC-BD15F6F73B87}"/>
    <cellStyle name="Normal 3 2 2 29 2 2 2 2" xfId="32150" xr:uid="{4CCAE69F-785B-4D5F-A239-5A52F898D9D8}"/>
    <cellStyle name="Normal 3 2 2 29 2 2 2 2 2" xfId="32151" xr:uid="{6E0095A1-4746-4037-8C76-4BE54B993DE8}"/>
    <cellStyle name="Normal 3 2 2 29 2 2 2 2 2 2" xfId="32152" xr:uid="{A17ECC23-4397-4456-8259-D4A7AAB437F0}"/>
    <cellStyle name="Normal 3 2 2 29 2 2 2 2 2 3" xfId="32153" xr:uid="{B0B582ED-2492-4849-A1EA-50A2B26665B6}"/>
    <cellStyle name="Normal 3 2 2 29 2 2 2 2 2 4" xfId="32154" xr:uid="{85819359-4E9F-4C43-8EDC-0294B5B48076}"/>
    <cellStyle name="Normal 3 2 2 29 2 2 2 2 3" xfId="32155" xr:uid="{992F1706-ECDA-4CEC-BE3A-C86E43936F8E}"/>
    <cellStyle name="Normal 3 2 2 29 2 2 2 2 4" xfId="32156" xr:uid="{1F458F68-BA12-480A-A343-052FD9C27417}"/>
    <cellStyle name="Normal 3 2 2 29 2 2 2 2 5" xfId="32157" xr:uid="{15464678-0513-4C54-9E6A-0AB7C84A7D5D}"/>
    <cellStyle name="Normal 3 2 2 29 2 2 2 2 6" xfId="32158" xr:uid="{2E0D8C9D-2171-43B5-915E-6657F1E2E2C0}"/>
    <cellStyle name="Normal 3 2 2 29 2 2 2 3" xfId="32159" xr:uid="{AD0004F9-6685-42EB-9449-6D4F3AA84EAB}"/>
    <cellStyle name="Normal 3 2 2 29 2 2 2 4" xfId="32160" xr:uid="{91BD097A-E220-4029-B750-35C0D55E9266}"/>
    <cellStyle name="Normal 3 2 2 29 2 2 2 5" xfId="32161" xr:uid="{58FFF665-5F6A-401B-AF93-4F64CEC13B20}"/>
    <cellStyle name="Normal 3 2 2 29 2 2 2 6" xfId="32162" xr:uid="{757616C8-FAC8-45F6-98B8-06E11FB36F40}"/>
    <cellStyle name="Normal 3 2 2 29 2 2 2 7" xfId="32163" xr:uid="{A080B351-5F50-4D48-9ECD-FB823EC5F281}"/>
    <cellStyle name="Normal 3 2 2 29 2 2 2 8" xfId="32164" xr:uid="{46FD60BD-4CE0-48F4-A7C1-4EAC840AD74F}"/>
    <cellStyle name="Normal 3 2 2 29 2 2 2 8 2" xfId="32165" xr:uid="{30A74AC0-F2AA-4C6B-90B7-A319DC010904}"/>
    <cellStyle name="Normal 3 2 2 29 2 2 2 8 3" xfId="32166" xr:uid="{1539ECB9-C980-4826-9944-2DD72818D468}"/>
    <cellStyle name="Normal 3 2 2 29 2 2 2 8 4" xfId="32167" xr:uid="{234419C0-5515-4647-818E-16E3A106DD3F}"/>
    <cellStyle name="Normal 3 2 2 29 2 2 2 9" xfId="32168" xr:uid="{E3B01948-CDB8-4045-AE69-17783E588637}"/>
    <cellStyle name="Normal 3 2 2 29 2 2 3" xfId="32169" xr:uid="{6FBCA540-7D46-4245-97E2-D5A20DC8429B}"/>
    <cellStyle name="Normal 3 2 2 29 2 2 3 2" xfId="32170" xr:uid="{E6E56B42-CA38-4434-8878-E10C49BBCA01}"/>
    <cellStyle name="Normal 3 2 2 29 2 2 3 2 2" xfId="32171" xr:uid="{8EE210D6-76A8-462A-A75A-5699BDEE3592}"/>
    <cellStyle name="Normal 3 2 2 29 2 2 3 2 3" xfId="32172" xr:uid="{EA2EB51E-731B-47BA-A340-39FDC4667A41}"/>
    <cellStyle name="Normal 3 2 2 29 2 2 3 2 4" xfId="32173" xr:uid="{A82D6DB6-40BF-4EB6-912F-BBBBA303787F}"/>
    <cellStyle name="Normal 3 2 2 29 2 2 3 3" xfId="32174" xr:uid="{54C020E8-5A67-4896-BBFC-40190BDE6DA1}"/>
    <cellStyle name="Normal 3 2 2 29 2 2 3 4" xfId="32175" xr:uid="{149161EE-1546-4891-A5E0-B6901A0378FC}"/>
    <cellStyle name="Normal 3 2 2 29 2 2 3 5" xfId="32176" xr:uid="{9DD471EB-BD82-4D2E-B1E9-83C01E1BBB4A}"/>
    <cellStyle name="Normal 3 2 2 29 2 2 3 6" xfId="32177" xr:uid="{ADC65511-F15A-4050-AE91-4F31727B5508}"/>
    <cellStyle name="Normal 3 2 2 29 2 2 4" xfId="32178" xr:uid="{E42E78C5-767D-4550-951F-6E9624409C88}"/>
    <cellStyle name="Normal 3 2 2 29 2 2 5" xfId="32179" xr:uid="{939C0FA7-A2AA-4372-9FF9-59EDD2144D8B}"/>
    <cellStyle name="Normal 3 2 2 29 2 2 6" xfId="32180" xr:uid="{8D2B7CD0-88E1-4840-82B1-76DE1F80F08F}"/>
    <cellStyle name="Normal 3 2 2 29 2 2 7" xfId="32181" xr:uid="{772B27FB-3992-46DE-96B1-3FB86A41CC1E}"/>
    <cellStyle name="Normal 3 2 2 29 2 2 8" xfId="32182" xr:uid="{951BB0C9-F79C-4BBC-8673-41BA1DEADD2D}"/>
    <cellStyle name="Normal 3 2 2 29 2 2 8 2" xfId="32183" xr:uid="{7BFB27C9-E142-4BD3-A4F2-770900B64A65}"/>
    <cellStyle name="Normal 3 2 2 29 2 2 8 3" xfId="32184" xr:uid="{98D292AD-3224-40E3-9E2C-8F4D8EE8CB39}"/>
    <cellStyle name="Normal 3 2 2 29 2 2 8 4" xfId="32185" xr:uid="{534B6DC2-203F-45BB-B840-EF9960200DF5}"/>
    <cellStyle name="Normal 3 2 2 29 2 2 9" xfId="32186" xr:uid="{D5184D6D-3A5D-45D8-930B-ED62941E2716}"/>
    <cellStyle name="Normal 3 2 2 29 2 3" xfId="32187" xr:uid="{36637B2E-897A-4B61-A78B-B99D212633BD}"/>
    <cellStyle name="Normal 3 2 2 29 2 4" xfId="32188" xr:uid="{69D5F11E-FC66-4EC4-A1B3-9F8BD48BF968}"/>
    <cellStyle name="Normal 3 2 2 29 2 5" xfId="32189" xr:uid="{A500A4D5-AAFF-4FA6-9984-BBF51E43C8BB}"/>
    <cellStyle name="Normal 3 2 2 29 2 5 2" xfId="32190" xr:uid="{72DE8922-49EF-4F6C-997F-A13177A19219}"/>
    <cellStyle name="Normal 3 2 2 29 2 5 2 2" xfId="32191" xr:uid="{DDCE6784-3CC5-497F-9231-E17E44DE5107}"/>
    <cellStyle name="Normal 3 2 2 29 2 5 2 3" xfId="32192" xr:uid="{ABD6A9DA-8D41-471B-8C47-C79603B61816}"/>
    <cellStyle name="Normal 3 2 2 29 2 5 2 4" xfId="32193" xr:uid="{DA3B4AC1-1458-42F9-80A3-79727B15010E}"/>
    <cellStyle name="Normal 3 2 2 29 2 5 3" xfId="32194" xr:uid="{4ED84B08-09CD-4558-80A5-8FDD2DD9DE3C}"/>
    <cellStyle name="Normal 3 2 2 29 2 5 4" xfId="32195" xr:uid="{CC43C0F6-2790-4EFF-98C3-06BAF2908429}"/>
    <cellStyle name="Normal 3 2 2 29 2 5 5" xfId="32196" xr:uid="{C88EA444-96B7-45B7-9419-241CC167F348}"/>
    <cellStyle name="Normal 3 2 2 29 2 5 6" xfId="32197" xr:uid="{1228D85E-6373-4636-A5A7-E133CBF7EC5E}"/>
    <cellStyle name="Normal 3 2 2 29 2 6" xfId="32198" xr:uid="{A1AEB3FE-4EE1-422C-A652-BFFFC161D412}"/>
    <cellStyle name="Normal 3 2 2 29 2 7" xfId="32199" xr:uid="{3D7249D0-8DB6-4261-9F92-5B5D0EB0220A}"/>
    <cellStyle name="Normal 3 2 2 29 2 8" xfId="32200" xr:uid="{DE0D6F2F-452F-4603-99E7-4DFCE0A4A3A2}"/>
    <cellStyle name="Normal 3 2 2 29 2 9" xfId="32201" xr:uid="{747D4FD6-106B-48AA-8F9C-C235E29AE4FA}"/>
    <cellStyle name="Normal 3 2 2 29 3" xfId="32202" xr:uid="{A4BAB799-DB17-4D87-B62D-A498395CC7C0}"/>
    <cellStyle name="Normal 3 2 2 29 4" xfId="32203" xr:uid="{5D25E0FC-4667-4FBE-A55F-74568A9F0108}"/>
    <cellStyle name="Normal 3 2 2 29 5" xfId="32204" xr:uid="{E0E19A63-1F74-4F19-A1F3-4BADC9670F66}"/>
    <cellStyle name="Normal 3 2 2 29 5 10" xfId="32205" xr:uid="{5F2B014A-0EB8-4A9F-8B93-06028072FEF3}"/>
    <cellStyle name="Normal 3 2 2 29 5 11" xfId="32206" xr:uid="{BE7CCBD4-4030-42CF-929F-90A439A260A4}"/>
    <cellStyle name="Normal 3 2 2 29 5 2" xfId="32207" xr:uid="{C75C123A-088D-4267-A32B-86D85F1D2724}"/>
    <cellStyle name="Normal 3 2 2 29 5 2 10" xfId="32208" xr:uid="{B2A95016-7922-4038-9F21-CE7B04566E21}"/>
    <cellStyle name="Normal 3 2 2 29 5 2 11" xfId="32209" xr:uid="{3AFABB2E-F484-4CE0-887F-E94A7D684691}"/>
    <cellStyle name="Normal 3 2 2 29 5 2 2" xfId="32210" xr:uid="{D92F5D8F-6895-46F8-BA5B-15E49D9E4830}"/>
    <cellStyle name="Normal 3 2 2 29 5 2 2 2" xfId="32211" xr:uid="{B013ED4C-8586-4C7D-A4C1-1999D80B2B99}"/>
    <cellStyle name="Normal 3 2 2 29 5 2 2 2 2" xfId="32212" xr:uid="{69476002-EF35-4EDF-ABFC-A275ADEECD7A}"/>
    <cellStyle name="Normal 3 2 2 29 5 2 2 2 3" xfId="32213" xr:uid="{B1F66EC4-FBC4-413B-B58E-3AB02E3CABE1}"/>
    <cellStyle name="Normal 3 2 2 29 5 2 2 2 4" xfId="32214" xr:uid="{A12D0FCF-0B96-4943-85F9-A3C029863AEB}"/>
    <cellStyle name="Normal 3 2 2 29 5 2 2 3" xfId="32215" xr:uid="{000901DD-9A39-4ECE-975D-E965BF8EB0AB}"/>
    <cellStyle name="Normal 3 2 2 29 5 2 2 4" xfId="32216" xr:uid="{0BD89684-D52F-4569-A006-E2755F05F450}"/>
    <cellStyle name="Normal 3 2 2 29 5 2 2 5" xfId="32217" xr:uid="{93556D0E-E151-4ACE-BE5A-2EAC8CDB6269}"/>
    <cellStyle name="Normal 3 2 2 29 5 2 2 6" xfId="32218" xr:uid="{4FCCDD54-0857-454E-982D-EAAB33E4D278}"/>
    <cellStyle name="Normal 3 2 2 29 5 2 3" xfId="32219" xr:uid="{BDD0E8E0-DB17-4F09-9797-15C0C1F93C42}"/>
    <cellStyle name="Normal 3 2 2 29 5 2 4" xfId="32220" xr:uid="{35756215-1A83-4B1D-9CBB-E7F5303A5B85}"/>
    <cellStyle name="Normal 3 2 2 29 5 2 5" xfId="32221" xr:uid="{A92A2F1B-1836-4220-AB56-D2B84BFBCB49}"/>
    <cellStyle name="Normal 3 2 2 29 5 2 6" xfId="32222" xr:uid="{8D815792-0EDD-4FA2-A072-E4572669E8B8}"/>
    <cellStyle name="Normal 3 2 2 29 5 2 7" xfId="32223" xr:uid="{33CCB654-2BB3-4BAE-90DE-B441C4731E5D}"/>
    <cellStyle name="Normal 3 2 2 29 5 2 8" xfId="32224" xr:uid="{343A2D50-E3F9-467F-89B3-EE3ED823F039}"/>
    <cellStyle name="Normal 3 2 2 29 5 2 8 2" xfId="32225" xr:uid="{6B2D33A8-4E2B-41DF-8C97-6BB8854C91DB}"/>
    <cellStyle name="Normal 3 2 2 29 5 2 8 3" xfId="32226" xr:uid="{E7FFDC2B-5CE0-4B34-A937-70CF75AF63FA}"/>
    <cellStyle name="Normal 3 2 2 29 5 2 8 4" xfId="32227" xr:uid="{B4199E3F-3308-4FE1-9E47-631B36AB1B8D}"/>
    <cellStyle name="Normal 3 2 2 29 5 2 9" xfId="32228" xr:uid="{083C3366-07FC-4932-80AF-D5C9139946EE}"/>
    <cellStyle name="Normal 3 2 2 29 5 3" xfId="32229" xr:uid="{C83F2B98-644C-4C55-9965-D4B3904DDD05}"/>
    <cellStyle name="Normal 3 2 2 29 5 3 2" xfId="32230" xr:uid="{63AF516F-247A-4715-A531-774C1755DD0C}"/>
    <cellStyle name="Normal 3 2 2 29 5 3 2 2" xfId="32231" xr:uid="{3FEDFA4D-6321-4866-B82F-D16FC967C84F}"/>
    <cellStyle name="Normal 3 2 2 29 5 3 2 3" xfId="32232" xr:uid="{286D3BCF-D9BB-48DC-800E-9769BECDEBE2}"/>
    <cellStyle name="Normal 3 2 2 29 5 3 2 4" xfId="32233" xr:uid="{AA5BD979-F6DC-4E2E-B6D6-4B8793C59090}"/>
    <cellStyle name="Normal 3 2 2 29 5 3 3" xfId="32234" xr:uid="{85B97DF0-846D-44C3-A74F-A618BDD003E9}"/>
    <cellStyle name="Normal 3 2 2 29 5 3 4" xfId="32235" xr:uid="{A19BF0A2-4A1E-4674-A4CA-572C6C1A3BEC}"/>
    <cellStyle name="Normal 3 2 2 29 5 3 5" xfId="32236" xr:uid="{87F78AD8-0645-4F46-BC7D-53BC7F9F0D10}"/>
    <cellStyle name="Normal 3 2 2 29 5 3 6" xfId="32237" xr:uid="{934C3F79-1CF5-41BF-BB8B-2AF40169A8CA}"/>
    <cellStyle name="Normal 3 2 2 29 5 4" xfId="32238" xr:uid="{FDE7B2DB-3907-42DA-9641-41E63505550E}"/>
    <cellStyle name="Normal 3 2 2 29 5 5" xfId="32239" xr:uid="{C664D4D9-5449-46DA-8962-9117BA810AAD}"/>
    <cellStyle name="Normal 3 2 2 29 5 6" xfId="32240" xr:uid="{640C0600-4D81-4187-8DD5-70F91FD471B9}"/>
    <cellStyle name="Normal 3 2 2 29 5 7" xfId="32241" xr:uid="{C46F9057-F9F8-483F-BCED-EC0AC1F65F9F}"/>
    <cellStyle name="Normal 3 2 2 29 5 8" xfId="32242" xr:uid="{DDDCDEEA-C926-4A95-BD9D-C2C0142DC995}"/>
    <cellStyle name="Normal 3 2 2 29 5 8 2" xfId="32243" xr:uid="{CE3D98B4-4310-4C53-A9D9-652B5841DDE8}"/>
    <cellStyle name="Normal 3 2 2 29 5 8 3" xfId="32244" xr:uid="{2615C460-3341-47AE-B8F8-5D4FA8873787}"/>
    <cellStyle name="Normal 3 2 2 29 5 8 4" xfId="32245" xr:uid="{2CC435B5-AFDB-4A9C-BC30-31A664B1FE24}"/>
    <cellStyle name="Normal 3 2 2 29 5 9" xfId="32246" xr:uid="{11B4AA4A-9A93-4F5D-956B-9295063C35D8}"/>
    <cellStyle name="Normal 3 2 2 29 6" xfId="32247" xr:uid="{9E4C5537-ACFD-4B8A-A2DD-C883A7BCD2DC}"/>
    <cellStyle name="Normal 3 2 2 29 7" xfId="32248" xr:uid="{CFFC4722-7193-4778-820B-5086798D1FCE}"/>
    <cellStyle name="Normal 3 2 2 29 7 2" xfId="32249" xr:uid="{D816706E-4F2C-4629-86E0-B448F936801A}"/>
    <cellStyle name="Normal 3 2 2 29 7 2 2" xfId="32250" xr:uid="{7E65F53E-1774-49FD-ADAF-CBF2CDC99471}"/>
    <cellStyle name="Normal 3 2 2 29 7 2 3" xfId="32251" xr:uid="{EB74B27D-E4E2-4686-B4A9-94996245E856}"/>
    <cellStyle name="Normal 3 2 2 29 7 2 4" xfId="32252" xr:uid="{C9EEBE13-22C1-42A9-9289-282C5E084246}"/>
    <cellStyle name="Normal 3 2 2 29 7 3" xfId="32253" xr:uid="{4446BECA-D49E-4DD5-932C-28D837C9540B}"/>
    <cellStyle name="Normal 3 2 2 29 7 4" xfId="32254" xr:uid="{DDEF1B63-03F9-43D6-A1BB-350DC6CB65B4}"/>
    <cellStyle name="Normal 3 2 2 29 7 5" xfId="32255" xr:uid="{5F07F4B7-084A-46F3-93FD-5F19E7A0922A}"/>
    <cellStyle name="Normal 3 2 2 29 7 6" xfId="32256" xr:uid="{3BF90837-B4EE-4808-BB0E-F327A553663A}"/>
    <cellStyle name="Normal 3 2 2 29 8" xfId="32257" xr:uid="{5771DF94-7F24-4364-A6C0-D0479730D8CD}"/>
    <cellStyle name="Normal 3 2 2 29 9" xfId="32258" xr:uid="{F88F49EF-C88B-4481-90EB-483534451D43}"/>
    <cellStyle name="Normal 3 2 2 3" xfId="32259" xr:uid="{B22AD0CF-1FA4-4A46-BEF0-3111F05EDBD4}"/>
    <cellStyle name="Normal 3 2 2 3 2" xfId="32260" xr:uid="{9C92FCDB-139C-4D16-B0FE-82A52AFB48E7}"/>
    <cellStyle name="Normal 3 2 2 3 2 10" xfId="32261" xr:uid="{BF56BE83-7094-4658-9D6C-9321167C54FA}"/>
    <cellStyle name="Normal 3 2 2 3 2 10 2" xfId="32262" xr:uid="{68616394-6D52-4CF5-9068-EDFA7B3B7807}"/>
    <cellStyle name="Normal 3 2 2 3 2 10 3" xfId="32263" xr:uid="{992DBCC7-EAF7-4340-9018-9637EEFAB5F0}"/>
    <cellStyle name="Normal 3 2 2 3 2 10 4" xfId="32264" xr:uid="{49CE1003-63D9-426B-980B-4F80093C9BCF}"/>
    <cellStyle name="Normal 3 2 2 3 2 10 5" xfId="32265" xr:uid="{4D18F939-F6E9-4221-BB7D-BDCC3B6F72A9}"/>
    <cellStyle name="Normal 3 2 2 3 2 10 6" xfId="32266" xr:uid="{8C8BB2D9-E13C-4F89-AC63-6AB8D0B3CB4C}"/>
    <cellStyle name="Normal 3 2 2 3 2 11" xfId="32267" xr:uid="{365B7F5B-B2E8-4AE0-9580-D4D9AA9C0B64}"/>
    <cellStyle name="Normal 3 2 2 3 2 11 2" xfId="32268" xr:uid="{339498C3-C3F5-4C68-ACF6-0ECDAB6D45A2}"/>
    <cellStyle name="Normal 3 2 2 3 2 11 3" xfId="32269" xr:uid="{7576DFFC-A299-440D-89DB-63AC910BF949}"/>
    <cellStyle name="Normal 3 2 2 3 2 11 4" xfId="32270" xr:uid="{AF5D39F4-4CC5-43A0-8A6F-2D8BA5A7C988}"/>
    <cellStyle name="Normal 3 2 2 3 2 11 5" xfId="32271" xr:uid="{F1E2A4DA-32D8-4D79-A96B-6FA9D35E4942}"/>
    <cellStyle name="Normal 3 2 2 3 2 11 6" xfId="32272" xr:uid="{A9C6286C-1E96-43D4-B7E1-EC1D27899494}"/>
    <cellStyle name="Normal 3 2 2 3 2 12" xfId="32273" xr:uid="{EF314F2C-4200-42F9-8081-4C49676DBE23}"/>
    <cellStyle name="Normal 3 2 2 3 2 12 2" xfId="32274" xr:uid="{D8E24914-7942-4BA3-B446-CF64D99C53ED}"/>
    <cellStyle name="Normal 3 2 2 3 2 12 3" xfId="32275" xr:uid="{1ABB6D28-B9D2-4445-9012-38B5FBD264B3}"/>
    <cellStyle name="Normal 3 2 2 3 2 12 4" xfId="32276" xr:uid="{E05FA939-878A-45AF-8E41-D88D94F8551B}"/>
    <cellStyle name="Normal 3 2 2 3 2 12 5" xfId="32277" xr:uid="{4FD908D8-3B9C-4CA0-873E-3DCE34B77EF8}"/>
    <cellStyle name="Normal 3 2 2 3 2 12 6" xfId="32278" xr:uid="{624211C7-9402-405D-8140-C032FB540F5A}"/>
    <cellStyle name="Normal 3 2 2 3 2 13" xfId="32279" xr:uid="{EDF20EE0-9730-4D64-962D-397D0714248C}"/>
    <cellStyle name="Normal 3 2 2 3 2 13 2" xfId="32280" xr:uid="{BE6D22CC-F43C-4CD1-890F-004DC0164B36}"/>
    <cellStyle name="Normal 3 2 2 3 2 13 3" xfId="32281" xr:uid="{AE128235-02E4-47E5-AF6F-C79E61EF38EF}"/>
    <cellStyle name="Normal 3 2 2 3 2 13 4" xfId="32282" xr:uid="{51D5A25F-C4FC-4264-8949-3FE3F0E7EAA5}"/>
    <cellStyle name="Normal 3 2 2 3 2 13 5" xfId="32283" xr:uid="{41CF1B32-A078-4536-96A6-253E734A2F40}"/>
    <cellStyle name="Normal 3 2 2 3 2 13 6" xfId="32284" xr:uid="{07BA1822-311D-4E43-B856-105FF5983CC1}"/>
    <cellStyle name="Normal 3 2 2 3 2 14" xfId="32285" xr:uid="{CD4C637A-F86C-4A55-8B44-D969C23A9355}"/>
    <cellStyle name="Normal 3 2 2 3 2 14 2" xfId="32286" xr:uid="{500BA2C6-F4DF-4DC8-B870-D96A18ADCC5A}"/>
    <cellStyle name="Normal 3 2 2 3 2 14 3" xfId="32287" xr:uid="{1588E77B-CCAB-46EC-8160-8C1F03336B2C}"/>
    <cellStyle name="Normal 3 2 2 3 2 14 4" xfId="32288" xr:uid="{74E6CE76-0CFD-4947-8649-63417F05BB65}"/>
    <cellStyle name="Normal 3 2 2 3 2 14 5" xfId="32289" xr:uid="{2B570A15-45E7-41AA-BABC-C37FC6E85472}"/>
    <cellStyle name="Normal 3 2 2 3 2 14 6" xfId="32290" xr:uid="{2776B151-7ED1-47DC-8A22-148D00D8D291}"/>
    <cellStyle name="Normal 3 2 2 3 2 15" xfId="32291" xr:uid="{172B34A0-FBA9-429D-A291-F618BFBBB14B}"/>
    <cellStyle name="Normal 3 2 2 3 2 16" xfId="32292" xr:uid="{D226F6D3-9847-4998-8C27-DA97CA141C59}"/>
    <cellStyle name="Normal 3 2 2 3 2 17" xfId="32293" xr:uid="{832B5801-E1DC-48E9-9409-A05F39EC2898}"/>
    <cellStyle name="Normal 3 2 2 3 2 18" xfId="32294" xr:uid="{7AC4DB98-C893-4583-86D6-124A1A4D67BA}"/>
    <cellStyle name="Normal 3 2 2 3 2 19" xfId="32295" xr:uid="{BFB57EEA-CA93-403D-9FFF-0ADC9DCD218E}"/>
    <cellStyle name="Normal 3 2 2 3 2 2" xfId="32296" xr:uid="{F03DDE96-A127-4EF3-A89A-9D5BDF876D06}"/>
    <cellStyle name="Normal 3 2 2 3 2 3" xfId="32297" xr:uid="{351D2612-3B19-4E20-ACAB-CA83663098AB}"/>
    <cellStyle name="Normal 3 2 2 3 2 4" xfId="32298" xr:uid="{5869AD95-B40E-4E21-9BB2-6F11D977C276}"/>
    <cellStyle name="Normal 3 2 2 3 2 5" xfId="32299" xr:uid="{1FB78A03-8604-48DC-AEE3-F1F392801C95}"/>
    <cellStyle name="Normal 3 2 2 3 2 6" xfId="32300" xr:uid="{37CEEE12-0CE2-4D10-B01E-1CE6DE632DE4}"/>
    <cellStyle name="Normal 3 2 2 3 2 7" xfId="32301" xr:uid="{467E7C04-1262-4C3F-9CB0-F0567A4F178B}"/>
    <cellStyle name="Normal 3 2 2 3 2 8" xfId="32302" xr:uid="{B34AFBBF-B8B7-45C7-BDCC-77E2AE63869E}"/>
    <cellStyle name="Normal 3 2 2 3 2 9" xfId="32303" xr:uid="{BB0A333E-C3DF-4151-83BA-62339574EA0F}"/>
    <cellStyle name="Normal 3 2 2 3 3" xfId="32304" xr:uid="{EBC3BC6C-7F3A-4F6A-AA4F-BEA0C65B5C42}"/>
    <cellStyle name="Normal 3 2 2 3 3 10" xfId="32305" xr:uid="{2C8D0098-10E9-4C3A-BD31-58FB5C714BC6}"/>
    <cellStyle name="Normal 3 2 2 3 3 11" xfId="32306" xr:uid="{2FA024C7-7A80-4A8F-9DE7-F68AC70DABEE}"/>
    <cellStyle name="Normal 3 2 2 3 3 2" xfId="32307" xr:uid="{883884AC-7D3B-4CC5-A5DE-D9BD9FFA88F1}"/>
    <cellStyle name="Normal 3 2 2 3 3 2 2" xfId="32308" xr:uid="{52B14E35-870C-4AAB-8817-A4C0C92B7B86}"/>
    <cellStyle name="Normal 3 2 2 3 3 2 3" xfId="32309" xr:uid="{D5B2C4BE-5996-449C-A748-40702E958037}"/>
    <cellStyle name="Normal 3 2 2 3 3 2 4" xfId="32310" xr:uid="{FE2FA879-4600-4155-99D1-DAB4B74537C4}"/>
    <cellStyle name="Normal 3 2 2 3 3 2 5" xfId="32311" xr:uid="{5DA138C1-25B0-4AA9-BC65-33013B035E25}"/>
    <cellStyle name="Normal 3 2 2 3 3 2 6" xfId="32312" xr:uid="{F3B9B761-5CEF-4204-B186-EB32CA8DB427}"/>
    <cellStyle name="Normal 3 2 2 3 3 3" xfId="32313" xr:uid="{BC9F58C0-6D4B-4816-91E5-816F263D3ED2}"/>
    <cellStyle name="Normal 3 2 2 3 3 3 2" xfId="32314" xr:uid="{67D87822-AD41-45AD-A5AF-7AFEA05A9D61}"/>
    <cellStyle name="Normal 3 2 2 3 3 3 3" xfId="32315" xr:uid="{E9BC89EA-1F46-46FB-9A50-3B11BEA8B548}"/>
    <cellStyle name="Normal 3 2 2 3 3 3 4" xfId="32316" xr:uid="{914E3608-3138-4BA3-A7C4-BFB5FAD7ECB5}"/>
    <cellStyle name="Normal 3 2 2 3 3 3 5" xfId="32317" xr:uid="{267AA106-4B3D-470B-8AF1-895E1040E72C}"/>
    <cellStyle name="Normal 3 2 2 3 3 3 6" xfId="32318" xr:uid="{477D4D8E-E4C9-460F-B9AB-FC0746E5A238}"/>
    <cellStyle name="Normal 3 2 2 3 3 4" xfId="32319" xr:uid="{43FF9342-2112-40BE-800C-0759B1085925}"/>
    <cellStyle name="Normal 3 2 2 3 3 4 2" xfId="32320" xr:uid="{E651B3A4-9674-4D39-B824-AB73CAC46E0A}"/>
    <cellStyle name="Normal 3 2 2 3 3 4 3" xfId="32321" xr:uid="{D31CE5D8-810D-4F14-92A6-7661B83DFC77}"/>
    <cellStyle name="Normal 3 2 2 3 3 4 4" xfId="32322" xr:uid="{F5C5E8BC-A862-404D-AE26-137FBE027E85}"/>
    <cellStyle name="Normal 3 2 2 3 3 4 5" xfId="32323" xr:uid="{EC0D73A0-F582-440F-B488-2C4C11503F4A}"/>
    <cellStyle name="Normal 3 2 2 3 3 4 6" xfId="32324" xr:uid="{2482C919-AFBF-4BCA-BA31-302034FB4FA3}"/>
    <cellStyle name="Normal 3 2 2 3 3 5" xfId="32325" xr:uid="{BD13E435-069C-473C-ACE7-3C67737D758E}"/>
    <cellStyle name="Normal 3 2 2 3 3 5 2" xfId="32326" xr:uid="{B2563C19-1CD1-4CCA-9D48-8EA175690991}"/>
    <cellStyle name="Normal 3 2 2 3 3 5 3" xfId="32327" xr:uid="{26909293-F0F8-4A7D-BD3A-EA5BDB2B2DE2}"/>
    <cellStyle name="Normal 3 2 2 3 3 5 4" xfId="32328" xr:uid="{076585DC-2453-4346-B5DE-BA93083D97C3}"/>
    <cellStyle name="Normal 3 2 2 3 3 5 5" xfId="32329" xr:uid="{A7F3A1E7-4FCE-41BF-8DD0-0614452765E4}"/>
    <cellStyle name="Normal 3 2 2 3 3 5 6" xfId="32330" xr:uid="{F0C6DECE-A4A4-49D6-B282-01C10DFCCAEF}"/>
    <cellStyle name="Normal 3 2 2 3 3 6" xfId="32331" xr:uid="{92175571-154F-4AD0-BA9D-D6DEE48FA5B1}"/>
    <cellStyle name="Normal 3 2 2 3 3 6 2" xfId="32332" xr:uid="{EF13CBCC-B983-4E45-AADB-08373202881A}"/>
    <cellStyle name="Normal 3 2 2 3 3 6 3" xfId="32333" xr:uid="{7C4FA113-8B4D-44E6-9042-D11CACFE5F95}"/>
    <cellStyle name="Normal 3 2 2 3 3 6 4" xfId="32334" xr:uid="{49E41DC4-E203-4351-A1E7-C395CF110C0F}"/>
    <cellStyle name="Normal 3 2 2 3 3 6 5" xfId="32335" xr:uid="{6F527076-2818-480E-9617-091F1F3C518F}"/>
    <cellStyle name="Normal 3 2 2 3 3 6 6" xfId="32336" xr:uid="{C013A14D-0197-4560-BD50-73B41C17A9E8}"/>
    <cellStyle name="Normal 3 2 2 3 3 7" xfId="32337" xr:uid="{C9588B6F-E33A-40E0-8680-33CDCDFE306C}"/>
    <cellStyle name="Normal 3 2 2 3 3 8" xfId="32338" xr:uid="{216A916E-D58F-4D77-975D-6F3B5272F97D}"/>
    <cellStyle name="Normal 3 2 2 3 3 9" xfId="32339" xr:uid="{70C65D99-752D-41EF-A162-7FAF2E49BE60}"/>
    <cellStyle name="Normal 3 2 2 3 4" xfId="32340" xr:uid="{D091075A-8B0B-402C-AC94-98DADD669475}"/>
    <cellStyle name="Normal 3 2 2 3 4 10" xfId="32341" xr:uid="{59E57C17-78A6-4197-8113-A0C9A77414E0}"/>
    <cellStyle name="Normal 3 2 2 3 4 11" xfId="32342" xr:uid="{182DA4A0-5A73-46F8-8AD2-7468BBF3CCAD}"/>
    <cellStyle name="Normal 3 2 2 3 4 2" xfId="32343" xr:uid="{BAC049EC-704F-4719-8B31-38E47BF7F6A0}"/>
    <cellStyle name="Normal 3 2 2 3 4 2 2" xfId="32344" xr:uid="{00E37CC1-8A99-4B08-A556-7CD23D1DB6B6}"/>
    <cellStyle name="Normal 3 2 2 3 4 2 3" xfId="32345" xr:uid="{7EBBD898-EDC1-4D6B-A228-38B64F7F4964}"/>
    <cellStyle name="Normal 3 2 2 3 4 2 4" xfId="32346" xr:uid="{6615DCAD-7D68-459F-941B-94FCEDC00A9C}"/>
    <cellStyle name="Normal 3 2 2 3 4 2 5" xfId="32347" xr:uid="{C7AF1138-2D84-4B31-8D72-CC13A9388078}"/>
    <cellStyle name="Normal 3 2 2 3 4 2 6" xfId="32348" xr:uid="{C1B4C333-9683-4FDA-85B3-9D9645D0B7C9}"/>
    <cellStyle name="Normal 3 2 2 3 4 3" xfId="32349" xr:uid="{1CCE08FC-0784-4ACE-A952-97A9C3D4E571}"/>
    <cellStyle name="Normal 3 2 2 3 4 3 2" xfId="32350" xr:uid="{BE2683FB-8F65-4CEF-9E63-D6E7E49CF456}"/>
    <cellStyle name="Normal 3 2 2 3 4 3 3" xfId="32351" xr:uid="{80AB40B8-156D-4F71-BDD5-E88930C71AC8}"/>
    <cellStyle name="Normal 3 2 2 3 4 3 4" xfId="32352" xr:uid="{C7C7CABC-F117-44E6-91E3-F05A06825385}"/>
    <cellStyle name="Normal 3 2 2 3 4 3 5" xfId="32353" xr:uid="{16E4582A-8C6D-4506-BB26-3B2E752ED7F9}"/>
    <cellStyle name="Normal 3 2 2 3 4 3 6" xfId="32354" xr:uid="{BD1B6D6D-65FB-405C-A3A5-989D148B8874}"/>
    <cellStyle name="Normal 3 2 2 3 4 4" xfId="32355" xr:uid="{DE74D7D6-2E8C-42AF-B0DF-7A47F412FA97}"/>
    <cellStyle name="Normal 3 2 2 3 4 4 2" xfId="32356" xr:uid="{1BE5E7A3-838A-439A-83E8-446AF8588FBD}"/>
    <cellStyle name="Normal 3 2 2 3 4 4 3" xfId="32357" xr:uid="{F03B643B-510F-4C99-842E-66719D6426E1}"/>
    <cellStyle name="Normal 3 2 2 3 4 4 4" xfId="32358" xr:uid="{05CFA99C-0926-4B8C-90AF-958118EEBA0C}"/>
    <cellStyle name="Normal 3 2 2 3 4 4 5" xfId="32359" xr:uid="{E9BD6788-EC92-42F6-9951-F7776436D1AF}"/>
    <cellStyle name="Normal 3 2 2 3 4 4 6" xfId="32360" xr:uid="{020E69EC-C7D6-4FA2-AFD3-1F854460020B}"/>
    <cellStyle name="Normal 3 2 2 3 4 5" xfId="32361" xr:uid="{28F8DD54-F43B-4A00-B2ED-9F4D2890A842}"/>
    <cellStyle name="Normal 3 2 2 3 4 5 2" xfId="32362" xr:uid="{52C76492-C554-4BD9-B991-F76665BC70EF}"/>
    <cellStyle name="Normal 3 2 2 3 4 5 3" xfId="32363" xr:uid="{CE3515AD-4A81-4644-B8D8-681F8085335B}"/>
    <cellStyle name="Normal 3 2 2 3 4 5 4" xfId="32364" xr:uid="{42A48524-6314-46BE-AEB7-93F44B081C80}"/>
    <cellStyle name="Normal 3 2 2 3 4 5 5" xfId="32365" xr:uid="{77823BAA-D4FD-403C-A4CA-793F6CFFB4AC}"/>
    <cellStyle name="Normal 3 2 2 3 4 5 6" xfId="32366" xr:uid="{FED64C3E-02F8-47D3-B7FD-0ADD4B7CA77F}"/>
    <cellStyle name="Normal 3 2 2 3 4 6" xfId="32367" xr:uid="{38000D5F-BF73-4B34-893A-63F24375EA25}"/>
    <cellStyle name="Normal 3 2 2 3 4 6 2" xfId="32368" xr:uid="{C3C81E1C-7150-44C8-9CE9-BED8C226C8AA}"/>
    <cellStyle name="Normal 3 2 2 3 4 6 3" xfId="32369" xr:uid="{5083A28D-BCFA-4FD5-A186-DFED1505851C}"/>
    <cellStyle name="Normal 3 2 2 3 4 6 4" xfId="32370" xr:uid="{17C98D9D-585E-4AC0-8C93-74C30D10A19C}"/>
    <cellStyle name="Normal 3 2 2 3 4 6 5" xfId="32371" xr:uid="{5888D339-254B-4DBB-A905-D3C3FC1E309C}"/>
    <cellStyle name="Normal 3 2 2 3 4 6 6" xfId="32372" xr:uid="{5D61F25B-9B71-4CFB-ADC4-07B5BF92738D}"/>
    <cellStyle name="Normal 3 2 2 3 4 7" xfId="32373" xr:uid="{01EF43A9-2309-433D-940C-C532ADC54E4C}"/>
    <cellStyle name="Normal 3 2 2 3 4 8" xfId="32374" xr:uid="{59925A61-159F-4754-A91C-B68589A9C8F2}"/>
    <cellStyle name="Normal 3 2 2 3 4 9" xfId="32375" xr:uid="{E3DD92CC-E1AD-4C08-A843-690D0D06E251}"/>
    <cellStyle name="Normal 3 2 2 3 5" xfId="32376" xr:uid="{F2CAAE87-6712-43E2-8CD0-D6BAE9734CA3}"/>
    <cellStyle name="Normal 3 2 2 3 5 10" xfId="32377" xr:uid="{6C8679D0-7B4D-427A-9982-5B7EA77CFD5D}"/>
    <cellStyle name="Normal 3 2 2 3 5 11" xfId="32378" xr:uid="{158BA9B4-7340-4130-A5EA-B23AFD7062B6}"/>
    <cellStyle name="Normal 3 2 2 3 5 2" xfId="32379" xr:uid="{170F4025-5680-4F72-A2E3-47B4C4CE42EB}"/>
    <cellStyle name="Normal 3 2 2 3 5 2 2" xfId="32380" xr:uid="{7661174B-965C-44D2-9CC7-1FE24A89F746}"/>
    <cellStyle name="Normal 3 2 2 3 5 2 3" xfId="32381" xr:uid="{4134AFFE-44E6-4995-8E85-A3A5BF3D19AB}"/>
    <cellStyle name="Normal 3 2 2 3 5 2 4" xfId="32382" xr:uid="{6616B5A4-EBD4-4BB3-95DD-C0B6667C516B}"/>
    <cellStyle name="Normal 3 2 2 3 5 2 5" xfId="32383" xr:uid="{9ED138F0-C7C3-4F4F-98D5-597E20FFA094}"/>
    <cellStyle name="Normal 3 2 2 3 5 2 6" xfId="32384" xr:uid="{83236FF6-1022-4B38-BC92-9280AB4D1333}"/>
    <cellStyle name="Normal 3 2 2 3 5 3" xfId="32385" xr:uid="{2326D3DC-C0EF-46C8-A857-F157A8FA745A}"/>
    <cellStyle name="Normal 3 2 2 3 5 3 2" xfId="32386" xr:uid="{F4D0203E-C57C-4BE7-B86B-5A6742D61FD2}"/>
    <cellStyle name="Normal 3 2 2 3 5 3 3" xfId="32387" xr:uid="{339B8895-DA7D-4B56-B4C1-945300DC446F}"/>
    <cellStyle name="Normal 3 2 2 3 5 3 4" xfId="32388" xr:uid="{9841B7D0-86CF-4B80-B848-125A432B2456}"/>
    <cellStyle name="Normal 3 2 2 3 5 3 5" xfId="32389" xr:uid="{03D471EF-5CCF-4DDC-B5B5-C6F75ABE0B2D}"/>
    <cellStyle name="Normal 3 2 2 3 5 3 6" xfId="32390" xr:uid="{5203AACD-29B7-46E3-B3CF-8DBC8E1BBD08}"/>
    <cellStyle name="Normal 3 2 2 3 5 4" xfId="32391" xr:uid="{7AB14F17-179E-420A-A7B7-823755DA8750}"/>
    <cellStyle name="Normal 3 2 2 3 5 4 2" xfId="32392" xr:uid="{F473B464-3079-498F-80B6-1239EA026546}"/>
    <cellStyle name="Normal 3 2 2 3 5 4 3" xfId="32393" xr:uid="{72874D0A-96EC-493C-92F5-2A58197623EF}"/>
    <cellStyle name="Normal 3 2 2 3 5 4 4" xfId="32394" xr:uid="{9A654CFD-D772-43C6-9B8E-C4F264C7FB74}"/>
    <cellStyle name="Normal 3 2 2 3 5 4 5" xfId="32395" xr:uid="{6C8A381D-A5AB-4571-95B4-B0BBC82557FC}"/>
    <cellStyle name="Normal 3 2 2 3 5 4 6" xfId="32396" xr:uid="{F58FDA7D-F327-4C03-947C-C202EE0B2A46}"/>
    <cellStyle name="Normal 3 2 2 3 5 5" xfId="32397" xr:uid="{9DEDA0B5-154D-4637-8F7C-36DF9FAFF80E}"/>
    <cellStyle name="Normal 3 2 2 3 5 5 2" xfId="32398" xr:uid="{22E00BE9-DA34-448B-B74F-101811EF6D4E}"/>
    <cellStyle name="Normal 3 2 2 3 5 5 3" xfId="32399" xr:uid="{89B20832-6BA1-475A-97CC-E154B205917D}"/>
    <cellStyle name="Normal 3 2 2 3 5 5 4" xfId="32400" xr:uid="{CA143A1F-E3F4-426E-8586-A54F62AEE1DC}"/>
    <cellStyle name="Normal 3 2 2 3 5 5 5" xfId="32401" xr:uid="{29B9F19C-6DD8-4CF5-AC78-A0F392CB4880}"/>
    <cellStyle name="Normal 3 2 2 3 5 5 6" xfId="32402" xr:uid="{AE19DB19-793A-45EF-88C5-695F31221FB8}"/>
    <cellStyle name="Normal 3 2 2 3 5 6" xfId="32403" xr:uid="{31E540F6-5A9E-4885-9F2E-2838BCD67393}"/>
    <cellStyle name="Normal 3 2 2 3 5 6 2" xfId="32404" xr:uid="{AFFDB6FC-3A40-41C5-BE94-A89CAD8B7F59}"/>
    <cellStyle name="Normal 3 2 2 3 5 6 3" xfId="32405" xr:uid="{F8CBAFB6-C5A7-47D8-8E75-1D1BA8FB8559}"/>
    <cellStyle name="Normal 3 2 2 3 5 6 4" xfId="32406" xr:uid="{6FC5AC51-8459-4692-9DCB-5CF60A4DF189}"/>
    <cellStyle name="Normal 3 2 2 3 5 6 5" xfId="32407" xr:uid="{B44B5713-092F-4B94-B8B9-28D6C177EF04}"/>
    <cellStyle name="Normal 3 2 2 3 5 6 6" xfId="32408" xr:uid="{E63EA26E-6517-416E-9325-F1E549710A40}"/>
    <cellStyle name="Normal 3 2 2 3 5 7" xfId="32409" xr:uid="{020DE7CA-8946-4885-8ECF-B6C9552F3A6F}"/>
    <cellStyle name="Normal 3 2 2 3 5 8" xfId="32410" xr:uid="{8D6A3E85-915C-40E0-AB1E-28B5F88BA112}"/>
    <cellStyle name="Normal 3 2 2 3 5 9" xfId="32411" xr:uid="{00576407-C238-4D1B-BE95-7E9DA7802037}"/>
    <cellStyle name="Normal 3 2 2 3 6" xfId="32412" xr:uid="{ED7FD052-927F-4937-B7DA-9C3D787DFD34}"/>
    <cellStyle name="Normal 3 2 2 3 6 10" xfId="32413" xr:uid="{FE88DE81-C7AF-4056-BF33-0282EEEEC0CC}"/>
    <cellStyle name="Normal 3 2 2 3 6 11" xfId="32414" xr:uid="{309AB512-F117-4080-B347-1ACBD37AE7E9}"/>
    <cellStyle name="Normal 3 2 2 3 6 2" xfId="32415" xr:uid="{FBAF33F3-B86E-4590-8DD9-5C29E5874FEA}"/>
    <cellStyle name="Normal 3 2 2 3 6 2 2" xfId="32416" xr:uid="{887E81F0-E477-462B-9A63-C6396242BCA8}"/>
    <cellStyle name="Normal 3 2 2 3 6 2 3" xfId="32417" xr:uid="{7C921914-F3E4-4093-AFF3-7B779A9E8E84}"/>
    <cellStyle name="Normal 3 2 2 3 6 2 4" xfId="32418" xr:uid="{03081DA2-3AD9-4588-AC9E-E586079A6B21}"/>
    <cellStyle name="Normal 3 2 2 3 6 2 5" xfId="32419" xr:uid="{74B0782B-58D0-4038-9CC5-137075D23A69}"/>
    <cellStyle name="Normal 3 2 2 3 6 2 6" xfId="32420" xr:uid="{EFB276F9-490F-4729-82AD-AB204DAEAAF5}"/>
    <cellStyle name="Normal 3 2 2 3 6 3" xfId="32421" xr:uid="{A946A9A2-D001-43B8-A52A-FEE8737647F4}"/>
    <cellStyle name="Normal 3 2 2 3 6 3 2" xfId="32422" xr:uid="{3B5BECE0-AE76-45E4-AB4D-AB8324A5E424}"/>
    <cellStyle name="Normal 3 2 2 3 6 3 3" xfId="32423" xr:uid="{0D547F73-D680-453F-AB2F-B9401439C86B}"/>
    <cellStyle name="Normal 3 2 2 3 6 3 4" xfId="32424" xr:uid="{C3375632-8A6F-45DB-8212-1E63234D16FB}"/>
    <cellStyle name="Normal 3 2 2 3 6 3 5" xfId="32425" xr:uid="{0E2A3061-1DCC-4BC7-842A-671DF9176F26}"/>
    <cellStyle name="Normal 3 2 2 3 6 3 6" xfId="32426" xr:uid="{2FF847A7-3FB7-4663-8844-179CD9B71A49}"/>
    <cellStyle name="Normal 3 2 2 3 6 4" xfId="32427" xr:uid="{44759A7B-75AE-4CEC-9896-804C0E03684E}"/>
    <cellStyle name="Normal 3 2 2 3 6 4 2" xfId="32428" xr:uid="{46B0E6E8-F5D1-4897-835B-DBE2A0827D64}"/>
    <cellStyle name="Normal 3 2 2 3 6 4 3" xfId="32429" xr:uid="{3666A57A-091E-418A-9B53-DF270E6532E9}"/>
    <cellStyle name="Normal 3 2 2 3 6 4 4" xfId="32430" xr:uid="{9A6DCECF-F5BF-4BD8-BCC6-8F355BF06277}"/>
    <cellStyle name="Normal 3 2 2 3 6 4 5" xfId="32431" xr:uid="{0302D708-64E5-4569-BA64-0112E5E09635}"/>
    <cellStyle name="Normal 3 2 2 3 6 4 6" xfId="32432" xr:uid="{2CC6AF9B-88CA-4E7C-9C08-A1F4AEEE7236}"/>
    <cellStyle name="Normal 3 2 2 3 6 5" xfId="32433" xr:uid="{930BF335-432D-44F7-B653-B67148D557BA}"/>
    <cellStyle name="Normal 3 2 2 3 6 5 2" xfId="32434" xr:uid="{A66BD62F-1455-4D84-B8ED-DE163BF62E42}"/>
    <cellStyle name="Normal 3 2 2 3 6 5 3" xfId="32435" xr:uid="{065E7092-A952-4AE5-8944-E714BA5ECC63}"/>
    <cellStyle name="Normal 3 2 2 3 6 5 4" xfId="32436" xr:uid="{B23C6927-C18E-41B2-A042-235ED7977A52}"/>
    <cellStyle name="Normal 3 2 2 3 6 5 5" xfId="32437" xr:uid="{141E9E3B-9F7B-4BE8-91F7-493D66022C01}"/>
    <cellStyle name="Normal 3 2 2 3 6 5 6" xfId="32438" xr:uid="{EE0B6C12-3F48-42CA-B957-82CCFD38A6CD}"/>
    <cellStyle name="Normal 3 2 2 3 6 6" xfId="32439" xr:uid="{4845BA14-65F7-490A-8EF9-8E2C39331E0D}"/>
    <cellStyle name="Normal 3 2 2 3 6 6 2" xfId="32440" xr:uid="{6FCC67B3-26BA-45E3-8993-6DA8EA418042}"/>
    <cellStyle name="Normal 3 2 2 3 6 6 3" xfId="32441" xr:uid="{BE7519DC-D9F9-4C58-BDA5-5AFAB43A5AFB}"/>
    <cellStyle name="Normal 3 2 2 3 6 6 4" xfId="32442" xr:uid="{63031343-4410-46B4-87CA-60B16145BDC7}"/>
    <cellStyle name="Normal 3 2 2 3 6 6 5" xfId="32443" xr:uid="{76B84E76-C259-4270-B536-AABA8ABDB602}"/>
    <cellStyle name="Normal 3 2 2 3 6 6 6" xfId="32444" xr:uid="{B1064CA6-9B0A-41F0-A420-938E7156A04D}"/>
    <cellStyle name="Normal 3 2 2 3 6 7" xfId="32445" xr:uid="{1CFCCDC9-6366-4BA0-8341-25B31DF2B9D2}"/>
    <cellStyle name="Normal 3 2 2 3 6 8" xfId="32446" xr:uid="{D57DA542-BB6A-4305-8807-4CB4B73FD0EC}"/>
    <cellStyle name="Normal 3 2 2 3 6 9" xfId="32447" xr:uid="{A24180F4-5FFD-4DD5-8088-E888CDC8A4B8}"/>
    <cellStyle name="Normal 3 2 2 3 7" xfId="32448" xr:uid="{99E75186-0648-4F9D-A5C1-9368D15DBC4B}"/>
    <cellStyle name="Normal 3 2 2 3 7 10" xfId="32449" xr:uid="{92A892B4-FE44-49B8-BCEE-D9ACB17E0478}"/>
    <cellStyle name="Normal 3 2 2 3 7 11" xfId="32450" xr:uid="{17AAADED-E97D-46EA-8A1F-40407EF0976F}"/>
    <cellStyle name="Normal 3 2 2 3 7 2" xfId="32451" xr:uid="{CC9A0323-B426-41D4-A449-CB337F48301C}"/>
    <cellStyle name="Normal 3 2 2 3 7 2 2" xfId="32452" xr:uid="{DC162C47-B898-4510-BADB-E8AB45BD1161}"/>
    <cellStyle name="Normal 3 2 2 3 7 2 3" xfId="32453" xr:uid="{4A0A661F-0BC3-42CF-93AE-4D95C0CED126}"/>
    <cellStyle name="Normal 3 2 2 3 7 2 4" xfId="32454" xr:uid="{AEFF5622-A85A-4AC8-AE55-1C162676E385}"/>
    <cellStyle name="Normal 3 2 2 3 7 2 5" xfId="32455" xr:uid="{A13B0AFA-8FAD-42CA-AE2B-65C098EBF492}"/>
    <cellStyle name="Normal 3 2 2 3 7 2 6" xfId="32456" xr:uid="{B1DA8CBE-A24D-4971-B849-43F1C5C9A339}"/>
    <cellStyle name="Normal 3 2 2 3 7 3" xfId="32457" xr:uid="{8503D0D7-1182-4BBF-A3D0-1841F6BCD561}"/>
    <cellStyle name="Normal 3 2 2 3 7 3 2" xfId="32458" xr:uid="{F1FD6958-6233-48F3-BB6E-7A1AE6FC975E}"/>
    <cellStyle name="Normal 3 2 2 3 7 3 3" xfId="32459" xr:uid="{C3C0A5FC-E9B5-4D01-822E-006BC1F32EC2}"/>
    <cellStyle name="Normal 3 2 2 3 7 3 4" xfId="32460" xr:uid="{D014EC94-80F1-4605-A30E-E37096E3C387}"/>
    <cellStyle name="Normal 3 2 2 3 7 3 5" xfId="32461" xr:uid="{2451FD49-AF1F-4778-B77D-90F96A4843DC}"/>
    <cellStyle name="Normal 3 2 2 3 7 3 6" xfId="32462" xr:uid="{A0499EB7-3F1C-4C50-9B07-F348FB9847F0}"/>
    <cellStyle name="Normal 3 2 2 3 7 4" xfId="32463" xr:uid="{8C96D020-D1B2-46E8-8F11-BD263F748206}"/>
    <cellStyle name="Normal 3 2 2 3 7 4 2" xfId="32464" xr:uid="{EA266FE0-2217-4143-91A9-A204C235A0F5}"/>
    <cellStyle name="Normal 3 2 2 3 7 4 3" xfId="32465" xr:uid="{7A9C7764-258A-4403-A9FC-ED8F4D8BA54D}"/>
    <cellStyle name="Normal 3 2 2 3 7 4 4" xfId="32466" xr:uid="{04203F0F-7DCE-422E-9AD2-04AAD3D09342}"/>
    <cellStyle name="Normal 3 2 2 3 7 4 5" xfId="32467" xr:uid="{B737D9CD-F618-49D8-8802-7031D51507EC}"/>
    <cellStyle name="Normal 3 2 2 3 7 4 6" xfId="32468" xr:uid="{1D9845D0-BBA7-4F1D-B5FE-750E39501C24}"/>
    <cellStyle name="Normal 3 2 2 3 7 5" xfId="32469" xr:uid="{D86F7F30-2367-4F52-9CDA-DF548B291EA6}"/>
    <cellStyle name="Normal 3 2 2 3 7 5 2" xfId="32470" xr:uid="{6A62895D-7A01-427E-9730-FE21366FCAAD}"/>
    <cellStyle name="Normal 3 2 2 3 7 5 3" xfId="32471" xr:uid="{D7CE6CF1-28D2-4442-8D3B-254FB8D172C8}"/>
    <cellStyle name="Normal 3 2 2 3 7 5 4" xfId="32472" xr:uid="{7F07A7E3-D8F2-49BF-B3A5-60A79031A52C}"/>
    <cellStyle name="Normal 3 2 2 3 7 5 5" xfId="32473" xr:uid="{B47F1298-5706-4A5E-9408-7A421C907FB1}"/>
    <cellStyle name="Normal 3 2 2 3 7 5 6" xfId="32474" xr:uid="{E17EC599-3985-4098-8BD3-A86574BCF893}"/>
    <cellStyle name="Normal 3 2 2 3 7 6" xfId="32475" xr:uid="{634F3D0E-EEBA-4E9C-AC5E-00CBF965303C}"/>
    <cellStyle name="Normal 3 2 2 3 7 6 2" xfId="32476" xr:uid="{C572A5FD-9113-4B9F-BB1E-AB2BC7363BF9}"/>
    <cellStyle name="Normal 3 2 2 3 7 6 3" xfId="32477" xr:uid="{05BA87FD-D8C3-4D80-93ED-C561D31AFE24}"/>
    <cellStyle name="Normal 3 2 2 3 7 6 4" xfId="32478" xr:uid="{EE104931-7EDB-4F94-B42D-9BE5511B87B8}"/>
    <cellStyle name="Normal 3 2 2 3 7 6 5" xfId="32479" xr:uid="{4054FE7B-49A3-4EE8-9B97-A147DDCCB03B}"/>
    <cellStyle name="Normal 3 2 2 3 7 6 6" xfId="32480" xr:uid="{7B0EF304-BC06-4B2A-A9CB-3B191D54DA62}"/>
    <cellStyle name="Normal 3 2 2 3 7 7" xfId="32481" xr:uid="{2A4989AE-617C-417E-8AA2-98BF91165338}"/>
    <cellStyle name="Normal 3 2 2 3 7 8" xfId="32482" xr:uid="{EF802188-A7AB-40FD-BE5D-C54DD75FF3D1}"/>
    <cellStyle name="Normal 3 2 2 3 7 9" xfId="32483" xr:uid="{EBF915D5-169C-4462-9ED0-83DB6482965A}"/>
    <cellStyle name="Normal 3 2 2 3 8" xfId="32484" xr:uid="{FF578544-1EC5-49E3-9DB0-A8B612BF6738}"/>
    <cellStyle name="Normal 3 2 2 3 8 10" xfId="32485" xr:uid="{9305AB31-366D-47C4-86CF-E182C3FC9E24}"/>
    <cellStyle name="Normal 3 2 2 3 8 11" xfId="32486" xr:uid="{2088ADE8-9656-4891-984F-3E9C3A4EEDEB}"/>
    <cellStyle name="Normal 3 2 2 3 8 2" xfId="32487" xr:uid="{2CE2F50E-5A48-4AAD-A7C2-8D232D04965C}"/>
    <cellStyle name="Normal 3 2 2 3 8 2 2" xfId="32488" xr:uid="{FA1E2E50-1D43-4AE4-87F7-2F7D3D20B6F3}"/>
    <cellStyle name="Normal 3 2 2 3 8 2 3" xfId="32489" xr:uid="{FD7304A5-3DAD-43E4-B50B-6398CB9F81CB}"/>
    <cellStyle name="Normal 3 2 2 3 8 2 4" xfId="32490" xr:uid="{E1E87EA9-E5EB-4FDE-97FF-9495ADB42866}"/>
    <cellStyle name="Normal 3 2 2 3 8 2 5" xfId="32491" xr:uid="{7A2A95AC-F7C5-455A-9E3C-B7B62308083F}"/>
    <cellStyle name="Normal 3 2 2 3 8 2 6" xfId="32492" xr:uid="{14D3185E-2FBC-4BE1-9EAA-2668F854DD02}"/>
    <cellStyle name="Normal 3 2 2 3 8 3" xfId="32493" xr:uid="{2F3567A3-A769-484E-9319-0047A6B11909}"/>
    <cellStyle name="Normal 3 2 2 3 8 3 2" xfId="32494" xr:uid="{52DED953-899B-4CD0-8343-B03216FC9A56}"/>
    <cellStyle name="Normal 3 2 2 3 8 3 3" xfId="32495" xr:uid="{ACC3606B-BEC3-4B5D-8A40-3179A01B68DB}"/>
    <cellStyle name="Normal 3 2 2 3 8 3 4" xfId="32496" xr:uid="{D306B762-68E5-4F9B-BDDB-80D481B2CD03}"/>
    <cellStyle name="Normal 3 2 2 3 8 3 5" xfId="32497" xr:uid="{FD625EA0-81CD-4716-89C8-42D710B37F62}"/>
    <cellStyle name="Normal 3 2 2 3 8 3 6" xfId="32498" xr:uid="{BF8555B3-517B-4702-86D1-852A454DE15B}"/>
    <cellStyle name="Normal 3 2 2 3 8 4" xfId="32499" xr:uid="{14B4B8DB-B67C-4532-B180-00B7277ACA6C}"/>
    <cellStyle name="Normal 3 2 2 3 8 4 2" xfId="32500" xr:uid="{B012E199-A6B4-49DD-BCFC-F0D3EA8639CF}"/>
    <cellStyle name="Normal 3 2 2 3 8 4 3" xfId="32501" xr:uid="{F5142424-E39E-4355-A3FB-96D8F15FE621}"/>
    <cellStyle name="Normal 3 2 2 3 8 4 4" xfId="32502" xr:uid="{28A42103-DB2C-4922-B511-725602E9F63C}"/>
    <cellStyle name="Normal 3 2 2 3 8 4 5" xfId="32503" xr:uid="{57F9F70A-4F1F-41C8-9129-489A6349D6A8}"/>
    <cellStyle name="Normal 3 2 2 3 8 4 6" xfId="32504" xr:uid="{A71B005B-7659-47B2-B0C1-E01B7CBC2579}"/>
    <cellStyle name="Normal 3 2 2 3 8 5" xfId="32505" xr:uid="{AF46F5AB-B414-4A16-A500-E6ED83E78354}"/>
    <cellStyle name="Normal 3 2 2 3 8 5 2" xfId="32506" xr:uid="{56DA50F1-4067-44F5-A6D3-8EA2C14E1209}"/>
    <cellStyle name="Normal 3 2 2 3 8 5 3" xfId="32507" xr:uid="{EFFAE086-CE59-40F4-AEBB-33AE4F219D6D}"/>
    <cellStyle name="Normal 3 2 2 3 8 5 4" xfId="32508" xr:uid="{4D9C6F8C-49A8-4651-A258-E967A8B430B9}"/>
    <cellStyle name="Normal 3 2 2 3 8 5 5" xfId="32509" xr:uid="{92745952-952F-46C1-912E-4AD94B2A20CC}"/>
    <cellStyle name="Normal 3 2 2 3 8 5 6" xfId="32510" xr:uid="{BD0CC416-9EE8-405A-A8F2-C62766F507B5}"/>
    <cellStyle name="Normal 3 2 2 3 8 6" xfId="32511" xr:uid="{45847C44-44A1-4D69-A2D7-61533C83986D}"/>
    <cellStyle name="Normal 3 2 2 3 8 6 2" xfId="32512" xr:uid="{96A258A1-61A9-4D0D-9D1C-942710FF2AC8}"/>
    <cellStyle name="Normal 3 2 2 3 8 6 3" xfId="32513" xr:uid="{CE083169-C7DD-442C-8707-EEE086019D3E}"/>
    <cellStyle name="Normal 3 2 2 3 8 6 4" xfId="32514" xr:uid="{EAED9561-EC48-4942-849A-32B17734D018}"/>
    <cellStyle name="Normal 3 2 2 3 8 6 5" xfId="32515" xr:uid="{B9306C15-921C-4C75-AC11-F3F6EBC55A23}"/>
    <cellStyle name="Normal 3 2 2 3 8 6 6" xfId="32516" xr:uid="{B1D6DE86-8B4C-429C-AC07-20CBAAC3BB73}"/>
    <cellStyle name="Normal 3 2 2 3 8 7" xfId="32517" xr:uid="{274977EA-567C-443F-8A24-7D6EE9B5AD2F}"/>
    <cellStyle name="Normal 3 2 2 3 8 8" xfId="32518" xr:uid="{BADFFCC0-E1EE-4EB8-999C-6045A7013DCA}"/>
    <cellStyle name="Normal 3 2 2 3 8 9" xfId="32519" xr:uid="{68CBD3E4-370C-44AF-A700-99944A881968}"/>
    <cellStyle name="Normal 3 2 2 3 9" xfId="32520" xr:uid="{8ECE5FEF-886C-4440-8119-F7D4C51F7E6A}"/>
    <cellStyle name="Normal 3 2 2 3 9 10" xfId="32521" xr:uid="{B7A29A1C-5805-4630-AE4B-3F059073CBBB}"/>
    <cellStyle name="Normal 3 2 2 3 9 11" xfId="32522" xr:uid="{81A4FB6D-2468-4F13-8A4B-49C6D01670AD}"/>
    <cellStyle name="Normal 3 2 2 3 9 2" xfId="32523" xr:uid="{2F73D42E-799B-4E2B-B0B7-1900CF62E35B}"/>
    <cellStyle name="Normal 3 2 2 3 9 2 2" xfId="32524" xr:uid="{7B802885-F9EC-4918-8882-77FF1F129325}"/>
    <cellStyle name="Normal 3 2 2 3 9 2 3" xfId="32525" xr:uid="{B3A2E1EC-FFA6-4E4C-9FB1-ACA2EF5F8D90}"/>
    <cellStyle name="Normal 3 2 2 3 9 2 4" xfId="32526" xr:uid="{DBA73CCF-B7D0-4987-B745-E6AFAEF599C6}"/>
    <cellStyle name="Normal 3 2 2 3 9 2 5" xfId="32527" xr:uid="{1B2B601D-70B6-47C0-A60F-77794F3783BC}"/>
    <cellStyle name="Normal 3 2 2 3 9 2 6" xfId="32528" xr:uid="{584DBEF1-932F-4EBD-A97B-2EF9B7985F4E}"/>
    <cellStyle name="Normal 3 2 2 3 9 3" xfId="32529" xr:uid="{95496D45-DB46-4EBE-BFA2-222D79D70C7A}"/>
    <cellStyle name="Normal 3 2 2 3 9 3 2" xfId="32530" xr:uid="{5254560F-0E03-4634-983E-BCDEFA8B4FC4}"/>
    <cellStyle name="Normal 3 2 2 3 9 3 3" xfId="32531" xr:uid="{7BADCF98-44F5-43E1-89E4-28D1C10AACA1}"/>
    <cellStyle name="Normal 3 2 2 3 9 3 4" xfId="32532" xr:uid="{337D8EC7-A6D7-4540-BE50-61287AFDFF77}"/>
    <cellStyle name="Normal 3 2 2 3 9 3 5" xfId="32533" xr:uid="{C3FDB1AD-A80B-4301-A04A-C801A6E79466}"/>
    <cellStyle name="Normal 3 2 2 3 9 3 6" xfId="32534" xr:uid="{0643E8A9-B225-4593-B0AD-CAAB12F5B864}"/>
    <cellStyle name="Normal 3 2 2 3 9 4" xfId="32535" xr:uid="{3D3DECBC-5966-4CCC-9DEF-F903D6ED891A}"/>
    <cellStyle name="Normal 3 2 2 3 9 4 2" xfId="32536" xr:uid="{38788EEC-5058-42D8-AD0B-6F9ADC2EB530}"/>
    <cellStyle name="Normal 3 2 2 3 9 4 3" xfId="32537" xr:uid="{7A9E1FEE-1C2C-4780-AD2A-D2075A9BF292}"/>
    <cellStyle name="Normal 3 2 2 3 9 4 4" xfId="32538" xr:uid="{B43AE496-B445-43A3-9936-30A53D39917E}"/>
    <cellStyle name="Normal 3 2 2 3 9 4 5" xfId="32539" xr:uid="{2AD80228-D034-4D61-8144-BFBE4884A9A1}"/>
    <cellStyle name="Normal 3 2 2 3 9 4 6" xfId="32540" xr:uid="{BBFAA2F7-1B22-4278-98CA-168C7495405D}"/>
    <cellStyle name="Normal 3 2 2 3 9 5" xfId="32541" xr:uid="{E868A69A-AD9C-47D3-AA75-871134375238}"/>
    <cellStyle name="Normal 3 2 2 3 9 5 2" xfId="32542" xr:uid="{ED252AFF-386A-4BFC-9F2D-ED5AF5BFEB18}"/>
    <cellStyle name="Normal 3 2 2 3 9 5 3" xfId="32543" xr:uid="{098322D5-3F14-424E-B0BE-F35FF204C82C}"/>
    <cellStyle name="Normal 3 2 2 3 9 5 4" xfId="32544" xr:uid="{64D4AC23-FB40-4BC0-B91B-2ED43CB1E840}"/>
    <cellStyle name="Normal 3 2 2 3 9 5 5" xfId="32545" xr:uid="{2EBD4C95-5730-4DD5-ADAC-2666A322A970}"/>
    <cellStyle name="Normal 3 2 2 3 9 5 6" xfId="32546" xr:uid="{43FEA4B0-4B83-42FC-81E1-C0278509B9D2}"/>
    <cellStyle name="Normal 3 2 2 3 9 6" xfId="32547" xr:uid="{7B7CDFAA-F439-49CC-BE55-61EDD11A8834}"/>
    <cellStyle name="Normal 3 2 2 3 9 6 2" xfId="32548" xr:uid="{CF9B4B59-EAA3-4BC1-BF8D-5F7FBEC2A3E0}"/>
    <cellStyle name="Normal 3 2 2 3 9 6 3" xfId="32549" xr:uid="{9BE67603-090D-4145-9716-4AEA7E4CDD99}"/>
    <cellStyle name="Normal 3 2 2 3 9 6 4" xfId="32550" xr:uid="{CC2B81B1-0472-4BAD-8751-DA18C226A752}"/>
    <cellStyle name="Normal 3 2 2 3 9 6 5" xfId="32551" xr:uid="{6B7E021F-62BB-44EC-B80F-6E867EE2525D}"/>
    <cellStyle name="Normal 3 2 2 3 9 6 6" xfId="32552" xr:uid="{54A4C8D6-F051-43B7-AC18-E7CC99734EEB}"/>
    <cellStyle name="Normal 3 2 2 3 9 7" xfId="32553" xr:uid="{8F84DDE8-19E4-4DC7-B43C-406E989F6F33}"/>
    <cellStyle name="Normal 3 2 2 3 9 8" xfId="32554" xr:uid="{46477DB1-5E85-45F4-AFCA-657CD2C8A2F3}"/>
    <cellStyle name="Normal 3 2 2 3 9 9" xfId="32555" xr:uid="{30938867-7223-46F3-989E-75C81910C483}"/>
    <cellStyle name="Normal 3 2 2 30" xfId="32556" xr:uid="{A8797804-CBD3-4C5C-994E-C91200BBF848}"/>
    <cellStyle name="Normal 3 2 2 31" xfId="32557" xr:uid="{DDCD2974-1AD6-4CB1-BDEE-06E213408B64}"/>
    <cellStyle name="Normal 3 2 2 32" xfId="32558" xr:uid="{8BD64090-8A94-4EB1-9633-4244DCDC4E36}"/>
    <cellStyle name="Normal 3 2 2 33" xfId="32559" xr:uid="{C8D92296-3899-4960-9DCD-E79A6E80CBF5}"/>
    <cellStyle name="Normal 3 2 2 34" xfId="32560" xr:uid="{45456AAD-6534-4566-8CBB-7861339C392C}"/>
    <cellStyle name="Normal 3 2 2 35" xfId="32561" xr:uid="{233AA118-F3B5-4042-8F04-9E4F426A1061}"/>
    <cellStyle name="Normal 3 2 2 36" xfId="32562" xr:uid="{162D2AC7-A792-4D45-BAA5-81C0BBC29DEF}"/>
    <cellStyle name="Normal 3 2 2 37" xfId="32563" xr:uid="{72AB5D84-76A9-44DE-8B93-66970B177C05}"/>
    <cellStyle name="Normal 3 2 2 37 10" xfId="32564" xr:uid="{F41AF8E4-89B8-487A-A95B-3C599978774D}"/>
    <cellStyle name="Normal 3 2 2 37 11" xfId="32565" xr:uid="{626A0F62-2BB5-4D48-B414-C32EDACDBB40}"/>
    <cellStyle name="Normal 3 2 2 37 11 2" xfId="32566" xr:uid="{306687D7-64B0-4DFF-8178-5490C1C939DF}"/>
    <cellStyle name="Normal 3 2 2 37 11 3" xfId="32567" xr:uid="{647FD328-B035-4AC5-8E01-909C59806387}"/>
    <cellStyle name="Normal 3 2 2 37 11 4" xfId="32568" xr:uid="{2F8544D3-FA62-433B-812B-1518A23383CF}"/>
    <cellStyle name="Normal 3 2 2 37 12" xfId="32569" xr:uid="{BF1615EE-BFE7-47F7-8D56-E0BA7C176FB2}"/>
    <cellStyle name="Normal 3 2 2 37 13" xfId="32570" xr:uid="{9D79893E-B5EA-4F52-9CFD-2E9DBA78BC52}"/>
    <cellStyle name="Normal 3 2 2 37 14" xfId="32571" xr:uid="{77CA35A8-1A0D-43C3-A51C-C581A896CF49}"/>
    <cellStyle name="Normal 3 2 2 37 2" xfId="32572" xr:uid="{9041FF8E-D72C-4777-836B-0709F94E717D}"/>
    <cellStyle name="Normal 3 2 2 37 2 10" xfId="32573" xr:uid="{8C2B03F7-E6D6-4007-9F32-A6AB2BC5054B}"/>
    <cellStyle name="Normal 3 2 2 37 2 11" xfId="32574" xr:uid="{60F1FCE5-29E3-45EE-8618-BE74D7CDFA7F}"/>
    <cellStyle name="Normal 3 2 2 37 2 2" xfId="32575" xr:uid="{12544933-0126-4437-B22C-C930236DE6CB}"/>
    <cellStyle name="Normal 3 2 2 37 2 2 10" xfId="32576" xr:uid="{18082F6A-4D0D-4FCC-AA4C-163A08D50122}"/>
    <cellStyle name="Normal 3 2 2 37 2 2 11" xfId="32577" xr:uid="{7FB97B10-F44B-476C-80E2-0AA141C5AD40}"/>
    <cellStyle name="Normal 3 2 2 37 2 2 2" xfId="32578" xr:uid="{96755515-DD9C-4F90-95A6-DB3B22B1E7D2}"/>
    <cellStyle name="Normal 3 2 2 37 2 2 2 2" xfId="32579" xr:uid="{1D8715BE-7277-4B18-BD5A-930AF86655F8}"/>
    <cellStyle name="Normal 3 2 2 37 2 2 2 2 2" xfId="32580" xr:uid="{03DF1500-3747-4598-A82A-51ABE4DAA841}"/>
    <cellStyle name="Normal 3 2 2 37 2 2 2 2 3" xfId="32581" xr:uid="{2BE07C0A-19A9-4542-BEF4-9BBF73CA24F4}"/>
    <cellStyle name="Normal 3 2 2 37 2 2 2 2 4" xfId="32582" xr:uid="{9C83F777-8808-4F2A-8424-83FAEAC1DBD5}"/>
    <cellStyle name="Normal 3 2 2 37 2 2 2 3" xfId="32583" xr:uid="{C66D23CD-A957-4ED8-A258-8FC59609C1B9}"/>
    <cellStyle name="Normal 3 2 2 37 2 2 2 4" xfId="32584" xr:uid="{4FB3C754-FC20-47CE-88AD-2A206630030D}"/>
    <cellStyle name="Normal 3 2 2 37 2 2 2 5" xfId="32585" xr:uid="{3AB90D05-9ECA-4CF5-B49D-8D3A2EFC85C2}"/>
    <cellStyle name="Normal 3 2 2 37 2 2 2 6" xfId="32586" xr:uid="{02488EFC-78B1-4D7C-A23F-BD22D4A696DD}"/>
    <cellStyle name="Normal 3 2 2 37 2 2 3" xfId="32587" xr:uid="{5756141C-B9E4-4C96-86D8-5F0150C2B307}"/>
    <cellStyle name="Normal 3 2 2 37 2 2 4" xfId="32588" xr:uid="{6D73C52A-9B80-4142-BF8B-0AEBB28CD814}"/>
    <cellStyle name="Normal 3 2 2 37 2 2 5" xfId="32589" xr:uid="{88406AAA-056D-4105-BEC3-B6E3A119688C}"/>
    <cellStyle name="Normal 3 2 2 37 2 2 6" xfId="32590" xr:uid="{AE9C501F-A915-43F7-B0CC-16071FC9D04D}"/>
    <cellStyle name="Normal 3 2 2 37 2 2 7" xfId="32591" xr:uid="{53502CCE-757F-4A44-B502-C80D74989E04}"/>
    <cellStyle name="Normal 3 2 2 37 2 2 8" xfId="32592" xr:uid="{F2B9EA53-E813-421C-8691-26B10564FBD0}"/>
    <cellStyle name="Normal 3 2 2 37 2 2 8 2" xfId="32593" xr:uid="{0D7E4BD6-BEB9-4BFF-AF35-0CA5E69CD006}"/>
    <cellStyle name="Normal 3 2 2 37 2 2 8 3" xfId="32594" xr:uid="{5B5B230C-B19D-4703-9DB1-DBA57E6869EC}"/>
    <cellStyle name="Normal 3 2 2 37 2 2 8 4" xfId="32595" xr:uid="{FB87CDDC-664A-478B-ACDE-C8E09C71CD01}"/>
    <cellStyle name="Normal 3 2 2 37 2 2 9" xfId="32596" xr:uid="{3318FAEC-900B-491D-A597-5169B4AB7A8F}"/>
    <cellStyle name="Normal 3 2 2 37 2 3" xfId="32597" xr:uid="{BCC00648-0B9E-4C52-AE11-8E9D8834B8C6}"/>
    <cellStyle name="Normal 3 2 2 37 2 3 2" xfId="32598" xr:uid="{CDA5A7C6-7E7D-44B0-A09A-854E524A1571}"/>
    <cellStyle name="Normal 3 2 2 37 2 3 2 2" xfId="32599" xr:uid="{40FB1F5C-AA94-4C09-B788-251A2B63F9E6}"/>
    <cellStyle name="Normal 3 2 2 37 2 3 2 3" xfId="32600" xr:uid="{9E93686B-B82A-438F-8662-B9414F4AAF5F}"/>
    <cellStyle name="Normal 3 2 2 37 2 3 2 4" xfId="32601" xr:uid="{2E2FADE6-7A8C-4503-96D1-FBA04C07AD1D}"/>
    <cellStyle name="Normal 3 2 2 37 2 3 3" xfId="32602" xr:uid="{DDEA94D5-BDD7-40CC-AFA7-1C574CDE74FA}"/>
    <cellStyle name="Normal 3 2 2 37 2 3 4" xfId="32603" xr:uid="{AB379296-BD3B-42FF-989D-B59550D3F8AC}"/>
    <cellStyle name="Normal 3 2 2 37 2 3 5" xfId="32604" xr:uid="{FFDB5B5E-1468-4B7E-BA2D-75BEF05432B5}"/>
    <cellStyle name="Normal 3 2 2 37 2 3 6" xfId="32605" xr:uid="{9F19735B-2237-488C-81BD-C1D317AD7640}"/>
    <cellStyle name="Normal 3 2 2 37 2 4" xfId="32606" xr:uid="{A1ECC07A-632A-4FB1-A7E8-2EF6811744E9}"/>
    <cellStyle name="Normal 3 2 2 37 2 5" xfId="32607" xr:uid="{B1B927B3-0773-49D9-84DB-37A06480903B}"/>
    <cellStyle name="Normal 3 2 2 37 2 6" xfId="32608" xr:uid="{A4E698B7-0E1D-4B25-87A2-0BCF5059F4E5}"/>
    <cellStyle name="Normal 3 2 2 37 2 7" xfId="32609" xr:uid="{9524E8C2-4A61-40CC-B14B-BF5FBC21ACBD}"/>
    <cellStyle name="Normal 3 2 2 37 2 8" xfId="32610" xr:uid="{95C386A9-75DD-49F4-928D-D2404E775578}"/>
    <cellStyle name="Normal 3 2 2 37 2 8 2" xfId="32611" xr:uid="{E2B95B3D-4FB1-4E41-A62F-BDF99F08430D}"/>
    <cellStyle name="Normal 3 2 2 37 2 8 3" xfId="32612" xr:uid="{437FFCF3-8C85-4853-B0E1-771DA9897E01}"/>
    <cellStyle name="Normal 3 2 2 37 2 8 4" xfId="32613" xr:uid="{8E04A983-3BFA-408E-B4D4-5E697329ED0F}"/>
    <cellStyle name="Normal 3 2 2 37 2 9" xfId="32614" xr:uid="{9A72F4BE-4BB9-4D87-8A2E-C2ACB56D0765}"/>
    <cellStyle name="Normal 3 2 2 37 3" xfId="32615" xr:uid="{03B9EB2E-E1AE-45D0-857D-1504A83401F5}"/>
    <cellStyle name="Normal 3 2 2 37 4" xfId="32616" xr:uid="{5D120F93-01CC-4AE4-A1B1-92DDB9818DAB}"/>
    <cellStyle name="Normal 3 2 2 37 5" xfId="32617" xr:uid="{1A6E7EB9-D46E-431F-8ACC-A3F545CABE83}"/>
    <cellStyle name="Normal 3 2 2 37 5 2" xfId="32618" xr:uid="{0EAB2BAC-46E9-40C2-8AAC-D55AD4E0B5F1}"/>
    <cellStyle name="Normal 3 2 2 37 5 2 2" xfId="32619" xr:uid="{5F89B3F2-98E5-45B0-BBF7-5C41D2003031}"/>
    <cellStyle name="Normal 3 2 2 37 5 2 3" xfId="32620" xr:uid="{A1D4FDAA-383A-4A32-AF6C-CFB19DF7826B}"/>
    <cellStyle name="Normal 3 2 2 37 5 2 4" xfId="32621" xr:uid="{80C8F15E-A6DC-4D69-A7A9-08A6CF251905}"/>
    <cellStyle name="Normal 3 2 2 37 5 3" xfId="32622" xr:uid="{14B3C7E5-712A-4551-A6C9-917840682464}"/>
    <cellStyle name="Normal 3 2 2 37 5 4" xfId="32623" xr:uid="{BC9A4CCE-ABC4-4076-921F-5906F4BB256E}"/>
    <cellStyle name="Normal 3 2 2 37 5 5" xfId="32624" xr:uid="{B63006B9-7F6E-4907-B8A8-951FCDD7E1C3}"/>
    <cellStyle name="Normal 3 2 2 37 5 6" xfId="32625" xr:uid="{A3AC0362-8C65-4828-8C22-78E4A3829FA5}"/>
    <cellStyle name="Normal 3 2 2 37 6" xfId="32626" xr:uid="{94002D66-8DB1-48ED-B423-8E59ED3D30FA}"/>
    <cellStyle name="Normal 3 2 2 37 7" xfId="32627" xr:uid="{47028329-21F8-48C6-9516-8D49E4BEF242}"/>
    <cellStyle name="Normal 3 2 2 37 8" xfId="32628" xr:uid="{E214F4DB-CFC7-4696-83B6-59F06E0E1B9B}"/>
    <cellStyle name="Normal 3 2 2 37 9" xfId="32629" xr:uid="{77C89DD2-2C65-4CC2-B3EF-2F4491BA03A5}"/>
    <cellStyle name="Normal 3 2 2 38" xfId="32630" xr:uid="{41934007-98FB-473F-8E2C-47B68CE15BCE}"/>
    <cellStyle name="Normal 3 2 2 39" xfId="32631" xr:uid="{6B92BAA3-9FEA-4F00-A87E-2004F37AED47}"/>
    <cellStyle name="Normal 3 2 2 39 10" xfId="32632" xr:uid="{E5AE6DA0-5EE5-468C-A5AF-9BB63F53421C}"/>
    <cellStyle name="Normal 3 2 2 39 11" xfId="32633" xr:uid="{0DF45430-5D91-4998-A7A4-6FA9D3349989}"/>
    <cellStyle name="Normal 3 2 2 39 2" xfId="32634" xr:uid="{50E0A1E8-EFC2-4CFC-B11C-E7EA0C9F5FCD}"/>
    <cellStyle name="Normal 3 2 2 39 2 10" xfId="32635" xr:uid="{2C9F99BC-97BB-4133-947A-701A56970AE2}"/>
    <cellStyle name="Normal 3 2 2 39 2 11" xfId="32636" xr:uid="{25EE7512-75DC-487D-9283-C861A576D584}"/>
    <cellStyle name="Normal 3 2 2 39 2 2" xfId="32637" xr:uid="{38E70BFA-6A51-494B-9247-5FC757090402}"/>
    <cellStyle name="Normal 3 2 2 39 2 2 2" xfId="32638" xr:uid="{3BDC39EB-C65D-49A9-9B9A-6BC05928956F}"/>
    <cellStyle name="Normal 3 2 2 39 2 2 2 2" xfId="32639" xr:uid="{B3BE8189-738E-45EB-A409-189BBC398E22}"/>
    <cellStyle name="Normal 3 2 2 39 2 2 2 3" xfId="32640" xr:uid="{59755D56-5F28-4B7C-96AF-6363969D24F1}"/>
    <cellStyle name="Normal 3 2 2 39 2 2 2 4" xfId="32641" xr:uid="{855915C5-A103-4876-A91B-8B1B943B2FB5}"/>
    <cellStyle name="Normal 3 2 2 39 2 2 3" xfId="32642" xr:uid="{3FEF6939-63CA-49B5-852B-202309719DAE}"/>
    <cellStyle name="Normal 3 2 2 39 2 2 4" xfId="32643" xr:uid="{60B5823E-8D39-4F0F-8771-521FB6EA12A0}"/>
    <cellStyle name="Normal 3 2 2 39 2 2 5" xfId="32644" xr:uid="{B9694CC9-9407-4C1F-AC57-05D774BA8CE6}"/>
    <cellStyle name="Normal 3 2 2 39 2 2 6" xfId="32645" xr:uid="{A98B1F01-6B79-489A-8765-3BC86236CFFE}"/>
    <cellStyle name="Normal 3 2 2 39 2 3" xfId="32646" xr:uid="{6C0C8CC9-F3E5-4D9F-AC28-0A8416C46E7F}"/>
    <cellStyle name="Normal 3 2 2 39 2 4" xfId="32647" xr:uid="{C41C704B-0BCB-4C6C-94DD-7AB6E260DBA0}"/>
    <cellStyle name="Normal 3 2 2 39 2 5" xfId="32648" xr:uid="{D47A7222-BE36-465F-9918-B0D2B668A4AB}"/>
    <cellStyle name="Normal 3 2 2 39 2 6" xfId="32649" xr:uid="{52479B75-1109-4CD6-8E2F-394B2DD94192}"/>
    <cellStyle name="Normal 3 2 2 39 2 7" xfId="32650" xr:uid="{C0E7924D-D001-4FB5-8532-7F25B42A0C3E}"/>
    <cellStyle name="Normal 3 2 2 39 2 8" xfId="32651" xr:uid="{7E5707A2-00CC-48B0-9CD1-8CFCA7796485}"/>
    <cellStyle name="Normal 3 2 2 39 2 8 2" xfId="32652" xr:uid="{F36515E8-5EE8-4EAB-BBDA-C1F3DB7ABDCF}"/>
    <cellStyle name="Normal 3 2 2 39 2 8 3" xfId="32653" xr:uid="{157E6189-6571-4BD3-B92E-5C61533F3598}"/>
    <cellStyle name="Normal 3 2 2 39 2 8 4" xfId="32654" xr:uid="{3123744A-6F9D-4A77-A5A5-9115101C1B3F}"/>
    <cellStyle name="Normal 3 2 2 39 2 9" xfId="32655" xr:uid="{FCE97845-5BA3-4B88-BCBB-419179089223}"/>
    <cellStyle name="Normal 3 2 2 39 3" xfId="32656" xr:uid="{DB4F5DB6-FB55-4A42-992C-2610F5C37A6E}"/>
    <cellStyle name="Normal 3 2 2 39 3 2" xfId="32657" xr:uid="{196BF72F-66CD-4EFA-BFBB-1150C966BFBF}"/>
    <cellStyle name="Normal 3 2 2 39 3 2 2" xfId="32658" xr:uid="{C0629431-EFB7-4DA5-9ACB-BC778A6DADC8}"/>
    <cellStyle name="Normal 3 2 2 39 3 2 3" xfId="32659" xr:uid="{8D442CCE-E33E-4916-B347-81CD93D468B7}"/>
    <cellStyle name="Normal 3 2 2 39 3 2 4" xfId="32660" xr:uid="{53570916-55DD-4F55-AE40-951EDC7EB072}"/>
    <cellStyle name="Normal 3 2 2 39 3 3" xfId="32661" xr:uid="{823156EB-CE1D-4E3E-860F-9208616C6ABF}"/>
    <cellStyle name="Normal 3 2 2 39 3 4" xfId="32662" xr:uid="{89479C87-0C4F-42AC-8790-DA36F7B0B059}"/>
    <cellStyle name="Normal 3 2 2 39 3 5" xfId="32663" xr:uid="{E42C3027-4403-4A81-9FA8-4147C8F788DE}"/>
    <cellStyle name="Normal 3 2 2 39 3 6" xfId="32664" xr:uid="{0D9CCDB2-7514-45AE-B2D5-EEEBEB34B681}"/>
    <cellStyle name="Normal 3 2 2 39 4" xfId="32665" xr:uid="{B648A2B8-D3F2-4901-9B90-DADABDC205C4}"/>
    <cellStyle name="Normal 3 2 2 39 5" xfId="32666" xr:uid="{7FE8EE91-F4D3-4DF1-B042-D4BB4D755846}"/>
    <cellStyle name="Normal 3 2 2 39 6" xfId="32667" xr:uid="{1412F1C9-EC0B-4F39-A2AD-3C603E7657AE}"/>
    <cellStyle name="Normal 3 2 2 39 7" xfId="32668" xr:uid="{E73EA6FA-288B-496C-AC6C-3986A50EA078}"/>
    <cellStyle name="Normal 3 2 2 39 8" xfId="32669" xr:uid="{B5E7375B-451E-4DC0-8DCD-E87FA6B8C928}"/>
    <cellStyle name="Normal 3 2 2 39 8 2" xfId="32670" xr:uid="{B7DD6A3F-9831-4B08-A2AA-E5795E2F396F}"/>
    <cellStyle name="Normal 3 2 2 39 8 3" xfId="32671" xr:uid="{215D720E-960A-4277-948A-05DF454BCEA4}"/>
    <cellStyle name="Normal 3 2 2 39 8 4" xfId="32672" xr:uid="{BA004D90-582D-455F-AB8F-7E55FF5E61E3}"/>
    <cellStyle name="Normal 3 2 2 39 9" xfId="32673" xr:uid="{0C43A06A-57CF-455E-B4A8-2E65BE7AB475}"/>
    <cellStyle name="Normal 3 2 2 4" xfId="32674" xr:uid="{2F6BAFAF-B729-4AA0-8E68-A4971DE0A5EE}"/>
    <cellStyle name="Normal 3 2 2 40" xfId="32675" xr:uid="{B1DB5CC7-CDD8-4CB5-8BAF-39901B249167}"/>
    <cellStyle name="Normal 3 2 2 41" xfId="32676" xr:uid="{79A7807F-92E2-4388-BFBE-CA213A32DADE}"/>
    <cellStyle name="Normal 3 2 2 41 2" xfId="32677" xr:uid="{83A2ACA4-4E6A-4D13-BC00-40DA44A3EE9E}"/>
    <cellStyle name="Normal 3 2 2 41 2 2" xfId="32678" xr:uid="{5B801E92-9E76-47FA-9F3B-86D5726371C1}"/>
    <cellStyle name="Normal 3 2 2 41 2 3" xfId="32679" xr:uid="{F6522F9B-CBB6-4DF6-949F-EAA29431E2CC}"/>
    <cellStyle name="Normal 3 2 2 41 2 4" xfId="32680" xr:uid="{8875C44A-255D-463D-8D8B-BEC404374ED4}"/>
    <cellStyle name="Normal 3 2 2 41 3" xfId="32681" xr:uid="{AB3D4E91-9491-48E5-9ACE-5BD23F9ED3E4}"/>
    <cellStyle name="Normal 3 2 2 41 4" xfId="32682" xr:uid="{4FA1EA3F-A975-462E-A0E3-4E5B68526035}"/>
    <cellStyle name="Normal 3 2 2 41 5" xfId="32683" xr:uid="{4D48C472-8D8F-4F18-826E-9B350FD298EB}"/>
    <cellStyle name="Normal 3 2 2 41 6" xfId="32684" xr:uid="{214775DE-037F-4641-9D73-68732C89DDC3}"/>
    <cellStyle name="Normal 3 2 2 42" xfId="32685" xr:uid="{CAB5A4AE-CF8F-4077-8254-31C0AF58E025}"/>
    <cellStyle name="Normal 3 2 2 43" xfId="32686" xr:uid="{A8F7B58B-3ECA-4DBB-B205-751FA442C2FB}"/>
    <cellStyle name="Normal 3 2 2 44" xfId="32687" xr:uid="{4FA075A3-7676-43FB-9CC2-F8DA1F1C2E2F}"/>
    <cellStyle name="Normal 3 2 2 45" xfId="32688" xr:uid="{8BD80278-05FD-4B42-AF18-55F4031B2859}"/>
    <cellStyle name="Normal 3 2 2 46" xfId="32689" xr:uid="{462BD1D9-373B-4B45-971F-3A56466A1D79}"/>
    <cellStyle name="Normal 3 2 2 47" xfId="32690" xr:uid="{119EA269-31D5-4A48-BDBA-5B41C8E632D6}"/>
    <cellStyle name="Normal 3 2 2 47 2" xfId="32691" xr:uid="{C215D08E-947F-463D-BAFD-65F2131FD0ED}"/>
    <cellStyle name="Normal 3 2 2 47 3" xfId="32692" xr:uid="{BE141D10-DB6B-4A6C-B028-B24267C2B251}"/>
    <cellStyle name="Normal 3 2 2 47 4" xfId="32693" xr:uid="{B4707591-3D52-4273-9480-D12044C0340F}"/>
    <cellStyle name="Normal 3 2 2 48" xfId="32694" xr:uid="{8638A156-1045-48BD-A0D5-9F112F861E9A}"/>
    <cellStyle name="Normal 3 2 2 49" xfId="32695" xr:uid="{17E54160-6B41-40AA-B41D-490705A0BBA2}"/>
    <cellStyle name="Normal 3 2 2 5" xfId="32696" xr:uid="{75FE5A6D-F47A-4239-B422-7C4641A1F330}"/>
    <cellStyle name="Normal 3 2 2 50" xfId="32697" xr:uid="{6421EEE0-3D03-412B-A537-F10713000A8D}"/>
    <cellStyle name="Normal 3 2 2 51" xfId="32698" xr:uid="{B331AF60-FC61-485F-BAC8-E90C415C9884}"/>
    <cellStyle name="Normal 3 2 2 52" xfId="32699" xr:uid="{2D87E799-82CF-407B-8ECB-8C26259D72A4}"/>
    <cellStyle name="Normal 3 2 2 53" xfId="32700" xr:uid="{2A4FBC04-AA3A-48DE-BE72-81DE1FE3192C}"/>
    <cellStyle name="Normal 3 2 2 54" xfId="32701" xr:uid="{701A1A81-D6F6-4B6B-8152-89ED87B21DA9}"/>
    <cellStyle name="Normal 3 2 2 55" xfId="32702" xr:uid="{B5D46945-5A9B-4118-8B26-7335A321334A}"/>
    <cellStyle name="Normal 3 2 2 56" xfId="32703" xr:uid="{DE550F75-B524-4228-BA97-5B4C74CCC84B}"/>
    <cellStyle name="Normal 3 2 2 57" xfId="32704" xr:uid="{04C74A45-6C9B-4C98-9198-3235F8D70F68}"/>
    <cellStyle name="Normal 3 2 2 58" xfId="32705" xr:uid="{047A594B-95F0-4B03-BC08-1165AD488A99}"/>
    <cellStyle name="Normal 3 2 2 59" xfId="32706" xr:uid="{6D9B5666-61B8-4C8C-ABBC-6215D3C0E871}"/>
    <cellStyle name="Normal 3 2 2 6" xfId="32707" xr:uid="{DA041BC2-B73A-4FED-BE26-CC2C5C35CFBD}"/>
    <cellStyle name="Normal 3 2 2 60" xfId="32708" xr:uid="{6E7589AD-A756-4E2B-BF88-116DCC73BEBD}"/>
    <cellStyle name="Normal 3 2 2 61" xfId="32709" xr:uid="{7E58AE1E-0297-4707-90DC-3073F5FFEF1A}"/>
    <cellStyle name="Normal 3 2 2 62" xfId="32710" xr:uid="{22B6A0C1-8661-412A-8AD1-04D657DB7359}"/>
    <cellStyle name="Normal 3 2 2 62 2" xfId="32711" xr:uid="{2C4CE41E-52A8-452C-9EBA-3013C5C8C42F}"/>
    <cellStyle name="Normal 3 2 2 62 3" xfId="32712" xr:uid="{58F61CC2-CAB6-4AC8-A16B-76DE9CA21DC3}"/>
    <cellStyle name="Normal 3 2 2 62 4" xfId="32713" xr:uid="{9EF230A1-DDFE-44ED-B348-82C2B9E613D0}"/>
    <cellStyle name="Normal 3 2 2 62 5" xfId="32714" xr:uid="{BE917551-76B8-44BA-8946-307932A9D80B}"/>
    <cellStyle name="Normal 3 2 2 62 6" xfId="32715" xr:uid="{5308C2E1-F475-4ED4-867D-D2938844C54A}"/>
    <cellStyle name="Normal 3 2 2 62 7" xfId="32716" xr:uid="{0F2A68FA-4A80-449F-9C97-41FADCAFCFB3}"/>
    <cellStyle name="Normal 3 2 2 63" xfId="32717" xr:uid="{5020012D-3684-4611-A58D-A4924ACCF9BC}"/>
    <cellStyle name="Normal 3 2 2 64" xfId="32718" xr:uid="{B5C889F1-193C-4EBA-8E5C-F1E11E17D653}"/>
    <cellStyle name="Normal 3 2 2 65" xfId="32719" xr:uid="{92A6B174-5CF4-42E0-A993-A24087597DD4}"/>
    <cellStyle name="Normal 3 2 2 66" xfId="32720" xr:uid="{3B0B6A6F-6C18-479C-AC43-A1E776080C7F}"/>
    <cellStyle name="Normal 3 2 2 67" xfId="32721" xr:uid="{D3631962-A7CB-4BA1-B859-361D23A251BF}"/>
    <cellStyle name="Normal 3 2 2 68" xfId="32722" xr:uid="{10F3AF08-3115-4233-83DA-D80CD638A6C1}"/>
    <cellStyle name="Normal 3 2 2 69" xfId="32723" xr:uid="{40BD2C77-DC54-4185-8F42-82A00406805D}"/>
    <cellStyle name="Normal 3 2 2 7" xfId="32724" xr:uid="{65E5D0C1-239A-422A-808C-901526FDF62E}"/>
    <cellStyle name="Normal 3 2 2 70" xfId="32725" xr:uid="{DCC351D4-1FDB-4810-992D-D6A04BAECA68}"/>
    <cellStyle name="Normal 3 2 2 71" xfId="32726" xr:uid="{713CC518-F19D-4C55-AF97-F6C120D52437}"/>
    <cellStyle name="Normal 3 2 2 72" xfId="32727" xr:uid="{A4EEB3EF-32C1-462D-8DDF-5180EA22E875}"/>
    <cellStyle name="Normal 3 2 2 73" xfId="32728" xr:uid="{42768440-2CE3-420E-AFC7-2490DC4A3B35}"/>
    <cellStyle name="Normal 3 2 2 74" xfId="32729" xr:uid="{89B3E6F1-C773-45C8-85EC-DF5FA503D870}"/>
    <cellStyle name="Normal 3 2 2 75" xfId="32730" xr:uid="{F18194DB-A8C9-48EF-BC6E-B1AD2FC7BF34}"/>
    <cellStyle name="Normal 3 2 2 76" xfId="32731" xr:uid="{96721C41-E329-4D13-AD52-D8AA5EE1702A}"/>
    <cellStyle name="Normal 3 2 2 77" xfId="32732" xr:uid="{2AB8775C-496C-4E92-87E2-18D1E68A8B07}"/>
    <cellStyle name="Normal 3 2 2 78" xfId="32733" xr:uid="{AD85CA8A-B6B1-4499-A19C-CEE4847D417A}"/>
    <cellStyle name="Normal 3 2 2 79" xfId="32734" xr:uid="{EA29947A-4B97-44CF-AFE3-08E095315109}"/>
    <cellStyle name="Normal 3 2 2 8" xfId="32735" xr:uid="{8F3E5FEB-7616-42E7-AEF4-F3FE8EE19AEB}"/>
    <cellStyle name="Normal 3 2 2 80" xfId="32736" xr:uid="{7582B1C9-783D-47DD-B591-1563AAF880DE}"/>
    <cellStyle name="Normal 3 2 2 81" xfId="32737" xr:uid="{2D86DB0F-7F20-4A30-A404-38A4B99399E5}"/>
    <cellStyle name="Normal 3 2 2 82" xfId="32738" xr:uid="{6A0952A9-98CA-47EC-9474-994E4FC32FD9}"/>
    <cellStyle name="Normal 3 2 2 83" xfId="32739" xr:uid="{D91022ED-CC6A-4AA2-A6CE-0E602856F942}"/>
    <cellStyle name="Normal 3 2 2 84" xfId="32740" xr:uid="{CC6F8867-A863-405E-A674-F9EC127A290F}"/>
    <cellStyle name="Normal 3 2 2 85" xfId="32741" xr:uid="{00324829-3BFA-4305-B661-ADF296C78E60}"/>
    <cellStyle name="Normal 3 2 2 86" xfId="32742" xr:uid="{740DE7FB-F207-4A95-8B83-85E0CADA475A}"/>
    <cellStyle name="Normal 3 2 2 87" xfId="32743" xr:uid="{14A7725C-E4AF-412B-A05A-5F4B993F7EFD}"/>
    <cellStyle name="Normal 3 2 2 88" xfId="32744" xr:uid="{C640CB8C-3CEF-49F4-9081-AC374B01E909}"/>
    <cellStyle name="Normal 3 2 2 89" xfId="32745" xr:uid="{D69798DD-5450-4486-9C4A-B3CC1A63A15E}"/>
    <cellStyle name="Normal 3 2 2 9" xfId="32746" xr:uid="{2F29B0E5-6D90-4671-88C5-0908B8146369}"/>
    <cellStyle name="Normal 3 2 2 90" xfId="32747" xr:uid="{82F2B7E5-F0CD-4A74-8D01-8A39FA586260}"/>
    <cellStyle name="Normal 3 2 2 91" xfId="32748" xr:uid="{DD9FB416-3EA8-445B-AEF7-CF33B8637067}"/>
    <cellStyle name="Normal 3 2 2 92" xfId="32749" xr:uid="{EE0E2E01-304C-4F28-B6AC-2ABCFB4A3C1C}"/>
    <cellStyle name="Normal 3 2 2 93" xfId="32750" xr:uid="{BA00758A-0E86-4AF5-87FF-367591EAFD4A}"/>
    <cellStyle name="Normal 3 2 2 94" xfId="32751" xr:uid="{57139904-AA4B-4C38-8921-0CD96F8B2AAD}"/>
    <cellStyle name="Normal 3 2 2 94 2" xfId="32752" xr:uid="{0EB412C1-5AEC-4876-9A45-B3B65B891C66}"/>
    <cellStyle name="Normal 3 2 2 94 3" xfId="32753" xr:uid="{CEA9BB31-0C6E-4681-929A-F0AD6EFCC80A}"/>
    <cellStyle name="Normal 3 2 2 94 4" xfId="32754" xr:uid="{B6ABD544-5C5B-48D7-9665-5AD083B8F1C3}"/>
    <cellStyle name="Normal 3 2 2 95" xfId="32755" xr:uid="{D6758E29-C21D-4758-9D0A-3267DAB6D489}"/>
    <cellStyle name="Normal 3 2 2 96" xfId="32756" xr:uid="{CBEFECF6-64A9-4ED6-BB9B-5A012FDB8095}"/>
    <cellStyle name="Normal 3 2 2 97" xfId="32757" xr:uid="{2E52ADA6-6BEA-4C57-8277-0A81075CD779}"/>
    <cellStyle name="Normal 3 2 2 98" xfId="32758" xr:uid="{43245AF0-EABD-48A5-9F3C-9E2D9F03FD3D}"/>
    <cellStyle name="Normal 3 2 2 99" xfId="23889" xr:uid="{6D1C5F58-EF9B-42A6-B4EA-6AE04770E170}"/>
    <cellStyle name="Normal 3 2 20" xfId="32759" xr:uid="{A11FA101-98DF-47D9-BEC0-DF0DCE8BA338}"/>
    <cellStyle name="Normal 3 2 20 10" xfId="32760" xr:uid="{C969E70E-2A34-40DD-86AC-7A29CEC48BAE}"/>
    <cellStyle name="Normal 3 2 20 11" xfId="32761" xr:uid="{73C7A5E6-A1E4-4190-A8FC-BF4851A425D3}"/>
    <cellStyle name="Normal 3 2 20 2" xfId="32762" xr:uid="{90AF5DFD-A772-4DB6-AA13-19A91DBB77FD}"/>
    <cellStyle name="Normal 3 2 20 2 2" xfId="32763" xr:uid="{55B47C85-7CE2-4838-8511-D964100D06F9}"/>
    <cellStyle name="Normal 3 2 20 2 3" xfId="32764" xr:uid="{14935D45-F937-4F47-9DF7-9DC651F1D37B}"/>
    <cellStyle name="Normal 3 2 20 2 4" xfId="32765" xr:uid="{311182EE-1342-440D-A4EC-1DF56E28903E}"/>
    <cellStyle name="Normal 3 2 20 2 5" xfId="32766" xr:uid="{10E4E89E-895A-42F8-8DE9-BC79313B8C91}"/>
    <cellStyle name="Normal 3 2 20 2 6" xfId="32767" xr:uid="{B7C8E466-3034-491F-8F3F-D82CA9D8769F}"/>
    <cellStyle name="Normal 3 2 20 3" xfId="32768" xr:uid="{6F4D78BB-F9F0-4226-A466-542E74EDCC9D}"/>
    <cellStyle name="Normal 3 2 20 3 2" xfId="32769" xr:uid="{78A51445-16AC-40AA-A442-07E4EBB467A7}"/>
    <cellStyle name="Normal 3 2 20 3 3" xfId="32770" xr:uid="{30604DBA-0570-41BF-97D4-63AA178AF33D}"/>
    <cellStyle name="Normal 3 2 20 3 4" xfId="32771" xr:uid="{02BD489E-E610-46FF-B20E-25233012C2BE}"/>
    <cellStyle name="Normal 3 2 20 3 5" xfId="32772" xr:uid="{B9FBEF65-DADA-4745-9B93-0F036DC20DDA}"/>
    <cellStyle name="Normal 3 2 20 3 6" xfId="32773" xr:uid="{5FF07772-C18E-47A6-A644-E2B1A9AEB604}"/>
    <cellStyle name="Normal 3 2 20 4" xfId="32774" xr:uid="{DA1F48E3-36EF-4D6D-A263-499C9C2E568D}"/>
    <cellStyle name="Normal 3 2 20 4 2" xfId="32775" xr:uid="{9DCEFB87-7113-4012-AB20-1A7EB4326F7B}"/>
    <cellStyle name="Normal 3 2 20 4 3" xfId="32776" xr:uid="{1C40DB1A-C502-483E-973F-B32CEC4C17D6}"/>
    <cellStyle name="Normal 3 2 20 4 4" xfId="32777" xr:uid="{52521372-0A37-453F-8A5B-37522B852E00}"/>
    <cellStyle name="Normal 3 2 20 4 5" xfId="32778" xr:uid="{E4E8AB28-DC19-4222-8D88-740C62BB65E6}"/>
    <cellStyle name="Normal 3 2 20 4 6" xfId="32779" xr:uid="{A3B647EB-A55C-450B-990F-576E27BFA644}"/>
    <cellStyle name="Normal 3 2 20 5" xfId="32780" xr:uid="{3C93D606-CAEE-43C5-ABE3-15F68507B091}"/>
    <cellStyle name="Normal 3 2 20 5 2" xfId="32781" xr:uid="{394E3F4F-EF43-47C3-A261-606D32F437F4}"/>
    <cellStyle name="Normal 3 2 20 5 3" xfId="32782" xr:uid="{F756C3EE-2DED-4071-AD70-8FCB9F4D9736}"/>
    <cellStyle name="Normal 3 2 20 5 4" xfId="32783" xr:uid="{210E44EE-D1B0-4470-9685-E427A1BCC60C}"/>
    <cellStyle name="Normal 3 2 20 5 5" xfId="32784" xr:uid="{4D78DE63-2BD6-4581-814B-70FC2DDA0841}"/>
    <cellStyle name="Normal 3 2 20 5 6" xfId="32785" xr:uid="{68AC1EFF-1A18-4D9B-BE25-DC071FB9297E}"/>
    <cellStyle name="Normal 3 2 20 6" xfId="32786" xr:uid="{711848A7-9694-4293-AB74-9445CE7C071A}"/>
    <cellStyle name="Normal 3 2 20 6 2" xfId="32787" xr:uid="{171028BE-9B05-4405-9A17-064E6B74D049}"/>
    <cellStyle name="Normal 3 2 20 6 3" xfId="32788" xr:uid="{6B64A5A5-728E-413C-86F7-BC1C72F4F57E}"/>
    <cellStyle name="Normal 3 2 20 6 4" xfId="32789" xr:uid="{667D0007-A5D2-489F-8973-0087228EFD52}"/>
    <cellStyle name="Normal 3 2 20 6 5" xfId="32790" xr:uid="{FC31641C-10BB-4CEA-8B7D-33CC6E461830}"/>
    <cellStyle name="Normal 3 2 20 6 6" xfId="32791" xr:uid="{317B0828-F207-429F-BB7A-C17F98B49F25}"/>
    <cellStyle name="Normal 3 2 20 7" xfId="32792" xr:uid="{E30FE47A-348D-461D-AEC4-AC1527834C30}"/>
    <cellStyle name="Normal 3 2 20 8" xfId="32793" xr:uid="{6C3FFA71-53A6-432D-B815-3317512B3AB9}"/>
    <cellStyle name="Normal 3 2 20 9" xfId="32794" xr:uid="{D0D65A63-844D-4C3F-AE08-9EF7B07EDAF0}"/>
    <cellStyle name="Normal 3 2 21" xfId="32795" xr:uid="{FEC70EE7-C9BF-452A-AB72-C33F0511B858}"/>
    <cellStyle name="Normal 3 2 21 10" xfId="32796" xr:uid="{E7068F82-4DCD-483D-AFC4-7193AE5AA294}"/>
    <cellStyle name="Normal 3 2 21 11" xfId="32797" xr:uid="{C0EC8C30-826F-421B-BD36-BE8C108C9BEF}"/>
    <cellStyle name="Normal 3 2 21 2" xfId="32798" xr:uid="{2FA8B0B0-C35F-4E21-9865-70ED626E8B37}"/>
    <cellStyle name="Normal 3 2 21 2 2" xfId="32799" xr:uid="{CDA1AF6B-EB96-4257-80F4-D0E2E34577BC}"/>
    <cellStyle name="Normal 3 2 21 2 3" xfId="32800" xr:uid="{0485ADA1-AF0C-4CCB-A2F3-1F4A43A7585C}"/>
    <cellStyle name="Normal 3 2 21 2 4" xfId="32801" xr:uid="{8875D622-936D-4BF9-9FA4-72F10E09C60E}"/>
    <cellStyle name="Normal 3 2 21 2 5" xfId="32802" xr:uid="{8709D8A6-F9A2-45A1-92B3-F34B8926B6CA}"/>
    <cellStyle name="Normal 3 2 21 2 6" xfId="32803" xr:uid="{80408E79-9557-49AB-AA07-AD8BE8902442}"/>
    <cellStyle name="Normal 3 2 21 3" xfId="32804" xr:uid="{BDED1CC8-40A7-4FFE-BD03-02824751A2F8}"/>
    <cellStyle name="Normal 3 2 21 3 2" xfId="32805" xr:uid="{1CF5BAA0-4BD0-45FD-875D-18AB829D1E46}"/>
    <cellStyle name="Normal 3 2 21 3 3" xfId="32806" xr:uid="{3F164AF9-19A6-4A9B-B57A-35C874AF2F7F}"/>
    <cellStyle name="Normal 3 2 21 3 4" xfId="32807" xr:uid="{B3F8A422-2346-4288-83EC-585224D1BB7D}"/>
    <cellStyle name="Normal 3 2 21 3 5" xfId="32808" xr:uid="{7F390C2D-6DC3-4033-BDD1-10A8830763E7}"/>
    <cellStyle name="Normal 3 2 21 3 6" xfId="32809" xr:uid="{A48AFC30-2237-44AC-B8DD-02B7CAA66C41}"/>
    <cellStyle name="Normal 3 2 21 4" xfId="32810" xr:uid="{57ED19C7-9C4D-4A09-83F6-82D73EC327E6}"/>
    <cellStyle name="Normal 3 2 21 4 2" xfId="32811" xr:uid="{C05DA2E0-FCA9-4981-89E1-B06083EEA604}"/>
    <cellStyle name="Normal 3 2 21 4 3" xfId="32812" xr:uid="{DAC4E8A1-3850-4D8B-BAA0-0A631097C4CD}"/>
    <cellStyle name="Normal 3 2 21 4 4" xfId="32813" xr:uid="{F252E5E5-A84E-4B4F-AA8F-31E561F75BA0}"/>
    <cellStyle name="Normal 3 2 21 4 5" xfId="32814" xr:uid="{7917BF4A-7C73-4E63-95F7-818EB9D3992E}"/>
    <cellStyle name="Normal 3 2 21 4 6" xfId="32815" xr:uid="{F9CF0027-1F4F-421C-A34A-492075DEC5A7}"/>
    <cellStyle name="Normal 3 2 21 5" xfId="32816" xr:uid="{F7ABD9C6-2126-4E50-AD20-A2064055DF05}"/>
    <cellStyle name="Normal 3 2 21 5 2" xfId="32817" xr:uid="{0AA2D08A-330C-4AFF-B24F-D3C78C75FE51}"/>
    <cellStyle name="Normal 3 2 21 5 3" xfId="32818" xr:uid="{F9B9D03C-FAD4-40BF-BA9E-D91EAA9561C4}"/>
    <cellStyle name="Normal 3 2 21 5 4" xfId="32819" xr:uid="{EBF9FF88-CE09-4FD4-A7FF-756B18ADBDE2}"/>
    <cellStyle name="Normal 3 2 21 5 5" xfId="32820" xr:uid="{6E7BB347-B440-405E-A760-A368EE92EBCD}"/>
    <cellStyle name="Normal 3 2 21 5 6" xfId="32821" xr:uid="{F472F058-C927-42F7-B3AA-1B51EB2F7768}"/>
    <cellStyle name="Normal 3 2 21 6" xfId="32822" xr:uid="{D42C4536-0295-430A-BC0E-E76074783897}"/>
    <cellStyle name="Normal 3 2 21 6 2" xfId="32823" xr:uid="{582DA9F0-00CB-4303-A21D-5DEEC4BF55A8}"/>
    <cellStyle name="Normal 3 2 21 6 3" xfId="32824" xr:uid="{D40878CF-0964-469E-92AB-33D9852ACE35}"/>
    <cellStyle name="Normal 3 2 21 6 4" xfId="32825" xr:uid="{CFD54308-5431-4A15-B6A1-8483FC214286}"/>
    <cellStyle name="Normal 3 2 21 6 5" xfId="32826" xr:uid="{C0F017DC-2FE2-41E0-A389-512286285F6D}"/>
    <cellStyle name="Normal 3 2 21 6 6" xfId="32827" xr:uid="{223A9171-D68D-4288-8A61-25C3E93FA754}"/>
    <cellStyle name="Normal 3 2 21 7" xfId="32828" xr:uid="{E67F0129-1CF9-4472-95E3-87251D038653}"/>
    <cellStyle name="Normal 3 2 21 8" xfId="32829" xr:uid="{86C32DF2-79C9-4122-B750-447343AEA553}"/>
    <cellStyle name="Normal 3 2 21 9" xfId="32830" xr:uid="{DA1ED9F7-6126-4BAC-990C-0BCE597EB527}"/>
    <cellStyle name="Normal 3 2 22" xfId="32831" xr:uid="{92CD79EB-694C-4344-9076-0E63EDB3EBDB}"/>
    <cellStyle name="Normal 3 2 22 10" xfId="32832" xr:uid="{A46DACDC-AD96-4845-B812-B37FB2B3BCB5}"/>
    <cellStyle name="Normal 3 2 22 11" xfId="32833" xr:uid="{4ED6D7D5-29AD-4036-9E54-E3CC67AF517D}"/>
    <cellStyle name="Normal 3 2 22 2" xfId="32834" xr:uid="{13A06CF9-B46C-4463-9023-62AD6F5777E0}"/>
    <cellStyle name="Normal 3 2 22 2 2" xfId="32835" xr:uid="{073B784C-ACAC-446F-92BB-4D001DE63B43}"/>
    <cellStyle name="Normal 3 2 22 2 3" xfId="32836" xr:uid="{EAD67693-1FA9-418F-8D13-E94DA9120177}"/>
    <cellStyle name="Normal 3 2 22 2 4" xfId="32837" xr:uid="{38B1F866-6C9C-4702-9A2F-46AF9DFDF880}"/>
    <cellStyle name="Normal 3 2 22 2 5" xfId="32838" xr:uid="{18085A15-F06D-4893-AB62-7C7473C0B0C5}"/>
    <cellStyle name="Normal 3 2 22 2 6" xfId="32839" xr:uid="{F9C3F909-35BA-48AA-8A2E-B481599EF973}"/>
    <cellStyle name="Normal 3 2 22 3" xfId="32840" xr:uid="{DF1AEF52-E0F3-429F-A519-CE0254C92C63}"/>
    <cellStyle name="Normal 3 2 22 3 2" xfId="32841" xr:uid="{7D8261E9-9C76-4D55-9211-C35BC73547B8}"/>
    <cellStyle name="Normal 3 2 22 3 3" xfId="32842" xr:uid="{1A78B082-C1CB-4697-8A0F-F8798523D4F2}"/>
    <cellStyle name="Normal 3 2 22 3 4" xfId="32843" xr:uid="{E4CE5889-ADB7-47D1-B88C-9373E2C9CA82}"/>
    <cellStyle name="Normal 3 2 22 3 5" xfId="32844" xr:uid="{6F0A584D-0E14-48BB-8FBF-C568BE712E65}"/>
    <cellStyle name="Normal 3 2 22 3 6" xfId="32845" xr:uid="{4778E9F4-9D99-4AD2-A762-F04FDA0D18D1}"/>
    <cellStyle name="Normal 3 2 22 4" xfId="32846" xr:uid="{90535118-D5B9-46B4-A1A1-985889B1070A}"/>
    <cellStyle name="Normal 3 2 22 4 2" xfId="32847" xr:uid="{080E82A9-4FD2-4A97-8314-53C68839CA0C}"/>
    <cellStyle name="Normal 3 2 22 4 3" xfId="32848" xr:uid="{EEC92B6B-67C5-4F95-A3C5-D20FDFEACE71}"/>
    <cellStyle name="Normal 3 2 22 4 4" xfId="32849" xr:uid="{F55392AF-EECC-4A66-ABD1-3AF4ABE90A3C}"/>
    <cellStyle name="Normal 3 2 22 4 5" xfId="32850" xr:uid="{0B16EB0E-59EB-4515-8AEE-FBE7668EF60B}"/>
    <cellStyle name="Normal 3 2 22 4 6" xfId="32851" xr:uid="{D6030AF2-9400-4F0E-877A-37424339ABB2}"/>
    <cellStyle name="Normal 3 2 22 5" xfId="32852" xr:uid="{95E96219-768D-4EC9-8E6E-DB76B4D01055}"/>
    <cellStyle name="Normal 3 2 22 5 2" xfId="32853" xr:uid="{A4550E4D-7E2A-4981-9CA1-5DF5AA71C932}"/>
    <cellStyle name="Normal 3 2 22 5 3" xfId="32854" xr:uid="{4B238606-1625-49E5-90D3-BE2D238C2673}"/>
    <cellStyle name="Normal 3 2 22 5 4" xfId="32855" xr:uid="{59111AED-E9EF-4406-A18D-85DE82C12377}"/>
    <cellStyle name="Normal 3 2 22 5 5" xfId="32856" xr:uid="{691356E7-CD7B-42B4-A4A9-A881B21FFCEB}"/>
    <cellStyle name="Normal 3 2 22 5 6" xfId="32857" xr:uid="{4FE3E68A-97A3-4B8C-ABE2-AF4C645E665C}"/>
    <cellStyle name="Normal 3 2 22 6" xfId="32858" xr:uid="{876A9247-09F9-47D8-AFEB-98C21A96A655}"/>
    <cellStyle name="Normal 3 2 22 6 2" xfId="32859" xr:uid="{AB441814-AB90-4D73-AD64-7702C23D4BC8}"/>
    <cellStyle name="Normal 3 2 22 6 3" xfId="32860" xr:uid="{A3FFCF0A-842D-4AD3-AE81-7B8C10BF29A0}"/>
    <cellStyle name="Normal 3 2 22 6 4" xfId="32861" xr:uid="{4F28B33C-DEC8-48EB-B8E4-CE7DDD840043}"/>
    <cellStyle name="Normal 3 2 22 6 5" xfId="32862" xr:uid="{90A93359-48F8-420D-8004-5E0712BAD871}"/>
    <cellStyle name="Normal 3 2 22 6 6" xfId="32863" xr:uid="{752F98EE-3A17-4389-A883-9DFB2D371FCB}"/>
    <cellStyle name="Normal 3 2 22 7" xfId="32864" xr:uid="{38AF4297-D45A-4094-9683-3FBDAE818A4F}"/>
    <cellStyle name="Normal 3 2 22 8" xfId="32865" xr:uid="{B58F4ED2-89BD-4159-8070-64FCD214A006}"/>
    <cellStyle name="Normal 3 2 22 9" xfId="32866" xr:uid="{27F3D16C-834B-4F2C-9694-CB438AAE25BB}"/>
    <cellStyle name="Normal 3 2 23" xfId="32867" xr:uid="{DEA1EEAA-3ED7-43D7-A26B-75060FAE5835}"/>
    <cellStyle name="Normal 3 2 23 10" xfId="32868" xr:uid="{859F92F9-9854-4C2A-8827-B5D7CE78BC44}"/>
    <cellStyle name="Normal 3 2 23 11" xfId="32869" xr:uid="{679B076E-E798-4130-8784-BD23AE05A86A}"/>
    <cellStyle name="Normal 3 2 23 2" xfId="32870" xr:uid="{0282953E-0602-4DAC-B6D3-1C066297E1AC}"/>
    <cellStyle name="Normal 3 2 23 2 2" xfId="32871" xr:uid="{CF6ED277-516F-4838-9FE9-709B72268BE3}"/>
    <cellStyle name="Normal 3 2 23 2 3" xfId="32872" xr:uid="{8A8506A4-6CFD-41B0-BEFF-2F07E36E130D}"/>
    <cellStyle name="Normal 3 2 23 2 4" xfId="32873" xr:uid="{0AA186C2-0097-4D43-8993-A7BE6320143E}"/>
    <cellStyle name="Normal 3 2 23 2 5" xfId="32874" xr:uid="{645CA314-0A0B-4AE5-80C0-2C4129219357}"/>
    <cellStyle name="Normal 3 2 23 2 6" xfId="32875" xr:uid="{B6A6963E-BE16-44B6-95E0-E4333F965E72}"/>
    <cellStyle name="Normal 3 2 23 3" xfId="32876" xr:uid="{BAD6A112-02EB-4D10-8C64-B5439D9A0EAD}"/>
    <cellStyle name="Normal 3 2 23 3 2" xfId="32877" xr:uid="{8F489788-B3FF-47B6-AAA4-1D30651A8EBB}"/>
    <cellStyle name="Normal 3 2 23 3 3" xfId="32878" xr:uid="{638ADC77-46C1-445F-B6A7-C6C6E504989D}"/>
    <cellStyle name="Normal 3 2 23 3 4" xfId="32879" xr:uid="{24D9E747-C70A-4BD8-A0E2-638CDD46E542}"/>
    <cellStyle name="Normal 3 2 23 3 5" xfId="32880" xr:uid="{73273A0F-8967-4997-9099-875B8D60E862}"/>
    <cellStyle name="Normal 3 2 23 3 6" xfId="32881" xr:uid="{D7E59794-5D43-4F76-8275-C7DF32EBF84A}"/>
    <cellStyle name="Normal 3 2 23 4" xfId="32882" xr:uid="{720FCBBD-748B-4A2F-93E9-FD608925B9E4}"/>
    <cellStyle name="Normal 3 2 23 4 2" xfId="32883" xr:uid="{21DAF9CC-A649-44D4-9652-C9D91D19009A}"/>
    <cellStyle name="Normal 3 2 23 4 3" xfId="32884" xr:uid="{A610BE5B-F466-4796-B2DA-E213DB84BD32}"/>
    <cellStyle name="Normal 3 2 23 4 4" xfId="32885" xr:uid="{A0115B50-D459-459F-89AA-81DDEFC842BC}"/>
    <cellStyle name="Normal 3 2 23 4 5" xfId="32886" xr:uid="{BF0B5E24-BF49-4CD7-9E17-EA8A2B0A8218}"/>
    <cellStyle name="Normal 3 2 23 4 6" xfId="32887" xr:uid="{FAEB1C66-D280-4FAB-8ECB-D72D70265400}"/>
    <cellStyle name="Normal 3 2 23 5" xfId="32888" xr:uid="{C032B619-85E8-4B2A-B2A5-A003712B24B9}"/>
    <cellStyle name="Normal 3 2 23 5 2" xfId="32889" xr:uid="{6B42E571-6D82-4890-BE8B-2B347F34FB45}"/>
    <cellStyle name="Normal 3 2 23 5 3" xfId="32890" xr:uid="{9E091F0A-24BC-4858-BBF3-75575F5725B3}"/>
    <cellStyle name="Normal 3 2 23 5 4" xfId="32891" xr:uid="{EAB7C6BE-4E26-4589-9868-79A9C1BB885A}"/>
    <cellStyle name="Normal 3 2 23 5 5" xfId="32892" xr:uid="{3318B430-B545-45A1-99ED-F024473DF436}"/>
    <cellStyle name="Normal 3 2 23 5 6" xfId="32893" xr:uid="{18524532-F95C-4713-9969-E3688C6420FA}"/>
    <cellStyle name="Normal 3 2 23 6" xfId="32894" xr:uid="{4D030C7F-8AD1-406C-8EDE-9BC4E1EA5146}"/>
    <cellStyle name="Normal 3 2 23 6 2" xfId="32895" xr:uid="{D5AAFD0F-319F-477D-B7D8-6F554524DDF3}"/>
    <cellStyle name="Normal 3 2 23 6 3" xfId="32896" xr:uid="{67A895E9-F895-4B93-88D7-B73510C41881}"/>
    <cellStyle name="Normal 3 2 23 6 4" xfId="32897" xr:uid="{E05396A0-CE91-4215-A7FC-BFD29F00071B}"/>
    <cellStyle name="Normal 3 2 23 6 5" xfId="32898" xr:uid="{68AF8E41-78E2-408E-BD00-0E6DE5B3DF2E}"/>
    <cellStyle name="Normal 3 2 23 6 6" xfId="32899" xr:uid="{A0B145CD-02B1-46F0-B600-1DA824375CCB}"/>
    <cellStyle name="Normal 3 2 23 7" xfId="32900" xr:uid="{CDE7F819-AD92-4E10-BC19-92E36B4B2DAC}"/>
    <cellStyle name="Normal 3 2 23 8" xfId="32901" xr:uid="{EC0EE713-72C1-4B81-88F1-B410A11221C1}"/>
    <cellStyle name="Normal 3 2 23 9" xfId="32902" xr:uid="{C9DA0A44-4294-4027-9A0D-C216757C849B}"/>
    <cellStyle name="Normal 3 2 24" xfId="32903" xr:uid="{C7D1DCDF-E8A8-4CC6-BA88-803F40B1E44A}"/>
    <cellStyle name="Normal 3 2 24 10" xfId="32904" xr:uid="{DCC920A2-7879-4646-B3A8-153E678BEDF4}"/>
    <cellStyle name="Normal 3 2 24 11" xfId="32905" xr:uid="{96C35A2E-9DB0-4C2B-8C0B-D8DA59BF440F}"/>
    <cellStyle name="Normal 3 2 24 2" xfId="32906" xr:uid="{BD399933-D6FE-488C-8B56-B859FBE02052}"/>
    <cellStyle name="Normal 3 2 24 2 2" xfId="32907" xr:uid="{CF759691-6C4D-4B60-8085-F416D47D397C}"/>
    <cellStyle name="Normal 3 2 24 2 3" xfId="32908" xr:uid="{C1A89F09-9AC6-4DE8-BCBB-268B33A56116}"/>
    <cellStyle name="Normal 3 2 24 2 4" xfId="32909" xr:uid="{D419E9DF-DB81-4D15-B6B8-959B83F98FE5}"/>
    <cellStyle name="Normal 3 2 24 2 5" xfId="32910" xr:uid="{41E1E937-0E34-41D0-8422-43A903D21DBA}"/>
    <cellStyle name="Normal 3 2 24 2 6" xfId="32911" xr:uid="{35F77DAA-530A-41AB-B252-6378F97D2B10}"/>
    <cellStyle name="Normal 3 2 24 3" xfId="32912" xr:uid="{62DF9309-0E49-4488-B9C6-7EFA9C0B6CC5}"/>
    <cellStyle name="Normal 3 2 24 3 2" xfId="32913" xr:uid="{EE06EDD1-2348-4D07-9D43-B4C9CA94B23A}"/>
    <cellStyle name="Normal 3 2 24 3 3" xfId="32914" xr:uid="{FAF8B0A7-EE66-433F-BA5E-E6B8876F48FA}"/>
    <cellStyle name="Normal 3 2 24 3 4" xfId="32915" xr:uid="{E36D943D-8C5C-4FCD-8CC5-6D808621B224}"/>
    <cellStyle name="Normal 3 2 24 3 5" xfId="32916" xr:uid="{EA841373-D039-4C73-B4F2-C42A808357B0}"/>
    <cellStyle name="Normal 3 2 24 3 6" xfId="32917" xr:uid="{A27119BB-C32F-464C-AB39-2F8F7505020E}"/>
    <cellStyle name="Normal 3 2 24 4" xfId="32918" xr:uid="{DC910370-1602-44DF-9489-148282789F15}"/>
    <cellStyle name="Normal 3 2 24 4 2" xfId="32919" xr:uid="{44979196-BA47-4C9D-9981-0DBA20A4C7C5}"/>
    <cellStyle name="Normal 3 2 24 4 3" xfId="32920" xr:uid="{627CC5D6-4730-4F15-A06D-7CA2B32FB367}"/>
    <cellStyle name="Normal 3 2 24 4 4" xfId="32921" xr:uid="{279E9B57-0F1F-4FA7-B536-83D958AC8E6F}"/>
    <cellStyle name="Normal 3 2 24 4 5" xfId="32922" xr:uid="{DE5A28CC-5801-4E85-8A2C-CA9B50ED06AF}"/>
    <cellStyle name="Normal 3 2 24 4 6" xfId="32923" xr:uid="{FBF551FD-FE20-4CBF-AE3A-5C03E2767AA6}"/>
    <cellStyle name="Normal 3 2 24 5" xfId="32924" xr:uid="{0A8D7564-6E50-438C-BF12-0863DC37CA9A}"/>
    <cellStyle name="Normal 3 2 24 5 2" xfId="32925" xr:uid="{507C42D7-9549-4C54-A60B-2E11125A7657}"/>
    <cellStyle name="Normal 3 2 24 5 3" xfId="32926" xr:uid="{A5E34BB6-0185-444E-9E6C-D79FA6C9642B}"/>
    <cellStyle name="Normal 3 2 24 5 4" xfId="32927" xr:uid="{59460C5A-875B-4D2D-9A27-063DE06703E0}"/>
    <cellStyle name="Normal 3 2 24 5 5" xfId="32928" xr:uid="{8B6287D2-A79B-4A5F-94B0-05599A359583}"/>
    <cellStyle name="Normal 3 2 24 5 6" xfId="32929" xr:uid="{C5199EC8-EE13-4A6C-83B6-37A417A32891}"/>
    <cellStyle name="Normal 3 2 24 6" xfId="32930" xr:uid="{D85E9C8F-16D5-4BF9-A2AF-0F73D7D83E38}"/>
    <cellStyle name="Normal 3 2 24 6 2" xfId="32931" xr:uid="{C3DBA85E-FC69-46BA-AC94-1FC63A7C5F1B}"/>
    <cellStyle name="Normal 3 2 24 6 3" xfId="32932" xr:uid="{A56CEBEB-02B5-407C-AC86-3848FB66EBAD}"/>
    <cellStyle name="Normal 3 2 24 6 4" xfId="32933" xr:uid="{75F73C22-4CEC-4065-AD17-EC746B2653AD}"/>
    <cellStyle name="Normal 3 2 24 6 5" xfId="32934" xr:uid="{5E3C18D1-DE74-4774-B84D-85E15F586C97}"/>
    <cellStyle name="Normal 3 2 24 6 6" xfId="32935" xr:uid="{570ED2D9-FFC2-4ADC-A0B8-63997D97AA68}"/>
    <cellStyle name="Normal 3 2 24 7" xfId="32936" xr:uid="{6CF8E9AC-719C-452E-B707-911F5D14A4FC}"/>
    <cellStyle name="Normal 3 2 24 8" xfId="32937" xr:uid="{053C7356-A314-46CD-A10D-FE64D39DD760}"/>
    <cellStyle name="Normal 3 2 24 9" xfId="32938" xr:uid="{F5E743EC-4D0C-472D-98B6-1202E4BCE35F}"/>
    <cellStyle name="Normal 3 2 25" xfId="32939" xr:uid="{9EB43D88-AF2D-43C8-9899-35D7CC4AB219}"/>
    <cellStyle name="Normal 3 2 25 10" xfId="32940" xr:uid="{970D9655-7120-44DF-83FD-7CBC0C02F390}"/>
    <cellStyle name="Normal 3 2 25 11" xfId="32941" xr:uid="{69A0F3E4-342D-4C21-A2FB-22DEF229C674}"/>
    <cellStyle name="Normal 3 2 25 2" xfId="32942" xr:uid="{46C986D9-2D0F-4B67-B7A6-A5523FE45519}"/>
    <cellStyle name="Normal 3 2 25 2 2" xfId="32943" xr:uid="{6CA2C44A-AB09-43EB-A5C8-810A1FE3059A}"/>
    <cellStyle name="Normal 3 2 25 2 3" xfId="32944" xr:uid="{2B676CDA-B581-4D7D-9DBB-55892B98A69B}"/>
    <cellStyle name="Normal 3 2 25 2 4" xfId="32945" xr:uid="{B202B664-4BC8-4131-B008-7C9E8C6B0077}"/>
    <cellStyle name="Normal 3 2 25 2 5" xfId="32946" xr:uid="{1FF791E6-641C-4461-BE03-05BDCE73465C}"/>
    <cellStyle name="Normal 3 2 25 2 6" xfId="32947" xr:uid="{8A893FFB-B0EE-4749-8B5A-FD2F1F1A8FE8}"/>
    <cellStyle name="Normal 3 2 25 3" xfId="32948" xr:uid="{8966ACAB-6052-4BCE-8AF9-E887222450F9}"/>
    <cellStyle name="Normal 3 2 25 3 2" xfId="32949" xr:uid="{FBFE3C2C-0A4D-4448-9985-A3F46948CCC3}"/>
    <cellStyle name="Normal 3 2 25 3 3" xfId="32950" xr:uid="{CA59DEC7-4E37-4802-AEBB-73FC17D6745C}"/>
    <cellStyle name="Normal 3 2 25 3 4" xfId="32951" xr:uid="{FF838812-CC18-4075-A6C2-05DC2F73907C}"/>
    <cellStyle name="Normal 3 2 25 3 5" xfId="32952" xr:uid="{18969A5F-4824-4112-812F-E6CEEF9A393F}"/>
    <cellStyle name="Normal 3 2 25 3 6" xfId="32953" xr:uid="{3FD079BC-0644-4812-9461-190688D09F44}"/>
    <cellStyle name="Normal 3 2 25 4" xfId="32954" xr:uid="{DA376B82-6608-43C9-AAB1-EF35D899747F}"/>
    <cellStyle name="Normal 3 2 25 4 2" xfId="32955" xr:uid="{C993DB18-B845-4EAB-8A4E-16FC0DEFF597}"/>
    <cellStyle name="Normal 3 2 25 4 3" xfId="32956" xr:uid="{11B2A9E9-9764-439D-813A-3771936A7DB1}"/>
    <cellStyle name="Normal 3 2 25 4 4" xfId="32957" xr:uid="{5F81D34A-BD96-470B-AF1C-0800B9E4405B}"/>
    <cellStyle name="Normal 3 2 25 4 5" xfId="32958" xr:uid="{45A8BC30-9578-4988-8C84-EC1456E617D7}"/>
    <cellStyle name="Normal 3 2 25 4 6" xfId="32959" xr:uid="{10A12B3E-A809-4105-A035-0A65F00D2DD0}"/>
    <cellStyle name="Normal 3 2 25 5" xfId="32960" xr:uid="{A4899C2F-87E4-42F2-AE84-DDA4D2C4A4A3}"/>
    <cellStyle name="Normal 3 2 25 5 2" xfId="32961" xr:uid="{07FE842E-2E43-46E2-B9CB-93F9CA233F2E}"/>
    <cellStyle name="Normal 3 2 25 5 3" xfId="32962" xr:uid="{AEAC65CF-DB6D-4B3D-8707-D7AD4E388B12}"/>
    <cellStyle name="Normal 3 2 25 5 4" xfId="32963" xr:uid="{D5716A67-B85F-4083-85BF-D4AA88AC7A09}"/>
    <cellStyle name="Normal 3 2 25 5 5" xfId="32964" xr:uid="{4B10DA08-F867-496D-AA3B-F598828A226E}"/>
    <cellStyle name="Normal 3 2 25 5 6" xfId="32965" xr:uid="{F291487A-4DC4-4A4A-912C-93B1D933D64E}"/>
    <cellStyle name="Normal 3 2 25 6" xfId="32966" xr:uid="{B31A7A6B-D3E4-405C-8A2D-50AE2B402738}"/>
    <cellStyle name="Normal 3 2 25 6 2" xfId="32967" xr:uid="{4BE90AAA-9BFF-4FC3-A567-50F83224BBB8}"/>
    <cellStyle name="Normal 3 2 25 6 3" xfId="32968" xr:uid="{882E5EF2-B541-458B-9C2B-33E1F3958CE3}"/>
    <cellStyle name="Normal 3 2 25 6 4" xfId="32969" xr:uid="{A2DBB2DE-4077-438F-83DF-151ECCCB0118}"/>
    <cellStyle name="Normal 3 2 25 6 5" xfId="32970" xr:uid="{75BDCCCB-675A-46CC-8858-6A306AFB3014}"/>
    <cellStyle name="Normal 3 2 25 6 6" xfId="32971" xr:uid="{5B91F02F-1703-41CF-888E-C59DA6E134B1}"/>
    <cellStyle name="Normal 3 2 25 7" xfId="32972" xr:uid="{5D8D7BF7-6209-4FA6-8749-76CFF872EE6E}"/>
    <cellStyle name="Normal 3 2 25 8" xfId="32973" xr:uid="{614C9F23-4E0B-4B2E-93CC-35624A674F11}"/>
    <cellStyle name="Normal 3 2 25 9" xfId="32974" xr:uid="{31D9EC86-FBE1-483B-8B25-9FD4719CE690}"/>
    <cellStyle name="Normal 3 2 26" xfId="32975" xr:uid="{63E4F704-0671-4A9A-A049-9108C7929BAF}"/>
    <cellStyle name="Normal 3 2 26 10" xfId="32976" xr:uid="{B3BAA087-E5F3-4BE6-B720-DB02E80382FD}"/>
    <cellStyle name="Normal 3 2 26 11" xfId="32977" xr:uid="{30D170CF-37CB-4CC6-B71A-3332EA9A08DF}"/>
    <cellStyle name="Normal 3 2 26 2" xfId="32978" xr:uid="{5D1982A0-A336-471C-93B7-4BFE564BD479}"/>
    <cellStyle name="Normal 3 2 26 2 2" xfId="32979" xr:uid="{2A5836B1-24CE-4468-9425-C1D8E8B5CD04}"/>
    <cellStyle name="Normal 3 2 26 2 3" xfId="32980" xr:uid="{203B9B5A-C41A-44BC-A6D7-DF8C578430AA}"/>
    <cellStyle name="Normal 3 2 26 2 4" xfId="32981" xr:uid="{BDCEF7FE-2437-4BF8-B16C-79E6A7D0A352}"/>
    <cellStyle name="Normal 3 2 26 2 5" xfId="32982" xr:uid="{58F3345A-4EA8-4BD3-BEEC-08E4F4387153}"/>
    <cellStyle name="Normal 3 2 26 2 6" xfId="32983" xr:uid="{15413E46-09C3-4829-90A2-B88A6F587EDA}"/>
    <cellStyle name="Normal 3 2 26 3" xfId="32984" xr:uid="{0DE294EF-BEF4-44A2-9696-F2E26993061B}"/>
    <cellStyle name="Normal 3 2 26 3 2" xfId="32985" xr:uid="{428CA6BC-7654-48DA-A074-5C1936CA89E0}"/>
    <cellStyle name="Normal 3 2 26 3 3" xfId="32986" xr:uid="{70C9E5D6-8E46-4389-8081-813E9A5C28BF}"/>
    <cellStyle name="Normal 3 2 26 3 4" xfId="32987" xr:uid="{AB3C5D33-4DB7-44F7-96C0-BD2288D38254}"/>
    <cellStyle name="Normal 3 2 26 3 5" xfId="32988" xr:uid="{744FA655-D1C6-4582-93E4-667F3E3E83D9}"/>
    <cellStyle name="Normal 3 2 26 3 6" xfId="32989" xr:uid="{D8B77639-737D-4046-968B-39D4DCEAA579}"/>
    <cellStyle name="Normal 3 2 26 4" xfId="32990" xr:uid="{389B063C-D4DE-4D23-BDC9-7A82DE23851A}"/>
    <cellStyle name="Normal 3 2 26 4 2" xfId="32991" xr:uid="{CDD5CD4E-242F-4B9E-A22E-A55ADCFE52D5}"/>
    <cellStyle name="Normal 3 2 26 4 3" xfId="32992" xr:uid="{38DCC0A2-3E6D-462F-9636-F8641CCCFECB}"/>
    <cellStyle name="Normal 3 2 26 4 4" xfId="32993" xr:uid="{AEA85EC8-84BC-40F3-A9EA-213F7560235C}"/>
    <cellStyle name="Normal 3 2 26 4 5" xfId="32994" xr:uid="{808DC9CE-254B-46A3-B46F-FD6C298E2340}"/>
    <cellStyle name="Normal 3 2 26 4 6" xfId="32995" xr:uid="{9411C21D-5B23-4BE5-9927-FE3158AB1673}"/>
    <cellStyle name="Normal 3 2 26 5" xfId="32996" xr:uid="{0736F7FF-BEC4-4A2E-9F18-6F44C789E00D}"/>
    <cellStyle name="Normal 3 2 26 5 2" xfId="32997" xr:uid="{8B7616C3-F32B-4115-8680-C95E2303F11D}"/>
    <cellStyle name="Normal 3 2 26 5 3" xfId="32998" xr:uid="{B4B7E98F-F1F8-4309-8CE2-01A65F0828F3}"/>
    <cellStyle name="Normal 3 2 26 5 4" xfId="32999" xr:uid="{5104EBF2-BE0E-4968-B66C-54430E7216D8}"/>
    <cellStyle name="Normal 3 2 26 5 5" xfId="33000" xr:uid="{F4F91D4D-3C4D-4DD2-AD2F-93275D9834FC}"/>
    <cellStyle name="Normal 3 2 26 5 6" xfId="33001" xr:uid="{E35D62BD-B729-4C1B-86BF-BBD949B28887}"/>
    <cellStyle name="Normal 3 2 26 6" xfId="33002" xr:uid="{165E83A8-9696-4E45-A252-8A72E40F2939}"/>
    <cellStyle name="Normal 3 2 26 6 2" xfId="33003" xr:uid="{82C2FC51-0A0F-480E-B52D-AD09687CE1D7}"/>
    <cellStyle name="Normal 3 2 26 6 3" xfId="33004" xr:uid="{68082ECA-CE8A-4F57-A4D0-B7C446181F74}"/>
    <cellStyle name="Normal 3 2 26 6 4" xfId="33005" xr:uid="{7A5559BA-A195-4865-B7AD-3C927832F6C9}"/>
    <cellStyle name="Normal 3 2 26 6 5" xfId="33006" xr:uid="{DC7D1E3A-CB70-44D2-B2DB-2C667F68D163}"/>
    <cellStyle name="Normal 3 2 26 6 6" xfId="33007" xr:uid="{39C24FC9-0FDE-4CF9-A729-2D73C3234BF2}"/>
    <cellStyle name="Normal 3 2 26 7" xfId="33008" xr:uid="{61DA40B0-1277-48E2-9890-312B2BB2E858}"/>
    <cellStyle name="Normal 3 2 26 8" xfId="33009" xr:uid="{E3ECD982-1557-44A5-A585-4D0451C8DD76}"/>
    <cellStyle name="Normal 3 2 26 9" xfId="33010" xr:uid="{3EC2EDC7-9C89-45A2-91B3-0F901B550D69}"/>
    <cellStyle name="Normal 3 2 27" xfId="33011" xr:uid="{57C7052B-6680-49CA-BCDC-E383209BD039}"/>
    <cellStyle name="Normal 3 2 27 10" xfId="33012" xr:uid="{C186FC43-55E2-40D9-9DFF-8CC469124184}"/>
    <cellStyle name="Normal 3 2 27 11" xfId="33013" xr:uid="{ED0B3B63-2BDA-43FC-B3B4-3081F7EE2449}"/>
    <cellStyle name="Normal 3 2 27 2" xfId="33014" xr:uid="{BFCC82F9-588E-4DD1-9E1C-7A9AC2B76DF3}"/>
    <cellStyle name="Normal 3 2 27 2 2" xfId="33015" xr:uid="{C3E064BA-E782-475A-A28C-9E8332E712F5}"/>
    <cellStyle name="Normal 3 2 27 2 3" xfId="33016" xr:uid="{8B44D0B2-5B5D-41D0-945A-47746EB2815C}"/>
    <cellStyle name="Normal 3 2 27 2 4" xfId="33017" xr:uid="{17348A40-660C-49CF-959F-135E656C8D39}"/>
    <cellStyle name="Normal 3 2 27 2 5" xfId="33018" xr:uid="{A9E6EED3-5129-4416-A064-DD2F8F715AEF}"/>
    <cellStyle name="Normal 3 2 27 2 6" xfId="33019" xr:uid="{817C2B25-69EB-436D-8472-2C5D21BFDE3C}"/>
    <cellStyle name="Normal 3 2 27 3" xfId="33020" xr:uid="{616C15D9-7239-482D-B13B-ED957B166199}"/>
    <cellStyle name="Normal 3 2 27 3 2" xfId="33021" xr:uid="{B7F69B37-E6C5-411B-AE2F-BC09A69A1E7C}"/>
    <cellStyle name="Normal 3 2 27 3 3" xfId="33022" xr:uid="{CE82E5F0-9935-4F00-946F-8E04EB89D5C5}"/>
    <cellStyle name="Normal 3 2 27 3 4" xfId="33023" xr:uid="{DD3D4CDB-3E78-4896-B441-7BEBDCA46D3B}"/>
    <cellStyle name="Normal 3 2 27 3 5" xfId="33024" xr:uid="{2B87D4C8-A744-4DA4-BBA9-F3610A2FF99F}"/>
    <cellStyle name="Normal 3 2 27 3 6" xfId="33025" xr:uid="{D2B4DA89-C9FC-4158-B418-648451402A65}"/>
    <cellStyle name="Normal 3 2 27 4" xfId="33026" xr:uid="{893DF98C-FEC6-44BB-8B31-B5D9CB3D5CA2}"/>
    <cellStyle name="Normal 3 2 27 4 2" xfId="33027" xr:uid="{20825DB0-3ED0-4FC9-A06F-0F4DAE562A6E}"/>
    <cellStyle name="Normal 3 2 27 4 3" xfId="33028" xr:uid="{000569A8-2362-450B-ACB6-19D1F87C386F}"/>
    <cellStyle name="Normal 3 2 27 4 4" xfId="33029" xr:uid="{E252B99B-1E94-49EE-B9F7-6277A7F62AA1}"/>
    <cellStyle name="Normal 3 2 27 4 5" xfId="33030" xr:uid="{E72C42DC-7451-41A9-B540-2B99DE4A5669}"/>
    <cellStyle name="Normal 3 2 27 4 6" xfId="33031" xr:uid="{F8A3721A-DA81-470B-B2FA-669590D07FD7}"/>
    <cellStyle name="Normal 3 2 27 5" xfId="33032" xr:uid="{9C4D7C63-162D-4C96-A7B7-F3603CFC8C8D}"/>
    <cellStyle name="Normal 3 2 27 5 2" xfId="33033" xr:uid="{7443A1EA-33C8-48B7-9AF0-BA870C30464A}"/>
    <cellStyle name="Normal 3 2 27 5 3" xfId="33034" xr:uid="{0E389A7C-EF81-4710-9235-956C4D196002}"/>
    <cellStyle name="Normal 3 2 27 5 4" xfId="33035" xr:uid="{F4C5929E-5FBC-492A-8FFB-D379F1A1F94F}"/>
    <cellStyle name="Normal 3 2 27 5 5" xfId="33036" xr:uid="{84DFB303-96AF-4340-A4EF-A5DF7C6966EC}"/>
    <cellStyle name="Normal 3 2 27 5 6" xfId="33037" xr:uid="{8949D767-4EB3-4BA4-B67A-E27B2A9D088F}"/>
    <cellStyle name="Normal 3 2 27 6" xfId="33038" xr:uid="{EA6A79C0-4063-4A14-A87C-862AA050E860}"/>
    <cellStyle name="Normal 3 2 27 6 2" xfId="33039" xr:uid="{0DBD2FFC-99BB-4642-8A91-B2E13FA0F785}"/>
    <cellStyle name="Normal 3 2 27 6 3" xfId="33040" xr:uid="{DB9214FF-6719-43D8-A87A-B799F31AB233}"/>
    <cellStyle name="Normal 3 2 27 6 4" xfId="33041" xr:uid="{EBA207DA-649D-4148-9462-1E81FC431F02}"/>
    <cellStyle name="Normal 3 2 27 6 5" xfId="33042" xr:uid="{F7D3FC63-6CA8-440A-94B5-C477FAA9C3FF}"/>
    <cellStyle name="Normal 3 2 27 6 6" xfId="33043" xr:uid="{DC98369C-C72A-4764-98A5-78867DB73CDD}"/>
    <cellStyle name="Normal 3 2 27 7" xfId="33044" xr:uid="{05475C99-E7D6-4CFD-A3A6-FE26C62E6C80}"/>
    <cellStyle name="Normal 3 2 27 8" xfId="33045" xr:uid="{4234A01C-82E6-474C-96E3-EFBE0435EBD3}"/>
    <cellStyle name="Normal 3 2 27 9" xfId="33046" xr:uid="{8785CB37-E708-4F74-966F-0B7230FEA6B0}"/>
    <cellStyle name="Normal 3 2 28" xfId="33047" xr:uid="{61732DEB-3350-4E22-B2A7-E50581E1CBEE}"/>
    <cellStyle name="Normal 3 2 28 10" xfId="33048" xr:uid="{DC6D1744-C5D1-4D2E-83F1-83E4BF6FFB6E}"/>
    <cellStyle name="Normal 3 2 28 11" xfId="33049" xr:uid="{253525CF-4628-408A-9EFD-EDFB0D5746B7}"/>
    <cellStyle name="Normal 3 2 28 2" xfId="33050" xr:uid="{8A90D139-1032-42DC-8BFE-3C6E58009329}"/>
    <cellStyle name="Normal 3 2 28 2 2" xfId="33051" xr:uid="{35028BA2-A579-46FA-929B-1D30D3637171}"/>
    <cellStyle name="Normal 3 2 28 2 2 2" xfId="33052" xr:uid="{1E0D8D0E-2C2A-4D73-B855-35B12DE8212F}"/>
    <cellStyle name="Normal 3 2 28 2 2 3" xfId="33053" xr:uid="{086C429B-1F7B-4E15-84C8-A596BADC712C}"/>
    <cellStyle name="Normal 3 2 28 2 2 4" xfId="33054" xr:uid="{021F2806-BCB4-4D7F-9247-B3318F314E72}"/>
    <cellStyle name="Normal 3 2 28 2 2 5" xfId="33055" xr:uid="{40049D01-9687-429A-8A1D-580B1A61D7C4}"/>
    <cellStyle name="Normal 3 2 28 2 2 6" xfId="33056" xr:uid="{A5BD5AFD-47F9-4A46-8935-0D309C029C29}"/>
    <cellStyle name="Normal 3 2 28 2 2 7" xfId="33057" xr:uid="{4DFD4837-808D-4FFA-B5FD-AEECF60D676A}"/>
    <cellStyle name="Normal 3 2 28 3" xfId="33058" xr:uid="{BEE22EC8-7A19-45B6-B5F1-FC082865CD3D}"/>
    <cellStyle name="Normal 3 2 28 4" xfId="33059" xr:uid="{0A96979B-A240-477A-B860-660A63B00EC3}"/>
    <cellStyle name="Normal 3 2 28 5" xfId="33060" xr:uid="{B06F9AD1-8A71-40AC-97D9-9698D0817B61}"/>
    <cellStyle name="Normal 3 2 28 6" xfId="33061" xr:uid="{D0EF5B8A-0D83-453E-A474-AE5B8B521620}"/>
    <cellStyle name="Normal 3 2 28 7" xfId="33062" xr:uid="{9CBB4EF1-86DE-4FF7-A191-29544C69CC1C}"/>
    <cellStyle name="Normal 3 2 28 8" xfId="33063" xr:uid="{FC93A294-D902-404D-B144-E169DF6710E9}"/>
    <cellStyle name="Normal 3 2 28 9" xfId="33064" xr:uid="{EC34A1DA-DD45-4144-A665-D2F875273C9B}"/>
    <cellStyle name="Normal 3 2 29" xfId="33065" xr:uid="{B21D010E-1E0A-4ABB-A039-06475FB6A626}"/>
    <cellStyle name="Normal 3 2 29 2" xfId="33066" xr:uid="{FCDE3179-CF8C-48FC-9A43-5F022F2C6169}"/>
    <cellStyle name="Normal 3 2 29 2 2" xfId="33067" xr:uid="{6742D3AC-5C74-4729-AB79-73765F5D1152}"/>
    <cellStyle name="Normal 3 2 29 2 2 2" xfId="33068" xr:uid="{BBA1D7BC-9297-4E8A-987E-3FF8C6991C2B}"/>
    <cellStyle name="Normal 3 2 29 2 2 3" xfId="33069" xr:uid="{934611CB-F49C-4CC8-854D-7A47CBDB4DD3}"/>
    <cellStyle name="Normal 3 2 29 2 2 4" xfId="33070" xr:uid="{72532742-A44E-41AB-920D-472587BB13EA}"/>
    <cellStyle name="Normal 3 2 29 2 2 5" xfId="33071" xr:uid="{4F57EC03-6932-4B15-8B83-1829BC895266}"/>
    <cellStyle name="Normal 3 2 29 2 2 6" xfId="33072" xr:uid="{9B2750DA-D143-413A-9B66-DA832FD78D89}"/>
    <cellStyle name="Normal 3 2 29 3" xfId="33073" xr:uid="{C671AB4D-793A-4E23-97E7-ACD36C1181A9}"/>
    <cellStyle name="Normal 3 2 29 4" xfId="33074" xr:uid="{B796BC5A-05A6-4BCB-804A-2D74DE06FBEF}"/>
    <cellStyle name="Normal 3 2 29 5" xfId="33075" xr:uid="{C2B58FDC-425A-4F18-9995-5565C3429A66}"/>
    <cellStyle name="Normal 3 2 29 6" xfId="33076" xr:uid="{5BFC5C69-9376-4AD9-AF9D-B658AD9F6996}"/>
    <cellStyle name="Normal 3 2 29 7" xfId="33077" xr:uid="{24609DF9-D574-4FB5-A8B6-21C21ABDE8A7}"/>
    <cellStyle name="Normal 3 2 3" xfId="33078" xr:uid="{0CA3BF40-7FDE-4EA5-B4DB-D8BD0570AC0C}"/>
    <cellStyle name="Normal 3 2 3 10" xfId="33079" xr:uid="{13131F3D-1EF6-4B0F-A4E7-A4A5814EBD5F}"/>
    <cellStyle name="Normal 3 2 3 11" xfId="33080" xr:uid="{56B25C91-DDCE-4848-A8B2-09CC7A0B7E36}"/>
    <cellStyle name="Normal 3 2 3 12" xfId="33081" xr:uid="{4E2BF35D-A417-4733-8999-4698FD03E886}"/>
    <cellStyle name="Normal 3 2 3 2" xfId="33082" xr:uid="{D6B13B5D-A52F-4425-90AC-FBA3D5EC5A69}"/>
    <cellStyle name="Normal 3 2 3 2 2" xfId="33083" xr:uid="{5DD91ED5-6911-453D-B4E9-6397A84D14E1}"/>
    <cellStyle name="Normal 3 2 3 2 3" xfId="33084" xr:uid="{42C1FFF3-FA98-4247-ACBA-38D6C6F16D5B}"/>
    <cellStyle name="Normal 3 2 3 2 4" xfId="33085" xr:uid="{DEE14400-D510-404B-BA5B-D4A40817DB27}"/>
    <cellStyle name="Normal 3 2 3 2 5" xfId="33086" xr:uid="{1B8EC8C1-0FCA-45F2-AD0E-CBD4758BE634}"/>
    <cellStyle name="Normal 3 2 3 2 6" xfId="33087" xr:uid="{3E429EE2-24F3-44C7-BC4B-C0C79AF63F42}"/>
    <cellStyle name="Normal 3 2 3 3" xfId="33088" xr:uid="{05B7AC7A-3576-4734-AEDE-39849A53FBA5}"/>
    <cellStyle name="Normal 3 2 3 3 2" xfId="33089" xr:uid="{C05FF589-08B8-4D98-974E-79959B1813A5}"/>
    <cellStyle name="Normal 3 2 3 3 3" xfId="33090" xr:uid="{F1294B35-D4A5-4E21-8404-E0231DFEBC28}"/>
    <cellStyle name="Normal 3 2 3 3 4" xfId="33091" xr:uid="{FCA0E42A-0BD1-4C20-B746-96ABA85AB5BC}"/>
    <cellStyle name="Normal 3 2 3 3 5" xfId="33092" xr:uid="{BCAEC459-7E80-4E9B-B91F-327C3D52A057}"/>
    <cellStyle name="Normal 3 2 3 3 6" xfId="33093" xr:uid="{F45C02FC-4475-42A3-BE4F-35AB563A648E}"/>
    <cellStyle name="Normal 3 2 3 4" xfId="33094" xr:uid="{0BBAAD40-E79C-4804-8D3F-DC4A8EC85CF0}"/>
    <cellStyle name="Normal 3 2 3 4 2" xfId="33095" xr:uid="{7016ECA9-3E7B-40EE-B7AB-F389A80D8C30}"/>
    <cellStyle name="Normal 3 2 3 4 3" xfId="33096" xr:uid="{CFDD0701-C780-419B-A7EA-7D831BFDED40}"/>
    <cellStyle name="Normal 3 2 3 4 4" xfId="33097" xr:uid="{2F4DEEAF-1C01-4F93-8FCC-CFE1F812B4E1}"/>
    <cellStyle name="Normal 3 2 3 4 5" xfId="33098" xr:uid="{C16BEE06-0A56-4C28-AD6A-36025AF62CF0}"/>
    <cellStyle name="Normal 3 2 3 4 6" xfId="33099" xr:uid="{A4555277-8572-4539-87FD-F81D72A2F14A}"/>
    <cellStyle name="Normal 3 2 3 5" xfId="33100" xr:uid="{F5F67A69-940E-4AAA-A37E-B91CB5A91664}"/>
    <cellStyle name="Normal 3 2 3 5 2" xfId="33101" xr:uid="{ECFB7B20-DDD4-409F-89E2-3081673CC69C}"/>
    <cellStyle name="Normal 3 2 3 5 3" xfId="33102" xr:uid="{9F4914B7-086B-4DE8-8DA8-7B572D32FB80}"/>
    <cellStyle name="Normal 3 2 3 5 4" xfId="33103" xr:uid="{EEBCAB56-3F2E-4D19-B6A1-DF88E7222F5C}"/>
    <cellStyle name="Normal 3 2 3 5 5" xfId="33104" xr:uid="{15B88284-01EC-46E5-BA48-B3CA4A686487}"/>
    <cellStyle name="Normal 3 2 3 5 6" xfId="33105" xr:uid="{8D6A15C9-3FC8-48E8-A707-692330FB81B6}"/>
    <cellStyle name="Normal 3 2 3 6" xfId="33106" xr:uid="{D0184A11-43BC-4579-875B-049A3635A444}"/>
    <cellStyle name="Normal 3 2 3 6 2" xfId="33107" xr:uid="{81035BE7-EFF3-4979-BC2E-6BA384C006CD}"/>
    <cellStyle name="Normal 3 2 3 6 3" xfId="33108" xr:uid="{BEAF09E9-9409-4955-90EA-F43B12028AEB}"/>
    <cellStyle name="Normal 3 2 3 6 4" xfId="33109" xr:uid="{BD9D966C-E5A9-48D1-A6C5-E6A3C0D37F4C}"/>
    <cellStyle name="Normal 3 2 3 6 5" xfId="33110" xr:uid="{816D29EC-481D-401B-98A7-2156945085B7}"/>
    <cellStyle name="Normal 3 2 3 6 6" xfId="33111" xr:uid="{DF252B5D-F342-4413-89ED-7ACFF6A1C738}"/>
    <cellStyle name="Normal 3 2 3 7" xfId="33112" xr:uid="{5B564573-C161-4FB3-861B-017987DE201D}"/>
    <cellStyle name="Normal 3 2 3 8" xfId="33113" xr:uid="{091A68CF-309E-40C6-B495-691E03DB0451}"/>
    <cellStyle name="Normal 3 2 3 9" xfId="33114" xr:uid="{A5C0EF2B-BD14-436D-8BDC-17A71049C81B}"/>
    <cellStyle name="Normal 3 2 30" xfId="33115" xr:uid="{9CF13208-7D6B-4D5B-9302-F3D39681115F}"/>
    <cellStyle name="Normal 3 2 30 2" xfId="33116" xr:uid="{48767538-E5F6-4FCA-BF37-46FEC7CF171C}"/>
    <cellStyle name="Normal 3 2 30 3" xfId="33117" xr:uid="{FC5C327C-DD98-42B4-936A-7CEA27A0A1F6}"/>
    <cellStyle name="Normal 3 2 30 4" xfId="33118" xr:uid="{2C22A83E-B705-43E4-A056-98971BF0B73F}"/>
    <cellStyle name="Normal 3 2 30 5" xfId="33119" xr:uid="{FA33E25D-1273-42B4-A333-C7B167EF438F}"/>
    <cellStyle name="Normal 3 2 30 6" xfId="33120" xr:uid="{AC11366E-1408-44AB-BC14-B699BB3AE926}"/>
    <cellStyle name="Normal 3 2 31" xfId="33121" xr:uid="{95B4A5E6-9551-409F-BBCA-77368A76734E}"/>
    <cellStyle name="Normal 3 2 31 2" xfId="33122" xr:uid="{569F2E32-6956-4B39-9B25-F62619043BF2}"/>
    <cellStyle name="Normal 3 2 31 3" xfId="33123" xr:uid="{E46D1BE9-50A5-421D-BE66-1FAA5BCF30DC}"/>
    <cellStyle name="Normal 3 2 31 4" xfId="33124" xr:uid="{3A679BD1-5191-4455-A8C0-E630DFAC090B}"/>
    <cellStyle name="Normal 3 2 31 5" xfId="33125" xr:uid="{C7DC0519-B8AD-4F84-B146-65BD5050A481}"/>
    <cellStyle name="Normal 3 2 31 6" xfId="33126" xr:uid="{A6EF1762-E3E0-4EB7-B69B-5CFBA88D640E}"/>
    <cellStyle name="Normal 3 2 32" xfId="33127" xr:uid="{0F22ECDB-F277-4B8B-8690-A9088B10E6DF}"/>
    <cellStyle name="Normal 3 2 32 2" xfId="33128" xr:uid="{50DB36CF-49E0-4D92-848A-06B73DF2D958}"/>
    <cellStyle name="Normal 3 2 32 3" xfId="33129" xr:uid="{7222979E-B3C2-4BE7-AC77-CA79115117F7}"/>
    <cellStyle name="Normal 3 2 32 4" xfId="33130" xr:uid="{0BD9BC36-0E08-42BE-8340-79A132209DC9}"/>
    <cellStyle name="Normal 3 2 32 5" xfId="33131" xr:uid="{94FD3237-E72E-43BD-88EE-F6037BF4BF7D}"/>
    <cellStyle name="Normal 3 2 32 6" xfId="33132" xr:uid="{252C4A27-BF71-49EF-8502-D7AD03E891D8}"/>
    <cellStyle name="Normal 3 2 33" xfId="33133" xr:uid="{922E56B1-F065-4018-8241-2365FAF1ACE2}"/>
    <cellStyle name="Normal 3 2 34" xfId="33134" xr:uid="{A62CF0F7-BE12-41E9-B2A2-2EC03267CFE1}"/>
    <cellStyle name="Normal 3 2 35" xfId="33135" xr:uid="{5B7E6FE1-C485-48A7-A931-608194B768FE}"/>
    <cellStyle name="Normal 3 2 36" xfId="33136" xr:uid="{B20D6108-A394-48A1-AED5-E08206E8EBE6}"/>
    <cellStyle name="Normal 3 2 37" xfId="33137" xr:uid="{0F0EC4CC-F197-4D8B-95E4-342F0E5F7664}"/>
    <cellStyle name="Normal 3 2 38" xfId="33138" xr:uid="{BF140A28-5829-499C-B372-557EC990EA66}"/>
    <cellStyle name="Normal 3 2 38 10" xfId="33139" xr:uid="{06C0973F-51C1-4E35-B50C-5F5FACE70090}"/>
    <cellStyle name="Normal 3 2 38 11" xfId="33140" xr:uid="{86D62088-4C09-4C46-9195-C8D87B2B51ED}"/>
    <cellStyle name="Normal 3 2 38 11 10" xfId="33141" xr:uid="{13F50C90-6907-46FF-8A66-3C786066B597}"/>
    <cellStyle name="Normal 3 2 38 11 11" xfId="33142" xr:uid="{5EA5640F-1092-4EC7-A1A1-0E7249EB5316}"/>
    <cellStyle name="Normal 3 2 38 11 11 2" xfId="33143" xr:uid="{1E19D6D0-2399-4353-B1C6-3EFBC87E6AF0}"/>
    <cellStyle name="Normal 3 2 38 11 11 3" xfId="33144" xr:uid="{724A2E63-E7B2-4301-9C45-9DEA7E5C00E0}"/>
    <cellStyle name="Normal 3 2 38 11 11 4" xfId="33145" xr:uid="{F918CC10-33B3-433A-951F-8434956C8683}"/>
    <cellStyle name="Normal 3 2 38 11 12" xfId="33146" xr:uid="{4619EB43-6528-43FA-9922-720A667709EC}"/>
    <cellStyle name="Normal 3 2 38 11 13" xfId="33147" xr:uid="{D74A6BBB-164F-4382-A35D-AA419F746112}"/>
    <cellStyle name="Normal 3 2 38 11 14" xfId="33148" xr:uid="{32ECC8BC-7B4B-4ABD-B323-D6EE523F7140}"/>
    <cellStyle name="Normal 3 2 38 11 2" xfId="33149" xr:uid="{5B66659A-FB2E-472B-9C5C-FC1F9C4711A5}"/>
    <cellStyle name="Normal 3 2 38 11 2 10" xfId="33150" xr:uid="{E1604641-60E7-4354-A7F4-C9E5BDC7E8DC}"/>
    <cellStyle name="Normal 3 2 38 11 2 11" xfId="33151" xr:uid="{A52D6AAB-960F-4C6E-B039-C9EFDE4B48CC}"/>
    <cellStyle name="Normal 3 2 38 11 2 2" xfId="33152" xr:uid="{AFFEDCA6-D145-427A-83AA-E155DBA7F956}"/>
    <cellStyle name="Normal 3 2 38 11 2 2 10" xfId="33153" xr:uid="{94BC410B-CFCB-4804-9166-E735C7B5007B}"/>
    <cellStyle name="Normal 3 2 38 11 2 2 11" xfId="33154" xr:uid="{F4CF0AD3-1E09-4FBA-97F4-3EF6C05A43E4}"/>
    <cellStyle name="Normal 3 2 38 11 2 2 2" xfId="33155" xr:uid="{4B058396-19EE-4EC9-A188-FCD3EBF16A19}"/>
    <cellStyle name="Normal 3 2 38 11 2 2 2 2" xfId="33156" xr:uid="{EFEB22D1-B109-4C22-BC9A-FB82078529A7}"/>
    <cellStyle name="Normal 3 2 38 11 2 2 2 2 2" xfId="33157" xr:uid="{A93B3FD8-C5ED-4B42-8121-CA0207453C73}"/>
    <cellStyle name="Normal 3 2 38 11 2 2 2 2 3" xfId="33158" xr:uid="{8A848ED3-EFB7-422E-A5E1-633E1B736AED}"/>
    <cellStyle name="Normal 3 2 38 11 2 2 2 2 4" xfId="33159" xr:uid="{C7DA6CED-0773-4E50-8B36-7EB4E31E8227}"/>
    <cellStyle name="Normal 3 2 38 11 2 2 2 3" xfId="33160" xr:uid="{1ABC1384-D4E9-4FAA-A07D-349C31009125}"/>
    <cellStyle name="Normal 3 2 38 11 2 2 2 4" xfId="33161" xr:uid="{B9949D0F-652C-4DB5-8E51-79E56E4CE668}"/>
    <cellStyle name="Normal 3 2 38 11 2 2 2 5" xfId="33162" xr:uid="{DBED700E-C855-46FD-B27B-D6E9B2699C71}"/>
    <cellStyle name="Normal 3 2 38 11 2 2 2 6" xfId="33163" xr:uid="{C83C527E-CB86-44B1-B30F-26964D202965}"/>
    <cellStyle name="Normal 3 2 38 11 2 2 3" xfId="33164" xr:uid="{A7355ADD-E43D-4F71-9BD5-66D1178DD3FD}"/>
    <cellStyle name="Normal 3 2 38 11 2 2 4" xfId="33165" xr:uid="{7614E7BA-6509-4A1A-9C1E-2B09DE1C5F9B}"/>
    <cellStyle name="Normal 3 2 38 11 2 2 5" xfId="33166" xr:uid="{C76C2F8B-03DB-487D-8F8D-0672E0300622}"/>
    <cellStyle name="Normal 3 2 38 11 2 2 6" xfId="33167" xr:uid="{868849B9-ADA3-49EB-9346-AC2628DAAAFC}"/>
    <cellStyle name="Normal 3 2 38 11 2 2 7" xfId="33168" xr:uid="{BAF94C09-7946-425F-A1C0-07A2187AD349}"/>
    <cellStyle name="Normal 3 2 38 11 2 2 8" xfId="33169" xr:uid="{E9DD42E3-EB86-461C-A306-B1797E7E2DE0}"/>
    <cellStyle name="Normal 3 2 38 11 2 2 8 2" xfId="33170" xr:uid="{D34CE178-34E3-4C61-BF34-446A88E482C3}"/>
    <cellStyle name="Normal 3 2 38 11 2 2 8 3" xfId="33171" xr:uid="{85293949-3CBD-4790-B6AE-8196BA5D92FD}"/>
    <cellStyle name="Normal 3 2 38 11 2 2 8 4" xfId="33172" xr:uid="{8A8EEC8E-31F4-4845-A82D-7F8A85426E62}"/>
    <cellStyle name="Normal 3 2 38 11 2 2 9" xfId="33173" xr:uid="{B999269F-453A-4661-87C2-2F9A16ABB42A}"/>
    <cellStyle name="Normal 3 2 38 11 2 3" xfId="33174" xr:uid="{7326BBB6-612A-4949-A216-3E6465524217}"/>
    <cellStyle name="Normal 3 2 38 11 2 3 2" xfId="33175" xr:uid="{09EC0C5B-401C-47EB-BDC4-0C9E918202B8}"/>
    <cellStyle name="Normal 3 2 38 11 2 3 2 2" xfId="33176" xr:uid="{699C6900-9C67-41CF-9FBA-6E8D568263BA}"/>
    <cellStyle name="Normal 3 2 38 11 2 3 2 3" xfId="33177" xr:uid="{95B27A8E-F8DB-48D7-AA05-67B4A50BF070}"/>
    <cellStyle name="Normal 3 2 38 11 2 3 2 4" xfId="33178" xr:uid="{14255832-1885-4A76-AF2F-9F17B37BE73F}"/>
    <cellStyle name="Normal 3 2 38 11 2 3 3" xfId="33179" xr:uid="{4159B177-F93E-4385-BE33-40A4F88C9628}"/>
    <cellStyle name="Normal 3 2 38 11 2 3 4" xfId="33180" xr:uid="{18B664FE-2204-4B39-BFC5-25BC3797475F}"/>
    <cellStyle name="Normal 3 2 38 11 2 3 5" xfId="33181" xr:uid="{0E4A4351-1440-48AF-B4F7-A906141A4C30}"/>
    <cellStyle name="Normal 3 2 38 11 2 3 6" xfId="33182" xr:uid="{CE0C7813-E2B5-4520-90D0-5389289B968F}"/>
    <cellStyle name="Normal 3 2 38 11 2 4" xfId="33183" xr:uid="{F3E5C651-16F3-4299-B41C-E1D478E0A02A}"/>
    <cellStyle name="Normal 3 2 38 11 2 5" xfId="33184" xr:uid="{E4448ADF-257E-4FFD-BA10-BF6A4B5E8F2B}"/>
    <cellStyle name="Normal 3 2 38 11 2 6" xfId="33185" xr:uid="{DC1A91AE-604A-4257-B535-0AB7141DA07D}"/>
    <cellStyle name="Normal 3 2 38 11 2 7" xfId="33186" xr:uid="{9B1E315A-A511-45B2-8B3A-6CE3826FD664}"/>
    <cellStyle name="Normal 3 2 38 11 2 8" xfId="33187" xr:uid="{93D935C8-8A64-4231-881D-1438BBD2F2E9}"/>
    <cellStyle name="Normal 3 2 38 11 2 8 2" xfId="33188" xr:uid="{D041177D-BD9D-4C61-B769-076B16E3202D}"/>
    <cellStyle name="Normal 3 2 38 11 2 8 3" xfId="33189" xr:uid="{40ECE969-720E-48E4-B4C4-3715D9946EC8}"/>
    <cellStyle name="Normal 3 2 38 11 2 8 4" xfId="33190" xr:uid="{4C89876D-3A29-4491-85E1-B927684AEC33}"/>
    <cellStyle name="Normal 3 2 38 11 2 9" xfId="33191" xr:uid="{B400A1CF-DA8C-4701-960A-6EEE901E3C6B}"/>
    <cellStyle name="Normal 3 2 38 11 3" xfId="33192" xr:uid="{6B3FE510-939D-4B67-B5F2-CC14CA39AC23}"/>
    <cellStyle name="Normal 3 2 38 11 4" xfId="33193" xr:uid="{5FEC8A15-4441-4CB6-B269-C28A0A7EA371}"/>
    <cellStyle name="Normal 3 2 38 11 5" xfId="33194" xr:uid="{C43D4BE0-6193-4098-91AD-044779A2ADFC}"/>
    <cellStyle name="Normal 3 2 38 11 5 2" xfId="33195" xr:uid="{1DC3F1AA-9CC0-4708-B99F-A58B50A25E40}"/>
    <cellStyle name="Normal 3 2 38 11 5 2 2" xfId="33196" xr:uid="{44A9698C-00F0-4CAC-B0E9-7FBA892904A4}"/>
    <cellStyle name="Normal 3 2 38 11 5 2 3" xfId="33197" xr:uid="{810B8D3A-7055-4077-8A16-89BF62C6A39A}"/>
    <cellStyle name="Normal 3 2 38 11 5 2 4" xfId="33198" xr:uid="{D8DF9DA2-122A-46A2-A268-A89F01801451}"/>
    <cellStyle name="Normal 3 2 38 11 5 3" xfId="33199" xr:uid="{D9AB25CD-4C1A-477D-8DB4-7C93A3084D6D}"/>
    <cellStyle name="Normal 3 2 38 11 5 4" xfId="33200" xr:uid="{8366DC0F-C99D-4402-95DA-5A63262AB0F7}"/>
    <cellStyle name="Normal 3 2 38 11 5 5" xfId="33201" xr:uid="{BD3CC519-2C89-4187-AC42-AE6F0030ABFC}"/>
    <cellStyle name="Normal 3 2 38 11 5 6" xfId="33202" xr:uid="{D224A139-E85E-44D2-8709-59463ECC7ADF}"/>
    <cellStyle name="Normal 3 2 38 11 6" xfId="33203" xr:uid="{31F09A92-6A02-4B11-984B-9EC3BE62B90A}"/>
    <cellStyle name="Normal 3 2 38 11 7" xfId="33204" xr:uid="{2E1DB5B0-1631-4CE5-BCE0-74A314CC76EF}"/>
    <cellStyle name="Normal 3 2 38 11 8" xfId="33205" xr:uid="{3C323422-6E4E-460E-9D9D-04196CF7C39F}"/>
    <cellStyle name="Normal 3 2 38 11 9" xfId="33206" xr:uid="{EC6DFF05-36BE-4D86-BF58-8BDF8A379B3D}"/>
    <cellStyle name="Normal 3 2 38 12" xfId="33207" xr:uid="{63112E2C-68F1-445E-AC14-40926CA899EA}"/>
    <cellStyle name="Normal 3 2 38 13" xfId="33208" xr:uid="{BA654FF0-4509-449B-8151-6E6D201F8801}"/>
    <cellStyle name="Normal 3 2 38 13 10" xfId="33209" xr:uid="{41AEF9C0-CA7E-405F-B8A4-4BB12DB14749}"/>
    <cellStyle name="Normal 3 2 38 13 11" xfId="33210" xr:uid="{7ED2DBEE-BD84-49A7-A79D-E6AE866D0ADC}"/>
    <cellStyle name="Normal 3 2 38 13 2" xfId="33211" xr:uid="{30AABBF6-B0BA-4552-A15B-15300251C372}"/>
    <cellStyle name="Normal 3 2 38 13 2 10" xfId="33212" xr:uid="{0305BA7F-A715-43C0-B3ED-DE4540944ACE}"/>
    <cellStyle name="Normal 3 2 38 13 2 11" xfId="33213" xr:uid="{3DF5AC14-5CC1-45BB-A24C-157E97234AC0}"/>
    <cellStyle name="Normal 3 2 38 13 2 2" xfId="33214" xr:uid="{A8CEFB5C-B5ED-4B47-B11D-5D3D3564F3AA}"/>
    <cellStyle name="Normal 3 2 38 13 2 2 2" xfId="33215" xr:uid="{75B103D3-6407-49A0-95FB-3A57520F96C4}"/>
    <cellStyle name="Normal 3 2 38 13 2 2 2 2" xfId="33216" xr:uid="{30455870-598A-4AAC-AC49-9E7BDD57B890}"/>
    <cellStyle name="Normal 3 2 38 13 2 2 2 3" xfId="33217" xr:uid="{19A82D31-E4AE-468D-ADD1-FAB1C3326B2A}"/>
    <cellStyle name="Normal 3 2 38 13 2 2 2 4" xfId="33218" xr:uid="{412FF8A1-ABB1-4960-B222-4A9B4A9F6DA1}"/>
    <cellStyle name="Normal 3 2 38 13 2 2 3" xfId="33219" xr:uid="{5608EF1A-8A40-4F53-BBA4-3493B4D07EFA}"/>
    <cellStyle name="Normal 3 2 38 13 2 2 4" xfId="33220" xr:uid="{316E2950-A7C3-4A51-BDD6-965F296B802E}"/>
    <cellStyle name="Normal 3 2 38 13 2 2 5" xfId="33221" xr:uid="{BE6115FE-7E0E-4376-93DB-177E8DA2A5DF}"/>
    <cellStyle name="Normal 3 2 38 13 2 2 6" xfId="33222" xr:uid="{8A234B70-FF83-43B8-969E-A4BD9EB8E14A}"/>
    <cellStyle name="Normal 3 2 38 13 2 3" xfId="33223" xr:uid="{2285E137-B51D-4748-8679-E6EA61E619A7}"/>
    <cellStyle name="Normal 3 2 38 13 2 4" xfId="33224" xr:uid="{538B1CA1-97CF-4CD3-893D-D0AC834AB743}"/>
    <cellStyle name="Normal 3 2 38 13 2 5" xfId="33225" xr:uid="{7410177B-2970-4F99-9841-862CC4A7DEE4}"/>
    <cellStyle name="Normal 3 2 38 13 2 6" xfId="33226" xr:uid="{F3E5D450-EC64-492C-A4C8-0A04CB0C1E66}"/>
    <cellStyle name="Normal 3 2 38 13 2 7" xfId="33227" xr:uid="{5F596332-8CDA-4540-8976-930FC72C99A9}"/>
    <cellStyle name="Normal 3 2 38 13 2 8" xfId="33228" xr:uid="{2DAF01F0-829B-4089-A02A-28772BF122BA}"/>
    <cellStyle name="Normal 3 2 38 13 2 8 2" xfId="33229" xr:uid="{1812595D-8A78-498A-94A0-29F7804D18F2}"/>
    <cellStyle name="Normal 3 2 38 13 2 8 3" xfId="33230" xr:uid="{36489DCA-7362-4C25-9D1B-E7EC4DBD53AE}"/>
    <cellStyle name="Normal 3 2 38 13 2 8 4" xfId="33231" xr:uid="{044A79A0-6FC6-45E8-85E7-1600D2C4BD8D}"/>
    <cellStyle name="Normal 3 2 38 13 2 9" xfId="33232" xr:uid="{717DCCD2-8E8E-41CD-A5B9-706F1A17A14A}"/>
    <cellStyle name="Normal 3 2 38 13 3" xfId="33233" xr:uid="{0952445C-38E9-4345-9674-4B05AEFBA90E}"/>
    <cellStyle name="Normal 3 2 38 13 3 2" xfId="33234" xr:uid="{7B436536-7266-4890-9222-06AC5531EE2F}"/>
    <cellStyle name="Normal 3 2 38 13 3 2 2" xfId="33235" xr:uid="{6A0E70CB-4C10-4B4D-B6AB-A1DBF357F544}"/>
    <cellStyle name="Normal 3 2 38 13 3 2 3" xfId="33236" xr:uid="{210CAA50-3F06-4DBE-8A84-FC448BEB4464}"/>
    <cellStyle name="Normal 3 2 38 13 3 2 4" xfId="33237" xr:uid="{0E513656-7BB8-4787-8461-5F7DB1F20C08}"/>
    <cellStyle name="Normal 3 2 38 13 3 3" xfId="33238" xr:uid="{AF269EFE-1ADF-4D2F-B5CF-A162A485CA01}"/>
    <cellStyle name="Normal 3 2 38 13 3 4" xfId="33239" xr:uid="{A60088B3-FA32-41C4-9D83-A0933335B540}"/>
    <cellStyle name="Normal 3 2 38 13 3 5" xfId="33240" xr:uid="{D6B1EAC2-6116-4114-947C-54FD9DDBB9B5}"/>
    <cellStyle name="Normal 3 2 38 13 3 6" xfId="33241" xr:uid="{B2793E0B-E6E1-44C9-BECD-6B6EC379F55D}"/>
    <cellStyle name="Normal 3 2 38 13 4" xfId="33242" xr:uid="{F14615BC-5719-4542-BBD8-BA6DCAD07CD8}"/>
    <cellStyle name="Normal 3 2 38 13 5" xfId="33243" xr:uid="{E10D3CF5-A9E3-46BB-8CF7-8AF79BA28925}"/>
    <cellStyle name="Normal 3 2 38 13 6" xfId="33244" xr:uid="{C7ACA573-1B34-4D47-8671-856EAA376319}"/>
    <cellStyle name="Normal 3 2 38 13 7" xfId="33245" xr:uid="{5013046E-310C-47E3-92AA-73A13FFB720E}"/>
    <cellStyle name="Normal 3 2 38 13 8" xfId="33246" xr:uid="{CA3C5BE7-0252-4186-8A62-94DCEA434312}"/>
    <cellStyle name="Normal 3 2 38 13 8 2" xfId="33247" xr:uid="{0AD65914-E53B-46FD-8D31-E9A432FE7D0E}"/>
    <cellStyle name="Normal 3 2 38 13 8 3" xfId="33248" xr:uid="{52777CAE-05F9-4DF8-8136-FF6556347E1A}"/>
    <cellStyle name="Normal 3 2 38 13 8 4" xfId="33249" xr:uid="{B1EFC2D3-361D-4920-B4E3-7787D542A6CB}"/>
    <cellStyle name="Normal 3 2 38 13 9" xfId="33250" xr:uid="{160864D5-5DDA-4D67-92D3-11673C17C8FE}"/>
    <cellStyle name="Normal 3 2 38 14" xfId="33251" xr:uid="{7A74EFA1-0B9E-4A3A-B0E7-37A86010566E}"/>
    <cellStyle name="Normal 3 2 38 15" xfId="33252" xr:uid="{72FDD62F-3AD7-4311-9726-1F0C3FF047B4}"/>
    <cellStyle name="Normal 3 2 38 15 2" xfId="33253" xr:uid="{13D44D27-F85A-4C40-BC24-F1034FCC9749}"/>
    <cellStyle name="Normal 3 2 38 15 2 2" xfId="33254" xr:uid="{28559153-D50D-44DD-93FF-76E3D15DFF5D}"/>
    <cellStyle name="Normal 3 2 38 15 2 3" xfId="33255" xr:uid="{AC179D4D-67C3-4F65-B71D-C2BB8B555766}"/>
    <cellStyle name="Normal 3 2 38 15 2 4" xfId="33256" xr:uid="{6B9F1D4C-4FF0-4B78-B59B-700515C74E0B}"/>
    <cellStyle name="Normal 3 2 38 15 3" xfId="33257" xr:uid="{DA36ABB9-6B3B-4A48-881B-59FA80B9C45A}"/>
    <cellStyle name="Normal 3 2 38 15 4" xfId="33258" xr:uid="{8E14D33E-0C24-4483-BE2B-711296AAB8CB}"/>
    <cellStyle name="Normal 3 2 38 15 5" xfId="33259" xr:uid="{AA3C9E7A-001B-4E85-821B-A2345F418978}"/>
    <cellStyle name="Normal 3 2 38 15 6" xfId="33260" xr:uid="{36D8242D-7500-45FA-8DA9-F27711B35548}"/>
    <cellStyle name="Normal 3 2 38 16" xfId="33261" xr:uid="{8E3F44D5-8C3A-4942-AC05-569CA403418E}"/>
    <cellStyle name="Normal 3 2 38 17" xfId="33262" xr:uid="{A99D1EE1-1553-406C-AA74-70B7B496682A}"/>
    <cellStyle name="Normal 3 2 38 18" xfId="33263" xr:uid="{34764F34-FFDC-4F0B-B294-71309633C166}"/>
    <cellStyle name="Normal 3 2 38 19" xfId="33264" xr:uid="{F1C44C37-88F0-473C-99E8-3528FAB155C3}"/>
    <cellStyle name="Normal 3 2 38 2" xfId="33265" xr:uid="{875F2F01-149D-4A91-B37B-DD3F1570D132}"/>
    <cellStyle name="Normal 3 2 38 2 10" xfId="33266" xr:uid="{AA2C8620-9106-4A00-972A-AEC769B5577F}"/>
    <cellStyle name="Normal 3 2 38 2 11" xfId="33267" xr:uid="{275588E9-EAE2-4B03-BB46-B3CDD4C980E8}"/>
    <cellStyle name="Normal 3 2 38 2 12" xfId="33268" xr:uid="{0897C5C1-31A0-40E5-9BBB-FC4B0D6B4E42}"/>
    <cellStyle name="Normal 3 2 38 2 13" xfId="33269" xr:uid="{08695FA3-C21A-4409-AB54-337C6BB3A34C}"/>
    <cellStyle name="Normal 3 2 38 2 13 2" xfId="33270" xr:uid="{C71D6454-2E58-4A21-8011-CCD6B3ED27D5}"/>
    <cellStyle name="Normal 3 2 38 2 13 3" xfId="33271" xr:uid="{5EE2A898-204B-4AA1-84B1-2883AC03BCBE}"/>
    <cellStyle name="Normal 3 2 38 2 13 4" xfId="33272" xr:uid="{2C8DC372-FD7B-4476-B248-C8BFE49DE2FE}"/>
    <cellStyle name="Normal 3 2 38 2 14" xfId="33273" xr:uid="{76905A3B-F92D-4666-A154-036DC3DB3019}"/>
    <cellStyle name="Normal 3 2 38 2 15" xfId="33274" xr:uid="{2646FF34-6ADC-4829-BEE5-26B10574E2EA}"/>
    <cellStyle name="Normal 3 2 38 2 16" xfId="33275" xr:uid="{328B1004-3A39-4509-8124-EA6A2433C173}"/>
    <cellStyle name="Normal 3 2 38 2 2" xfId="33276" xr:uid="{5FEE50D9-A230-4436-8CBB-200AA7FC776F}"/>
    <cellStyle name="Normal 3 2 38 2 2 10" xfId="33277" xr:uid="{1ABDD720-6DBA-4D17-A31F-9A780DDBC1DC}"/>
    <cellStyle name="Normal 3 2 38 2 2 11" xfId="33278" xr:uid="{2E676B38-FBAA-479F-9654-6F59B22185B7}"/>
    <cellStyle name="Normal 3 2 38 2 2 11 2" xfId="33279" xr:uid="{7652276E-1C11-460B-9D07-23D8138266E1}"/>
    <cellStyle name="Normal 3 2 38 2 2 11 3" xfId="33280" xr:uid="{87EE5F01-0804-4D86-BC46-B4325F8B9ED8}"/>
    <cellStyle name="Normal 3 2 38 2 2 11 4" xfId="33281" xr:uid="{C9F312F3-4492-45D5-81F9-A0EF43654573}"/>
    <cellStyle name="Normal 3 2 38 2 2 12" xfId="33282" xr:uid="{CA785AD4-80CD-4B6D-BEEB-D5A795B8E10F}"/>
    <cellStyle name="Normal 3 2 38 2 2 13" xfId="33283" xr:uid="{504FEEE2-340F-493A-9AEE-9A26FAB2ABDF}"/>
    <cellStyle name="Normal 3 2 38 2 2 14" xfId="33284" xr:uid="{BDC18754-69BD-4BAC-BC7D-C93001E9D638}"/>
    <cellStyle name="Normal 3 2 38 2 2 2" xfId="33285" xr:uid="{A37AE21F-519C-4133-80A7-F8C0AB6E65FC}"/>
    <cellStyle name="Normal 3 2 38 2 2 2 10" xfId="33286" xr:uid="{901A4982-B6BE-46FD-B0FE-33259DA3B8AD}"/>
    <cellStyle name="Normal 3 2 38 2 2 2 11" xfId="33287" xr:uid="{99C563D6-DD4F-4CFF-819D-6C8A248F81D8}"/>
    <cellStyle name="Normal 3 2 38 2 2 2 2" xfId="33288" xr:uid="{8DB46347-BB1F-4C15-8CFF-9E8CF05A4B77}"/>
    <cellStyle name="Normal 3 2 38 2 2 2 2 10" xfId="33289" xr:uid="{6E3BE2AF-93B6-42D0-A3A5-FC92D9B9D1FC}"/>
    <cellStyle name="Normal 3 2 38 2 2 2 2 11" xfId="33290" xr:uid="{EB6230B8-E51D-47BA-A226-A67350893DC9}"/>
    <cellStyle name="Normal 3 2 38 2 2 2 2 2" xfId="33291" xr:uid="{5555828F-8CB2-4CC2-A2E4-89638DD88167}"/>
    <cellStyle name="Normal 3 2 38 2 2 2 2 2 2" xfId="33292" xr:uid="{A14CF81D-8439-4824-838E-40D0EB6C96B1}"/>
    <cellStyle name="Normal 3 2 38 2 2 2 2 2 2 2" xfId="33293" xr:uid="{9AA993ED-7619-4553-81B4-B3BC7AE60E49}"/>
    <cellStyle name="Normal 3 2 38 2 2 2 2 2 2 3" xfId="33294" xr:uid="{CCF28BC9-D486-4D14-8207-C8E1A1659326}"/>
    <cellStyle name="Normal 3 2 38 2 2 2 2 2 2 4" xfId="33295" xr:uid="{0243B1BB-5C8B-4E66-8CB8-54363D5565C6}"/>
    <cellStyle name="Normal 3 2 38 2 2 2 2 2 3" xfId="33296" xr:uid="{EFC75BA0-962B-4A39-BE4B-BFA67DD78339}"/>
    <cellStyle name="Normal 3 2 38 2 2 2 2 2 4" xfId="33297" xr:uid="{B1BAF9C3-9AE5-470C-A436-1F903E93CE37}"/>
    <cellStyle name="Normal 3 2 38 2 2 2 2 2 5" xfId="33298" xr:uid="{90302ED3-75A7-4A6C-9599-ACA738D4E361}"/>
    <cellStyle name="Normal 3 2 38 2 2 2 2 2 6" xfId="33299" xr:uid="{7495A7B4-B235-414D-96F2-DB8619B26CCF}"/>
    <cellStyle name="Normal 3 2 38 2 2 2 2 3" xfId="33300" xr:uid="{8F790D25-4211-4004-8716-672F6E3A4843}"/>
    <cellStyle name="Normal 3 2 38 2 2 2 2 4" xfId="33301" xr:uid="{42C8D008-E424-4DEF-8750-57DC0807C20A}"/>
    <cellStyle name="Normal 3 2 38 2 2 2 2 5" xfId="33302" xr:uid="{BD032DC4-1362-402C-BD0E-B2F478AAABCA}"/>
    <cellStyle name="Normal 3 2 38 2 2 2 2 6" xfId="33303" xr:uid="{A163FE80-F161-42E1-992E-92A74D9D15BD}"/>
    <cellStyle name="Normal 3 2 38 2 2 2 2 7" xfId="33304" xr:uid="{4022E9E0-375D-452D-A6AB-8C9772708A14}"/>
    <cellStyle name="Normal 3 2 38 2 2 2 2 8" xfId="33305" xr:uid="{CEDD2D2E-3E34-497E-B2F8-EEDFF95C91F9}"/>
    <cellStyle name="Normal 3 2 38 2 2 2 2 8 2" xfId="33306" xr:uid="{8CE118CD-909E-4978-B92D-4172B2008A94}"/>
    <cellStyle name="Normal 3 2 38 2 2 2 2 8 3" xfId="33307" xr:uid="{4A4ACC9C-E523-440A-9651-43A4ADB7A138}"/>
    <cellStyle name="Normal 3 2 38 2 2 2 2 8 4" xfId="33308" xr:uid="{BEBB8D4C-45D1-4A7A-B1E3-CDD219E5F103}"/>
    <cellStyle name="Normal 3 2 38 2 2 2 2 9" xfId="33309" xr:uid="{B616BDD2-9E17-40B0-8A34-9CD0FDF3397D}"/>
    <cellStyle name="Normal 3 2 38 2 2 2 3" xfId="33310" xr:uid="{0A9F177C-EAA8-4B5B-9596-186B219BEA47}"/>
    <cellStyle name="Normal 3 2 38 2 2 2 3 2" xfId="33311" xr:uid="{184149D0-763E-45ED-B637-1DDB2C0F07ED}"/>
    <cellStyle name="Normal 3 2 38 2 2 2 3 2 2" xfId="33312" xr:uid="{0A290893-8EAC-485C-B438-CAA53E84F76A}"/>
    <cellStyle name="Normal 3 2 38 2 2 2 3 2 3" xfId="33313" xr:uid="{3DBC04F1-60BC-4DF0-A441-3B970F92A259}"/>
    <cellStyle name="Normal 3 2 38 2 2 2 3 2 4" xfId="33314" xr:uid="{B6FEB071-D19A-41A9-A2C1-5568430BABB1}"/>
    <cellStyle name="Normal 3 2 38 2 2 2 3 3" xfId="33315" xr:uid="{603E2893-808B-4692-A2C9-311F61442569}"/>
    <cellStyle name="Normal 3 2 38 2 2 2 3 4" xfId="33316" xr:uid="{EAAE1B76-7DED-4E58-ACBF-8F6606B69091}"/>
    <cellStyle name="Normal 3 2 38 2 2 2 3 5" xfId="33317" xr:uid="{159287E3-27B1-4A58-8216-C129FB86A97A}"/>
    <cellStyle name="Normal 3 2 38 2 2 2 3 6" xfId="33318" xr:uid="{EEAE2236-AF15-4D47-A6ED-19DE1ECB09D8}"/>
    <cellStyle name="Normal 3 2 38 2 2 2 4" xfId="33319" xr:uid="{AEC9ABA3-4BB9-4508-8AF3-63E6236C6F2E}"/>
    <cellStyle name="Normal 3 2 38 2 2 2 5" xfId="33320" xr:uid="{9E21D120-E0CD-4A5E-B847-3388D3CD404C}"/>
    <cellStyle name="Normal 3 2 38 2 2 2 6" xfId="33321" xr:uid="{DC84DB95-1843-472D-9F53-91A081075532}"/>
    <cellStyle name="Normal 3 2 38 2 2 2 7" xfId="33322" xr:uid="{41B53673-73D5-4B6B-B8BD-44A596C4B4DF}"/>
    <cellStyle name="Normal 3 2 38 2 2 2 8" xfId="33323" xr:uid="{B4827D76-012B-4229-9D9C-3FFB482DF3BB}"/>
    <cellStyle name="Normal 3 2 38 2 2 2 8 2" xfId="33324" xr:uid="{1256649A-EDE3-4FF6-90B9-8ACF4592B0D0}"/>
    <cellStyle name="Normal 3 2 38 2 2 2 8 3" xfId="33325" xr:uid="{ACACEA5D-9CCA-443C-BE41-9F6993533E8A}"/>
    <cellStyle name="Normal 3 2 38 2 2 2 8 4" xfId="33326" xr:uid="{488A54E2-E0E5-46C8-81E2-75B67E9A9A2B}"/>
    <cellStyle name="Normal 3 2 38 2 2 2 9" xfId="33327" xr:uid="{AFF4624E-040C-4FFD-AA48-414EBCF5696C}"/>
    <cellStyle name="Normal 3 2 38 2 2 3" xfId="33328" xr:uid="{29D0499F-87F6-4296-A6B6-74C940A57103}"/>
    <cellStyle name="Normal 3 2 38 2 2 4" xfId="33329" xr:uid="{3F9CDF41-8BE4-4D4B-803C-B2EE64E5E4EA}"/>
    <cellStyle name="Normal 3 2 38 2 2 5" xfId="33330" xr:uid="{2A54F9DE-181A-4829-A1E1-350045642EC7}"/>
    <cellStyle name="Normal 3 2 38 2 2 5 2" xfId="33331" xr:uid="{20EDF006-A26D-45EA-BBF4-3C4046E52727}"/>
    <cellStyle name="Normal 3 2 38 2 2 5 2 2" xfId="33332" xr:uid="{66D63C74-42AE-4CD9-B9BD-CA5A0379D4B5}"/>
    <cellStyle name="Normal 3 2 38 2 2 5 2 3" xfId="33333" xr:uid="{1254BD15-A04A-45E1-87E6-5003F9127798}"/>
    <cellStyle name="Normal 3 2 38 2 2 5 2 4" xfId="33334" xr:uid="{03BEAD41-D1BF-44E3-92FD-63E65D00B286}"/>
    <cellStyle name="Normal 3 2 38 2 2 5 3" xfId="33335" xr:uid="{F9C5DB5B-82F4-4FCD-950D-A4D80B1E0353}"/>
    <cellStyle name="Normal 3 2 38 2 2 5 4" xfId="33336" xr:uid="{41D4101F-C07D-477F-A9BF-67939FE0513F}"/>
    <cellStyle name="Normal 3 2 38 2 2 5 5" xfId="33337" xr:uid="{9EAF8DC5-689E-4151-AFC5-94C2DBC577FD}"/>
    <cellStyle name="Normal 3 2 38 2 2 5 6" xfId="33338" xr:uid="{65E4FF60-EA83-4A60-9CFF-93B98DAE9A36}"/>
    <cellStyle name="Normal 3 2 38 2 2 6" xfId="33339" xr:uid="{97A69CCD-13BA-4CEA-BE7E-23918496033C}"/>
    <cellStyle name="Normal 3 2 38 2 2 7" xfId="33340" xr:uid="{6B1D8407-A778-4B85-A82D-97ED092FD971}"/>
    <cellStyle name="Normal 3 2 38 2 2 8" xfId="33341" xr:uid="{30E6F69E-A1E7-48F0-9691-E682A7FD3B2D}"/>
    <cellStyle name="Normal 3 2 38 2 2 9" xfId="33342" xr:uid="{6894003D-EF95-4EEE-81C0-1630761E5A9F}"/>
    <cellStyle name="Normal 3 2 38 2 3" xfId="33343" xr:uid="{AFD90F64-158B-4142-959C-72E14D275E9F}"/>
    <cellStyle name="Normal 3 2 38 2 4" xfId="33344" xr:uid="{FCDA7747-A182-41BC-85E8-8BA051CE044F}"/>
    <cellStyle name="Normal 3 2 38 2 5" xfId="33345" xr:uid="{399B3B52-85A0-481B-B7D9-B56D33E171B1}"/>
    <cellStyle name="Normal 3 2 38 2 5 10" xfId="33346" xr:uid="{21E17FF6-5566-4133-881E-3A18DD33F435}"/>
    <cellStyle name="Normal 3 2 38 2 5 11" xfId="33347" xr:uid="{73C96219-9666-4A30-96BA-F0981CB50992}"/>
    <cellStyle name="Normal 3 2 38 2 5 2" xfId="33348" xr:uid="{03364CB7-B6D2-4B9E-98A3-86C800224E06}"/>
    <cellStyle name="Normal 3 2 38 2 5 2 10" xfId="33349" xr:uid="{66946C68-CE66-4D1B-B3A9-ED7AEBD144CB}"/>
    <cellStyle name="Normal 3 2 38 2 5 2 11" xfId="33350" xr:uid="{0A64CF55-4FB0-49A1-8B71-7FFA2CBF87E4}"/>
    <cellStyle name="Normal 3 2 38 2 5 2 2" xfId="33351" xr:uid="{3B91CCAA-4C24-40EB-9A20-45C9D8B37F45}"/>
    <cellStyle name="Normal 3 2 38 2 5 2 2 2" xfId="33352" xr:uid="{AB525BC3-F9D3-4CD2-982C-BE24F549BA07}"/>
    <cellStyle name="Normal 3 2 38 2 5 2 2 2 2" xfId="33353" xr:uid="{D9F4FDF4-1C70-46CF-A25F-1C27303F11CA}"/>
    <cellStyle name="Normal 3 2 38 2 5 2 2 2 3" xfId="33354" xr:uid="{7EDBB423-80A5-42AF-AD1A-DB62A60FF45B}"/>
    <cellStyle name="Normal 3 2 38 2 5 2 2 2 4" xfId="33355" xr:uid="{1338091B-DBC7-4082-B8CE-7FD358C35702}"/>
    <cellStyle name="Normal 3 2 38 2 5 2 2 3" xfId="33356" xr:uid="{15E0FDB7-3D02-459A-9D3E-980D5106D3B4}"/>
    <cellStyle name="Normal 3 2 38 2 5 2 2 4" xfId="33357" xr:uid="{63BA8746-26AD-432E-BD0D-CCAB2D047A59}"/>
    <cellStyle name="Normal 3 2 38 2 5 2 2 5" xfId="33358" xr:uid="{2FCB289D-2DF9-4EF5-BA73-0EA18500CA81}"/>
    <cellStyle name="Normal 3 2 38 2 5 2 2 6" xfId="33359" xr:uid="{2744C08D-D0E0-42A8-AF26-6F806409A509}"/>
    <cellStyle name="Normal 3 2 38 2 5 2 3" xfId="33360" xr:uid="{CEE04F6D-80B1-4B2E-8E34-C212FA260B62}"/>
    <cellStyle name="Normal 3 2 38 2 5 2 4" xfId="33361" xr:uid="{0B5A3239-4F5A-40D9-8270-4BDD2B5FD9F9}"/>
    <cellStyle name="Normal 3 2 38 2 5 2 5" xfId="33362" xr:uid="{C9D54161-C23F-4D66-80F8-E131F74EE9A8}"/>
    <cellStyle name="Normal 3 2 38 2 5 2 6" xfId="33363" xr:uid="{E4E6C042-0FA7-4BE2-9A5E-EBFD97295A8B}"/>
    <cellStyle name="Normal 3 2 38 2 5 2 7" xfId="33364" xr:uid="{881972FD-53AB-4D39-99EC-C3EAC7DF69C1}"/>
    <cellStyle name="Normal 3 2 38 2 5 2 8" xfId="33365" xr:uid="{7D4089A3-D843-4966-ACFB-78930D108E36}"/>
    <cellStyle name="Normal 3 2 38 2 5 2 8 2" xfId="33366" xr:uid="{E63B0A6D-0875-4E1E-A185-247BA37CF864}"/>
    <cellStyle name="Normal 3 2 38 2 5 2 8 3" xfId="33367" xr:uid="{53C706B1-AFCB-4333-A603-288DD48589C6}"/>
    <cellStyle name="Normal 3 2 38 2 5 2 8 4" xfId="33368" xr:uid="{F211EEE5-6384-48BB-B315-0F12F3BCA28E}"/>
    <cellStyle name="Normal 3 2 38 2 5 2 9" xfId="33369" xr:uid="{4CFD280A-1F01-4DED-B8CD-28FCFD95ACE1}"/>
    <cellStyle name="Normal 3 2 38 2 5 3" xfId="33370" xr:uid="{1F0D0987-8387-43BA-9323-05C6F77C9FE0}"/>
    <cellStyle name="Normal 3 2 38 2 5 3 2" xfId="33371" xr:uid="{D19DB7C8-BEE1-4DF4-BB02-A28F621123B4}"/>
    <cellStyle name="Normal 3 2 38 2 5 3 2 2" xfId="33372" xr:uid="{DF5A858C-61F2-4D95-8401-53E624B4A159}"/>
    <cellStyle name="Normal 3 2 38 2 5 3 2 3" xfId="33373" xr:uid="{39F9DABC-F77F-4141-B9ED-0DED17BE426F}"/>
    <cellStyle name="Normal 3 2 38 2 5 3 2 4" xfId="33374" xr:uid="{0038BD20-39F7-45DD-B08E-76927F79487F}"/>
    <cellStyle name="Normal 3 2 38 2 5 3 3" xfId="33375" xr:uid="{8BC54251-AD0B-4B23-A6C6-CF701D338425}"/>
    <cellStyle name="Normal 3 2 38 2 5 3 4" xfId="33376" xr:uid="{E9B735BA-E112-4584-ABE9-4A1770C54656}"/>
    <cellStyle name="Normal 3 2 38 2 5 3 5" xfId="33377" xr:uid="{631B0B46-E1E5-4A8C-B549-01FB5DAE7F73}"/>
    <cellStyle name="Normal 3 2 38 2 5 3 6" xfId="33378" xr:uid="{78E0B3CE-62F5-49F9-8677-718A92EDA11E}"/>
    <cellStyle name="Normal 3 2 38 2 5 4" xfId="33379" xr:uid="{DD7451CA-03F4-4384-B0FB-1BAB15B5AEFA}"/>
    <cellStyle name="Normal 3 2 38 2 5 5" xfId="33380" xr:uid="{3C019506-7B61-405B-9573-8DA9B60B9635}"/>
    <cellStyle name="Normal 3 2 38 2 5 6" xfId="33381" xr:uid="{20381861-353F-4635-8007-3EDE621187F9}"/>
    <cellStyle name="Normal 3 2 38 2 5 7" xfId="33382" xr:uid="{829DA2C6-950E-4D9B-86DD-868EA0832266}"/>
    <cellStyle name="Normal 3 2 38 2 5 8" xfId="33383" xr:uid="{C2A22268-5A74-4343-ADFE-BD1FE4E1D5D4}"/>
    <cellStyle name="Normal 3 2 38 2 5 8 2" xfId="33384" xr:uid="{B4240058-D516-46A5-B1C0-77EF1654B610}"/>
    <cellStyle name="Normal 3 2 38 2 5 8 3" xfId="33385" xr:uid="{3DDC50B7-8AED-43F1-9EBA-CF2903EE13DF}"/>
    <cellStyle name="Normal 3 2 38 2 5 8 4" xfId="33386" xr:uid="{3E890343-9FDE-4BD9-A1BC-EEB8F5F88C1F}"/>
    <cellStyle name="Normal 3 2 38 2 5 9" xfId="33387" xr:uid="{4B45C6E7-87F6-4A2E-9D6A-B6A148CB5BF8}"/>
    <cellStyle name="Normal 3 2 38 2 6" xfId="33388" xr:uid="{142BAA2E-D7B8-4F43-A6E3-70725B0A56D3}"/>
    <cellStyle name="Normal 3 2 38 2 7" xfId="33389" xr:uid="{4FAC935C-FD9C-4611-8318-104408F90BE5}"/>
    <cellStyle name="Normal 3 2 38 2 7 2" xfId="33390" xr:uid="{CEE29DF3-E776-4827-9708-B40102EB479C}"/>
    <cellStyle name="Normal 3 2 38 2 7 2 2" xfId="33391" xr:uid="{648D9EC4-B1EE-49B4-8EC7-8B6177022B25}"/>
    <cellStyle name="Normal 3 2 38 2 7 2 3" xfId="33392" xr:uid="{F0E9ED50-E1E5-45DD-B792-239EE9F333BC}"/>
    <cellStyle name="Normal 3 2 38 2 7 2 4" xfId="33393" xr:uid="{018A8165-0D40-4385-AE3D-7D611CB9F4FD}"/>
    <cellStyle name="Normal 3 2 38 2 7 3" xfId="33394" xr:uid="{0B036EAA-7793-495D-975F-98687D8B85F9}"/>
    <cellStyle name="Normal 3 2 38 2 7 4" xfId="33395" xr:uid="{07817F89-9C09-4C9D-BA7F-A7A8C780DB00}"/>
    <cellStyle name="Normal 3 2 38 2 7 5" xfId="33396" xr:uid="{712D2C62-9AEA-4406-805F-7E158BF373FD}"/>
    <cellStyle name="Normal 3 2 38 2 7 6" xfId="33397" xr:uid="{BB4641F0-BB1F-42BC-A4A6-F731B2E5C229}"/>
    <cellStyle name="Normal 3 2 38 2 8" xfId="33398" xr:uid="{DF6A1517-7CB8-48C9-8D6F-68737A37FA2A}"/>
    <cellStyle name="Normal 3 2 38 2 9" xfId="33399" xr:uid="{6E9D1872-664B-4D22-A1B6-3F7963F85EBF}"/>
    <cellStyle name="Normal 3 2 38 20" xfId="33400" xr:uid="{C76F1280-CE3F-44BE-9178-B0852E70F150}"/>
    <cellStyle name="Normal 3 2 38 21" xfId="33401" xr:uid="{9AF25144-3B79-4C02-8DE1-87548E6631ED}"/>
    <cellStyle name="Normal 3 2 38 21 2" xfId="33402" xr:uid="{4C9D7053-4380-4D9D-BBF7-B70853D2ABF4}"/>
    <cellStyle name="Normal 3 2 38 21 3" xfId="33403" xr:uid="{44421152-29A8-487F-BD5E-C4412C1E462D}"/>
    <cellStyle name="Normal 3 2 38 21 4" xfId="33404" xr:uid="{0177B9B8-03F8-4248-A66B-E31DA902B070}"/>
    <cellStyle name="Normal 3 2 38 22" xfId="33405" xr:uid="{76D3D902-E78F-4A07-8863-645BC3C0C53A}"/>
    <cellStyle name="Normal 3 2 38 23" xfId="33406" xr:uid="{03585627-28A5-4216-987E-E604F1ECF31D}"/>
    <cellStyle name="Normal 3 2 38 24" xfId="33407" xr:uid="{828EDDEA-3755-4E23-9DA2-6A03147FEB90}"/>
    <cellStyle name="Normal 3 2 38 3" xfId="33408" xr:uid="{F6EBFA39-2A53-43CB-B3F8-42C6B6054EF5}"/>
    <cellStyle name="Normal 3 2 38 4" xfId="33409" xr:uid="{999A196F-2FC5-44AC-A175-5BED1B6DA561}"/>
    <cellStyle name="Normal 3 2 38 5" xfId="33410" xr:uid="{606EC0BE-81F8-45AB-A2DB-F2A3656495AA}"/>
    <cellStyle name="Normal 3 2 38 6" xfId="33411" xr:uid="{6227F2A4-8223-4FF2-A349-8CD877E5F464}"/>
    <cellStyle name="Normal 3 2 38 7" xfId="33412" xr:uid="{A1C40755-C0A7-482E-88A1-7DB62B44CDF9}"/>
    <cellStyle name="Normal 3 2 38 8" xfId="33413" xr:uid="{772D06D4-EB39-42DF-8FB6-38BF6E2BCF06}"/>
    <cellStyle name="Normal 3 2 38 9" xfId="33414" xr:uid="{284DDFD3-D103-42CA-B198-C247DA2E331D}"/>
    <cellStyle name="Normal 3 2 39" xfId="33415" xr:uid="{019C5087-2C8A-40C6-A38B-736BD20ABF02}"/>
    <cellStyle name="Normal 3 2 39 10" xfId="33416" xr:uid="{9EC10894-1B5C-4E52-B0B1-D969739EB9CB}"/>
    <cellStyle name="Normal 3 2 39 11" xfId="33417" xr:uid="{AD0F3F6D-73FB-4AAF-B59F-5CED06C716C7}"/>
    <cellStyle name="Normal 3 2 39 12" xfId="33418" xr:uid="{92E05F58-C33C-471F-B5AB-57FAA0D8D0C8}"/>
    <cellStyle name="Normal 3 2 39 13" xfId="33419" xr:uid="{53CFA960-96BB-49C7-B7E4-FDD1CF70168E}"/>
    <cellStyle name="Normal 3 2 39 13 2" xfId="33420" xr:uid="{E7DD751C-C965-4E0E-9F46-F3B15D753DC0}"/>
    <cellStyle name="Normal 3 2 39 13 3" xfId="33421" xr:uid="{EEB629C5-C6C8-47D2-9DF1-8F644A14447B}"/>
    <cellStyle name="Normal 3 2 39 13 4" xfId="33422" xr:uid="{A92D3D91-B446-406A-98EA-9ABCFE6D213B}"/>
    <cellStyle name="Normal 3 2 39 14" xfId="33423" xr:uid="{1754917B-2D54-4505-9ADE-CA07832A7916}"/>
    <cellStyle name="Normal 3 2 39 15" xfId="33424" xr:uid="{674B594A-88A0-42E9-8448-8C320C2C4A0E}"/>
    <cellStyle name="Normal 3 2 39 16" xfId="33425" xr:uid="{C33CAAEE-CD0F-40BB-B509-BB4B1361E756}"/>
    <cellStyle name="Normal 3 2 39 2" xfId="33426" xr:uid="{643D1210-9513-48F5-AA2C-B98900B7092E}"/>
    <cellStyle name="Normal 3 2 39 2 10" xfId="33427" xr:uid="{18EED8BF-34BD-48F7-BA8F-D57794C90EB5}"/>
    <cellStyle name="Normal 3 2 39 2 11" xfId="33428" xr:uid="{180FE329-95E7-4380-8900-E41517D8E06F}"/>
    <cellStyle name="Normal 3 2 39 2 11 2" xfId="33429" xr:uid="{984A77E0-92FF-4A1B-A382-5BEBFF1C8B54}"/>
    <cellStyle name="Normal 3 2 39 2 11 3" xfId="33430" xr:uid="{C01D544B-06CF-441E-A987-7632F0F68FBD}"/>
    <cellStyle name="Normal 3 2 39 2 11 4" xfId="33431" xr:uid="{10BEBDA6-23E7-4630-89C7-F0F3BC7DC79E}"/>
    <cellStyle name="Normal 3 2 39 2 12" xfId="33432" xr:uid="{3644890E-D681-4F33-A9F0-5D529104BAF1}"/>
    <cellStyle name="Normal 3 2 39 2 13" xfId="33433" xr:uid="{E919FE99-C56E-4703-998E-E5A42FFB5627}"/>
    <cellStyle name="Normal 3 2 39 2 14" xfId="33434" xr:uid="{EE0634D2-8F36-4264-96F6-57EF4603CF53}"/>
    <cellStyle name="Normal 3 2 39 2 2" xfId="33435" xr:uid="{81BD58DE-8D58-4CD0-9E0A-60EDB7977F5F}"/>
    <cellStyle name="Normal 3 2 39 2 2 10" xfId="33436" xr:uid="{F76ABC48-1A65-4B6A-9436-ABA15255153A}"/>
    <cellStyle name="Normal 3 2 39 2 2 11" xfId="33437" xr:uid="{E35914B0-2E98-4839-BE5B-F57C598BBFA8}"/>
    <cellStyle name="Normal 3 2 39 2 2 2" xfId="33438" xr:uid="{2D9BD16E-E2EC-4766-9DC6-1789B9756F64}"/>
    <cellStyle name="Normal 3 2 39 2 2 2 10" xfId="33439" xr:uid="{6413F201-E802-4C64-921D-6DE86CA99D54}"/>
    <cellStyle name="Normal 3 2 39 2 2 2 11" xfId="33440" xr:uid="{BFFFCDC6-AF06-42CE-AF36-220623AEB886}"/>
    <cellStyle name="Normal 3 2 39 2 2 2 2" xfId="33441" xr:uid="{96445181-8616-4195-83A3-9898954D2D5D}"/>
    <cellStyle name="Normal 3 2 39 2 2 2 2 2" xfId="33442" xr:uid="{6686A5D4-37FC-4203-AAD6-9B845D6B50F0}"/>
    <cellStyle name="Normal 3 2 39 2 2 2 2 2 2" xfId="33443" xr:uid="{0E8F9F80-01AA-47E8-80DA-F93868EE0B9C}"/>
    <cellStyle name="Normal 3 2 39 2 2 2 2 2 3" xfId="33444" xr:uid="{BDAFF372-6DDF-4999-82AE-99FF5BBF0ED1}"/>
    <cellStyle name="Normal 3 2 39 2 2 2 2 2 4" xfId="33445" xr:uid="{AF25962C-9867-4FCD-8763-A7F0C8E42FFF}"/>
    <cellStyle name="Normal 3 2 39 2 2 2 2 3" xfId="33446" xr:uid="{99856E56-DE46-4FF4-9E03-5464D81BB660}"/>
    <cellStyle name="Normal 3 2 39 2 2 2 2 4" xfId="33447" xr:uid="{889415BE-88CB-43C0-AF68-9E619CC888BA}"/>
    <cellStyle name="Normal 3 2 39 2 2 2 2 5" xfId="33448" xr:uid="{FEFFC7B6-8176-4770-B2C3-A12B31B40877}"/>
    <cellStyle name="Normal 3 2 39 2 2 2 2 6" xfId="33449" xr:uid="{4FF4D5BE-1147-44BB-BAD7-AA6A1EA6C8D1}"/>
    <cellStyle name="Normal 3 2 39 2 2 2 3" xfId="33450" xr:uid="{5AAE80B3-227C-44BA-AA74-00CB0224D382}"/>
    <cellStyle name="Normal 3 2 39 2 2 2 4" xfId="33451" xr:uid="{C68181EA-1068-45D2-97E9-E7F4C56113D8}"/>
    <cellStyle name="Normal 3 2 39 2 2 2 5" xfId="33452" xr:uid="{C1BA2449-5D0A-4E35-BB44-F548BB167F9E}"/>
    <cellStyle name="Normal 3 2 39 2 2 2 6" xfId="33453" xr:uid="{1A6E46B0-C1CE-46AE-90F7-F268BD45404E}"/>
    <cellStyle name="Normal 3 2 39 2 2 2 7" xfId="33454" xr:uid="{06A7C732-81DD-4DC4-B297-4CC7CF10A654}"/>
    <cellStyle name="Normal 3 2 39 2 2 2 8" xfId="33455" xr:uid="{42581FEE-BD93-4761-9DE4-24C4632DFC3C}"/>
    <cellStyle name="Normal 3 2 39 2 2 2 8 2" xfId="33456" xr:uid="{C27F0D02-A506-43DF-99D1-9B72588C791E}"/>
    <cellStyle name="Normal 3 2 39 2 2 2 8 3" xfId="33457" xr:uid="{32A9847C-ECF7-4CB6-806C-FEE175401F60}"/>
    <cellStyle name="Normal 3 2 39 2 2 2 8 4" xfId="33458" xr:uid="{60CE1837-3EF8-4B8D-AAC4-85EAFA17D263}"/>
    <cellStyle name="Normal 3 2 39 2 2 2 9" xfId="33459" xr:uid="{FD95A486-7B53-4485-839E-0F2C7D2B805E}"/>
    <cellStyle name="Normal 3 2 39 2 2 3" xfId="33460" xr:uid="{CFA37E4C-EC94-48DC-85D4-9C44C334A540}"/>
    <cellStyle name="Normal 3 2 39 2 2 3 2" xfId="33461" xr:uid="{1472BB78-5FFD-4749-8675-E7C3AEAA793A}"/>
    <cellStyle name="Normal 3 2 39 2 2 3 2 2" xfId="33462" xr:uid="{75FE50E1-5DE4-45B6-865B-C2C92C098E84}"/>
    <cellStyle name="Normal 3 2 39 2 2 3 2 3" xfId="33463" xr:uid="{D2FBAE0D-A407-4ED9-A48F-F61828FF22A8}"/>
    <cellStyle name="Normal 3 2 39 2 2 3 2 4" xfId="33464" xr:uid="{A713145E-F692-4FA4-B8BC-E2CE446C2E45}"/>
    <cellStyle name="Normal 3 2 39 2 2 3 3" xfId="33465" xr:uid="{ADCC0545-35DF-417C-90E9-32863F7FD577}"/>
    <cellStyle name="Normal 3 2 39 2 2 3 4" xfId="33466" xr:uid="{CAC28EF0-9DEB-4FE8-B55A-40A090B62F2C}"/>
    <cellStyle name="Normal 3 2 39 2 2 3 5" xfId="33467" xr:uid="{AC7540F7-DAEF-4EE6-AE03-48C8E051781B}"/>
    <cellStyle name="Normal 3 2 39 2 2 3 6" xfId="33468" xr:uid="{105CCC05-B814-4646-9994-A209EFA89049}"/>
    <cellStyle name="Normal 3 2 39 2 2 4" xfId="33469" xr:uid="{3049A86D-95B3-4FAC-B2E3-E20E69745CBE}"/>
    <cellStyle name="Normal 3 2 39 2 2 5" xfId="33470" xr:uid="{5EB4C857-8E7C-4A2D-B41C-22FD8C2949D6}"/>
    <cellStyle name="Normal 3 2 39 2 2 6" xfId="33471" xr:uid="{FAD31FCC-DF3A-4960-B9C4-CA3B00047409}"/>
    <cellStyle name="Normal 3 2 39 2 2 7" xfId="33472" xr:uid="{EBF9AC62-EB18-4E98-9B2E-EADB3F60DD9A}"/>
    <cellStyle name="Normal 3 2 39 2 2 8" xfId="33473" xr:uid="{364ACD50-55A7-439B-BED7-7A4ED3669A82}"/>
    <cellStyle name="Normal 3 2 39 2 2 8 2" xfId="33474" xr:uid="{F1753636-4881-4622-BBC6-80F1A1BF03DE}"/>
    <cellStyle name="Normal 3 2 39 2 2 8 3" xfId="33475" xr:uid="{90F8F205-EBED-4581-9456-66666E663AD6}"/>
    <cellStyle name="Normal 3 2 39 2 2 8 4" xfId="33476" xr:uid="{E965E9A6-E427-41FC-81DE-A6A014A193C4}"/>
    <cellStyle name="Normal 3 2 39 2 2 9" xfId="33477" xr:uid="{EEE196C0-EF25-4AA1-A120-36C61661F895}"/>
    <cellStyle name="Normal 3 2 39 2 3" xfId="33478" xr:uid="{F6876313-6BBE-4F63-B813-F48B80A855ED}"/>
    <cellStyle name="Normal 3 2 39 2 4" xfId="33479" xr:uid="{F0409EA1-03D1-45BF-8040-F9B187BC5380}"/>
    <cellStyle name="Normal 3 2 39 2 5" xfId="33480" xr:uid="{65A2A172-2C0F-42EF-9BA8-1FDE0150CE8C}"/>
    <cellStyle name="Normal 3 2 39 2 5 2" xfId="33481" xr:uid="{FC483FAC-C6A8-49BD-B021-DB3B347B6705}"/>
    <cellStyle name="Normal 3 2 39 2 5 2 2" xfId="33482" xr:uid="{08178578-7965-4475-B06D-27A42F34EF77}"/>
    <cellStyle name="Normal 3 2 39 2 5 2 3" xfId="33483" xr:uid="{B17BC45B-634C-4348-9827-64A657C0F3B6}"/>
    <cellStyle name="Normal 3 2 39 2 5 2 4" xfId="33484" xr:uid="{E8711EA4-C332-4E4D-A96D-FAF6AE154996}"/>
    <cellStyle name="Normal 3 2 39 2 5 3" xfId="33485" xr:uid="{C3D2EA34-1246-4511-BA55-FD4FB434F10A}"/>
    <cellStyle name="Normal 3 2 39 2 5 4" xfId="33486" xr:uid="{79241152-8AC5-4FBC-94BB-5A94ABE33322}"/>
    <cellStyle name="Normal 3 2 39 2 5 5" xfId="33487" xr:uid="{910D98F1-9FE0-46D8-89EB-B343E0CB7C19}"/>
    <cellStyle name="Normal 3 2 39 2 5 6" xfId="33488" xr:uid="{1DB76817-6F71-4C2E-91F2-09BEE4345ACD}"/>
    <cellStyle name="Normal 3 2 39 2 6" xfId="33489" xr:uid="{96CD7FBC-1E43-48DC-BE51-85E27771A022}"/>
    <cellStyle name="Normal 3 2 39 2 7" xfId="33490" xr:uid="{2EF4A673-3B49-47B2-8F60-F4CB67EE081B}"/>
    <cellStyle name="Normal 3 2 39 2 8" xfId="33491" xr:uid="{49E8511A-7372-475D-A55A-F612F176A30B}"/>
    <cellStyle name="Normal 3 2 39 2 9" xfId="33492" xr:uid="{9D8D4599-7EDA-4F44-9EE2-41EFA91CAEA4}"/>
    <cellStyle name="Normal 3 2 39 3" xfId="33493" xr:uid="{62C8F10E-6DF2-4AFE-AF92-490C21BF4AE5}"/>
    <cellStyle name="Normal 3 2 39 4" xfId="33494" xr:uid="{C1E4258A-2141-4EFE-9DD3-A82316726AE8}"/>
    <cellStyle name="Normal 3 2 39 5" xfId="33495" xr:uid="{92948D03-05F1-40D4-92BC-6CFC554D909A}"/>
    <cellStyle name="Normal 3 2 39 5 10" xfId="33496" xr:uid="{9B4C8F59-5729-40D0-B3A5-1EA178AD3D59}"/>
    <cellStyle name="Normal 3 2 39 5 11" xfId="33497" xr:uid="{4E81A56F-BE40-447E-9DA5-3A07084FD3C2}"/>
    <cellStyle name="Normal 3 2 39 5 2" xfId="33498" xr:uid="{06DA5709-B7BC-4A40-B755-5882B5AF24DB}"/>
    <cellStyle name="Normal 3 2 39 5 2 10" xfId="33499" xr:uid="{73D021C8-C8E3-49C8-BE51-1510049308BF}"/>
    <cellStyle name="Normal 3 2 39 5 2 11" xfId="33500" xr:uid="{2BAA58C1-43FA-40B6-9EFF-50FA70E6864B}"/>
    <cellStyle name="Normal 3 2 39 5 2 2" xfId="33501" xr:uid="{ABB9F948-A5CD-46E8-A57C-5B478860AC76}"/>
    <cellStyle name="Normal 3 2 39 5 2 2 2" xfId="33502" xr:uid="{00C8B1CB-729E-4359-86E8-1CE16A00BC7C}"/>
    <cellStyle name="Normal 3 2 39 5 2 2 2 2" xfId="33503" xr:uid="{5C40847D-48F6-4BAF-89B7-52A69D8D6CAF}"/>
    <cellStyle name="Normal 3 2 39 5 2 2 2 3" xfId="33504" xr:uid="{820CA5E4-77D8-46DD-931A-046AA3E9CC41}"/>
    <cellStyle name="Normal 3 2 39 5 2 2 2 4" xfId="33505" xr:uid="{985ABBA5-5AAD-495A-9874-37C5C2FB01E0}"/>
    <cellStyle name="Normal 3 2 39 5 2 2 3" xfId="33506" xr:uid="{D5DB33AF-7C08-4A6C-B875-E13783448F01}"/>
    <cellStyle name="Normal 3 2 39 5 2 2 4" xfId="33507" xr:uid="{82BF425A-E782-420D-93F5-F4C3090C23D4}"/>
    <cellStyle name="Normal 3 2 39 5 2 2 5" xfId="33508" xr:uid="{09C93B44-5437-409F-90B7-57322EC8824F}"/>
    <cellStyle name="Normal 3 2 39 5 2 2 6" xfId="33509" xr:uid="{3B4E6D61-88B9-4357-AB88-C2E80A9FE784}"/>
    <cellStyle name="Normal 3 2 39 5 2 3" xfId="33510" xr:uid="{B64F9725-829C-4E46-B6B6-06D68C3630B8}"/>
    <cellStyle name="Normal 3 2 39 5 2 4" xfId="33511" xr:uid="{D97FD7F9-C405-4471-A7B8-CA9D7687B0CE}"/>
    <cellStyle name="Normal 3 2 39 5 2 5" xfId="33512" xr:uid="{E21CDD90-908F-4A44-A474-9CCF6C14B46F}"/>
    <cellStyle name="Normal 3 2 39 5 2 6" xfId="33513" xr:uid="{89D9905F-3E2D-4818-9207-594126729998}"/>
    <cellStyle name="Normal 3 2 39 5 2 7" xfId="33514" xr:uid="{D01344CF-0A10-4340-8105-5F1DD1405C4D}"/>
    <cellStyle name="Normal 3 2 39 5 2 8" xfId="33515" xr:uid="{E1A5EF25-A499-4AE4-A173-AD9C17EC1F29}"/>
    <cellStyle name="Normal 3 2 39 5 2 8 2" xfId="33516" xr:uid="{0935CF27-9300-48EC-AC4A-9C04D65E95B9}"/>
    <cellStyle name="Normal 3 2 39 5 2 8 3" xfId="33517" xr:uid="{91272A8C-11D4-4DD3-A3CB-03062DCE695C}"/>
    <cellStyle name="Normal 3 2 39 5 2 8 4" xfId="33518" xr:uid="{AF47643B-56BE-43E2-81B9-C91450113B32}"/>
    <cellStyle name="Normal 3 2 39 5 2 9" xfId="33519" xr:uid="{1FF816BC-4390-41F1-BF40-D7907D0C822B}"/>
    <cellStyle name="Normal 3 2 39 5 3" xfId="33520" xr:uid="{34041DA6-0ABD-4044-870C-DAA69DB74D20}"/>
    <cellStyle name="Normal 3 2 39 5 3 2" xfId="33521" xr:uid="{E65CF436-0FDD-473E-B9DC-D7192B129CE8}"/>
    <cellStyle name="Normal 3 2 39 5 3 2 2" xfId="33522" xr:uid="{8CDC5994-F472-4BE7-9906-698C65CE4369}"/>
    <cellStyle name="Normal 3 2 39 5 3 2 3" xfId="33523" xr:uid="{3FCBDA65-A70B-48E6-925D-D305E290FD01}"/>
    <cellStyle name="Normal 3 2 39 5 3 2 4" xfId="33524" xr:uid="{B1EC7C49-68FD-4736-A849-315B47B3F264}"/>
    <cellStyle name="Normal 3 2 39 5 3 3" xfId="33525" xr:uid="{61691000-5081-4CDC-81EA-0EBBF6F174A1}"/>
    <cellStyle name="Normal 3 2 39 5 3 4" xfId="33526" xr:uid="{F146AE8F-60FD-4417-AE19-98299831798F}"/>
    <cellStyle name="Normal 3 2 39 5 3 5" xfId="33527" xr:uid="{B61AC8E7-04DB-4B68-9177-55014A4EB96C}"/>
    <cellStyle name="Normal 3 2 39 5 3 6" xfId="33528" xr:uid="{66178333-2C75-4D96-A6F4-E9677BD45B10}"/>
    <cellStyle name="Normal 3 2 39 5 4" xfId="33529" xr:uid="{1D92380E-C5CB-4F60-A336-8CA0CE602DEC}"/>
    <cellStyle name="Normal 3 2 39 5 5" xfId="33530" xr:uid="{216ACD24-CA11-470A-9943-79C7BFF01E78}"/>
    <cellStyle name="Normal 3 2 39 5 6" xfId="33531" xr:uid="{D587C6AF-A924-43C6-AAF9-4E64AB123DE1}"/>
    <cellStyle name="Normal 3 2 39 5 7" xfId="33532" xr:uid="{30B37B6B-51BA-4BC5-8028-78367CE05899}"/>
    <cellStyle name="Normal 3 2 39 5 8" xfId="33533" xr:uid="{B8B95979-DEC4-40BC-819B-2AB47346AFE3}"/>
    <cellStyle name="Normal 3 2 39 5 8 2" xfId="33534" xr:uid="{3B94DD03-7E80-4F3F-962E-E342700148B9}"/>
    <cellStyle name="Normal 3 2 39 5 8 3" xfId="33535" xr:uid="{E1AF8D19-E618-4AA2-B753-ED380A0FA167}"/>
    <cellStyle name="Normal 3 2 39 5 8 4" xfId="33536" xr:uid="{3876B4B0-8153-4C15-A2CC-690D6AC22696}"/>
    <cellStyle name="Normal 3 2 39 5 9" xfId="33537" xr:uid="{11EC9DC8-0B03-497D-8B6A-20E0D30933A4}"/>
    <cellStyle name="Normal 3 2 39 6" xfId="33538" xr:uid="{A6BBF93C-21F6-466D-B384-159E9A6ED158}"/>
    <cellStyle name="Normal 3 2 39 7" xfId="33539" xr:uid="{D0B7E177-D128-47D4-B37F-1A1CD984E51B}"/>
    <cellStyle name="Normal 3 2 39 7 2" xfId="33540" xr:uid="{02402421-4B35-4568-8785-7CB239B44190}"/>
    <cellStyle name="Normal 3 2 39 7 2 2" xfId="33541" xr:uid="{4C48D260-94DB-42A5-ACC4-9C36879040F6}"/>
    <cellStyle name="Normal 3 2 39 7 2 3" xfId="33542" xr:uid="{D28BF318-8ED1-4A07-900D-35016846F199}"/>
    <cellStyle name="Normal 3 2 39 7 2 4" xfId="33543" xr:uid="{A5F37AF5-FD8E-4A5B-BC90-4A63AA27BEFF}"/>
    <cellStyle name="Normal 3 2 39 7 3" xfId="33544" xr:uid="{7F34B602-A8B0-464C-A491-D7B0C4AC5C13}"/>
    <cellStyle name="Normal 3 2 39 7 4" xfId="33545" xr:uid="{A852719A-6B8C-4F4F-A29A-310682D48F54}"/>
    <cellStyle name="Normal 3 2 39 7 5" xfId="33546" xr:uid="{00C8E281-9E0D-40B0-ABCA-C50B503E3D0E}"/>
    <cellStyle name="Normal 3 2 39 7 6" xfId="33547" xr:uid="{67D3E908-385D-46C2-A80A-9960A9358D30}"/>
    <cellStyle name="Normal 3 2 39 8" xfId="33548" xr:uid="{C9A6CFEA-673E-4BF1-886D-0F8F9CF359D3}"/>
    <cellStyle name="Normal 3 2 39 9" xfId="33549" xr:uid="{28C6F405-5387-4660-9433-450BBC0B47C8}"/>
    <cellStyle name="Normal 3 2 4" xfId="33550" xr:uid="{8D81CB69-C3E9-4711-9B39-390A9C12D51A}"/>
    <cellStyle name="Normal 3 2 4 10" xfId="33551" xr:uid="{9901695A-A68C-4C49-A76F-9B1B76D33C3F}"/>
    <cellStyle name="Normal 3 2 4 11" xfId="33552" xr:uid="{4C3615C6-C6D9-47A5-8803-1BBAEC734A72}"/>
    <cellStyle name="Normal 3 2 4 2" xfId="33553" xr:uid="{00CDF467-B186-4742-AD67-F7EE4EC4BED3}"/>
    <cellStyle name="Normal 3 2 4 2 2" xfId="33554" xr:uid="{D69700B6-AE39-4B15-8BB2-6020EF92844E}"/>
    <cellStyle name="Normal 3 2 4 2 3" xfId="33555" xr:uid="{59F29294-1385-4F37-99C9-AE6FB8B8D0A5}"/>
    <cellStyle name="Normal 3 2 4 2 4" xfId="33556" xr:uid="{63174062-D76F-4DC2-8787-BE867E71CE42}"/>
    <cellStyle name="Normal 3 2 4 2 5" xfId="33557" xr:uid="{13342D5D-2B90-491A-91E0-DE7B1BA6CB57}"/>
    <cellStyle name="Normal 3 2 4 2 6" xfId="33558" xr:uid="{BA6CB611-5EB0-4A15-AC36-FC204E1CB685}"/>
    <cellStyle name="Normal 3 2 4 3" xfId="33559" xr:uid="{E261DF91-0F05-4EFD-A4DB-879A8442A23C}"/>
    <cellStyle name="Normal 3 2 4 3 2" xfId="33560" xr:uid="{D1D9AB09-A08C-4B12-9E31-E97D6E146D76}"/>
    <cellStyle name="Normal 3 2 4 3 3" xfId="33561" xr:uid="{84AF15F3-7CD9-44A0-9B34-8E3E1F3EEC83}"/>
    <cellStyle name="Normal 3 2 4 3 4" xfId="33562" xr:uid="{915D8648-2F74-4350-BF17-EEBA027C111D}"/>
    <cellStyle name="Normal 3 2 4 3 5" xfId="33563" xr:uid="{6C0F11E8-1BBF-40C1-B93F-7686DD9EB00F}"/>
    <cellStyle name="Normal 3 2 4 3 6" xfId="33564" xr:uid="{EE11E73D-72CF-4F8B-811E-F6B207D90D52}"/>
    <cellStyle name="Normal 3 2 4 4" xfId="33565" xr:uid="{8F1D1BC7-62D8-48E4-A2CE-44431AC45AFA}"/>
    <cellStyle name="Normal 3 2 4 4 2" xfId="33566" xr:uid="{E51FF669-46C3-4BB4-8046-7B506A4C30B7}"/>
    <cellStyle name="Normal 3 2 4 4 3" xfId="33567" xr:uid="{D16A62B9-6CFF-4931-8865-123A337BDAFB}"/>
    <cellStyle name="Normal 3 2 4 4 4" xfId="33568" xr:uid="{FC1DB1F9-1F8C-49A5-A56D-9AC0217001BE}"/>
    <cellStyle name="Normal 3 2 4 4 5" xfId="33569" xr:uid="{1405A842-721A-49D8-8067-E06BF7BA771B}"/>
    <cellStyle name="Normal 3 2 4 4 6" xfId="33570" xr:uid="{8F9B7ADF-9B3E-4861-8828-D43A41069FD4}"/>
    <cellStyle name="Normal 3 2 4 5" xfId="33571" xr:uid="{B1119C8A-3F25-4AD8-9423-E486F7877C15}"/>
    <cellStyle name="Normal 3 2 4 5 2" xfId="33572" xr:uid="{E7F14CC6-C7C2-44AF-92DA-2533218E78E1}"/>
    <cellStyle name="Normal 3 2 4 5 3" xfId="33573" xr:uid="{745AF3B0-90E0-4E90-A45A-EF0C1E619D11}"/>
    <cellStyle name="Normal 3 2 4 5 4" xfId="33574" xr:uid="{4E68622C-DA28-45B4-BDE7-C834C5375057}"/>
    <cellStyle name="Normal 3 2 4 5 5" xfId="33575" xr:uid="{08824463-278A-4759-B21B-8C3B981E6C49}"/>
    <cellStyle name="Normal 3 2 4 5 6" xfId="33576" xr:uid="{E587BA08-7716-43C4-BCB4-7397FF9B15A7}"/>
    <cellStyle name="Normal 3 2 4 6" xfId="33577" xr:uid="{575489C7-EBFD-4B9A-BD8A-DA9ADEA40ACB}"/>
    <cellStyle name="Normal 3 2 4 6 2" xfId="33578" xr:uid="{005AA307-2F8F-418A-8027-3359B7305014}"/>
    <cellStyle name="Normal 3 2 4 6 3" xfId="33579" xr:uid="{DE7E153E-9D19-4BE2-B685-31CE3907159C}"/>
    <cellStyle name="Normal 3 2 4 6 4" xfId="33580" xr:uid="{688FBFA5-5565-4736-921C-1F93403074DF}"/>
    <cellStyle name="Normal 3 2 4 6 5" xfId="33581" xr:uid="{44B2C0F0-8214-4707-8CF3-27A1BC1FEB0C}"/>
    <cellStyle name="Normal 3 2 4 6 6" xfId="33582" xr:uid="{58D944F3-27C1-4D79-A61E-AD5041A5AA3C}"/>
    <cellStyle name="Normal 3 2 4 7" xfId="33583" xr:uid="{0A92FDC9-8CA1-4366-836B-8702CD8B26F9}"/>
    <cellStyle name="Normal 3 2 4 8" xfId="33584" xr:uid="{8E5BC58A-F3EE-496C-82B9-A3D9E88336C9}"/>
    <cellStyle name="Normal 3 2 4 9" xfId="33585" xr:uid="{CE564325-91D6-4F6E-B8E2-F3BA438F2032}"/>
    <cellStyle name="Normal 3 2 40" xfId="33586" xr:uid="{F3CE42F7-378E-49DD-A1AC-68991720EC73}"/>
    <cellStyle name="Normal 3 2 41" xfId="33587" xr:uid="{E17252BB-6DE6-4711-86B6-0CA63EC0C4B6}"/>
    <cellStyle name="Normal 3 2 42" xfId="33588" xr:uid="{98834138-D02F-49BC-AB04-8311B7AA7C8C}"/>
    <cellStyle name="Normal 3 2 43" xfId="33589" xr:uid="{873EF6D6-4B44-4438-8428-D052017D8D38}"/>
    <cellStyle name="Normal 3 2 44" xfId="33590" xr:uid="{25B35150-EAFC-4BEC-99AB-9E5389ED53A5}"/>
    <cellStyle name="Normal 3 2 45" xfId="33591" xr:uid="{8C05EFEA-C56D-4BE1-B505-B30F35E7F31E}"/>
    <cellStyle name="Normal 3 2 46" xfId="33592" xr:uid="{97CE6383-8A8D-4ED5-96F0-07F791C56470}"/>
    <cellStyle name="Normal 3 2 47" xfId="33593" xr:uid="{D60B8032-D02D-4C3B-8A74-89D8ED1BA409}"/>
    <cellStyle name="Normal 3 2 47 10" xfId="33594" xr:uid="{C2C0FBFA-2CD9-4B8E-A05A-5E2B80138496}"/>
    <cellStyle name="Normal 3 2 47 11" xfId="33595" xr:uid="{F53A8050-07E3-41C0-83BE-9BD87BD05D3E}"/>
    <cellStyle name="Normal 3 2 47 11 2" xfId="33596" xr:uid="{BB178090-B9B1-4EA3-AA9F-8AA768D43E71}"/>
    <cellStyle name="Normal 3 2 47 11 3" xfId="33597" xr:uid="{65D50240-2E4F-41D2-935B-561E211C3346}"/>
    <cellStyle name="Normal 3 2 47 11 4" xfId="33598" xr:uid="{AF058C82-6EBA-445E-BC40-94A208E5707B}"/>
    <cellStyle name="Normal 3 2 47 12" xfId="33599" xr:uid="{41E6A0B9-F58E-46E5-9C7C-E4C614876BAF}"/>
    <cellStyle name="Normal 3 2 47 13" xfId="33600" xr:uid="{645AF806-0DE5-4F18-A8D8-460508822798}"/>
    <cellStyle name="Normal 3 2 47 14" xfId="33601" xr:uid="{41DBD23F-29ED-406A-ABB6-AA0D8D052272}"/>
    <cellStyle name="Normal 3 2 47 2" xfId="33602" xr:uid="{CD11EB0A-96E2-4D16-AE26-02B72B2C3CC2}"/>
    <cellStyle name="Normal 3 2 47 2 10" xfId="33603" xr:uid="{74326771-8225-434C-959C-1D215A3975F3}"/>
    <cellStyle name="Normal 3 2 47 2 11" xfId="33604" xr:uid="{E37B6BEF-8E71-46A9-92AC-4CD14A5F81BC}"/>
    <cellStyle name="Normal 3 2 47 2 2" xfId="33605" xr:uid="{7972E54E-DAA9-4184-A77B-F2FDF85298CF}"/>
    <cellStyle name="Normal 3 2 47 2 2 10" xfId="33606" xr:uid="{F2942205-E553-4198-8E66-671107601991}"/>
    <cellStyle name="Normal 3 2 47 2 2 11" xfId="33607" xr:uid="{64EF9A78-5923-418F-806B-FAB2A8B43D34}"/>
    <cellStyle name="Normal 3 2 47 2 2 2" xfId="33608" xr:uid="{09A9F029-5AFB-4B14-992B-6FFEB5815B86}"/>
    <cellStyle name="Normal 3 2 47 2 2 2 2" xfId="33609" xr:uid="{1269F3DB-D76E-475B-8444-86C960F6C24F}"/>
    <cellStyle name="Normal 3 2 47 2 2 2 2 2" xfId="33610" xr:uid="{FCAACE72-B7B4-443D-9E4C-D07FEC2D72BC}"/>
    <cellStyle name="Normal 3 2 47 2 2 2 2 3" xfId="33611" xr:uid="{43ED2ECA-D73C-4C21-8358-C5F63F91FD34}"/>
    <cellStyle name="Normal 3 2 47 2 2 2 2 4" xfId="33612" xr:uid="{C9C38678-0B0B-4B73-8546-EEE3CD1B7CB1}"/>
    <cellStyle name="Normal 3 2 47 2 2 2 3" xfId="33613" xr:uid="{ECA03CCE-CF36-4462-AC1D-CB4B7CCB3801}"/>
    <cellStyle name="Normal 3 2 47 2 2 2 4" xfId="33614" xr:uid="{8CB62CA4-5DA9-497E-9B9F-8E427AEFCFF5}"/>
    <cellStyle name="Normal 3 2 47 2 2 2 5" xfId="33615" xr:uid="{078FF4C6-0B4C-40FD-954A-23B61A4AC799}"/>
    <cellStyle name="Normal 3 2 47 2 2 2 6" xfId="33616" xr:uid="{90608CD0-5D49-4658-A675-788B675C63A0}"/>
    <cellStyle name="Normal 3 2 47 2 2 3" xfId="33617" xr:uid="{8A38F856-2175-49DF-91B6-0BCB2E17F39F}"/>
    <cellStyle name="Normal 3 2 47 2 2 4" xfId="33618" xr:uid="{A30D943E-27DB-43B8-BDA2-68D745012774}"/>
    <cellStyle name="Normal 3 2 47 2 2 5" xfId="33619" xr:uid="{B6176319-066D-475D-8D6A-60D2844DAB15}"/>
    <cellStyle name="Normal 3 2 47 2 2 6" xfId="33620" xr:uid="{3C833D22-A8C9-4F9A-84ED-1C73692B2DD8}"/>
    <cellStyle name="Normal 3 2 47 2 2 7" xfId="33621" xr:uid="{699B6901-484B-4319-A5A2-27635F6385C6}"/>
    <cellStyle name="Normal 3 2 47 2 2 8" xfId="33622" xr:uid="{C6BEC1AD-C4A7-424B-BF8C-B037AC812057}"/>
    <cellStyle name="Normal 3 2 47 2 2 8 2" xfId="33623" xr:uid="{40F5D657-747F-4B5F-B91B-781B8057D3C1}"/>
    <cellStyle name="Normal 3 2 47 2 2 8 3" xfId="33624" xr:uid="{D6862C38-C9BE-456A-800C-FAA587053DA5}"/>
    <cellStyle name="Normal 3 2 47 2 2 8 4" xfId="33625" xr:uid="{E70348C3-9756-493F-8D00-A572A18DE5DD}"/>
    <cellStyle name="Normal 3 2 47 2 2 9" xfId="33626" xr:uid="{3C7281B3-1F00-4B7E-BA1C-B9A2976BD093}"/>
    <cellStyle name="Normal 3 2 47 2 3" xfId="33627" xr:uid="{E9791285-E2F2-4A92-957F-07A3288C30BF}"/>
    <cellStyle name="Normal 3 2 47 2 3 2" xfId="33628" xr:uid="{369693D0-D670-4C81-A2FD-C30EBF086559}"/>
    <cellStyle name="Normal 3 2 47 2 3 2 2" xfId="33629" xr:uid="{D8F7AFF2-CCF1-4E53-BE05-00F8528F724D}"/>
    <cellStyle name="Normal 3 2 47 2 3 2 3" xfId="33630" xr:uid="{17376958-E6F3-4736-8D24-67BE21D7DDCB}"/>
    <cellStyle name="Normal 3 2 47 2 3 2 4" xfId="33631" xr:uid="{5A708F21-5EAA-4294-B5A1-64D2A1F1DAB7}"/>
    <cellStyle name="Normal 3 2 47 2 3 3" xfId="33632" xr:uid="{087B7924-756C-4307-81BD-FDCD764CCF43}"/>
    <cellStyle name="Normal 3 2 47 2 3 4" xfId="33633" xr:uid="{04ABE55F-54C6-4D1E-B883-60A381B36CC7}"/>
    <cellStyle name="Normal 3 2 47 2 3 5" xfId="33634" xr:uid="{5714B2DF-4EAC-4560-B99F-318C73CD4D26}"/>
    <cellStyle name="Normal 3 2 47 2 3 6" xfId="33635" xr:uid="{B418DB96-60DB-40D9-AF10-D4C8D5CDCA61}"/>
    <cellStyle name="Normal 3 2 47 2 4" xfId="33636" xr:uid="{A44185EB-F891-4CCB-98A8-DC8F31051197}"/>
    <cellStyle name="Normal 3 2 47 2 5" xfId="33637" xr:uid="{0474673A-3628-47A5-A085-1989D84954E6}"/>
    <cellStyle name="Normal 3 2 47 2 6" xfId="33638" xr:uid="{8E1C7926-DACB-4B9D-8F90-EFE0768A691B}"/>
    <cellStyle name="Normal 3 2 47 2 7" xfId="33639" xr:uid="{E0C971B5-73BA-40FE-80CB-4D51BA2D4AE9}"/>
    <cellStyle name="Normal 3 2 47 2 8" xfId="33640" xr:uid="{773305C1-7DDC-4118-B980-47584945C6ED}"/>
    <cellStyle name="Normal 3 2 47 2 8 2" xfId="33641" xr:uid="{675370AE-734C-415D-B566-3A56A1660262}"/>
    <cellStyle name="Normal 3 2 47 2 8 3" xfId="33642" xr:uid="{6E1AA261-3B72-497D-87F0-21A6EC069173}"/>
    <cellStyle name="Normal 3 2 47 2 8 4" xfId="33643" xr:uid="{67760923-BF38-4863-A48D-BD2FC3A5673F}"/>
    <cellStyle name="Normal 3 2 47 2 9" xfId="33644" xr:uid="{CB79ADFB-3FA8-4015-AC09-94492E33EC15}"/>
    <cellStyle name="Normal 3 2 47 3" xfId="33645" xr:uid="{80521DBF-72E4-41F0-9D8D-9EA0458D0C29}"/>
    <cellStyle name="Normal 3 2 47 4" xfId="33646" xr:uid="{E82B09A8-A6A7-4E8B-BD68-C0634C15B24D}"/>
    <cellStyle name="Normal 3 2 47 5" xfId="33647" xr:uid="{72601D6C-C7A7-43AA-BB19-35CA1D8E1977}"/>
    <cellStyle name="Normal 3 2 47 5 2" xfId="33648" xr:uid="{D59B3700-62E8-48A3-9A80-A9FD3A806177}"/>
    <cellStyle name="Normal 3 2 47 5 2 2" xfId="33649" xr:uid="{AEF86050-3E67-40FC-B35C-070BDDB94CBC}"/>
    <cellStyle name="Normal 3 2 47 5 2 3" xfId="33650" xr:uid="{4EE5599D-06F5-4789-A5D7-B747DCE8223F}"/>
    <cellStyle name="Normal 3 2 47 5 2 4" xfId="33651" xr:uid="{E42566C0-8145-4ED4-AB2B-27A3534C3B06}"/>
    <cellStyle name="Normal 3 2 47 5 3" xfId="33652" xr:uid="{C43A9D2B-38F7-4805-AB43-B67F74097508}"/>
    <cellStyle name="Normal 3 2 47 5 4" xfId="33653" xr:uid="{65A48A4F-BE08-47C3-97FE-2A75F1AF47A7}"/>
    <cellStyle name="Normal 3 2 47 5 5" xfId="33654" xr:uid="{B2EDEA47-3AA7-4DEC-BF23-739BA04750CA}"/>
    <cellStyle name="Normal 3 2 47 5 6" xfId="33655" xr:uid="{6BDD34AE-93F6-497B-AD71-5901FB17164E}"/>
    <cellStyle name="Normal 3 2 47 6" xfId="33656" xr:uid="{BF97132E-E939-4C4C-93CE-32B1DA8D78C7}"/>
    <cellStyle name="Normal 3 2 47 7" xfId="33657" xr:uid="{ED9B0000-0931-4DE6-A919-FC7F32075630}"/>
    <cellStyle name="Normal 3 2 47 8" xfId="33658" xr:uid="{ED030740-1A2A-49FE-94C5-366C366E0344}"/>
    <cellStyle name="Normal 3 2 47 9" xfId="33659" xr:uid="{FAFFDB78-567E-466E-AB2F-71D8AB2C568C}"/>
    <cellStyle name="Normal 3 2 48" xfId="33660" xr:uid="{CC2B8B4D-286D-415B-B790-F7D07DFB944E}"/>
    <cellStyle name="Normal 3 2 49" xfId="33661" xr:uid="{35831C11-E273-45A9-BC36-A838D716D373}"/>
    <cellStyle name="Normal 3 2 49 10" xfId="33662" xr:uid="{C80CF0DB-BBAD-41E5-8761-29F5EEC7741E}"/>
    <cellStyle name="Normal 3 2 49 11" xfId="33663" xr:uid="{53D99EBB-1AEA-4D73-95C5-A017047FDA4B}"/>
    <cellStyle name="Normal 3 2 49 2" xfId="33664" xr:uid="{63C58FEA-D318-44B9-A02A-F9D881DE89D3}"/>
    <cellStyle name="Normal 3 2 49 2 10" xfId="33665" xr:uid="{E6EDAD21-ACCE-42E8-B4D2-ECAF0BC3B0B1}"/>
    <cellStyle name="Normal 3 2 49 2 11" xfId="33666" xr:uid="{241A2ACC-46D5-4D7F-B30B-D3E6A79E1DC4}"/>
    <cellStyle name="Normal 3 2 49 2 2" xfId="33667" xr:uid="{47ECDB60-31BD-4A61-8A7D-E5C03C0E101C}"/>
    <cellStyle name="Normal 3 2 49 2 2 2" xfId="33668" xr:uid="{A20A9C59-4D78-4957-A577-D36349D09D5C}"/>
    <cellStyle name="Normal 3 2 49 2 2 2 2" xfId="33669" xr:uid="{A9235EF9-D084-45F9-851C-2CB7AF411066}"/>
    <cellStyle name="Normal 3 2 49 2 2 2 3" xfId="33670" xr:uid="{DDA2A107-32FC-4B35-A6EC-018F79815473}"/>
    <cellStyle name="Normal 3 2 49 2 2 2 4" xfId="33671" xr:uid="{FF487A46-B50F-4F9F-9BAC-BF527247FD42}"/>
    <cellStyle name="Normal 3 2 49 2 2 3" xfId="33672" xr:uid="{E1B7063D-70D0-410F-B1C3-2F7667E6CA1B}"/>
    <cellStyle name="Normal 3 2 49 2 2 4" xfId="33673" xr:uid="{63E7B563-B9FD-4F7C-96C1-3F57ECD4F454}"/>
    <cellStyle name="Normal 3 2 49 2 2 5" xfId="33674" xr:uid="{78685B51-44F0-400A-B7A9-80A17061CE43}"/>
    <cellStyle name="Normal 3 2 49 2 2 6" xfId="33675" xr:uid="{069A2CC2-EDCD-483C-9D80-1ED4F1603F8F}"/>
    <cellStyle name="Normal 3 2 49 2 3" xfId="33676" xr:uid="{DD28813E-2CA6-418F-8116-8AB82F8CCBB7}"/>
    <cellStyle name="Normal 3 2 49 2 4" xfId="33677" xr:uid="{0C32F5BC-7705-4961-8D1C-C1F917C5856A}"/>
    <cellStyle name="Normal 3 2 49 2 5" xfId="33678" xr:uid="{F2BEBAA3-1200-4894-A9E3-07193B916D98}"/>
    <cellStyle name="Normal 3 2 49 2 6" xfId="33679" xr:uid="{841ED36A-DAD7-4C4D-AA1B-4CC54CD0296F}"/>
    <cellStyle name="Normal 3 2 49 2 7" xfId="33680" xr:uid="{F7ECD3EB-118A-42F0-B251-8AF524C53085}"/>
    <cellStyle name="Normal 3 2 49 2 8" xfId="33681" xr:uid="{ED90F80B-B20B-432B-BBAE-61440175B626}"/>
    <cellStyle name="Normal 3 2 49 2 8 2" xfId="33682" xr:uid="{BAA3268E-74E4-4D3A-8414-FE499283E78A}"/>
    <cellStyle name="Normal 3 2 49 2 8 3" xfId="33683" xr:uid="{F6B80F57-DF77-423A-BC7C-E324B62FDB2F}"/>
    <cellStyle name="Normal 3 2 49 2 8 4" xfId="33684" xr:uid="{37ED4AF4-902D-4202-B537-090CFD8F189E}"/>
    <cellStyle name="Normal 3 2 49 2 9" xfId="33685" xr:uid="{02C8C267-E6C7-4186-96BB-10A24A1E9AF8}"/>
    <cellStyle name="Normal 3 2 49 3" xfId="33686" xr:uid="{644A0904-0209-4D2C-B32F-F437445D6AB0}"/>
    <cellStyle name="Normal 3 2 49 3 2" xfId="33687" xr:uid="{3FBE5494-890B-4C6E-8D96-EB1BABDE25AE}"/>
    <cellStyle name="Normal 3 2 49 3 2 2" xfId="33688" xr:uid="{8A22C54F-8034-4B8B-9F77-16111C5A92D3}"/>
    <cellStyle name="Normal 3 2 49 3 2 3" xfId="33689" xr:uid="{C2200C4B-89DD-43E1-9CDD-BE060E68F14E}"/>
    <cellStyle name="Normal 3 2 49 3 2 4" xfId="33690" xr:uid="{A04CE04C-1A87-4B2D-A716-533B5DB9DCB4}"/>
    <cellStyle name="Normal 3 2 49 3 3" xfId="33691" xr:uid="{C199F36D-3BBC-4DE5-BEF6-8152400D9A1F}"/>
    <cellStyle name="Normal 3 2 49 3 4" xfId="33692" xr:uid="{BFC5E6B1-013E-466A-BD34-BDFB06510CF4}"/>
    <cellStyle name="Normal 3 2 49 3 5" xfId="33693" xr:uid="{74709180-48A2-45D9-A886-DA6EC31AD5CD}"/>
    <cellStyle name="Normal 3 2 49 3 6" xfId="33694" xr:uid="{AF8129B4-597F-428F-8BF8-FFE143B2CCE3}"/>
    <cellStyle name="Normal 3 2 49 4" xfId="33695" xr:uid="{0E2D5CEA-7615-4CD2-A217-C0E29C3CDD87}"/>
    <cellStyle name="Normal 3 2 49 5" xfId="33696" xr:uid="{89F5C6E9-4A46-4E68-BB40-947469B1311D}"/>
    <cellStyle name="Normal 3 2 49 6" xfId="33697" xr:uid="{C887D88B-A445-425E-8649-4BE41BF12110}"/>
    <cellStyle name="Normal 3 2 49 7" xfId="33698" xr:uid="{6F44C1FF-3CA7-4CD6-828D-C0435876ED2E}"/>
    <cellStyle name="Normal 3 2 49 8" xfId="33699" xr:uid="{96D756AA-A5EC-4542-B332-A1FAA5DA4895}"/>
    <cellStyle name="Normal 3 2 49 8 2" xfId="33700" xr:uid="{1D85875D-475A-4C08-BF5E-AC901255F2A9}"/>
    <cellStyle name="Normal 3 2 49 8 3" xfId="33701" xr:uid="{9EEC7086-00D0-49FE-8EB0-F0918F250BC4}"/>
    <cellStyle name="Normal 3 2 49 8 4" xfId="33702" xr:uid="{A305FB0B-9F68-4DB5-B597-5793C425C3AD}"/>
    <cellStyle name="Normal 3 2 49 9" xfId="33703" xr:uid="{515807A1-5106-40BC-AC25-058D1464023D}"/>
    <cellStyle name="Normal 3 2 5" xfId="33704" xr:uid="{9C316DC0-AC0C-414A-B02D-27AC516B088E}"/>
    <cellStyle name="Normal 3 2 5 10" xfId="33705" xr:uid="{BB3A61E0-7A1C-4EDB-A01D-0DE54446B8B0}"/>
    <cellStyle name="Normal 3 2 5 11" xfId="33706" xr:uid="{978096D6-26A8-4AD1-BF82-D20745127ECF}"/>
    <cellStyle name="Normal 3 2 5 2" xfId="33707" xr:uid="{8B74270A-C514-4B1A-9B69-AB4CE7C74879}"/>
    <cellStyle name="Normal 3 2 5 2 2" xfId="33708" xr:uid="{0F3A3C91-7722-4B8D-9546-CAFDE510D2E3}"/>
    <cellStyle name="Normal 3 2 5 2 3" xfId="33709" xr:uid="{C518AFB3-37B3-4EC5-8721-F44656599239}"/>
    <cellStyle name="Normal 3 2 5 2 4" xfId="33710" xr:uid="{691611FB-8745-4626-9F65-501C5981BA38}"/>
    <cellStyle name="Normal 3 2 5 2 5" xfId="33711" xr:uid="{8923F9A1-FB9F-4989-A583-F740AB6AE03F}"/>
    <cellStyle name="Normal 3 2 5 2 6" xfId="33712" xr:uid="{AD74A4ED-A7E3-48E2-BD80-55A08BBADC9A}"/>
    <cellStyle name="Normal 3 2 5 3" xfId="33713" xr:uid="{52B89574-8CF6-42A0-AB31-D48EB6F31503}"/>
    <cellStyle name="Normal 3 2 5 3 2" xfId="33714" xr:uid="{DDC7A7BC-6BA1-4C48-89F2-BEDC06734C13}"/>
    <cellStyle name="Normal 3 2 5 3 3" xfId="33715" xr:uid="{EC53CC3B-57E1-40A6-9465-748C8AF03AF4}"/>
    <cellStyle name="Normal 3 2 5 3 4" xfId="33716" xr:uid="{F142C137-F57B-4ABE-9004-21DCF4964352}"/>
    <cellStyle name="Normal 3 2 5 3 5" xfId="33717" xr:uid="{975D76CE-FFC7-495E-8DE5-D348EBB8ECC1}"/>
    <cellStyle name="Normal 3 2 5 3 6" xfId="33718" xr:uid="{A023B0D2-3CA3-463F-AD21-0B39FA8C13F4}"/>
    <cellStyle name="Normal 3 2 5 4" xfId="33719" xr:uid="{99C699C0-54CF-46F2-B66E-75577DD1800B}"/>
    <cellStyle name="Normal 3 2 5 4 2" xfId="33720" xr:uid="{721295B7-F5B1-4DDE-B8E0-5C3D07A7BFF2}"/>
    <cellStyle name="Normal 3 2 5 4 3" xfId="33721" xr:uid="{B9DDE3CA-5A34-4D28-9259-D20200053E5C}"/>
    <cellStyle name="Normal 3 2 5 4 4" xfId="33722" xr:uid="{2AE3F44F-CCDE-4EEA-913C-5BA8BE6097DB}"/>
    <cellStyle name="Normal 3 2 5 4 5" xfId="33723" xr:uid="{6AEAEA58-3B88-4F59-9B9D-0341A1298759}"/>
    <cellStyle name="Normal 3 2 5 4 6" xfId="33724" xr:uid="{DB37A88F-C6F6-43E9-932C-776797237628}"/>
    <cellStyle name="Normal 3 2 5 5" xfId="33725" xr:uid="{936556E5-4B08-4A94-98F5-81CB6777C2DA}"/>
    <cellStyle name="Normal 3 2 5 5 2" xfId="33726" xr:uid="{0B622CCE-6C6E-4ACF-B963-0A26235BC839}"/>
    <cellStyle name="Normal 3 2 5 5 3" xfId="33727" xr:uid="{1D4481F1-926B-4ADD-AB04-8C98B5A4CC6C}"/>
    <cellStyle name="Normal 3 2 5 5 4" xfId="33728" xr:uid="{94C5E03A-42FE-41A4-851C-423D5551236B}"/>
    <cellStyle name="Normal 3 2 5 5 5" xfId="33729" xr:uid="{4FE7F8C3-E105-4FD5-A883-5D2720C5B841}"/>
    <cellStyle name="Normal 3 2 5 5 6" xfId="33730" xr:uid="{2261FAA2-D3A3-4DAC-94B7-4FF524FDC9B4}"/>
    <cellStyle name="Normal 3 2 5 6" xfId="33731" xr:uid="{9A16CB7B-E7BD-47DD-8530-D1AD6469B414}"/>
    <cellStyle name="Normal 3 2 5 6 2" xfId="33732" xr:uid="{2FD8C0BA-98AF-47FF-9526-3E893872CDB0}"/>
    <cellStyle name="Normal 3 2 5 6 3" xfId="33733" xr:uid="{45F5013B-6D89-4913-953A-2FC82D12082E}"/>
    <cellStyle name="Normal 3 2 5 6 4" xfId="33734" xr:uid="{46FF1D50-6E83-40EF-B32B-5A8F226D48F3}"/>
    <cellStyle name="Normal 3 2 5 6 5" xfId="33735" xr:uid="{E83BAC80-3033-4601-A3F1-F16E31B0517F}"/>
    <cellStyle name="Normal 3 2 5 6 6" xfId="33736" xr:uid="{9A0CD092-5203-4C50-9D0F-36FFC5A4F429}"/>
    <cellStyle name="Normal 3 2 5 7" xfId="33737" xr:uid="{EE078425-4B9F-4CFE-B4A5-E8AAC9AC365F}"/>
    <cellStyle name="Normal 3 2 5 8" xfId="33738" xr:uid="{451F5938-1F2A-4A63-982F-A0542FD2139F}"/>
    <cellStyle name="Normal 3 2 5 9" xfId="33739" xr:uid="{FDB760B8-EBF3-4AB6-8135-06B9C5BA88AA}"/>
    <cellStyle name="Normal 3 2 50" xfId="33740" xr:uid="{2E9CCD55-5C50-47AE-A7CF-93FAF9244733}"/>
    <cellStyle name="Normal 3 2 51" xfId="33741" xr:uid="{93EB3928-E850-421B-A10E-B3FBEA562BA3}"/>
    <cellStyle name="Normal 3 2 51 2" xfId="33742" xr:uid="{782AD12A-34C1-4A10-A04A-01DE7B5E7272}"/>
    <cellStyle name="Normal 3 2 51 2 2" xfId="33743" xr:uid="{508BDE09-FF78-440C-A5E2-6EB3FF44150B}"/>
    <cellStyle name="Normal 3 2 51 2 3" xfId="33744" xr:uid="{82F90997-3C42-47BB-9D42-C80B09F346A3}"/>
    <cellStyle name="Normal 3 2 51 2 4" xfId="33745" xr:uid="{2C610798-467F-4BE7-AEF6-045F7B609B82}"/>
    <cellStyle name="Normal 3 2 51 3" xfId="33746" xr:uid="{55D0090E-F117-4F97-8F4B-6C45540BD864}"/>
    <cellStyle name="Normal 3 2 51 4" xfId="33747" xr:uid="{457CAB59-1E6D-479D-BF34-E30858F8D988}"/>
    <cellStyle name="Normal 3 2 51 5" xfId="33748" xr:uid="{5525F952-D53B-4CC9-829B-88F106928C99}"/>
    <cellStyle name="Normal 3 2 51 6" xfId="33749" xr:uid="{6E4A747E-B042-49C5-9384-5F67B7E838DB}"/>
    <cellStyle name="Normal 3 2 52" xfId="33750" xr:uid="{098B52FF-C357-4F4C-BA65-A5C04E074117}"/>
    <cellStyle name="Normal 3 2 53" xfId="33751" xr:uid="{1C409FD9-C4EE-4364-B090-93C929C211A5}"/>
    <cellStyle name="Normal 3 2 54" xfId="33752" xr:uid="{0121AC77-B6FA-4CDA-9283-98D9DEC00D89}"/>
    <cellStyle name="Normal 3 2 55" xfId="33753" xr:uid="{50C97BA8-6598-47FB-9FEC-C7D1CCA0A652}"/>
    <cellStyle name="Normal 3 2 56" xfId="33754" xr:uid="{561E76FC-8EB3-4D9A-AC1F-F8D391DDC338}"/>
    <cellStyle name="Normal 3 2 57" xfId="33755" xr:uid="{416BDDED-A906-4273-91CF-7C18456F8333}"/>
    <cellStyle name="Normal 3 2 57 2" xfId="33756" xr:uid="{08349C4F-7826-460E-9929-59F91F608EAA}"/>
    <cellStyle name="Normal 3 2 57 3" xfId="33757" xr:uid="{6AD6B01A-C1F4-468A-AC27-B0B992011E1A}"/>
    <cellStyle name="Normal 3 2 57 4" xfId="33758" xr:uid="{37BAC7D1-8AFE-45A0-A25D-66E141B1F9ED}"/>
    <cellStyle name="Normal 3 2 58" xfId="33759" xr:uid="{B13EE6BD-F620-4AF8-B339-3319FEEE03CB}"/>
    <cellStyle name="Normal 3 2 59" xfId="33760" xr:uid="{179BD68B-6D2E-4645-8A42-F2B107537732}"/>
    <cellStyle name="Normal 3 2 6" xfId="33761" xr:uid="{5D75A904-A0D0-4DF0-BAD8-D545D88F7985}"/>
    <cellStyle name="Normal 3 2 6 10" xfId="33762" xr:uid="{E586D21D-E4E9-418C-9D37-FDE615291BEA}"/>
    <cellStyle name="Normal 3 2 6 11" xfId="33763" xr:uid="{7F8C44E6-C534-4DEF-B23A-3061A2F78523}"/>
    <cellStyle name="Normal 3 2 6 2" xfId="33764" xr:uid="{496D2F73-C3E2-4B49-88C0-F422FFA3AFB8}"/>
    <cellStyle name="Normal 3 2 6 2 2" xfId="33765" xr:uid="{947C99AF-4654-4527-9277-CDAB3FF672A3}"/>
    <cellStyle name="Normal 3 2 6 2 3" xfId="33766" xr:uid="{BC53348B-E57D-495B-88A5-5FDC5FE70BA5}"/>
    <cellStyle name="Normal 3 2 6 2 4" xfId="33767" xr:uid="{C8B7C7DA-B730-4324-B042-5586A22225F8}"/>
    <cellStyle name="Normal 3 2 6 2 5" xfId="33768" xr:uid="{4D39CEB2-7E2D-429C-BB5E-C6010BECC985}"/>
    <cellStyle name="Normal 3 2 6 2 6" xfId="33769" xr:uid="{3E00E595-BE9C-4DEA-B99D-AEF7DEF8AB07}"/>
    <cellStyle name="Normal 3 2 6 3" xfId="33770" xr:uid="{AF9CC9F0-7BC0-48B8-BEEF-EE95C9453E8C}"/>
    <cellStyle name="Normal 3 2 6 3 2" xfId="33771" xr:uid="{8920091B-9FBD-4D81-B16A-8199C17E8BD6}"/>
    <cellStyle name="Normal 3 2 6 3 3" xfId="33772" xr:uid="{954C1D3A-F6F1-48FB-9C24-7642AF387179}"/>
    <cellStyle name="Normal 3 2 6 3 4" xfId="33773" xr:uid="{846F1962-5022-4386-8A23-A6BF40E17FB3}"/>
    <cellStyle name="Normal 3 2 6 3 5" xfId="33774" xr:uid="{08545254-FBBA-4079-A18B-1ABAD20BB395}"/>
    <cellStyle name="Normal 3 2 6 3 6" xfId="33775" xr:uid="{D7A3B83B-A9AE-4B4A-9BA0-C095EE0BC20D}"/>
    <cellStyle name="Normal 3 2 6 4" xfId="33776" xr:uid="{5944BBDE-D577-4A4C-BFAF-9F8E2F7F31FC}"/>
    <cellStyle name="Normal 3 2 6 4 2" xfId="33777" xr:uid="{C5BA4D64-0D85-4601-A3E1-0169D6F7C38B}"/>
    <cellStyle name="Normal 3 2 6 4 3" xfId="33778" xr:uid="{0D32CF52-9CA1-44FC-A9DD-77759DAEE33A}"/>
    <cellStyle name="Normal 3 2 6 4 4" xfId="33779" xr:uid="{1BFE3736-999D-49BC-8825-4F32D9D69E43}"/>
    <cellStyle name="Normal 3 2 6 4 5" xfId="33780" xr:uid="{2795254C-B186-48CD-8215-10B9CB12B666}"/>
    <cellStyle name="Normal 3 2 6 4 6" xfId="33781" xr:uid="{CEA9C6A3-E189-42C2-943F-D4918150074A}"/>
    <cellStyle name="Normal 3 2 6 5" xfId="33782" xr:uid="{D5B03664-6CB7-4A1D-A15A-A68593D349B9}"/>
    <cellStyle name="Normal 3 2 6 5 2" xfId="33783" xr:uid="{87A14782-2F38-4756-A8F0-ECD9E1A2A1D9}"/>
    <cellStyle name="Normal 3 2 6 5 3" xfId="33784" xr:uid="{653EA7C6-FB8E-4BCF-B031-2AED35839813}"/>
    <cellStyle name="Normal 3 2 6 5 4" xfId="33785" xr:uid="{0ADCF9E5-1919-4BF9-B99C-C055E13FF659}"/>
    <cellStyle name="Normal 3 2 6 5 5" xfId="33786" xr:uid="{E8054743-4F04-4317-B155-6C61B17C11CB}"/>
    <cellStyle name="Normal 3 2 6 5 6" xfId="33787" xr:uid="{EE3E7F9F-E267-4F84-A727-450696EE7A0B}"/>
    <cellStyle name="Normal 3 2 6 6" xfId="33788" xr:uid="{D29E5CEC-FE22-492A-8E9B-A5DC3E70879B}"/>
    <cellStyle name="Normal 3 2 6 6 2" xfId="33789" xr:uid="{26C23DA4-BDFB-444D-A4E3-A87FE8D8642A}"/>
    <cellStyle name="Normal 3 2 6 6 3" xfId="33790" xr:uid="{8C6DFA72-0113-4254-9AEE-8D0258EEB45D}"/>
    <cellStyle name="Normal 3 2 6 6 4" xfId="33791" xr:uid="{7125FD53-9B20-4C85-858D-6B4B004CA003}"/>
    <cellStyle name="Normal 3 2 6 6 5" xfId="33792" xr:uid="{3CDADB0E-3D07-4802-990F-ADA86FBE4938}"/>
    <cellStyle name="Normal 3 2 6 6 6" xfId="33793" xr:uid="{1B9F5B4E-F8BD-49BC-A583-CD51D2C6DAFC}"/>
    <cellStyle name="Normal 3 2 6 7" xfId="33794" xr:uid="{4D31238E-3030-445E-AC9E-B892433A99E3}"/>
    <cellStyle name="Normal 3 2 6 8" xfId="33795" xr:uid="{F3650FB3-DF76-4575-A1E8-AEC9469935B2}"/>
    <cellStyle name="Normal 3 2 6 9" xfId="33796" xr:uid="{14FE9C7D-1837-40D6-81FB-E481C667B988}"/>
    <cellStyle name="Normal 3 2 60" xfId="33797" xr:uid="{213AE787-243B-4A55-A3B3-BC9537655EB2}"/>
    <cellStyle name="Normal 3 2 61" xfId="33798" xr:uid="{109964F8-F907-40BD-B8A4-1AD62C658866}"/>
    <cellStyle name="Normal 3 2 62" xfId="33799" xr:uid="{13EE3A6C-193C-41D2-B009-99CB041E965E}"/>
    <cellStyle name="Normal 3 2 63" xfId="33800" xr:uid="{B57EAFD3-7C8F-419D-A990-B584D58BC8CE}"/>
    <cellStyle name="Normal 3 2 64" xfId="33801" xr:uid="{2F74E3D8-0458-4C39-A965-1D3D43D9C152}"/>
    <cellStyle name="Normal 3 2 65" xfId="33802" xr:uid="{CB46E864-7FCF-4290-85E7-DA9DFC9AB28F}"/>
    <cellStyle name="Normal 3 2 66" xfId="33803" xr:uid="{FC799759-BED1-457C-818C-FC3352244AFE}"/>
    <cellStyle name="Normal 3 2 67" xfId="33804" xr:uid="{5AAC7D9F-CE64-4A6C-8468-1CCC95BA492D}"/>
    <cellStyle name="Normal 3 2 68" xfId="33805" xr:uid="{DD78D086-85C0-4AF5-911F-FD9562531593}"/>
    <cellStyle name="Normal 3 2 69" xfId="33806" xr:uid="{5B1D22DA-5045-430F-9EEB-B0D1A83CD6D5}"/>
    <cellStyle name="Normal 3 2 7" xfId="33807" xr:uid="{00E6B9CC-1EE0-43B6-A839-4A6DA1B82410}"/>
    <cellStyle name="Normal 3 2 7 10" xfId="33808" xr:uid="{83B9E098-8849-4C23-99F9-08A2036DCBFA}"/>
    <cellStyle name="Normal 3 2 7 11" xfId="33809" xr:uid="{A423EC91-03E4-4D98-8D62-6209E4C1676E}"/>
    <cellStyle name="Normal 3 2 7 2" xfId="33810" xr:uid="{6B4F1EA4-E73A-4E17-B6C7-B47A33F83AB5}"/>
    <cellStyle name="Normal 3 2 7 2 2" xfId="33811" xr:uid="{8827014B-265F-4B9D-B14A-33D7F1BBF966}"/>
    <cellStyle name="Normal 3 2 7 2 3" xfId="33812" xr:uid="{AE6D9F4F-87EE-4ECA-9A30-206A01039D8A}"/>
    <cellStyle name="Normal 3 2 7 2 4" xfId="33813" xr:uid="{AC9422CC-4580-4EEA-BBC1-155193A00E1B}"/>
    <cellStyle name="Normal 3 2 7 2 5" xfId="33814" xr:uid="{C4233F48-B8D7-4D65-9943-C93156A25A1C}"/>
    <cellStyle name="Normal 3 2 7 2 6" xfId="33815" xr:uid="{A8CFA544-8BAC-40CF-AF3C-C7A41447C2A9}"/>
    <cellStyle name="Normal 3 2 7 3" xfId="33816" xr:uid="{35C91D0A-2943-4E0D-B4B1-F22DB5589466}"/>
    <cellStyle name="Normal 3 2 7 3 2" xfId="33817" xr:uid="{A69D2BE5-A13B-48A8-AAAA-1243F0285A8D}"/>
    <cellStyle name="Normal 3 2 7 3 3" xfId="33818" xr:uid="{3A388169-F03E-4E93-9955-0194BE677205}"/>
    <cellStyle name="Normal 3 2 7 3 4" xfId="33819" xr:uid="{0A4159B2-057C-489F-8795-B5CE6B78A3CF}"/>
    <cellStyle name="Normal 3 2 7 3 5" xfId="33820" xr:uid="{072D1935-89A1-4E19-A501-DD29DCDE3CD2}"/>
    <cellStyle name="Normal 3 2 7 3 6" xfId="33821" xr:uid="{E11BD66C-DEDB-442E-B721-42DF4984296F}"/>
    <cellStyle name="Normal 3 2 7 4" xfId="33822" xr:uid="{C622F7DA-FA92-4876-861D-D638D206E525}"/>
    <cellStyle name="Normal 3 2 7 4 2" xfId="33823" xr:uid="{A3670B2B-4CDD-4FD1-82C3-A2B90B96CAEC}"/>
    <cellStyle name="Normal 3 2 7 4 3" xfId="33824" xr:uid="{2C3DB620-E038-42BE-A772-4CEBA5BA853E}"/>
    <cellStyle name="Normal 3 2 7 4 4" xfId="33825" xr:uid="{264938AA-8B04-48CA-B2CF-38215B91E8F0}"/>
    <cellStyle name="Normal 3 2 7 4 5" xfId="33826" xr:uid="{44A3BC7F-7A72-4E12-A39F-F0FD1F2D8520}"/>
    <cellStyle name="Normal 3 2 7 4 6" xfId="33827" xr:uid="{55ACEE9E-A140-4209-B417-05CF4BC20565}"/>
    <cellStyle name="Normal 3 2 7 5" xfId="33828" xr:uid="{B5CE1170-9563-474E-B627-A7CCE4FF0EDC}"/>
    <cellStyle name="Normal 3 2 7 5 2" xfId="33829" xr:uid="{62D8CE4D-778E-47EC-8111-5FA3F59DB1C6}"/>
    <cellStyle name="Normal 3 2 7 5 3" xfId="33830" xr:uid="{401A05B1-4C79-4018-A2E7-A454033407B8}"/>
    <cellStyle name="Normal 3 2 7 5 4" xfId="33831" xr:uid="{63984F82-85AF-412F-8AF1-D0AF459B24FF}"/>
    <cellStyle name="Normal 3 2 7 5 5" xfId="33832" xr:uid="{BE6F8C26-8596-4928-9947-6575D3D6DFB4}"/>
    <cellStyle name="Normal 3 2 7 5 6" xfId="33833" xr:uid="{9FE0CBDB-2734-451B-8A61-D22556741295}"/>
    <cellStyle name="Normal 3 2 7 6" xfId="33834" xr:uid="{23549692-9D54-4505-BF41-F87C0AD2E4DD}"/>
    <cellStyle name="Normal 3 2 7 6 2" xfId="33835" xr:uid="{1095C156-68EA-46A1-83FC-0FF669E00065}"/>
    <cellStyle name="Normal 3 2 7 6 3" xfId="33836" xr:uid="{9F2C3E04-F4A0-491E-94DD-5C6558F733F1}"/>
    <cellStyle name="Normal 3 2 7 6 4" xfId="33837" xr:uid="{864F958E-BF3B-4CC5-BA4E-628EDA396776}"/>
    <cellStyle name="Normal 3 2 7 6 5" xfId="33838" xr:uid="{1803A199-6DE7-443F-98EC-34DE741ADC92}"/>
    <cellStyle name="Normal 3 2 7 6 6" xfId="33839" xr:uid="{28169351-F57A-4C42-A6A6-FB5DDECF52B2}"/>
    <cellStyle name="Normal 3 2 7 7" xfId="33840" xr:uid="{4B636FFF-E40C-4741-AE64-F02C527882E5}"/>
    <cellStyle name="Normal 3 2 7 8" xfId="33841" xr:uid="{673FEF55-0885-4736-8EF9-B2FD6298482A}"/>
    <cellStyle name="Normal 3 2 7 9" xfId="33842" xr:uid="{369352BE-F404-4BC8-9DF2-00128D31E1FF}"/>
    <cellStyle name="Normal 3 2 70" xfId="33843" xr:uid="{0C40DB11-D796-4DAE-A914-0B66423DB2E4}"/>
    <cellStyle name="Normal 3 2 71" xfId="33844" xr:uid="{1C05AFF1-8656-4A68-9AE8-A1DD9FB49C17}"/>
    <cellStyle name="Normal 3 2 72" xfId="33845" xr:uid="{7AA1A44A-9DE6-43E5-96E6-4C5BFB216B93}"/>
    <cellStyle name="Normal 3 2 72 2" xfId="33846" xr:uid="{FD394C05-6E39-4013-9C27-F2614459BCE9}"/>
    <cellStyle name="Normal 3 2 72 3" xfId="33847" xr:uid="{015157C7-D169-44BD-B093-B108B2C80735}"/>
    <cellStyle name="Normal 3 2 72 4" xfId="33848" xr:uid="{46180823-FA24-4BEB-8B21-582B358CA96E}"/>
    <cellStyle name="Normal 3 2 72 5" xfId="33849" xr:uid="{EA0C9091-5611-452B-ACD8-9CA8D2AE78EA}"/>
    <cellStyle name="Normal 3 2 72 6" xfId="33850" xr:uid="{46F38FA6-A1E7-4B56-AF44-33735697F01A}"/>
    <cellStyle name="Normal 3 2 72 7" xfId="33851" xr:uid="{722C918F-7572-49C7-B93B-43F02FDA3225}"/>
    <cellStyle name="Normal 3 2 73" xfId="33852" xr:uid="{CA7FD0E6-6803-48D1-8A38-DBFED1961A57}"/>
    <cellStyle name="Normal 3 2 74" xfId="33853" xr:uid="{A20974BF-FD44-4EC2-8A4F-F40B809C07BD}"/>
    <cellStyle name="Normal 3 2 75" xfId="33854" xr:uid="{B3A187B4-8F4B-4F3C-ACC4-2E5816CB0687}"/>
    <cellStyle name="Normal 3 2 76" xfId="33855" xr:uid="{F1A8DD12-945C-432C-A834-43A36F09F0A2}"/>
    <cellStyle name="Normal 3 2 77" xfId="33856" xr:uid="{4F0AD4E7-970B-4E86-AC0C-3A86596EFD34}"/>
    <cellStyle name="Normal 3 2 78" xfId="33857" xr:uid="{1E6CC5CE-2D29-446E-A16B-1A504B70FDEA}"/>
    <cellStyle name="Normal 3 2 79" xfId="33858" xr:uid="{7C3C8F7D-27B3-4AD8-96B5-FEFC7C21B002}"/>
    <cellStyle name="Normal 3 2 8" xfId="33859" xr:uid="{0D6ACF30-7FB5-4B7A-B493-F8956C804EBD}"/>
    <cellStyle name="Normal 3 2 8 10" xfId="33860" xr:uid="{28951854-EF3F-4B9D-8935-93BA2FCC2876}"/>
    <cellStyle name="Normal 3 2 8 11" xfId="33861" xr:uid="{68875647-5B10-486B-8329-7ACED2A7F01A}"/>
    <cellStyle name="Normal 3 2 8 2" xfId="33862" xr:uid="{4898E6BA-E6F4-4ECA-91C4-286D287FDBBC}"/>
    <cellStyle name="Normal 3 2 8 2 2" xfId="33863" xr:uid="{83E74F3F-B7E9-4675-8B98-FF7804A1AAF8}"/>
    <cellStyle name="Normal 3 2 8 2 3" xfId="33864" xr:uid="{FC7C2867-61A3-48E4-9988-96CB70B77591}"/>
    <cellStyle name="Normal 3 2 8 2 4" xfId="33865" xr:uid="{EBD5B5D2-A029-4636-A19A-1CCC7062C31A}"/>
    <cellStyle name="Normal 3 2 8 2 5" xfId="33866" xr:uid="{3C988F49-F419-4789-B980-EAB931F8E3A8}"/>
    <cellStyle name="Normal 3 2 8 2 6" xfId="33867" xr:uid="{EF449A3B-A688-4B2A-B064-3650B5C971AC}"/>
    <cellStyle name="Normal 3 2 8 3" xfId="33868" xr:uid="{5FAA1888-62AE-4F29-9CC9-E8930C3F2307}"/>
    <cellStyle name="Normal 3 2 8 3 2" xfId="33869" xr:uid="{CC117D7D-E735-4DFB-B03A-F5B14E9097E3}"/>
    <cellStyle name="Normal 3 2 8 3 3" xfId="33870" xr:uid="{CA5F7FC3-2F79-4683-93EC-AD05F810557E}"/>
    <cellStyle name="Normal 3 2 8 3 4" xfId="33871" xr:uid="{04BBC298-081D-4F2A-B7AB-EC140433361F}"/>
    <cellStyle name="Normal 3 2 8 3 5" xfId="33872" xr:uid="{61A300A9-ED31-4B31-8FB2-F1EBAD3D4BA0}"/>
    <cellStyle name="Normal 3 2 8 3 6" xfId="33873" xr:uid="{FA7C5DFE-2550-4801-906F-12486A76D26B}"/>
    <cellStyle name="Normal 3 2 8 4" xfId="33874" xr:uid="{8DDBA3A8-ED65-4C9E-BC93-23DB4BA30A49}"/>
    <cellStyle name="Normal 3 2 8 4 2" xfId="33875" xr:uid="{F5B7D8CC-501D-48E0-9EC8-B3555C8BC45C}"/>
    <cellStyle name="Normal 3 2 8 4 3" xfId="33876" xr:uid="{05161D4F-F91A-47B7-AB12-D462517DFC88}"/>
    <cellStyle name="Normal 3 2 8 4 4" xfId="33877" xr:uid="{21512F9D-B4E2-4DAF-B11A-0716235C3166}"/>
    <cellStyle name="Normal 3 2 8 4 5" xfId="33878" xr:uid="{FB26045E-ADF2-44CA-B268-C2327E8EA88B}"/>
    <cellStyle name="Normal 3 2 8 4 6" xfId="33879" xr:uid="{B39EE5B7-122E-4794-AD26-BE4D65A8467A}"/>
    <cellStyle name="Normal 3 2 8 5" xfId="33880" xr:uid="{18B9339C-03D6-4300-B93F-613C0C2AC199}"/>
    <cellStyle name="Normal 3 2 8 5 2" xfId="33881" xr:uid="{D4ABB1B1-834F-43F9-B29A-3B14DE135ED0}"/>
    <cellStyle name="Normal 3 2 8 5 3" xfId="33882" xr:uid="{00057E57-4C9D-4BB6-A12C-B7C480BD1448}"/>
    <cellStyle name="Normal 3 2 8 5 4" xfId="33883" xr:uid="{B1E604D5-48AA-4D1D-BDD2-3E77D0F7607A}"/>
    <cellStyle name="Normal 3 2 8 5 5" xfId="33884" xr:uid="{BCBC979D-AF3B-4DC3-AD3C-FDA7AEAF4FA2}"/>
    <cellStyle name="Normal 3 2 8 5 6" xfId="33885" xr:uid="{F9584E38-90F7-4737-9976-4FC65B6403FF}"/>
    <cellStyle name="Normal 3 2 8 6" xfId="33886" xr:uid="{007D3675-0E3C-48D6-8A21-6F901C4EBB69}"/>
    <cellStyle name="Normal 3 2 8 6 2" xfId="33887" xr:uid="{3094A8D0-38FF-4C30-A2C2-E614DB262FEA}"/>
    <cellStyle name="Normal 3 2 8 6 3" xfId="33888" xr:uid="{AE643910-BB69-4B81-A139-DF6C8E3082CD}"/>
    <cellStyle name="Normal 3 2 8 6 4" xfId="33889" xr:uid="{5E9779FE-016A-4C77-97C2-29DD8C01A8D7}"/>
    <cellStyle name="Normal 3 2 8 6 5" xfId="33890" xr:uid="{49F87AAC-ABE1-46D1-B188-55ED0CF99834}"/>
    <cellStyle name="Normal 3 2 8 6 6" xfId="33891" xr:uid="{3DEB6826-D293-4BE7-BF9A-D3E52C50B188}"/>
    <cellStyle name="Normal 3 2 8 7" xfId="33892" xr:uid="{549E57A8-DEDF-41B3-8B16-A5BF4D9789EB}"/>
    <cellStyle name="Normal 3 2 8 8" xfId="33893" xr:uid="{BAB1EEC4-2351-4E43-9345-71CC17FE436C}"/>
    <cellStyle name="Normal 3 2 8 9" xfId="33894" xr:uid="{87F026FC-7D4C-4246-9350-D9281166B9F5}"/>
    <cellStyle name="Normal 3 2 80" xfId="33895" xr:uid="{831EEAFE-26D5-4DC8-9902-74FDBF125322}"/>
    <cellStyle name="Normal 3 2 81" xfId="33896" xr:uid="{30795505-E83C-4739-BD3C-6CA17365AE78}"/>
    <cellStyle name="Normal 3 2 82" xfId="33897" xr:uid="{3600CBDB-7AB2-4014-858E-4287561EEA6B}"/>
    <cellStyle name="Normal 3 2 83" xfId="33898" xr:uid="{E9238AFF-B176-4E6A-A54D-A969FFCB36B3}"/>
    <cellStyle name="Normal 3 2 84" xfId="33899" xr:uid="{CD429024-279C-4429-8155-7D560F8A281D}"/>
    <cellStyle name="Normal 3 2 85" xfId="33900" xr:uid="{A8309BAF-6BD2-48A3-B49F-F0E4B6D996D5}"/>
    <cellStyle name="Normal 3 2 86" xfId="33901" xr:uid="{FB71937D-FB81-4E83-AE66-DFC449C3AC0D}"/>
    <cellStyle name="Normal 3 2 87" xfId="33902" xr:uid="{F84EA557-4DE1-47C8-A6B1-19A61B68BCCF}"/>
    <cellStyle name="Normal 3 2 88" xfId="33903" xr:uid="{94D60DA0-715F-40B9-8949-0AF1A69E61CF}"/>
    <cellStyle name="Normal 3 2 89" xfId="33904" xr:uid="{25B96F73-03BE-42E3-9E0B-61716FE2D101}"/>
    <cellStyle name="Normal 3 2 9" xfId="33905" xr:uid="{4C456AF2-241A-4EEF-950F-CEF5C984A79F}"/>
    <cellStyle name="Normal 3 2 9 10" xfId="33906" xr:uid="{92461B1D-45E7-4CF8-BF35-8CE0AE8ED952}"/>
    <cellStyle name="Normal 3 2 9 11" xfId="33907" xr:uid="{76B0AD60-4210-487B-885A-02CC5C5DBA03}"/>
    <cellStyle name="Normal 3 2 9 2" xfId="33908" xr:uid="{38721F1A-EFB1-4B70-A984-ABB4DBB21D6E}"/>
    <cellStyle name="Normal 3 2 9 2 2" xfId="33909" xr:uid="{D97C163D-F2C4-426C-91D1-47F5A99308A6}"/>
    <cellStyle name="Normal 3 2 9 2 3" xfId="33910" xr:uid="{504FE12F-78B1-4722-A047-898CB970C00D}"/>
    <cellStyle name="Normal 3 2 9 2 4" xfId="33911" xr:uid="{52511BE5-4055-4D7F-BB3E-8B985E0178E4}"/>
    <cellStyle name="Normal 3 2 9 2 5" xfId="33912" xr:uid="{22829B20-C11F-4353-8349-52886BBA2C2A}"/>
    <cellStyle name="Normal 3 2 9 2 6" xfId="33913" xr:uid="{13154E6C-1440-4D4F-82C7-4E9993F9A1CC}"/>
    <cellStyle name="Normal 3 2 9 3" xfId="33914" xr:uid="{08F4D94D-5858-4F49-A4A3-53EF685C61ED}"/>
    <cellStyle name="Normal 3 2 9 3 2" xfId="33915" xr:uid="{64D26E25-9D35-40C7-9503-BDD2230F0F02}"/>
    <cellStyle name="Normal 3 2 9 3 3" xfId="33916" xr:uid="{2CF8EE8D-FFCA-4015-9678-49B5B04123C2}"/>
    <cellStyle name="Normal 3 2 9 3 4" xfId="33917" xr:uid="{C1462E05-C354-44AD-BC8D-1DCACB907ADF}"/>
    <cellStyle name="Normal 3 2 9 3 5" xfId="33918" xr:uid="{EA502E41-B4FE-4265-A494-24AC27EC6077}"/>
    <cellStyle name="Normal 3 2 9 3 6" xfId="33919" xr:uid="{C32FFBEC-E43A-4F75-8D8F-F2AC436423CD}"/>
    <cellStyle name="Normal 3 2 9 4" xfId="33920" xr:uid="{A8351083-CE04-44D7-887C-CE8E1119C6E6}"/>
    <cellStyle name="Normal 3 2 9 4 2" xfId="33921" xr:uid="{24449618-AEF4-4F0B-B303-1409082087F4}"/>
    <cellStyle name="Normal 3 2 9 4 3" xfId="33922" xr:uid="{2D13744A-CCD7-4C9E-8FF4-B46711B10752}"/>
    <cellStyle name="Normal 3 2 9 4 4" xfId="33923" xr:uid="{51501758-FA85-446F-8C47-E7243AD054BB}"/>
    <cellStyle name="Normal 3 2 9 4 5" xfId="33924" xr:uid="{EAADF43D-D3A8-4B89-871F-A4EAEA09C423}"/>
    <cellStyle name="Normal 3 2 9 4 6" xfId="33925" xr:uid="{F738B90C-0686-4F88-AF36-C50859890BA7}"/>
    <cellStyle name="Normal 3 2 9 5" xfId="33926" xr:uid="{C444B380-AF9B-4624-B8C4-A8EAE0441889}"/>
    <cellStyle name="Normal 3 2 9 5 2" xfId="33927" xr:uid="{26796BC2-10D7-43A5-BEFC-CAEF9318B765}"/>
    <cellStyle name="Normal 3 2 9 5 3" xfId="33928" xr:uid="{DD622AAB-C5A1-4D6F-BCDC-1FBB8C9DA138}"/>
    <cellStyle name="Normal 3 2 9 5 4" xfId="33929" xr:uid="{D5C4B016-6CB2-47B3-86A5-9D94D1BF0305}"/>
    <cellStyle name="Normal 3 2 9 5 5" xfId="33930" xr:uid="{BC161874-BDF3-4622-91C8-9C0CB5F0D5C4}"/>
    <cellStyle name="Normal 3 2 9 5 6" xfId="33931" xr:uid="{6D1515AE-1A28-419E-B02E-2D69C4AB252C}"/>
    <cellStyle name="Normal 3 2 9 6" xfId="33932" xr:uid="{B0C2CF68-D8F0-4D67-BD33-F6DDB6B40CC5}"/>
    <cellStyle name="Normal 3 2 9 6 2" xfId="33933" xr:uid="{612DBEF5-8463-42D5-AE7B-4DC4A287D7F2}"/>
    <cellStyle name="Normal 3 2 9 6 3" xfId="33934" xr:uid="{5D890548-B51E-48DA-A9A6-1A3DC756083D}"/>
    <cellStyle name="Normal 3 2 9 6 4" xfId="33935" xr:uid="{F20E6BCA-4FC1-4E03-A73A-2B4CF8A181D3}"/>
    <cellStyle name="Normal 3 2 9 6 5" xfId="33936" xr:uid="{4B8DE689-9C49-4E3A-AFAF-A3CEE916E977}"/>
    <cellStyle name="Normal 3 2 9 6 6" xfId="33937" xr:uid="{B57DCC09-1D6B-4F10-B286-9AA8453A456E}"/>
    <cellStyle name="Normal 3 2 9 7" xfId="33938" xr:uid="{5A61043C-CC36-4B97-BE2F-C3E5478F6AF7}"/>
    <cellStyle name="Normal 3 2 9 8" xfId="33939" xr:uid="{228364C2-702B-41B9-99FB-8D26BA9578AA}"/>
    <cellStyle name="Normal 3 2 9 9" xfId="33940" xr:uid="{C4C8A86A-1F4A-4A73-BC04-406DF32AACC7}"/>
    <cellStyle name="Normal 3 2 90" xfId="33941" xr:uid="{E654CA8C-B1CF-4F85-92FB-EB0E0266DF30}"/>
    <cellStyle name="Normal 3 2 91" xfId="33942" xr:uid="{E0452C32-6724-494F-A3A7-3BA2213DD84A}"/>
    <cellStyle name="Normal 3 2 92" xfId="33943" xr:uid="{1AB1DEA2-C1E0-4A11-A917-F89F48DC87FC}"/>
    <cellStyle name="Normal 3 2 93" xfId="33944" xr:uid="{F12D2629-A56D-4995-9D9A-1ABDBB31C87F}"/>
    <cellStyle name="Normal 3 2 94" xfId="33945" xr:uid="{C5A3B7C4-6287-4CF7-BA4F-504B0C6F5456}"/>
    <cellStyle name="Normal 3 2 95" xfId="33946" xr:uid="{72AB0079-F171-4CE0-8741-1B1D279974E4}"/>
    <cellStyle name="Normal 3 2 96" xfId="33947" xr:uid="{FCB47667-02FE-4323-94D0-F629657BC714}"/>
    <cellStyle name="Normal 3 2 96 10" xfId="33948" xr:uid="{AD908138-AE48-46D0-AEE0-28E4F5DBAD1A}"/>
    <cellStyle name="Normal 3 2 96 11" xfId="33949" xr:uid="{3FF08E82-6615-4B42-9898-F245FE96992E}"/>
    <cellStyle name="Normal 3 2 96 12" xfId="33950" xr:uid="{7D8D3256-18E7-4A56-930B-3D52BBF6B98D}"/>
    <cellStyle name="Normal 3 2 96 13" xfId="33951" xr:uid="{53B1D081-2FB5-4AA0-950F-A78030B746E6}"/>
    <cellStyle name="Normal 3 2 96 14" xfId="33952" xr:uid="{EB354675-A870-44D6-A53D-077A2FE99A4D}"/>
    <cellStyle name="Normal 3 2 96 15" xfId="33953" xr:uid="{EA156C44-C87B-44E9-BAD5-7BABFEA75045}"/>
    <cellStyle name="Normal 3 2 96 16" xfId="33954" xr:uid="{F112B98B-F7EC-42A2-B193-A95F8295B5D2}"/>
    <cellStyle name="Normal 3 2 96 17" xfId="33955" xr:uid="{A626B845-28E0-4665-A089-AE6C51590989}"/>
    <cellStyle name="Normal 3 2 96 18" xfId="33956" xr:uid="{0637A621-66A0-4B1B-9EFD-82DE3D5DACBA}"/>
    <cellStyle name="Normal 3 2 96 19" xfId="33957" xr:uid="{BDCCE5F8-CD86-4F5C-8F46-9D0025086DE2}"/>
    <cellStyle name="Normal 3 2 96 2" xfId="33958" xr:uid="{13CF703E-178B-48FC-AD99-5EB29219D6D8}"/>
    <cellStyle name="Normal 3 2 96 20" xfId="33959" xr:uid="{DAC8BF46-25AD-46BD-B52B-868E888901D1}"/>
    <cellStyle name="Normal 3 2 96 3" xfId="33960" xr:uid="{2514E5BA-3405-4FA2-AEE5-EC4DFCF63864}"/>
    <cellStyle name="Normal 3 2 96 4" xfId="33961" xr:uid="{78E745D8-1084-413A-BD8D-688D5DD228BB}"/>
    <cellStyle name="Normal 3 2 96 5" xfId="33962" xr:uid="{6B48AB6E-8111-4211-A289-A1FC356A24D0}"/>
    <cellStyle name="Normal 3 2 96 6" xfId="33963" xr:uid="{9E90A5BE-0C46-4879-B325-EFFE7E4A74A1}"/>
    <cellStyle name="Normal 3 2 96 7" xfId="33964" xr:uid="{F5E4CCB7-BF42-4757-A0DB-78B1AC6EF6CA}"/>
    <cellStyle name="Normal 3 2 96 8" xfId="33965" xr:uid="{1A1208E9-5E22-473B-87D4-022CDE8C0F76}"/>
    <cellStyle name="Normal 3 2 96 9" xfId="33966" xr:uid="{690E5337-2590-439C-8922-67A32F4AE397}"/>
    <cellStyle name="Normal 3 2 97" xfId="33967" xr:uid="{97807DB3-BC23-4F59-B541-BDFD6123E202}"/>
    <cellStyle name="Normal 3 2 97 10" xfId="33968" xr:uid="{1CAFE1AD-BF04-4641-8306-FF1E634061E0}"/>
    <cellStyle name="Normal 3 2 97 11" xfId="33969" xr:uid="{F35260FE-916B-4A97-B228-6E8AF63412FE}"/>
    <cellStyle name="Normal 3 2 97 12" xfId="33970" xr:uid="{0E4D2BCB-02C9-4549-B69B-0CCCEAA75A43}"/>
    <cellStyle name="Normal 3 2 97 13" xfId="33971" xr:uid="{9825B413-5DF2-4035-8889-C24DA0069DDE}"/>
    <cellStyle name="Normal 3 2 97 14" xfId="33972" xr:uid="{6566BE56-0CFB-4172-B8FC-6CE0B5F7D1E5}"/>
    <cellStyle name="Normal 3 2 97 15" xfId="33973" xr:uid="{A8A5372C-3701-47AB-9CAB-806F225B53AB}"/>
    <cellStyle name="Normal 3 2 97 16" xfId="33974" xr:uid="{F226B03C-7DC8-4007-AE3A-6619C0695ABD}"/>
    <cellStyle name="Normal 3 2 97 17" xfId="33975" xr:uid="{FEA9EA89-A792-454B-904C-6A381AFCB7B0}"/>
    <cellStyle name="Normal 3 2 97 2" xfId="33976" xr:uid="{C22A2A03-29CD-45D2-B4C8-2188DBD82431}"/>
    <cellStyle name="Normal 3 2 97 3" xfId="33977" xr:uid="{1A4FBE93-9136-4EB3-9644-F6E55C469D82}"/>
    <cellStyle name="Normal 3 2 97 4" xfId="33978" xr:uid="{467C343C-7756-4514-A024-4D371147E53B}"/>
    <cellStyle name="Normal 3 2 97 5" xfId="33979" xr:uid="{98428DCC-AF7D-494A-80AA-193ACDE62A05}"/>
    <cellStyle name="Normal 3 2 97 6" xfId="33980" xr:uid="{A19FCE1C-AA29-4D1C-8D35-D6CB18364013}"/>
    <cellStyle name="Normal 3 2 97 7" xfId="33981" xr:uid="{822E19FF-8903-46A7-A55D-CBA0C485EE83}"/>
    <cellStyle name="Normal 3 2 97 8" xfId="33982" xr:uid="{C48506BB-12E1-4D78-9D5A-C1A9636ABEA2}"/>
    <cellStyle name="Normal 3 2 97 9" xfId="33983" xr:uid="{A48BC0EC-14C5-4CDE-AA6B-495535DC2AFD}"/>
    <cellStyle name="Normal 3 2 98" xfId="33984" xr:uid="{C9910C27-F5AA-493C-B43E-7802D72D4DA9}"/>
    <cellStyle name="Normal 3 2 98 10" xfId="33985" xr:uid="{8B4F93CC-80E8-4364-9938-66094B29FE7E}"/>
    <cellStyle name="Normal 3 2 98 11" xfId="33986" xr:uid="{3EE3C77D-AA2C-4D37-9E51-6C7BBA0D3D89}"/>
    <cellStyle name="Normal 3 2 98 12" xfId="33987" xr:uid="{6740265B-DA0D-41A9-91E1-7C5987154698}"/>
    <cellStyle name="Normal 3 2 98 13" xfId="33988" xr:uid="{26079984-D5CE-4527-A8A7-E957C359C0A5}"/>
    <cellStyle name="Normal 3 2 98 14" xfId="33989" xr:uid="{0C664911-DA06-4FA3-B944-709A13381F97}"/>
    <cellStyle name="Normal 3 2 98 15" xfId="33990" xr:uid="{E8F61724-F870-433C-982E-DB7CFE1E588D}"/>
    <cellStyle name="Normal 3 2 98 16" xfId="33991" xr:uid="{04E77DB0-DACE-43BF-B09C-75633C0E258A}"/>
    <cellStyle name="Normal 3 2 98 17" xfId="33992" xr:uid="{F50E786E-FBB5-403E-B0F3-FAF284B1D3F2}"/>
    <cellStyle name="Normal 3 2 98 2" xfId="33993" xr:uid="{8968980E-DE33-489E-B8F6-04EBEA583E1F}"/>
    <cellStyle name="Normal 3 2 98 3" xfId="33994" xr:uid="{D455A908-07C6-4F7A-A463-011F37158E55}"/>
    <cellStyle name="Normal 3 2 98 4" xfId="33995" xr:uid="{3B72637F-03EB-478D-946A-0BD5AE0A7B1E}"/>
    <cellStyle name="Normal 3 2 98 5" xfId="33996" xr:uid="{37429F3C-4AB0-46E8-AC83-EC32EE6EC9AE}"/>
    <cellStyle name="Normal 3 2 98 6" xfId="33997" xr:uid="{50DF77DF-484A-421C-B55D-C39AC135328F}"/>
    <cellStyle name="Normal 3 2 98 7" xfId="33998" xr:uid="{873E90BD-2239-44F2-87A7-5DE6405608CF}"/>
    <cellStyle name="Normal 3 2 98 8" xfId="33999" xr:uid="{9BDF61F4-752F-49ED-B2D9-142439688267}"/>
    <cellStyle name="Normal 3 2 98 9" xfId="34000" xr:uid="{27581677-29A1-4EE3-8471-75932EAA493A}"/>
    <cellStyle name="Normal 3 2 99" xfId="34001" xr:uid="{EE912870-8714-47EB-BD79-ADBC74559036}"/>
    <cellStyle name="Normal 3 2 99 10" xfId="34002" xr:uid="{1B8E505A-871F-4A3F-8699-847AD78EB0CD}"/>
    <cellStyle name="Normal 3 2 99 11" xfId="34003" xr:uid="{84F065AA-D222-42BA-A7FA-1CC86587E535}"/>
    <cellStyle name="Normal 3 2 99 12" xfId="34004" xr:uid="{6FDF3707-73A3-4E2D-889F-DB108119BB9D}"/>
    <cellStyle name="Normal 3 2 99 13" xfId="34005" xr:uid="{1C71CE20-DF9F-4972-AA53-20DD90A32C0E}"/>
    <cellStyle name="Normal 3 2 99 2" xfId="34006" xr:uid="{A0FF59BA-B74C-4D7D-B68B-CA9AC5370FFB}"/>
    <cellStyle name="Normal 3 2 99 3" xfId="34007" xr:uid="{72058247-AF28-4F17-A9DD-F7679EAE87D7}"/>
    <cellStyle name="Normal 3 2 99 4" xfId="34008" xr:uid="{1FAF5697-36A5-45F0-95D3-DEBD6F3D61BC}"/>
    <cellStyle name="Normal 3 2 99 5" xfId="34009" xr:uid="{0A3CB090-8F49-4EE7-8BFB-E69B465C417E}"/>
    <cellStyle name="Normal 3 2 99 6" xfId="34010" xr:uid="{AF7CB096-CE5B-479D-B79C-F32AC8101B04}"/>
    <cellStyle name="Normal 3 2 99 7" xfId="34011" xr:uid="{4C35FCF7-DB5E-45E0-841D-A7DF7F8F595E}"/>
    <cellStyle name="Normal 3 2 99 8" xfId="34012" xr:uid="{DCE23A93-183B-42E8-93DE-15733DB896FC}"/>
    <cellStyle name="Normal 3 2 99 9" xfId="34013" xr:uid="{B6C5479F-8CF1-45CF-ABDB-DD6DBEB0B050}"/>
    <cellStyle name="Normal 3 2_Ch4 v2" xfId="34014" xr:uid="{C13272A2-A7C6-4B06-828A-D6E92AD61C13}"/>
    <cellStyle name="Normal 3 20" xfId="34015" xr:uid="{46CDFB48-BF39-4547-96DE-682A09916C3B}"/>
    <cellStyle name="Normal 3 20 2" xfId="34016" xr:uid="{5B304C4B-5E8E-4F8B-A6D3-9B89D65184DC}"/>
    <cellStyle name="Normal 3 20 3" xfId="34017" xr:uid="{52A082CE-F7DE-494C-B91D-423509494092}"/>
    <cellStyle name="Normal 3 20 4" xfId="34018" xr:uid="{B5589D26-8B9D-4875-85B0-920D6F6AA605}"/>
    <cellStyle name="Normal 3 20 5" xfId="34019" xr:uid="{2B414472-71CE-43BD-938C-76641650735A}"/>
    <cellStyle name="Normal 3 20 6" xfId="34020" xr:uid="{997A4756-1AF9-4883-8E21-DD75B303F0D5}"/>
    <cellStyle name="Normal 3 20 7" xfId="34021" xr:uid="{8A27F76F-DD77-4B14-9017-74F9B7DA55D8}"/>
    <cellStyle name="Normal 3 21" xfId="34022" xr:uid="{2A42A68E-6FA1-426C-B96A-B8B069A054D9}"/>
    <cellStyle name="Normal 3 21 2" xfId="34023" xr:uid="{23279744-0B82-49E5-B57C-DF4FE4C7CD04}"/>
    <cellStyle name="Normal 3 21 3" xfId="34024" xr:uid="{F8275C97-165F-4A15-AF58-C870EE412C86}"/>
    <cellStyle name="Normal 3 21 4" xfId="34025" xr:uid="{970E4900-B185-4BEE-8C92-3FD8D94E0A65}"/>
    <cellStyle name="Normal 3 21 5" xfId="34026" xr:uid="{DEB389BE-8922-468B-B156-D05E716FDF5E}"/>
    <cellStyle name="Normal 3 21 6" xfId="34027" xr:uid="{F53A9BC9-E0CC-4C97-9819-4B3B25D543EE}"/>
    <cellStyle name="Normal 3 21 7" xfId="34028" xr:uid="{939405AA-F628-4AAC-858F-E4AED3B33953}"/>
    <cellStyle name="Normal 3 22" xfId="34029" xr:uid="{78F1C6B1-64E5-4FA6-8D80-2BACA065C70A}"/>
    <cellStyle name="Normal 3 22 2" xfId="34030" xr:uid="{176AF3B2-A8F3-439E-81A0-036676176245}"/>
    <cellStyle name="Normal 3 23" xfId="34031" xr:uid="{D4370E29-26A0-4833-983D-BEB9B565A762}"/>
    <cellStyle name="Normal 3 23 2" xfId="34032" xr:uid="{39BA5817-6B83-428A-BCA6-74B1CBE7B894}"/>
    <cellStyle name="Normal 3 24" xfId="34033" xr:uid="{034AC50C-EBDC-449B-87C6-AA7347E78FCD}"/>
    <cellStyle name="Normal 3 24 2" xfId="34034" xr:uid="{1D5E088C-730C-4832-9750-1D7E29CB8FCE}"/>
    <cellStyle name="Normal 3 25" xfId="34035" xr:uid="{D8EDD17B-4484-450B-B016-43A451702CEF}"/>
    <cellStyle name="Normal 3 25 2" xfId="34036" xr:uid="{B07D2605-DE0B-4A22-8AE9-C6043513F262}"/>
    <cellStyle name="Normal 3 26" xfId="34037" xr:uid="{A4D49E4C-49D8-438A-BF83-E6BBAED5FB6B}"/>
    <cellStyle name="Normal 3 26 2" xfId="34038" xr:uid="{B7AF0A70-96A4-4BFC-A975-077F15C28816}"/>
    <cellStyle name="Normal 3 27" xfId="34039" xr:uid="{A3B7AB79-6BF5-4C8A-AC33-DF1BD1B2BB1A}"/>
    <cellStyle name="Normal 3 27 2" xfId="34040" xr:uid="{9C1553B0-3BC6-4FA0-8D88-3502CCE1EB03}"/>
    <cellStyle name="Normal 3 28" xfId="34041" xr:uid="{7ED9CDA1-320F-4EEE-BF57-EF2B3EC30F17}"/>
    <cellStyle name="Normal 3 28 2" xfId="34042" xr:uid="{BA2F482D-15EF-4A2D-8D3B-AF5D88436D11}"/>
    <cellStyle name="Normal 3 28 3" xfId="34043" xr:uid="{AC33E74B-DF38-4AFE-BFBB-B5A1ED44DF39}"/>
    <cellStyle name="Normal 3 29" xfId="34044" xr:uid="{5C986D94-2CFC-42DC-88B0-2822EB3D6B15}"/>
    <cellStyle name="Normal 3 29 2" xfId="34045" xr:uid="{830743E3-9766-4219-B0FB-85DDCA084FE3}"/>
    <cellStyle name="Normal 3 3" xfId="193" xr:uid="{8AEF2027-7617-4371-A5F6-73F506272BA1}"/>
    <cellStyle name="Normal 3 3 10" xfId="34047" xr:uid="{6E88554D-5C90-4E1C-B561-995512433B4C}"/>
    <cellStyle name="Normal 3 3 10 10" xfId="34048" xr:uid="{AA035216-F77A-4C80-8E19-5E5D474C1B14}"/>
    <cellStyle name="Normal 3 3 10 11" xfId="34049" xr:uid="{9A3FFC49-9B71-4FCD-8D03-7CB488AF6F96}"/>
    <cellStyle name="Normal 3 3 10 2" xfId="34050" xr:uid="{F462F323-B487-4269-B08B-46CA3087C51C}"/>
    <cellStyle name="Normal 3 3 10 2 2" xfId="34051" xr:uid="{371D2FD2-4AF3-4E8D-8BB4-956ED58B3CF5}"/>
    <cellStyle name="Normal 3 3 10 2 3" xfId="34052" xr:uid="{EE074E70-B2B3-4756-9D46-907293940B7E}"/>
    <cellStyle name="Normal 3 3 10 2 4" xfId="34053" xr:uid="{550210E2-83B1-45FC-A7AD-BB49FE330556}"/>
    <cellStyle name="Normal 3 3 10 2 5" xfId="34054" xr:uid="{A679D586-05E8-4637-97FD-AE15667BA4F1}"/>
    <cellStyle name="Normal 3 3 10 2 6" xfId="34055" xr:uid="{CB6D7045-439C-4800-ACAC-74951FA8DE9C}"/>
    <cellStyle name="Normal 3 3 10 3" xfId="34056" xr:uid="{DBA0826D-3AAE-44C7-A8D3-910805CED426}"/>
    <cellStyle name="Normal 3 3 10 3 2" xfId="34057" xr:uid="{17C8E61A-23DE-4D83-B053-438589770F9D}"/>
    <cellStyle name="Normal 3 3 10 3 3" xfId="34058" xr:uid="{9301ED4B-1F56-44DC-A58F-3309A36D0F11}"/>
    <cellStyle name="Normal 3 3 10 3 4" xfId="34059" xr:uid="{4DCE86E8-EE42-47B8-9F76-5901DA689948}"/>
    <cellStyle name="Normal 3 3 10 3 5" xfId="34060" xr:uid="{32EA03EB-4CC4-4BDE-94E4-9E8CE96E3241}"/>
    <cellStyle name="Normal 3 3 10 3 6" xfId="34061" xr:uid="{054D2DAE-A3B3-424C-AE79-C22EAC3E5CB3}"/>
    <cellStyle name="Normal 3 3 10 4" xfId="34062" xr:uid="{64FF653B-38F8-41F2-94E9-FFB416CC9BE0}"/>
    <cellStyle name="Normal 3 3 10 4 2" xfId="34063" xr:uid="{880E4BC3-3226-4BE9-B42D-54FED96BBBA9}"/>
    <cellStyle name="Normal 3 3 10 4 3" xfId="34064" xr:uid="{D3E148C4-679B-486E-B6BD-50EAA37BBCE7}"/>
    <cellStyle name="Normal 3 3 10 4 4" xfId="34065" xr:uid="{54027D8B-7F08-4E4B-BB14-03F3AED1D6B4}"/>
    <cellStyle name="Normal 3 3 10 4 5" xfId="34066" xr:uid="{4F3F1970-0FEB-4F06-A43C-A9ABA8124763}"/>
    <cellStyle name="Normal 3 3 10 4 6" xfId="34067" xr:uid="{935951EF-D681-48EF-AAB1-DAEB1267B81A}"/>
    <cellStyle name="Normal 3 3 10 5" xfId="34068" xr:uid="{3AF79DF6-1ACB-44FA-9F64-A73890628762}"/>
    <cellStyle name="Normal 3 3 10 5 2" xfId="34069" xr:uid="{AA0AF7DF-93A3-41C2-94AC-8771319162BE}"/>
    <cellStyle name="Normal 3 3 10 5 3" xfId="34070" xr:uid="{150384B2-0ECA-42CB-B1ED-2C5224CC9A32}"/>
    <cellStyle name="Normal 3 3 10 5 4" xfId="34071" xr:uid="{6648E0CA-35B3-4259-95F3-0DDB97816177}"/>
    <cellStyle name="Normal 3 3 10 5 5" xfId="34072" xr:uid="{71D23714-C58D-4C2C-8154-907FA36C6E70}"/>
    <cellStyle name="Normal 3 3 10 5 6" xfId="34073" xr:uid="{3C0255D7-E4F4-4F51-8A42-6487FB0185AD}"/>
    <cellStyle name="Normal 3 3 10 6" xfId="34074" xr:uid="{693719DC-54C9-4CCA-9BDF-5670ADCEBD67}"/>
    <cellStyle name="Normal 3 3 10 6 2" xfId="34075" xr:uid="{13E07FC0-6A91-49AE-A094-50F3760A3BA0}"/>
    <cellStyle name="Normal 3 3 10 6 3" xfId="34076" xr:uid="{022C14B2-351D-4E38-B8F2-8D4601849A80}"/>
    <cellStyle name="Normal 3 3 10 6 4" xfId="34077" xr:uid="{8FC6DB56-ADD7-4376-8081-5BEB0897C92B}"/>
    <cellStyle name="Normal 3 3 10 6 5" xfId="34078" xr:uid="{5FFED42C-2D58-449C-BFDB-27AE3ED611BD}"/>
    <cellStyle name="Normal 3 3 10 6 6" xfId="34079" xr:uid="{40D85FC3-12A5-40E5-B70C-95C7B7F1AEF2}"/>
    <cellStyle name="Normal 3 3 10 7" xfId="34080" xr:uid="{E2550705-1F29-4270-A45A-74B24E222FAA}"/>
    <cellStyle name="Normal 3 3 10 8" xfId="34081" xr:uid="{0463C97A-BBB6-4A31-9537-4D267D78EF94}"/>
    <cellStyle name="Normal 3 3 10 9" xfId="34082" xr:uid="{166B020D-E52C-4330-BF3C-E8B14FD4721A}"/>
    <cellStyle name="Normal 3 3 11" xfId="34083" xr:uid="{99E70F91-C5FE-42D4-B5D7-B4599AE6E508}"/>
    <cellStyle name="Normal 3 3 11 10" xfId="34084" xr:uid="{E89596C4-0532-480E-8141-917B7FA8ED09}"/>
    <cellStyle name="Normal 3 3 11 11" xfId="34085" xr:uid="{A36A58CE-6CB4-4F7C-885E-91DC4E9C6A68}"/>
    <cellStyle name="Normal 3 3 11 2" xfId="34086" xr:uid="{A9DB3935-997C-4B36-9885-06552770AB24}"/>
    <cellStyle name="Normal 3 3 11 2 2" xfId="34087" xr:uid="{0CF267E7-E59D-4582-BF3A-170A5FA66285}"/>
    <cellStyle name="Normal 3 3 11 2 3" xfId="34088" xr:uid="{81F70B73-0327-4A90-9C19-AE6F523DAE0F}"/>
    <cellStyle name="Normal 3 3 11 2 4" xfId="34089" xr:uid="{4BD5F5F6-A1F3-4471-A196-3BB65F6E1CD3}"/>
    <cellStyle name="Normal 3 3 11 2 5" xfId="34090" xr:uid="{43D316BD-51FC-4924-B3FB-1A7A4BE96564}"/>
    <cellStyle name="Normal 3 3 11 2 6" xfId="34091" xr:uid="{32FDCED6-3D2A-4F68-9A6F-7780276AB144}"/>
    <cellStyle name="Normal 3 3 11 3" xfId="34092" xr:uid="{81CFE386-DB04-47EB-9314-B62DE50A52E3}"/>
    <cellStyle name="Normal 3 3 11 3 2" xfId="34093" xr:uid="{D6A802DA-4DAC-44A1-9935-E6A016B8E526}"/>
    <cellStyle name="Normal 3 3 11 3 3" xfId="34094" xr:uid="{8BE96F8B-F888-4924-A416-6EB4CBD062AD}"/>
    <cellStyle name="Normal 3 3 11 3 4" xfId="34095" xr:uid="{814CF7DC-725A-4DFE-8885-10B55B3B19AF}"/>
    <cellStyle name="Normal 3 3 11 3 5" xfId="34096" xr:uid="{693F94F6-A561-4750-AA0F-966671DE7556}"/>
    <cellStyle name="Normal 3 3 11 3 6" xfId="34097" xr:uid="{0F42FD04-C192-4176-9F1F-3C472E0D0C4A}"/>
    <cellStyle name="Normal 3 3 11 4" xfId="34098" xr:uid="{20A2B353-7610-48E2-A96D-3FEEE7E1C7E8}"/>
    <cellStyle name="Normal 3 3 11 4 2" xfId="34099" xr:uid="{2577B4CB-AED7-4140-9A9B-8E1426883CD1}"/>
    <cellStyle name="Normal 3 3 11 4 3" xfId="34100" xr:uid="{994702DB-34E0-447D-A747-4FE2BD74346E}"/>
    <cellStyle name="Normal 3 3 11 4 4" xfId="34101" xr:uid="{8F11CEBB-3AC1-40EE-B7AE-0795616670CE}"/>
    <cellStyle name="Normal 3 3 11 4 5" xfId="34102" xr:uid="{3303082C-AA6E-4936-8879-E553A1D67327}"/>
    <cellStyle name="Normal 3 3 11 4 6" xfId="34103" xr:uid="{7B0C131B-432B-46CB-9C8C-34EFC88E1416}"/>
    <cellStyle name="Normal 3 3 11 5" xfId="34104" xr:uid="{85B5EDEA-EDB5-46AF-9770-5AC4932E18E9}"/>
    <cellStyle name="Normal 3 3 11 5 2" xfId="34105" xr:uid="{4B59BEC5-44EC-46E4-A7AA-CCEE3066CC09}"/>
    <cellStyle name="Normal 3 3 11 5 3" xfId="34106" xr:uid="{F19E2819-8FAF-4B35-BC6D-5CDC9EF5A206}"/>
    <cellStyle name="Normal 3 3 11 5 4" xfId="34107" xr:uid="{FE56826C-2177-49BD-96D8-8D0C5CA8EC25}"/>
    <cellStyle name="Normal 3 3 11 5 5" xfId="34108" xr:uid="{53342B25-60F0-40E2-8075-E5ECF1C62A20}"/>
    <cellStyle name="Normal 3 3 11 5 6" xfId="34109" xr:uid="{91CFB07F-F4E3-4BD4-8A8C-C61034AF1545}"/>
    <cellStyle name="Normal 3 3 11 6" xfId="34110" xr:uid="{9FA17045-6739-4190-B6A7-1544220C8AA5}"/>
    <cellStyle name="Normal 3 3 11 6 2" xfId="34111" xr:uid="{322A13AC-B666-43B1-8684-3C27AD9B192E}"/>
    <cellStyle name="Normal 3 3 11 6 3" xfId="34112" xr:uid="{2CDF6113-92AF-4F27-8113-0AE5592DDDF7}"/>
    <cellStyle name="Normal 3 3 11 6 4" xfId="34113" xr:uid="{2A72B6CA-AED2-4BA9-941D-C1E6F01F3E1D}"/>
    <cellStyle name="Normal 3 3 11 6 5" xfId="34114" xr:uid="{BD138CAF-F447-4453-A302-CF81076147B3}"/>
    <cellStyle name="Normal 3 3 11 6 6" xfId="34115" xr:uid="{7DF5208B-2ADC-438C-91FD-0DBA12999D88}"/>
    <cellStyle name="Normal 3 3 11 7" xfId="34116" xr:uid="{6120178B-F687-428A-9504-8A95DC037E2F}"/>
    <cellStyle name="Normal 3 3 11 8" xfId="34117" xr:uid="{B0C6DCB4-62CD-4A23-95A6-2E043CCEB35A}"/>
    <cellStyle name="Normal 3 3 11 9" xfId="34118" xr:uid="{9726F043-7756-4FD9-A7C4-B3A47038A54F}"/>
    <cellStyle name="Normal 3 3 12" xfId="34119" xr:uid="{71FD50C1-4423-4340-B268-F367ED1E57F1}"/>
    <cellStyle name="Normal 3 3 12 10" xfId="34120" xr:uid="{0CF02A40-B38F-4972-A3A6-A542DEBD153B}"/>
    <cellStyle name="Normal 3 3 12 11" xfId="34121" xr:uid="{0EBEC5DF-9CD3-4D0B-99A3-0976C6BA5A85}"/>
    <cellStyle name="Normal 3 3 12 2" xfId="34122" xr:uid="{8C92E0FA-12AA-41B5-87D8-3B25E144FA56}"/>
    <cellStyle name="Normal 3 3 12 2 2" xfId="34123" xr:uid="{B40C5AE5-122D-43E1-A8AE-84765D68DE84}"/>
    <cellStyle name="Normal 3 3 12 2 3" xfId="34124" xr:uid="{028C88EF-8900-4A75-AF9F-B753681E6C24}"/>
    <cellStyle name="Normal 3 3 12 2 4" xfId="34125" xr:uid="{50689E0A-F4B5-4179-A138-94DD6D66E3DD}"/>
    <cellStyle name="Normal 3 3 12 2 5" xfId="34126" xr:uid="{DD25996A-40F0-43A1-BEF3-7BD32BD8ECBA}"/>
    <cellStyle name="Normal 3 3 12 2 6" xfId="34127" xr:uid="{DF501C57-AA52-45E3-A2C9-44F8D375E422}"/>
    <cellStyle name="Normal 3 3 12 3" xfId="34128" xr:uid="{C5788916-E374-4F1C-8C5B-093F1E58248E}"/>
    <cellStyle name="Normal 3 3 12 3 2" xfId="34129" xr:uid="{94323103-DFCC-4F9A-AA2D-58369805BA25}"/>
    <cellStyle name="Normal 3 3 12 3 3" xfId="34130" xr:uid="{78996168-1F66-4412-BAF1-E7EEB4AD07B6}"/>
    <cellStyle name="Normal 3 3 12 3 4" xfId="34131" xr:uid="{EB8ED0E1-60BC-4280-BCBC-6C3DAD8C0CFC}"/>
    <cellStyle name="Normal 3 3 12 3 5" xfId="34132" xr:uid="{23BCF687-52E3-4FA8-B376-EFD2A322DAB8}"/>
    <cellStyle name="Normal 3 3 12 3 6" xfId="34133" xr:uid="{93B67DD5-20D5-4F47-B1A5-1783806DADE3}"/>
    <cellStyle name="Normal 3 3 12 4" xfId="34134" xr:uid="{DB661846-7A38-422F-A31B-D01C05CCD981}"/>
    <cellStyle name="Normal 3 3 12 4 2" xfId="34135" xr:uid="{5B06047B-8569-4371-BFFC-B3D8B7FE09F9}"/>
    <cellStyle name="Normal 3 3 12 4 3" xfId="34136" xr:uid="{7E9C63EB-5E25-4C3C-B05D-85A06EC59BB5}"/>
    <cellStyle name="Normal 3 3 12 4 4" xfId="34137" xr:uid="{C200B83D-1454-4022-9BA1-4A4E4C458ABE}"/>
    <cellStyle name="Normal 3 3 12 4 5" xfId="34138" xr:uid="{8869B496-DA34-45CB-9478-E2279EB0345E}"/>
    <cellStyle name="Normal 3 3 12 4 6" xfId="34139" xr:uid="{EC6EFFFF-E65C-4116-902C-58CF10BB5874}"/>
    <cellStyle name="Normal 3 3 12 5" xfId="34140" xr:uid="{C4B06893-151B-40A8-8710-A5E7DE30BCAF}"/>
    <cellStyle name="Normal 3 3 12 5 2" xfId="34141" xr:uid="{56ABFF6A-9F13-46BB-94A6-F65DD78E2EF4}"/>
    <cellStyle name="Normal 3 3 12 5 3" xfId="34142" xr:uid="{CD1CDC82-7AB0-42C6-B3DB-98F9F6DB9BAA}"/>
    <cellStyle name="Normal 3 3 12 5 4" xfId="34143" xr:uid="{F028C000-33AF-4955-B860-2D35E4059CFC}"/>
    <cellStyle name="Normal 3 3 12 5 5" xfId="34144" xr:uid="{DBBD7D56-C4BE-4BD7-B361-21E124A4AE09}"/>
    <cellStyle name="Normal 3 3 12 5 6" xfId="34145" xr:uid="{D575195F-2F4C-4957-9B5A-14C733057258}"/>
    <cellStyle name="Normal 3 3 12 6" xfId="34146" xr:uid="{1468F5D1-0568-40EE-A91C-6CCCAD1E94A1}"/>
    <cellStyle name="Normal 3 3 12 6 2" xfId="34147" xr:uid="{C99BCCD5-212F-40CF-9005-34EF570CA57E}"/>
    <cellStyle name="Normal 3 3 12 6 3" xfId="34148" xr:uid="{1157DFB0-70F0-4F8E-BF48-F0538FAD1AEA}"/>
    <cellStyle name="Normal 3 3 12 6 4" xfId="34149" xr:uid="{5C73B072-14EB-4879-8B60-431513B46406}"/>
    <cellStyle name="Normal 3 3 12 6 5" xfId="34150" xr:uid="{EADA8E19-CF6E-4D1B-8F0E-E307DCF302FB}"/>
    <cellStyle name="Normal 3 3 12 6 6" xfId="34151" xr:uid="{6F3008E4-0AF4-47DA-B4E4-B32319B76CCA}"/>
    <cellStyle name="Normal 3 3 12 7" xfId="34152" xr:uid="{E40B88CB-9599-47DA-9AFA-5F7465C9418B}"/>
    <cellStyle name="Normal 3 3 12 8" xfId="34153" xr:uid="{C4E2DFA8-600F-4D88-A7F6-E8B086586F2D}"/>
    <cellStyle name="Normal 3 3 12 9" xfId="34154" xr:uid="{C50060EF-E28D-4B65-9677-26FD8C441AA8}"/>
    <cellStyle name="Normal 3 3 13" xfId="34155" xr:uid="{7BDE69E0-EB71-4ED3-B6A1-6C0052D1D993}"/>
    <cellStyle name="Normal 3 3 13 10" xfId="34156" xr:uid="{5103C23F-86CE-4D7A-9068-33B78BD8331F}"/>
    <cellStyle name="Normal 3 3 13 11" xfId="34157" xr:uid="{4CB802E2-2411-4842-872D-67808B603030}"/>
    <cellStyle name="Normal 3 3 13 2" xfId="34158" xr:uid="{9EDB353D-BFA0-4194-AAED-F11C06B30ECF}"/>
    <cellStyle name="Normal 3 3 13 2 2" xfId="34159" xr:uid="{4BA24998-B6DE-44D1-9C1C-B4F7421AEE51}"/>
    <cellStyle name="Normal 3 3 13 2 3" xfId="34160" xr:uid="{F17AC037-0557-4299-BBE7-F1ABE219F3AB}"/>
    <cellStyle name="Normal 3 3 13 2 4" xfId="34161" xr:uid="{254E8B8C-D038-41BF-A462-CB7DEDE98FB0}"/>
    <cellStyle name="Normal 3 3 13 2 5" xfId="34162" xr:uid="{69835EC5-B9EE-46F0-AFA2-AEB058A025A8}"/>
    <cellStyle name="Normal 3 3 13 2 6" xfId="34163" xr:uid="{01450F3C-311E-41C7-AECE-16A0BD659360}"/>
    <cellStyle name="Normal 3 3 13 3" xfId="34164" xr:uid="{A04839EB-641E-442C-964E-3152D87165A1}"/>
    <cellStyle name="Normal 3 3 13 3 2" xfId="34165" xr:uid="{CFB09C24-C8B4-45D7-A136-83CDA1D57F90}"/>
    <cellStyle name="Normal 3 3 13 3 3" xfId="34166" xr:uid="{731D4371-4B27-4FDA-B9D7-4977B2076EF4}"/>
    <cellStyle name="Normal 3 3 13 3 4" xfId="34167" xr:uid="{42041A64-9477-4E1A-A183-B804A68A620E}"/>
    <cellStyle name="Normal 3 3 13 3 5" xfId="34168" xr:uid="{31F630CD-C883-404A-B112-0DDCEB477877}"/>
    <cellStyle name="Normal 3 3 13 3 6" xfId="34169" xr:uid="{C03EF7B2-8556-4F2C-AC93-41B98E21AF3C}"/>
    <cellStyle name="Normal 3 3 13 4" xfId="34170" xr:uid="{CC6ED59F-5FC5-4A17-BABE-1CE1FD958942}"/>
    <cellStyle name="Normal 3 3 13 4 2" xfId="34171" xr:uid="{40D6293B-ACE9-45F0-A435-55D163D3A922}"/>
    <cellStyle name="Normal 3 3 13 4 3" xfId="34172" xr:uid="{647335E7-E0F5-41E9-B2CF-E1C04F01E693}"/>
    <cellStyle name="Normal 3 3 13 4 4" xfId="34173" xr:uid="{EB95E88C-9705-41F7-896A-240FA2FABF12}"/>
    <cellStyle name="Normal 3 3 13 4 5" xfId="34174" xr:uid="{6F30B08F-F361-4008-A8DE-9837B2D81635}"/>
    <cellStyle name="Normal 3 3 13 4 6" xfId="34175" xr:uid="{A29DD346-48E7-4EFA-BBEB-3CC77F1AACB2}"/>
    <cellStyle name="Normal 3 3 13 5" xfId="34176" xr:uid="{FB7ADA85-CFCA-46BF-AF55-AE38F7346438}"/>
    <cellStyle name="Normal 3 3 13 5 2" xfId="34177" xr:uid="{047953C8-50BD-4016-AB03-DA264098013D}"/>
    <cellStyle name="Normal 3 3 13 5 3" xfId="34178" xr:uid="{E8A48CBB-57D9-473F-AD31-553EA53DB605}"/>
    <cellStyle name="Normal 3 3 13 5 4" xfId="34179" xr:uid="{C183EF24-EFA1-4AF0-BDC3-B2911DF63150}"/>
    <cellStyle name="Normal 3 3 13 5 5" xfId="34180" xr:uid="{11F118BC-CBAA-4236-BD7D-D21EE950F71C}"/>
    <cellStyle name="Normal 3 3 13 5 6" xfId="34181" xr:uid="{9EACFC5F-D06F-4528-A10B-9C9E50C30C3D}"/>
    <cellStyle name="Normal 3 3 13 6" xfId="34182" xr:uid="{EB0968D2-E1E8-4044-910D-E6E492B08D7B}"/>
    <cellStyle name="Normal 3 3 13 6 2" xfId="34183" xr:uid="{02FD2BC7-602F-4DB9-803A-7137BCA074D6}"/>
    <cellStyle name="Normal 3 3 13 6 3" xfId="34184" xr:uid="{7F327BCE-7F91-4875-9839-FAA1A952D573}"/>
    <cellStyle name="Normal 3 3 13 6 4" xfId="34185" xr:uid="{3E098301-E46E-4EC4-AF02-6B5BD88AC824}"/>
    <cellStyle name="Normal 3 3 13 6 5" xfId="34186" xr:uid="{308FFB03-C709-4A2A-9528-E9B29CEEF4B3}"/>
    <cellStyle name="Normal 3 3 13 6 6" xfId="34187" xr:uid="{2FC69A0C-25DE-4658-A7CA-302AD9302D8C}"/>
    <cellStyle name="Normal 3 3 13 7" xfId="34188" xr:uid="{79664093-8053-449E-9900-22F3C01880BA}"/>
    <cellStyle name="Normal 3 3 13 8" xfId="34189" xr:uid="{CDB5B48E-DD9F-41F5-996F-E38B7E30D170}"/>
    <cellStyle name="Normal 3 3 13 9" xfId="34190" xr:uid="{2BC53F4D-5C04-4A97-825F-FE718ED836DA}"/>
    <cellStyle name="Normal 3 3 14" xfId="34191" xr:uid="{B9AE9537-D7A4-4EDF-AA9C-1F3DBC81A5E6}"/>
    <cellStyle name="Normal 3 3 14 10" xfId="34192" xr:uid="{E0299C83-BDB9-4409-A929-34B7BBFFF6A2}"/>
    <cellStyle name="Normal 3 3 14 11" xfId="34193" xr:uid="{E5D7CC5B-2806-40D9-9AE2-1BC9DE7CE27E}"/>
    <cellStyle name="Normal 3 3 14 2" xfId="34194" xr:uid="{A8E4C38E-7EB8-47FF-BDBD-0A876511D17B}"/>
    <cellStyle name="Normal 3 3 14 2 2" xfId="34195" xr:uid="{EC5358A1-CC26-438F-9E27-17A500040B91}"/>
    <cellStyle name="Normal 3 3 14 2 3" xfId="34196" xr:uid="{C7FA45DD-E9BF-46F7-8E21-4275511B09F2}"/>
    <cellStyle name="Normal 3 3 14 2 4" xfId="34197" xr:uid="{572940A4-D0F2-4B06-8534-E973C5B265D0}"/>
    <cellStyle name="Normal 3 3 14 2 5" xfId="34198" xr:uid="{3D5B5F5B-B718-4F32-BF77-7FE3D17E1792}"/>
    <cellStyle name="Normal 3 3 14 2 6" xfId="34199" xr:uid="{B3863C5F-7F44-4F94-A878-521CD001850F}"/>
    <cellStyle name="Normal 3 3 14 3" xfId="34200" xr:uid="{2F2CE0EF-0C9B-4AAD-9C71-71FBD06964DD}"/>
    <cellStyle name="Normal 3 3 14 3 2" xfId="34201" xr:uid="{E8E0FA2F-709E-404B-BF4B-91BAC434194F}"/>
    <cellStyle name="Normal 3 3 14 3 3" xfId="34202" xr:uid="{6FDF94B9-8F9B-4D03-8590-0789E1B1B34B}"/>
    <cellStyle name="Normal 3 3 14 3 4" xfId="34203" xr:uid="{AB1D5966-321D-4E14-B169-9EA7FEC3BE31}"/>
    <cellStyle name="Normal 3 3 14 3 5" xfId="34204" xr:uid="{94A8F9B6-DC7C-4E71-8300-703C0816EA89}"/>
    <cellStyle name="Normal 3 3 14 3 6" xfId="34205" xr:uid="{EFC5C41C-FE1C-4B35-B860-6D1D0DA8BD82}"/>
    <cellStyle name="Normal 3 3 14 4" xfId="34206" xr:uid="{03F8BC30-5306-455D-BF4A-84AF9C9B0FD4}"/>
    <cellStyle name="Normal 3 3 14 4 2" xfId="34207" xr:uid="{D14550B9-CC88-4595-BE68-E9A831033595}"/>
    <cellStyle name="Normal 3 3 14 4 3" xfId="34208" xr:uid="{C5A84606-A392-4010-A23E-F8DBD1F440AA}"/>
    <cellStyle name="Normal 3 3 14 4 4" xfId="34209" xr:uid="{2A19E456-1CBE-425C-971C-F702519CFC8D}"/>
    <cellStyle name="Normal 3 3 14 4 5" xfId="34210" xr:uid="{C1E446C0-F398-44A6-AF7F-99BBECBD4E6B}"/>
    <cellStyle name="Normal 3 3 14 4 6" xfId="34211" xr:uid="{C0DE28F2-2B81-4639-8523-1C342FE90E2D}"/>
    <cellStyle name="Normal 3 3 14 5" xfId="34212" xr:uid="{A9AA5A50-2538-4F24-A71C-D295DDE96F50}"/>
    <cellStyle name="Normal 3 3 14 5 2" xfId="34213" xr:uid="{A38D21E5-5278-4E5A-97E9-FE8D5E593580}"/>
    <cellStyle name="Normal 3 3 14 5 3" xfId="34214" xr:uid="{E60DE7C8-C634-43A6-B54D-348DD6EE294D}"/>
    <cellStyle name="Normal 3 3 14 5 4" xfId="34215" xr:uid="{58806063-AC7F-431E-BE6E-C1F2B146DA55}"/>
    <cellStyle name="Normal 3 3 14 5 5" xfId="34216" xr:uid="{76F39A00-CF8D-4A81-A8F2-A39357B31B92}"/>
    <cellStyle name="Normal 3 3 14 5 6" xfId="34217" xr:uid="{61BECCFE-C135-43B9-83FD-007863B9361A}"/>
    <cellStyle name="Normal 3 3 14 6" xfId="34218" xr:uid="{ECB1CEFF-8271-4857-8FF1-E03BD652CACB}"/>
    <cellStyle name="Normal 3 3 14 6 2" xfId="34219" xr:uid="{6B3B2E0B-A8F4-4357-AC7F-9F2F05A134EB}"/>
    <cellStyle name="Normal 3 3 14 6 3" xfId="34220" xr:uid="{FC4ABE5A-1356-4CCD-B05C-2396B12FC243}"/>
    <cellStyle name="Normal 3 3 14 6 4" xfId="34221" xr:uid="{7C00941E-2C1E-4E04-B6DA-AAF6E2B0E018}"/>
    <cellStyle name="Normal 3 3 14 6 5" xfId="34222" xr:uid="{262A94B6-F717-4B15-B209-91AF3F02DDD2}"/>
    <cellStyle name="Normal 3 3 14 6 6" xfId="34223" xr:uid="{7DCF3141-39FE-45C2-B7E2-4CD0C78A18DE}"/>
    <cellStyle name="Normal 3 3 14 7" xfId="34224" xr:uid="{FDDA6377-6664-47CB-A61D-4BEAADCD4F5E}"/>
    <cellStyle name="Normal 3 3 14 8" xfId="34225" xr:uid="{10551714-F3E2-45D0-8AEB-075363984F27}"/>
    <cellStyle name="Normal 3 3 14 9" xfId="34226" xr:uid="{9D1E115E-199D-4B0E-9106-0F5520A7FE23}"/>
    <cellStyle name="Normal 3 3 15" xfId="34227" xr:uid="{0DA49983-FDE1-4634-844E-69EB16EC35D7}"/>
    <cellStyle name="Normal 3 3 15 10" xfId="34228" xr:uid="{E2E0FAD9-62F0-4D00-B2FD-347A5B222139}"/>
    <cellStyle name="Normal 3 3 15 11" xfId="34229" xr:uid="{DD4D3D11-796C-4E06-B340-6C16D6B769FC}"/>
    <cellStyle name="Normal 3 3 15 2" xfId="34230" xr:uid="{2D9A23B6-E23C-4B6D-8CFA-DB7A998F20EB}"/>
    <cellStyle name="Normal 3 3 15 2 2" xfId="34231" xr:uid="{32BB850E-3584-403E-924D-256F1BDB59EA}"/>
    <cellStyle name="Normal 3 3 15 2 3" xfId="34232" xr:uid="{2AC870E1-B1DB-424A-9003-6A4B44291C2A}"/>
    <cellStyle name="Normal 3 3 15 2 4" xfId="34233" xr:uid="{E96B6226-DAC2-40CA-8A80-8808C372497D}"/>
    <cellStyle name="Normal 3 3 15 2 5" xfId="34234" xr:uid="{BD0FC36D-8B14-4300-ABF7-5225258E8D7B}"/>
    <cellStyle name="Normal 3 3 15 2 6" xfId="34235" xr:uid="{C672E5E5-AF16-43A7-B911-D5E6AA66B76D}"/>
    <cellStyle name="Normal 3 3 15 3" xfId="34236" xr:uid="{263C0F9C-7CB0-48C2-813A-71E38217FF0F}"/>
    <cellStyle name="Normal 3 3 15 3 2" xfId="34237" xr:uid="{4AFB9DC2-C778-4638-9B2A-57F3EFD5D39C}"/>
    <cellStyle name="Normal 3 3 15 3 3" xfId="34238" xr:uid="{BA658857-E6CC-4F07-805E-D376D3C1040F}"/>
    <cellStyle name="Normal 3 3 15 3 4" xfId="34239" xr:uid="{A1A6F763-336D-4DD5-B938-6E0210DADF64}"/>
    <cellStyle name="Normal 3 3 15 3 5" xfId="34240" xr:uid="{6F5CE7B2-0A55-4D8E-99C6-50D5B3436F43}"/>
    <cellStyle name="Normal 3 3 15 3 6" xfId="34241" xr:uid="{B78A1BF1-B4F4-49D0-BD37-4C4D4D9517A9}"/>
    <cellStyle name="Normal 3 3 15 4" xfId="34242" xr:uid="{4F14C84D-22A1-4937-86D4-5F57309D7CB9}"/>
    <cellStyle name="Normal 3 3 15 4 2" xfId="34243" xr:uid="{6E1A6908-3DDC-48D5-94BE-7B1B8E0A5128}"/>
    <cellStyle name="Normal 3 3 15 4 3" xfId="34244" xr:uid="{66877C74-298C-4927-89F2-D20C2B75F5F2}"/>
    <cellStyle name="Normal 3 3 15 4 4" xfId="34245" xr:uid="{F17C1E0C-46D2-4CED-8C7C-261406204252}"/>
    <cellStyle name="Normal 3 3 15 4 5" xfId="34246" xr:uid="{C380F8C2-0625-4C8F-9A10-0B363153A9EF}"/>
    <cellStyle name="Normal 3 3 15 4 6" xfId="34247" xr:uid="{A6C33D7B-DEC9-461B-9D89-AB29093A6D12}"/>
    <cellStyle name="Normal 3 3 15 5" xfId="34248" xr:uid="{9DA4A30B-50EC-4128-BB45-9EC59D450539}"/>
    <cellStyle name="Normal 3 3 15 5 2" xfId="34249" xr:uid="{42FDD28D-2F9C-4EA4-B3F4-4F653941EBD6}"/>
    <cellStyle name="Normal 3 3 15 5 3" xfId="34250" xr:uid="{B099398D-0C1A-4346-85EC-6DEBF2CE07DA}"/>
    <cellStyle name="Normal 3 3 15 5 4" xfId="34251" xr:uid="{6D31FCC0-1F0D-4A4B-A96E-6CE11E2EDB53}"/>
    <cellStyle name="Normal 3 3 15 5 5" xfId="34252" xr:uid="{2846CD24-58A6-4A01-83B6-7C747178E364}"/>
    <cellStyle name="Normal 3 3 15 5 6" xfId="34253" xr:uid="{99FFBC9A-4603-422E-8AC6-CB6FB6BBCCED}"/>
    <cellStyle name="Normal 3 3 15 6" xfId="34254" xr:uid="{47AA0913-BCFA-42AA-A1E9-A34F1F94FF88}"/>
    <cellStyle name="Normal 3 3 15 6 2" xfId="34255" xr:uid="{126C7AC5-7FAE-42A4-9FF8-AE1B011E49FD}"/>
    <cellStyle name="Normal 3 3 15 6 3" xfId="34256" xr:uid="{0F2676E9-3198-4EAB-BB55-F0E2631039CD}"/>
    <cellStyle name="Normal 3 3 15 6 4" xfId="34257" xr:uid="{0959E46A-E39D-4978-B52E-A015406F26A9}"/>
    <cellStyle name="Normal 3 3 15 6 5" xfId="34258" xr:uid="{01F23B41-1C35-41A3-BC6B-FE67F72FB744}"/>
    <cellStyle name="Normal 3 3 15 6 6" xfId="34259" xr:uid="{70F7E24B-4955-47B3-89DB-33F6308FD6F9}"/>
    <cellStyle name="Normal 3 3 15 7" xfId="34260" xr:uid="{4CABBBDB-C231-4363-BD0B-D0D0FC552A68}"/>
    <cellStyle name="Normal 3 3 15 8" xfId="34261" xr:uid="{3DAA1076-D1DB-4974-AF0F-954475021E55}"/>
    <cellStyle name="Normal 3 3 15 9" xfId="34262" xr:uid="{F0138D6F-8558-4FA9-9EE6-D314F5754722}"/>
    <cellStyle name="Normal 3 3 16" xfId="34263" xr:uid="{ED8F70A2-F76E-45F5-A510-E37603C043D1}"/>
    <cellStyle name="Normal 3 3 16 10" xfId="34264" xr:uid="{BFADF859-D180-4C7D-98E1-D0A816918ECD}"/>
    <cellStyle name="Normal 3 3 16 11" xfId="34265" xr:uid="{0531DF05-E485-4F00-8E1C-FB73FD3D2445}"/>
    <cellStyle name="Normal 3 3 16 2" xfId="34266" xr:uid="{7E22F0EC-3F34-491D-B18E-2EA31482A386}"/>
    <cellStyle name="Normal 3 3 16 2 2" xfId="34267" xr:uid="{F7F4E497-808E-4DC3-99AC-CB38F03590D4}"/>
    <cellStyle name="Normal 3 3 16 2 3" xfId="34268" xr:uid="{9AA49784-95DC-4B2E-AC0F-70AEFA62E768}"/>
    <cellStyle name="Normal 3 3 16 2 4" xfId="34269" xr:uid="{55A2A8A7-3596-4D98-A2FC-7199785AB8D4}"/>
    <cellStyle name="Normal 3 3 16 2 5" xfId="34270" xr:uid="{E46FE62C-44AF-42CD-BF69-0B777E32168F}"/>
    <cellStyle name="Normal 3 3 16 2 6" xfId="34271" xr:uid="{CF41DB0E-B517-47F2-AB1A-252BAF6C5465}"/>
    <cellStyle name="Normal 3 3 16 3" xfId="34272" xr:uid="{C72E3840-BD1C-493D-A8EF-5A0A912C9581}"/>
    <cellStyle name="Normal 3 3 16 3 2" xfId="34273" xr:uid="{DD23F352-B786-4C2E-94C3-5F5D62688C76}"/>
    <cellStyle name="Normal 3 3 16 3 3" xfId="34274" xr:uid="{C2128613-F980-4F46-9A33-BBE667B92DBB}"/>
    <cellStyle name="Normal 3 3 16 3 4" xfId="34275" xr:uid="{164D53AB-2F4C-4602-A702-D8C61AC488D4}"/>
    <cellStyle name="Normal 3 3 16 3 5" xfId="34276" xr:uid="{4A430044-7221-4E03-A04D-09D832733AD9}"/>
    <cellStyle name="Normal 3 3 16 3 6" xfId="34277" xr:uid="{955E3DFB-D4BE-4F10-845A-1126B22301E7}"/>
    <cellStyle name="Normal 3 3 16 4" xfId="34278" xr:uid="{0BF883DE-CA98-4CEB-BF5A-A97F84786662}"/>
    <cellStyle name="Normal 3 3 16 4 2" xfId="34279" xr:uid="{C8368174-A397-44D9-8A4A-70704BDF6C58}"/>
    <cellStyle name="Normal 3 3 16 4 3" xfId="34280" xr:uid="{BB959DA4-0744-439D-8462-74E5B4D45B2D}"/>
    <cellStyle name="Normal 3 3 16 4 4" xfId="34281" xr:uid="{D2783DB4-43EE-44D6-91A4-AD9B38C03D75}"/>
    <cellStyle name="Normal 3 3 16 4 5" xfId="34282" xr:uid="{120B5B4A-B256-4A02-8AB5-DAF09665524E}"/>
    <cellStyle name="Normal 3 3 16 4 6" xfId="34283" xr:uid="{5F7AD83E-BEAA-4335-BB05-93B836268A2F}"/>
    <cellStyle name="Normal 3 3 16 5" xfId="34284" xr:uid="{AA0FE736-9D88-4BD8-82E7-649337E1682C}"/>
    <cellStyle name="Normal 3 3 16 5 2" xfId="34285" xr:uid="{9B7B60BF-3A48-42A3-801F-E733153007D3}"/>
    <cellStyle name="Normal 3 3 16 5 3" xfId="34286" xr:uid="{95ADD6C8-2C83-4BE1-87F1-32293048D43C}"/>
    <cellStyle name="Normal 3 3 16 5 4" xfId="34287" xr:uid="{468E1A84-2527-431C-BA79-9A694A0AF3E5}"/>
    <cellStyle name="Normal 3 3 16 5 5" xfId="34288" xr:uid="{5E727247-333C-427A-BEA6-956038E6DC32}"/>
    <cellStyle name="Normal 3 3 16 5 6" xfId="34289" xr:uid="{A840875B-AA2B-44D1-87D5-D68D60316BC9}"/>
    <cellStyle name="Normal 3 3 16 6" xfId="34290" xr:uid="{83670535-EDD6-4F94-B15E-C0096023224B}"/>
    <cellStyle name="Normal 3 3 16 6 2" xfId="34291" xr:uid="{CE5D77DE-97FF-4727-B3B7-C22B04DF7D21}"/>
    <cellStyle name="Normal 3 3 16 6 3" xfId="34292" xr:uid="{B14E22C2-D094-4F36-9051-A093022CBCE1}"/>
    <cellStyle name="Normal 3 3 16 6 4" xfId="34293" xr:uid="{386E4A42-DC33-452C-A914-D1B6A5FCB57E}"/>
    <cellStyle name="Normal 3 3 16 6 5" xfId="34294" xr:uid="{A90710B6-31BF-4FAB-8845-6559238CD5C8}"/>
    <cellStyle name="Normal 3 3 16 6 6" xfId="34295" xr:uid="{9DF80A48-8F57-4014-BFB2-77575EF1D01A}"/>
    <cellStyle name="Normal 3 3 16 7" xfId="34296" xr:uid="{691737AD-74D5-4B95-955C-B8A7D2BB571D}"/>
    <cellStyle name="Normal 3 3 16 8" xfId="34297" xr:uid="{2DAD3DA9-3F6E-468B-9A5C-267E20769CD2}"/>
    <cellStyle name="Normal 3 3 16 9" xfId="34298" xr:uid="{C8BCA630-3AEB-433E-B92C-11316EA44B85}"/>
    <cellStyle name="Normal 3 3 17" xfId="34299" xr:uid="{BB1D73ED-1C09-4593-8422-E9EB457B3B51}"/>
    <cellStyle name="Normal 3 3 17 10" xfId="34300" xr:uid="{A2427D80-E9CF-47E9-9715-10D59C43F48B}"/>
    <cellStyle name="Normal 3 3 17 11" xfId="34301" xr:uid="{BE3D7193-3142-4A38-94F4-E34B90EA4874}"/>
    <cellStyle name="Normal 3 3 17 2" xfId="34302" xr:uid="{13F3233E-D1E5-453D-B820-7EE8BDD38946}"/>
    <cellStyle name="Normal 3 3 17 2 2" xfId="34303" xr:uid="{9E23D7F1-82FB-4FB5-ACEE-B40AC0DA6FBB}"/>
    <cellStyle name="Normal 3 3 17 2 3" xfId="34304" xr:uid="{D1AF28EC-EDEB-4F5B-8AC0-F195DBE22EDC}"/>
    <cellStyle name="Normal 3 3 17 2 4" xfId="34305" xr:uid="{CCC1BE54-DCA5-40E7-BA68-95422390814D}"/>
    <cellStyle name="Normal 3 3 17 2 5" xfId="34306" xr:uid="{CA7163AF-9D69-4AFA-9D41-659EEBF30BA4}"/>
    <cellStyle name="Normal 3 3 17 2 6" xfId="34307" xr:uid="{B5B1ED02-A58A-4D37-B2FC-0EF27BC936CF}"/>
    <cellStyle name="Normal 3 3 17 3" xfId="34308" xr:uid="{508EFEB9-B3EC-4013-B9C5-666158D478EA}"/>
    <cellStyle name="Normal 3 3 17 3 2" xfId="34309" xr:uid="{83338509-5C40-4A46-901C-13347B4E71EE}"/>
    <cellStyle name="Normal 3 3 17 3 3" xfId="34310" xr:uid="{6EBFDE18-7D85-4074-8D91-6F5C3C5D546F}"/>
    <cellStyle name="Normal 3 3 17 3 4" xfId="34311" xr:uid="{25261368-E248-4C7E-A185-946CFE4AE5CC}"/>
    <cellStyle name="Normal 3 3 17 3 5" xfId="34312" xr:uid="{7BAE930E-D916-45BD-8E87-5295D56A5A9B}"/>
    <cellStyle name="Normal 3 3 17 3 6" xfId="34313" xr:uid="{AC35C907-2DA8-4550-9262-17C017974200}"/>
    <cellStyle name="Normal 3 3 17 4" xfId="34314" xr:uid="{74250349-AFA0-44F6-A8D8-082D2F7C8E5A}"/>
    <cellStyle name="Normal 3 3 17 4 2" xfId="34315" xr:uid="{AD552A28-6BE8-4B99-BA30-DE31157DFA8D}"/>
    <cellStyle name="Normal 3 3 17 4 3" xfId="34316" xr:uid="{33B9D9C8-6FED-4CB5-840D-360C24FB4147}"/>
    <cellStyle name="Normal 3 3 17 4 4" xfId="34317" xr:uid="{FCD605DE-8773-4975-8CE9-5EDD3FE4AD34}"/>
    <cellStyle name="Normal 3 3 17 4 5" xfId="34318" xr:uid="{203C684E-B381-4FBD-9568-345D74BE391E}"/>
    <cellStyle name="Normal 3 3 17 4 6" xfId="34319" xr:uid="{4EC6E840-3798-4E19-86AE-2926B2460594}"/>
    <cellStyle name="Normal 3 3 17 5" xfId="34320" xr:uid="{BAA98FFA-B4C7-46A4-AD8D-2583F8951FE3}"/>
    <cellStyle name="Normal 3 3 17 5 2" xfId="34321" xr:uid="{7D9BFF2D-4E66-4072-B67F-B695593EE4FB}"/>
    <cellStyle name="Normal 3 3 17 5 3" xfId="34322" xr:uid="{1D5D3A4D-49EF-4FFC-B7DD-80492BFAEA3A}"/>
    <cellStyle name="Normal 3 3 17 5 4" xfId="34323" xr:uid="{2258FFCC-7AA1-4B99-AF85-E86096035C64}"/>
    <cellStyle name="Normal 3 3 17 5 5" xfId="34324" xr:uid="{30EB1B29-2BCF-4F7D-9271-714CEE5FCE27}"/>
    <cellStyle name="Normal 3 3 17 5 6" xfId="34325" xr:uid="{969193C6-C095-43E4-8A33-B85C4BC8CA67}"/>
    <cellStyle name="Normal 3 3 17 6" xfId="34326" xr:uid="{D9205552-0DEC-4504-BE5B-F96B921F2741}"/>
    <cellStyle name="Normal 3 3 17 6 2" xfId="34327" xr:uid="{EB8DC11C-6274-4B7E-9B32-3CA06B9AEB38}"/>
    <cellStyle name="Normal 3 3 17 6 3" xfId="34328" xr:uid="{494DA5D3-C4EB-4CD4-A4FB-65DA60E78639}"/>
    <cellStyle name="Normal 3 3 17 6 4" xfId="34329" xr:uid="{ABE537BB-3844-4171-AD78-A67CF4CF9B04}"/>
    <cellStyle name="Normal 3 3 17 6 5" xfId="34330" xr:uid="{4B64C6E9-CD0F-4FE6-93F8-109DECC9B72D}"/>
    <cellStyle name="Normal 3 3 17 6 6" xfId="34331" xr:uid="{8AC10384-6B20-4BB1-9A18-EBB56C498CC4}"/>
    <cellStyle name="Normal 3 3 17 7" xfId="34332" xr:uid="{6A9F769D-85BC-4901-9F77-FE301E307764}"/>
    <cellStyle name="Normal 3 3 17 8" xfId="34333" xr:uid="{6CD44CE7-46DE-441E-ABCA-6035D152F9B6}"/>
    <cellStyle name="Normal 3 3 17 9" xfId="34334" xr:uid="{3681240C-682B-453A-8354-8E7BAF39ED65}"/>
    <cellStyle name="Normal 3 3 18" xfId="34335" xr:uid="{B007292A-CBB0-4A6F-BE36-2749A8A81C85}"/>
    <cellStyle name="Normal 3 3 19" xfId="34336" xr:uid="{3477A86C-433F-4BDB-90A3-F6F1E0B8EBE7}"/>
    <cellStyle name="Normal 3 3 2" xfId="34337" xr:uid="{C147340C-9BDE-4B2C-930F-99D924662748}"/>
    <cellStyle name="Normal 3 3 2 10" xfId="34338" xr:uid="{BBE5660C-C9E4-47BB-945F-8C0A5C9071AA}"/>
    <cellStyle name="Normal 3 3 2 11" xfId="34339" xr:uid="{79FD1283-6FAB-480B-9C90-2A25DF28802A}"/>
    <cellStyle name="Normal 3 3 2 12" xfId="34340" xr:uid="{EFE46C2C-3EE3-4269-AAE2-8251772F157F}"/>
    <cellStyle name="Normal 3 3 2 13" xfId="34341" xr:uid="{9CDE526B-52B5-4647-8F2D-DDCEE4DCA890}"/>
    <cellStyle name="Normal 3 3 2 14" xfId="34342" xr:uid="{9AD0595F-DCC7-4687-8703-DA92EB37F4E7}"/>
    <cellStyle name="Normal 3 3 2 15" xfId="34343" xr:uid="{D2856575-782A-4E61-9BF2-539A1E310671}"/>
    <cellStyle name="Normal 3 3 2 16" xfId="34344" xr:uid="{597B36E6-C30E-4F8D-820F-BEABE6AC599A}"/>
    <cellStyle name="Normal 3 3 2 17" xfId="34345" xr:uid="{E87CDB77-91F5-438C-B64B-0DF02D43C16C}"/>
    <cellStyle name="Normal 3 3 2 18" xfId="34346" xr:uid="{E35F0A04-618C-461D-A817-82AFA9840F6B}"/>
    <cellStyle name="Normal 3 3 2 18 2" xfId="34347" xr:uid="{C91CD071-9887-49AE-94A6-AB960DD82C02}"/>
    <cellStyle name="Normal 3 3 2 18 3" xfId="34348" xr:uid="{7B8FD533-6472-4DE5-9A28-9CAB8635252C}"/>
    <cellStyle name="Normal 3 3 2 18 4" xfId="34349" xr:uid="{73B369A0-F6C7-4DC8-A1F2-7C5FE2444D38}"/>
    <cellStyle name="Normal 3 3 2 18 5" xfId="34350" xr:uid="{6745C126-4F71-4FFF-AE2B-2EBB9BCE0390}"/>
    <cellStyle name="Normal 3 3 2 18 6" xfId="34351" xr:uid="{9F03EF5F-79D7-4311-9E0B-98C39097FDBE}"/>
    <cellStyle name="Normal 3 3 2 19" xfId="34352" xr:uid="{53CD7C26-5C22-49C6-BBA8-69DD5A8617B3}"/>
    <cellStyle name="Normal 3 3 2 19 2" xfId="34353" xr:uid="{93AAEAF3-A91C-414B-8DD1-F55AA1858753}"/>
    <cellStyle name="Normal 3 3 2 19 3" xfId="34354" xr:uid="{D9225361-A21A-421C-95C4-B327799A5962}"/>
    <cellStyle name="Normal 3 3 2 19 4" xfId="34355" xr:uid="{DC10788C-B13A-41E7-BB97-721EB23A29A1}"/>
    <cellStyle name="Normal 3 3 2 19 5" xfId="34356" xr:uid="{605CA24D-11C3-4939-9B1D-D9DB980FD37F}"/>
    <cellStyle name="Normal 3 3 2 19 6" xfId="34357" xr:uid="{C1861AFF-259C-45B6-BF3E-C9377AB91304}"/>
    <cellStyle name="Normal 3 3 2 2" xfId="34358" xr:uid="{B6321DE5-F05C-4B34-9172-920682E7811C}"/>
    <cellStyle name="Normal 3 3 2 2 2" xfId="34359" xr:uid="{63777ABA-D697-48A8-8A12-D8106660E8AB}"/>
    <cellStyle name="Normal 3 3 2 2 2 10" xfId="34360" xr:uid="{C49381ED-039D-49DF-B4A2-ACFBD2D9DADB}"/>
    <cellStyle name="Normal 3 3 2 2 2 10 2" xfId="34361" xr:uid="{60C4AA7D-C47D-4719-9FB5-558990AE8367}"/>
    <cellStyle name="Normal 3 3 2 2 2 10 3" xfId="34362" xr:uid="{9AE2BDA7-57A6-4A7F-B813-8EFEAA0679DF}"/>
    <cellStyle name="Normal 3 3 2 2 2 10 4" xfId="34363" xr:uid="{C047DF24-0481-4595-96EF-B4631995E775}"/>
    <cellStyle name="Normal 3 3 2 2 2 10 5" xfId="34364" xr:uid="{DB6EBBF5-76F5-4F61-B559-144268862357}"/>
    <cellStyle name="Normal 3 3 2 2 2 10 6" xfId="34365" xr:uid="{F9878D8A-E24D-45DA-B8E3-18F849C8D663}"/>
    <cellStyle name="Normal 3 3 2 2 2 11" xfId="34366" xr:uid="{F71CE0BC-0C82-433A-B85A-5D93D86BE6F7}"/>
    <cellStyle name="Normal 3 3 2 2 2 11 2" xfId="34367" xr:uid="{B8784CF8-C22E-42D8-8377-CB852EAEA493}"/>
    <cellStyle name="Normal 3 3 2 2 2 11 3" xfId="34368" xr:uid="{CE8F2174-36E3-48E7-87FF-B8578F059BEE}"/>
    <cellStyle name="Normal 3 3 2 2 2 11 4" xfId="34369" xr:uid="{82B858F0-5944-4BCC-A256-10F8EB004372}"/>
    <cellStyle name="Normal 3 3 2 2 2 11 5" xfId="34370" xr:uid="{092D7AB2-3E6C-449E-B1D8-269954B17DE5}"/>
    <cellStyle name="Normal 3 3 2 2 2 11 6" xfId="34371" xr:uid="{33C93DF3-9919-45BE-A857-82B8C0A0A42E}"/>
    <cellStyle name="Normal 3 3 2 2 2 12" xfId="34372" xr:uid="{7AB90364-265F-4C9C-9AE5-61F40DF4BAEC}"/>
    <cellStyle name="Normal 3 3 2 2 2 12 2" xfId="34373" xr:uid="{FC3FDA1F-9993-4C27-ABCA-B084804BD799}"/>
    <cellStyle name="Normal 3 3 2 2 2 12 3" xfId="34374" xr:uid="{6DFEE334-477D-4744-85D7-A81702AACCD5}"/>
    <cellStyle name="Normal 3 3 2 2 2 12 4" xfId="34375" xr:uid="{434CF6EF-F35D-4478-A40A-68D3D247F06D}"/>
    <cellStyle name="Normal 3 3 2 2 2 12 5" xfId="34376" xr:uid="{5029AD6E-BD92-4AA2-9BD1-505B230207FF}"/>
    <cellStyle name="Normal 3 3 2 2 2 12 6" xfId="34377" xr:uid="{747BDF98-9734-4ED9-BC97-641272E42C67}"/>
    <cellStyle name="Normal 3 3 2 2 2 13" xfId="34378" xr:uid="{018FC805-9067-4E41-A331-4D22A8257F2B}"/>
    <cellStyle name="Normal 3 3 2 2 2 13 2" xfId="34379" xr:uid="{A261890E-30F8-42E0-92BB-0003A20A0D35}"/>
    <cellStyle name="Normal 3 3 2 2 2 13 3" xfId="34380" xr:uid="{D0AA486C-95CE-465C-AE73-3AADED00FAE2}"/>
    <cellStyle name="Normal 3 3 2 2 2 13 4" xfId="34381" xr:uid="{7C373169-0889-43D2-BDA9-BE3A2F18AFDD}"/>
    <cellStyle name="Normal 3 3 2 2 2 13 5" xfId="34382" xr:uid="{DD9B8394-81F0-4055-BA29-BA8CCF973ABE}"/>
    <cellStyle name="Normal 3 3 2 2 2 13 6" xfId="34383" xr:uid="{CD01A01C-4348-40EA-BB60-C8EFF5CB53D9}"/>
    <cellStyle name="Normal 3 3 2 2 2 14" xfId="34384" xr:uid="{B3087312-1398-4C8C-A15D-22A05540094E}"/>
    <cellStyle name="Normal 3 3 2 2 2 14 2" xfId="34385" xr:uid="{5C16A1D0-9258-4EB3-8C4D-093695645814}"/>
    <cellStyle name="Normal 3 3 2 2 2 14 3" xfId="34386" xr:uid="{406069CD-495B-46D8-9056-D72D9397AFC2}"/>
    <cellStyle name="Normal 3 3 2 2 2 14 4" xfId="34387" xr:uid="{3DCCD50F-5F15-4D7F-90EF-B43055379669}"/>
    <cellStyle name="Normal 3 3 2 2 2 14 5" xfId="34388" xr:uid="{CBC8D1FF-9ED7-4B08-849B-AF75941E3181}"/>
    <cellStyle name="Normal 3 3 2 2 2 14 6" xfId="34389" xr:uid="{E9813478-8AA3-4C67-8972-1B4367CA7DA2}"/>
    <cellStyle name="Normal 3 3 2 2 2 15" xfId="34390" xr:uid="{8650D76A-68BF-4BD1-A967-30AC6B4CCCB8}"/>
    <cellStyle name="Normal 3 3 2 2 2 16" xfId="34391" xr:uid="{F9494007-C854-4A39-9ADF-5B36520F76F8}"/>
    <cellStyle name="Normal 3 3 2 2 2 17" xfId="34392" xr:uid="{5DB67C0A-40A0-4989-A51E-C24DAFCA8DF9}"/>
    <cellStyle name="Normal 3 3 2 2 2 18" xfId="34393" xr:uid="{769353E8-9891-4CA3-91B3-9C2A7BA70654}"/>
    <cellStyle name="Normal 3 3 2 2 2 19" xfId="34394" xr:uid="{C702744C-AB67-44F8-BD3B-ADBE4DB4E0CE}"/>
    <cellStyle name="Normal 3 3 2 2 2 2" xfId="34395" xr:uid="{AE6F4FB9-6A5E-4B18-AA53-C0292BCFCA53}"/>
    <cellStyle name="Normal 3 3 2 2 2 3" xfId="34396" xr:uid="{44C01797-E02A-43AF-AF09-11BC72320F12}"/>
    <cellStyle name="Normal 3 3 2 2 2 4" xfId="34397" xr:uid="{1AEEB3FC-F0B1-4013-B1AA-47CF2ECF7807}"/>
    <cellStyle name="Normal 3 3 2 2 2 5" xfId="34398" xr:uid="{BEA5D94A-B014-486B-AEBD-C5BDF919AA2A}"/>
    <cellStyle name="Normal 3 3 2 2 2 6" xfId="34399" xr:uid="{9E7656E3-E01B-4580-8FB9-4893A443FF61}"/>
    <cellStyle name="Normal 3 3 2 2 2 7" xfId="34400" xr:uid="{96D8C2B2-0452-4519-A44E-BFED0E5FDF34}"/>
    <cellStyle name="Normal 3 3 2 2 2 8" xfId="34401" xr:uid="{C74B286F-82CA-40B9-AE7E-51E5DBB44C8A}"/>
    <cellStyle name="Normal 3 3 2 2 2 9" xfId="34402" xr:uid="{512ADABA-F5A8-49A4-8A0E-A57F98975BAF}"/>
    <cellStyle name="Normal 3 3 2 2 3" xfId="34403" xr:uid="{F11D2248-6EB9-47DA-921E-2F5E0D2625B9}"/>
    <cellStyle name="Normal 3 3 2 2 3 10" xfId="34404" xr:uid="{ED71AAA7-5620-4A58-BE55-16D81F28983B}"/>
    <cellStyle name="Normal 3 3 2 2 3 11" xfId="34405" xr:uid="{93C1D6EC-BCB9-41A6-AFF4-F76FADDC0106}"/>
    <cellStyle name="Normal 3 3 2 2 3 2" xfId="34406" xr:uid="{EF53FE6C-E637-4615-A4A1-9C6BE323E269}"/>
    <cellStyle name="Normal 3 3 2 2 3 2 2" xfId="34407" xr:uid="{62186B76-C56B-46E7-8CB6-5BDB0EDEF2E8}"/>
    <cellStyle name="Normal 3 3 2 2 3 2 3" xfId="34408" xr:uid="{E0BF75CA-2E8C-438A-AA4C-44FCBDD33DB3}"/>
    <cellStyle name="Normal 3 3 2 2 3 2 4" xfId="34409" xr:uid="{964CD2FC-8963-4E42-9E7E-D47CB7129891}"/>
    <cellStyle name="Normal 3 3 2 2 3 2 5" xfId="34410" xr:uid="{D95E3CC3-3FDA-472C-8B23-8707F2CA7005}"/>
    <cellStyle name="Normal 3 3 2 2 3 2 6" xfId="34411" xr:uid="{889A4E59-1C88-4353-B96C-CDBB4B96CA2D}"/>
    <cellStyle name="Normal 3 3 2 2 3 3" xfId="34412" xr:uid="{3A7657B4-F16E-4E43-B8A6-AF5454640D7E}"/>
    <cellStyle name="Normal 3 3 2 2 3 3 2" xfId="34413" xr:uid="{2102BCB6-B173-47A9-95BF-882D5AE6DC55}"/>
    <cellStyle name="Normal 3 3 2 2 3 3 3" xfId="34414" xr:uid="{48B333FF-BBB9-4A51-8E8E-693C18CE1F52}"/>
    <cellStyle name="Normal 3 3 2 2 3 3 4" xfId="34415" xr:uid="{B252AAD5-0F21-433E-BCD5-2E98A99679C1}"/>
    <cellStyle name="Normal 3 3 2 2 3 3 5" xfId="34416" xr:uid="{940F866C-E244-4B38-99FA-2809DC0B35CD}"/>
    <cellStyle name="Normal 3 3 2 2 3 3 6" xfId="34417" xr:uid="{01AED0FB-5DCC-4387-8DDD-97CBB2F1241A}"/>
    <cellStyle name="Normal 3 3 2 2 3 4" xfId="34418" xr:uid="{E523A1AE-B1A1-452A-B77E-E86D59EA8D37}"/>
    <cellStyle name="Normal 3 3 2 2 3 4 2" xfId="34419" xr:uid="{46DABAAA-18AF-4C57-98D1-A6D7F5DA3179}"/>
    <cellStyle name="Normal 3 3 2 2 3 4 3" xfId="34420" xr:uid="{6631F39B-1A14-401E-86B1-B0B31E54A531}"/>
    <cellStyle name="Normal 3 3 2 2 3 4 4" xfId="34421" xr:uid="{9A02668E-6D7F-4174-866A-96A543301515}"/>
    <cellStyle name="Normal 3 3 2 2 3 4 5" xfId="34422" xr:uid="{A80C5B3E-3091-4015-9FCE-F0F193D5019C}"/>
    <cellStyle name="Normal 3 3 2 2 3 4 6" xfId="34423" xr:uid="{B2D618F4-9835-4A33-81FD-518568BFAB36}"/>
    <cellStyle name="Normal 3 3 2 2 3 5" xfId="34424" xr:uid="{0108F5F0-E716-4A68-9B15-D8266DCF072E}"/>
    <cellStyle name="Normal 3 3 2 2 3 5 2" xfId="34425" xr:uid="{F676568B-B1A8-4624-BF26-A164F74D63A7}"/>
    <cellStyle name="Normal 3 3 2 2 3 5 3" xfId="34426" xr:uid="{D8BF4399-1ABB-4AE2-AADC-E48E679ED1CE}"/>
    <cellStyle name="Normal 3 3 2 2 3 5 4" xfId="34427" xr:uid="{5C4F56E1-3EF8-40D2-89FC-B9848C5378D3}"/>
    <cellStyle name="Normal 3 3 2 2 3 5 5" xfId="34428" xr:uid="{79B45350-040E-4EB4-ABBA-D6C7FDBF4A1D}"/>
    <cellStyle name="Normal 3 3 2 2 3 5 6" xfId="34429" xr:uid="{095C277A-069C-4B71-86CA-EAA0A96EB990}"/>
    <cellStyle name="Normal 3 3 2 2 3 6" xfId="34430" xr:uid="{B8D13323-B2E9-4F83-B6EA-A2135EB655F8}"/>
    <cellStyle name="Normal 3 3 2 2 3 6 2" xfId="34431" xr:uid="{9B787D5B-5DCE-4E3E-8E5D-E58331C890A6}"/>
    <cellStyle name="Normal 3 3 2 2 3 6 3" xfId="34432" xr:uid="{E845F4C6-41B4-4CFD-AECC-B5A436E4B2E2}"/>
    <cellStyle name="Normal 3 3 2 2 3 6 4" xfId="34433" xr:uid="{B20EA12F-1583-4671-8044-AF8CC794B7C4}"/>
    <cellStyle name="Normal 3 3 2 2 3 6 5" xfId="34434" xr:uid="{963E5F03-B525-4142-A01D-E53CAC233F1F}"/>
    <cellStyle name="Normal 3 3 2 2 3 6 6" xfId="34435" xr:uid="{2BCFC36A-5338-4A2A-A9DD-D0142557A21E}"/>
    <cellStyle name="Normal 3 3 2 2 3 7" xfId="34436" xr:uid="{1D6C612E-444A-4617-B226-D8498F58486E}"/>
    <cellStyle name="Normal 3 3 2 2 3 8" xfId="34437" xr:uid="{E6BCD7C1-780F-4902-BF18-6C8D37A182F2}"/>
    <cellStyle name="Normal 3 3 2 2 3 9" xfId="34438" xr:uid="{BF62144E-C53C-4BE3-8885-114F6A7DBBA4}"/>
    <cellStyle name="Normal 3 3 2 2 4" xfId="34439" xr:uid="{3102C1C7-9759-4051-9282-CDB559F21963}"/>
    <cellStyle name="Normal 3 3 2 2 4 10" xfId="34440" xr:uid="{4AE838D3-4A71-4DB9-AE7D-B80C9277F6CB}"/>
    <cellStyle name="Normal 3 3 2 2 4 11" xfId="34441" xr:uid="{D0CB2CCB-F4B6-49A8-BC26-B9AD27BCFBA2}"/>
    <cellStyle name="Normal 3 3 2 2 4 2" xfId="34442" xr:uid="{B0F5E045-D205-4EBB-A7F2-45DDC5E9F1F5}"/>
    <cellStyle name="Normal 3 3 2 2 4 2 2" xfId="34443" xr:uid="{191BE4D8-0AEF-46D6-96E0-0FCE1ED63CC2}"/>
    <cellStyle name="Normal 3 3 2 2 4 2 3" xfId="34444" xr:uid="{B572E142-000C-4A26-9B11-BD17270FA912}"/>
    <cellStyle name="Normal 3 3 2 2 4 2 4" xfId="34445" xr:uid="{97F845E0-97C6-4A50-A45E-CC6D18AD496F}"/>
    <cellStyle name="Normal 3 3 2 2 4 2 5" xfId="34446" xr:uid="{A42EF1FB-CB9D-44B0-9341-848DCFC43069}"/>
    <cellStyle name="Normal 3 3 2 2 4 2 6" xfId="34447" xr:uid="{AF3ECF59-47A7-4551-B11E-42E7CB9B06C8}"/>
    <cellStyle name="Normal 3 3 2 2 4 3" xfId="34448" xr:uid="{BE402480-875F-4FD6-8BB4-3F2D1AA50F20}"/>
    <cellStyle name="Normal 3 3 2 2 4 3 2" xfId="34449" xr:uid="{305566C9-FA9A-40AE-A857-D508A270148F}"/>
    <cellStyle name="Normal 3 3 2 2 4 3 3" xfId="34450" xr:uid="{D47E3CAC-72C2-4BAD-A062-B744F28FF853}"/>
    <cellStyle name="Normal 3 3 2 2 4 3 4" xfId="34451" xr:uid="{857B1A8E-04D5-4689-B289-6D64669B0B31}"/>
    <cellStyle name="Normal 3 3 2 2 4 3 5" xfId="34452" xr:uid="{680849D7-074F-4BDD-8AC7-6D257CC2C06C}"/>
    <cellStyle name="Normal 3 3 2 2 4 3 6" xfId="34453" xr:uid="{C531FE10-4330-4953-9C9C-CF5EA462FF92}"/>
    <cellStyle name="Normal 3 3 2 2 4 4" xfId="34454" xr:uid="{7FD0A0F6-502D-49D8-940C-7F04AD6B064D}"/>
    <cellStyle name="Normal 3 3 2 2 4 4 2" xfId="34455" xr:uid="{1F34E2AA-5443-4DDB-87C3-2BD7B40FD182}"/>
    <cellStyle name="Normal 3 3 2 2 4 4 3" xfId="34456" xr:uid="{03EDE859-2873-456A-8CF8-3F723E4D7BC3}"/>
    <cellStyle name="Normal 3 3 2 2 4 4 4" xfId="34457" xr:uid="{1E3172E7-6024-4EC4-B322-ECB4C7B039AA}"/>
    <cellStyle name="Normal 3 3 2 2 4 4 5" xfId="34458" xr:uid="{4C6A75E2-DD67-4CAE-855D-7C7AA5847D66}"/>
    <cellStyle name="Normal 3 3 2 2 4 4 6" xfId="34459" xr:uid="{319EC307-17F0-48BD-A606-49F27855F445}"/>
    <cellStyle name="Normal 3 3 2 2 4 5" xfId="34460" xr:uid="{4B23627E-2C62-4AAA-8096-5E63E9A2C06A}"/>
    <cellStyle name="Normal 3 3 2 2 4 5 2" xfId="34461" xr:uid="{9745C86F-A8A0-492C-AE26-9E8C95CEADC3}"/>
    <cellStyle name="Normal 3 3 2 2 4 5 3" xfId="34462" xr:uid="{4379F7E2-D9A8-402A-B82D-1A8E1CA3268A}"/>
    <cellStyle name="Normal 3 3 2 2 4 5 4" xfId="34463" xr:uid="{3319209E-F99B-43CE-A791-F3704D620E1D}"/>
    <cellStyle name="Normal 3 3 2 2 4 5 5" xfId="34464" xr:uid="{51777BAD-46D0-4288-8267-1759821EE3A0}"/>
    <cellStyle name="Normal 3 3 2 2 4 5 6" xfId="34465" xr:uid="{0770D9E4-EE47-425F-A038-DA29F0425ED0}"/>
    <cellStyle name="Normal 3 3 2 2 4 6" xfId="34466" xr:uid="{280F9F17-11C8-442A-8C19-1445F293B987}"/>
    <cellStyle name="Normal 3 3 2 2 4 6 2" xfId="34467" xr:uid="{EA7F6B82-F8BB-4198-A0EF-EE616BDB6F10}"/>
    <cellStyle name="Normal 3 3 2 2 4 6 3" xfId="34468" xr:uid="{94A5FF6F-AE35-4B0F-9BB4-80D132D81D97}"/>
    <cellStyle name="Normal 3 3 2 2 4 6 4" xfId="34469" xr:uid="{FB6E321B-B806-486A-A694-0F58B050F7E3}"/>
    <cellStyle name="Normal 3 3 2 2 4 6 5" xfId="34470" xr:uid="{3CC0CE25-5FAA-4A2F-956F-411DB6D0F732}"/>
    <cellStyle name="Normal 3 3 2 2 4 6 6" xfId="34471" xr:uid="{B935B669-8270-4B16-8218-D75E675F8724}"/>
    <cellStyle name="Normal 3 3 2 2 4 7" xfId="34472" xr:uid="{705AA6F8-067E-4EDB-9B7E-F51863EE0251}"/>
    <cellStyle name="Normal 3 3 2 2 4 8" xfId="34473" xr:uid="{4A360DC4-1FEF-4D81-8762-9AC64956B985}"/>
    <cellStyle name="Normal 3 3 2 2 4 9" xfId="34474" xr:uid="{9F3BBC01-7181-4602-9D3C-894EDF02CE8E}"/>
    <cellStyle name="Normal 3 3 2 2 5" xfId="34475" xr:uid="{981658BE-DD24-4800-820A-4820088BF2E8}"/>
    <cellStyle name="Normal 3 3 2 2 5 10" xfId="34476" xr:uid="{608B2AAF-B9FA-446A-9D99-BCF02EE86C80}"/>
    <cellStyle name="Normal 3 3 2 2 5 11" xfId="34477" xr:uid="{ABE9540A-BC22-4C04-9706-5D8EF8BF5756}"/>
    <cellStyle name="Normal 3 3 2 2 5 2" xfId="34478" xr:uid="{96297E09-65F6-45C4-8671-FD37832D6797}"/>
    <cellStyle name="Normal 3 3 2 2 5 2 2" xfId="34479" xr:uid="{396A220A-4981-4421-927C-F721C1B5678B}"/>
    <cellStyle name="Normal 3 3 2 2 5 2 3" xfId="34480" xr:uid="{7C1B3772-9F09-4C02-A6BB-5B273279D7C1}"/>
    <cellStyle name="Normal 3 3 2 2 5 2 4" xfId="34481" xr:uid="{6125EF64-4C75-437B-9268-A9B8519C1627}"/>
    <cellStyle name="Normal 3 3 2 2 5 2 5" xfId="34482" xr:uid="{C891EA5E-6621-442F-9C1C-3589E15645EE}"/>
    <cellStyle name="Normal 3 3 2 2 5 2 6" xfId="34483" xr:uid="{830B1E2E-743E-4007-8939-46DD8385F8A1}"/>
    <cellStyle name="Normal 3 3 2 2 5 3" xfId="34484" xr:uid="{B66E0BF0-35CD-4BF7-9702-13BF91A36597}"/>
    <cellStyle name="Normal 3 3 2 2 5 3 2" xfId="34485" xr:uid="{D252FA37-3921-4E08-8708-6964E4A078EA}"/>
    <cellStyle name="Normal 3 3 2 2 5 3 3" xfId="34486" xr:uid="{CA31603D-9651-4E49-A96C-F44CA39565A9}"/>
    <cellStyle name="Normal 3 3 2 2 5 3 4" xfId="34487" xr:uid="{2310D49F-2069-47D7-B11F-9C5F3FA60E4E}"/>
    <cellStyle name="Normal 3 3 2 2 5 3 5" xfId="34488" xr:uid="{0575D548-F64A-4860-A8A3-A19C70FAA2D4}"/>
    <cellStyle name="Normal 3 3 2 2 5 3 6" xfId="34489" xr:uid="{750ED880-B67D-4A84-9847-89996A8F751E}"/>
    <cellStyle name="Normal 3 3 2 2 5 4" xfId="34490" xr:uid="{C7F5BAEC-BE9A-4109-B94C-4031E1365135}"/>
    <cellStyle name="Normal 3 3 2 2 5 4 2" xfId="34491" xr:uid="{961506D2-27F0-4AA7-9249-4EDC62E1F502}"/>
    <cellStyle name="Normal 3 3 2 2 5 4 3" xfId="34492" xr:uid="{314C6E10-D879-40DB-801D-96A1B48E42C9}"/>
    <cellStyle name="Normal 3 3 2 2 5 4 4" xfId="34493" xr:uid="{4AE5B239-CE05-4A03-AD81-7AA0ABDF5C5D}"/>
    <cellStyle name="Normal 3 3 2 2 5 4 5" xfId="34494" xr:uid="{010D473A-6B47-477D-B486-AC164B4FE93C}"/>
    <cellStyle name="Normal 3 3 2 2 5 4 6" xfId="34495" xr:uid="{BC97BA40-95FE-4CA8-ACFA-B610C4860029}"/>
    <cellStyle name="Normal 3 3 2 2 5 5" xfId="34496" xr:uid="{F4928174-29D3-4836-831D-E0FCA52E18F9}"/>
    <cellStyle name="Normal 3 3 2 2 5 5 2" xfId="34497" xr:uid="{0A9A9CEB-1FFC-4075-B4CF-031A2761EC8F}"/>
    <cellStyle name="Normal 3 3 2 2 5 5 3" xfId="34498" xr:uid="{AEBDD0F1-1F80-4C61-A9B1-9AD21A3CD170}"/>
    <cellStyle name="Normal 3 3 2 2 5 5 4" xfId="34499" xr:uid="{4EE1F3A6-5805-49EF-9D03-3D0744513524}"/>
    <cellStyle name="Normal 3 3 2 2 5 5 5" xfId="34500" xr:uid="{DEF0BC6B-ECAD-4C81-89C6-0DE1EF9E9B8E}"/>
    <cellStyle name="Normal 3 3 2 2 5 5 6" xfId="34501" xr:uid="{1BA6FCD9-EE8C-4998-858D-8BEC264E7EF0}"/>
    <cellStyle name="Normal 3 3 2 2 5 6" xfId="34502" xr:uid="{ECD3BE34-6C1A-45E9-ADD3-2A7C84022D31}"/>
    <cellStyle name="Normal 3 3 2 2 5 6 2" xfId="34503" xr:uid="{7138FB44-DEC1-465B-8D50-C4C49A7B574D}"/>
    <cellStyle name="Normal 3 3 2 2 5 6 3" xfId="34504" xr:uid="{1F3C3890-677C-4461-95AA-D34FF62CDFEF}"/>
    <cellStyle name="Normal 3 3 2 2 5 6 4" xfId="34505" xr:uid="{FF84541F-F0A9-4F94-B0AE-133DB3AFAD55}"/>
    <cellStyle name="Normal 3 3 2 2 5 6 5" xfId="34506" xr:uid="{DEAC2549-7AB2-4331-A957-0672B25AC73A}"/>
    <cellStyle name="Normal 3 3 2 2 5 6 6" xfId="34507" xr:uid="{7A26C3C6-A918-4A6A-B02A-5FD566AE3A3B}"/>
    <cellStyle name="Normal 3 3 2 2 5 7" xfId="34508" xr:uid="{F76751D8-5462-41C0-9E88-5B2E274F439C}"/>
    <cellStyle name="Normal 3 3 2 2 5 8" xfId="34509" xr:uid="{737FE320-DC5B-4824-A36D-3F684FCCC066}"/>
    <cellStyle name="Normal 3 3 2 2 5 9" xfId="34510" xr:uid="{1055D0DF-B3E4-4B64-BD7E-A6D451EF8E9C}"/>
    <cellStyle name="Normal 3 3 2 2 6" xfId="34511" xr:uid="{BBE21BAF-3049-484B-AA75-2B53F88A19D4}"/>
    <cellStyle name="Normal 3 3 2 2 6 10" xfId="34512" xr:uid="{6650E607-5802-44F2-9CAD-519828700931}"/>
    <cellStyle name="Normal 3 3 2 2 6 11" xfId="34513" xr:uid="{11EB4F8E-9A39-46B0-88B8-0CCA028832A3}"/>
    <cellStyle name="Normal 3 3 2 2 6 2" xfId="34514" xr:uid="{F3A80B2E-8924-4C99-9608-E6C1E400AF7C}"/>
    <cellStyle name="Normal 3 3 2 2 6 2 2" xfId="34515" xr:uid="{34040ACC-4B1C-4AB6-BCE8-722BAA705A1C}"/>
    <cellStyle name="Normal 3 3 2 2 6 2 3" xfId="34516" xr:uid="{5D7522B9-7AAE-41E0-9543-07F8063B7C20}"/>
    <cellStyle name="Normal 3 3 2 2 6 2 4" xfId="34517" xr:uid="{6EE87F45-F551-45F7-9858-2CD7AAC69C9F}"/>
    <cellStyle name="Normal 3 3 2 2 6 2 5" xfId="34518" xr:uid="{3E2F844F-B657-47E3-945F-0978DA6F4258}"/>
    <cellStyle name="Normal 3 3 2 2 6 2 6" xfId="34519" xr:uid="{D650B6E1-124B-4348-B4E9-57DC99AFBBA0}"/>
    <cellStyle name="Normal 3 3 2 2 6 3" xfId="34520" xr:uid="{019D37DF-BA3D-44F0-ADD4-701F75420032}"/>
    <cellStyle name="Normal 3 3 2 2 6 3 2" xfId="34521" xr:uid="{BB14D7D1-DAF0-4BE7-8182-0E38F13B868D}"/>
    <cellStyle name="Normal 3 3 2 2 6 3 3" xfId="34522" xr:uid="{0D281658-860F-43A6-80B1-D2579E997064}"/>
    <cellStyle name="Normal 3 3 2 2 6 3 4" xfId="34523" xr:uid="{857EE7B5-77BD-4109-A6A8-3A83BDF90428}"/>
    <cellStyle name="Normal 3 3 2 2 6 3 5" xfId="34524" xr:uid="{8C0F9ACB-F98C-4DBC-82AC-739D50C5C27F}"/>
    <cellStyle name="Normal 3 3 2 2 6 3 6" xfId="34525" xr:uid="{30B2F5A3-AAEB-4B77-9E03-75A1DF332994}"/>
    <cellStyle name="Normal 3 3 2 2 6 4" xfId="34526" xr:uid="{7AE6C5C9-A725-4165-944D-01DA2B125211}"/>
    <cellStyle name="Normal 3 3 2 2 6 4 2" xfId="34527" xr:uid="{E2DE0559-9842-4F52-8A36-F8143093CC68}"/>
    <cellStyle name="Normal 3 3 2 2 6 4 3" xfId="34528" xr:uid="{540C8B83-2B0F-4BD1-9628-AAD9CED9CD53}"/>
    <cellStyle name="Normal 3 3 2 2 6 4 4" xfId="34529" xr:uid="{1145F08E-96E6-4D0D-AB17-08A030CAA6E0}"/>
    <cellStyle name="Normal 3 3 2 2 6 4 5" xfId="34530" xr:uid="{948B369A-6BA9-4F16-A936-E1BAA42C4900}"/>
    <cellStyle name="Normal 3 3 2 2 6 4 6" xfId="34531" xr:uid="{2085A461-9745-4593-BE45-C597B30D4FB8}"/>
    <cellStyle name="Normal 3 3 2 2 6 5" xfId="34532" xr:uid="{48C84EF9-A202-473E-8852-4CD0DF80BEC9}"/>
    <cellStyle name="Normal 3 3 2 2 6 5 2" xfId="34533" xr:uid="{DAA05FE9-BEAC-4EC9-A5CC-9F3EE7700447}"/>
    <cellStyle name="Normal 3 3 2 2 6 5 3" xfId="34534" xr:uid="{FADFB215-E4D8-4E4D-971E-46CD7E797E19}"/>
    <cellStyle name="Normal 3 3 2 2 6 5 4" xfId="34535" xr:uid="{10BEF512-A87B-4031-80C0-5CBD2F91E6E4}"/>
    <cellStyle name="Normal 3 3 2 2 6 5 5" xfId="34536" xr:uid="{AC625125-F244-4EA3-BFEA-4F95C9E02328}"/>
    <cellStyle name="Normal 3 3 2 2 6 5 6" xfId="34537" xr:uid="{099AF91D-F072-4786-93F5-6068AA2B2998}"/>
    <cellStyle name="Normal 3 3 2 2 6 6" xfId="34538" xr:uid="{28055DAD-81C4-4B7B-8A7D-B5BF82A0702C}"/>
    <cellStyle name="Normal 3 3 2 2 6 6 2" xfId="34539" xr:uid="{EB162EAA-0BEE-4FBC-BA38-7BD6EE4ACA6B}"/>
    <cellStyle name="Normal 3 3 2 2 6 6 3" xfId="34540" xr:uid="{7081C853-99FC-451D-AD7B-BF01A13D8F08}"/>
    <cellStyle name="Normal 3 3 2 2 6 6 4" xfId="34541" xr:uid="{612CE719-ADDF-4947-A023-96170363DF7A}"/>
    <cellStyle name="Normal 3 3 2 2 6 6 5" xfId="34542" xr:uid="{D605270A-F13A-4A9D-80DE-D38AA421CAC3}"/>
    <cellStyle name="Normal 3 3 2 2 6 6 6" xfId="34543" xr:uid="{E13E77DF-243F-405A-9331-531CB379A0DD}"/>
    <cellStyle name="Normal 3 3 2 2 6 7" xfId="34544" xr:uid="{8186204B-268B-4494-AB9C-4862190065D9}"/>
    <cellStyle name="Normal 3 3 2 2 6 8" xfId="34545" xr:uid="{BE8ABD95-8121-4602-84C2-4EDD680D00B8}"/>
    <cellStyle name="Normal 3 3 2 2 6 9" xfId="34546" xr:uid="{D3AC2096-023F-43D7-B07F-BF38C5EB4BAD}"/>
    <cellStyle name="Normal 3 3 2 2 7" xfId="34547" xr:uid="{EDDFDB30-516A-4949-AB6C-E126D2B1C239}"/>
    <cellStyle name="Normal 3 3 2 2 7 10" xfId="34548" xr:uid="{0D540374-B377-41A4-904B-EAC10A7CF869}"/>
    <cellStyle name="Normal 3 3 2 2 7 11" xfId="34549" xr:uid="{D3B0097D-4569-4EEA-9144-1AA8B7770CE1}"/>
    <cellStyle name="Normal 3 3 2 2 7 2" xfId="34550" xr:uid="{9097B1FC-1BCF-49EB-9A44-F13DA7E2CBF1}"/>
    <cellStyle name="Normal 3 3 2 2 7 2 2" xfId="34551" xr:uid="{17503CD5-B021-4246-9329-746C2F52D742}"/>
    <cellStyle name="Normal 3 3 2 2 7 2 3" xfId="34552" xr:uid="{633998FD-0886-438E-A27D-FC4D595909D5}"/>
    <cellStyle name="Normal 3 3 2 2 7 2 4" xfId="34553" xr:uid="{34BFB2A3-E861-4033-A6D9-A4439FC0E9EF}"/>
    <cellStyle name="Normal 3 3 2 2 7 2 5" xfId="34554" xr:uid="{CAC11FDD-4A11-44DF-A2BA-2E6CE66F83CC}"/>
    <cellStyle name="Normal 3 3 2 2 7 2 6" xfId="34555" xr:uid="{84D17E7C-2774-488E-B660-91BCFEFF9D8E}"/>
    <cellStyle name="Normal 3 3 2 2 7 3" xfId="34556" xr:uid="{2BAC0A6F-0047-4E91-BDF8-6465460BE658}"/>
    <cellStyle name="Normal 3 3 2 2 7 3 2" xfId="34557" xr:uid="{3D9F4684-42E2-42DA-8B8E-95CADCA3DB5B}"/>
    <cellStyle name="Normal 3 3 2 2 7 3 3" xfId="34558" xr:uid="{B2A2978B-B26E-4143-98ED-68D3AD8AD843}"/>
    <cellStyle name="Normal 3 3 2 2 7 3 4" xfId="34559" xr:uid="{B8B972CF-CD67-4310-91E5-1ABD07BBCAB2}"/>
    <cellStyle name="Normal 3 3 2 2 7 3 5" xfId="34560" xr:uid="{C380DD92-D6EA-427C-856D-42AF4A16B1A2}"/>
    <cellStyle name="Normal 3 3 2 2 7 3 6" xfId="34561" xr:uid="{BE3191BC-59CA-4ED9-985C-CF98564CE5B8}"/>
    <cellStyle name="Normal 3 3 2 2 7 4" xfId="34562" xr:uid="{FB84FFFA-5047-4E6A-A370-A5DB500A5617}"/>
    <cellStyle name="Normal 3 3 2 2 7 4 2" xfId="34563" xr:uid="{D372DED4-B96A-4E5D-948A-DC245FF0730D}"/>
    <cellStyle name="Normal 3 3 2 2 7 4 3" xfId="34564" xr:uid="{7EB03741-4302-4C46-8720-C004129D673E}"/>
    <cellStyle name="Normal 3 3 2 2 7 4 4" xfId="34565" xr:uid="{9697F5FC-F5BD-491B-9E55-53F810FE7245}"/>
    <cellStyle name="Normal 3 3 2 2 7 4 5" xfId="34566" xr:uid="{5667CDDE-ECFB-4525-8A5A-0DF7416107E9}"/>
    <cellStyle name="Normal 3 3 2 2 7 4 6" xfId="34567" xr:uid="{8115AF43-B669-401B-9C5C-F55D22899B73}"/>
    <cellStyle name="Normal 3 3 2 2 7 5" xfId="34568" xr:uid="{7CE69B97-BD4A-4158-8AF1-59C8C7187CD4}"/>
    <cellStyle name="Normal 3 3 2 2 7 5 2" xfId="34569" xr:uid="{24B02F0C-EBDB-415C-8E4A-E1C291BF80D9}"/>
    <cellStyle name="Normal 3 3 2 2 7 5 3" xfId="34570" xr:uid="{400C32AA-5773-41A3-90D1-3801C1C1D544}"/>
    <cellStyle name="Normal 3 3 2 2 7 5 4" xfId="34571" xr:uid="{C3960A96-8501-454D-AD2A-BE576999A511}"/>
    <cellStyle name="Normal 3 3 2 2 7 5 5" xfId="34572" xr:uid="{B9F52B0D-6673-4A50-8C1A-E7E9E315EE78}"/>
    <cellStyle name="Normal 3 3 2 2 7 5 6" xfId="34573" xr:uid="{B7585874-8BD4-48C1-84E8-07B2ED10B3CA}"/>
    <cellStyle name="Normal 3 3 2 2 7 6" xfId="34574" xr:uid="{DCBB598A-F70B-49FC-8A84-755085E9A5E3}"/>
    <cellStyle name="Normal 3 3 2 2 7 6 2" xfId="34575" xr:uid="{1402E850-3DDB-4D6C-A822-52ADFCC48B3D}"/>
    <cellStyle name="Normal 3 3 2 2 7 6 3" xfId="34576" xr:uid="{45DF5F49-1FA2-495D-A748-8FB5AAA2EBCF}"/>
    <cellStyle name="Normal 3 3 2 2 7 6 4" xfId="34577" xr:uid="{A4E09B34-A9D1-4268-84EB-DE812B06EB2F}"/>
    <cellStyle name="Normal 3 3 2 2 7 6 5" xfId="34578" xr:uid="{1E105EF5-4CFF-4699-8A13-B39751DEC747}"/>
    <cellStyle name="Normal 3 3 2 2 7 6 6" xfId="34579" xr:uid="{03751132-19B2-4969-A74B-963F491539C0}"/>
    <cellStyle name="Normal 3 3 2 2 7 7" xfId="34580" xr:uid="{1348F47D-4EB9-4A73-B3C8-217290FFEA21}"/>
    <cellStyle name="Normal 3 3 2 2 7 8" xfId="34581" xr:uid="{31184232-61B4-4158-93DB-97E52A5384F2}"/>
    <cellStyle name="Normal 3 3 2 2 7 9" xfId="34582" xr:uid="{DDD5945D-BBD2-45DC-A402-64E8DC28F923}"/>
    <cellStyle name="Normal 3 3 2 2 8" xfId="34583" xr:uid="{983FD3B0-1C03-4D07-B6AE-55F40B93EA32}"/>
    <cellStyle name="Normal 3 3 2 2 8 10" xfId="34584" xr:uid="{E4232F9F-F790-4078-A130-F181EBBCD822}"/>
    <cellStyle name="Normal 3 3 2 2 8 11" xfId="34585" xr:uid="{D3673F98-4470-46F4-A441-474186A1B97B}"/>
    <cellStyle name="Normal 3 3 2 2 8 2" xfId="34586" xr:uid="{2B6ED952-9271-43CB-B028-682536132E57}"/>
    <cellStyle name="Normal 3 3 2 2 8 2 2" xfId="34587" xr:uid="{9016FF9B-602F-4613-88D2-8609A8672E2D}"/>
    <cellStyle name="Normal 3 3 2 2 8 2 3" xfId="34588" xr:uid="{2FC17501-29C5-4906-8EF7-433CA2FE11A4}"/>
    <cellStyle name="Normal 3 3 2 2 8 2 4" xfId="34589" xr:uid="{52EED9A9-360D-49FA-9F8D-ED8F6FDC5EAF}"/>
    <cellStyle name="Normal 3 3 2 2 8 2 5" xfId="34590" xr:uid="{789E6CC5-AD84-40D4-B9A6-26F4E0A0100D}"/>
    <cellStyle name="Normal 3 3 2 2 8 2 6" xfId="34591" xr:uid="{DBA37363-3B70-4A08-A044-CE7CEE9CE11A}"/>
    <cellStyle name="Normal 3 3 2 2 8 3" xfId="34592" xr:uid="{294EFB8F-3D37-4B34-AFDE-1250B35B8F76}"/>
    <cellStyle name="Normal 3 3 2 2 8 3 2" xfId="34593" xr:uid="{DF48460A-D96B-408C-ADB4-33E1D18D3F6A}"/>
    <cellStyle name="Normal 3 3 2 2 8 3 3" xfId="34594" xr:uid="{9F83F859-ED29-4F66-9AD0-7AF5C956E4F7}"/>
    <cellStyle name="Normal 3 3 2 2 8 3 4" xfId="34595" xr:uid="{112D74FA-60D5-4180-978E-4776720202D5}"/>
    <cellStyle name="Normal 3 3 2 2 8 3 5" xfId="34596" xr:uid="{2191B05E-0175-4EE2-8619-EB8F1ED5F108}"/>
    <cellStyle name="Normal 3 3 2 2 8 3 6" xfId="34597" xr:uid="{E81E4466-88EE-4580-A8C1-92134EF217BB}"/>
    <cellStyle name="Normal 3 3 2 2 8 4" xfId="34598" xr:uid="{3DBA003D-5996-4E0B-8439-A0333F96A073}"/>
    <cellStyle name="Normal 3 3 2 2 8 4 2" xfId="34599" xr:uid="{03FEA715-1B3B-48A3-B653-D2A992FCF67C}"/>
    <cellStyle name="Normal 3 3 2 2 8 4 3" xfId="34600" xr:uid="{33F6F576-C607-442A-8CC8-46CEFAC23B5F}"/>
    <cellStyle name="Normal 3 3 2 2 8 4 4" xfId="34601" xr:uid="{EFDD91F6-BA0D-461F-8F20-62FC0DEFBD83}"/>
    <cellStyle name="Normal 3 3 2 2 8 4 5" xfId="34602" xr:uid="{BDD33596-F509-40BD-80F1-810EDFA2DBF0}"/>
    <cellStyle name="Normal 3 3 2 2 8 4 6" xfId="34603" xr:uid="{9B0FE209-0CDE-4892-A563-553E380386F0}"/>
    <cellStyle name="Normal 3 3 2 2 8 5" xfId="34604" xr:uid="{0785D43B-8CD5-426A-BBA0-53FE8AC8C5F6}"/>
    <cellStyle name="Normal 3 3 2 2 8 5 2" xfId="34605" xr:uid="{D510C4F5-4919-4508-8357-46FCFA9FDB13}"/>
    <cellStyle name="Normal 3 3 2 2 8 5 3" xfId="34606" xr:uid="{BD7AEE39-47AA-4503-8A50-9746DDECEFAE}"/>
    <cellStyle name="Normal 3 3 2 2 8 5 4" xfId="34607" xr:uid="{5526C17E-D11F-4920-95AA-DCA517457AB5}"/>
    <cellStyle name="Normal 3 3 2 2 8 5 5" xfId="34608" xr:uid="{30649036-81BD-462B-B125-A75AEB767EE9}"/>
    <cellStyle name="Normal 3 3 2 2 8 5 6" xfId="34609" xr:uid="{E58446EC-513E-4D6C-BFE7-21569417D0A5}"/>
    <cellStyle name="Normal 3 3 2 2 8 6" xfId="34610" xr:uid="{6395FFF5-05FC-4946-88E8-FEDE2B968D9E}"/>
    <cellStyle name="Normal 3 3 2 2 8 6 2" xfId="34611" xr:uid="{46B4B27E-124C-4D56-8925-A2043054C0B9}"/>
    <cellStyle name="Normal 3 3 2 2 8 6 3" xfId="34612" xr:uid="{3CC18234-DD79-48EC-AB10-30EAA2425237}"/>
    <cellStyle name="Normal 3 3 2 2 8 6 4" xfId="34613" xr:uid="{17A31964-DDE0-4280-B4A1-A5BADF3B7A5F}"/>
    <cellStyle name="Normal 3 3 2 2 8 6 5" xfId="34614" xr:uid="{961DF93B-4377-4CB1-9512-D0CF1143A8A3}"/>
    <cellStyle name="Normal 3 3 2 2 8 6 6" xfId="34615" xr:uid="{37283B0C-63B9-41FE-AF1D-DB96FCF54479}"/>
    <cellStyle name="Normal 3 3 2 2 8 7" xfId="34616" xr:uid="{392A9AD3-3863-4EF2-A331-D4CD36F75196}"/>
    <cellStyle name="Normal 3 3 2 2 8 8" xfId="34617" xr:uid="{75645CC5-D95F-4E42-B682-FCC6C1C55D3D}"/>
    <cellStyle name="Normal 3 3 2 2 8 9" xfId="34618" xr:uid="{3367147C-B7F5-4DC3-B1BC-1B4FCB645E80}"/>
    <cellStyle name="Normal 3 3 2 2 9" xfId="34619" xr:uid="{B46F88F4-15DE-4EE3-8E93-E958F4739593}"/>
    <cellStyle name="Normal 3 3 2 2 9 10" xfId="34620" xr:uid="{A95765AA-B09C-4A8A-A269-FD91CD80A466}"/>
    <cellStyle name="Normal 3 3 2 2 9 11" xfId="34621" xr:uid="{7362044B-7546-4D89-AED3-9393781D66D6}"/>
    <cellStyle name="Normal 3 3 2 2 9 2" xfId="34622" xr:uid="{B3961874-DFFD-41E4-8F64-33C6113E2582}"/>
    <cellStyle name="Normal 3 3 2 2 9 2 2" xfId="34623" xr:uid="{61F96E1F-E110-4050-8FFE-04730CDE9FDB}"/>
    <cellStyle name="Normal 3 3 2 2 9 2 3" xfId="34624" xr:uid="{5B98AD22-0A6D-47E1-950E-64B780C8D2B1}"/>
    <cellStyle name="Normal 3 3 2 2 9 2 4" xfId="34625" xr:uid="{019C7BC3-FC87-4241-BE87-A9F5A113FE53}"/>
    <cellStyle name="Normal 3 3 2 2 9 2 5" xfId="34626" xr:uid="{3C196F94-65E3-4B69-84A1-445030B5E90F}"/>
    <cellStyle name="Normal 3 3 2 2 9 2 6" xfId="34627" xr:uid="{C121BFF5-47D9-4528-8CE3-307C1FB235A8}"/>
    <cellStyle name="Normal 3 3 2 2 9 3" xfId="34628" xr:uid="{C01D1A17-CFF8-4805-A3D7-CBA0FECF48EC}"/>
    <cellStyle name="Normal 3 3 2 2 9 3 2" xfId="34629" xr:uid="{4EE99EFE-242C-41A8-903B-C85F3A5094BD}"/>
    <cellStyle name="Normal 3 3 2 2 9 3 3" xfId="34630" xr:uid="{7342F94D-220A-4BFD-A668-5F70F17D94B2}"/>
    <cellStyle name="Normal 3 3 2 2 9 3 4" xfId="34631" xr:uid="{2D185AD6-2283-4F9D-9183-E2C2A1ADD8C6}"/>
    <cellStyle name="Normal 3 3 2 2 9 3 5" xfId="34632" xr:uid="{F2F71896-34DC-42DF-A32D-71EDBE87B48E}"/>
    <cellStyle name="Normal 3 3 2 2 9 3 6" xfId="34633" xr:uid="{145F170D-40A3-44FE-888C-1F9F1A015B4A}"/>
    <cellStyle name="Normal 3 3 2 2 9 4" xfId="34634" xr:uid="{32348F21-A2C4-4BFC-AD34-A3C70FE82B6E}"/>
    <cellStyle name="Normal 3 3 2 2 9 4 2" xfId="34635" xr:uid="{D4C149A9-D03A-4D10-8EEE-928F2DB65362}"/>
    <cellStyle name="Normal 3 3 2 2 9 4 3" xfId="34636" xr:uid="{A77B320A-3DCE-4A50-A268-4A012E8F7C2C}"/>
    <cellStyle name="Normal 3 3 2 2 9 4 4" xfId="34637" xr:uid="{8CE8FDDD-3727-43A4-AC3A-3D9A466B1D2B}"/>
    <cellStyle name="Normal 3 3 2 2 9 4 5" xfId="34638" xr:uid="{1542C3BC-AB21-4BC8-B5AC-A4C607E9B2FB}"/>
    <cellStyle name="Normal 3 3 2 2 9 4 6" xfId="34639" xr:uid="{E7B12EB1-35DA-4700-AC35-55998238F3F5}"/>
    <cellStyle name="Normal 3 3 2 2 9 5" xfId="34640" xr:uid="{F0909709-C96D-4956-8EF6-D115200E14C0}"/>
    <cellStyle name="Normal 3 3 2 2 9 5 2" xfId="34641" xr:uid="{0AEE4C65-AC05-41BD-A74A-7D953BC67421}"/>
    <cellStyle name="Normal 3 3 2 2 9 5 3" xfId="34642" xr:uid="{2C54EA28-4C47-4310-8844-65AE84FB1776}"/>
    <cellStyle name="Normal 3 3 2 2 9 5 4" xfId="34643" xr:uid="{E6389F3F-51EF-4B94-9306-46CDC3D832E7}"/>
    <cellStyle name="Normal 3 3 2 2 9 5 5" xfId="34644" xr:uid="{C0F3CFA2-DC1B-4673-B3BD-B0B49602AEC8}"/>
    <cellStyle name="Normal 3 3 2 2 9 5 6" xfId="34645" xr:uid="{9D2AD68B-926A-44A6-B8BE-7575E4532456}"/>
    <cellStyle name="Normal 3 3 2 2 9 6" xfId="34646" xr:uid="{E6FA0A35-DA1F-4C23-8A8D-25F7B678C54E}"/>
    <cellStyle name="Normal 3 3 2 2 9 6 2" xfId="34647" xr:uid="{921E24CB-47AB-4DB3-9C03-15A8836F68A0}"/>
    <cellStyle name="Normal 3 3 2 2 9 6 3" xfId="34648" xr:uid="{9BACCC27-70C2-4271-9CCE-D20DE514147A}"/>
    <cellStyle name="Normal 3 3 2 2 9 6 4" xfId="34649" xr:uid="{325EE430-6E86-4FE3-BB51-30DD38A78B6A}"/>
    <cellStyle name="Normal 3 3 2 2 9 6 5" xfId="34650" xr:uid="{D0BCB60B-3F0B-4C38-9560-E897B2C73AF7}"/>
    <cellStyle name="Normal 3 3 2 2 9 6 6" xfId="34651" xr:uid="{9BE24DFD-D113-4807-A91E-4715A419E560}"/>
    <cellStyle name="Normal 3 3 2 2 9 7" xfId="34652" xr:uid="{2A9EA05D-DECE-430F-8C1C-2F0151BD3765}"/>
    <cellStyle name="Normal 3 3 2 2 9 8" xfId="34653" xr:uid="{C93D8BCF-8F5F-4AA9-97CC-4F0FA30BB32A}"/>
    <cellStyle name="Normal 3 3 2 2 9 9" xfId="34654" xr:uid="{BD9E586F-BAEF-4070-8361-011DBEE0805D}"/>
    <cellStyle name="Normal 3 3 2 20" xfId="34655" xr:uid="{7588E5CA-2A49-4FC8-82AE-A6B8FD29AEDF}"/>
    <cellStyle name="Normal 3 3 2 20 2" xfId="34656" xr:uid="{52DC84A2-CFC2-4E36-9D4D-DBBC2B55182E}"/>
    <cellStyle name="Normal 3 3 2 20 3" xfId="34657" xr:uid="{F3944C22-415F-4738-9A71-FEEAD58B4F5F}"/>
    <cellStyle name="Normal 3 3 2 20 4" xfId="34658" xr:uid="{8B122378-7CB3-472F-837F-76E6A34C69ED}"/>
    <cellStyle name="Normal 3 3 2 20 5" xfId="34659" xr:uid="{3A928723-4BFB-49EC-BBD3-45EE7C5556A7}"/>
    <cellStyle name="Normal 3 3 2 20 6" xfId="34660" xr:uid="{A2187758-EE97-4C5E-90F9-0646948065AB}"/>
    <cellStyle name="Normal 3 3 2 21" xfId="34661" xr:uid="{5493F7E2-0501-48B7-8640-90C4B409EF25}"/>
    <cellStyle name="Normal 3 3 2 21 2" xfId="34662" xr:uid="{194A306F-7FF7-4C9F-9DBB-0F2C05735495}"/>
    <cellStyle name="Normal 3 3 2 21 3" xfId="34663" xr:uid="{15F942F1-0DEF-4B92-B481-0EE3C5921D92}"/>
    <cellStyle name="Normal 3 3 2 21 4" xfId="34664" xr:uid="{656141F6-972A-45AB-AB6F-AB5B673053F7}"/>
    <cellStyle name="Normal 3 3 2 21 5" xfId="34665" xr:uid="{E6AF47FF-2AE8-415E-BE0C-5A63F6BC725F}"/>
    <cellStyle name="Normal 3 3 2 21 6" xfId="34666" xr:uid="{6C416A58-29E7-4FEE-B1D3-A3E081BAD2AB}"/>
    <cellStyle name="Normal 3 3 2 22" xfId="34667" xr:uid="{B157311E-61AC-4D5F-A67A-C2D2AEFA84A5}"/>
    <cellStyle name="Normal 3 3 2 22 2" xfId="34668" xr:uid="{5CDBD44F-3D26-4F64-9688-CDEB62BF45EC}"/>
    <cellStyle name="Normal 3 3 2 22 3" xfId="34669" xr:uid="{885D9079-4B1C-4AE5-BA7D-D1EADF5616E7}"/>
    <cellStyle name="Normal 3 3 2 22 4" xfId="34670" xr:uid="{68F6D1FF-D417-444F-B43F-A90EB8DAD35B}"/>
    <cellStyle name="Normal 3 3 2 22 5" xfId="34671" xr:uid="{17A357AF-30FA-4090-9D8C-C84E612C5A1F}"/>
    <cellStyle name="Normal 3 3 2 22 6" xfId="34672" xr:uid="{48180E67-F1F0-4C9A-B9C1-0898C1C8D843}"/>
    <cellStyle name="Normal 3 3 2 23" xfId="34673" xr:uid="{D150943E-4A54-4251-95FA-5EF6E9076E6B}"/>
    <cellStyle name="Normal 3 3 2 24" xfId="34674" xr:uid="{C1512C29-71C4-4301-B0F8-92A7CA28C58A}"/>
    <cellStyle name="Normal 3 3 2 25" xfId="34675" xr:uid="{27A4CFAD-1392-4FA6-AE0A-D0B149CE7B5B}"/>
    <cellStyle name="Normal 3 3 2 26" xfId="34676" xr:uid="{F81E529E-F671-4952-8F93-B48786B77314}"/>
    <cellStyle name="Normal 3 3 2 27" xfId="34677" xr:uid="{5BB2638E-3F62-4213-95F6-6C8F03B68896}"/>
    <cellStyle name="Normal 3 3 2 3" xfId="34678" xr:uid="{11080A6E-ED6D-4840-8E4B-36B6D985BBEA}"/>
    <cellStyle name="Normal 3 3 2 4" xfId="34679" xr:uid="{39179EF1-3C0C-4B3C-9F8C-CF28C0C7951D}"/>
    <cellStyle name="Normal 3 3 2 5" xfId="34680" xr:uid="{EC8C29E3-A64C-425C-908B-EBAFFAAB487C}"/>
    <cellStyle name="Normal 3 3 2 6" xfId="34681" xr:uid="{50D55095-D1C0-434E-96C8-D42A727C20CD}"/>
    <cellStyle name="Normal 3 3 2 7" xfId="34682" xr:uid="{49A7C505-848D-4D95-BB3F-AE6400A70B7B}"/>
    <cellStyle name="Normal 3 3 2 8" xfId="34683" xr:uid="{6EF73731-04D2-441E-A97D-3024DCD42801}"/>
    <cellStyle name="Normal 3 3 2 9" xfId="34684" xr:uid="{EAB8CA90-48D3-4C9E-AE85-EAE23488A925}"/>
    <cellStyle name="Normal 3 3 20" xfId="34685" xr:uid="{D21A1076-86D0-44BF-B08B-95BD1323375B}"/>
    <cellStyle name="Normal 3 3 21" xfId="34686" xr:uid="{2611713F-9FB7-492D-913F-80A30B496D70}"/>
    <cellStyle name="Normal 3 3 22" xfId="34687" xr:uid="{A65DF48B-3F5D-4A6C-9250-0AF3239CB883}"/>
    <cellStyle name="Normal 3 3 23" xfId="34688" xr:uid="{B280DB3C-0453-488C-AFEA-2E85C84B40C3}"/>
    <cellStyle name="Normal 3 3 24" xfId="34689" xr:uid="{DDE0E664-8F69-486A-8E64-6E90F7A29B92}"/>
    <cellStyle name="Normal 3 3 25" xfId="34690" xr:uid="{24AA588B-1140-4FE6-B390-1CF548523A21}"/>
    <cellStyle name="Normal 3 3 26" xfId="34046" xr:uid="{F12A05C1-2643-4A39-8384-29D071BA9813}"/>
    <cellStyle name="Normal 3 3 3" xfId="34691" xr:uid="{B3D6F7FA-BE0C-4D70-99D6-C05D4D4FA1FC}"/>
    <cellStyle name="Normal 3 3 3 10" xfId="34692" xr:uid="{FDB2C42C-7A9A-430B-AEDF-83FC7069DC3F}"/>
    <cellStyle name="Normal 3 3 3 10 2" xfId="34693" xr:uid="{40289F88-3945-4185-8B93-27D90C5A1D4B}"/>
    <cellStyle name="Normal 3 3 3 10 3" xfId="34694" xr:uid="{8D81FC27-48A1-476C-8E2E-81A8B5A0C4BB}"/>
    <cellStyle name="Normal 3 3 3 10 4" xfId="34695" xr:uid="{2EFD4502-09DF-4D26-B25A-E66B05A31027}"/>
    <cellStyle name="Normal 3 3 3 10 5" xfId="34696" xr:uid="{F02B7309-75D2-42F9-91B5-A7828AEF4E22}"/>
    <cellStyle name="Normal 3 3 3 10 6" xfId="34697" xr:uid="{258DD29E-E4E1-4230-A3D0-83EF3DC1A2FB}"/>
    <cellStyle name="Normal 3 3 3 11" xfId="34698" xr:uid="{03FA6C3F-8FE9-4CF9-8896-8584FCDC4BBA}"/>
    <cellStyle name="Normal 3 3 3 11 2" xfId="34699" xr:uid="{A9916207-4329-44CE-8ACD-E0A3BD44985B}"/>
    <cellStyle name="Normal 3 3 3 11 3" xfId="34700" xr:uid="{E0ECA787-9CA7-4F29-A600-10B8DBEF4629}"/>
    <cellStyle name="Normal 3 3 3 11 4" xfId="34701" xr:uid="{01AF0621-2002-49B0-A1E2-8A35B752FBF5}"/>
    <cellStyle name="Normal 3 3 3 11 5" xfId="34702" xr:uid="{CD99BE0A-10A5-4C7A-A69D-52754434F0E7}"/>
    <cellStyle name="Normal 3 3 3 11 6" xfId="34703" xr:uid="{8A301C4C-10FE-416B-8CF3-9465D670CA07}"/>
    <cellStyle name="Normal 3 3 3 12" xfId="34704" xr:uid="{7AE6D5D5-A9DD-42DA-B48B-AC8DA46CF5E1}"/>
    <cellStyle name="Normal 3 3 3 12 2" xfId="34705" xr:uid="{F50399F9-6657-4739-ADEA-91E795DCC895}"/>
    <cellStyle name="Normal 3 3 3 12 3" xfId="34706" xr:uid="{33FBB4E5-3ECC-45BA-A0FB-721BD2527E41}"/>
    <cellStyle name="Normal 3 3 3 12 4" xfId="34707" xr:uid="{6B46FD43-4266-40E6-93FB-C8543E64BA3F}"/>
    <cellStyle name="Normal 3 3 3 12 5" xfId="34708" xr:uid="{9BD2F46D-8335-4DC2-B7BD-F255F2D07C31}"/>
    <cellStyle name="Normal 3 3 3 12 6" xfId="34709" xr:uid="{EB8DC9E5-7D77-4743-B6CD-B2A82E37F874}"/>
    <cellStyle name="Normal 3 3 3 13" xfId="34710" xr:uid="{5AC83FAB-13D0-4754-A17B-E4C448E5AC9C}"/>
    <cellStyle name="Normal 3 3 3 13 2" xfId="34711" xr:uid="{B3BF37A4-D828-4EBF-9D0B-2317E7CCDC5A}"/>
    <cellStyle name="Normal 3 3 3 13 3" xfId="34712" xr:uid="{0E8CBA51-EA1B-4D81-94DC-496F2FC6E0B7}"/>
    <cellStyle name="Normal 3 3 3 13 4" xfId="34713" xr:uid="{4D9D0111-4A4C-473E-BD38-77921A41BD33}"/>
    <cellStyle name="Normal 3 3 3 13 5" xfId="34714" xr:uid="{6BB2E6FE-B8D4-4F3A-9779-12007F85F42E}"/>
    <cellStyle name="Normal 3 3 3 13 6" xfId="34715" xr:uid="{2A381EB8-4E1D-405C-BC15-4F20E6F82C62}"/>
    <cellStyle name="Normal 3 3 3 14" xfId="34716" xr:uid="{116F7EFE-0F56-4708-B0B1-F2E4A0CFB853}"/>
    <cellStyle name="Normal 3 3 3 14 2" xfId="34717" xr:uid="{B96196E8-FA21-45BF-8220-3CEA0F2C48C2}"/>
    <cellStyle name="Normal 3 3 3 14 3" xfId="34718" xr:uid="{42666172-6129-4395-AF3B-47EAECB7121F}"/>
    <cellStyle name="Normal 3 3 3 14 4" xfId="34719" xr:uid="{30C50369-B17A-44B8-87AE-04A3E36B948D}"/>
    <cellStyle name="Normal 3 3 3 14 5" xfId="34720" xr:uid="{01E1564D-5D29-4FC1-BB35-36D5DFFE63E4}"/>
    <cellStyle name="Normal 3 3 3 14 6" xfId="34721" xr:uid="{B42B0E93-D85C-485B-9E5A-08C225CE0CB5}"/>
    <cellStyle name="Normal 3 3 3 15" xfId="34722" xr:uid="{B947F90D-905C-489D-A846-3FDA957290F8}"/>
    <cellStyle name="Normal 3 3 3 16" xfId="34723" xr:uid="{4262D647-8635-4A2F-9620-CE6C6E7F8F92}"/>
    <cellStyle name="Normal 3 3 3 17" xfId="34724" xr:uid="{C4610299-DD95-43E8-84CE-024B1033C9E3}"/>
    <cellStyle name="Normal 3 3 3 18" xfId="34725" xr:uid="{EE83195B-67A0-4E2D-9E69-A6FD53E2B7EF}"/>
    <cellStyle name="Normal 3 3 3 19" xfId="34726" xr:uid="{E19669E2-2FB0-4B18-80FA-925868E5BB76}"/>
    <cellStyle name="Normal 3 3 3 2" xfId="34727" xr:uid="{87FA0B82-FBAF-4776-A695-09D87A5FD048}"/>
    <cellStyle name="Normal 3 3 3 2 2" xfId="34728" xr:uid="{F2D50D39-F404-4037-8389-A3BD8EF39DF6}"/>
    <cellStyle name="Normal 3 3 3 2 2 10" xfId="34729" xr:uid="{BDDB0AE4-987E-4757-A49D-FE713C2E137B}"/>
    <cellStyle name="Normal 3 3 3 2 2 11" xfId="34730" xr:uid="{5BC63FA4-86DA-4085-A1F9-FBCDBCF37947}"/>
    <cellStyle name="Normal 3 3 3 2 2 2" xfId="34731" xr:uid="{CEAAE8E0-08CA-4320-8C2C-B94C8BE04A0D}"/>
    <cellStyle name="Normal 3 3 3 2 2 2 2" xfId="34732" xr:uid="{6DD24EF2-8ABA-4856-B909-DF14FD5BDDEA}"/>
    <cellStyle name="Normal 3 3 3 2 2 2 3" xfId="34733" xr:uid="{E6E9D27C-B63C-48EF-B162-5194C82DB8E4}"/>
    <cellStyle name="Normal 3 3 3 2 2 2 4" xfId="34734" xr:uid="{0015F4EB-AF74-4EF3-9699-83ED6C05BB21}"/>
    <cellStyle name="Normal 3 3 3 2 2 2 5" xfId="34735" xr:uid="{CB02497E-41C7-49A3-9F93-1225533E72DF}"/>
    <cellStyle name="Normal 3 3 3 2 2 2 6" xfId="34736" xr:uid="{81DA0A6F-6DA2-4E36-A67A-534B4E05CB42}"/>
    <cellStyle name="Normal 3 3 3 2 2 3" xfId="34737" xr:uid="{AEC9F269-7AFF-4290-8703-80808A3AA64F}"/>
    <cellStyle name="Normal 3 3 3 2 2 3 2" xfId="34738" xr:uid="{D690FF2F-1274-43D8-82AB-DA2890A5B9CF}"/>
    <cellStyle name="Normal 3 3 3 2 2 3 3" xfId="34739" xr:uid="{B635AE78-E7EE-4967-9337-0C7348E2EFCF}"/>
    <cellStyle name="Normal 3 3 3 2 2 3 4" xfId="34740" xr:uid="{3E4F9089-7548-4915-B016-77F1FFA53959}"/>
    <cellStyle name="Normal 3 3 3 2 2 3 5" xfId="34741" xr:uid="{BB3FA194-8ADC-4A4F-AAA8-39C232A81C2B}"/>
    <cellStyle name="Normal 3 3 3 2 2 3 6" xfId="34742" xr:uid="{E2C3CAA7-530A-409B-9F3D-88686BA4FD5B}"/>
    <cellStyle name="Normal 3 3 3 2 2 4" xfId="34743" xr:uid="{C0BBEF2B-0B9A-4A79-AF99-27F63E9D9FF6}"/>
    <cellStyle name="Normal 3 3 3 2 2 4 2" xfId="34744" xr:uid="{D75904E9-1B0E-47A4-8656-DA7D2415D4CA}"/>
    <cellStyle name="Normal 3 3 3 2 2 4 3" xfId="34745" xr:uid="{39362369-F91B-4F9F-9A0D-7F701775B1F1}"/>
    <cellStyle name="Normal 3 3 3 2 2 4 4" xfId="34746" xr:uid="{2D3980BD-8AFE-4286-BA02-2377C1557E6A}"/>
    <cellStyle name="Normal 3 3 3 2 2 4 5" xfId="34747" xr:uid="{81B52C91-3C77-43CB-829A-F44487AC8754}"/>
    <cellStyle name="Normal 3 3 3 2 2 4 6" xfId="34748" xr:uid="{0799B87D-F507-406B-AA0B-BBD928D70FAB}"/>
    <cellStyle name="Normal 3 3 3 2 2 5" xfId="34749" xr:uid="{113FF8B2-3DB2-451A-987C-6872DC7EA36D}"/>
    <cellStyle name="Normal 3 3 3 2 2 5 2" xfId="34750" xr:uid="{FB7714FB-2F57-4581-918F-E98D49C9FCCE}"/>
    <cellStyle name="Normal 3 3 3 2 2 5 3" xfId="34751" xr:uid="{BBB2532E-6C4C-4455-BF5C-6ABE4C3205E0}"/>
    <cellStyle name="Normal 3 3 3 2 2 5 4" xfId="34752" xr:uid="{880E052C-3246-4931-96D2-679DCEB70E38}"/>
    <cellStyle name="Normal 3 3 3 2 2 5 5" xfId="34753" xr:uid="{95A77A82-D933-4A99-9E9C-E292A6F0F3F2}"/>
    <cellStyle name="Normal 3 3 3 2 2 5 6" xfId="34754" xr:uid="{AC224BD7-84ED-4061-8BA1-692A0664FA74}"/>
    <cellStyle name="Normal 3 3 3 2 2 6" xfId="34755" xr:uid="{48FD0610-2844-4B8C-8C96-BA26CDE1FE30}"/>
    <cellStyle name="Normal 3 3 3 2 2 6 2" xfId="34756" xr:uid="{11E36296-D13B-4443-856A-95977EE6C79E}"/>
    <cellStyle name="Normal 3 3 3 2 2 6 3" xfId="34757" xr:uid="{B20A3A81-CAA6-499E-A49A-4F9D41099A2F}"/>
    <cellStyle name="Normal 3 3 3 2 2 6 4" xfId="34758" xr:uid="{6D81D829-54E1-458D-BAD5-EEA8FA911C7F}"/>
    <cellStyle name="Normal 3 3 3 2 2 6 5" xfId="34759" xr:uid="{DFC85117-D3E8-4C86-B74E-141F119DD845}"/>
    <cellStyle name="Normal 3 3 3 2 2 6 6" xfId="34760" xr:uid="{20D83465-CEBF-457D-98AA-A082F0448846}"/>
    <cellStyle name="Normal 3 3 3 2 2 7" xfId="34761" xr:uid="{73BAC600-5513-45CF-B753-8B61E23D015C}"/>
    <cellStyle name="Normal 3 3 3 2 2 8" xfId="34762" xr:uid="{D46ACAAF-F59F-456A-86A1-B5960A3D724E}"/>
    <cellStyle name="Normal 3 3 3 2 2 9" xfId="34763" xr:uid="{9562373D-9999-430B-A3EB-2BF399D7E3BC}"/>
    <cellStyle name="Normal 3 3 3 2 3" xfId="34764" xr:uid="{63D89CDD-B03B-45B8-BC6C-9D62C7B14A25}"/>
    <cellStyle name="Normal 3 3 3 2 3 10" xfId="34765" xr:uid="{F2D7E3A4-6C02-4751-99A3-CC8F201C69F7}"/>
    <cellStyle name="Normal 3 3 3 2 3 11" xfId="34766" xr:uid="{E70154EA-20C1-4506-9E35-98D26419044D}"/>
    <cellStyle name="Normal 3 3 3 2 3 2" xfId="34767" xr:uid="{12A51BED-C9AB-4B14-89E2-FB43D7556D5D}"/>
    <cellStyle name="Normal 3 3 3 2 3 2 2" xfId="34768" xr:uid="{383CA617-3D9B-4130-8E13-BFFA7C04D2CC}"/>
    <cellStyle name="Normal 3 3 3 2 3 2 3" xfId="34769" xr:uid="{13482C65-105D-47D2-A55E-24C2DF33547D}"/>
    <cellStyle name="Normal 3 3 3 2 3 2 4" xfId="34770" xr:uid="{5143FCED-1D63-4CFE-9AF2-6A202F6B447F}"/>
    <cellStyle name="Normal 3 3 3 2 3 2 5" xfId="34771" xr:uid="{31C29F7E-5ED5-4B79-94A3-DD4143FE63E4}"/>
    <cellStyle name="Normal 3 3 3 2 3 2 6" xfId="34772" xr:uid="{A4308625-B15E-40EA-8759-B51A24B6E58A}"/>
    <cellStyle name="Normal 3 3 3 2 3 3" xfId="34773" xr:uid="{C91CB967-B2EC-40C3-8D3F-04FADA162102}"/>
    <cellStyle name="Normal 3 3 3 2 3 3 2" xfId="34774" xr:uid="{EAC8CAAC-4C11-473E-BDAC-52162DD106A3}"/>
    <cellStyle name="Normal 3 3 3 2 3 3 3" xfId="34775" xr:uid="{23FDA3C8-3F21-400A-AE78-70DCA29080CD}"/>
    <cellStyle name="Normal 3 3 3 2 3 3 4" xfId="34776" xr:uid="{6A18C347-85C9-4317-A4B3-0E114621E119}"/>
    <cellStyle name="Normal 3 3 3 2 3 3 5" xfId="34777" xr:uid="{4077135D-7F53-47AC-A1CB-43AF4DA29A56}"/>
    <cellStyle name="Normal 3 3 3 2 3 3 6" xfId="34778" xr:uid="{2F786629-DCFB-46D4-989D-C3AAF49F7BB6}"/>
    <cellStyle name="Normal 3 3 3 2 3 4" xfId="34779" xr:uid="{D6A657CB-B4E1-4720-AB09-A9B1A6BBF6F4}"/>
    <cellStyle name="Normal 3 3 3 2 3 4 2" xfId="34780" xr:uid="{2793AAD9-20D7-415D-9EA4-E844DA7458B0}"/>
    <cellStyle name="Normal 3 3 3 2 3 4 3" xfId="34781" xr:uid="{F0DA31B5-6AB6-4A23-BAEB-45E121305B60}"/>
    <cellStyle name="Normal 3 3 3 2 3 4 4" xfId="34782" xr:uid="{FF0E1E82-E133-4675-89D8-325C1412FC58}"/>
    <cellStyle name="Normal 3 3 3 2 3 4 5" xfId="34783" xr:uid="{18914FA0-9030-4800-BD59-C7041016FDAE}"/>
    <cellStyle name="Normal 3 3 3 2 3 4 6" xfId="34784" xr:uid="{8BD33E41-6AD4-44F3-9F43-CC4A9B10F16D}"/>
    <cellStyle name="Normal 3 3 3 2 3 5" xfId="34785" xr:uid="{30E88A97-BF74-49DB-95BD-106DFB9F0AA2}"/>
    <cellStyle name="Normal 3 3 3 2 3 5 2" xfId="34786" xr:uid="{160ECBCE-EE7C-4BB0-8FC6-5816B5EAB3CA}"/>
    <cellStyle name="Normal 3 3 3 2 3 5 3" xfId="34787" xr:uid="{9ABA4E47-9BE0-4831-894D-5244BE336AD2}"/>
    <cellStyle name="Normal 3 3 3 2 3 5 4" xfId="34788" xr:uid="{57AF6CF2-3C51-4A95-AD0D-0C384959EE24}"/>
    <cellStyle name="Normal 3 3 3 2 3 5 5" xfId="34789" xr:uid="{88D4FF08-F045-4A1F-AEEE-AA2D14D09637}"/>
    <cellStyle name="Normal 3 3 3 2 3 5 6" xfId="34790" xr:uid="{F31DFBB6-6BFA-40E5-8B1B-4E7045859853}"/>
    <cellStyle name="Normal 3 3 3 2 3 6" xfId="34791" xr:uid="{4BC3D8E2-15AB-4544-9F70-8F70CC22FE44}"/>
    <cellStyle name="Normal 3 3 3 2 3 6 2" xfId="34792" xr:uid="{5A9DD6DB-1CE0-48FC-B013-4E0F6FA66BE5}"/>
    <cellStyle name="Normal 3 3 3 2 3 6 3" xfId="34793" xr:uid="{3AD47B07-F5C7-4369-8C73-680EBC7E8777}"/>
    <cellStyle name="Normal 3 3 3 2 3 6 4" xfId="34794" xr:uid="{628504DF-A177-4EC3-AA7A-EA49AA5B05A7}"/>
    <cellStyle name="Normal 3 3 3 2 3 6 5" xfId="34795" xr:uid="{64F83752-F5A7-41E5-8E4C-6CBA7060BFB9}"/>
    <cellStyle name="Normal 3 3 3 2 3 6 6" xfId="34796" xr:uid="{35FB3F68-9E17-4136-B2D5-32478E6D8660}"/>
    <cellStyle name="Normal 3 3 3 2 3 7" xfId="34797" xr:uid="{29150D0A-B7A5-488E-91F1-61D2DA524F58}"/>
    <cellStyle name="Normal 3 3 3 2 3 8" xfId="34798" xr:uid="{AE780C5A-B8AC-4885-9803-CF2FEE2B60BE}"/>
    <cellStyle name="Normal 3 3 3 2 3 9" xfId="34799" xr:uid="{6EF4DA32-753B-4AC2-B487-DF0A99F930BE}"/>
    <cellStyle name="Normal 3 3 3 2 4" xfId="34800" xr:uid="{0BB1C28A-D8D4-49F5-9769-DCC7CA9241E8}"/>
    <cellStyle name="Normal 3 3 3 2 4 10" xfId="34801" xr:uid="{B34AF492-40D5-4BC0-AB12-B959E8DF8E10}"/>
    <cellStyle name="Normal 3 3 3 2 4 11" xfId="34802" xr:uid="{7508DA9F-318E-491F-BA8D-D11033CA6651}"/>
    <cellStyle name="Normal 3 3 3 2 4 2" xfId="34803" xr:uid="{A3C09527-806D-449B-BBB5-C1AD29CB6B5D}"/>
    <cellStyle name="Normal 3 3 3 2 4 2 2" xfId="34804" xr:uid="{5136B1CE-48E9-42B7-88BC-E8D8A6314219}"/>
    <cellStyle name="Normal 3 3 3 2 4 2 3" xfId="34805" xr:uid="{CEB873AA-9780-42AC-804B-14F9CABE83EE}"/>
    <cellStyle name="Normal 3 3 3 2 4 2 4" xfId="34806" xr:uid="{42BE68A0-A74A-483A-837E-96FCB5BF039F}"/>
    <cellStyle name="Normal 3 3 3 2 4 2 5" xfId="34807" xr:uid="{B7330727-AC79-40C3-BC17-EFC5D05B482E}"/>
    <cellStyle name="Normal 3 3 3 2 4 2 6" xfId="34808" xr:uid="{A57B965D-49FA-4D44-8BC3-C633DD3BD5B9}"/>
    <cellStyle name="Normal 3 3 3 2 4 3" xfId="34809" xr:uid="{10F8E524-F8F4-41C7-B508-31518BBCDA7F}"/>
    <cellStyle name="Normal 3 3 3 2 4 3 2" xfId="34810" xr:uid="{72687BF0-E0D0-4FD0-A409-BD0C3B34D229}"/>
    <cellStyle name="Normal 3 3 3 2 4 3 3" xfId="34811" xr:uid="{2737069B-BA70-4C86-9E05-32B3DFFE41E6}"/>
    <cellStyle name="Normal 3 3 3 2 4 3 4" xfId="34812" xr:uid="{3EEC4F5F-78AE-436E-8117-DD96171FB450}"/>
    <cellStyle name="Normal 3 3 3 2 4 3 5" xfId="34813" xr:uid="{01321ECC-7E7E-470C-A82A-F0396BBA87B9}"/>
    <cellStyle name="Normal 3 3 3 2 4 3 6" xfId="34814" xr:uid="{3E5D4B4B-5AB4-43AC-ADB2-2EE6893C2441}"/>
    <cellStyle name="Normal 3 3 3 2 4 4" xfId="34815" xr:uid="{1452A791-08B3-449D-9F45-30825F3F2FDD}"/>
    <cellStyle name="Normal 3 3 3 2 4 4 2" xfId="34816" xr:uid="{AA02E17F-08AD-4666-8F78-4E9234F1CE78}"/>
    <cellStyle name="Normal 3 3 3 2 4 4 3" xfId="34817" xr:uid="{66D88654-7022-43F4-A713-FF83127E7D4D}"/>
    <cellStyle name="Normal 3 3 3 2 4 4 4" xfId="34818" xr:uid="{20912EBA-9F71-4ACE-9863-746466718E55}"/>
    <cellStyle name="Normal 3 3 3 2 4 4 5" xfId="34819" xr:uid="{3F34E46B-76D9-43EA-AE77-0930D5F23099}"/>
    <cellStyle name="Normal 3 3 3 2 4 4 6" xfId="34820" xr:uid="{5422E9F0-3BA9-4979-AAC2-50EEAB73AD64}"/>
    <cellStyle name="Normal 3 3 3 2 4 5" xfId="34821" xr:uid="{41A14897-9F6A-40A4-BF0F-718C28392BA2}"/>
    <cellStyle name="Normal 3 3 3 2 4 5 2" xfId="34822" xr:uid="{9949C19F-45DE-4B0E-9862-8D17B23EC094}"/>
    <cellStyle name="Normal 3 3 3 2 4 5 3" xfId="34823" xr:uid="{859954D1-749C-48FB-8706-C30DA349366A}"/>
    <cellStyle name="Normal 3 3 3 2 4 5 4" xfId="34824" xr:uid="{7C9D159F-3ED1-4D05-90FD-F5FD51574751}"/>
    <cellStyle name="Normal 3 3 3 2 4 5 5" xfId="34825" xr:uid="{ECDEE3D1-D3B9-4419-9FF6-534BFD370E5C}"/>
    <cellStyle name="Normal 3 3 3 2 4 5 6" xfId="34826" xr:uid="{3B70DA8C-C8B2-4FDF-8E6C-E2D7B11784AE}"/>
    <cellStyle name="Normal 3 3 3 2 4 6" xfId="34827" xr:uid="{EDF4B47F-1B35-4279-AC95-4BFACB0AE7E3}"/>
    <cellStyle name="Normal 3 3 3 2 4 6 2" xfId="34828" xr:uid="{D9300DC9-0EAC-4FB0-88CE-C812B01C7280}"/>
    <cellStyle name="Normal 3 3 3 2 4 6 3" xfId="34829" xr:uid="{A5BE33CB-0D89-482F-AF84-CC080EEF3140}"/>
    <cellStyle name="Normal 3 3 3 2 4 6 4" xfId="34830" xr:uid="{A7774CEA-1A6B-41FD-B5A5-5FFD423C0615}"/>
    <cellStyle name="Normal 3 3 3 2 4 6 5" xfId="34831" xr:uid="{97A2503E-16C4-4F9C-AD81-71D18D252581}"/>
    <cellStyle name="Normal 3 3 3 2 4 6 6" xfId="34832" xr:uid="{E1094189-4D9C-408D-97D3-69EE7BED5699}"/>
    <cellStyle name="Normal 3 3 3 2 4 7" xfId="34833" xr:uid="{4995E909-4401-4F01-8E10-CC07BF2102BF}"/>
    <cellStyle name="Normal 3 3 3 2 4 8" xfId="34834" xr:uid="{A82312AB-5CBC-41C6-A1E8-26738ACB1721}"/>
    <cellStyle name="Normal 3 3 3 2 4 9" xfId="34835" xr:uid="{E2774C9D-9D6F-4A8F-AEBF-DA3EC1D3F6EB}"/>
    <cellStyle name="Normal 3 3 3 2 5" xfId="34836" xr:uid="{D5693238-9A85-44E3-9E60-283BC5C91526}"/>
    <cellStyle name="Normal 3 3 3 2 5 10" xfId="34837" xr:uid="{D84F3119-5A22-4B1B-A15F-243E14B41067}"/>
    <cellStyle name="Normal 3 3 3 2 5 11" xfId="34838" xr:uid="{BA6E99EA-2FA3-47E7-9A05-96686D4A6D47}"/>
    <cellStyle name="Normal 3 3 3 2 5 2" xfId="34839" xr:uid="{D7647152-B567-4200-8DED-7B2C28C97418}"/>
    <cellStyle name="Normal 3 3 3 2 5 2 2" xfId="34840" xr:uid="{C720F782-78AA-47F1-A3B6-70ECF161F8B5}"/>
    <cellStyle name="Normal 3 3 3 2 5 2 3" xfId="34841" xr:uid="{684C276D-557D-4707-8B18-BB232E33C5F7}"/>
    <cellStyle name="Normal 3 3 3 2 5 2 4" xfId="34842" xr:uid="{DDC354F8-60DA-4695-98EE-44DAF4BEF7EF}"/>
    <cellStyle name="Normal 3 3 3 2 5 2 5" xfId="34843" xr:uid="{D1C4E92C-EE98-4C04-A661-19027BCF538E}"/>
    <cellStyle name="Normal 3 3 3 2 5 2 6" xfId="34844" xr:uid="{6BF3FC9D-67F5-4DD6-96FB-4C0DD3D2053B}"/>
    <cellStyle name="Normal 3 3 3 2 5 3" xfId="34845" xr:uid="{9D2E03E4-5A64-4318-9F21-72DF9E3BB35F}"/>
    <cellStyle name="Normal 3 3 3 2 5 3 2" xfId="34846" xr:uid="{268F745F-CE8B-44BC-B1E7-C35E70E74FB6}"/>
    <cellStyle name="Normal 3 3 3 2 5 3 3" xfId="34847" xr:uid="{88067442-74B0-40A3-8238-A6B42925E557}"/>
    <cellStyle name="Normal 3 3 3 2 5 3 4" xfId="34848" xr:uid="{1028EE11-01A6-40E6-8965-90B777AE7138}"/>
    <cellStyle name="Normal 3 3 3 2 5 3 5" xfId="34849" xr:uid="{DCAE2E44-49E2-40AD-98BB-312609E0727D}"/>
    <cellStyle name="Normal 3 3 3 2 5 3 6" xfId="34850" xr:uid="{097293D1-2A46-4BF0-B082-93200A723B6F}"/>
    <cellStyle name="Normal 3 3 3 2 5 4" xfId="34851" xr:uid="{D2D15B2E-1314-4693-BC79-CE7636D0117F}"/>
    <cellStyle name="Normal 3 3 3 2 5 4 2" xfId="34852" xr:uid="{FD61B5F7-F0CB-4F42-B4DA-38EBA55FE9E2}"/>
    <cellStyle name="Normal 3 3 3 2 5 4 3" xfId="34853" xr:uid="{9F5294B1-E33B-4F61-97F1-EA01DD26BBFF}"/>
    <cellStyle name="Normal 3 3 3 2 5 4 4" xfId="34854" xr:uid="{1F2E2A0D-1746-4E27-8AE3-4DD0FB2CBE0E}"/>
    <cellStyle name="Normal 3 3 3 2 5 4 5" xfId="34855" xr:uid="{E6A489BA-20D1-4F6A-AD83-643102299ECF}"/>
    <cellStyle name="Normal 3 3 3 2 5 4 6" xfId="34856" xr:uid="{C50837E7-4BCB-4054-997E-61E0ECA9AD7E}"/>
    <cellStyle name="Normal 3 3 3 2 5 5" xfId="34857" xr:uid="{B08D88AD-D406-47B7-966B-1D3405EE26BF}"/>
    <cellStyle name="Normal 3 3 3 2 5 5 2" xfId="34858" xr:uid="{FCC6891F-8A8E-4288-9170-6C1E6BBD5481}"/>
    <cellStyle name="Normal 3 3 3 2 5 5 3" xfId="34859" xr:uid="{F221219F-F27F-4089-9173-3D8CFB195C5A}"/>
    <cellStyle name="Normal 3 3 3 2 5 5 4" xfId="34860" xr:uid="{E88C2146-8883-4CDC-85E9-6AB8C6583C82}"/>
    <cellStyle name="Normal 3 3 3 2 5 5 5" xfId="34861" xr:uid="{86A606D3-1F90-4E21-9D4F-0C01209C6CD0}"/>
    <cellStyle name="Normal 3 3 3 2 5 5 6" xfId="34862" xr:uid="{EE07C5CB-02BF-4648-ABD6-12BD7E5853A5}"/>
    <cellStyle name="Normal 3 3 3 2 5 6" xfId="34863" xr:uid="{F38F4EA2-C61F-43BE-AB9C-78D92BE0DF30}"/>
    <cellStyle name="Normal 3 3 3 2 5 6 2" xfId="34864" xr:uid="{52C5484E-3FD4-476E-9A2D-E754117C1654}"/>
    <cellStyle name="Normal 3 3 3 2 5 6 3" xfId="34865" xr:uid="{71C0E3EC-E7BB-455B-BFED-581394562BA7}"/>
    <cellStyle name="Normal 3 3 3 2 5 6 4" xfId="34866" xr:uid="{F55AC566-3787-4CE8-9752-8E779067A352}"/>
    <cellStyle name="Normal 3 3 3 2 5 6 5" xfId="34867" xr:uid="{C648B9FC-7507-495C-BA1D-D40C6E711770}"/>
    <cellStyle name="Normal 3 3 3 2 5 6 6" xfId="34868" xr:uid="{BCEB672C-2A90-42D4-8A84-4C9039343914}"/>
    <cellStyle name="Normal 3 3 3 2 5 7" xfId="34869" xr:uid="{3D92DBC7-5896-46E2-B292-8AFE75471A36}"/>
    <cellStyle name="Normal 3 3 3 2 5 8" xfId="34870" xr:uid="{0C1D2661-6FF9-457F-AD73-6D94568B8622}"/>
    <cellStyle name="Normal 3 3 3 2 5 9" xfId="34871" xr:uid="{C9E88716-5BAA-4C32-9966-BF281BAB9BEE}"/>
    <cellStyle name="Normal 3 3 3 2 6" xfId="34872" xr:uid="{BE2E4163-D39F-4B08-91D8-774927726D6F}"/>
    <cellStyle name="Normal 3 3 3 2 6 10" xfId="34873" xr:uid="{CEE9004D-1379-47BB-9956-19C2524E9866}"/>
    <cellStyle name="Normal 3 3 3 2 6 11" xfId="34874" xr:uid="{8F4392BC-730A-4380-8615-46E627065B2A}"/>
    <cellStyle name="Normal 3 3 3 2 6 2" xfId="34875" xr:uid="{DAE4B3F4-378A-4DC4-B8E0-008F4EB47686}"/>
    <cellStyle name="Normal 3 3 3 2 6 2 2" xfId="34876" xr:uid="{534C8D6E-982D-419A-82C9-8194707CFFA1}"/>
    <cellStyle name="Normal 3 3 3 2 6 2 3" xfId="34877" xr:uid="{D343863F-1F48-4FA4-9DBE-4946D70ECA2D}"/>
    <cellStyle name="Normal 3 3 3 2 6 2 4" xfId="34878" xr:uid="{9EC32FBD-AA2F-4920-B5DB-9D2D2EC337DA}"/>
    <cellStyle name="Normal 3 3 3 2 6 2 5" xfId="34879" xr:uid="{FB46206A-B38E-4E11-A4C3-47C52477B899}"/>
    <cellStyle name="Normal 3 3 3 2 6 2 6" xfId="34880" xr:uid="{25EAC489-7F47-40D2-862D-5C093C374D20}"/>
    <cellStyle name="Normal 3 3 3 2 6 3" xfId="34881" xr:uid="{C1DD2BA9-B16B-4B13-8C9C-0115AF4E37E1}"/>
    <cellStyle name="Normal 3 3 3 2 6 3 2" xfId="34882" xr:uid="{C3027339-2093-4488-9020-0681DE964189}"/>
    <cellStyle name="Normal 3 3 3 2 6 3 3" xfId="34883" xr:uid="{96D653AB-B6B9-4B0F-B0B5-F7190897F821}"/>
    <cellStyle name="Normal 3 3 3 2 6 3 4" xfId="34884" xr:uid="{F964F349-1846-464C-99B1-A74D3DC236D5}"/>
    <cellStyle name="Normal 3 3 3 2 6 3 5" xfId="34885" xr:uid="{DFADD79C-1E1B-4E4A-B4D8-D96103DA0C32}"/>
    <cellStyle name="Normal 3 3 3 2 6 3 6" xfId="34886" xr:uid="{7B172B57-29EE-4D39-9C56-18775414D2A1}"/>
    <cellStyle name="Normal 3 3 3 2 6 4" xfId="34887" xr:uid="{44AD9641-FD2C-4107-A637-CA91460AEBEE}"/>
    <cellStyle name="Normal 3 3 3 2 6 4 2" xfId="34888" xr:uid="{AF822DCA-EEF4-4876-9D08-F8755AD75A04}"/>
    <cellStyle name="Normal 3 3 3 2 6 4 3" xfId="34889" xr:uid="{A0FE28F7-7024-43C5-AC08-7C2BCBDBF68B}"/>
    <cellStyle name="Normal 3 3 3 2 6 4 4" xfId="34890" xr:uid="{5FE6EB61-2DFC-4B93-AC4A-043C5246F07F}"/>
    <cellStyle name="Normal 3 3 3 2 6 4 5" xfId="34891" xr:uid="{C8A9A1AE-AF0B-4F3B-AEE2-D884B6759051}"/>
    <cellStyle name="Normal 3 3 3 2 6 4 6" xfId="34892" xr:uid="{5EBA7AEE-919A-4274-A40E-72775832935D}"/>
    <cellStyle name="Normal 3 3 3 2 6 5" xfId="34893" xr:uid="{B0742B7C-A4E1-4542-A51E-4966C1D96249}"/>
    <cellStyle name="Normal 3 3 3 2 6 5 2" xfId="34894" xr:uid="{DF9A37CE-A44E-4E4F-A752-0D014CDA8389}"/>
    <cellStyle name="Normal 3 3 3 2 6 5 3" xfId="34895" xr:uid="{6069949B-240F-4234-899F-3960523E5494}"/>
    <cellStyle name="Normal 3 3 3 2 6 5 4" xfId="34896" xr:uid="{DF5063F5-3CFA-4611-8AC7-A26CB25360F6}"/>
    <cellStyle name="Normal 3 3 3 2 6 5 5" xfId="34897" xr:uid="{BD23E05D-E1E4-40DE-88CE-0D20F24319B8}"/>
    <cellStyle name="Normal 3 3 3 2 6 5 6" xfId="34898" xr:uid="{29998244-7EFE-4769-8B01-993B0565C6B0}"/>
    <cellStyle name="Normal 3 3 3 2 6 6" xfId="34899" xr:uid="{742005D2-53D0-40A0-B046-0DB3C22E00B2}"/>
    <cellStyle name="Normal 3 3 3 2 6 6 2" xfId="34900" xr:uid="{5C7DB170-3E74-4634-BE3E-2C3B3818E6E5}"/>
    <cellStyle name="Normal 3 3 3 2 6 6 3" xfId="34901" xr:uid="{D1E621E8-160E-49E7-BBE2-79AD187275B1}"/>
    <cellStyle name="Normal 3 3 3 2 6 6 4" xfId="34902" xr:uid="{6D96185F-C6E5-4C67-9857-F417C703731B}"/>
    <cellStyle name="Normal 3 3 3 2 6 6 5" xfId="34903" xr:uid="{8DB1ABD9-1B77-4A43-8D95-33606AD20ED5}"/>
    <cellStyle name="Normal 3 3 3 2 6 6 6" xfId="34904" xr:uid="{84251BB4-1743-46DE-B81E-28280FB7A194}"/>
    <cellStyle name="Normal 3 3 3 2 6 7" xfId="34905" xr:uid="{D2B0E2EB-3BED-4F9D-A969-6D3C26539C58}"/>
    <cellStyle name="Normal 3 3 3 2 6 8" xfId="34906" xr:uid="{4B5A1780-3B6E-4ED3-BA0F-9A8184B16206}"/>
    <cellStyle name="Normal 3 3 3 2 6 9" xfId="34907" xr:uid="{73557653-5BBF-41F3-AC40-09BC20129718}"/>
    <cellStyle name="Normal 3 3 3 2 7" xfId="34908" xr:uid="{B8EFE124-2802-4504-AF88-92392A5B7741}"/>
    <cellStyle name="Normal 3 3 3 2 7 10" xfId="34909" xr:uid="{46D43223-26A8-4A64-B1DC-3D2ADD44CFD6}"/>
    <cellStyle name="Normal 3 3 3 2 7 11" xfId="34910" xr:uid="{8C6F8D98-40CE-41E5-B511-B371042F9EF6}"/>
    <cellStyle name="Normal 3 3 3 2 7 2" xfId="34911" xr:uid="{F005058B-B6B7-45AA-9DC6-2910464A2439}"/>
    <cellStyle name="Normal 3 3 3 2 7 2 2" xfId="34912" xr:uid="{8A8C961B-0F3F-4581-B9DE-FFD57E5701D9}"/>
    <cellStyle name="Normal 3 3 3 2 7 2 3" xfId="34913" xr:uid="{50B775AD-D788-4478-ADB8-265ACB49C10D}"/>
    <cellStyle name="Normal 3 3 3 2 7 2 4" xfId="34914" xr:uid="{74C89A94-9A76-48A2-A7E5-8C885C47898B}"/>
    <cellStyle name="Normal 3 3 3 2 7 2 5" xfId="34915" xr:uid="{A92CB312-2D88-441D-BCC0-937F29A9205B}"/>
    <cellStyle name="Normal 3 3 3 2 7 2 6" xfId="34916" xr:uid="{4BB265EB-CB15-4EB7-9C70-5F96286374E1}"/>
    <cellStyle name="Normal 3 3 3 2 7 3" xfId="34917" xr:uid="{54A35919-6FFF-41E3-994E-823B1BC00623}"/>
    <cellStyle name="Normal 3 3 3 2 7 3 2" xfId="34918" xr:uid="{73B3131E-A398-48DF-AFB6-AE5D43763324}"/>
    <cellStyle name="Normal 3 3 3 2 7 3 3" xfId="34919" xr:uid="{B24FC2A3-1C7E-444E-B7F4-790E828B1507}"/>
    <cellStyle name="Normal 3 3 3 2 7 3 4" xfId="34920" xr:uid="{1A0985C3-B224-47F0-B11C-C3459CD039FF}"/>
    <cellStyle name="Normal 3 3 3 2 7 3 5" xfId="34921" xr:uid="{A4F81528-F7A4-4B8B-8B65-F1730C48A506}"/>
    <cellStyle name="Normal 3 3 3 2 7 3 6" xfId="34922" xr:uid="{32D1745D-61F5-46AC-A71E-5DB542D301B7}"/>
    <cellStyle name="Normal 3 3 3 2 7 4" xfId="34923" xr:uid="{463DA37F-9589-428D-8204-806605F1CFC6}"/>
    <cellStyle name="Normal 3 3 3 2 7 4 2" xfId="34924" xr:uid="{F04D46B6-09BD-4F5C-A607-F3ECF55B72FC}"/>
    <cellStyle name="Normal 3 3 3 2 7 4 3" xfId="34925" xr:uid="{D7591AD4-1EAF-4B68-A285-775E2C8591E4}"/>
    <cellStyle name="Normal 3 3 3 2 7 4 4" xfId="34926" xr:uid="{3B62F725-2411-4052-81C6-566D8ACD62FF}"/>
    <cellStyle name="Normal 3 3 3 2 7 4 5" xfId="34927" xr:uid="{45CBE396-5935-4584-9EBE-A395DB6D2B7A}"/>
    <cellStyle name="Normal 3 3 3 2 7 4 6" xfId="34928" xr:uid="{92ACA731-66E1-4A2B-9390-D56A30C6641D}"/>
    <cellStyle name="Normal 3 3 3 2 7 5" xfId="34929" xr:uid="{7ABBF6D9-E329-425F-9605-722967DD486E}"/>
    <cellStyle name="Normal 3 3 3 2 7 5 2" xfId="34930" xr:uid="{B22DC203-9679-40FB-AF5E-931D27B56152}"/>
    <cellStyle name="Normal 3 3 3 2 7 5 3" xfId="34931" xr:uid="{B6F561EA-BCA3-491B-8355-841618D1E8AE}"/>
    <cellStyle name="Normal 3 3 3 2 7 5 4" xfId="34932" xr:uid="{29148A34-4134-42F4-A34C-EF28F469E178}"/>
    <cellStyle name="Normal 3 3 3 2 7 5 5" xfId="34933" xr:uid="{4EFFD04A-41E3-4D31-BC17-2226F3E42438}"/>
    <cellStyle name="Normal 3 3 3 2 7 5 6" xfId="34934" xr:uid="{0ECBA58B-0EA6-49F0-90AD-2EC31A99722A}"/>
    <cellStyle name="Normal 3 3 3 2 7 6" xfId="34935" xr:uid="{D3F2B1A8-DCD5-4012-8A02-85E979635281}"/>
    <cellStyle name="Normal 3 3 3 2 7 6 2" xfId="34936" xr:uid="{987D8B32-DFB3-4090-8561-AEB189F709B7}"/>
    <cellStyle name="Normal 3 3 3 2 7 6 3" xfId="34937" xr:uid="{8F13825C-C0B1-4AF3-948E-7AA4032219FD}"/>
    <cellStyle name="Normal 3 3 3 2 7 6 4" xfId="34938" xr:uid="{D18CF64B-1287-4E56-9226-B4B5EBBEFBF3}"/>
    <cellStyle name="Normal 3 3 3 2 7 6 5" xfId="34939" xr:uid="{368C745C-D7D8-41F3-AE7D-424717B79BAD}"/>
    <cellStyle name="Normal 3 3 3 2 7 6 6" xfId="34940" xr:uid="{AC4600A8-FBAA-46FD-A4AE-DCD0482C0271}"/>
    <cellStyle name="Normal 3 3 3 2 7 7" xfId="34941" xr:uid="{CD6131B0-4F70-4EFD-9E9D-591303BBD50C}"/>
    <cellStyle name="Normal 3 3 3 2 7 8" xfId="34942" xr:uid="{DD831C9B-E405-48C1-8822-D24768150067}"/>
    <cellStyle name="Normal 3 3 3 2 7 9" xfId="34943" xr:uid="{970AFF24-6B1C-49F2-A1BD-1BD7A3D3BD2A}"/>
    <cellStyle name="Normal 3 3 3 2 8" xfId="34944" xr:uid="{2CF7AA97-2576-4CAE-83A3-28ABC0027962}"/>
    <cellStyle name="Normal 3 3 3 2 8 10" xfId="34945" xr:uid="{AED96C57-64F8-468A-A9B1-7AABA3FA2756}"/>
    <cellStyle name="Normal 3 3 3 2 8 11" xfId="34946" xr:uid="{E6272510-607F-4DA2-9FC5-69BFFA49B67C}"/>
    <cellStyle name="Normal 3 3 3 2 8 2" xfId="34947" xr:uid="{91CB2A0B-C3B9-442D-BEC7-47116C803DBC}"/>
    <cellStyle name="Normal 3 3 3 2 8 2 2" xfId="34948" xr:uid="{8765D4A8-9B6F-4067-85AB-210E548FAA5C}"/>
    <cellStyle name="Normal 3 3 3 2 8 2 3" xfId="34949" xr:uid="{907BEA29-31D2-4F7C-ACF3-30103B301122}"/>
    <cellStyle name="Normal 3 3 3 2 8 2 4" xfId="34950" xr:uid="{8EE32C41-AA4B-4DF5-847E-CAD2F4F29F49}"/>
    <cellStyle name="Normal 3 3 3 2 8 2 5" xfId="34951" xr:uid="{191E0079-7910-4223-892E-E34086F1D80C}"/>
    <cellStyle name="Normal 3 3 3 2 8 2 6" xfId="34952" xr:uid="{DDB798EB-D01E-4B9A-8EEF-B1C04ABA3794}"/>
    <cellStyle name="Normal 3 3 3 2 8 3" xfId="34953" xr:uid="{019ED612-A42B-414A-A074-EE1B113505EE}"/>
    <cellStyle name="Normal 3 3 3 2 8 3 2" xfId="34954" xr:uid="{01EAC750-78FC-4F7B-89C7-CEDBC92C206D}"/>
    <cellStyle name="Normal 3 3 3 2 8 3 3" xfId="34955" xr:uid="{95182033-FF5D-44D9-A5DB-221C7A5B8ACD}"/>
    <cellStyle name="Normal 3 3 3 2 8 3 4" xfId="34956" xr:uid="{457B840B-073A-466A-BEC4-AD3D463C8B19}"/>
    <cellStyle name="Normal 3 3 3 2 8 3 5" xfId="34957" xr:uid="{A3EEF860-DCA4-48C9-A1FA-55EFB29CC8B6}"/>
    <cellStyle name="Normal 3 3 3 2 8 3 6" xfId="34958" xr:uid="{6275AFD9-76DA-4DA9-B2EA-DA4F4C464A3E}"/>
    <cellStyle name="Normal 3 3 3 2 8 4" xfId="34959" xr:uid="{81191249-6DDF-49A2-8B98-E82D656DAC0D}"/>
    <cellStyle name="Normal 3 3 3 2 8 4 2" xfId="34960" xr:uid="{CF496E11-1F4F-4A03-B7E9-69C16157087B}"/>
    <cellStyle name="Normal 3 3 3 2 8 4 3" xfId="34961" xr:uid="{CDA92B6D-BCED-44CA-A2A0-783C2A0248B7}"/>
    <cellStyle name="Normal 3 3 3 2 8 4 4" xfId="34962" xr:uid="{7E015C08-CAD2-474A-9A95-6EB48670CDBF}"/>
    <cellStyle name="Normal 3 3 3 2 8 4 5" xfId="34963" xr:uid="{C20E6FF0-1216-4578-8A27-A37C52ADB933}"/>
    <cellStyle name="Normal 3 3 3 2 8 4 6" xfId="34964" xr:uid="{13F5A2E3-D08C-4E15-AA09-C7DFBEB87150}"/>
    <cellStyle name="Normal 3 3 3 2 8 5" xfId="34965" xr:uid="{AA5C440D-59D9-41B4-908C-E094F5650B34}"/>
    <cellStyle name="Normal 3 3 3 2 8 5 2" xfId="34966" xr:uid="{E8D40482-240F-43EB-BD65-45648FEB6BEE}"/>
    <cellStyle name="Normal 3 3 3 2 8 5 3" xfId="34967" xr:uid="{B108E7CB-F008-4DFB-8BE6-16B3D51CB0E1}"/>
    <cellStyle name="Normal 3 3 3 2 8 5 4" xfId="34968" xr:uid="{78779ACD-15DC-4E93-8BB5-B13D88F4513F}"/>
    <cellStyle name="Normal 3 3 3 2 8 5 5" xfId="34969" xr:uid="{F96F1E7C-3263-4877-9418-B7D7E9E0133F}"/>
    <cellStyle name="Normal 3 3 3 2 8 5 6" xfId="34970" xr:uid="{66F61208-E8CA-457A-99A8-1BDECF70FC1D}"/>
    <cellStyle name="Normal 3 3 3 2 8 6" xfId="34971" xr:uid="{EAAD67B7-1D4A-4CB9-AF32-471AD8650382}"/>
    <cellStyle name="Normal 3 3 3 2 8 6 2" xfId="34972" xr:uid="{1AF568C7-59C8-4C57-90A0-69CAA22D60E3}"/>
    <cellStyle name="Normal 3 3 3 2 8 6 3" xfId="34973" xr:uid="{B670083B-BA4C-4318-90E3-80BEF83196C7}"/>
    <cellStyle name="Normal 3 3 3 2 8 6 4" xfId="34974" xr:uid="{A6A39D48-947D-4309-921E-9466E4D2B80A}"/>
    <cellStyle name="Normal 3 3 3 2 8 6 5" xfId="34975" xr:uid="{75282639-6832-429C-A31B-57D39AAEFC36}"/>
    <cellStyle name="Normal 3 3 3 2 8 6 6" xfId="34976" xr:uid="{1936B268-CF3F-468D-9774-AA4ACAC40ACB}"/>
    <cellStyle name="Normal 3 3 3 2 8 7" xfId="34977" xr:uid="{CBFF572F-8965-4A4B-B5E8-CF67D681CED3}"/>
    <cellStyle name="Normal 3 3 3 2 8 8" xfId="34978" xr:uid="{935C17CF-1526-4C2C-95DC-767BA76EC872}"/>
    <cellStyle name="Normal 3 3 3 2 8 9" xfId="34979" xr:uid="{E5AAE0DC-4726-424C-ADA7-A84C46B27FD0}"/>
    <cellStyle name="Normal 3 3 3 2 9" xfId="34980" xr:uid="{38214521-ED07-481F-B1FA-A93E9081DFF9}"/>
    <cellStyle name="Normal 3 3 3 2 9 10" xfId="34981" xr:uid="{410824B8-D86E-4B8C-976C-12D585598450}"/>
    <cellStyle name="Normal 3 3 3 2 9 11" xfId="34982" xr:uid="{89B8D0F1-8E92-4E92-AA8D-0FF5C2B2C680}"/>
    <cellStyle name="Normal 3 3 3 2 9 2" xfId="34983" xr:uid="{A6A7E700-A2F6-4797-88C5-6520E81A92E5}"/>
    <cellStyle name="Normal 3 3 3 2 9 2 2" xfId="34984" xr:uid="{09286426-BB53-4F6B-A070-FC4C5446A6ED}"/>
    <cellStyle name="Normal 3 3 3 2 9 2 3" xfId="34985" xr:uid="{79B32010-DB23-45DB-8236-D17A79423B6B}"/>
    <cellStyle name="Normal 3 3 3 2 9 2 4" xfId="34986" xr:uid="{0DC9FD16-BC63-4654-A8D8-81D29F9392C2}"/>
    <cellStyle name="Normal 3 3 3 2 9 2 5" xfId="34987" xr:uid="{BDBA80CE-69C9-4660-8B88-2DD206E9D462}"/>
    <cellStyle name="Normal 3 3 3 2 9 2 6" xfId="34988" xr:uid="{47699D28-E6CA-42B8-9C94-2CA467CAB8C5}"/>
    <cellStyle name="Normal 3 3 3 2 9 3" xfId="34989" xr:uid="{DE9FF1DB-E2A4-4421-BFD5-3B5182DB28C7}"/>
    <cellStyle name="Normal 3 3 3 2 9 3 2" xfId="34990" xr:uid="{122E3FF8-5A89-46F2-A0A0-12F7D24A98A6}"/>
    <cellStyle name="Normal 3 3 3 2 9 3 3" xfId="34991" xr:uid="{E253CCA9-EE4F-4EE4-95E1-2EF1A9685944}"/>
    <cellStyle name="Normal 3 3 3 2 9 3 4" xfId="34992" xr:uid="{1763B4F3-30F5-4FFB-ADAC-6FDB9AA3D8CB}"/>
    <cellStyle name="Normal 3 3 3 2 9 3 5" xfId="34993" xr:uid="{DC978613-14F1-4540-8136-C39C5C68A9C8}"/>
    <cellStyle name="Normal 3 3 3 2 9 3 6" xfId="34994" xr:uid="{4B71AB8D-D9AA-42CA-A784-F54DFAD7EF0F}"/>
    <cellStyle name="Normal 3 3 3 2 9 4" xfId="34995" xr:uid="{96600151-841F-415F-B1AA-92AA23A93DBF}"/>
    <cellStyle name="Normal 3 3 3 2 9 4 2" xfId="34996" xr:uid="{B7BA5334-E086-4D6C-8838-1B866ED49492}"/>
    <cellStyle name="Normal 3 3 3 2 9 4 3" xfId="34997" xr:uid="{998733C3-9A80-44D7-8517-490D6BD2B5AB}"/>
    <cellStyle name="Normal 3 3 3 2 9 4 4" xfId="34998" xr:uid="{9D601372-13CF-45B3-8F6E-C2B8AB1CB514}"/>
    <cellStyle name="Normal 3 3 3 2 9 4 5" xfId="34999" xr:uid="{6BF669C8-4754-496F-AD58-5F95A3D0FF26}"/>
    <cellStyle name="Normal 3 3 3 2 9 4 6" xfId="35000" xr:uid="{D98693E1-E56C-4919-B59C-BD8BA30E975B}"/>
    <cellStyle name="Normal 3 3 3 2 9 5" xfId="35001" xr:uid="{618A55C9-9CB6-4F0A-9DBD-08BAB059EF48}"/>
    <cellStyle name="Normal 3 3 3 2 9 5 2" xfId="35002" xr:uid="{66DDB70C-4A19-441B-931F-B841DC902848}"/>
    <cellStyle name="Normal 3 3 3 2 9 5 3" xfId="35003" xr:uid="{8E43BC1D-0A9F-44F1-A507-3E0223F721A1}"/>
    <cellStyle name="Normal 3 3 3 2 9 5 4" xfId="35004" xr:uid="{0444468E-FDFD-4377-9F50-9E52F415BB49}"/>
    <cellStyle name="Normal 3 3 3 2 9 5 5" xfId="35005" xr:uid="{4EA1EA30-79C6-4461-8ACB-B3F0A6BA3651}"/>
    <cellStyle name="Normal 3 3 3 2 9 5 6" xfId="35006" xr:uid="{6CE9071F-A18C-481E-8EA4-52E8D27B6E44}"/>
    <cellStyle name="Normal 3 3 3 2 9 6" xfId="35007" xr:uid="{AD4AFA04-038D-49C5-85C7-6B196773E212}"/>
    <cellStyle name="Normal 3 3 3 2 9 6 2" xfId="35008" xr:uid="{1A42566B-E6C3-4932-B703-2C2CA74FA67B}"/>
    <cellStyle name="Normal 3 3 3 2 9 6 3" xfId="35009" xr:uid="{5505A525-DD1E-454D-8E71-68D2838974E4}"/>
    <cellStyle name="Normal 3 3 3 2 9 6 4" xfId="35010" xr:uid="{4205A59D-2776-41C5-93D5-0E279DC748ED}"/>
    <cellStyle name="Normal 3 3 3 2 9 6 5" xfId="35011" xr:uid="{6279EBCE-BC20-4B93-806C-C0C2C4D19D97}"/>
    <cellStyle name="Normal 3 3 3 2 9 6 6" xfId="35012" xr:uid="{B227BBBE-E773-46DF-B242-EC6372F9D276}"/>
    <cellStyle name="Normal 3 3 3 2 9 7" xfId="35013" xr:uid="{927B40C6-6706-4D2F-AD7D-82C6A0AC8A49}"/>
    <cellStyle name="Normal 3 3 3 2 9 8" xfId="35014" xr:uid="{B43F8D2E-06D3-455D-A2F9-43275942B885}"/>
    <cellStyle name="Normal 3 3 3 2 9 9" xfId="35015" xr:uid="{D6CA88BA-6BDC-4408-A4C5-7BEA72A7949B}"/>
    <cellStyle name="Normal 3 3 3 3" xfId="35016" xr:uid="{28965E1C-DA04-4A55-93FC-E4767D8DDC53}"/>
    <cellStyle name="Normal 3 3 3 4" xfId="35017" xr:uid="{E2385740-DB0C-40CC-850B-FD1068321C24}"/>
    <cellStyle name="Normal 3 3 3 5" xfId="35018" xr:uid="{4BD54097-34D6-4015-ACD3-460CB433C95D}"/>
    <cellStyle name="Normal 3 3 3 6" xfId="35019" xr:uid="{285896FE-A554-43F5-AB30-EAF21197667F}"/>
    <cellStyle name="Normal 3 3 3 7" xfId="35020" xr:uid="{5C3E347E-951C-44D8-BC1E-767C0E3DBC0D}"/>
    <cellStyle name="Normal 3 3 3 8" xfId="35021" xr:uid="{486641A2-7897-4439-88BA-63BD92B0C0B0}"/>
    <cellStyle name="Normal 3 3 3 9" xfId="35022" xr:uid="{E7B2399C-A317-474E-8503-EE5EFD5DE0F7}"/>
    <cellStyle name="Normal 3 3 4" xfId="35023" xr:uid="{0C538C07-A90B-4464-9A5B-171E0951A303}"/>
    <cellStyle name="Normal 3 3 4 10" xfId="35024" xr:uid="{3C191B02-3CFA-4A10-9806-111C5BB548F6}"/>
    <cellStyle name="Normal 3 3 4 11" xfId="35025" xr:uid="{02E7DD96-E518-49AC-AF16-C832130F880E}"/>
    <cellStyle name="Normal 3 3 4 2" xfId="35026" xr:uid="{452547A3-9B25-47F5-A8A4-AE9424C08419}"/>
    <cellStyle name="Normal 3 3 4 2 2" xfId="35027" xr:uid="{B49DBDC0-EAE4-463D-8BC8-B3BD82F075E7}"/>
    <cellStyle name="Normal 3 3 4 2 3" xfId="35028" xr:uid="{B1737DBF-FC08-4CC4-BB1A-B9A343E70DCE}"/>
    <cellStyle name="Normal 3 3 4 2 4" xfId="35029" xr:uid="{0B5F6597-0749-4C4D-95A4-2F0673498BA0}"/>
    <cellStyle name="Normal 3 3 4 2 5" xfId="35030" xr:uid="{9FEEEDA4-32C5-4946-9E88-A631A57723DD}"/>
    <cellStyle name="Normal 3 3 4 2 6" xfId="35031" xr:uid="{C96888EA-F095-4E2D-8230-A0A3D0E6AF6A}"/>
    <cellStyle name="Normal 3 3 4 3" xfId="35032" xr:uid="{C49B6929-711E-4E5C-9476-E55DA8A7F0C5}"/>
    <cellStyle name="Normal 3 3 4 3 2" xfId="35033" xr:uid="{F753E625-007B-4454-B837-61DA422A4E4D}"/>
    <cellStyle name="Normal 3 3 4 3 3" xfId="35034" xr:uid="{A18CB5C4-AE7B-4C1D-908D-24BDF07A6DB2}"/>
    <cellStyle name="Normal 3 3 4 3 4" xfId="35035" xr:uid="{334A7DC1-11CD-4E2D-B504-0980B3C68403}"/>
    <cellStyle name="Normal 3 3 4 3 5" xfId="35036" xr:uid="{0503CE1E-01B1-4F29-8D4E-F5965750651C}"/>
    <cellStyle name="Normal 3 3 4 3 6" xfId="35037" xr:uid="{4669E048-5FD5-4D46-8CBB-51154FCD23E3}"/>
    <cellStyle name="Normal 3 3 4 4" xfId="35038" xr:uid="{E8E66A88-D4CD-42A0-AED5-52DFA5F53131}"/>
    <cellStyle name="Normal 3 3 4 4 2" xfId="35039" xr:uid="{FFC0B5F8-C1DC-4208-A28C-0BC9244A4708}"/>
    <cellStyle name="Normal 3 3 4 4 3" xfId="35040" xr:uid="{7BFEA65C-CE6C-40EE-BED1-223B638C80F0}"/>
    <cellStyle name="Normal 3 3 4 4 4" xfId="35041" xr:uid="{7A5B09C1-1CE0-4481-8372-D62F70E5D671}"/>
    <cellStyle name="Normal 3 3 4 4 5" xfId="35042" xr:uid="{D8506F99-75D9-4F05-A10F-CEC881C62A71}"/>
    <cellStyle name="Normal 3 3 4 4 6" xfId="35043" xr:uid="{511A1270-C460-445B-A614-787D1A982751}"/>
    <cellStyle name="Normal 3 3 4 5" xfId="35044" xr:uid="{1397093B-B0E5-44E2-8DD8-8B9F60673182}"/>
    <cellStyle name="Normal 3 3 4 5 2" xfId="35045" xr:uid="{A6728AC8-401D-4CDC-90C5-A92E81CB2C65}"/>
    <cellStyle name="Normal 3 3 4 5 3" xfId="35046" xr:uid="{21EC499D-48C1-4BCC-B1C3-6F724EE35AD5}"/>
    <cellStyle name="Normal 3 3 4 5 4" xfId="35047" xr:uid="{3BAFFDD8-1E21-4D85-89C9-C711FFE5F9CB}"/>
    <cellStyle name="Normal 3 3 4 5 5" xfId="35048" xr:uid="{0101ADAD-4AC5-4620-A703-8308E7CD781E}"/>
    <cellStyle name="Normal 3 3 4 5 6" xfId="35049" xr:uid="{2853F199-3113-40BD-9546-8027E00787AD}"/>
    <cellStyle name="Normal 3 3 4 6" xfId="35050" xr:uid="{82BA1619-7FC5-466C-8FDC-912749D0A773}"/>
    <cellStyle name="Normal 3 3 4 6 2" xfId="35051" xr:uid="{51F7AAE5-A378-48C1-9F68-998A1FAE7B2A}"/>
    <cellStyle name="Normal 3 3 4 6 3" xfId="35052" xr:uid="{B1E468F0-C443-402F-9341-EC52DC771A3C}"/>
    <cellStyle name="Normal 3 3 4 6 4" xfId="35053" xr:uid="{CB9D3B51-0719-4803-9EAA-B24367FB3B92}"/>
    <cellStyle name="Normal 3 3 4 6 5" xfId="35054" xr:uid="{40173F59-1468-4A49-92F7-AC4A3378E2D9}"/>
    <cellStyle name="Normal 3 3 4 6 6" xfId="35055" xr:uid="{CEA09E68-79A8-4668-9046-AC77691BB582}"/>
    <cellStyle name="Normal 3 3 4 7" xfId="35056" xr:uid="{D7818426-6E8D-4204-963B-A9651577C2C3}"/>
    <cellStyle name="Normal 3 3 4 8" xfId="35057" xr:uid="{155CBF39-6E4E-4183-ADC8-E7A88D4862AC}"/>
    <cellStyle name="Normal 3 3 4 9" xfId="35058" xr:uid="{629898D3-3F1A-49E6-8BDE-116F33534888}"/>
    <cellStyle name="Normal 3 3 5" xfId="35059" xr:uid="{E82A9FBD-0CED-4261-8541-B5CA80F157B1}"/>
    <cellStyle name="Normal 3 3 5 10" xfId="35060" xr:uid="{C4A3C26D-84B1-460A-A692-BB66EC89BAEF}"/>
    <cellStyle name="Normal 3 3 5 11" xfId="35061" xr:uid="{FD842362-4793-48C3-9AF4-DE94E0E20494}"/>
    <cellStyle name="Normal 3 3 5 2" xfId="35062" xr:uid="{C6290DAC-C018-44FB-A102-1748F4152A83}"/>
    <cellStyle name="Normal 3 3 5 2 2" xfId="35063" xr:uid="{F466B2F4-C677-41A4-9AB6-F064193713A8}"/>
    <cellStyle name="Normal 3 3 5 2 3" xfId="35064" xr:uid="{58143014-4F9C-436E-B66B-657CAF347724}"/>
    <cellStyle name="Normal 3 3 5 2 4" xfId="35065" xr:uid="{0C984269-1B4C-44F4-A8D9-115BDE8AC450}"/>
    <cellStyle name="Normal 3 3 5 2 5" xfId="35066" xr:uid="{128B7D47-3357-446A-953E-9691FD901C12}"/>
    <cellStyle name="Normal 3 3 5 2 6" xfId="35067" xr:uid="{5C1CF031-158C-4007-9B53-90F173DBEB02}"/>
    <cellStyle name="Normal 3 3 5 3" xfId="35068" xr:uid="{C903E53B-03C2-445F-9D2B-E9BC0137CFBD}"/>
    <cellStyle name="Normal 3 3 5 3 2" xfId="35069" xr:uid="{DFE1DFE4-85E6-4565-8BA8-02F912EB2068}"/>
    <cellStyle name="Normal 3 3 5 3 3" xfId="35070" xr:uid="{2C2E3A54-6FAE-4AAD-9DCC-7B5DE5F4C7AD}"/>
    <cellStyle name="Normal 3 3 5 3 4" xfId="35071" xr:uid="{51D4D3DB-9F98-476C-A47A-FCD02FC04D8D}"/>
    <cellStyle name="Normal 3 3 5 3 5" xfId="35072" xr:uid="{E548FAD0-0AC5-440A-A400-026C0498BA36}"/>
    <cellStyle name="Normal 3 3 5 3 6" xfId="35073" xr:uid="{8493C027-49F1-45E2-9F14-F6BAA4CC93A5}"/>
    <cellStyle name="Normal 3 3 5 4" xfId="35074" xr:uid="{C4E5B0B7-2D06-4024-85B6-950BA0C52513}"/>
    <cellStyle name="Normal 3 3 5 4 2" xfId="35075" xr:uid="{7974922A-0F2F-4122-9A10-4DC80260700D}"/>
    <cellStyle name="Normal 3 3 5 4 3" xfId="35076" xr:uid="{EE912E9A-EC5C-4E9E-B48D-AD94EE42D664}"/>
    <cellStyle name="Normal 3 3 5 4 4" xfId="35077" xr:uid="{7035D578-FAA4-4626-9CAC-F52A4184FC20}"/>
    <cellStyle name="Normal 3 3 5 4 5" xfId="35078" xr:uid="{5B2091AE-C6BE-46E5-989C-8B9D9F6DF7DF}"/>
    <cellStyle name="Normal 3 3 5 4 6" xfId="35079" xr:uid="{E0E80C74-2CE8-4777-B377-F10BD91C0A13}"/>
    <cellStyle name="Normal 3 3 5 5" xfId="35080" xr:uid="{E4462DA6-FBE4-4655-9C6F-BABF31F6A84D}"/>
    <cellStyle name="Normal 3 3 5 5 2" xfId="35081" xr:uid="{49BC5E2D-8C2E-4F3A-B141-D8C55B2BFBE2}"/>
    <cellStyle name="Normal 3 3 5 5 3" xfId="35082" xr:uid="{6E0DF3B7-A66D-4B5A-8028-4510F9360973}"/>
    <cellStyle name="Normal 3 3 5 5 4" xfId="35083" xr:uid="{0A1D3513-8E6D-4F5D-B7F0-2A7B743CB94B}"/>
    <cellStyle name="Normal 3 3 5 5 5" xfId="35084" xr:uid="{CC91A7B9-2250-4A59-A36A-3490F72BC1C6}"/>
    <cellStyle name="Normal 3 3 5 5 6" xfId="35085" xr:uid="{4B85F0A3-AF9E-4C57-A3EE-5536D875CA15}"/>
    <cellStyle name="Normal 3 3 5 6" xfId="35086" xr:uid="{013C328C-784C-46C1-A996-2086C474B85A}"/>
    <cellStyle name="Normal 3 3 5 6 2" xfId="35087" xr:uid="{4D135A8D-DCF0-49C0-A417-7E57C58F0F87}"/>
    <cellStyle name="Normal 3 3 5 6 3" xfId="35088" xr:uid="{F7DE41DF-042D-4E14-8159-8AB12670DDCF}"/>
    <cellStyle name="Normal 3 3 5 6 4" xfId="35089" xr:uid="{23CAD94B-C4DA-41B1-BF18-60DD1E275C8E}"/>
    <cellStyle name="Normal 3 3 5 6 5" xfId="35090" xr:uid="{61676FC7-0D2B-459A-BD02-B398766A8838}"/>
    <cellStyle name="Normal 3 3 5 6 6" xfId="35091" xr:uid="{75A518D4-CB7B-405E-A5D2-5B194E1DB28D}"/>
    <cellStyle name="Normal 3 3 5 7" xfId="35092" xr:uid="{47C93692-C580-4AF9-B77C-E18E908022A8}"/>
    <cellStyle name="Normal 3 3 5 8" xfId="35093" xr:uid="{92126803-4B14-420B-A3F5-0FCE4939C38A}"/>
    <cellStyle name="Normal 3 3 5 9" xfId="35094" xr:uid="{C38FF475-1FD3-4C6F-9F98-6421EA2BDBDB}"/>
    <cellStyle name="Normal 3 3 6" xfId="35095" xr:uid="{4336ED7F-208D-4620-8699-451B84893195}"/>
    <cellStyle name="Normal 3 3 6 10" xfId="35096" xr:uid="{B564BDB9-1ED0-4E09-9472-274B74E7661B}"/>
    <cellStyle name="Normal 3 3 6 11" xfId="35097" xr:uid="{5789A844-4BC1-46FE-8F4E-7229398C3BC8}"/>
    <cellStyle name="Normal 3 3 6 2" xfId="35098" xr:uid="{E590A097-3E6E-456E-8171-9EF6DA6D4DE0}"/>
    <cellStyle name="Normal 3 3 6 2 2" xfId="35099" xr:uid="{976E886D-2FFB-4315-8BB6-33384E3EE77A}"/>
    <cellStyle name="Normal 3 3 6 2 3" xfId="35100" xr:uid="{29BA0A6E-E81F-41D3-ACFA-2E3087956085}"/>
    <cellStyle name="Normal 3 3 6 2 4" xfId="35101" xr:uid="{CB7E918E-11BB-4C4C-9CD3-6A808BB03E36}"/>
    <cellStyle name="Normal 3 3 6 2 5" xfId="35102" xr:uid="{9203712E-F61D-42E6-BCBE-09CC3D2DD498}"/>
    <cellStyle name="Normal 3 3 6 2 6" xfId="35103" xr:uid="{E6CA9EC0-8C2F-47C5-8396-641F50F63572}"/>
    <cellStyle name="Normal 3 3 6 3" xfId="35104" xr:uid="{B7418F55-B812-492C-A5FC-52B8140C6FBB}"/>
    <cellStyle name="Normal 3 3 6 3 2" xfId="35105" xr:uid="{A1AFE334-AA7F-48F8-A4A3-03A5DF103D65}"/>
    <cellStyle name="Normal 3 3 6 3 3" xfId="35106" xr:uid="{516C1783-24E5-4F0F-B8CA-9F3E27D43A84}"/>
    <cellStyle name="Normal 3 3 6 3 4" xfId="35107" xr:uid="{83A26F73-44F5-4A92-B20E-4083A3337B8D}"/>
    <cellStyle name="Normal 3 3 6 3 5" xfId="35108" xr:uid="{E4A29206-252E-4F28-937C-5C27CB0394C7}"/>
    <cellStyle name="Normal 3 3 6 3 6" xfId="35109" xr:uid="{D4C0552C-6ED8-4290-AE90-6C6A4876F311}"/>
    <cellStyle name="Normal 3 3 6 4" xfId="35110" xr:uid="{9C6DFDC0-2EF5-47CE-ABD8-6991B659CDFF}"/>
    <cellStyle name="Normal 3 3 6 4 2" xfId="35111" xr:uid="{6166F0DE-DF73-4D90-81E0-CA007DAB6EB0}"/>
    <cellStyle name="Normal 3 3 6 4 3" xfId="35112" xr:uid="{08E5CA6A-38E5-4BB8-9627-5E94EBF82106}"/>
    <cellStyle name="Normal 3 3 6 4 4" xfId="35113" xr:uid="{D95617CD-96C4-4325-A65A-78C88591256E}"/>
    <cellStyle name="Normal 3 3 6 4 5" xfId="35114" xr:uid="{B9EC5551-AA63-48A1-8831-E8CBD227FABA}"/>
    <cellStyle name="Normal 3 3 6 4 6" xfId="35115" xr:uid="{B56D1436-E4E3-4F41-8207-2C5E6A4BD185}"/>
    <cellStyle name="Normal 3 3 6 5" xfId="35116" xr:uid="{3725D42C-4376-439B-9396-CD0F7258402C}"/>
    <cellStyle name="Normal 3 3 6 5 2" xfId="35117" xr:uid="{732E6443-4DE0-467F-8FDC-633FDF65739F}"/>
    <cellStyle name="Normal 3 3 6 5 3" xfId="35118" xr:uid="{5B9E21FE-FD84-475B-A4BF-4D61B9AC1EDD}"/>
    <cellStyle name="Normal 3 3 6 5 4" xfId="35119" xr:uid="{86BD5258-E7C7-4D72-944E-758C4CBF0EE7}"/>
    <cellStyle name="Normal 3 3 6 5 5" xfId="35120" xr:uid="{66E3D1D7-C323-434B-997A-E2C91E289939}"/>
    <cellStyle name="Normal 3 3 6 5 6" xfId="35121" xr:uid="{84C7DCCA-F965-4281-ADFA-6E230497C614}"/>
    <cellStyle name="Normal 3 3 6 6" xfId="35122" xr:uid="{09FCE89D-3AC2-4A0B-ADEE-FAB0EAF23281}"/>
    <cellStyle name="Normal 3 3 6 6 2" xfId="35123" xr:uid="{F0DCDF94-EF13-40BA-A3BF-C7251C01C31C}"/>
    <cellStyle name="Normal 3 3 6 6 3" xfId="35124" xr:uid="{D8E73DA9-2985-4C72-A315-FDEFFEC40416}"/>
    <cellStyle name="Normal 3 3 6 6 4" xfId="35125" xr:uid="{47D83167-4535-4903-9C11-E34108C70610}"/>
    <cellStyle name="Normal 3 3 6 6 5" xfId="35126" xr:uid="{A6BCF055-7E0E-4FCE-BBAF-0D03C684AEF0}"/>
    <cellStyle name="Normal 3 3 6 6 6" xfId="35127" xr:uid="{EC65AE86-4452-4173-8E1C-D6419E938F7A}"/>
    <cellStyle name="Normal 3 3 6 7" xfId="35128" xr:uid="{56DB4217-4A48-47EE-A4EF-D585DCC7FD12}"/>
    <cellStyle name="Normal 3 3 6 8" xfId="35129" xr:uid="{4D42AEF5-38A6-42B8-B78E-2948E3305ED5}"/>
    <cellStyle name="Normal 3 3 6 9" xfId="35130" xr:uid="{D2261F7E-F81D-482B-9F0E-8F9307A5D761}"/>
    <cellStyle name="Normal 3 3 7" xfId="35131" xr:uid="{B9B814CA-2C92-4875-94D6-B2F6D691DA12}"/>
    <cellStyle name="Normal 3 3 7 10" xfId="35132" xr:uid="{57EB4ABB-81A5-40B6-9720-6114F67EA7FC}"/>
    <cellStyle name="Normal 3 3 7 11" xfId="35133" xr:uid="{90EC3529-2A80-4BBF-B973-F844927CD529}"/>
    <cellStyle name="Normal 3 3 7 2" xfId="35134" xr:uid="{82F1120D-E982-488A-B39A-4925CE91EA4F}"/>
    <cellStyle name="Normal 3 3 7 2 2" xfId="35135" xr:uid="{5AA24C3E-26DB-48F1-93CE-934CADD62B0A}"/>
    <cellStyle name="Normal 3 3 7 2 3" xfId="35136" xr:uid="{A4AE2BB9-6B18-42BF-A727-368950E80C7F}"/>
    <cellStyle name="Normal 3 3 7 2 4" xfId="35137" xr:uid="{304DA879-2F16-423B-8E81-6FA6D2E52D2F}"/>
    <cellStyle name="Normal 3 3 7 2 5" xfId="35138" xr:uid="{9D991343-8B24-4B83-9976-721103BA2DE7}"/>
    <cellStyle name="Normal 3 3 7 2 6" xfId="35139" xr:uid="{5BBD710C-6AC3-45C6-8FFA-DC6D4663C253}"/>
    <cellStyle name="Normal 3 3 7 3" xfId="35140" xr:uid="{65E6CF45-2DF4-4E62-AC3B-2B4B242D633A}"/>
    <cellStyle name="Normal 3 3 7 3 2" xfId="35141" xr:uid="{D7B2B724-2E8B-4500-9932-D7FF1D494C84}"/>
    <cellStyle name="Normal 3 3 7 3 3" xfId="35142" xr:uid="{B6B889AD-87BF-4549-9C40-F5BA1D340194}"/>
    <cellStyle name="Normal 3 3 7 3 4" xfId="35143" xr:uid="{88A92607-D265-403B-978A-24D6EF494127}"/>
    <cellStyle name="Normal 3 3 7 3 5" xfId="35144" xr:uid="{19ECE5B6-CEEB-4FFF-A5B7-23AA136CAAF4}"/>
    <cellStyle name="Normal 3 3 7 3 6" xfId="35145" xr:uid="{04EC4015-0D7E-41F7-ACC4-3F42B0E29E1B}"/>
    <cellStyle name="Normal 3 3 7 4" xfId="35146" xr:uid="{4E712A79-9499-4C8E-8FEE-B67BA78ED946}"/>
    <cellStyle name="Normal 3 3 7 4 2" xfId="35147" xr:uid="{F9BD41CA-FE65-4FAB-886D-0D077C796E41}"/>
    <cellStyle name="Normal 3 3 7 4 3" xfId="35148" xr:uid="{86582E41-7AE7-4258-BFBB-C53222052B50}"/>
    <cellStyle name="Normal 3 3 7 4 4" xfId="35149" xr:uid="{BB6AD93D-7869-4CA9-AB8F-34A247C1B41C}"/>
    <cellStyle name="Normal 3 3 7 4 5" xfId="35150" xr:uid="{4CD83C56-97DF-4C60-B6D5-F30111077B36}"/>
    <cellStyle name="Normal 3 3 7 4 6" xfId="35151" xr:uid="{98BD3458-74F9-4AAD-8983-C92CBD4055C5}"/>
    <cellStyle name="Normal 3 3 7 5" xfId="35152" xr:uid="{14E457ED-829D-438D-9FEE-61C76572DD18}"/>
    <cellStyle name="Normal 3 3 7 5 2" xfId="35153" xr:uid="{2D9DAB1B-486A-4AA7-BAF8-D7283ADC2655}"/>
    <cellStyle name="Normal 3 3 7 5 3" xfId="35154" xr:uid="{8EB645AF-CE6D-4D21-A487-3F43FBD68E5C}"/>
    <cellStyle name="Normal 3 3 7 5 4" xfId="35155" xr:uid="{7DD94A0B-F3D8-4C86-97C3-945A03DE9049}"/>
    <cellStyle name="Normal 3 3 7 5 5" xfId="35156" xr:uid="{80C61D65-0488-4EE6-ADCE-29962264CC93}"/>
    <cellStyle name="Normal 3 3 7 5 6" xfId="35157" xr:uid="{D0A3F1A1-FCCD-4309-A586-3A3BBF1E2AEE}"/>
    <cellStyle name="Normal 3 3 7 6" xfId="35158" xr:uid="{B29AE0E8-66A0-4C92-9ACA-930182A99355}"/>
    <cellStyle name="Normal 3 3 7 6 2" xfId="35159" xr:uid="{B1B028BB-9329-4E39-889C-5750ACAB3CDF}"/>
    <cellStyle name="Normal 3 3 7 6 3" xfId="35160" xr:uid="{239D8812-3C4C-465E-BC79-C22FFDC6F6D9}"/>
    <cellStyle name="Normal 3 3 7 6 4" xfId="35161" xr:uid="{AC56442A-9917-4526-86EB-93250516BC9F}"/>
    <cellStyle name="Normal 3 3 7 6 5" xfId="35162" xr:uid="{670FC534-E7E0-43A3-96E5-1FC0E21DDA28}"/>
    <cellStyle name="Normal 3 3 7 6 6" xfId="35163" xr:uid="{BF6CC207-EF28-4063-B7BE-237542F19057}"/>
    <cellStyle name="Normal 3 3 7 7" xfId="35164" xr:uid="{B90CCF45-F9B9-4B48-8F00-BF702076876E}"/>
    <cellStyle name="Normal 3 3 7 8" xfId="35165" xr:uid="{0AE01E06-8147-4CD6-BC01-934884543CEF}"/>
    <cellStyle name="Normal 3 3 7 9" xfId="35166" xr:uid="{34C7CD60-63CB-4F0A-9484-DD184504BBE8}"/>
    <cellStyle name="Normal 3 3 8" xfId="35167" xr:uid="{83A556C3-7691-4225-85B3-0356CAC88272}"/>
    <cellStyle name="Normal 3 3 8 10" xfId="35168" xr:uid="{B065949F-35CC-406D-A4D3-0F8F2F540CE4}"/>
    <cellStyle name="Normal 3 3 8 11" xfId="35169" xr:uid="{439D50E6-816F-413D-84CA-262C97A4B8C2}"/>
    <cellStyle name="Normal 3 3 8 2" xfId="35170" xr:uid="{F579ADEF-C6B7-4482-90F9-797EDF7BD7C1}"/>
    <cellStyle name="Normal 3 3 8 2 2" xfId="35171" xr:uid="{04A926EA-04BD-4B36-A35A-667544DC3BFF}"/>
    <cellStyle name="Normal 3 3 8 2 3" xfId="35172" xr:uid="{0CE16D0E-0CD3-459D-A509-CF0FC648406B}"/>
    <cellStyle name="Normal 3 3 8 2 4" xfId="35173" xr:uid="{1C292874-7A7C-49F5-9F5B-8815260C2632}"/>
    <cellStyle name="Normal 3 3 8 2 5" xfId="35174" xr:uid="{E3BEF38E-FB92-4669-8840-0BF28942DB6E}"/>
    <cellStyle name="Normal 3 3 8 2 6" xfId="35175" xr:uid="{89161252-639B-4C63-A8C0-FA5A9FB61727}"/>
    <cellStyle name="Normal 3 3 8 3" xfId="35176" xr:uid="{5BAC2C71-97A2-4CE1-8846-ADB7282BF3B6}"/>
    <cellStyle name="Normal 3 3 8 3 2" xfId="35177" xr:uid="{4136AD95-3E21-48D1-BD31-4CDB17427A10}"/>
    <cellStyle name="Normal 3 3 8 3 3" xfId="35178" xr:uid="{A5CED86A-48B0-48AB-991F-15FE6DFF1F89}"/>
    <cellStyle name="Normal 3 3 8 3 4" xfId="35179" xr:uid="{5C73EB0A-F121-4A9B-8A5D-C339C5065902}"/>
    <cellStyle name="Normal 3 3 8 3 5" xfId="35180" xr:uid="{8263E42B-BA1F-4DDD-9C60-27C2EC315390}"/>
    <cellStyle name="Normal 3 3 8 3 6" xfId="35181" xr:uid="{FBCC3995-6CB5-40B6-B26C-DAE2B1BBEF2D}"/>
    <cellStyle name="Normal 3 3 8 4" xfId="35182" xr:uid="{3B3E96BC-02D2-43D9-A94A-8F50B3884FC7}"/>
    <cellStyle name="Normal 3 3 8 4 2" xfId="35183" xr:uid="{D9DF8383-699D-4C7F-ACD7-F812CC401C2E}"/>
    <cellStyle name="Normal 3 3 8 4 3" xfId="35184" xr:uid="{0742AE4B-3CBB-4B92-9D33-A625B3E7C27E}"/>
    <cellStyle name="Normal 3 3 8 4 4" xfId="35185" xr:uid="{4F240646-15CA-4359-860D-1DB1E4EBCA0B}"/>
    <cellStyle name="Normal 3 3 8 4 5" xfId="35186" xr:uid="{C5434FD7-9D83-4C7C-88AC-BB8FD2F10A63}"/>
    <cellStyle name="Normal 3 3 8 4 6" xfId="35187" xr:uid="{928F2BA0-D506-4D5F-8DF0-F09B6A3023D7}"/>
    <cellStyle name="Normal 3 3 8 5" xfId="35188" xr:uid="{5E6DC4FE-AE2D-4957-AE92-AB9D5B4A8F2A}"/>
    <cellStyle name="Normal 3 3 8 5 2" xfId="35189" xr:uid="{AAEC939C-7DD4-434B-9470-80975969493E}"/>
    <cellStyle name="Normal 3 3 8 5 3" xfId="35190" xr:uid="{FFD493EE-A5FA-48C9-A520-A0F2AC36E17E}"/>
    <cellStyle name="Normal 3 3 8 5 4" xfId="35191" xr:uid="{9104BF94-7781-4D15-9B38-7ED8163CA4CB}"/>
    <cellStyle name="Normal 3 3 8 5 5" xfId="35192" xr:uid="{276ACD73-B0EB-4598-816C-56DB2C10AC12}"/>
    <cellStyle name="Normal 3 3 8 5 6" xfId="35193" xr:uid="{9DED757C-F19C-4D03-817F-C8A160BD06A4}"/>
    <cellStyle name="Normal 3 3 8 6" xfId="35194" xr:uid="{6F0B4565-7A5C-4EAE-A4EA-0ED50AB561BD}"/>
    <cellStyle name="Normal 3 3 8 6 2" xfId="35195" xr:uid="{1A2EF0B5-0C24-4F0E-87B4-AC5CCD3C93FC}"/>
    <cellStyle name="Normal 3 3 8 6 3" xfId="35196" xr:uid="{EBDF9181-1930-4F58-9AF2-5C263E41E20A}"/>
    <cellStyle name="Normal 3 3 8 6 4" xfId="35197" xr:uid="{4925BEE1-9FA2-4481-B7C4-23A7619D0BEE}"/>
    <cellStyle name="Normal 3 3 8 6 5" xfId="35198" xr:uid="{B09FA2EB-8380-4F81-8C25-D38525867D8B}"/>
    <cellStyle name="Normal 3 3 8 6 6" xfId="35199" xr:uid="{A3500614-4A17-4DC7-8A91-CD970EAAA6CB}"/>
    <cellStyle name="Normal 3 3 8 7" xfId="35200" xr:uid="{8651E82C-A6A4-4A46-A638-BEFA3EA460AB}"/>
    <cellStyle name="Normal 3 3 8 8" xfId="35201" xr:uid="{12EF1DAF-8F86-4CFF-96CC-D1CC1EF5AC28}"/>
    <cellStyle name="Normal 3 3 8 9" xfId="35202" xr:uid="{44E4B7D6-E385-41ED-949A-19DFF06074A7}"/>
    <cellStyle name="Normal 3 3 9" xfId="35203" xr:uid="{6E4E710F-6592-498B-98F9-5074E9CF0191}"/>
    <cellStyle name="Normal 3 3 9 10" xfId="35204" xr:uid="{90C241F5-306F-4D00-9439-A24604607DE5}"/>
    <cellStyle name="Normal 3 3 9 11" xfId="35205" xr:uid="{CC95AF7C-B2EA-4FB8-B064-20C889583EEE}"/>
    <cellStyle name="Normal 3 3 9 2" xfId="35206" xr:uid="{345A919F-4873-44D9-8681-FD470E6AC54B}"/>
    <cellStyle name="Normal 3 3 9 2 2" xfId="35207" xr:uid="{14C34735-EF49-4FAF-8D86-9FAA24E8F7FC}"/>
    <cellStyle name="Normal 3 3 9 2 3" xfId="35208" xr:uid="{034A3892-4C57-4DD2-BDD1-C26704ECE944}"/>
    <cellStyle name="Normal 3 3 9 2 4" xfId="35209" xr:uid="{08C955F9-F036-499B-9446-83215EF2394C}"/>
    <cellStyle name="Normal 3 3 9 2 5" xfId="35210" xr:uid="{83E146AA-85DE-44C0-A657-DAB882A6E1B7}"/>
    <cellStyle name="Normal 3 3 9 2 6" xfId="35211" xr:uid="{1AB3BE65-3791-4F99-A688-9DB34F9F945F}"/>
    <cellStyle name="Normal 3 3 9 3" xfId="35212" xr:uid="{BF3A1895-05C5-464E-8444-F722BCDE6C5A}"/>
    <cellStyle name="Normal 3 3 9 3 2" xfId="35213" xr:uid="{18B7F837-4BC0-4660-87DC-AD50D3B25C43}"/>
    <cellStyle name="Normal 3 3 9 3 3" xfId="35214" xr:uid="{06E0B685-5DD3-4A4E-B6B0-2F91D96E2C53}"/>
    <cellStyle name="Normal 3 3 9 3 4" xfId="35215" xr:uid="{33A34A64-B02E-4209-A2F3-E3C1E7582167}"/>
    <cellStyle name="Normal 3 3 9 3 5" xfId="35216" xr:uid="{EF89D5E2-B5D0-446D-9545-28E744BDDED5}"/>
    <cellStyle name="Normal 3 3 9 3 6" xfId="35217" xr:uid="{951449A0-677F-4CEE-BBBA-D8105D86C545}"/>
    <cellStyle name="Normal 3 3 9 4" xfId="35218" xr:uid="{9315292F-3CEB-475C-B7E5-348D20A31CD9}"/>
    <cellStyle name="Normal 3 3 9 4 2" xfId="35219" xr:uid="{702A137E-0EBC-4366-A711-87ADB53C99B0}"/>
    <cellStyle name="Normal 3 3 9 4 3" xfId="35220" xr:uid="{83A1FDAD-5740-4D0A-A6B6-70459C03FC0A}"/>
    <cellStyle name="Normal 3 3 9 4 4" xfId="35221" xr:uid="{9E70EBB8-C57A-4D76-A02F-80B9DAA3CAF7}"/>
    <cellStyle name="Normal 3 3 9 4 5" xfId="35222" xr:uid="{BF7D4FA0-F0A8-462E-A75B-50851BF4EF61}"/>
    <cellStyle name="Normal 3 3 9 4 6" xfId="35223" xr:uid="{1F5F4AFA-5A5B-4AE0-AC6D-572DAC86961C}"/>
    <cellStyle name="Normal 3 3 9 5" xfId="35224" xr:uid="{44FD46DD-29BA-4DDA-9F10-1E3E66B7FBB5}"/>
    <cellStyle name="Normal 3 3 9 5 2" xfId="35225" xr:uid="{E482B587-A64C-4BC6-BB27-128C376AA399}"/>
    <cellStyle name="Normal 3 3 9 5 3" xfId="35226" xr:uid="{C7BAE456-A271-4453-9288-020C8407D8CD}"/>
    <cellStyle name="Normal 3 3 9 5 4" xfId="35227" xr:uid="{9709C94A-4716-46BD-8CFC-87A89F6516A7}"/>
    <cellStyle name="Normal 3 3 9 5 5" xfId="35228" xr:uid="{0AE6AE5A-8017-4021-88B8-2B22CB7B8E29}"/>
    <cellStyle name="Normal 3 3 9 5 6" xfId="35229" xr:uid="{AD014EC3-5389-44F9-AAB1-A3AD4BEBBF42}"/>
    <cellStyle name="Normal 3 3 9 6" xfId="35230" xr:uid="{338966C8-88C0-4730-83D8-FFA4FD84CBBB}"/>
    <cellStyle name="Normal 3 3 9 6 2" xfId="35231" xr:uid="{E4D13206-3939-48B9-8DD6-80BD6A5FB258}"/>
    <cellStyle name="Normal 3 3 9 6 3" xfId="35232" xr:uid="{8B7C45CC-D413-45EA-A77B-ED9ABC192961}"/>
    <cellStyle name="Normal 3 3 9 6 4" xfId="35233" xr:uid="{38DD545D-3D7E-4F0F-B5F6-1474E2209562}"/>
    <cellStyle name="Normal 3 3 9 6 5" xfId="35234" xr:uid="{E91B7E15-5925-4056-A4A3-DC504024050B}"/>
    <cellStyle name="Normal 3 3 9 6 6" xfId="35235" xr:uid="{EB62C0D0-AC42-4C0C-AC69-09B7B5062A76}"/>
    <cellStyle name="Normal 3 3 9 7" xfId="35236" xr:uid="{CF19E2D0-0770-4918-8819-48058A132E8E}"/>
    <cellStyle name="Normal 3 3 9 8" xfId="35237" xr:uid="{770F7293-A417-4201-9496-7EBF55161289}"/>
    <cellStyle name="Normal 3 3 9 9" xfId="35238" xr:uid="{42A302A0-882E-43B8-930B-B754E08F8860}"/>
    <cellStyle name="Normal 3 30" xfId="35239" xr:uid="{2741B43D-EA63-4651-9E35-8915DC3D1CC7}"/>
    <cellStyle name="Normal 3 30 2" xfId="35240" xr:uid="{16F3335C-ABE4-45DA-B41B-25BF6F984A23}"/>
    <cellStyle name="Normal 3 31" xfId="35241" xr:uid="{CBE3FBDB-83CE-48A0-AA95-1B1C54BDDBEA}"/>
    <cellStyle name="Normal 3 31 2" xfId="35242" xr:uid="{2840AE32-CE77-4C23-B4C7-F53389787D8B}"/>
    <cellStyle name="Normal 3 32" xfId="35243" xr:uid="{FFC29679-6C55-4641-ABCC-5ECB32044185}"/>
    <cellStyle name="Normal 3 33" xfId="35244" xr:uid="{42B5CCC3-32AB-4B15-BCAB-520A3A32C955}"/>
    <cellStyle name="Normal 3 34" xfId="35245" xr:uid="{D83D738C-1D10-4E8D-A160-0E8D49003B4B}"/>
    <cellStyle name="Normal 3 35" xfId="35246" xr:uid="{8DD6956B-5CD6-4684-8298-6BD3523F9766}"/>
    <cellStyle name="Normal 3 36" xfId="35247" xr:uid="{1CDCD683-B03B-42A0-BD5D-65492F51EE08}"/>
    <cellStyle name="Normal 3 37" xfId="35248" xr:uid="{C94EA8D4-2DA4-413A-8B18-A9AAADE41E38}"/>
    <cellStyle name="Normal 3 38" xfId="35249" xr:uid="{6EF5530B-E38D-4B27-BB9F-FC14ACF133D2}"/>
    <cellStyle name="Normal 3 39" xfId="35250" xr:uid="{DE48C6D9-8646-40BF-BACE-352EC85FB6F6}"/>
    <cellStyle name="Normal 3 4" xfId="194" xr:uid="{610F1B3E-E72F-4F7F-96F4-E78453D795D6}"/>
    <cellStyle name="Normal 3 4 10" xfId="35251" xr:uid="{102F08AB-F46C-4AEB-AF4E-E4201AF046FC}"/>
    <cellStyle name="Normal 3 4 2" xfId="35252" xr:uid="{8F13B6F3-22D6-4340-A06F-8A38FD0F5E50}"/>
    <cellStyle name="Normal 3 4 3" xfId="35253" xr:uid="{C9147448-E660-41AA-B09A-5FC82673C784}"/>
    <cellStyle name="Normal 3 4 4" xfId="35254" xr:uid="{8FE5E9A0-1F78-4DAF-A645-071E259936D8}"/>
    <cellStyle name="Normal 3 4 5" xfId="35255" xr:uid="{341672A8-DB4B-412E-94B3-A16E6336A9E7}"/>
    <cellStyle name="Normal 3 4 6" xfId="35256" xr:uid="{7FD5BDD3-C395-4EE1-84D4-F6493FD43EDF}"/>
    <cellStyle name="Normal 3 4 7" xfId="35257" xr:uid="{CEBA7B7A-97E9-469A-ABC9-ADE4854303CE}"/>
    <cellStyle name="Normal 3 4 8" xfId="35258" xr:uid="{3F4A84BD-C5DC-4F1E-8448-012FEFDB85CD}"/>
    <cellStyle name="Normal 3 4 9" xfId="35259" xr:uid="{011029F1-36A0-43A3-85D1-4A63A61C7EC7}"/>
    <cellStyle name="Normal 3 40" xfId="35260" xr:uid="{8ABD62C9-5BC5-4712-863E-DBC5C5663AC9}"/>
    <cellStyle name="Normal 3 41" xfId="35261" xr:uid="{2366A61D-6ACE-4E54-A4EC-523FE4686EA5}"/>
    <cellStyle name="Normal 3 42" xfId="35262" xr:uid="{36E8DCE4-6078-44C1-BC98-4B040CBAD763}"/>
    <cellStyle name="Normal 3 43" xfId="35263" xr:uid="{A303F1A4-A6E4-411A-985D-7546330EAE6A}"/>
    <cellStyle name="Normal 3 44" xfId="35264" xr:uid="{8CBBC96E-3D96-4652-A02E-1B4299A66A39}"/>
    <cellStyle name="Normal 3 45" xfId="35265" xr:uid="{84E91AF8-7240-4944-B163-2CD50A512CB0}"/>
    <cellStyle name="Normal 3 46" xfId="35266" xr:uid="{1A22FEAB-FEE0-43EC-B01D-1F709270C720}"/>
    <cellStyle name="Normal 3 47" xfId="22878" xr:uid="{3AD9BAA2-F804-4EFA-8EBF-A48CBA29355B}"/>
    <cellStyle name="Normal 3 5" xfId="195" xr:uid="{5EC3BEDA-B04A-4D8E-9301-BA55729E41AE}"/>
    <cellStyle name="Normal 3 5 2" xfId="35268" xr:uid="{2EF7FBDB-F481-4290-9DBF-8BF8F884B239}"/>
    <cellStyle name="Normal 3 5 3" xfId="35269" xr:uid="{4B49990A-1A68-4898-9365-AC763E9B01EA}"/>
    <cellStyle name="Normal 3 5 4" xfId="35270" xr:uid="{410221AB-072D-45E9-8D9F-86B0911A5F25}"/>
    <cellStyle name="Normal 3 5 5" xfId="35271" xr:uid="{044F5485-88A4-4D44-A52A-4D7163A9647C}"/>
    <cellStyle name="Normal 3 5 6" xfId="35272" xr:uid="{54E1395C-A01A-4618-A9CB-A4A22CD3E702}"/>
    <cellStyle name="Normal 3 5 7" xfId="35273" xr:uid="{28F88CBE-4CB3-4E91-AA2B-66828AF2DFCF}"/>
    <cellStyle name="Normal 3 5 8" xfId="35274" xr:uid="{31EEAEFC-6790-480B-BBF0-108D56F5E08A}"/>
    <cellStyle name="Normal 3 5 9" xfId="35267" xr:uid="{E3979CEE-4CC8-433B-AE4D-F9D1B5E661D4}"/>
    <cellStyle name="Normal 3 6" xfId="196" xr:uid="{05202BA3-B340-49BA-A2F6-AD28210658A2}"/>
    <cellStyle name="Normal 3 6 2" xfId="35276" xr:uid="{81FABAF6-20B8-416D-B460-EA3B17214515}"/>
    <cellStyle name="Normal 3 6 3" xfId="35277" xr:uid="{BE954979-4255-4A86-B84E-9A2847F48026}"/>
    <cellStyle name="Normal 3 6 4" xfId="35278" xr:uid="{E44EF534-D4D9-4E06-9ED2-F0A7B7F90490}"/>
    <cellStyle name="Normal 3 6 5" xfId="35279" xr:uid="{94D6A4E6-409E-4F6C-932D-E164CD058D5D}"/>
    <cellStyle name="Normal 3 6 6" xfId="35280" xr:uid="{AEA2BE39-D8DE-4ADA-B68E-7CAF12558815}"/>
    <cellStyle name="Normal 3 6 7" xfId="35281" xr:uid="{BE6B5C92-F82A-4297-BDC4-95B5B61C53B4}"/>
    <cellStyle name="Normal 3 6 8" xfId="35282" xr:uid="{8B90D8AE-1B79-489A-B475-F0C90A14EB18}"/>
    <cellStyle name="Normal 3 6 9" xfId="35275" xr:uid="{DF360C99-79C6-4579-A6F1-31A895A473D5}"/>
    <cellStyle name="Normal 3 7" xfId="197" xr:uid="{39B469A8-0B87-40FB-B75E-D1EA24B85613}"/>
    <cellStyle name="Normal 3 7 2" xfId="35284" xr:uid="{DFB35744-7BE9-4C7C-911E-365F5C8DF224}"/>
    <cellStyle name="Normal 3 7 2 2" xfId="35285" xr:uid="{B9A9F60A-CC38-44E0-8FF9-FB690CFB5D47}"/>
    <cellStyle name="Normal 3 7 3" xfId="35286" xr:uid="{8B684108-2034-4C65-8BCB-8AC22192A9B2}"/>
    <cellStyle name="Normal 3 7 4" xfId="35287" xr:uid="{CB5CD5E8-6051-473C-95A9-EB0B85950332}"/>
    <cellStyle name="Normal 3 7 5" xfId="35288" xr:uid="{1DDD52F3-CA8D-4473-B942-EFCB61F69016}"/>
    <cellStyle name="Normal 3 7 6" xfId="35289" xr:uid="{64FEC7B3-81AB-41F6-9DA8-645762868D7C}"/>
    <cellStyle name="Normal 3 7 7" xfId="35290" xr:uid="{6F40007E-06F7-4AEC-9C95-8732407F9862}"/>
    <cellStyle name="Normal 3 7 8" xfId="35291" xr:uid="{77BE428C-11BE-4F09-814A-0F0085118A2D}"/>
    <cellStyle name="Normal 3 7 9" xfId="35283" xr:uid="{5D93D4CD-5402-4DFA-B07E-643A94755C19}"/>
    <cellStyle name="Normal 3 8" xfId="198" xr:uid="{25F127AD-FD7D-4A12-A383-EE139FF612BD}"/>
    <cellStyle name="Normal 3 8 2" xfId="35293" xr:uid="{CBE1F371-E529-486B-9F8D-50BCF10DF204}"/>
    <cellStyle name="Normal 3 8 2 2" xfId="35294" xr:uid="{E29676F4-890F-48A6-BBF5-2A6E61896970}"/>
    <cellStyle name="Normal 3 8 3" xfId="35295" xr:uid="{6CB92BD2-4A30-43D1-AE68-C1E8410E14ED}"/>
    <cellStyle name="Normal 3 8 4" xfId="35296" xr:uid="{2E9CD7E8-08CE-41D2-B917-630EEE6BE294}"/>
    <cellStyle name="Normal 3 8 5" xfId="35292" xr:uid="{B8910E5E-556D-4B65-A009-9D8EC4DD13A0}"/>
    <cellStyle name="Normal 3 9" xfId="199" xr:uid="{E860F8BA-0B76-4DFA-8A51-58DB50D5486F}"/>
    <cellStyle name="Normal 3 9 2" xfId="35298" xr:uid="{D1F68087-767D-4FD3-B4B7-74C3261C34E2}"/>
    <cellStyle name="Normal 3 9 3" xfId="35299" xr:uid="{6513C666-9F6D-4846-B64C-39D282DAA78C}"/>
    <cellStyle name="Normal 3 9 4" xfId="35300" xr:uid="{E89F6F38-79CB-4CE1-A30F-E7EE60D132B3}"/>
    <cellStyle name="Normal 3 9 5" xfId="35301" xr:uid="{D2704F25-C86C-4940-8960-CDA278306FED}"/>
    <cellStyle name="Normal 3 9 6" xfId="35297" xr:uid="{C00533A4-2C72-48E7-A825-20C5F1F4E82D}"/>
    <cellStyle name="Normal 3_April 17_Updated labor demand figures May 12 workshop" xfId="35302" xr:uid="{C7303F58-6673-4739-9869-6314353439AC}"/>
    <cellStyle name="Normal 30" xfId="200" xr:uid="{5DBBE119-12D7-4CBC-BC56-4FD46BC4606F}"/>
    <cellStyle name="Normal 30 10" xfId="35304" xr:uid="{C773DB48-2671-474B-B860-8354BE84E469}"/>
    <cellStyle name="Normal 30 11" xfId="35305" xr:uid="{68361F9D-1801-4F46-A95F-33843E1365BA}"/>
    <cellStyle name="Normal 30 12" xfId="35306" xr:uid="{5C1ABA16-F02E-4BB8-A694-88BA8BE78836}"/>
    <cellStyle name="Normal 30 13" xfId="35307" xr:uid="{BC758067-F65A-4445-9B14-DC52BA23FB38}"/>
    <cellStyle name="Normal 30 14" xfId="35308" xr:uid="{AC109591-2861-4C80-8E94-79DFAA91C496}"/>
    <cellStyle name="Normal 30 15" xfId="35309" xr:uid="{3AD31CAE-CFAD-4523-810F-790066458F95}"/>
    <cellStyle name="Normal 30 16" xfId="35310" xr:uid="{ADAA83AD-3018-4BA4-A9E9-C1B4063706B2}"/>
    <cellStyle name="Normal 30 17" xfId="35303" xr:uid="{B69190CF-FBDB-4407-BB14-525329DF634D}"/>
    <cellStyle name="Normal 30 2" xfId="35311" xr:uid="{97CF3AF8-C660-44A0-A300-8A5E1B3E1762}"/>
    <cellStyle name="Normal 30 3" xfId="35312" xr:uid="{1000AE1E-E504-4F32-B04A-B759BE02F93A}"/>
    <cellStyle name="Normal 30 4" xfId="35313" xr:uid="{4E926848-EEFC-4C31-91CB-419E55A90C17}"/>
    <cellStyle name="Normal 30 5" xfId="35314" xr:uid="{8CFCC789-3278-4235-8B18-E7C56FD5D2BA}"/>
    <cellStyle name="Normal 30 6" xfId="35315" xr:uid="{D28E5287-9D84-4E04-B7D5-8A65D72AE4BF}"/>
    <cellStyle name="Normal 30 7" xfId="35316" xr:uid="{3B1DFE3E-335D-47C0-97BA-E92CD784AD64}"/>
    <cellStyle name="Normal 30 8" xfId="35317" xr:uid="{7FBFC2AC-F100-499E-BF5B-62D17DD0903A}"/>
    <cellStyle name="Normal 30 9" xfId="35318" xr:uid="{8C1911AA-88DE-42E5-B26C-EB44ABE46402}"/>
    <cellStyle name="Normal 31" xfId="201" xr:uid="{48CD6BE4-51DE-4EDA-A672-ED27ED414DDF}"/>
    <cellStyle name="Normal 31 2" xfId="35320" xr:uid="{96F238F2-60A6-4EA2-BFEF-5D323EC14F1D}"/>
    <cellStyle name="Normal 31 3" xfId="35319" xr:uid="{C89D9DBE-F65D-4973-87C9-10FE7673FA6A}"/>
    <cellStyle name="Normal 32" xfId="202" xr:uid="{A6C8FE44-530B-496E-881E-DE250AB9D905}"/>
    <cellStyle name="Normal 32 2" xfId="35322" xr:uid="{FBD6BB19-4EB1-4AD1-BF4C-1D735F205BF9}"/>
    <cellStyle name="Normal 32 3" xfId="35323" xr:uid="{BECA335B-A8D9-4E79-857B-B63AB936D5F7}"/>
    <cellStyle name="Normal 32 4" xfId="35324" xr:uid="{EDE1978F-A079-401D-ADE9-C23241623BF5}"/>
    <cellStyle name="Normal 32 5" xfId="35325" xr:uid="{E066BAFD-FB5D-43BB-9A19-C3D99F4D2292}"/>
    <cellStyle name="Normal 32 6" xfId="35321" xr:uid="{62FE2103-C900-47D9-A78C-41BB184949B0}"/>
    <cellStyle name="Normal 33" xfId="203" xr:uid="{6FFAAB36-6B36-4E20-8538-4098F4C9487E}"/>
    <cellStyle name="Normal 33 2" xfId="35327" xr:uid="{D17635FC-88B9-47EB-9BDF-008B5A251C14}"/>
    <cellStyle name="Normal 33 3" xfId="35328" xr:uid="{8F5B5170-651A-4630-BCCB-E34DC5C79E25}"/>
    <cellStyle name="Normal 33 4" xfId="35329" xr:uid="{70F21DDD-553B-41E7-8BBB-D8ABA3A79F9F}"/>
    <cellStyle name="Normal 33 5" xfId="35330" xr:uid="{1D42A65E-3BD4-400D-8D41-FE6E37485C38}"/>
    <cellStyle name="Normal 33 6" xfId="35331" xr:uid="{C15E030A-4B62-4D0B-925E-B1582064DF4C}"/>
    <cellStyle name="Normal 33 7" xfId="35332" xr:uid="{1DA59EBD-D702-47DF-81E4-4FCFD8A74749}"/>
    <cellStyle name="Normal 33 8" xfId="35326" xr:uid="{9348A559-BDD8-4B0F-9AB8-9ED8426D015B}"/>
    <cellStyle name="Normal 34" xfId="204" xr:uid="{C45F5C8D-A57A-4E78-9776-B9EBA1F4A57C}"/>
    <cellStyle name="Normal 34 10" xfId="35334" xr:uid="{8BEB4CC7-A5C9-4949-9A1A-B0D15CAD8150}"/>
    <cellStyle name="Normal 34 11" xfId="35333" xr:uid="{87053F81-7F72-4C8A-A3B7-59D67E835194}"/>
    <cellStyle name="Normal 34 2" xfId="35335" xr:uid="{01A13AD9-9450-40EE-BD2B-CC11CD1131AB}"/>
    <cellStyle name="Normal 34 3" xfId="35336" xr:uid="{E0F206F5-19CF-43E0-901F-7AB13C373442}"/>
    <cellStyle name="Normal 34 4" xfId="35337" xr:uid="{3A729B9E-D060-4EA5-BED8-2329BB28349A}"/>
    <cellStyle name="Normal 34 5" xfId="35338" xr:uid="{DD52C141-0A71-4E63-B8A5-8DBC5B4F33EC}"/>
    <cellStyle name="Normal 34 6" xfId="35339" xr:uid="{84408E3C-7CE9-47F5-9F02-F75BF8E76E7B}"/>
    <cellStyle name="Normal 34 7" xfId="35340" xr:uid="{CDA67A89-3F2C-4BB5-88FF-2B4BA904437F}"/>
    <cellStyle name="Normal 34 8" xfId="35341" xr:uid="{391401FE-02D5-45AB-8101-EE074CC573ED}"/>
    <cellStyle name="Normal 34 9" xfId="35342" xr:uid="{52FAF369-7B8E-44D7-BCED-91EDA275AFB1}"/>
    <cellStyle name="Normal 35" xfId="205" xr:uid="{DB4A8164-5581-4638-8E2D-4A95984E785D}"/>
    <cellStyle name="Normal 35 10" xfId="35344" xr:uid="{3CBECC2E-38DF-488F-A2F5-5556D3F51DBA}"/>
    <cellStyle name="Normal 35 11" xfId="35343" xr:uid="{B78984F9-AD2A-49AD-8641-FE04FC312723}"/>
    <cellStyle name="Normal 35 2" xfId="35345" xr:uid="{B983B021-4A6B-4720-BFC7-594C7E3E74B3}"/>
    <cellStyle name="Normal 35 3" xfId="35346" xr:uid="{5082F367-1443-456A-BAD2-AFEDB1D462FE}"/>
    <cellStyle name="Normal 35 4" xfId="35347" xr:uid="{D8C2E9E2-C25C-4E8C-9AEB-4E050B589D47}"/>
    <cellStyle name="Normal 35 5" xfId="35348" xr:uid="{FD190E83-EB8A-4278-AA04-B225D003F5B8}"/>
    <cellStyle name="Normal 35 6" xfId="35349" xr:uid="{3950970E-89FE-444A-9ED1-C960088D68B5}"/>
    <cellStyle name="Normal 35 7" xfId="35350" xr:uid="{E4B688A4-80A9-411C-A8AB-1CB4ADAD0812}"/>
    <cellStyle name="Normal 35 8" xfId="35351" xr:uid="{C81C799D-B950-4352-AE37-0EE88545FD3F}"/>
    <cellStyle name="Normal 35 9" xfId="35352" xr:uid="{B4B1B983-778B-4456-B6DF-B195BBBFAFA5}"/>
    <cellStyle name="Normal 36" xfId="206" xr:uid="{17695DFA-D342-41D1-A50C-098CD9D4BE5E}"/>
    <cellStyle name="Normal 36 10" xfId="35354" xr:uid="{018EDE3F-5F7F-43EF-8C48-444E2FA4345C}"/>
    <cellStyle name="Normal 36 11" xfId="35353" xr:uid="{CC5E4B9C-026E-4D8B-B126-E1FBBFBC03FA}"/>
    <cellStyle name="Normal 36 2" xfId="35355" xr:uid="{97F98744-74AB-4B28-8F4F-97FF440B256A}"/>
    <cellStyle name="Normal 36 3" xfId="35356" xr:uid="{FB49E95E-20A9-4764-8A3A-C7A3F50ABCEF}"/>
    <cellStyle name="Normal 36 4" xfId="35357" xr:uid="{3B3B4F0E-89FE-4EFA-8381-72C4D6E233BC}"/>
    <cellStyle name="Normal 36 5" xfId="35358" xr:uid="{5C7C96FE-A357-4820-BD18-4718DBF22FED}"/>
    <cellStyle name="Normal 36 6" xfId="35359" xr:uid="{6F89168A-AD38-4FD5-BB42-C64DB3416A6E}"/>
    <cellStyle name="Normal 36 7" xfId="35360" xr:uid="{8E1B037D-3D46-4455-9466-0FD0A0B27975}"/>
    <cellStyle name="Normal 36 8" xfId="35361" xr:uid="{2A5C40BE-D517-4100-A2E6-B70593E3EB54}"/>
    <cellStyle name="Normal 36 9" xfId="35362" xr:uid="{790B255D-5F3D-4ECA-B6D1-1E9508F50B4A}"/>
    <cellStyle name="Normal 37" xfId="207" xr:uid="{EB1937F4-2342-41AC-96BA-CEFFB51890E3}"/>
    <cellStyle name="Normal 37 10" xfId="35364" xr:uid="{70553C50-E548-4C23-BE22-473CA97F1E04}"/>
    <cellStyle name="Normal 37 11" xfId="35363" xr:uid="{E9E0B3AA-99C0-4AE5-89F3-CDC4388013A1}"/>
    <cellStyle name="Normal 37 2" xfId="35365" xr:uid="{71A5615A-D17B-49EF-9626-A7C3DE848E97}"/>
    <cellStyle name="Normal 37 3" xfId="35366" xr:uid="{6ED00917-C208-4427-B2FC-444D74293D15}"/>
    <cellStyle name="Normal 37 4" xfId="35367" xr:uid="{A2A1399B-C2BD-4B97-A5D4-063AB85047BA}"/>
    <cellStyle name="Normal 37 5" xfId="35368" xr:uid="{1E971619-F744-48A9-8B6D-170D906DDD8C}"/>
    <cellStyle name="Normal 37 6" xfId="35369" xr:uid="{CBFF7B7D-B877-4C82-92EB-2C1EA3ECF8A7}"/>
    <cellStyle name="Normal 37 7" xfId="35370" xr:uid="{CBBF8130-3D67-49A3-9E90-94929A3C51A0}"/>
    <cellStyle name="Normal 37 8" xfId="35371" xr:uid="{B4412BC2-6146-434C-8632-B6EF8F00DED4}"/>
    <cellStyle name="Normal 37 9" xfId="35372" xr:uid="{EED6D18B-EE59-48CC-86E8-6DEFB12F92BF}"/>
    <cellStyle name="Normal 38" xfId="208" xr:uid="{BC9D3145-A0AA-4776-B31F-8B0778090FF5}"/>
    <cellStyle name="Normal 38 10" xfId="35374" xr:uid="{88C118B9-CA51-4690-8C8C-F17019E5DB90}"/>
    <cellStyle name="Normal 38 11" xfId="35373" xr:uid="{718ADABD-E965-4D0A-A2B4-914B5F2B2251}"/>
    <cellStyle name="Normal 38 2" xfId="35375" xr:uid="{1A6D55EE-66CF-4AB2-8977-9AF9B516B646}"/>
    <cellStyle name="Normal 38 3" xfId="35376" xr:uid="{A577FD74-6E81-448E-83D5-59D64CAAEE5E}"/>
    <cellStyle name="Normal 38 4" xfId="35377" xr:uid="{1E39491D-3A45-4775-A8BA-CAD7F7791AA0}"/>
    <cellStyle name="Normal 38 5" xfId="35378" xr:uid="{D58D52BA-6C58-46FD-926B-8242E2518FC3}"/>
    <cellStyle name="Normal 38 6" xfId="35379" xr:uid="{4DE51BE9-555A-4F34-BE67-66796D97A232}"/>
    <cellStyle name="Normal 38 7" xfId="35380" xr:uid="{98B17B24-3D37-4838-88A7-B30034E592B5}"/>
    <cellStyle name="Normal 38 8" xfId="35381" xr:uid="{609BCDB9-66D3-48CF-AEC0-48DCCC61737F}"/>
    <cellStyle name="Normal 38 9" xfId="35382" xr:uid="{C908D044-84D7-4AC8-B07E-DC444209856E}"/>
    <cellStyle name="Normal 39" xfId="209" xr:uid="{1601B57A-953F-4FEB-BF58-C2A4342428B4}"/>
    <cellStyle name="Normal 39 10" xfId="35384" xr:uid="{85E57715-BD0B-4014-BA5D-A327CABCAA03}"/>
    <cellStyle name="Normal 39 11" xfId="35383" xr:uid="{A4DB275D-43E7-46B2-B0EB-9165BEA552D8}"/>
    <cellStyle name="Normal 39 2" xfId="35385" xr:uid="{BD4D68B7-A864-4EA8-9B54-C60358971C11}"/>
    <cellStyle name="Normal 39 3" xfId="35386" xr:uid="{1EC0898C-E0CC-4891-8458-4419029CBBDC}"/>
    <cellStyle name="Normal 39 4" xfId="35387" xr:uid="{A5EB1104-12DF-499D-B1D3-6704B6F1C174}"/>
    <cellStyle name="Normal 39 5" xfId="35388" xr:uid="{08E93616-3626-4C30-A7D6-B3795C58BCA9}"/>
    <cellStyle name="Normal 39 6" xfId="35389" xr:uid="{BDE415B8-7B04-45BB-9568-F91C6D5120FD}"/>
    <cellStyle name="Normal 39 7" xfId="35390" xr:uid="{63494F78-4DFC-4E4B-92C9-2A74BFB18939}"/>
    <cellStyle name="Normal 39 8" xfId="35391" xr:uid="{4CA2DEDB-5CAE-4D8C-B3C5-FDB678998DC1}"/>
    <cellStyle name="Normal 39 9" xfId="35392" xr:uid="{493EF06F-D6C5-48E8-BC85-C4BF37E1075B}"/>
    <cellStyle name="Normal 4" xfId="210" xr:uid="{6A844FA6-DAB7-464C-B66C-68E819C50001}"/>
    <cellStyle name="Normal 4 10" xfId="35394" xr:uid="{920FF38D-9788-40C9-8CB5-8CF7107D7937}"/>
    <cellStyle name="Normal 4 11" xfId="35395" xr:uid="{2795E4DD-1FF0-4387-9AD7-22C4361D9F08}"/>
    <cellStyle name="Normal 4 12" xfId="35396" xr:uid="{36DA0E41-E750-4335-9DF0-6E1AC1540AC3}"/>
    <cellStyle name="Normal 4 13" xfId="35397" xr:uid="{08880C7E-248F-4379-B9E0-CB2C835AFFBA}"/>
    <cellStyle name="Normal 4 14" xfId="35398" xr:uid="{8D3C3D52-CEB8-4706-885A-F80AFD485BDC}"/>
    <cellStyle name="Normal 4 15" xfId="35399" xr:uid="{35461631-52AC-4D43-9CAD-F7E817EDFD9C}"/>
    <cellStyle name="Normal 4 16" xfId="35400" xr:uid="{ADCD921C-1996-4980-A876-052C08EE60F5}"/>
    <cellStyle name="Normal 4 17" xfId="35401" xr:uid="{759AAF43-9C1B-410A-B7BF-9E0E6A4235BC}"/>
    <cellStyle name="Normal 4 18" xfId="35402" xr:uid="{5D2F64AD-41A1-4A87-82A5-88FEB9B8E033}"/>
    <cellStyle name="Normal 4 19" xfId="35403" xr:uid="{71A41C56-A220-4FDF-8761-348B0E05DBE5}"/>
    <cellStyle name="Normal 4 2" xfId="211" xr:uid="{6B2FD5AD-D564-4532-89A4-7D7A52254A46}"/>
    <cellStyle name="Normal 4 2 10" xfId="35405" xr:uid="{149AA405-624D-4FBD-A825-B4528DAC0EEC}"/>
    <cellStyle name="Normal 4 2 11" xfId="35406" xr:uid="{31385825-C3A5-47D0-8C52-B3B027F632C1}"/>
    <cellStyle name="Normal 4 2 12" xfId="35407" xr:uid="{5DEF834F-426F-4457-8641-9F5FB842BB5E}"/>
    <cellStyle name="Normal 4 2 13" xfId="35408" xr:uid="{381CBA8E-370F-4499-9F3F-5A6D153CBA79}"/>
    <cellStyle name="Normal 4 2 14" xfId="35409" xr:uid="{9F723436-47B8-4F85-8E0F-51B22AF68C28}"/>
    <cellStyle name="Normal 4 2 15" xfId="35410" xr:uid="{D510B8A2-C9FD-4305-96AD-170FC9248B4D}"/>
    <cellStyle name="Normal 4 2 16" xfId="35411" xr:uid="{273AADA6-A2DF-43B1-973B-4FA66A12C7D2}"/>
    <cellStyle name="Normal 4 2 17" xfId="35412" xr:uid="{003950C8-B289-4063-890C-E0F31F857E17}"/>
    <cellStyle name="Normal 4 2 18" xfId="35413" xr:uid="{2BCE64F8-0824-450C-900E-CC52484CCFAD}"/>
    <cellStyle name="Normal 4 2 19" xfId="35414" xr:uid="{CE398944-9F90-432E-95E8-C4993107FC48}"/>
    <cellStyle name="Normal 4 2 2" xfId="35415" xr:uid="{8404C9D2-6941-4E18-B259-2BF8226A620E}"/>
    <cellStyle name="Normal 4 2 2 10" xfId="35416" xr:uid="{E1B8ECDA-6D3E-487A-ACFA-2A448EA8DD4E}"/>
    <cellStyle name="Normal 4 2 2 11" xfId="35417" xr:uid="{EBE59D65-1A89-4406-9977-5CA88AB263A5}"/>
    <cellStyle name="Normal 4 2 2 12" xfId="35418" xr:uid="{7B9CF217-F2C0-4442-8D5C-8CA82B3D5937}"/>
    <cellStyle name="Normal 4 2 2 2" xfId="35419" xr:uid="{A7661770-A7D0-4B76-919C-44D37B24FF33}"/>
    <cellStyle name="Normal 4 2 2 2 2" xfId="35420" xr:uid="{72B7C973-293C-402F-83F2-038A4B5DBF40}"/>
    <cellStyle name="Normal 4 2 2 2 3" xfId="35421" xr:uid="{138CCCD1-EB34-4E86-A9A4-846037C3B347}"/>
    <cellStyle name="Normal 4 2 2 2 4" xfId="35422" xr:uid="{6D7819BB-E440-4156-A996-EAA6E8265433}"/>
    <cellStyle name="Normal 4 2 2 2 5" xfId="35423" xr:uid="{51C429D9-BCA3-48CC-995F-CFDAB26477C4}"/>
    <cellStyle name="Normal 4 2 2 2 6" xfId="35424" xr:uid="{F7FAFA9D-4441-426E-8C0D-B48427F7BF58}"/>
    <cellStyle name="Normal 4 2 2 2 7" xfId="35425" xr:uid="{8BC1FB08-24CD-4DEC-A973-5D046D6971BA}"/>
    <cellStyle name="Normal 4 2 2 2 8" xfId="35426" xr:uid="{A213EC22-F652-4F81-8DAC-1F3EE06D79AB}"/>
    <cellStyle name="Normal 4 2 2 2 9" xfId="35427" xr:uid="{FB6C5ADD-265D-4AD2-BF74-E70318F9733E}"/>
    <cellStyle name="Normal 4 2 2 3" xfId="35428" xr:uid="{7BB0BAE4-C8BB-4FA8-BE38-760ABF297C95}"/>
    <cellStyle name="Normal 4 2 2 4" xfId="35429" xr:uid="{01503F91-7E28-44B0-8224-1939267EA8CC}"/>
    <cellStyle name="Normal 4 2 2 5" xfId="35430" xr:uid="{1577D10B-05F1-4DDF-AAA0-66704E6EE319}"/>
    <cellStyle name="Normal 4 2 2 6" xfId="35431" xr:uid="{D4B680DC-0314-4F99-8708-6FC5CF576E56}"/>
    <cellStyle name="Normal 4 2 2 7" xfId="35432" xr:uid="{3E6399F0-0D24-45E8-A899-09D5076BDA81}"/>
    <cellStyle name="Normal 4 2 2 8" xfId="35433" xr:uid="{A0F7BEA3-CE83-4103-86E4-A27B8ABAA6F9}"/>
    <cellStyle name="Normal 4 2 2 9" xfId="35434" xr:uid="{FF5091C1-8D22-4CDE-9E3A-7B8E60E35BE8}"/>
    <cellStyle name="Normal 4 2 20" xfId="35435" xr:uid="{28A9CA13-009B-4D6D-BFFC-44CE81114506}"/>
    <cellStyle name="Normal 4 2 21" xfId="35436" xr:uid="{94E58455-7A42-41F6-AFEA-8AB3398C4563}"/>
    <cellStyle name="Normal 4 2 22" xfId="35437" xr:uid="{76D1FD34-5408-41CF-BF2C-F3F401A21B83}"/>
    <cellStyle name="Normal 4 2 23" xfId="35438" xr:uid="{3BCB0987-30E3-43EB-A0C4-6B6B488D31B9}"/>
    <cellStyle name="Normal 4 2 24" xfId="35439" xr:uid="{88F6080B-1A41-422F-B7EE-DF7A89DCE5D1}"/>
    <cellStyle name="Normal 4 2 25" xfId="35440" xr:uid="{82F4327F-B18D-436A-9621-9BF3CABA7CE1}"/>
    <cellStyle name="Normal 4 2 26" xfId="35441" xr:uid="{792484C5-3BFA-4FD0-9B9F-DDADF798FB81}"/>
    <cellStyle name="Normal 4 2 27" xfId="35404" xr:uid="{3EACA322-4689-4782-9E15-8857E8CD1C16}"/>
    <cellStyle name="Normal 4 2 3" xfId="35442" xr:uid="{2E490108-E0A6-4C81-83EB-62C24514F441}"/>
    <cellStyle name="Normal 4 2 3 2" xfId="35443" xr:uid="{D9E9C2F4-42AC-4CAB-AAA3-D885FDEDA53A}"/>
    <cellStyle name="Normal 4 2 4" xfId="35444" xr:uid="{3CCA0F8D-FF99-45A5-9454-EA9FE195C56C}"/>
    <cellStyle name="Normal 4 2 5" xfId="35445" xr:uid="{4CE7EB43-DE86-4A32-9817-0C904255B049}"/>
    <cellStyle name="Normal 4 2 6" xfId="35446" xr:uid="{7AC314D6-18B0-4B15-B16F-71FEB4C9753C}"/>
    <cellStyle name="Normal 4 2 7" xfId="35447" xr:uid="{BC38DD71-18D4-437B-AD2E-061BDB9CB182}"/>
    <cellStyle name="Normal 4 2 8" xfId="35448" xr:uid="{72D05C2C-6485-4BAF-A6CF-885115BD2826}"/>
    <cellStyle name="Normal 4 2 9" xfId="35449" xr:uid="{91C77A19-FC16-45EE-87A1-6FE28F68DCD1}"/>
    <cellStyle name="Normal 4 2_Ch4 v2" xfId="35450" xr:uid="{F54D8494-8C52-4C28-A4BB-123BE6C03DD3}"/>
    <cellStyle name="Normal 4 20" xfId="35451" xr:uid="{7D0C3FAD-190A-41EF-B0F8-5F0161688A86}"/>
    <cellStyle name="Normal 4 21" xfId="35452" xr:uid="{3689D296-F938-482C-8139-950FFD9F654B}"/>
    <cellStyle name="Normal 4 22" xfId="35453" xr:uid="{13493B67-C590-4E19-8A05-7E6B0AD8DCCB}"/>
    <cellStyle name="Normal 4 23" xfId="35454" xr:uid="{24D6EC2A-6402-4402-A21F-BE8C928C3677}"/>
    <cellStyle name="Normal 4 24" xfId="35455" xr:uid="{422E1139-CF70-4B7C-999D-2FBB6FC092E9}"/>
    <cellStyle name="Normal 4 25" xfId="35456" xr:uid="{3480DF81-F649-4A87-B027-F4C493311951}"/>
    <cellStyle name="Normal 4 26" xfId="35457" xr:uid="{71D9366C-E06A-4E7F-9D87-BF77A54919AC}"/>
    <cellStyle name="Normal 4 27" xfId="35458" xr:uid="{30A840E4-50DB-4C11-A1A0-AB349395CE5E}"/>
    <cellStyle name="Normal 4 28" xfId="35459" xr:uid="{DD766300-3181-4421-B765-547BAE230C1C}"/>
    <cellStyle name="Normal 4 29" xfId="35460" xr:uid="{602F2EBC-D9E7-4E34-A2FF-4759ED5CC4AF}"/>
    <cellStyle name="Normal 4 3" xfId="212" xr:uid="{AEAA8FEF-7533-453B-85EE-582983EECBE6}"/>
    <cellStyle name="Normal 4 3 10" xfId="35462" xr:uid="{7F62C75C-6FB5-4F9B-8A7C-9C2433D363B3}"/>
    <cellStyle name="Normal 4 3 11" xfId="35463" xr:uid="{1A8CB684-F6DC-409A-B4AA-B7750E63ABDC}"/>
    <cellStyle name="Normal 4 3 12" xfId="35464" xr:uid="{0483070A-BE37-4B56-88F9-FAED6BA9EECA}"/>
    <cellStyle name="Normal 4 3 13" xfId="35465" xr:uid="{B396236E-CAB1-412E-8C7E-DB63B183F6EE}"/>
    <cellStyle name="Normal 4 3 14" xfId="35466" xr:uid="{9CF9ED54-6C18-4FC6-BD6F-DFB1F11AD0C6}"/>
    <cellStyle name="Normal 4 3 15" xfId="35467" xr:uid="{C083B9FD-1F6A-492B-BF24-35089157AB6F}"/>
    <cellStyle name="Normal 4 3 16" xfId="35468" xr:uid="{5143482B-78C7-4B9F-88FF-575EBD5412C1}"/>
    <cellStyle name="Normal 4 3 17" xfId="35469" xr:uid="{FF138C6B-A211-4354-8058-5D682035ED68}"/>
    <cellStyle name="Normal 4 3 18" xfId="35461" xr:uid="{8006406C-822D-45F5-846C-A4E4FEC0B6CB}"/>
    <cellStyle name="Normal 4 3 2" xfId="35470" xr:uid="{02B2A112-CCED-40D7-9F4D-16EEE474FDAD}"/>
    <cellStyle name="Normal 4 3 2 10" xfId="35471" xr:uid="{7C04BAA0-80A3-4932-B5C6-4B0F07D4129E}"/>
    <cellStyle name="Normal 4 3 2 11" xfId="35472" xr:uid="{A6153F60-E8D3-4600-A6F4-AACE4321E051}"/>
    <cellStyle name="Normal 4 3 2 2" xfId="35473" xr:uid="{FDA72224-D949-47CD-B251-14BB67237B66}"/>
    <cellStyle name="Normal 4 3 2 3" xfId="35474" xr:uid="{CB205514-E6A2-4C99-98BE-1C94F32659D8}"/>
    <cellStyle name="Normal 4 3 2 4" xfId="35475" xr:uid="{2EC6B7B0-DFB8-42A5-80CD-98C4FB0144F5}"/>
    <cellStyle name="Normal 4 3 2 5" xfId="35476" xr:uid="{E389807A-87BA-4C23-88FD-7F519E2CD09F}"/>
    <cellStyle name="Normal 4 3 2 6" xfId="35477" xr:uid="{59862154-581A-4DD4-ACC7-5B4D776DC45A}"/>
    <cellStyle name="Normal 4 3 2 7" xfId="35478" xr:uid="{FE7249D6-783C-4B5E-933C-FE22F175E6D0}"/>
    <cellStyle name="Normal 4 3 2 8" xfId="35479" xr:uid="{47602882-50DE-4E72-A2D1-454A2120C217}"/>
    <cellStyle name="Normal 4 3 2 9" xfId="35480" xr:uid="{169F0E0A-F8C3-4AB0-8E8A-C70F727DD4DD}"/>
    <cellStyle name="Normal 4 3 3" xfId="35481" xr:uid="{1364DF71-BA96-4D37-AE5A-D2EA3AD01916}"/>
    <cellStyle name="Normal 4 3 4" xfId="35482" xr:uid="{70655746-2DEA-461B-8E71-2A55B2903A1F}"/>
    <cellStyle name="Normal 4 3 5" xfId="35483" xr:uid="{40555C56-0108-4BCF-BC3D-3A6962D1839B}"/>
    <cellStyle name="Normal 4 3 6" xfId="35484" xr:uid="{B5279EAE-BCDA-4B8A-AF01-EAD849E79266}"/>
    <cellStyle name="Normal 4 3 7" xfId="35485" xr:uid="{8A921CF7-6853-4FB8-BADE-9BE2CAD5A2FD}"/>
    <cellStyle name="Normal 4 3 8" xfId="35486" xr:uid="{89E31A62-8B6D-4593-98C3-8BC37071C3A0}"/>
    <cellStyle name="Normal 4 3 9" xfId="35487" xr:uid="{C358FB12-B75E-42F2-9DD7-4A367B61CB77}"/>
    <cellStyle name="Normal 4 30" xfId="35488" xr:uid="{80801C6F-679C-48B5-A126-8CD34BFAD3D9}"/>
    <cellStyle name="Normal 4 31" xfId="35489" xr:uid="{8C064023-D9DB-4144-85E6-475AC091A169}"/>
    <cellStyle name="Normal 4 32" xfId="35490" xr:uid="{07178E19-BB38-40FF-B4F2-7896C671581E}"/>
    <cellStyle name="Normal 4 33" xfId="35491" xr:uid="{5C2DEDF7-61ED-486F-86D9-C25625E92351}"/>
    <cellStyle name="Normal 4 34" xfId="35492" xr:uid="{44810010-EB1F-4DBD-8916-35BD2CE596E1}"/>
    <cellStyle name="Normal 4 35" xfId="35493" xr:uid="{2BFBA655-BDD0-4339-A282-AD2D7608641A}"/>
    <cellStyle name="Normal 4 36" xfId="35393" xr:uid="{6E33D456-2513-4FA7-B18B-AD854D7D94AA}"/>
    <cellStyle name="Normal 4 37" xfId="416" xr:uid="{21D6C6FF-B089-4BFE-BE49-732FCC36530A}"/>
    <cellStyle name="Normal 4 4" xfId="385" xr:uid="{CDF14105-0AB6-4A20-B9A8-6C959EDC6613}"/>
    <cellStyle name="Normal 4 4 2" xfId="35495" xr:uid="{A746309F-1436-4914-A231-A23CB62C540F}"/>
    <cellStyle name="Normal 4 4 3" xfId="35496" xr:uid="{5F56EE80-683A-4EFD-A6C1-A716340ED3F4}"/>
    <cellStyle name="Normal 4 4 4" xfId="35497" xr:uid="{8B63E1F2-BB0D-4DDD-90C0-CD34F47C4264}"/>
    <cellStyle name="Normal 4 4 5" xfId="35498" xr:uid="{006F8D8D-82BC-42E5-9B7E-4F2040B19FAE}"/>
    <cellStyle name="Normal 4 4 6" xfId="35499" xr:uid="{1A631575-5F69-475B-B2AC-646AE9A3299B}"/>
    <cellStyle name="Normal 4 4 7" xfId="35500" xr:uid="{628177BA-FE9B-4865-9308-DE8801E57B4F}"/>
    <cellStyle name="Normal 4 4 8" xfId="35501" xr:uid="{EEF65440-60A8-407D-A36E-A1CF694F9FA2}"/>
    <cellStyle name="Normal 4 4 9" xfId="35494" xr:uid="{C914C92F-668E-4234-B37F-3709F694B73A}"/>
    <cellStyle name="Normal 4 5" xfId="35502" xr:uid="{4B75E49B-04D2-4F3B-82A8-19A6AA825B4F}"/>
    <cellStyle name="Normal 4 5 2" xfId="35503" xr:uid="{319E8714-DEF6-4DF2-A1ED-DF332ED5496B}"/>
    <cellStyle name="Normal 4 5 3" xfId="35504" xr:uid="{B86F1C56-EC10-42CC-989E-7F95D694A801}"/>
    <cellStyle name="Normal 4 5 4" xfId="35505" xr:uid="{FE14E96D-04EE-4285-95E6-0FC7EDDBAED2}"/>
    <cellStyle name="Normal 4 5 5" xfId="35506" xr:uid="{6439F9DC-8387-482E-A51C-230637AB6BF2}"/>
    <cellStyle name="Normal 4 5 6" xfId="35507" xr:uid="{A4AF886D-16D6-43D2-BA95-4FD24AEA5B8D}"/>
    <cellStyle name="Normal 4 5 7" xfId="35508" xr:uid="{581190FF-9761-4155-908D-03316CD98080}"/>
    <cellStyle name="Normal 4 5 8" xfId="35509" xr:uid="{95647533-7719-4447-BF93-F417AA947867}"/>
    <cellStyle name="Normal 4 5 9" xfId="35510" xr:uid="{4BFD660D-DA7A-4195-BEA4-137FF0DAD488}"/>
    <cellStyle name="Normal 4 6" xfId="35511" xr:uid="{3E15C074-8576-4F3D-BFB1-7619A41D002D}"/>
    <cellStyle name="Normal 4 6 2" xfId="35512" xr:uid="{E0D74F1F-41D2-4560-81F4-96A9865FD511}"/>
    <cellStyle name="Normal 4 6 3" xfId="35513" xr:uid="{1669F2EA-9B14-4EB8-8C6D-4D33E16031E4}"/>
    <cellStyle name="Normal 4 6 4" xfId="35514" xr:uid="{BFDB0560-649C-4B7D-807A-FD67806389F3}"/>
    <cellStyle name="Normal 4 6 5" xfId="35515" xr:uid="{2C9F65E7-C9C3-46DA-9048-7FE456AD6B07}"/>
    <cellStyle name="Normal 4 6 6" xfId="35516" xr:uid="{77071D9A-DB80-442E-A89C-9123D5C8BB4F}"/>
    <cellStyle name="Normal 4 6 7" xfId="35517" xr:uid="{B86541B9-1C7E-4BBF-8491-24133E11EC8E}"/>
    <cellStyle name="Normal 4 7" xfId="35518" xr:uid="{241A32B5-D086-4CE3-9073-EFFC1105062A}"/>
    <cellStyle name="Normal 4 7 2" xfId="35519" xr:uid="{69036E95-542A-4F00-869D-88FB6E98D11B}"/>
    <cellStyle name="Normal 4 7 3" xfId="35520" xr:uid="{13BE1FB9-CAD5-4CE2-B4D2-254173BE79D4}"/>
    <cellStyle name="Normal 4 7 4" xfId="35521" xr:uid="{CD234EB1-9563-4870-AE81-7F4CEFC54DA5}"/>
    <cellStyle name="Normal 4 7 5" xfId="35522" xr:uid="{84B0199D-072E-4717-807A-E3A15B0D5CFB}"/>
    <cellStyle name="Normal 4 7 6" xfId="35523" xr:uid="{5C5396BF-4EDD-4C31-BB46-0CD09407B71B}"/>
    <cellStyle name="Normal 4 7 7" xfId="35524" xr:uid="{B6B1263C-413C-4B34-9B6D-082535D4938C}"/>
    <cellStyle name="Normal 4 8" xfId="35525" xr:uid="{2E7FEC52-0760-4355-97A7-068B348B78BF}"/>
    <cellStyle name="Normal 4 8 2" xfId="35526" xr:uid="{09EEEE30-88DD-44FD-8A87-D36F5916714F}"/>
    <cellStyle name="Normal 4 8 3" xfId="35527" xr:uid="{20D41949-D2A3-41B0-9253-AACF775660AF}"/>
    <cellStyle name="Normal 4 8 4" xfId="35528" xr:uid="{85D9809F-C6B3-476F-AE1B-C98527A1C0DA}"/>
    <cellStyle name="Normal 4 8 5" xfId="35529" xr:uid="{49526166-6B1D-46D0-A51E-28E9A7435A31}"/>
    <cellStyle name="Normal 4 8 6" xfId="35530" xr:uid="{49D20AAD-795C-4DF9-952B-6E06F35AF90A}"/>
    <cellStyle name="Normal 4 8 7" xfId="35531" xr:uid="{872C9FAD-7D59-466D-B5D6-46A59A2D5495}"/>
    <cellStyle name="Normal 4 9" xfId="35532" xr:uid="{B14EE2B6-61FE-48E6-A73A-FBD07E04E064}"/>
    <cellStyle name="Normal 4 9 2" xfId="35533" xr:uid="{46CFF25B-94A9-4CBD-9FFA-C235EB64E4C3}"/>
    <cellStyle name="Normal 4 9 3" xfId="35534" xr:uid="{9F78B372-1179-43C9-A66B-0BAD1C80CAE0}"/>
    <cellStyle name="Normal 4 9 4" xfId="35535" xr:uid="{76A648A0-F7BA-4E6E-B1D9-1EB834EB0CA2}"/>
    <cellStyle name="Normal 4 9 5" xfId="35536" xr:uid="{037D6CB8-D42B-4BFD-A502-FB024470CE1C}"/>
    <cellStyle name="Normal 4 9 6" xfId="35537" xr:uid="{D460717A-D686-4056-AEAA-11955995D321}"/>
    <cellStyle name="Normal 4_April 17_Updated labor demand figures May 12 workshop" xfId="35538" xr:uid="{8EACB58C-3925-4D71-BDC1-07FC3F9128C3}"/>
    <cellStyle name="Normal 40" xfId="213" xr:uid="{8DD50095-EF15-4836-B8B3-B6B830BF574A}"/>
    <cellStyle name="Normal 40 2" xfId="35540" xr:uid="{B86C9375-1160-4F0D-9202-37CE12151E5F}"/>
    <cellStyle name="Normal 40 3" xfId="35539" xr:uid="{9AF8726B-5633-4D59-A3AE-92E2FFA6A911}"/>
    <cellStyle name="Normal 41" xfId="214" xr:uid="{3768CAEF-327D-4E7C-8764-F76F63D44FC6}"/>
    <cellStyle name="Normal 41 10" xfId="35542" xr:uid="{DCAC716C-8E80-4BA1-8486-96EADF357964}"/>
    <cellStyle name="Normal 41 11" xfId="35543" xr:uid="{5F0A515B-5121-443F-9C09-FCC03ADEC426}"/>
    <cellStyle name="Normal 41 12" xfId="35544" xr:uid="{7250944A-C28C-46B6-A6CF-96FFD3359471}"/>
    <cellStyle name="Normal 41 13" xfId="35545" xr:uid="{FEF5C114-668C-4DD9-88FE-17C2F4618EB6}"/>
    <cellStyle name="Normal 41 14" xfId="35546" xr:uid="{2C059748-AACE-437E-933C-BFD0FEF7BA28}"/>
    <cellStyle name="Normal 41 15" xfId="35547" xr:uid="{E70C369B-DE9E-4C52-9934-7C957BB6CB09}"/>
    <cellStyle name="Normal 41 16" xfId="35548" xr:uid="{6F2DDC07-9EF9-4D63-B22B-398B9EEC1563}"/>
    <cellStyle name="Normal 41 17" xfId="35549" xr:uid="{544B83C4-915A-43B8-BB19-98BCD537DA14}"/>
    <cellStyle name="Normal 41 18" xfId="35550" xr:uid="{F8397F01-F9D6-4CB0-8C27-3FC6492AF603}"/>
    <cellStyle name="Normal 41 19" xfId="35541" xr:uid="{97727B01-7ACC-42A0-8CF6-65212415254A}"/>
    <cellStyle name="Normal 41 2" xfId="35551" xr:uid="{7D2A6E38-1A48-403B-A904-955E9238E67C}"/>
    <cellStyle name="Normal 41 3" xfId="35552" xr:uid="{F46F24AE-2B2F-4F21-BEE5-90627D6C9F02}"/>
    <cellStyle name="Normal 41 4" xfId="35553" xr:uid="{842808F3-4E30-4CF3-AD83-8200480B6B4E}"/>
    <cellStyle name="Normal 41 5" xfId="35554" xr:uid="{50888EC3-92D0-4206-82F0-D8646F4337C4}"/>
    <cellStyle name="Normal 41 6" xfId="35555" xr:uid="{974CBE9F-D2D9-4A3B-8675-7221EE5569FC}"/>
    <cellStyle name="Normal 41 7" xfId="35556" xr:uid="{95CA8FBF-B545-4646-AAE0-6B63F5E35B43}"/>
    <cellStyle name="Normal 41 8" xfId="35557" xr:uid="{47D7342B-D107-4FB3-9955-426D86727322}"/>
    <cellStyle name="Normal 41 9" xfId="35558" xr:uid="{A5E7DA4E-A176-4090-A15D-604FDB908B30}"/>
    <cellStyle name="Normal 42" xfId="215" xr:uid="{4416CF88-FD2C-4920-8648-6401E00AF330}"/>
    <cellStyle name="Normal 42 10" xfId="35560" xr:uid="{9A75626D-0ECF-4B8D-A480-4D6444D3AFBF}"/>
    <cellStyle name="Normal 42 11" xfId="35561" xr:uid="{7CE9B45F-7C48-4CAE-865A-94A7FD8CCC33}"/>
    <cellStyle name="Normal 42 12" xfId="35562" xr:uid="{EDD87C55-D883-4A7C-8FF0-4C98E44B1695}"/>
    <cellStyle name="Normal 42 13" xfId="35563" xr:uid="{D4DA7D3C-95CF-459F-881F-B4329FF18E6A}"/>
    <cellStyle name="Normal 42 14" xfId="35564" xr:uid="{60FE8012-5B27-4A81-B151-5CCA93099F1F}"/>
    <cellStyle name="Normal 42 15" xfId="35565" xr:uid="{50AFFD0F-45EF-4FA5-BEB0-F8C25B8A03F2}"/>
    <cellStyle name="Normal 42 16" xfId="35566" xr:uid="{946DA6D9-4074-493F-BF4A-2C25A8E0E55C}"/>
    <cellStyle name="Normal 42 17" xfId="35567" xr:uid="{15B0F3F0-EFEF-4523-B460-37BD5CF0AE1F}"/>
    <cellStyle name="Normal 42 18" xfId="35568" xr:uid="{083069D7-54E0-4193-987F-F7A3B9EBF56B}"/>
    <cellStyle name="Normal 42 19" xfId="35559" xr:uid="{F323DF0E-EB3A-4B09-8F0A-2018D32221C0}"/>
    <cellStyle name="Normal 42 2" xfId="35569" xr:uid="{3C479107-C06C-42EF-8A72-CDDE02F6DF5A}"/>
    <cellStyle name="Normal 42 3" xfId="35570" xr:uid="{23FF1C19-79C8-44BA-ACE5-B22FA40386CA}"/>
    <cellStyle name="Normal 42 4" xfId="35571" xr:uid="{BF19FC0C-9E2A-4368-94B0-013CAA9DC5C5}"/>
    <cellStyle name="Normal 42 5" xfId="35572" xr:uid="{9223FF6E-A939-464D-8F69-32567A1ADE2E}"/>
    <cellStyle name="Normal 42 6" xfId="35573" xr:uid="{A2DDC282-8635-4D39-BD6A-CF20D7E7363A}"/>
    <cellStyle name="Normal 42 7" xfId="35574" xr:uid="{59B00741-C4FC-4127-83F2-B758481215B0}"/>
    <cellStyle name="Normal 42 8" xfId="35575" xr:uid="{2828081E-EF9A-44B8-BBA4-3FD47B24EA54}"/>
    <cellStyle name="Normal 42 9" xfId="35576" xr:uid="{4E757D22-57FC-43B4-86AC-CB3A6DF0AACD}"/>
    <cellStyle name="Normal 43" xfId="216" xr:uid="{5C292F5B-8B7F-4409-B539-93D03726C3EF}"/>
    <cellStyle name="Normal 43 10" xfId="35578" xr:uid="{57C29996-FD42-49DB-8151-5A4FFD53D6BD}"/>
    <cellStyle name="Normal 43 11" xfId="35579" xr:uid="{D8795C05-04E4-4035-9051-285A3C510DF1}"/>
    <cellStyle name="Normal 43 12" xfId="35580" xr:uid="{6C51AAAB-24B9-492A-A54E-85AB8E5EA876}"/>
    <cellStyle name="Normal 43 13" xfId="35581" xr:uid="{1A965FE0-8E51-4188-9139-0BE62EA33B8D}"/>
    <cellStyle name="Normal 43 14" xfId="35582" xr:uid="{9D20A679-1C44-485D-ACAD-DD9F5EBD37E7}"/>
    <cellStyle name="Normal 43 15" xfId="35583" xr:uid="{F8E42539-B3B5-4236-B5CA-07A18A248115}"/>
    <cellStyle name="Normal 43 16" xfId="35584" xr:uid="{6119EB46-8749-43B2-A8D6-57AE381B6270}"/>
    <cellStyle name="Normal 43 17" xfId="35585" xr:uid="{27590871-F1CE-41CF-9D8A-6EA88CFD8145}"/>
    <cellStyle name="Normal 43 18" xfId="35586" xr:uid="{E5364ADE-60CB-4704-8D78-C8A12B217BFC}"/>
    <cellStyle name="Normal 43 19" xfId="35577" xr:uid="{BF8853C0-704B-4E60-A496-5881D1DE6B2A}"/>
    <cellStyle name="Normal 43 2" xfId="35587" xr:uid="{4DA87783-6690-4E8C-9967-96F813224F7F}"/>
    <cellStyle name="Normal 43 3" xfId="35588" xr:uid="{227F6E51-ED75-47AF-8D57-D60A842E197D}"/>
    <cellStyle name="Normal 43 4" xfId="35589" xr:uid="{8DA5ED5E-ECF6-44FB-BB9A-DFA1418F2A81}"/>
    <cellStyle name="Normal 43 5" xfId="35590" xr:uid="{FCE0EB64-BED7-45D4-BA9A-7682D0D1DBE9}"/>
    <cellStyle name="Normal 43 6" xfId="35591" xr:uid="{ADE1F22C-B1FC-4AF2-A94D-3E821D7D82B0}"/>
    <cellStyle name="Normal 43 7" xfId="35592" xr:uid="{A77E1DF1-207F-463C-B449-638AA196FF00}"/>
    <cellStyle name="Normal 43 8" xfId="35593" xr:uid="{F9A93BDA-291B-452F-A9C0-44600759062F}"/>
    <cellStyle name="Normal 43 9" xfId="35594" xr:uid="{2437A4F9-3199-4AEC-9D40-A305E8DC7D44}"/>
    <cellStyle name="Normal 44" xfId="217" xr:uid="{C4408EFB-6142-4A50-99F6-72B0232FF1A5}"/>
    <cellStyle name="Normal 44 10" xfId="35596" xr:uid="{C9596D4B-D44C-4304-B4AF-CAFFFA25744A}"/>
    <cellStyle name="Normal 44 11" xfId="35595" xr:uid="{F7C16BCC-C561-4B6C-A4C9-18118255F27D}"/>
    <cellStyle name="Normal 44 2" xfId="35597" xr:uid="{2AC84023-41F2-429E-9727-54A0D4C2BA5A}"/>
    <cellStyle name="Normal 44 2 2" xfId="35598" xr:uid="{59AA0213-2B56-4379-89D5-A3EDDD31BA49}"/>
    <cellStyle name="Normal 44 2 3" xfId="35599" xr:uid="{1FA68E1F-F37C-4EA5-ADDD-A93D85D44424}"/>
    <cellStyle name="Normal 44 2 4" xfId="35600" xr:uid="{87B1959F-49BD-4EE6-95D6-12E42A2807ED}"/>
    <cellStyle name="Normal 44 2 5" xfId="35601" xr:uid="{D4F64779-FEA1-4718-9046-1BCF53FB45DE}"/>
    <cellStyle name="Normal 44 2 6" xfId="35602" xr:uid="{80772EA4-C726-4E04-AC19-B90045D68CC4}"/>
    <cellStyle name="Normal 44 2 7" xfId="35603" xr:uid="{84421984-0000-44F0-8038-02B86C8F5447}"/>
    <cellStyle name="Normal 44 2 8" xfId="35604" xr:uid="{ED693F28-F319-4F88-8C40-C2EE5C585B2C}"/>
    <cellStyle name="Normal 44 2 9" xfId="35605" xr:uid="{00192609-0236-4BFE-9FEA-6502D3810671}"/>
    <cellStyle name="Normal 44 3" xfId="35606" xr:uid="{F79C19F2-9EC6-42DF-BD74-C12423D4A907}"/>
    <cellStyle name="Normal 44 4" xfId="35607" xr:uid="{67853300-931D-4279-8F0C-8B544CE3B1ED}"/>
    <cellStyle name="Normal 44 5" xfId="35608" xr:uid="{B5165ACC-7E94-4DA9-AF8E-B816CBA10AD9}"/>
    <cellStyle name="Normal 44 6" xfId="35609" xr:uid="{CC40E168-520F-4B08-94AE-64EFCED329EE}"/>
    <cellStyle name="Normal 44 7" xfId="35610" xr:uid="{9117B973-B479-4DC2-88DA-F754C85A5CB7}"/>
    <cellStyle name="Normal 44 8" xfId="35611" xr:uid="{2AF977CD-00F5-484B-A888-F7AB03153791}"/>
    <cellStyle name="Normal 44 9" xfId="35612" xr:uid="{727EE2D7-E13A-45FD-B3C6-B4051219B802}"/>
    <cellStyle name="Normal 45" xfId="218" xr:uid="{85CBF37F-8FBD-4C6A-81AB-A4F9288E3551}"/>
    <cellStyle name="Normal 45 10" xfId="35614" xr:uid="{E37D16FD-A173-44F4-9C9B-C8405D096F6C}"/>
    <cellStyle name="Normal 45 11" xfId="35613" xr:uid="{A93943CC-E0A5-4F9F-B93B-3DE95A8B00B0}"/>
    <cellStyle name="Normal 45 2" xfId="35615" xr:uid="{3A2EA855-EAC4-4F0E-A89C-59CC1F44E5A5}"/>
    <cellStyle name="Normal 45 3" xfId="35616" xr:uid="{C7C38140-4B18-402D-BC4E-520D32BAC2FE}"/>
    <cellStyle name="Normal 45 4" xfId="35617" xr:uid="{88430859-9216-4619-9D7A-8B6B1098F0B2}"/>
    <cellStyle name="Normal 45 5" xfId="35618" xr:uid="{E66D1359-0C8D-4113-9935-C505CE2298CD}"/>
    <cellStyle name="Normal 45 6" xfId="35619" xr:uid="{A6D0644C-8FE6-4F69-8D64-DEF6ECCA9C76}"/>
    <cellStyle name="Normal 45 7" xfId="35620" xr:uid="{96E79980-95D3-47F4-9532-087F529EBCA9}"/>
    <cellStyle name="Normal 45 8" xfId="35621" xr:uid="{F0343C89-945B-42F0-B618-82D167D6F986}"/>
    <cellStyle name="Normal 45 9" xfId="35622" xr:uid="{47A84E31-7E86-4EDC-8CC2-66F058287855}"/>
    <cellStyle name="Normal 46" xfId="219" xr:uid="{2DEB149D-8326-459D-8D7B-9B2C7F1648CB}"/>
    <cellStyle name="Normal 46 10" xfId="35624" xr:uid="{3182612F-9E7E-45D7-A65C-D94AED91CA73}"/>
    <cellStyle name="Normal 46 11" xfId="35623" xr:uid="{201F7FDA-D436-4E19-B530-ED381BFAD0B2}"/>
    <cellStyle name="Normal 46 2" xfId="35625" xr:uid="{6E07D3EE-BF33-47E4-B4EB-9CCA515E8AA9}"/>
    <cellStyle name="Normal 46 3" xfId="35626" xr:uid="{3E6BB4EB-6562-448E-95F3-96FB68906105}"/>
    <cellStyle name="Normal 46 4" xfId="35627" xr:uid="{A2A436F7-41CA-4476-99BF-39F8B0DAA6E2}"/>
    <cellStyle name="Normal 46 5" xfId="35628" xr:uid="{C924744A-DBCD-4D0E-B6B0-4A4A09EF0856}"/>
    <cellStyle name="Normal 46 6" xfId="35629" xr:uid="{4D4D7DC4-698D-4853-A151-109DADE58F2A}"/>
    <cellStyle name="Normal 46 7" xfId="35630" xr:uid="{87587A1E-0E15-4E31-948D-53C54063590C}"/>
    <cellStyle name="Normal 46 8" xfId="35631" xr:uid="{1398459C-2E91-4CF4-B5A8-02CA0078B2C0}"/>
    <cellStyle name="Normal 46 9" xfId="35632" xr:uid="{BCF468AF-5C94-4034-A56A-F08D2D8C95BE}"/>
    <cellStyle name="Normal 47" xfId="220" xr:uid="{10033523-4893-4BF5-8B82-C9D57153D3A3}"/>
    <cellStyle name="Normal 47 10" xfId="35634" xr:uid="{5F6FD70C-D2D4-42FB-996D-3BAF0903E0EC}"/>
    <cellStyle name="Normal 47 11" xfId="35633" xr:uid="{3038A198-5A06-4C1C-89CF-11B672916DEE}"/>
    <cellStyle name="Normal 47 2" xfId="35635" xr:uid="{0F7BF02C-1ABB-450C-9557-5EF6626906BC}"/>
    <cellStyle name="Normal 47 3" xfId="35636" xr:uid="{0A57A54D-8194-473C-BF29-A1D46398021A}"/>
    <cellStyle name="Normal 47 4" xfId="35637" xr:uid="{2EB8F202-2E50-48F6-BD33-7E550437E84B}"/>
    <cellStyle name="Normal 47 5" xfId="35638" xr:uid="{9C020A2B-4DEF-41EA-9EB3-02A78B31BDC6}"/>
    <cellStyle name="Normal 47 6" xfId="35639" xr:uid="{D890E9AA-CAF1-49EA-AF76-88DD1134602C}"/>
    <cellStyle name="Normal 47 7" xfId="35640" xr:uid="{3BE6A3C5-E58E-4B19-A38E-0063C3746083}"/>
    <cellStyle name="Normal 47 8" xfId="35641" xr:uid="{4D54D642-379E-4C62-ACAE-F1D3587AAF60}"/>
    <cellStyle name="Normal 47 9" xfId="35642" xr:uid="{987804D5-662B-4D74-AD18-72D561B1C6C4}"/>
    <cellStyle name="Normal 48" xfId="221" xr:uid="{78B96715-4294-45BB-A36C-EF7AB423830D}"/>
    <cellStyle name="Normal 48 10" xfId="35644" xr:uid="{363570AF-A6B3-41D3-8EEE-AA6922B117CA}"/>
    <cellStyle name="Normal 48 11" xfId="35643" xr:uid="{C79A0942-0F1C-4A39-BFF6-AAEE6C363610}"/>
    <cellStyle name="Normal 48 2" xfId="35645" xr:uid="{E3FE3BD2-351D-44F9-8D2D-EACF373CC9D6}"/>
    <cellStyle name="Normal 48 3" xfId="35646" xr:uid="{F9116FD6-2EF8-4382-A93F-AEABBD243B98}"/>
    <cellStyle name="Normal 48 4" xfId="35647" xr:uid="{F270DB4B-0059-41A3-A1CA-8F0FC8A96EA6}"/>
    <cellStyle name="Normal 48 5" xfId="35648" xr:uid="{B72B4BF1-6686-4A4C-8EC8-38122776A88D}"/>
    <cellStyle name="Normal 48 6" xfId="35649" xr:uid="{29F2B74D-09AB-44D0-AF7D-F87EA9553A76}"/>
    <cellStyle name="Normal 48 7" xfId="35650" xr:uid="{080A8008-45C3-498F-BEDD-6565526AF1B2}"/>
    <cellStyle name="Normal 48 8" xfId="35651" xr:uid="{B99C6447-8765-4674-AD7C-4AA08BBE95E4}"/>
    <cellStyle name="Normal 48 9" xfId="35652" xr:uid="{F81AC76C-7F07-4908-A8D6-D1D055BB0D77}"/>
    <cellStyle name="Normal 49" xfId="222" xr:uid="{1D2C2036-BC8F-488A-98AE-FD18E7FAFE15}"/>
    <cellStyle name="Normal 49 10" xfId="35654" xr:uid="{B9C0DDD1-F4A0-449B-A25F-C8743415930E}"/>
    <cellStyle name="Normal 49 11" xfId="35655" xr:uid="{8E3B13FB-31C3-4A18-A5F4-9C31A5DB3669}"/>
    <cellStyle name="Normal 49 12" xfId="35656" xr:uid="{3F9E1C95-8466-4B49-BDC2-8BB56B74FEF5}"/>
    <cellStyle name="Normal 49 13" xfId="35653" xr:uid="{BF8369A1-A226-4F84-8FAD-A6922EFA5C1E}"/>
    <cellStyle name="Normal 49 2" xfId="35657" xr:uid="{3C43016A-E735-4D9E-BFA8-E5760D9E9F23}"/>
    <cellStyle name="Normal 49 2 2" xfId="35658" xr:uid="{30A886FA-F82C-49BB-B111-AD5066DE07B0}"/>
    <cellStyle name="Normal 49 3" xfId="35659" xr:uid="{D68DF452-641B-4667-B2C7-47F0A8B14169}"/>
    <cellStyle name="Normal 49 3 2" xfId="35660" xr:uid="{4EC1EDA8-638F-4467-9F9E-5ED0F7213AB3}"/>
    <cellStyle name="Normal 49 4" xfId="35661" xr:uid="{64EFDEE4-2B5E-458C-B7C9-7C3FEEE60092}"/>
    <cellStyle name="Normal 49 4 2" xfId="35662" xr:uid="{1440F0DC-22CA-4B19-883F-FA2124F1255C}"/>
    <cellStyle name="Normal 49 5" xfId="35663" xr:uid="{9A778D39-384A-4AC0-8744-9F47DEA61B20}"/>
    <cellStyle name="Normal 49 6" xfId="35664" xr:uid="{EB354D85-F76B-492E-B992-1B3ABE7CBE91}"/>
    <cellStyle name="Normal 49 7" xfId="35665" xr:uid="{CD6DC167-4C73-480C-B405-178A80010797}"/>
    <cellStyle name="Normal 49 8" xfId="35666" xr:uid="{CDB40272-8FC8-40CC-A295-D86C14CC7782}"/>
    <cellStyle name="Normal 49 9" xfId="35667" xr:uid="{A5E09A71-AF73-4567-A23F-D75700C07525}"/>
    <cellStyle name="Normal 5" xfId="223" xr:uid="{F673DF88-9E68-4D6B-8083-A017918D57E3}"/>
    <cellStyle name="Normal 5 10" xfId="35669" xr:uid="{64995439-887D-42AF-96E5-C953C77A28A4}"/>
    <cellStyle name="Normal 5 11" xfId="35670" xr:uid="{4B39BC82-E860-4307-A73A-FAB71BD52E20}"/>
    <cellStyle name="Normal 5 12" xfId="35671" xr:uid="{8CB16C22-7EBD-454B-8582-7336C4D585D0}"/>
    <cellStyle name="Normal 5 13" xfId="35672" xr:uid="{A27BDC12-D02D-4DA5-8D18-5DF9667436DF}"/>
    <cellStyle name="Normal 5 14" xfId="35673" xr:uid="{4BD17616-0EAF-4562-ABD0-E3C83258558F}"/>
    <cellStyle name="Normal 5 15" xfId="35674" xr:uid="{866FFBBE-FC45-4AB1-9E08-297BC83F5BCF}"/>
    <cellStyle name="Normal 5 16" xfId="35675" xr:uid="{9219E124-12DB-49B3-8B77-6C5828758DBF}"/>
    <cellStyle name="Normal 5 17" xfId="35676" xr:uid="{0AC956A9-7477-4773-B4B6-11DD7DA15A57}"/>
    <cellStyle name="Normal 5 18" xfId="35677" xr:uid="{93C0F1D9-CA06-4D7D-A028-10C540057C15}"/>
    <cellStyle name="Normal 5 19" xfId="35678" xr:uid="{DF29CCB3-E983-4E43-B7F8-E08A7E94D697}"/>
    <cellStyle name="Normal 5 2" xfId="224" xr:uid="{2537D7E6-D75C-45EE-BFA1-A13562F6E1ED}"/>
    <cellStyle name="Normal 5 2 2" xfId="35680" xr:uid="{75E901E0-302B-4F05-BF4C-4950068F411A}"/>
    <cellStyle name="Normal 5 2 2 2" xfId="35681" xr:uid="{2440F0E2-F675-42F1-8545-84E523EF3DB0}"/>
    <cellStyle name="Normal 5 2 3" xfId="35682" xr:uid="{B600E27F-8782-4C5A-B177-4005360AEF1A}"/>
    <cellStyle name="Normal 5 2 3 2" xfId="35683" xr:uid="{A8B5A51C-BE36-4B57-BD24-659BAA24515B}"/>
    <cellStyle name="Normal 5 2 4" xfId="35684" xr:uid="{0BE7E1E7-DC29-4CCD-B44B-63028A0EC1B8}"/>
    <cellStyle name="Normal 5 2 5" xfId="35685" xr:uid="{951FAD7C-07EA-47FE-8AE7-9AA0178A1B1C}"/>
    <cellStyle name="Normal 5 2 6" xfId="35679" xr:uid="{30C7BAF7-24CB-4606-9475-DCB5595D7674}"/>
    <cellStyle name="Normal 5 20" xfId="35686" xr:uid="{7D32C364-09F0-416D-AAFD-C3C0B80C6607}"/>
    <cellStyle name="Normal 5 21" xfId="35687" xr:uid="{F78C63DE-53A1-4826-9244-5C964BDBC615}"/>
    <cellStyle name="Normal 5 22" xfId="35688" xr:uid="{221D620B-CBAB-4537-8867-8236AD3593B7}"/>
    <cellStyle name="Normal 5 23" xfId="35689" xr:uid="{F17A21B4-4F58-46C2-9492-01ECC44D7AB9}"/>
    <cellStyle name="Normal 5 24" xfId="35690" xr:uid="{985481E9-6B4A-40D5-98F2-158188926B4A}"/>
    <cellStyle name="Normal 5 25" xfId="35691" xr:uid="{D04E045F-91F3-46CB-B532-4223A26292FE}"/>
    <cellStyle name="Normal 5 26" xfId="35692" xr:uid="{EB5C544E-8C88-43A8-97CD-1C6E5AC90E67}"/>
    <cellStyle name="Normal 5 27" xfId="35693" xr:uid="{B03B63A8-390A-4719-BCC8-C63DF241FDA3}"/>
    <cellStyle name="Normal 5 28" xfId="35694" xr:uid="{54FCCD82-4416-4B46-801C-E12832B2F344}"/>
    <cellStyle name="Normal 5 29" xfId="35695" xr:uid="{BC3EA169-C24A-4E59-BF83-E423F57A5839}"/>
    <cellStyle name="Normal 5 3" xfId="225" xr:uid="{176F75B2-638C-4F37-9378-EA1D697A0EBC}"/>
    <cellStyle name="Normal 5 3 2" xfId="35697" xr:uid="{34C89FF9-713F-4972-97A8-4801159A042B}"/>
    <cellStyle name="Normal 5 3 3" xfId="35698" xr:uid="{E25229A9-4C12-42DA-A1C1-F76E45A4E912}"/>
    <cellStyle name="Normal 5 3 4" xfId="35699" xr:uid="{F6F2B05B-F07C-4F34-99CA-53375642010F}"/>
    <cellStyle name="Normal 5 3 5" xfId="35696" xr:uid="{3F679CE6-D0F5-4DF9-8731-E8453E54CADB}"/>
    <cellStyle name="Normal 5 30" xfId="35700" xr:uid="{0670AD52-2635-4FF0-AB8F-A38BD40F22F3}"/>
    <cellStyle name="Normal 5 31" xfId="35701" xr:uid="{73032E29-684C-4ECC-B716-2E598444A24F}"/>
    <cellStyle name="Normal 5 32" xfId="35702" xr:uid="{C6F4D9C0-B1AE-496D-80E2-F8B7F696855B}"/>
    <cellStyle name="Normal 5 33" xfId="35703" xr:uid="{E0AA6079-9A2C-4513-BEB0-13479D4C3655}"/>
    <cellStyle name="Normal 5 34" xfId="35704" xr:uid="{A5ACAD15-5085-4D0A-B74B-BEF157BBB96C}"/>
    <cellStyle name="Normal 5 35" xfId="35705" xr:uid="{2C35A116-58AE-49C3-B06A-30C6D4104CBD}"/>
    <cellStyle name="Normal 5 36" xfId="35668" xr:uid="{C9F3E455-FDE0-499C-A3AE-36A01CD90AC4}"/>
    <cellStyle name="Normal 5 4" xfId="35706" xr:uid="{1E8D46BE-E5B0-453D-835A-EF6025B07667}"/>
    <cellStyle name="Normal 5 4 2" xfId="35707" xr:uid="{269D6B36-ECD1-4304-9AD4-12DA78DECF97}"/>
    <cellStyle name="Normal 5 4 3" xfId="35708" xr:uid="{7C75EA8D-AA55-46FA-BC39-C8598174E4C0}"/>
    <cellStyle name="Normal 5 5" xfId="35709" xr:uid="{5BECF72E-405D-4A39-AFCA-ACF7227BF02A}"/>
    <cellStyle name="Normal 5 5 2" xfId="35710" xr:uid="{CA44B989-CC4D-4210-A1A2-D02E9D13F8CB}"/>
    <cellStyle name="Normal 5 5 3" xfId="35711" xr:uid="{F1C64E6C-2A21-4565-994B-CA0A75A66846}"/>
    <cellStyle name="Normal 5 6" xfId="35712" xr:uid="{6F6A6BCB-561E-41F6-A189-0FB2B59BDCDA}"/>
    <cellStyle name="Normal 5 6 2" xfId="35713" xr:uid="{97D0EF79-D5F4-45B7-B737-78576B2FF0E8}"/>
    <cellStyle name="Normal 5 6 3" xfId="35714" xr:uid="{0B2254F1-2CC7-45D0-94AD-D3CF3E47D850}"/>
    <cellStyle name="Normal 5 7" xfId="35715" xr:uid="{455708CA-23D5-4829-ACB9-071B756F855F}"/>
    <cellStyle name="Normal 5 8" xfId="35716" xr:uid="{6EB12722-9D30-4FAF-AEDD-05CE59B55085}"/>
    <cellStyle name="Normal 5 9" xfId="35717" xr:uid="{EC659880-2973-4472-BAA1-8BBCDB91F0A3}"/>
    <cellStyle name="Normal 5_April 17_Updated labor demand figures May 12 workshop" xfId="35718" xr:uid="{1A5C2D7C-9E45-46AF-A2B9-2EFAA8F72F43}"/>
    <cellStyle name="Normal 50" xfId="226" xr:uid="{8574F7F0-5449-435C-AE77-B4DB8764F1DB}"/>
    <cellStyle name="Normal 50 10" xfId="35720" xr:uid="{91548026-EAA5-4277-8D4E-A8794399C06D}"/>
    <cellStyle name="Normal 50 11" xfId="35719" xr:uid="{1FEA6B1D-063B-405A-97BD-48FF15207A36}"/>
    <cellStyle name="Normal 50 2" xfId="35721" xr:uid="{1A5AF2B0-56DE-436E-A058-DCCF847C12AB}"/>
    <cellStyle name="Normal 50 3" xfId="35722" xr:uid="{38A4FDBB-3199-4417-9D17-F6CE1462E39A}"/>
    <cellStyle name="Normal 50 4" xfId="35723" xr:uid="{C76A63CF-9119-4637-8688-65AB90AB4E59}"/>
    <cellStyle name="Normal 50 5" xfId="35724" xr:uid="{6FB7F1FD-58EF-43F7-B7A5-FF728B50BBF3}"/>
    <cellStyle name="Normal 50 6" xfId="35725" xr:uid="{BE03454A-FC9A-456D-AD26-1C539CAD9A30}"/>
    <cellStyle name="Normal 50 7" xfId="35726" xr:uid="{2B923818-81B1-4A01-805B-6017DD66F07B}"/>
    <cellStyle name="Normal 50 8" xfId="35727" xr:uid="{83E42F9B-6DA2-4FFE-91BC-3C970F104011}"/>
    <cellStyle name="Normal 50 9" xfId="35728" xr:uid="{B0EEF197-AEC8-44B0-8780-09A9CA6AF462}"/>
    <cellStyle name="Normal 51" xfId="227" xr:uid="{DB6C9180-1477-4B81-869A-7A2F3CE918F1}"/>
    <cellStyle name="Normal 51 10" xfId="35730" xr:uid="{2D53B68A-9D41-4DFA-90E0-F2546C750EA2}"/>
    <cellStyle name="Normal 51 11" xfId="35729" xr:uid="{C144467E-7B5D-4760-B112-00638087F780}"/>
    <cellStyle name="Normal 51 2" xfId="35731" xr:uid="{2C2880F1-2818-439D-A77A-01EBDE18FC0E}"/>
    <cellStyle name="Normal 51 3" xfId="35732" xr:uid="{B9CD5443-7094-448F-8E16-5606781E8B8D}"/>
    <cellStyle name="Normal 51 4" xfId="35733" xr:uid="{EE615A1C-E7CA-4AF9-B798-7B4178FE12E9}"/>
    <cellStyle name="Normal 51 5" xfId="35734" xr:uid="{304AB9F3-3F7A-47C1-86AE-3B563FC23306}"/>
    <cellStyle name="Normal 51 6" xfId="35735" xr:uid="{C48FD722-9E1D-4D03-AE3D-788C4D7F23CA}"/>
    <cellStyle name="Normal 51 7" xfId="35736" xr:uid="{AD60F717-3E6C-47E1-ACF0-0764A6CDC63F}"/>
    <cellStyle name="Normal 51 8" xfId="35737" xr:uid="{802F061C-532F-458E-957D-C349A1DC820E}"/>
    <cellStyle name="Normal 51 9" xfId="35738" xr:uid="{57F1EEB3-C68B-45E7-AE12-ABC670F63CF8}"/>
    <cellStyle name="Normal 52" xfId="228" xr:uid="{72286E42-7C4C-4975-AC6E-B6136AE5A2CF}"/>
    <cellStyle name="Normal 52 2" xfId="35740" xr:uid="{2A8581F6-34B0-4A95-9B92-141FC077DCD0}"/>
    <cellStyle name="Normal 52 3" xfId="35739" xr:uid="{B8A7576B-4FDC-4B97-9F42-3F5072F756AA}"/>
    <cellStyle name="Normal 53" xfId="391" xr:uid="{DA67E73D-657F-4463-AE94-277EF678D257}"/>
    <cellStyle name="Normal 53 2" xfId="35742" xr:uid="{2D8BEBF4-D767-490F-94CF-D3CC2A2B18A8}"/>
    <cellStyle name="Normal 53 3" xfId="35741" xr:uid="{3DA43EE1-FDDD-4CB8-8758-1254A43B6862}"/>
    <cellStyle name="Normal 54" xfId="408" xr:uid="{0072C81F-A750-408A-90FD-9A11B15C2814}"/>
    <cellStyle name="Normal 54 2" xfId="35744" xr:uid="{EA329C10-712C-4721-933C-2CED7D602E9A}"/>
    <cellStyle name="Normal 54 3" xfId="35743" xr:uid="{F13838FF-023A-49A2-ADE9-DAE6C3BE2034}"/>
    <cellStyle name="Normal 55" xfId="411" xr:uid="{91CDEEB8-08DD-4F2B-9BE2-FFD9E75D4DD9}"/>
    <cellStyle name="Normal 55 2" xfId="35746" xr:uid="{0AD9D923-69B0-478C-B6A2-738D7F690578}"/>
    <cellStyle name="Normal 55 3" xfId="35745" xr:uid="{2A48A544-B059-417B-A941-55E4804FEF6E}"/>
    <cellStyle name="Normal 56" xfId="35747" xr:uid="{5B126E18-5613-4504-9DA9-51FBBF12A97C}"/>
    <cellStyle name="Normal 56 2" xfId="35748" xr:uid="{C97BA79E-6F90-4ECA-80D6-0A514958CFDC}"/>
    <cellStyle name="Normal 57" xfId="35749" xr:uid="{88797569-DCA7-430C-A017-24F3BDCE472F}"/>
    <cellStyle name="Normal 57 2" xfId="35750" xr:uid="{B350645E-64B3-40E9-AECF-8E705FA361A7}"/>
    <cellStyle name="Normal 58" xfId="35751" xr:uid="{FF142AEA-CDA7-4BE7-821D-985F3C2048D7}"/>
    <cellStyle name="Normal 58 2" xfId="35752" xr:uid="{D65812F8-0685-4EA3-9B66-676DBE7DFDD6}"/>
    <cellStyle name="Normal 59" xfId="35753" xr:uid="{FB73CED2-4A79-4674-890F-E21EB3822418}"/>
    <cellStyle name="Normal 59 2" xfId="35754" xr:uid="{AB657051-D5CC-4552-8CE2-E948321D72B8}"/>
    <cellStyle name="Normal 6" xfId="229" xr:uid="{0826E8FA-380D-47AE-8BF0-011F5B1CB624}"/>
    <cellStyle name="Normal 6 10" xfId="35756" xr:uid="{81A9B77A-C80E-4818-BDB0-50E00732655D}"/>
    <cellStyle name="Normal 6 11" xfId="35757" xr:uid="{85FDBEFD-6D3B-43D3-ABAE-029413B62298}"/>
    <cellStyle name="Normal 6 12" xfId="35758" xr:uid="{4BA1F9B9-F106-4B22-A550-429A6C0B7DCB}"/>
    <cellStyle name="Normal 6 13" xfId="35759" xr:uid="{773A1851-DA0E-43C7-A792-FF43756506EE}"/>
    <cellStyle name="Normal 6 14" xfId="35760" xr:uid="{31128C81-7152-4A77-8023-C454EC2F3C9B}"/>
    <cellStyle name="Normal 6 15" xfId="35761" xr:uid="{6C2E7367-B965-46B3-8705-734EC43B3DF1}"/>
    <cellStyle name="Normal 6 16" xfId="35762" xr:uid="{932517FA-4709-48A0-ACB0-741F95A68B13}"/>
    <cellStyle name="Normal 6 17" xfId="35763" xr:uid="{8972DDAC-7FFB-4FE1-AD5E-F46FA0FABFE7}"/>
    <cellStyle name="Normal 6 18" xfId="35764" xr:uid="{616E0A73-F5A7-4B42-AEDC-3F369CFFEC75}"/>
    <cellStyle name="Normal 6 19" xfId="35765" xr:uid="{6B64D1A4-120C-4270-B8D3-066DD3B79D19}"/>
    <cellStyle name="Normal 6 2" xfId="230" xr:uid="{7017BE58-3D4E-40C6-8A5A-CD3F18F4DB01}"/>
    <cellStyle name="Normal 6 2 2" xfId="35767" xr:uid="{1B7A1398-6308-4682-8FE4-CD2BF2B7EAE4}"/>
    <cellStyle name="Normal 6 2 2 2" xfId="35768" xr:uid="{69D9BC1B-D7F7-4634-B7E4-7D2CBD997E52}"/>
    <cellStyle name="Normal 6 2 3" xfId="35769" xr:uid="{6767EC5C-58B6-44AE-B831-B8B84209F6D9}"/>
    <cellStyle name="Normal 6 2 4" xfId="35770" xr:uid="{E61DFF1E-15E1-4DE5-85F3-6E25746564D7}"/>
    <cellStyle name="Normal 6 2 5" xfId="35766" xr:uid="{B92E5596-CA69-45DB-9BCF-6F3C568D0BD3}"/>
    <cellStyle name="Normal 6 20" xfId="35771" xr:uid="{FAB452B1-FFD8-48A8-BF65-193C26E4260B}"/>
    <cellStyle name="Normal 6 21" xfId="35772" xr:uid="{252298F2-CC97-4A58-AE6C-A27183066F42}"/>
    <cellStyle name="Normal 6 22" xfId="35773" xr:uid="{5B30DE40-41F2-4585-8A71-85B1426AEF48}"/>
    <cellStyle name="Normal 6 23" xfId="35774" xr:uid="{16EC098B-299D-4361-962E-3C479575EEF5}"/>
    <cellStyle name="Normal 6 24" xfId="35775" xr:uid="{4BB9FA00-9181-4D04-96C6-F8EFD8E092C0}"/>
    <cellStyle name="Normal 6 25" xfId="35776" xr:uid="{A0F4739B-9B7F-4F37-88CD-6525BFD7730E}"/>
    <cellStyle name="Normal 6 26" xfId="35777" xr:uid="{E5ED3981-F104-4C2D-B803-5FADD0FC1BE8}"/>
    <cellStyle name="Normal 6 27" xfId="35778" xr:uid="{B42C017D-EDD9-4E38-8C62-04661A323A78}"/>
    <cellStyle name="Normal 6 28" xfId="35779" xr:uid="{AFECCA87-199A-4FDC-AA9B-5DFB632BB911}"/>
    <cellStyle name="Normal 6 29" xfId="35780" xr:uid="{935B7AEF-C14D-494A-9486-CD5B5B66B928}"/>
    <cellStyle name="Normal 6 3" xfId="35781" xr:uid="{DF5459DB-69A2-4AF1-A731-C9185D03C749}"/>
    <cellStyle name="Normal 6 3 2" xfId="35782" xr:uid="{78768713-DE3E-494B-BB0E-D79C91E59333}"/>
    <cellStyle name="Normal 6 30" xfId="35783" xr:uid="{2990EE0F-DC61-4B3F-82F8-42795C8FF02D}"/>
    <cellStyle name="Normal 6 31" xfId="35784" xr:uid="{E6B01DEE-95A3-4B4D-BBDE-860F7D671FFF}"/>
    <cellStyle name="Normal 6 32" xfId="35785" xr:uid="{00E62AB6-441E-45BA-A02C-D04CD6D7E138}"/>
    <cellStyle name="Normal 6 33" xfId="35786" xr:uid="{3FD22427-DDBD-4839-B746-B136AAF5F7F4}"/>
    <cellStyle name="Normal 6 34" xfId="35755" xr:uid="{E4D9DEE3-3D26-4071-AA96-4A8BEF1300C0}"/>
    <cellStyle name="Normal 6 4" xfId="35787" xr:uid="{2AEDBBC9-66DD-4D73-9D8F-803AB3A7636D}"/>
    <cellStyle name="Normal 6 4 2" xfId="35788" xr:uid="{9CC06703-E850-46F7-A2C1-3D9A3BA29E56}"/>
    <cellStyle name="Normal 6 5" xfId="35789" xr:uid="{5A0253A8-28A8-4564-9B85-80C9EE409EEE}"/>
    <cellStyle name="Normal 6 5 2" xfId="35790" xr:uid="{F240897F-1175-4947-BBFD-EA5C05EDBB70}"/>
    <cellStyle name="Normal 6 6" xfId="35791" xr:uid="{B0A3C2CC-CFFD-4C3A-B7BB-E63FC29FFC6C}"/>
    <cellStyle name="Normal 6 6 2" xfId="35792" xr:uid="{E27CCFFB-A971-4DA8-BF31-F97C3B02DD44}"/>
    <cellStyle name="Normal 6 7" xfId="35793" xr:uid="{C3751EEC-5E87-4440-8FB4-E56AAA08974A}"/>
    <cellStyle name="Normal 6 8" xfId="35794" xr:uid="{5B2CCA89-F48B-437C-BD2A-DE506B5F65C5}"/>
    <cellStyle name="Normal 6 9" xfId="35795" xr:uid="{9FB33634-E8CB-405B-95AB-1361C4D60B47}"/>
    <cellStyle name="Normal 6_April 17_Updated labor demand figures May 12 workshop" xfId="35796" xr:uid="{27ACBD01-961D-4DCA-9C03-55A7922F55C6}"/>
    <cellStyle name="Normal 60" xfId="35797" xr:uid="{6F209BDB-287D-4C7E-B51F-FB818A6D04DE}"/>
    <cellStyle name="Normal 60 2" xfId="35798" xr:uid="{50CE4E83-A1B2-4E02-919A-0BCEEF595AB3}"/>
    <cellStyle name="Normal 60 3" xfId="35799" xr:uid="{5923E093-CC53-43A7-AD4D-B753502FD0BC}"/>
    <cellStyle name="Normal 61" xfId="35800" xr:uid="{D09BD5D0-4AC4-4852-ADE6-09F23EDB9BF7}"/>
    <cellStyle name="Normal 61 2" xfId="35801" xr:uid="{E579CDB7-4062-411E-9517-8B997D62F2FB}"/>
    <cellStyle name="Normal 61 2 2" xfId="35802" xr:uid="{0F3F24B8-B668-4A72-A05C-0CA32B690937}"/>
    <cellStyle name="Normal 61 3" xfId="35803" xr:uid="{3000CE2B-6C1D-4C6D-A475-63AB58AE5B84}"/>
    <cellStyle name="Normal 62" xfId="35804" xr:uid="{E13FF957-4F6C-4CDA-B480-471232C739EF}"/>
    <cellStyle name="Normal 62 2" xfId="35805" xr:uid="{63092023-0054-4E92-9E18-0333A1F1CC9A}"/>
    <cellStyle name="Normal 62 3" xfId="35806" xr:uid="{27930B7A-9EB8-429B-9431-C3D39B8C8C50}"/>
    <cellStyle name="Normal 63" xfId="35807" xr:uid="{2FF0B92B-8C1A-4909-97B2-0B17787978F7}"/>
    <cellStyle name="Normal 63 2" xfId="35808" xr:uid="{04F5A2B8-A8F3-4E0A-830B-0C252F64ED69}"/>
    <cellStyle name="Normal 64" xfId="35809" xr:uid="{791F4BE5-C9A8-40B6-97AC-D6D7B26EF0B6}"/>
    <cellStyle name="Normal 65" xfId="35810" xr:uid="{442DB231-F943-443C-9601-1971674D0C91}"/>
    <cellStyle name="Normal 66" xfId="35811" xr:uid="{8FB55957-7077-4274-85E6-B54C637977C1}"/>
    <cellStyle name="Normal 67" xfId="35812" xr:uid="{888490AE-AAC3-417A-B7C7-8C53745B3254}"/>
    <cellStyle name="Normal 68" xfId="35813" xr:uid="{8DE97C83-8997-4351-83EA-7B290B40BD49}"/>
    <cellStyle name="Normal 69" xfId="35814" xr:uid="{CDACAFE5-0C5D-4FD6-91E5-AB64B43D57DE}"/>
    <cellStyle name="Normal 7" xfId="231" xr:uid="{D9115682-10B5-4278-96C6-4228994BE24C}"/>
    <cellStyle name="Normal 7 10" xfId="35816" xr:uid="{02FC52B7-9C79-4287-9C0C-D2F7184492E8}"/>
    <cellStyle name="Normal 7 11" xfId="35817" xr:uid="{0468AD5B-D361-4150-A3D4-8159A30EA26B}"/>
    <cellStyle name="Normal 7 12" xfId="35818" xr:uid="{D5A922BD-854B-424C-BF31-7C0DF7646455}"/>
    <cellStyle name="Normal 7 13" xfId="35819" xr:uid="{075B73E4-F638-45B4-9637-63561A4A30C4}"/>
    <cellStyle name="Normal 7 14" xfId="35820" xr:uid="{2A581653-28B1-4A41-8C6B-36D7599E2760}"/>
    <cellStyle name="Normal 7 15" xfId="35821" xr:uid="{4665DC9D-85BD-4297-9C47-A7D384880C48}"/>
    <cellStyle name="Normal 7 16" xfId="35822" xr:uid="{28C9C645-8771-441C-8507-11AC481E905D}"/>
    <cellStyle name="Normal 7 17" xfId="35823" xr:uid="{B0837869-9DA1-401C-9971-9A0C022BA38B}"/>
    <cellStyle name="Normal 7 18" xfId="35824" xr:uid="{7B5B5442-DA73-4184-A9DB-2FB370BF97E7}"/>
    <cellStyle name="Normal 7 19" xfId="35825" xr:uid="{774837D7-2737-478B-B02E-00A5B7705039}"/>
    <cellStyle name="Normal 7 2" xfId="232" xr:uid="{F8A11EC3-545A-4938-A296-0B77FCAC21B3}"/>
    <cellStyle name="Normal 7 2 2" xfId="35827" xr:uid="{1E3950E8-95F8-4D7A-A033-8F5EE241702A}"/>
    <cellStyle name="Normal 7 2 3" xfId="35826" xr:uid="{0ABB1A91-20C2-4120-99AB-0270BDEDCD5B}"/>
    <cellStyle name="Normal 7 20" xfId="35828" xr:uid="{57AD62F0-4674-400D-A733-9D2D5F12738F}"/>
    <cellStyle name="Normal 7 21" xfId="35829" xr:uid="{20ADD17B-8200-4E41-87F2-56ABE1FEDD44}"/>
    <cellStyle name="Normal 7 22" xfId="35830" xr:uid="{4C4DE1C9-A7A6-4441-BED1-46831812E4FF}"/>
    <cellStyle name="Normal 7 23" xfId="35831" xr:uid="{4CA1C1FC-3244-4B07-B35B-0B26C8A2B565}"/>
    <cellStyle name="Normal 7 24" xfId="35832" xr:uid="{490F4029-4390-40CA-9B7A-E3A726990ABA}"/>
    <cellStyle name="Normal 7 25" xfId="35833" xr:uid="{DCFB81B2-4D97-4070-B4F3-D93DB2FB0A40}"/>
    <cellStyle name="Normal 7 26" xfId="35834" xr:uid="{C3558694-9A90-46FB-96BD-FC08CCCE66E1}"/>
    <cellStyle name="Normal 7 27" xfId="35835" xr:uid="{0064D9F8-71BB-4651-8185-20BCC12784DB}"/>
    <cellStyle name="Normal 7 28" xfId="35836" xr:uid="{E67E1C1F-5ED9-4CED-B4DF-D8034EA10CFC}"/>
    <cellStyle name="Normal 7 29" xfId="35837" xr:uid="{C401AEC3-DB12-4C12-BDC0-4E60C3C24A45}"/>
    <cellStyle name="Normal 7 3" xfId="35838" xr:uid="{EAC537D1-3DBE-424C-807F-EBDAD69D3A71}"/>
    <cellStyle name="Normal 7 30" xfId="35839" xr:uid="{C82E96D3-AD8C-4F53-89C0-277C22B77052}"/>
    <cellStyle name="Normal 7 31" xfId="35840" xr:uid="{D8C39B0C-0B63-4039-A2D3-6CA13B9D35A1}"/>
    <cellStyle name="Normal 7 32" xfId="35841" xr:uid="{932E13C1-509E-4BA9-B6DF-3EAFAEB8290E}"/>
    <cellStyle name="Normal 7 33" xfId="35842" xr:uid="{6262C70B-A4FB-4759-8EF9-B5D55B051892}"/>
    <cellStyle name="Normal 7 34" xfId="35843" xr:uid="{80C8486F-7031-4EF0-BCE4-19164090E2E9}"/>
    <cellStyle name="Normal 7 35" xfId="35815" xr:uid="{880FCCA0-44FA-4897-9376-AB0079B0D05B}"/>
    <cellStyle name="Normal 7 4" xfId="35844" xr:uid="{C46E0CAD-0332-4F34-8A28-EE0CF1A43519}"/>
    <cellStyle name="Normal 7 5" xfId="35845" xr:uid="{02DF9240-BF76-43F1-8BF5-CD59B7832AA5}"/>
    <cellStyle name="Normal 7 6" xfId="35846" xr:uid="{403EDE9E-8F22-437F-AA70-0705C8347CEE}"/>
    <cellStyle name="Normal 7 7" xfId="35847" xr:uid="{BB136DEE-DADF-4CFB-81E7-A1CA6851A4A3}"/>
    <cellStyle name="Normal 7 8" xfId="35848" xr:uid="{FF11F799-3813-48C8-9A88-2EDCB51A19EF}"/>
    <cellStyle name="Normal 7 9" xfId="35849" xr:uid="{085F58E4-256A-4398-B21B-8DE6A8D2B618}"/>
    <cellStyle name="Normal 70" xfId="35850" xr:uid="{28ECFC67-6712-4685-850C-A98E0139D28E}"/>
    <cellStyle name="Normal 70 10" xfId="35851" xr:uid="{C82265DB-9ECD-4833-A17D-716EB70D30A4}"/>
    <cellStyle name="Normal 70 11" xfId="35852" xr:uid="{34A8BE30-8AAE-45EF-A7E6-D80CED506885}"/>
    <cellStyle name="Normal 70 12" xfId="35853" xr:uid="{CCDEEF68-2014-4F94-B0D0-E94921D124A9}"/>
    <cellStyle name="Normal 70 13" xfId="35854" xr:uid="{4B9C6243-15B2-45BD-A853-32547F80BE5D}"/>
    <cellStyle name="Normal 70 14" xfId="35855" xr:uid="{9B1DFEB0-D3AC-463E-8608-5B83FF83B26C}"/>
    <cellStyle name="Normal 70 15" xfId="35856" xr:uid="{728737D5-0733-4F5A-AF2E-158833260127}"/>
    <cellStyle name="Normal 70 16" xfId="35857" xr:uid="{A86DAB7E-1973-4301-BBB0-ACB7E6CA596C}"/>
    <cellStyle name="Normal 70 17" xfId="35858" xr:uid="{85117E16-1A96-4BA8-ABB9-F7E5BE946DE8}"/>
    <cellStyle name="Normal 70 18" xfId="35859" xr:uid="{0926C5F4-6D5A-439E-A7A4-838AADA8E9E0}"/>
    <cellStyle name="Normal 70 19" xfId="35860" xr:uid="{31524849-6F52-43EC-B3D9-7AE43B66DD93}"/>
    <cellStyle name="Normal 70 2" xfId="35861" xr:uid="{D81F2DEF-358D-4E8B-AEFC-5C48281C9BA5}"/>
    <cellStyle name="Normal 70 20" xfId="35862" xr:uid="{8E3595AF-728C-4ABD-B6F0-A95B4C4902A1}"/>
    <cellStyle name="Normal 70 21" xfId="35863" xr:uid="{7BE4E7F7-EC8C-4A7B-B12C-CE389D1FAB12}"/>
    <cellStyle name="Normal 70 22" xfId="35864" xr:uid="{21DB2CFA-29A3-4B30-9DEA-FDCDA2289B60}"/>
    <cellStyle name="Normal 70 3" xfId="35865" xr:uid="{7B188411-E0C7-4119-94FD-37D07126B0E2}"/>
    <cellStyle name="Normal 70 4" xfId="35866" xr:uid="{B18B8FF3-781B-4681-AF75-9C57EB684E42}"/>
    <cellStyle name="Normal 70 5" xfId="35867" xr:uid="{7F18447F-BDF8-4216-B89C-226D2A81BB72}"/>
    <cellStyle name="Normal 70 6" xfId="35868" xr:uid="{39FCFD0C-C8F4-4D48-9FFA-73D77E999047}"/>
    <cellStyle name="Normal 70 7" xfId="35869" xr:uid="{33AB0D36-470E-473A-9F59-AFBD7A97893D}"/>
    <cellStyle name="Normal 70 8" xfId="35870" xr:uid="{15D4C00C-5EB6-459C-8FE3-346480C1AB26}"/>
    <cellStyle name="Normal 70 9" xfId="35871" xr:uid="{27DDE763-B4A0-4AEA-87D8-1AA1716F96EE}"/>
    <cellStyle name="Normal 71" xfId="35872" xr:uid="{C87AADB6-1620-4C3F-B6E4-8A36D55C9745}"/>
    <cellStyle name="Normal 71 10" xfId="35873" xr:uid="{01A8A0DE-D17E-43AD-B11F-C3028BD6207C}"/>
    <cellStyle name="Normal 71 11" xfId="35874" xr:uid="{018045E0-AB44-444F-83AB-914E96D2F4D6}"/>
    <cellStyle name="Normal 71 12" xfId="35875" xr:uid="{E5A1E246-0546-47C8-A100-15BF72426E79}"/>
    <cellStyle name="Normal 71 13" xfId="35876" xr:uid="{9B4F7523-39DA-4CEE-922B-D9CADB6C59D9}"/>
    <cellStyle name="Normal 71 14" xfId="35877" xr:uid="{8346EA75-0EEA-4D39-BB50-6C41A990DDEE}"/>
    <cellStyle name="Normal 71 15" xfId="35878" xr:uid="{633637DA-62B3-474C-BC02-FE4DE0C0C7F8}"/>
    <cellStyle name="Normal 71 16" xfId="35879" xr:uid="{C5086F32-3BEF-4678-BB90-DADABEB4840A}"/>
    <cellStyle name="Normal 71 17" xfId="35880" xr:uid="{A85978A8-FDB4-4024-8860-A1A8A292882C}"/>
    <cellStyle name="Normal 71 18" xfId="35881" xr:uid="{EB8CD21B-39E7-489F-8C0B-360BB44A9950}"/>
    <cellStyle name="Normal 71 19" xfId="35882" xr:uid="{D33DD5D5-46A4-49E4-9BC2-6F7D40FBAD46}"/>
    <cellStyle name="Normal 71 2" xfId="35883" xr:uid="{ED602632-E08F-48C8-8A61-070C3601D02E}"/>
    <cellStyle name="Normal 71 20" xfId="35884" xr:uid="{265B843C-2E65-458D-B002-6D3DE21DF7CA}"/>
    <cellStyle name="Normal 71 21" xfId="35885" xr:uid="{817B52C5-E1D4-4200-B8DC-A96EA1FD2781}"/>
    <cellStyle name="Normal 71 22" xfId="35886" xr:uid="{2B16E0FF-104F-438C-94D7-0CD261E92ACF}"/>
    <cellStyle name="Normal 71 3" xfId="35887" xr:uid="{96EF2E0F-C671-4F4F-BE54-FB7F370D7B6E}"/>
    <cellStyle name="Normal 71 4" xfId="35888" xr:uid="{C499FB56-2359-41FF-88CD-3E56A1D506AE}"/>
    <cellStyle name="Normal 71 5" xfId="35889" xr:uid="{268AA4C2-FEBE-4087-859D-085D55C46B4C}"/>
    <cellStyle name="Normal 71 6" xfId="35890" xr:uid="{67B03F85-047E-4810-A963-9452E111E02E}"/>
    <cellStyle name="Normal 71 7" xfId="35891" xr:uid="{4422072B-F22E-40B0-8633-E91200B657A7}"/>
    <cellStyle name="Normal 71 8" xfId="35892" xr:uid="{425A3A44-C634-471D-9AFF-D2159616AD84}"/>
    <cellStyle name="Normal 71 9" xfId="35893" xr:uid="{D846C0E8-E358-4582-859C-F9235F71855A}"/>
    <cellStyle name="Normal 72" xfId="35894" xr:uid="{BC5EA994-292C-43D0-8254-CA137EB9B9ED}"/>
    <cellStyle name="Normal 73" xfId="35895" xr:uid="{0D23E3FA-5EB6-4DD2-9103-45D81518FE3A}"/>
    <cellStyle name="Normal 73 2" xfId="35896" xr:uid="{C1915380-74D5-43FE-B6A6-AAD018460206}"/>
    <cellStyle name="Normal 73 3" xfId="35897" xr:uid="{38054181-838D-432F-B6D3-C13DFE33F314}"/>
    <cellStyle name="Normal 73 4" xfId="35898" xr:uid="{B9718BD9-918D-466A-B9A1-146D852D000F}"/>
    <cellStyle name="Normal 74" xfId="35899" xr:uid="{FDB3C23A-4780-4745-9956-49E372BA3589}"/>
    <cellStyle name="Normal 74 10" xfId="35900" xr:uid="{8DBCB754-093B-4EF2-861E-07FE43F20779}"/>
    <cellStyle name="Normal 74 11" xfId="35901" xr:uid="{4D6E6A9B-62AF-4672-938C-6A7063E2F590}"/>
    <cellStyle name="Normal 74 12" xfId="35902" xr:uid="{E9D6B105-2B3E-4595-A740-82E68F579C42}"/>
    <cellStyle name="Normal 74 13" xfId="35903" xr:uid="{E9749A9A-4B9B-442F-A3EA-5B797F173BC4}"/>
    <cellStyle name="Normal 74 2" xfId="35904" xr:uid="{6674A4C0-0467-40C7-8822-B2D44609CEE6}"/>
    <cellStyle name="Normal 74 3" xfId="35905" xr:uid="{B5D4E98C-A39D-4824-B45D-C75328D9376A}"/>
    <cellStyle name="Normal 74 4" xfId="35906" xr:uid="{D953DDB6-833C-4709-B08D-E16F679CCAC8}"/>
    <cellStyle name="Normal 74 5" xfId="35907" xr:uid="{AE634862-03BC-401F-9F5A-56EAF8BDCFD4}"/>
    <cellStyle name="Normal 74 6" xfId="35908" xr:uid="{BA6C1CEB-573F-4C14-97A3-32D155345A60}"/>
    <cellStyle name="Normal 74 7" xfId="35909" xr:uid="{CC36D3CD-0045-4EE8-B665-BD665BC0EBA8}"/>
    <cellStyle name="Normal 74 8" xfId="35910" xr:uid="{CF223027-79C4-4FB7-B036-3938A7765ABD}"/>
    <cellStyle name="Normal 74 9" xfId="35911" xr:uid="{F273A0B0-AE65-4BE3-8ADF-EBF84105E56D}"/>
    <cellStyle name="Normal 75" xfId="35912" xr:uid="{CFDF3011-7890-4D34-AABB-CFD30BE898C5}"/>
    <cellStyle name="Normal 75 10" xfId="35913" xr:uid="{954A7D4D-400F-49F4-B760-B287282E7782}"/>
    <cellStyle name="Normal 75 11" xfId="35914" xr:uid="{CAEBD33B-B830-480A-B44D-B7FF7CAF1FFC}"/>
    <cellStyle name="Normal 75 12" xfId="35915" xr:uid="{D6469786-FAAB-4124-AD1D-C297FB4C0E76}"/>
    <cellStyle name="Normal 75 13" xfId="35916" xr:uid="{6F9621C6-E056-425C-8C8C-0C3F70AF7D45}"/>
    <cellStyle name="Normal 75 2" xfId="35917" xr:uid="{7BFC708C-003D-444E-92DB-1E5C46F64B68}"/>
    <cellStyle name="Normal 75 3" xfId="35918" xr:uid="{A9A48D0E-E779-4C78-A892-32E46DE6F8F6}"/>
    <cellStyle name="Normal 75 4" xfId="35919" xr:uid="{0C2774EE-2523-47BC-BED2-2442FE61B083}"/>
    <cellStyle name="Normal 75 5" xfId="35920" xr:uid="{1EA9561F-A700-4A7F-8486-A1E04C2AF00B}"/>
    <cellStyle name="Normal 75 6" xfId="35921" xr:uid="{D9A4C37F-E236-45BD-85AA-A860A30AD725}"/>
    <cellStyle name="Normal 75 7" xfId="35922" xr:uid="{03B5A667-E074-445A-A329-97D74F884CDE}"/>
    <cellStyle name="Normal 75 8" xfId="35923" xr:uid="{067CBABF-9178-41F2-B846-98F4893CFDB5}"/>
    <cellStyle name="Normal 75 9" xfId="35924" xr:uid="{FEDB1146-15D3-49A6-A0EB-7DA2974BA0DB}"/>
    <cellStyle name="Normal 76" xfId="35925" xr:uid="{A385C22F-D607-4403-BF1E-0D58441452C6}"/>
    <cellStyle name="Normal 76 10" xfId="35926" xr:uid="{E2781520-44AC-423A-9114-731112DC60AE}"/>
    <cellStyle name="Normal 76 11" xfId="35927" xr:uid="{BFC7FE34-3896-4DFA-93EB-F5780DF320DB}"/>
    <cellStyle name="Normal 76 12" xfId="35928" xr:uid="{8E4E95B8-B9D1-456F-A485-881D3D43B613}"/>
    <cellStyle name="Normal 76 13" xfId="35929" xr:uid="{8B4AC14B-DF0B-492E-8EA0-F65DDE0B4EE9}"/>
    <cellStyle name="Normal 76 2" xfId="35930" xr:uid="{6617A8B6-DA05-4E8B-811C-7A94CEA54F05}"/>
    <cellStyle name="Normal 76 3" xfId="35931" xr:uid="{C2FAB060-99F5-49C1-9CE8-08605E57551A}"/>
    <cellStyle name="Normal 76 4" xfId="35932" xr:uid="{BDE26D0E-F997-4A6F-97F1-42386D262241}"/>
    <cellStyle name="Normal 76 5" xfId="35933" xr:uid="{E66F2597-E190-4CAF-8609-0C3CF34AC2B3}"/>
    <cellStyle name="Normal 76 6" xfId="35934" xr:uid="{3AA05E2F-0019-4BD6-A689-CBD36116BD84}"/>
    <cellStyle name="Normal 76 7" xfId="35935" xr:uid="{D5920FCE-098A-4D6D-843B-C7990C1BCB53}"/>
    <cellStyle name="Normal 76 8" xfId="35936" xr:uid="{C0764E8F-7584-480B-840F-652E0104457A}"/>
    <cellStyle name="Normal 76 9" xfId="35937" xr:uid="{CE7C0BDA-AD42-4F8B-B7AF-2B18C67DEE3E}"/>
    <cellStyle name="Normal 77" xfId="35938" xr:uid="{62394A99-333B-41FD-935D-45F2675A96DB}"/>
    <cellStyle name="Normal 77 10" xfId="35939" xr:uid="{EDD0DC6B-9AF1-480C-967B-B7FEC23D5C86}"/>
    <cellStyle name="Normal 77 11" xfId="35940" xr:uid="{50CC4627-F309-44BA-8B04-F94CED0F54B5}"/>
    <cellStyle name="Normal 77 12" xfId="35941" xr:uid="{CCC9134E-E4F9-4CC3-B7E6-78D7985812C2}"/>
    <cellStyle name="Normal 77 13" xfId="35942" xr:uid="{C1814B88-50A2-419C-A811-52EE70B8F91D}"/>
    <cellStyle name="Normal 77 2" xfId="35943" xr:uid="{072F26FD-B208-41D3-AE26-F3A66A00606F}"/>
    <cellStyle name="Normal 77 3" xfId="35944" xr:uid="{74C169F8-F0F3-4382-A898-CA346761358D}"/>
    <cellStyle name="Normal 77 4" xfId="35945" xr:uid="{BA575C06-3B85-471F-8B06-1F195C829F31}"/>
    <cellStyle name="Normal 77 5" xfId="35946" xr:uid="{2B0BC4ED-D563-4468-9E5D-C3735DAE3C85}"/>
    <cellStyle name="Normal 77 6" xfId="35947" xr:uid="{93C90415-13ED-4EAD-8883-920DA3904756}"/>
    <cellStyle name="Normal 77 7" xfId="35948" xr:uid="{3B50EF9E-8ED1-4C9F-B860-CFE95F4C15A1}"/>
    <cellStyle name="Normal 77 8" xfId="35949" xr:uid="{D7D130D6-1C69-45A8-B704-87477628F9F8}"/>
    <cellStyle name="Normal 77 9" xfId="35950" xr:uid="{870C84B9-0C4F-4F74-BDF2-0DA77AF0BB27}"/>
    <cellStyle name="Normal 78" xfId="35951" xr:uid="{DAAFFB71-FF4A-4906-B263-34F395D8A259}"/>
    <cellStyle name="Normal 78 10" xfId="35952" xr:uid="{B2C53164-5BD0-4BA3-BB9A-662F037F71A8}"/>
    <cellStyle name="Normal 78 11" xfId="35953" xr:uid="{BB615139-2F9F-4E5B-ADBD-3A7EDF59B318}"/>
    <cellStyle name="Normal 78 12" xfId="35954" xr:uid="{76E9DD59-99D2-4888-A08B-040AD8129FEB}"/>
    <cellStyle name="Normal 78 13" xfId="35955" xr:uid="{2654DBD0-467D-4474-AA39-404B90D76047}"/>
    <cellStyle name="Normal 78 2" xfId="35956" xr:uid="{46516FE7-9F6A-49E8-ADB9-F6E6F71EDC21}"/>
    <cellStyle name="Normal 78 3" xfId="35957" xr:uid="{EDBF353C-1F11-4729-86AE-D3DC70D7F600}"/>
    <cellStyle name="Normal 78 4" xfId="35958" xr:uid="{C5C3F404-2A48-4532-9432-062314BCED69}"/>
    <cellStyle name="Normal 78 5" xfId="35959" xr:uid="{69AB87B8-414F-419F-A021-AABDD2C59AC9}"/>
    <cellStyle name="Normal 78 6" xfId="35960" xr:uid="{08E5C605-A571-4DD4-98B9-12BF9EB61957}"/>
    <cellStyle name="Normal 78 7" xfId="35961" xr:uid="{8546057D-B5CC-4870-858A-2CF00C7FE6A5}"/>
    <cellStyle name="Normal 78 8" xfId="35962" xr:uid="{184454BB-DF6C-483D-A130-83032ECA6343}"/>
    <cellStyle name="Normal 78 9" xfId="35963" xr:uid="{4880DCDB-C26B-4E4B-99CC-893836001078}"/>
    <cellStyle name="Normal 79" xfId="35964" xr:uid="{11864F5A-DFED-445A-8783-B3481524D4FC}"/>
    <cellStyle name="Normal 79 10" xfId="35965" xr:uid="{28BC5288-3E2B-4D79-AC94-45FFE3379E6C}"/>
    <cellStyle name="Normal 79 11" xfId="35966" xr:uid="{29487904-9881-4922-A5FC-D825438A4FF1}"/>
    <cellStyle name="Normal 79 12" xfId="35967" xr:uid="{E995F5E5-B727-4965-8262-71A1559A07A9}"/>
    <cellStyle name="Normal 79 13" xfId="35968" xr:uid="{A304540A-7C8D-41E7-AA34-5D39DFED4C9B}"/>
    <cellStyle name="Normal 79 2" xfId="35969" xr:uid="{4BE69DA0-8AD8-4FB2-8F0B-3F91812C5FEC}"/>
    <cellStyle name="Normal 79 3" xfId="35970" xr:uid="{F369A7DB-1571-4AB1-A2B6-75EFD4511003}"/>
    <cellStyle name="Normal 79 4" xfId="35971" xr:uid="{8C243D4E-757E-4FD9-B8B2-FC8ABB7BA057}"/>
    <cellStyle name="Normal 79 5" xfId="35972" xr:uid="{FEC3F04D-3A79-4629-A86A-056832EC6CE3}"/>
    <cellStyle name="Normal 79 6" xfId="35973" xr:uid="{962D420B-C9FC-4D17-BF1F-859A6D303B36}"/>
    <cellStyle name="Normal 79 7" xfId="35974" xr:uid="{FDAC2A7B-D5A9-4E13-A9BD-D5602CB99EC6}"/>
    <cellStyle name="Normal 79 8" xfId="35975" xr:uid="{6B47334E-69E6-45FA-A674-E68B54B91828}"/>
    <cellStyle name="Normal 79 9" xfId="35976" xr:uid="{2678F170-5CC0-4064-88FE-7EB42CA4A890}"/>
    <cellStyle name="Normal 8" xfId="233" xr:uid="{F6950757-9E20-4209-B981-0B8A1B7EEF2C}"/>
    <cellStyle name="Normal 8 10" xfId="35978" xr:uid="{0F8E6478-647F-471C-BDD0-A0EA300D38D1}"/>
    <cellStyle name="Normal 8 11" xfId="35979" xr:uid="{81D5F92F-4EB4-4D58-AD4F-CE8120E78DED}"/>
    <cellStyle name="Normal 8 12" xfId="35980" xr:uid="{84BE39A9-647A-4361-A7B4-749271498089}"/>
    <cellStyle name="Normal 8 13" xfId="35981" xr:uid="{DA5F1819-777F-41E8-88D2-B69501692086}"/>
    <cellStyle name="Normal 8 14" xfId="35982" xr:uid="{CC6D7B76-AB49-4647-AF0E-3DAB864FAE48}"/>
    <cellStyle name="Normal 8 15" xfId="35983" xr:uid="{8D6C7607-6013-4ECE-A5C0-6385BA24B254}"/>
    <cellStyle name="Normal 8 16" xfId="35984" xr:uid="{F16963A5-48A5-47EA-9FBE-54F5E415B2D6}"/>
    <cellStyle name="Normal 8 17" xfId="35985" xr:uid="{C9BA5FED-1B53-43E4-965F-9064B0AFCFA7}"/>
    <cellStyle name="Normal 8 18" xfId="35986" xr:uid="{F59EEAE2-1920-4543-859F-6BD39A2D0B7E}"/>
    <cellStyle name="Normal 8 19" xfId="35987" xr:uid="{C4308CA3-E1E0-406E-A32D-BB8A3C18F2F6}"/>
    <cellStyle name="Normal 8 2" xfId="234" xr:uid="{243261E7-525E-4041-976C-BB1D1BA13FAE}"/>
    <cellStyle name="Normal 8 2 2" xfId="35989" xr:uid="{FAFE10C4-BB62-402D-B027-012E7E5745E7}"/>
    <cellStyle name="Normal 8 2 3" xfId="35990" xr:uid="{6D6E9ED2-0AFC-4ACB-9156-7DF3FACE7E28}"/>
    <cellStyle name="Normal 8 2 4" xfId="35988" xr:uid="{39B54776-EEB7-4E27-8B2D-CB7BE8EA816E}"/>
    <cellStyle name="Normal 8 20" xfId="35991" xr:uid="{9B9F5CCB-238A-4C29-87A3-98654161B515}"/>
    <cellStyle name="Normal 8 21" xfId="35992" xr:uid="{D909A724-5338-47C2-A158-747D93E72E57}"/>
    <cellStyle name="Normal 8 22" xfId="35993" xr:uid="{4B7E0288-DC39-4CE2-A4AE-C6CE0C4DC765}"/>
    <cellStyle name="Normal 8 23" xfId="35994" xr:uid="{99409962-E171-4513-B11B-1293DAA658E8}"/>
    <cellStyle name="Normal 8 24" xfId="35995" xr:uid="{BB27B570-8FEA-4558-8435-791F6A5C8DA5}"/>
    <cellStyle name="Normal 8 25" xfId="35996" xr:uid="{9AA2DD42-D437-4C64-B816-4445DF3D1757}"/>
    <cellStyle name="Normal 8 26" xfId="35997" xr:uid="{442D8262-8D77-4597-A6DB-A1F0E7179EEE}"/>
    <cellStyle name="Normal 8 27" xfId="35998" xr:uid="{D36BD174-C326-4A05-940B-344A6262FCED}"/>
    <cellStyle name="Normal 8 28" xfId="35999" xr:uid="{528E9F99-7803-45CD-B2D5-41B64618F516}"/>
    <cellStyle name="Normal 8 29" xfId="36000" xr:uid="{9FF7CBC7-F896-4D23-95E1-D8F6360068B4}"/>
    <cellStyle name="Normal 8 3" xfId="36001" xr:uid="{0643C892-0DD5-4F55-AFFB-C1E768DDC273}"/>
    <cellStyle name="Normal 8 30" xfId="36002" xr:uid="{5A286C30-967B-4FCC-B7ED-5B4A92A0562C}"/>
    <cellStyle name="Normal 8 31" xfId="36003" xr:uid="{2E5BF15B-43D6-4CB2-9CC5-AD1AE6EE4FE4}"/>
    <cellStyle name="Normal 8 32" xfId="36004" xr:uid="{A66CE035-D3DD-4DA2-B99F-56D5918AE6D7}"/>
    <cellStyle name="Normal 8 33" xfId="36005" xr:uid="{437CBDD0-20E3-4AF9-A851-2C905ED63057}"/>
    <cellStyle name="Normal 8 34" xfId="36006" xr:uid="{23E300D8-12EF-46E5-89AD-1C0F190F0309}"/>
    <cellStyle name="Normal 8 35" xfId="35977" xr:uid="{AF8DEADE-EC5E-4260-A9EA-78689C2F2715}"/>
    <cellStyle name="Normal 8 4" xfId="36007" xr:uid="{A0890E63-3141-4271-B753-8E32629F8122}"/>
    <cellStyle name="Normal 8 5" xfId="36008" xr:uid="{C5FE964F-3803-46A0-B6CD-B996C2822092}"/>
    <cellStyle name="Normal 8 6" xfId="36009" xr:uid="{11E3C02F-DDCD-4CC8-ADBD-B1C32266B217}"/>
    <cellStyle name="Normal 8 7" xfId="36010" xr:uid="{91A516B8-A5D8-41D3-9AB8-A3EB4402F130}"/>
    <cellStyle name="Normal 8 8" xfId="36011" xr:uid="{7C65ADBC-6B22-429C-8F68-99D1EF1A86DD}"/>
    <cellStyle name="Normal 8 9" xfId="36012" xr:uid="{4AF2EA97-1B92-48F0-BA98-723DA17D6DBF}"/>
    <cellStyle name="Normal 80" xfId="36013" xr:uid="{73E292E2-60B3-4D6A-BB60-1B75AEBDFEDE}"/>
    <cellStyle name="Normal 80 10" xfId="36014" xr:uid="{12B32BEC-B618-456A-91C2-FDA0FDE1ACB4}"/>
    <cellStyle name="Normal 80 11" xfId="36015" xr:uid="{A3FAE56B-F3CF-470D-9418-3F2C98F581C7}"/>
    <cellStyle name="Normal 80 12" xfId="36016" xr:uid="{357AB84C-1BF2-4D77-A9D3-99F94D100F05}"/>
    <cellStyle name="Normal 80 13" xfId="36017" xr:uid="{87131A82-4056-4BD1-A1D2-308B313A94B4}"/>
    <cellStyle name="Normal 80 2" xfId="36018" xr:uid="{AF2FFB4C-5A33-4C4D-8875-A11E549D3AB4}"/>
    <cellStyle name="Normal 80 3" xfId="36019" xr:uid="{A97FCA3A-FEFB-469D-83E5-8BBD966DC04C}"/>
    <cellStyle name="Normal 80 4" xfId="36020" xr:uid="{38C5FD9B-BD53-47F2-B9CC-7C3C778B7836}"/>
    <cellStyle name="Normal 80 5" xfId="36021" xr:uid="{C4A80B68-BB13-4D2E-B1FA-8F40C570F8FC}"/>
    <cellStyle name="Normal 80 6" xfId="36022" xr:uid="{EFC7658D-10F0-4749-BE8F-1A642EF41F78}"/>
    <cellStyle name="Normal 80 7" xfId="36023" xr:uid="{42E428F1-F8E5-4C72-9506-D7F2197D61D7}"/>
    <cellStyle name="Normal 80 8" xfId="36024" xr:uid="{759CD91D-59AE-4345-A437-36E762BE3E0F}"/>
    <cellStyle name="Normal 80 9" xfId="36025" xr:uid="{862F3557-7BD2-4237-9675-928F0850D647}"/>
    <cellStyle name="Normal 81" xfId="36026" xr:uid="{B2693F5A-6488-4C41-8A07-8BCBBED4FC5F}"/>
    <cellStyle name="Normal 81 2" xfId="36027" xr:uid="{78469EB1-B74B-4EBC-93D5-FD325A77A37F}"/>
    <cellStyle name="Normal 81 3" xfId="36028" xr:uid="{8DA30F83-2BF1-41B2-AEC0-B156159D4448}"/>
    <cellStyle name="Normal 81 4" xfId="36029" xr:uid="{3E27DACC-15DD-412F-9DA5-96410897CA09}"/>
    <cellStyle name="Normal 81 5" xfId="36030" xr:uid="{58C6AC87-3FF4-48D8-AED7-4C18365A56DB}"/>
    <cellStyle name="Normal 82" xfId="36031" xr:uid="{46449D59-909E-4182-B08F-72202CC3B334}"/>
    <cellStyle name="Normal 82 2" xfId="36032" xr:uid="{2545D7E8-F87E-409F-80A1-07CF40BB48F9}"/>
    <cellStyle name="Normal 82 3" xfId="36033" xr:uid="{1EB48E7C-46A2-4CA0-B4B2-E15B9EE54514}"/>
    <cellStyle name="Normal 82 4" xfId="36034" xr:uid="{19A59F1F-D28E-4887-BF50-457C404AB8B7}"/>
    <cellStyle name="Normal 82 5" xfId="36035" xr:uid="{5D6F0BCF-A21E-4D58-B152-78110E936BC1}"/>
    <cellStyle name="Normal 83" xfId="36036" xr:uid="{430EE8E6-8AB2-4938-BF75-3560C91C1FC4}"/>
    <cellStyle name="Normal 83 2" xfId="36037" xr:uid="{224D20C0-98B3-44A5-A8D5-39EFB88871A8}"/>
    <cellStyle name="Normal 83 3" xfId="36038" xr:uid="{B2B1CDF5-7F9B-41A4-B9BD-EAFBDF608827}"/>
    <cellStyle name="Normal 83 4" xfId="36039" xr:uid="{CF078E38-DFEF-470A-A48C-3CAF15032B2F}"/>
    <cellStyle name="Normal 83 5" xfId="36040" xr:uid="{54094082-B9F0-49B7-92BE-7C27C42E6A47}"/>
    <cellStyle name="Normal 84" xfId="36041" xr:uid="{AC186D6B-E010-40EA-9F4C-A1C522F00A9D}"/>
    <cellStyle name="Normal 84 2" xfId="36042" xr:uid="{A2B0ED66-CB71-41FE-B103-FB0ABD31B929}"/>
    <cellStyle name="Normal 84 3" xfId="36043" xr:uid="{72E85EA8-942B-473B-B04C-BBAC926BD6EC}"/>
    <cellStyle name="Normal 84 4" xfId="36044" xr:uid="{DC299E57-329E-45EC-8D52-780A03C0EE05}"/>
    <cellStyle name="Normal 85" xfId="36045" xr:uid="{1359678E-2EED-44F8-B4F8-27FE9537367E}"/>
    <cellStyle name="Normal 85 2" xfId="36046" xr:uid="{71352A72-75DF-4169-A219-5EF25F657F06}"/>
    <cellStyle name="Normal 85 3" xfId="36047" xr:uid="{6C7642AD-C1DF-452D-9A29-1F88D9A73B4B}"/>
    <cellStyle name="Normal 85 4" xfId="36048" xr:uid="{1872BBCC-272B-4EF4-8E75-CC5C4B3E36CF}"/>
    <cellStyle name="Normal 86" xfId="36049" xr:uid="{8B81DD13-6183-45B2-ADA6-9B6A85378761}"/>
    <cellStyle name="Normal 86 2" xfId="36050" xr:uid="{65326D96-6800-4075-8F6F-368829B6FC6E}"/>
    <cellStyle name="Normal 86 3" xfId="36051" xr:uid="{003EC7BF-E206-425C-8FA1-A623DE270E7D}"/>
    <cellStyle name="Normal 86 4" xfId="36052" xr:uid="{52D66052-5CA2-4254-8EA8-FC49EA1C95B4}"/>
    <cellStyle name="Normal 87" xfId="36053" xr:uid="{A86B3BAC-6B56-474F-A7F6-AE4EE29E6376}"/>
    <cellStyle name="Normal 87 2" xfId="36054" xr:uid="{ADDA904D-C46C-4239-8DEF-06C6F869D3B3}"/>
    <cellStyle name="Normal 87 3" xfId="36055" xr:uid="{EA8C067A-401E-4ABE-97E3-69AF6BE96953}"/>
    <cellStyle name="Normal 87 4" xfId="36056" xr:uid="{2491C886-8557-4C0D-AC2E-71E2C513F594}"/>
    <cellStyle name="Normal 88" xfId="36057" xr:uid="{0420D173-1B90-452A-9947-FF668A686C1B}"/>
    <cellStyle name="Normal 88 2" xfId="36058" xr:uid="{36D2A0C6-349D-4E35-96D2-1E9976FF614B}"/>
    <cellStyle name="Normal 88 3" xfId="36059" xr:uid="{7B880EE7-4E94-4BB7-8A8F-2256F1D93AD1}"/>
    <cellStyle name="Normal 88 4" xfId="36060" xr:uid="{FA131F42-CD33-4E2C-99A7-7FB9D67FF29C}"/>
    <cellStyle name="Normal 89" xfId="36061" xr:uid="{492B9501-8582-4F29-AC2E-A8C96A3EFE35}"/>
    <cellStyle name="Normal 89 2" xfId="36062" xr:uid="{0F875F1D-37E9-4B8A-8446-EFB5313BAEA6}"/>
    <cellStyle name="Normal 89 3" xfId="36063" xr:uid="{9523A8D8-D986-4DC4-989C-C51DB4D9F7EB}"/>
    <cellStyle name="Normal 89 4" xfId="36064" xr:uid="{C39D055C-6E9E-4DC8-B81C-1147B176224A}"/>
    <cellStyle name="Normal 9" xfId="235" xr:uid="{D26AB7A7-4E1D-48F0-AE9C-E1D0F1F86DDD}"/>
    <cellStyle name="Normal 9 10" xfId="36066" xr:uid="{F385FA0A-9D2A-4C05-9852-09A4AE1FA93F}"/>
    <cellStyle name="Normal 9 11" xfId="36067" xr:uid="{81A8F80C-682D-424E-8F64-1F5B5576BF46}"/>
    <cellStyle name="Normal 9 12" xfId="36068" xr:uid="{2290EDEC-AD03-4BD1-A2CA-4F8EF679E1D1}"/>
    <cellStyle name="Normal 9 13" xfId="36069" xr:uid="{D520DF5A-34F1-48C0-B67E-9192AF04324A}"/>
    <cellStyle name="Normal 9 14" xfId="36070" xr:uid="{6BFA3468-AA6B-48DC-A66A-C624557DAFB4}"/>
    <cellStyle name="Normal 9 15" xfId="36071" xr:uid="{B452C0D9-ED71-40DD-8A6A-FF958A29234E}"/>
    <cellStyle name="Normal 9 16" xfId="36072" xr:uid="{BED1B671-AD09-449B-B1B8-03661BCEEBBF}"/>
    <cellStyle name="Normal 9 17" xfId="36073" xr:uid="{E30DF92F-BC57-4F13-AC0A-CA533C2E2F13}"/>
    <cellStyle name="Normal 9 18" xfId="36074" xr:uid="{3BCD62FE-B491-4014-9636-A5FE8BC02BAA}"/>
    <cellStyle name="Normal 9 19" xfId="36075" xr:uid="{862E3A0A-61E3-4085-A8CB-AF31B770221E}"/>
    <cellStyle name="Normal 9 2" xfId="236" xr:uid="{35EA6211-B135-44C5-92C4-109C7D1BAF00}"/>
    <cellStyle name="Normal 9 2 2" xfId="36077" xr:uid="{623A6BC0-D869-4D94-A5F0-FEA73C0B8AC1}"/>
    <cellStyle name="Normal 9 2 3" xfId="36078" xr:uid="{35DFA3E1-C989-4BEA-80DD-C69F1002C654}"/>
    <cellStyle name="Normal 9 2 4" xfId="36079" xr:uid="{9A327BDC-F187-43E2-9FD1-08B7E5484308}"/>
    <cellStyle name="Normal 9 2 5" xfId="36076" xr:uid="{3F8D01D0-F3FC-445A-B72A-D382450184CC}"/>
    <cellStyle name="Normal 9 20" xfId="36080" xr:uid="{408C4962-15D0-4424-AD9E-62B6DACC2B44}"/>
    <cellStyle name="Normal 9 21" xfId="36081" xr:uid="{6F66EAC9-C8C7-4F27-A81B-F10EA5766674}"/>
    <cellStyle name="Normal 9 22" xfId="36082" xr:uid="{A3187D6F-42A0-4251-8A7E-D9C4B1748A0E}"/>
    <cellStyle name="Normal 9 23" xfId="36083" xr:uid="{7B5699C7-3B6F-4590-A411-82AC527DC5F7}"/>
    <cellStyle name="Normal 9 24" xfId="36084" xr:uid="{4BE9EEA1-7BC4-4226-92EF-1A657BE9F184}"/>
    <cellStyle name="Normal 9 25" xfId="36085" xr:uid="{8037F798-4ED6-42B0-AB65-C24C50432F2E}"/>
    <cellStyle name="Normal 9 26" xfId="36086" xr:uid="{7545A788-E05C-41A4-9DEF-4C70A13C21C9}"/>
    <cellStyle name="Normal 9 27" xfId="36087" xr:uid="{1B34A29D-349A-453E-8CB3-ACD2A78B3AF9}"/>
    <cellStyle name="Normal 9 28" xfId="36088" xr:uid="{569E6727-32AC-419C-B6C1-3EE7854ECEB0}"/>
    <cellStyle name="Normal 9 29" xfId="36089" xr:uid="{5AEE20FF-6295-434A-BEFE-63D02B894AED}"/>
    <cellStyle name="Normal 9 3" xfId="36090" xr:uid="{D152957C-017C-4764-A337-36DA7AE09B00}"/>
    <cellStyle name="Normal 9 3 2" xfId="36091" xr:uid="{D04DDFF4-64E2-4E09-A135-4EF5A93A6CF9}"/>
    <cellStyle name="Normal 9 30" xfId="36092" xr:uid="{281B14EC-830B-4176-B7F9-19CE9B5B34F3}"/>
    <cellStyle name="Normal 9 31" xfId="36093" xr:uid="{C8C1B493-47DF-41F7-A237-0E9C8039E4DF}"/>
    <cellStyle name="Normal 9 32" xfId="36094" xr:uid="{6C72D247-8352-4620-9554-8F32D2AFBA7A}"/>
    <cellStyle name="Normal 9 33" xfId="36095" xr:uid="{05B6FA81-6FD7-4AFF-BE4C-BE3592717E47}"/>
    <cellStyle name="Normal 9 34" xfId="36096" xr:uid="{648A7CB8-46DF-4286-B84D-A94A2AA08CC9}"/>
    <cellStyle name="Normal 9 35" xfId="36097" xr:uid="{5A73A3E5-5B02-405B-9F1F-A454991F2C4A}"/>
    <cellStyle name="Normal 9 36" xfId="36065" xr:uid="{B651ED7F-0954-4DF8-8B90-EC14A302B410}"/>
    <cellStyle name="Normal 9 4" xfId="36098" xr:uid="{7FE108AF-5C36-48A6-A832-DBBFBF0F1981}"/>
    <cellStyle name="Normal 9 5" xfId="36099" xr:uid="{C4D2F555-8345-4C8F-9206-D6905FC7A9AC}"/>
    <cellStyle name="Normal 9 6" xfId="36100" xr:uid="{B176A58C-C7DD-4937-B55A-209B0A0D908D}"/>
    <cellStyle name="Normal 9 7" xfId="36101" xr:uid="{4C690445-B4C2-486D-B587-890D8863183B}"/>
    <cellStyle name="Normal 9 8" xfId="36102" xr:uid="{048BDF84-1615-4DC3-88AB-50FCC95B105D}"/>
    <cellStyle name="Normal 9 9" xfId="36103" xr:uid="{18E4F1B8-1504-475B-89BB-AE247177ACC2}"/>
    <cellStyle name="Normal 9_Ch4 v2" xfId="36104" xr:uid="{38C41DA8-7433-42B5-BB16-DA70863DC9F9}"/>
    <cellStyle name="Normal 90" xfId="36105" xr:uid="{1BD81328-E025-4384-B75C-96BA36DCAA6B}"/>
    <cellStyle name="Normal 91" xfId="36106" xr:uid="{08BD6B14-F75A-4855-9F77-241F89CF5941}"/>
    <cellStyle name="Normal 92" xfId="36107" xr:uid="{BE6C1E2E-8125-4409-8B6D-385178594DCC}"/>
    <cellStyle name="Normal 93" xfId="36108" xr:uid="{050179E7-5FDE-4DA4-9ADA-9054934CF428}"/>
    <cellStyle name="Normal 94" xfId="36109" xr:uid="{39686EA3-AA8A-432A-ABD9-A4F3EA3F602C}"/>
    <cellStyle name="Normal 95" xfId="36110" xr:uid="{073D54AD-F6FB-4D5D-BF3B-6F40195618F7}"/>
    <cellStyle name="Normal 96" xfId="36111" xr:uid="{8C40D681-071E-46D5-96B6-0FC0BEB21FA0}"/>
    <cellStyle name="Normal 97" xfId="36112" xr:uid="{0E7993A5-89B9-430B-818E-B497E9A3FB3B}"/>
    <cellStyle name="Normal 98" xfId="36113" xr:uid="{DD844E2D-11D6-4A9D-9224-2A60FF1841F5}"/>
    <cellStyle name="Normal 99" xfId="36114" xr:uid="{8D48759A-E8F7-45B1-A2C7-0C0A52F111C3}"/>
    <cellStyle name="Normal GHG Numbers (0.00)" xfId="36115" xr:uid="{899C7ED9-D6F7-4C33-A49A-421164FDED81}"/>
    <cellStyle name="Normal GHG whole table" xfId="36116" xr:uid="{BEFB04F2-7169-4F1C-8B3B-DBFBCB625A75}"/>
    <cellStyle name="Normal GHG-Shade" xfId="36117" xr:uid="{45CEC330-9436-4398-BF66-561A82899859}"/>
    <cellStyle name="Normal GHG-Shade 2" xfId="36118" xr:uid="{E5BAA1D1-7BE4-4E3C-B5C0-CB1F2C87B930}"/>
    <cellStyle name="Normal GHG-Shade 3" xfId="36119" xr:uid="{6E525E69-2D28-44A4-B87E-4DCCB5A8BC1B}"/>
    <cellStyle name="Normal millions" xfId="36120" xr:uid="{D2AA4EDC-AD84-4DD3-9C44-AD2C47D9D1E5}"/>
    <cellStyle name="Normal no decimal" xfId="36121" xr:uid="{DE80663D-436F-426D-9887-2580C9C9420A}"/>
    <cellStyle name="Normal thousands" xfId="36122" xr:uid="{1935103C-3FFA-4CDA-8BEF-47059E6ADBB7}"/>
    <cellStyle name="Normal two decimals" xfId="36123" xr:uid="{B8B40C48-F928-492E-B2E6-A2900295F7E7}"/>
    <cellStyle name="Normale 2" xfId="36124" xr:uid="{DD9E371B-67FE-49C0-8DCA-698C640E38A0}"/>
    <cellStyle name="Normale_Common_output_v10" xfId="36125" xr:uid="{FC84FA7E-4ACF-4DD4-B9CA-62F857729035}"/>
    <cellStyle name="Nota" xfId="36126" xr:uid="{A35F2E2E-3DC3-4AAB-9465-E1CF07C5EE11}"/>
    <cellStyle name="Nota 2" xfId="36127" xr:uid="{70615C4C-3896-4BB8-AF0A-91468E1F2B2B}"/>
    <cellStyle name="Nota 3" xfId="36128" xr:uid="{61B816EA-3918-404B-8C55-81604AC41DDB}"/>
    <cellStyle name="Nota 4" xfId="36129" xr:uid="{F8902249-C341-49BE-A2F6-7A674A23A670}"/>
    <cellStyle name="Note 10" xfId="36130" xr:uid="{7324432E-7A68-46F8-B49D-8738A417D7AD}"/>
    <cellStyle name="Note 10 2" xfId="36131" xr:uid="{EC67FB5F-91EA-4FF4-AC43-2931D76342E6}"/>
    <cellStyle name="Note 11" xfId="36132" xr:uid="{E7979D3D-8ADE-46CB-BC77-3090B9D9B096}"/>
    <cellStyle name="Note 11 2" xfId="36133" xr:uid="{1F537A87-8F5D-4A4C-B0D4-9F6D73F14599}"/>
    <cellStyle name="Note 12" xfId="36134" xr:uid="{E7083715-3B45-4490-A820-9799D2F7E728}"/>
    <cellStyle name="Note 12 2" xfId="36135" xr:uid="{2B7F2812-6517-46A1-A8A0-37D68A6024C9}"/>
    <cellStyle name="Note 13" xfId="36136" xr:uid="{59939DCF-6D97-4DFC-9956-3814006F46D6}"/>
    <cellStyle name="Note 13 2" xfId="36137" xr:uid="{18B2B1FA-C46B-482A-94DE-5C4A885D5602}"/>
    <cellStyle name="Note 14" xfId="36138" xr:uid="{32F1C941-A720-4EFC-9C7F-E985467445F6}"/>
    <cellStyle name="Note 14 2" xfId="36139" xr:uid="{28BAEED3-71DF-4C08-9C85-45D2EC0F0E19}"/>
    <cellStyle name="Note 14 2 2" xfId="36140" xr:uid="{0A6FACEB-3085-4366-8D98-88E610C6840D}"/>
    <cellStyle name="Note 14 2 2 2" xfId="36141" xr:uid="{526A3215-3430-4951-A80D-37277DF0C9E0}"/>
    <cellStyle name="Note 14 2 3" xfId="36142" xr:uid="{37AFF2FE-63A5-4B14-AB00-0CB67B14A8A6}"/>
    <cellStyle name="Note 14 2 4" xfId="36143" xr:uid="{A2978370-3E6F-4E7C-9C68-726736E2890F}"/>
    <cellStyle name="Note 15" xfId="36144" xr:uid="{6CD6713F-A633-4BF8-94D9-8A395769B5E2}"/>
    <cellStyle name="Note 15 2" xfId="36145" xr:uid="{4E0BB60C-8B99-46EF-A7B6-74D31E7CCBF1}"/>
    <cellStyle name="Note 16" xfId="36146" xr:uid="{085B5B1F-3DE9-4E1E-9305-184F98F84C7F}"/>
    <cellStyle name="Note 16 2" xfId="36147" xr:uid="{4A9B46CA-C7B7-4077-8FEA-415CC26F418A}"/>
    <cellStyle name="Note 17" xfId="36148" xr:uid="{C692CD09-2055-46E7-A91A-A2DBADF5C323}"/>
    <cellStyle name="Note 17 2" xfId="36149" xr:uid="{0F8C47F6-39F0-401A-A3FF-E0327E5587E3}"/>
    <cellStyle name="Note 18" xfId="36150" xr:uid="{FF1DCA39-EBB8-4F2B-B059-83C41F739E1A}"/>
    <cellStyle name="Note 19" xfId="36151" xr:uid="{7C489B79-5A0F-4C7F-94BC-295B7B6EE4AD}"/>
    <cellStyle name="Note 2" xfId="237" xr:uid="{E4416385-6158-48ED-AE05-4D817D0D5407}"/>
    <cellStyle name="Note 2 10" xfId="36153" xr:uid="{4D64A8D1-062A-4097-A9A2-0A4CCB1C2443}"/>
    <cellStyle name="Note 2 11" xfId="36154" xr:uid="{F0F9A80F-CA26-43F9-98C7-4F3185B83731}"/>
    <cellStyle name="Note 2 12" xfId="36155" xr:uid="{1F48279B-C135-4D29-BC18-26604FB29D33}"/>
    <cellStyle name="Note 2 13" xfId="36156" xr:uid="{E6F2C8E1-17BA-4C7D-A130-5FAAF11D4188}"/>
    <cellStyle name="Note 2 14" xfId="36157" xr:uid="{6E017AC5-275D-4BF5-BD0C-E9CCD2B16891}"/>
    <cellStyle name="Note 2 15" xfId="36152" xr:uid="{1487A060-C681-4F48-9618-3F746C13602A}"/>
    <cellStyle name="Note 2 2" xfId="238" xr:uid="{E6546F7B-28F2-4262-9815-519CCE768C02}"/>
    <cellStyle name="Note 2 2 2" xfId="36159" xr:uid="{CC5D8F84-395C-4E76-83D4-002C822F8F97}"/>
    <cellStyle name="Note 2 2 2 2" xfId="36160" xr:uid="{329B121E-B1D9-41D3-A592-7803DC76C16B}"/>
    <cellStyle name="Note 2 2 2 2 2" xfId="36161" xr:uid="{C53253C0-3345-492C-A0D3-7E059152D430}"/>
    <cellStyle name="Note 2 2 2 2 3" xfId="36162" xr:uid="{E69683C8-C571-4D79-A726-CEB876DF316F}"/>
    <cellStyle name="Note 2 2 2 2 4" xfId="36163" xr:uid="{B134BDD8-8A92-49FC-B085-17367955E9C5}"/>
    <cellStyle name="Note 2 2 2 3" xfId="36164" xr:uid="{626F15EB-EB14-4DA8-96DA-10079D026A2B}"/>
    <cellStyle name="Note 2 2 2 3 2" xfId="36165" xr:uid="{03688B35-E99D-4415-993D-95BF346B5BC7}"/>
    <cellStyle name="Note 2 2 2 3 3" xfId="36166" xr:uid="{0E7FC24F-299A-4A45-A5FB-0265967D8E4C}"/>
    <cellStyle name="Note 2 2 2 3 4" xfId="36167" xr:uid="{0BC33E78-A77B-4F19-B843-699A50147A31}"/>
    <cellStyle name="Note 2 2 2 4" xfId="36168" xr:uid="{545DBCDC-60CC-4EC2-8D96-F26E84D24E85}"/>
    <cellStyle name="Note 2 2 2 5" xfId="36169" xr:uid="{1F8EA2FE-6E99-48DC-BA3A-5C728D31C370}"/>
    <cellStyle name="Note 2 2 2 6" xfId="36170" xr:uid="{BD112465-4621-4CE2-99B7-481EEDF1CE2D}"/>
    <cellStyle name="Note 2 2 3" xfId="36171" xr:uid="{C3F5E380-4AB0-48FF-B253-8DB9E7CBAA4F}"/>
    <cellStyle name="Note 2 2 4" xfId="36172" xr:uid="{1394EA67-2CD9-42B5-9D1F-5EB17EE87579}"/>
    <cellStyle name="Note 2 2 5" xfId="36173" xr:uid="{0EED4000-A842-464B-84E4-66076DDE5C75}"/>
    <cellStyle name="Note 2 2 6" xfId="36174" xr:uid="{358D36AB-656C-47A1-8061-30045141C78A}"/>
    <cellStyle name="Note 2 2 7" xfId="36158" xr:uid="{5A436F5F-45F9-445E-B7FF-D08327C1D115}"/>
    <cellStyle name="Note 2 3" xfId="36175" xr:uid="{A42C8181-E229-4FA0-8739-DFEE2317EBA1}"/>
    <cellStyle name="Note 2 3 2" xfId="36176" xr:uid="{09F0DDB5-353E-4C2C-9311-80C03E0B89E3}"/>
    <cellStyle name="Note 2 3 2 2" xfId="36177" xr:uid="{7F9C459F-2E42-4974-AFC5-BD1C6EAAE23C}"/>
    <cellStyle name="Note 2 3 2 3" xfId="36178" xr:uid="{D3056400-BD3F-4343-A79C-97368D346DC3}"/>
    <cellStyle name="Note 2 3 2 4" xfId="36179" xr:uid="{212B4613-1C6C-4CC9-86EA-564480AD9CDE}"/>
    <cellStyle name="Note 2 3 3" xfId="36180" xr:uid="{E1DE89CB-29CF-4510-B912-9B68B6CF2DF3}"/>
    <cellStyle name="Note 2 3 3 2" xfId="36181" xr:uid="{DDB5C01F-1540-43DF-8CB0-21689EDB6054}"/>
    <cellStyle name="Note 2 3 3 3" xfId="36182" xr:uid="{D2154FAE-3512-4C83-A31B-7D490D14A7F5}"/>
    <cellStyle name="Note 2 3 3 4" xfId="36183" xr:uid="{5177E457-6811-4FF9-B4EF-85F7DC466B4A}"/>
    <cellStyle name="Note 2 3 4" xfId="36184" xr:uid="{9FD54B7F-77F5-4595-AB5A-DAB3CFD008FC}"/>
    <cellStyle name="Note 2 3 5" xfId="36185" xr:uid="{E9A14A33-89B5-42B4-AE53-955D17BC3EB7}"/>
    <cellStyle name="Note 2 3 6" xfId="36186" xr:uid="{2E7CC27C-50AE-4113-A2B5-0F5E60826973}"/>
    <cellStyle name="Note 2 4" xfId="36187" xr:uid="{C6BF1E7F-9A12-4770-9047-73EE83A92AEB}"/>
    <cellStyle name="Note 2 5" xfId="36188" xr:uid="{F80B88A4-557F-45F2-801D-1B6E665E059B}"/>
    <cellStyle name="Note 2 6" xfId="36189" xr:uid="{879F84DD-B7DF-4346-8E73-C889F36F532F}"/>
    <cellStyle name="Note 2 7" xfId="36190" xr:uid="{0E841846-BB04-4F12-BB38-F7730B021336}"/>
    <cellStyle name="Note 2 8" xfId="36191" xr:uid="{004E6BA4-7F2E-41EA-8245-174F23C14F26}"/>
    <cellStyle name="Note 2 9" xfId="36192" xr:uid="{2CFAF4A9-D613-485A-8ACD-D9974EEB231F}"/>
    <cellStyle name="Note 20" xfId="36193" xr:uid="{0C58D511-07A4-49A1-9E82-85796740FFB0}"/>
    <cellStyle name="Note 21" xfId="36194" xr:uid="{2BCDCFF9-78AF-4804-B0B3-6051DB348ADA}"/>
    <cellStyle name="Note 22" xfId="36195" xr:uid="{7796D6AB-4D43-49EF-8FEA-C5A49D0025AA}"/>
    <cellStyle name="Note 23" xfId="36196" xr:uid="{FAE8A1DF-1F09-47CD-90ED-7165ED747017}"/>
    <cellStyle name="Note 24" xfId="36197" xr:uid="{868B8AFC-5E0C-49D6-8DB8-DF8901957B5C}"/>
    <cellStyle name="Note 25" xfId="36198" xr:uid="{65DCE82F-259F-4633-A6F4-211FC098A4D5}"/>
    <cellStyle name="Note 26" xfId="36199" xr:uid="{270895AE-F7A0-47A7-B052-3C3356A16D2B}"/>
    <cellStyle name="Note 27" xfId="36200" xr:uid="{C347BCBC-1CF6-437F-9244-0505A6B824BD}"/>
    <cellStyle name="Note 28" xfId="36201" xr:uid="{89B00459-A1CD-4A8B-9A05-920456A0649F}"/>
    <cellStyle name="Note 29" xfId="36202" xr:uid="{3E139DE0-BC60-477A-B79A-D8846D2DF00A}"/>
    <cellStyle name="Note 3" xfId="397" xr:uid="{033E8B46-920E-4C48-BC5C-70DFAA4FFF8F}"/>
    <cellStyle name="Note 3 10" xfId="36204" xr:uid="{047D6B98-C701-4E75-ADC7-0D0BD187C562}"/>
    <cellStyle name="Note 3 11" xfId="36203" xr:uid="{7DE17DCC-0B6C-4E7C-A4F6-4B67F9F3A395}"/>
    <cellStyle name="Note 3 2" xfId="36205" xr:uid="{F01BE25A-5EC2-4A7A-B6FB-39E3A5A28FD1}"/>
    <cellStyle name="Note 3 2 2" xfId="36206" xr:uid="{8CC85CF0-1952-46B0-B308-FDE6049AFF61}"/>
    <cellStyle name="Note 3 2 3" xfId="36207" xr:uid="{CF377757-14E3-48D2-86C8-3EDD2C8EEE42}"/>
    <cellStyle name="Note 3 2 4" xfId="36208" xr:uid="{095949B7-1755-40C6-B410-F79328BCE712}"/>
    <cellStyle name="Note 3 3" xfId="36209" xr:uid="{75A21FD6-82FF-4E39-BC2F-3841CA592430}"/>
    <cellStyle name="Note 3 4" xfId="36210" xr:uid="{45820610-5D72-4098-9C2C-2850F54DDF66}"/>
    <cellStyle name="Note 3 5" xfId="36211" xr:uid="{5993A964-478B-43E6-8A37-EC1F4598BD18}"/>
    <cellStyle name="Note 3 6" xfId="36212" xr:uid="{FE6525BA-C5D3-43CC-81ED-BCA977FBCAC6}"/>
    <cellStyle name="Note 3 7" xfId="36213" xr:uid="{89A270EC-7A8F-42D2-86AA-5419F84AA2F3}"/>
    <cellStyle name="Note 3 8" xfId="36214" xr:uid="{04CBEDC6-05E0-4621-A9BF-7209B4D6C0C1}"/>
    <cellStyle name="Note 3 9" xfId="36215" xr:uid="{2654FFB3-E20F-40FB-B80E-6D3D5C044AC1}"/>
    <cellStyle name="Note 30" xfId="36216" xr:uid="{81F88A20-C265-4906-BB2D-BBA190AE5223}"/>
    <cellStyle name="Note 31" xfId="36217" xr:uid="{0ADB51FE-9B24-4BC4-8523-D92BDF417E34}"/>
    <cellStyle name="Note 32" xfId="36218" xr:uid="{4B772974-06A4-46AB-A19D-E0CCA5D11DBB}"/>
    <cellStyle name="Note 33" xfId="36219" xr:uid="{ED4DE34A-8B16-4FB0-9520-A3664CFACE68}"/>
    <cellStyle name="Note 34" xfId="36220" xr:uid="{33CC9295-1EE3-47E3-88AC-6051A51EE767}"/>
    <cellStyle name="Note 35" xfId="36221" xr:uid="{4199A1BA-86E1-4DC9-836A-E052E5D680BE}"/>
    <cellStyle name="Note 35 2" xfId="36222" xr:uid="{1705F64B-7624-457A-BD78-377A41FE71EA}"/>
    <cellStyle name="Note 35 2 2" xfId="36223" xr:uid="{73D41AF9-5E67-43E6-B6C4-7E6F45AE1DED}"/>
    <cellStyle name="Note 35 2 2 2" xfId="36224" xr:uid="{642EE708-5FE8-4A6D-8959-E72C09545C02}"/>
    <cellStyle name="Note 35 3" xfId="36225" xr:uid="{28C4A37A-070A-4132-9E21-F7E87AFE511D}"/>
    <cellStyle name="Note 35 4" xfId="36226" xr:uid="{14C28FE0-6AD0-4D69-8054-AD2695520567}"/>
    <cellStyle name="Note 36" xfId="36227" xr:uid="{1C82F848-3F00-4D81-A6F7-53798E4B6046}"/>
    <cellStyle name="Note 37" xfId="36228" xr:uid="{1EED4238-5B29-4968-A24C-19A89CC4B754}"/>
    <cellStyle name="Note 38" xfId="36229" xr:uid="{2FE286FB-593E-40AF-9346-25BEF35D6386}"/>
    <cellStyle name="Note 39" xfId="36230" xr:uid="{7FDD2DFF-37C6-417D-9E8B-77BA94E894EB}"/>
    <cellStyle name="Note 4" xfId="36231" xr:uid="{7D41CB83-E271-4FE8-A509-824AFC9CF14F}"/>
    <cellStyle name="Note 4 2" xfId="36232" xr:uid="{10354C10-7385-4158-9DAD-97EDB7808640}"/>
    <cellStyle name="Note 4 3" xfId="36233" xr:uid="{38647397-BAEC-4D1C-8C44-367902C39A29}"/>
    <cellStyle name="Note 4 4" xfId="36234" xr:uid="{18218F29-2B0A-41EB-85E8-48AFB849D91B}"/>
    <cellStyle name="Note 4 5" xfId="36235" xr:uid="{7F0E3899-A4B5-4872-9982-2E77F588143A}"/>
    <cellStyle name="Note 40" xfId="36236" xr:uid="{193FA06E-92DC-4AEB-A61E-1624575C9E26}"/>
    <cellStyle name="Note 41" xfId="36237" xr:uid="{56183334-E071-4565-8D70-79224FB2D8EC}"/>
    <cellStyle name="Note 42" xfId="36238" xr:uid="{F92B16F9-C88E-4A4C-9E31-37006AFB7993}"/>
    <cellStyle name="Note 43" xfId="36239" xr:uid="{D265DF52-1E3D-45E7-B9C2-B5A9CFDBC9E8}"/>
    <cellStyle name="Note 44" xfId="36240" xr:uid="{0632F474-E35F-41C1-94A4-FF907E7822C9}"/>
    <cellStyle name="Note 45" xfId="36241" xr:uid="{E999BDCC-2664-4430-AC53-DE302136EEF5}"/>
    <cellStyle name="Note 46" xfId="36242" xr:uid="{6C383EFC-BB76-496D-BDAF-BD25146A5B09}"/>
    <cellStyle name="Note 47" xfId="36243" xr:uid="{DE1B8401-C780-43EC-8DAE-3672BF55B62D}"/>
    <cellStyle name="Note 48" xfId="36244" xr:uid="{3B9EAF18-1906-4010-BF79-92EBE9285004}"/>
    <cellStyle name="Note 49" xfId="36245" xr:uid="{051D6FE3-F089-4871-B3C2-1306EE3A3813}"/>
    <cellStyle name="Note 5" xfId="36246" xr:uid="{0A9E592B-AC18-459A-8393-E8324C7B708B}"/>
    <cellStyle name="Note 5 2" xfId="36247" xr:uid="{FEAF8F6A-24C3-455F-A17D-BC5C4CE57703}"/>
    <cellStyle name="Note 50" xfId="36248" xr:uid="{77B605A6-02DE-4DB6-AD3A-824357C0D78B}"/>
    <cellStyle name="Note 51" xfId="36249" xr:uid="{87800AAF-37CC-4112-AD02-472A3F4F000E}"/>
    <cellStyle name="Note 52" xfId="36250" xr:uid="{2F80D73B-36F6-4C0B-A111-92B80126C852}"/>
    <cellStyle name="Note 53" xfId="36251" xr:uid="{A46AA401-3672-47AA-912A-8F6B830D55C5}"/>
    <cellStyle name="Note 54" xfId="36252" xr:uid="{9A4B088D-AC61-4B1E-8BE8-F7D052F17213}"/>
    <cellStyle name="Note 55" xfId="36253" xr:uid="{2B2C206A-B4B3-4533-AA98-D40FE0CC786F}"/>
    <cellStyle name="Note 56" xfId="36254" xr:uid="{499F2AD3-7199-47AF-80EE-AA7EA5B32210}"/>
    <cellStyle name="Note 57" xfId="36255" xr:uid="{662EA37A-C911-4FF6-99F1-13F09DC7CFEF}"/>
    <cellStyle name="Note 58" xfId="36256" xr:uid="{0D54F331-425C-4BC6-B428-4A0668536F1D}"/>
    <cellStyle name="Note 59" xfId="36257" xr:uid="{87CE66F9-A606-490A-A180-4B30473EF44A}"/>
    <cellStyle name="Note 6" xfId="36258" xr:uid="{907FF5CF-D8EC-4473-B2A6-DD368848B4C5}"/>
    <cellStyle name="Note 6 2" xfId="36259" xr:uid="{A01E8864-DA12-4277-8565-34D2CB0AD8B7}"/>
    <cellStyle name="Note 60" xfId="36260" xr:uid="{5761B4D6-DF2C-4F12-8F89-309232134CD5}"/>
    <cellStyle name="Note 60 2" xfId="36261" xr:uid="{B5111865-2123-436A-85DF-C732ABD142B0}"/>
    <cellStyle name="Note 60 2 2" xfId="36262" xr:uid="{E7FADF34-E008-4314-BE33-B91A352763D5}"/>
    <cellStyle name="Note 60 2 2 2" xfId="36263" xr:uid="{35D87729-A9E6-4087-9788-E842FCF06D13}"/>
    <cellStyle name="Note 60 2 3" xfId="36264" xr:uid="{9F1569F9-3034-4D5B-9C20-648BADEEBFF4}"/>
    <cellStyle name="Note 61" xfId="36265" xr:uid="{26F22FFA-CE6D-40B3-B8E6-1304FB90BBCF}"/>
    <cellStyle name="Note 62" xfId="36266" xr:uid="{0CFFFBC6-222A-4883-A1FF-9BC19117E322}"/>
    <cellStyle name="Note 63" xfId="36267" xr:uid="{3DCD793F-ADE0-4218-97DE-FBB2F19D6A2C}"/>
    <cellStyle name="Note 64" xfId="36268" xr:uid="{25C44731-9BD9-411F-AB46-C98E2A8A24CD}"/>
    <cellStyle name="Note 65" xfId="36269" xr:uid="{0C8159C5-8CE9-455F-9B27-874C5DBA2963}"/>
    <cellStyle name="Note 7" xfId="36270" xr:uid="{8D678972-B435-4DD6-AA2D-932D8BB14DD1}"/>
    <cellStyle name="Note 7 2" xfId="36271" xr:uid="{BA2266AB-B3FB-4E0D-A74E-3D7468708712}"/>
    <cellStyle name="Note 8" xfId="36272" xr:uid="{751F5D93-3E25-4557-BA7B-13AE2FAF48AA}"/>
    <cellStyle name="Note 8 2" xfId="36273" xr:uid="{26BC3DAF-B6A7-4655-BAEA-C7164F266713}"/>
    <cellStyle name="Note 9" xfId="36274" xr:uid="{071D2A10-3DE2-4FFA-B293-3D928558D44C}"/>
    <cellStyle name="Note 9 2" xfId="36275" xr:uid="{4DF7296B-6C88-4E1F-B940-DB9A68D90CF3}"/>
    <cellStyle name="notes" xfId="36276" xr:uid="{EF770261-CB2B-4850-A6AD-12C493055C59}"/>
    <cellStyle name="Number" xfId="36277" xr:uid="{361252BD-CE68-467C-8C05-7E5EFEE718E1}"/>
    <cellStyle name="Number." xfId="36278" xr:uid="{E4791171-3F24-47EE-BF77-4B22614E0A92}"/>
    <cellStyle name="ofwhich" xfId="36279" xr:uid="{3C3B2041-4A4F-446C-BB29-B7E356B9FC01}"/>
    <cellStyle name="One" xfId="36280" xr:uid="{2755FA53-04D5-4498-9FE6-56FA0CB7EBCE}"/>
    <cellStyle name="One 2" xfId="36281" xr:uid="{1BE4685D-4255-4343-8C95-6CAA36B92817}"/>
    <cellStyle name="Option" xfId="36282" xr:uid="{B36401D5-557F-4A18-9A48-A6A7FA3A66A5}"/>
    <cellStyle name="OptionHeading" xfId="36283" xr:uid="{66A93F6E-454E-4CCF-A1B7-5E642EEA6962}"/>
    <cellStyle name="OptionHeading2" xfId="36284" xr:uid="{509983D4-6413-4EBB-AC89-E15503744C66}"/>
    <cellStyle name="Output 10" xfId="36285" xr:uid="{4CAE9510-1E8E-4370-BB02-4073D5876C26}"/>
    <cellStyle name="Output 11" xfId="36286" xr:uid="{4DE293FD-A1BB-469F-A606-21221C6CE875}"/>
    <cellStyle name="Output 12" xfId="36287" xr:uid="{DC894279-F5D3-411B-98E6-3989ABB6D571}"/>
    <cellStyle name="Output 13" xfId="36288" xr:uid="{91D3881B-EA49-4BF5-A808-AC0F14BB6093}"/>
    <cellStyle name="Output 14" xfId="36289" xr:uid="{2B4251F1-4719-441F-B41D-0EE107A473BB}"/>
    <cellStyle name="Output 15" xfId="36290" xr:uid="{381E822C-EF1D-49B0-8BFB-0D1ADB099F61}"/>
    <cellStyle name="Output 16" xfId="36291" xr:uid="{6B80F88E-0B05-4EFA-AAE5-492D76C50287}"/>
    <cellStyle name="Output 17" xfId="36292" xr:uid="{FAA69FA7-1524-460B-9D08-23D158A09DA8}"/>
    <cellStyle name="Output 18" xfId="36293" xr:uid="{CDDD5167-8C5F-4ECE-BAD5-66E635D193C3}"/>
    <cellStyle name="Output 19" xfId="36294" xr:uid="{E1866E85-FD6E-4288-830D-C1C419DA7F3E}"/>
    <cellStyle name="Output 2" xfId="239" xr:uid="{8D0ED5B6-4C6A-481C-B091-3AC36D5E3AB0}"/>
    <cellStyle name="Output 2 10" xfId="36296" xr:uid="{DF41A2B8-51C3-45F2-8EC8-DEA80CB475D4}"/>
    <cellStyle name="Output 2 11" xfId="36297" xr:uid="{588E51E3-9270-496B-BD86-A4688218C426}"/>
    <cellStyle name="Output 2 12" xfId="36298" xr:uid="{FF1C8226-D206-4F68-B6F3-8E9004017C84}"/>
    <cellStyle name="Output 2 13" xfId="36295" xr:uid="{A7B9FD5C-02FF-4B82-A48F-93AD67844AE8}"/>
    <cellStyle name="Output 2 2" xfId="36299" xr:uid="{3A3FEE18-20CB-4EAF-9D75-CE49B048B18F}"/>
    <cellStyle name="Output 2 2 2" xfId="36300" xr:uid="{4F3B66A9-8711-4C9B-B7A8-36FC53D3526D}"/>
    <cellStyle name="Output 2 2 2 2" xfId="36301" xr:uid="{4E36F668-8B69-4596-BED3-FE8A3F56FDC4}"/>
    <cellStyle name="Output 2 2 2 2 2" xfId="36302" xr:uid="{F32C4A4E-6027-4156-BEA7-4695F58C9219}"/>
    <cellStyle name="Output 2 2 2 2 3" xfId="36303" xr:uid="{148023A5-F0F3-4C53-BC27-A40139C833C7}"/>
    <cellStyle name="Output 2 2 2 3" xfId="36304" xr:uid="{7FA3F3C7-A9B3-4200-ACA9-F43C2485763E}"/>
    <cellStyle name="Output 2 2 2 3 2" xfId="36305" xr:uid="{F9E985D3-350B-4B17-AAD2-C694A3BABFF4}"/>
    <cellStyle name="Output 2 2 2 3 3" xfId="36306" xr:uid="{67CB05B0-87E5-466F-809E-046383ACA5B7}"/>
    <cellStyle name="Output 2 2 2 4" xfId="36307" xr:uid="{3547DE54-B46E-4F91-A4B4-CFE6DF516078}"/>
    <cellStyle name="Output 2 2 2 5" xfId="36308" xr:uid="{C548F578-6BEA-4B9B-A59D-C0898C57F71D}"/>
    <cellStyle name="Output 2 2 3" xfId="36309" xr:uid="{A99FAE62-8611-4B43-895A-FBBB95B9D575}"/>
    <cellStyle name="Output 2 2 4" xfId="36310" xr:uid="{D0069FC0-A31A-4737-8038-75F889E3044F}"/>
    <cellStyle name="Output 2 2 5" xfId="36311" xr:uid="{1F4CC718-7B16-4E3C-894E-47EC10E62526}"/>
    <cellStyle name="Output 2 3" xfId="36312" xr:uid="{97B2432E-D6A4-4EA9-8CA7-6AFCF2352B31}"/>
    <cellStyle name="Output 2 3 2" xfId="36313" xr:uid="{FF27ADAE-5C02-4B8A-966F-E5610822609B}"/>
    <cellStyle name="Output 2 3 2 2" xfId="36314" xr:uid="{7F06942A-41E6-4B13-AB7B-295D9543AA61}"/>
    <cellStyle name="Output 2 3 2 3" xfId="36315" xr:uid="{73FF0EB7-B0F4-4353-9191-99315B984047}"/>
    <cellStyle name="Output 2 3 3" xfId="36316" xr:uid="{3CCD032C-645A-4E04-9741-30B047B75100}"/>
    <cellStyle name="Output 2 3 3 2" xfId="36317" xr:uid="{3C9DAEDB-0332-4F93-B6E2-00A4468C5368}"/>
    <cellStyle name="Output 2 3 3 3" xfId="36318" xr:uid="{92ACE21B-6FF1-47FE-BD5D-06534BBC16A2}"/>
    <cellStyle name="Output 2 3 4" xfId="36319" xr:uid="{BFDA0CFA-6AC1-45AF-BD7C-29C0887B4811}"/>
    <cellStyle name="Output 2 3 5" xfId="36320" xr:uid="{E1252BB6-E57E-42E4-B1C3-F1F2863A319F}"/>
    <cellStyle name="Output 2 4" xfId="36321" xr:uid="{F315B454-8F13-4C2D-9961-9A57D1ABF673}"/>
    <cellStyle name="Output 2 5" xfId="36322" xr:uid="{40E9179F-6CC9-444B-A0B8-C824DF310648}"/>
    <cellStyle name="Output 2 6" xfId="36323" xr:uid="{8BF4607C-6475-43C6-A50C-F6BB61488AB1}"/>
    <cellStyle name="Output 2 7" xfId="36324" xr:uid="{A3EE7530-AB87-4960-8FA8-0C623910CDB9}"/>
    <cellStyle name="Output 2 8" xfId="36325" xr:uid="{D9101115-1C84-4E9D-B445-0AB523A3C3B0}"/>
    <cellStyle name="Output 2 9" xfId="36326" xr:uid="{9BBD1D61-5565-4A32-8438-8A54444CF824}"/>
    <cellStyle name="Output 20" xfId="36327" xr:uid="{DF649304-6EE6-46D7-AEBF-F5DCC7A0F210}"/>
    <cellStyle name="Output 21" xfId="36328" xr:uid="{BA6701E8-9520-43B8-BF1E-6156315634F9}"/>
    <cellStyle name="Output 22" xfId="36329" xr:uid="{B33FA967-E878-4500-8912-4CAE529583AD}"/>
    <cellStyle name="Output 23" xfId="36330" xr:uid="{740027B2-63C6-44C7-B549-A4437E0DA026}"/>
    <cellStyle name="Output 24" xfId="36331" xr:uid="{66BE28DB-092E-4B73-8B51-17E9D78B5667}"/>
    <cellStyle name="Output 25" xfId="36332" xr:uid="{4B8C7CA1-EE62-4119-8988-43F2E6C86992}"/>
    <cellStyle name="Output 26" xfId="36333" xr:uid="{5577D60C-BAF9-4DF8-BF13-57F015C57846}"/>
    <cellStyle name="Output 27" xfId="36334" xr:uid="{CE55777E-A962-4DE4-8957-46CFED11A5A1}"/>
    <cellStyle name="Output 28" xfId="36335" xr:uid="{F38EB1B6-9774-4D89-94B7-7191B80D0632}"/>
    <cellStyle name="Output 29" xfId="36336" xr:uid="{92B989C6-6422-43A4-A5B3-3B0B1915C14B}"/>
    <cellStyle name="Output 3" xfId="36337" xr:uid="{6665BD05-A1D9-4F5D-971D-C5ACD87B1F8C}"/>
    <cellStyle name="Output 3 10" xfId="36338" xr:uid="{12EB009B-83D1-402E-B176-2D17A029AE09}"/>
    <cellStyle name="Output 3 11" xfId="36339" xr:uid="{404C0B2D-0461-4752-A314-B6DB896D2DBC}"/>
    <cellStyle name="Output 3 2" xfId="36340" xr:uid="{8BE7EA26-40E3-4D18-9008-07619F04FC60}"/>
    <cellStyle name="Output 3 3" xfId="36341" xr:uid="{56C9C20C-33B6-4C1B-908A-6968CA93B34F}"/>
    <cellStyle name="Output 3 4" xfId="36342" xr:uid="{8B7465BE-9B12-4484-AFEE-07F24260008E}"/>
    <cellStyle name="Output 3 5" xfId="36343" xr:uid="{28463B5E-5034-4F6F-9B7E-F22919B3FD41}"/>
    <cellStyle name="Output 3 6" xfId="36344" xr:uid="{C3C8FC04-74E1-4CCA-81F0-CCC0CED4ACA6}"/>
    <cellStyle name="Output 3 7" xfId="36345" xr:uid="{1DF1D5E8-A28D-46C7-9166-D5C8A593DDBD}"/>
    <cellStyle name="Output 3 8" xfId="36346" xr:uid="{C831BC82-AC59-4177-92A3-6A6C8F2A5ECF}"/>
    <cellStyle name="Output 3 9" xfId="36347" xr:uid="{2D89382C-A8AC-4F9E-B576-90A779E5840C}"/>
    <cellStyle name="Output 30" xfId="36348" xr:uid="{BEA093B1-F2E0-4A4E-9AF0-0964158C0F5D}"/>
    <cellStyle name="Output 31" xfId="36349" xr:uid="{ED5AC238-1410-40F2-A374-50A8BE578D25}"/>
    <cellStyle name="Output 32" xfId="36350" xr:uid="{AF4C3A4A-29C1-4449-8AE9-600C3575A521}"/>
    <cellStyle name="Output 33" xfId="36351" xr:uid="{C4E33111-445E-4225-8C9E-4AC39C0ED1D4}"/>
    <cellStyle name="Output 34" xfId="36352" xr:uid="{628481A6-43E3-48F1-B94E-832386CAE2E6}"/>
    <cellStyle name="Output 35" xfId="36353" xr:uid="{6DA7E42A-D83A-4F84-A7B4-EB2CB5677183}"/>
    <cellStyle name="Output 35 2" xfId="36354" xr:uid="{F7885B9A-46CF-43C8-A1DE-5C299F831436}"/>
    <cellStyle name="Output 35 2 2" xfId="36355" xr:uid="{735CB11E-0544-4F89-B518-B41167EDDD28}"/>
    <cellStyle name="Output 35 2 2 2" xfId="36356" xr:uid="{22C561F5-D4FF-4260-A548-755CDBC298AE}"/>
    <cellStyle name="Output 35 3" xfId="36357" xr:uid="{E8EB0D08-B566-4D62-A4F9-9770FCE6FE39}"/>
    <cellStyle name="Output 35 4" xfId="36358" xr:uid="{9E589A05-954E-431C-A466-F09AA870A2DD}"/>
    <cellStyle name="Output 36" xfId="36359" xr:uid="{AFE443E2-AD05-4A20-9722-06CE8F286622}"/>
    <cellStyle name="Output 37" xfId="36360" xr:uid="{7708B76C-A2F7-4EAE-B76B-9CB7A7C42073}"/>
    <cellStyle name="Output 38" xfId="36361" xr:uid="{205B10C3-9B12-41BC-A406-E7602E223059}"/>
    <cellStyle name="Output 39" xfId="36362" xr:uid="{B0E46555-6B17-49DA-A03B-DDDF0A9B0B8F}"/>
    <cellStyle name="Output 4" xfId="36363" xr:uid="{D14A9965-A8E6-4B85-AC64-3BDA116D642A}"/>
    <cellStyle name="Output 4 2" xfId="36364" xr:uid="{393B7CDF-AB72-419E-95B5-DC28A8735D56}"/>
    <cellStyle name="Output 4 3" xfId="36365" xr:uid="{7F7EC459-5732-4FCE-BD56-6917FB99C799}"/>
    <cellStyle name="Output 4 4" xfId="36366" xr:uid="{ED4B8A43-9691-4C45-B13C-C591358F48FA}"/>
    <cellStyle name="Output 40" xfId="36367" xr:uid="{666E745B-75C1-4E1A-BCEB-EB31A1ACB026}"/>
    <cellStyle name="Output 41" xfId="36368" xr:uid="{B923B992-D3C4-4386-B255-096FC819025A}"/>
    <cellStyle name="Output 42" xfId="36369" xr:uid="{95952342-77DB-4CAD-8F78-54C26B617A31}"/>
    <cellStyle name="Output 43" xfId="36370" xr:uid="{6CA262DF-C82D-437D-8C54-43920AEFB08C}"/>
    <cellStyle name="Output 44" xfId="36371" xr:uid="{DB708522-9412-49FA-8DB3-4ED1B1D79591}"/>
    <cellStyle name="Output 45" xfId="36372" xr:uid="{057A217F-4163-49B2-BB3A-2A86B63CCA67}"/>
    <cellStyle name="Output 46" xfId="36373" xr:uid="{D591C76B-7CFB-44C0-B3B0-FFAF8D2057FE}"/>
    <cellStyle name="Output 47" xfId="36374" xr:uid="{8229C3F9-3F6D-4ECD-8E11-EEDF6F929CCD}"/>
    <cellStyle name="Output 48" xfId="36375" xr:uid="{C18EF20E-6D75-4220-8F95-64B568F20B2F}"/>
    <cellStyle name="Output 49" xfId="36376" xr:uid="{D93074B3-A3EA-4E36-9121-6F2AD8652DE2}"/>
    <cellStyle name="Output 5" xfId="36377" xr:uid="{6A65EB6C-B07B-47F7-AB1C-4181271B1FD3}"/>
    <cellStyle name="Output 50" xfId="36378" xr:uid="{65C65352-A1A5-4275-A2C8-5526D1F8D78D}"/>
    <cellStyle name="Output 51" xfId="36379" xr:uid="{2D1EAED8-6456-435E-BDE0-0488C56819BB}"/>
    <cellStyle name="Output 52" xfId="36380" xr:uid="{FBE72BE0-F83B-4195-A9A9-8F07DCDE2423}"/>
    <cellStyle name="Output 53" xfId="36381" xr:uid="{ACC1B67C-1D3D-4ACE-A46C-B8EE820959ED}"/>
    <cellStyle name="Output 54" xfId="36382" xr:uid="{7584E00A-BEF9-47C6-AEA4-68C38816724B}"/>
    <cellStyle name="Output 55" xfId="36383" xr:uid="{B6E34012-2F3C-457E-B51A-CED2559CA957}"/>
    <cellStyle name="Output 56" xfId="36384" xr:uid="{3C80545F-7F58-4B61-BE02-163F8CDE0C42}"/>
    <cellStyle name="Output 57" xfId="36385" xr:uid="{8C6E7B4A-1894-4375-B725-5A8A93876E4D}"/>
    <cellStyle name="Output 58" xfId="36386" xr:uid="{D2366290-44A5-46F4-A027-60623B6BA91F}"/>
    <cellStyle name="Output 59" xfId="36387" xr:uid="{D356FE28-98D8-48E5-A97A-1F04E697E152}"/>
    <cellStyle name="Output 6" xfId="36388" xr:uid="{CEE65C9E-9255-46BA-8F72-B9C5376AC4BA}"/>
    <cellStyle name="Output 60" xfId="36389" xr:uid="{ED925A56-3034-4A3B-BEA4-4B1FAB52B685}"/>
    <cellStyle name="Output 60 2" xfId="36390" xr:uid="{AF5D7984-E448-4A54-AD36-DEE0A5C90D53}"/>
    <cellStyle name="Output 60 2 2" xfId="36391" xr:uid="{19D41D85-5FE2-4DB4-957F-EF706F5B6635}"/>
    <cellStyle name="Output 60 2 2 2" xfId="36392" xr:uid="{CC83C41D-0FF6-49D0-BC64-94B7E7823587}"/>
    <cellStyle name="Output 60 2 3" xfId="36393" xr:uid="{B59487B7-43A0-4AF4-B614-094B6FC157A8}"/>
    <cellStyle name="Output 61" xfId="36394" xr:uid="{D9868B9A-BF3B-4F69-B31A-B3E979519AD4}"/>
    <cellStyle name="Output 62" xfId="36395" xr:uid="{8F6F8E93-8179-45C4-8774-7D4A5FBDA0CF}"/>
    <cellStyle name="Output 63" xfId="36396" xr:uid="{7B07298F-E0A1-4B08-9328-F482AC2C9CCC}"/>
    <cellStyle name="Output 64" xfId="36397" xr:uid="{351EA6A4-73B5-4486-962A-4F6ECB3349B2}"/>
    <cellStyle name="Output 65" xfId="36398" xr:uid="{CE5BA704-A667-4FCA-B22F-98C7A34C81EE}"/>
    <cellStyle name="Output 66" xfId="36399" xr:uid="{DF936502-D6EF-4A38-B364-2F0CD2238E7B}"/>
    <cellStyle name="Output 7" xfId="36400" xr:uid="{9E6F6020-0CC6-4ED0-AF67-CEE838DA175B}"/>
    <cellStyle name="Output 8" xfId="36401" xr:uid="{677705EA-AF06-4E63-8383-D166E55614E1}"/>
    <cellStyle name="Output 9" xfId="36402" xr:uid="{98313198-8EF6-4511-A62A-02DCDFDC5438}"/>
    <cellStyle name="Output Amounts" xfId="240" xr:uid="{F4CF101E-DB7B-4A6A-8134-E58FCD7CBEA3}"/>
    <cellStyle name="Output Column Headings" xfId="241" xr:uid="{E5949408-4078-47CF-8E5D-FD4E3694D1F5}"/>
    <cellStyle name="Output Line Items" xfId="242" xr:uid="{878E7AA8-4755-4454-9C1F-5EEF562ADD42}"/>
    <cellStyle name="Output Report Heading" xfId="243" xr:uid="{4ED05799-DF27-47EE-B02C-6731ADA50C1D}"/>
    <cellStyle name="Output Report Title" xfId="244" xr:uid="{2688C274-06DF-452F-8CE5-9A61AC222458}"/>
    <cellStyle name="OutputLbl_RP" xfId="36403" xr:uid="{CA2DC7B3-C612-4BF9-AB23-7C57B7278A6D}"/>
    <cellStyle name="P" xfId="245" xr:uid="{636D0276-5126-4551-909B-739EDF0F6E21}"/>
    <cellStyle name="P 2" xfId="246" xr:uid="{F324DFCE-104D-47CA-B34C-35C6A99ADE36}"/>
    <cellStyle name="P 2 2" xfId="36404" xr:uid="{BC8F945C-EE6B-4D63-88A7-F4721FE7FDB2}"/>
    <cellStyle name="P 3" xfId="36405" xr:uid="{74CA4DCF-BCC7-47D0-95D3-B78C5204A0AA}"/>
    <cellStyle name="Page Number" xfId="36406" xr:uid="{E6D79604-27A4-45C3-9592-89FC032DDCEB}"/>
    <cellStyle name="Paragraph Han" xfId="386" xr:uid="{C8AE1DAA-CE5A-4F2E-9C0C-5ED971F649ED}"/>
    <cellStyle name="Pattern" xfId="36407" xr:uid="{E3940BEE-101E-4315-BD39-D24BA3889253}"/>
    <cellStyle name="Percent" xfId="361" builtinId="5"/>
    <cellStyle name="Percent [0]" xfId="36408" xr:uid="{2171284A-0F06-418A-B277-BF80B7365502}"/>
    <cellStyle name="Percent [0] 2" xfId="36409" xr:uid="{FD5364C0-B44A-421D-9E12-F6D1858CC48F}"/>
    <cellStyle name="Percent [1]" xfId="36410" xr:uid="{14FE6367-445B-4858-94A4-C9F42D969176}"/>
    <cellStyle name="Percent [1] 2" xfId="36411" xr:uid="{FB612034-92B3-4464-A476-555EF731DA47}"/>
    <cellStyle name="Percent [2]" xfId="247" xr:uid="{52674B6D-29D6-47C2-8F91-1CD9E92D722F}"/>
    <cellStyle name="Percent [2] 2" xfId="36412" xr:uid="{A6BD023C-C476-4A78-BA88-0314E272A183}"/>
    <cellStyle name="Percent 10" xfId="36413" xr:uid="{3BABFFF4-058B-4E7E-8D01-3276DB28B3CB}"/>
    <cellStyle name="Percent 10 10" xfId="36414" xr:uid="{4ADB4554-981F-46BA-A54A-7788EC93E94A}"/>
    <cellStyle name="Percent 10 11" xfId="36415" xr:uid="{D9ED9D34-2FAA-4C38-93F0-3F6A1C056443}"/>
    <cellStyle name="Percent 10 12" xfId="36416" xr:uid="{ABF5592A-53B6-45C0-A100-EDE437A0E8C6}"/>
    <cellStyle name="Percent 10 13" xfId="36417" xr:uid="{92E7B772-5CCD-45B3-AFFD-C79C3C8EFD00}"/>
    <cellStyle name="Percent 10 14" xfId="36418" xr:uid="{D9DFBA59-F2F3-44CB-8C0C-B8BA4A07A56B}"/>
    <cellStyle name="Percent 10 15" xfId="36419" xr:uid="{4F282436-6D36-4FE9-A57A-E9FC6D0D9897}"/>
    <cellStyle name="Percent 10 16" xfId="36420" xr:uid="{076BD46C-6BD9-4474-9D0E-E7A8E2798803}"/>
    <cellStyle name="Percent 10 17" xfId="36421" xr:uid="{C76E8119-D08D-4982-9467-25B28B7D7734}"/>
    <cellStyle name="Percent 10 18" xfId="36422" xr:uid="{25EAA7C3-072C-4D8E-B93A-6860B12E2208}"/>
    <cellStyle name="Percent 10 19" xfId="36423" xr:uid="{72120F60-0A89-4799-891B-3CE76D413FCC}"/>
    <cellStyle name="Percent 10 2" xfId="36424" xr:uid="{DD0E871F-031E-46D2-98E1-111EDF197BCB}"/>
    <cellStyle name="Percent 10 2 2" xfId="36425" xr:uid="{47B14CEE-3ED7-43CF-8D6B-6DC43CE039B3}"/>
    <cellStyle name="Percent 10 2 3" xfId="36426" xr:uid="{2E29ADB9-0D17-4F3A-AB1B-C85ADEE6530D}"/>
    <cellStyle name="Percent 10 20" xfId="36427" xr:uid="{E94513A6-2161-456B-B74D-05E8D6183247}"/>
    <cellStyle name="Percent 10 21" xfId="36428" xr:uid="{72D390B4-AC04-472A-9C74-681D749A3248}"/>
    <cellStyle name="Percent 10 22" xfId="36429" xr:uid="{7AC5ACBF-CA36-48B7-99EB-9041B7376FE1}"/>
    <cellStyle name="Percent 10 23" xfId="36430" xr:uid="{CD79EC4B-0268-436F-A0B0-3FF18EF029F8}"/>
    <cellStyle name="Percent 10 24" xfId="36431" xr:uid="{D4296F8C-6062-4158-B75D-21593D9FFC24}"/>
    <cellStyle name="Percent 10 3" xfId="36432" xr:uid="{F8E5E33C-25D4-47DE-A805-2E7EC0DABB6E}"/>
    <cellStyle name="Percent 10 3 2" xfId="36433" xr:uid="{87D40C74-17AD-4DD5-88F8-6071C502C773}"/>
    <cellStyle name="Percent 10 3 3" xfId="36434" xr:uid="{E66CAD03-0DBD-463D-A094-34DCEB36B29E}"/>
    <cellStyle name="Percent 10 4" xfId="36435" xr:uid="{D481CD79-A0E8-4077-9CF6-F69DB5B97F89}"/>
    <cellStyle name="Percent 10 5" xfId="36436" xr:uid="{9DD48F2D-DEA7-47EC-98BB-040C7CCD7DEE}"/>
    <cellStyle name="Percent 10 6" xfId="36437" xr:uid="{69054849-E4E8-427A-BA87-EDF6B3C8BC94}"/>
    <cellStyle name="Percent 10 7" xfId="36438" xr:uid="{6282589C-158D-44BD-87C7-4D91EDBAB722}"/>
    <cellStyle name="Percent 10 8" xfId="36439" xr:uid="{1073B7CC-CBD4-43AA-9AF9-692E48D487CB}"/>
    <cellStyle name="Percent 10 9" xfId="36440" xr:uid="{3439FC3A-A671-4203-A330-2E8334CFE637}"/>
    <cellStyle name="Percent 11" xfId="36441" xr:uid="{ACFF81C6-6077-47E1-8C58-1D1F73E3F8B7}"/>
    <cellStyle name="Percent 12" xfId="36442" xr:uid="{79D7A301-69CE-4D9A-BA0E-96BD81C0D35F}"/>
    <cellStyle name="Percent 12 10" xfId="36443" xr:uid="{0CDE69C3-CAFD-4065-AF41-2EF44374978D}"/>
    <cellStyle name="Percent 12 11" xfId="36444" xr:uid="{8AFC530E-5834-4AF5-9895-3C14326CE52A}"/>
    <cellStyle name="Percent 12 12" xfId="36445" xr:uid="{C1B1BBD8-2E91-4136-9ADE-011FF164CB29}"/>
    <cellStyle name="Percent 12 13" xfId="36446" xr:uid="{DB6D54F6-B15C-4B0E-8731-764944735E7C}"/>
    <cellStyle name="Percent 12 14" xfId="36447" xr:uid="{24EF767E-157B-44E4-9CAC-2EC9A42C2A6E}"/>
    <cellStyle name="Percent 12 15" xfId="36448" xr:uid="{3A8A6562-5C5E-4C57-847E-9675C0EA123F}"/>
    <cellStyle name="Percent 12 16" xfId="36449" xr:uid="{94CF5102-23F1-44A8-BE62-3E97AE8B1DD2}"/>
    <cellStyle name="Percent 12 17" xfId="36450" xr:uid="{00BED4B4-5FA6-4401-B952-9642226CB186}"/>
    <cellStyle name="Percent 12 18" xfId="36451" xr:uid="{B43CB4AD-AF99-4CDA-8EBD-F35F47AB2CC2}"/>
    <cellStyle name="Percent 12 19" xfId="36452" xr:uid="{1C10DEE0-9EE4-46E4-B34A-3C5773643FE5}"/>
    <cellStyle name="Percent 12 2" xfId="36453" xr:uid="{5C07FB45-4578-4A13-993C-36F4E481EBA3}"/>
    <cellStyle name="Percent 12 3" xfId="36454" xr:uid="{4CFCD20F-9C7B-4B37-AB41-3CA4B08F8758}"/>
    <cellStyle name="Percent 12 4" xfId="36455" xr:uid="{26B2B6C4-B0CE-4A89-A8D6-390B2B139D52}"/>
    <cellStyle name="Percent 12 5" xfId="36456" xr:uid="{9A521311-492E-443D-812C-172BDADD8380}"/>
    <cellStyle name="Percent 12 6" xfId="36457" xr:uid="{26B82C13-2FF9-4E2B-BC78-6BC76E5AFB81}"/>
    <cellStyle name="Percent 12 7" xfId="36458" xr:uid="{35292E77-7DF3-4003-8318-2410B8930CB0}"/>
    <cellStyle name="Percent 12 8" xfId="36459" xr:uid="{F5121340-ABE1-44E3-B3C4-8B0C45565D1E}"/>
    <cellStyle name="Percent 12 9" xfId="36460" xr:uid="{7F58B1F4-C09A-40DA-910D-5FAA5943471C}"/>
    <cellStyle name="Percent 13" xfId="36461" xr:uid="{53780E42-F50A-4824-A310-824B393ACDB1}"/>
    <cellStyle name="Percent 13 10" xfId="36462" xr:uid="{E2F28FCD-512C-40FE-B501-457259AD759D}"/>
    <cellStyle name="Percent 13 11" xfId="36463" xr:uid="{94DCB108-39D3-41E4-A967-326B543BEF9D}"/>
    <cellStyle name="Percent 13 12" xfId="36464" xr:uid="{F34BC8FA-3D7B-44AE-81CE-56E14F7C0CE2}"/>
    <cellStyle name="Percent 13 13" xfId="36465" xr:uid="{901F4557-21B7-4A16-AEF0-88A48B8630F6}"/>
    <cellStyle name="Percent 13 14" xfId="36466" xr:uid="{91B8934A-F3FA-437B-8915-29DA8F44497E}"/>
    <cellStyle name="Percent 13 15" xfId="36467" xr:uid="{6DE60CDF-0068-481D-9666-4F64B6C33982}"/>
    <cellStyle name="Percent 13 16" xfId="36468" xr:uid="{FE94EB79-D289-42DC-8564-1E265F649241}"/>
    <cellStyle name="Percent 13 17" xfId="36469" xr:uid="{D691588D-3E70-471B-B0BF-74D166407AE2}"/>
    <cellStyle name="Percent 13 18" xfId="36470" xr:uid="{AC162F39-EFE5-48D2-9575-F9B182A2E027}"/>
    <cellStyle name="Percent 13 19" xfId="36471" xr:uid="{BD49E573-1AB0-4464-9A8E-960259959367}"/>
    <cellStyle name="Percent 13 2" xfId="36472" xr:uid="{1FD0944B-33D0-470C-8D37-52BB972B1A71}"/>
    <cellStyle name="Percent 13 20" xfId="36473" xr:uid="{DD82F052-7F63-44B3-84BE-236F7FA9DC30}"/>
    <cellStyle name="Percent 13 21" xfId="36474" xr:uid="{20030A90-A1EF-41A3-8210-9FFCF231C1C2}"/>
    <cellStyle name="Percent 13 3" xfId="36475" xr:uid="{5581B197-4209-4731-806A-EB095CF9872F}"/>
    <cellStyle name="Percent 13 4" xfId="36476" xr:uid="{54D4DDD7-8F8A-4147-B7F7-904BFB030A34}"/>
    <cellStyle name="Percent 13 5" xfId="36477" xr:uid="{BC4DC6B7-2F59-4863-B2AC-EBC07B5EB7B4}"/>
    <cellStyle name="Percent 13 6" xfId="36478" xr:uid="{03DC416F-AD1D-483C-9A2F-8B6902DDE974}"/>
    <cellStyle name="Percent 13 7" xfId="36479" xr:uid="{8E3C19C3-1398-4F3B-BD06-3DE6419A68C0}"/>
    <cellStyle name="Percent 13 8" xfId="36480" xr:uid="{04D44916-0FF9-4336-AF8D-193A56D87E2F}"/>
    <cellStyle name="Percent 13 9" xfId="36481" xr:uid="{FEAE886E-3BD4-4BD8-A0D0-35B530E56D4A}"/>
    <cellStyle name="Percent 14" xfId="36482" xr:uid="{03512845-AEF4-40B6-8CBB-4ECFC06F4EDC}"/>
    <cellStyle name="Percent 15" xfId="36483" xr:uid="{3882D7C6-DA5F-4CD3-9BC4-A750671AECED}"/>
    <cellStyle name="Percent 16" xfId="36484" xr:uid="{9557FB33-F96A-4337-B3E8-31C6B5CADB93}"/>
    <cellStyle name="Percent 16 10" xfId="36485" xr:uid="{BD23D741-2D38-46B1-A9B2-E52384292672}"/>
    <cellStyle name="Percent 16 11" xfId="36486" xr:uid="{CADFAAA1-F136-4029-B1F1-E6BE458655B8}"/>
    <cellStyle name="Percent 16 12" xfId="36487" xr:uid="{81B8A5ED-E79F-4BEA-B694-BB3A74381BC7}"/>
    <cellStyle name="Percent 16 13" xfId="36488" xr:uid="{C336F3EA-E4D7-4E82-B467-89422D177641}"/>
    <cellStyle name="Percent 16 14" xfId="36489" xr:uid="{A392E3DC-AE10-4395-A3E2-41275923F428}"/>
    <cellStyle name="Percent 16 15" xfId="36490" xr:uid="{1CA9BA8F-B278-480B-9846-7413E010EA1B}"/>
    <cellStyle name="Percent 16 16" xfId="36491" xr:uid="{C1F4E037-E020-4EC5-8D28-35856345622E}"/>
    <cellStyle name="Percent 16 17" xfId="36492" xr:uid="{CE38073C-0F3D-4142-AA1A-2F2E1446F0CB}"/>
    <cellStyle name="Percent 16 18" xfId="36493" xr:uid="{BEC17D23-B34E-441A-A9A2-88ACD7A65C25}"/>
    <cellStyle name="Percent 16 19" xfId="36494" xr:uid="{83A785FD-CEC2-4583-B277-76D967A9C6D2}"/>
    <cellStyle name="Percent 16 2" xfId="36495" xr:uid="{79A53157-C1F6-4131-815A-B4D64FBBDE32}"/>
    <cellStyle name="Percent 16 3" xfId="36496" xr:uid="{5FDC5F38-9E2C-4049-91DD-DE91CC2CDF02}"/>
    <cellStyle name="Percent 16 4" xfId="36497" xr:uid="{F3BFF9BC-5BB7-4FEE-9E71-D2DBBA4D0DBA}"/>
    <cellStyle name="Percent 16 5" xfId="36498" xr:uid="{2B9C10B7-548A-467B-A030-6DA21B158713}"/>
    <cellStyle name="Percent 16 6" xfId="36499" xr:uid="{E58161CB-804E-42EA-A0CE-1ACCE0BC7665}"/>
    <cellStyle name="Percent 16 7" xfId="36500" xr:uid="{30E8F6BC-A594-4FEB-B911-27E240F93ABF}"/>
    <cellStyle name="Percent 16 8" xfId="36501" xr:uid="{3AFFF405-8CA8-4025-B899-D63CA361D76B}"/>
    <cellStyle name="Percent 16 9" xfId="36502" xr:uid="{97016F5B-02DF-4CEB-8F41-C5E81D338CCA}"/>
    <cellStyle name="Percent 17" xfId="36503" xr:uid="{9B9F780E-A888-4822-86BD-0F3BF2469EAA}"/>
    <cellStyle name="Percent 17 10" xfId="36504" xr:uid="{07CD0070-23B9-43F5-9988-FAA342EA1438}"/>
    <cellStyle name="Percent 17 2" xfId="36505" xr:uid="{333BBC11-A035-4163-9C09-9EC36161334B}"/>
    <cellStyle name="Percent 17 3" xfId="36506" xr:uid="{A500E6ED-169A-45C7-9405-D207C5794E22}"/>
    <cellStyle name="Percent 17 4" xfId="36507" xr:uid="{4744223F-A29A-4D37-A813-FB003532F252}"/>
    <cellStyle name="Percent 17 5" xfId="36508" xr:uid="{23AAFF47-FF93-4177-9B10-E167A3ED612D}"/>
    <cellStyle name="Percent 17 6" xfId="36509" xr:uid="{7D79C16A-B251-435F-ABC0-3D7BAE96E14E}"/>
    <cellStyle name="Percent 17 7" xfId="36510" xr:uid="{1DFCB5F3-7B3C-47EB-93B0-DB7B02E67352}"/>
    <cellStyle name="Percent 17 8" xfId="36511" xr:uid="{3BFE629D-8D16-4CFB-A1CD-B69A263F04B1}"/>
    <cellStyle name="Percent 17 9" xfId="36512" xr:uid="{20FE7C3B-F746-42EE-9F8C-54BECEC1DDF7}"/>
    <cellStyle name="Percent 18" xfId="36513" xr:uid="{EE596B24-0F79-4DBA-8DA8-C39C9AF5F189}"/>
    <cellStyle name="Percent 19" xfId="36514" xr:uid="{104A4868-4ABE-42AA-A4A9-9DAEC0C2CF51}"/>
    <cellStyle name="Percent 2" xfId="248" xr:uid="{751E7398-8521-49AC-B5A1-461454F40038}"/>
    <cellStyle name="Percent 2 10" xfId="36515" xr:uid="{049F7D07-968E-4A0F-B610-7228FE934A67}"/>
    <cellStyle name="Percent 2 10 2" xfId="36516" xr:uid="{B44F7D58-A478-410B-B89D-F04033E9EEB0}"/>
    <cellStyle name="Percent 2 10 3" xfId="36517" xr:uid="{B68B5ED7-626B-4423-8BE4-1CF2B1F59C98}"/>
    <cellStyle name="Percent 2 10 3 2" xfId="36518" xr:uid="{58AF9E99-FFEA-4371-833C-FB2C9E6EF2E6}"/>
    <cellStyle name="Percent 2 11" xfId="36519" xr:uid="{081A2900-7630-44A7-BC2C-9570A8ABB9AB}"/>
    <cellStyle name="Percent 2 12" xfId="36520" xr:uid="{B2669039-3959-48C4-A252-632D24AB40C2}"/>
    <cellStyle name="Percent 2 12 2" xfId="36521" xr:uid="{943FE6EE-4898-4866-90E8-57B468FE57FD}"/>
    <cellStyle name="Percent 2 13" xfId="36522" xr:uid="{CC63BE33-F0D0-4922-9991-AC82D9D81225}"/>
    <cellStyle name="Percent 2 14" xfId="36523" xr:uid="{D68ADCC6-8517-4521-8BF6-D1D24B9EF310}"/>
    <cellStyle name="Percent 2 15" xfId="36524" xr:uid="{E0CACC41-432B-41F8-BB3B-2AED1AB8A01F}"/>
    <cellStyle name="Percent 2 16" xfId="36525" xr:uid="{D2C364CF-3E3D-4287-BA5D-E477832FB728}"/>
    <cellStyle name="Percent 2 17" xfId="36526" xr:uid="{7257AA0E-8DBE-4F36-85E1-EDF86FA253C4}"/>
    <cellStyle name="Percent 2 18" xfId="36527" xr:uid="{C89A1F8B-5D88-44E9-9701-C5816FD58822}"/>
    <cellStyle name="Percent 2 19" xfId="36528" xr:uid="{820A1B04-B9D3-4F4D-B6B6-59612CFCE1B8}"/>
    <cellStyle name="Percent 2 2" xfId="36529" xr:uid="{B235731C-D62A-43D9-9839-67C12C26A9EE}"/>
    <cellStyle name="Percent 2 2 2" xfId="36530" xr:uid="{207FCC76-30F8-494A-8315-5741637C6E98}"/>
    <cellStyle name="Percent 2 2 2 2" xfId="36531" xr:uid="{A2C45D16-E90F-4801-A246-4C5178CD419B}"/>
    <cellStyle name="Percent 2 2 2 3" xfId="36532" xr:uid="{2891AE49-8DEB-467E-B100-E58D58A2CEA1}"/>
    <cellStyle name="Percent 2 2 2 4" xfId="36533" xr:uid="{3CB59230-04F0-4A27-9872-6E2F0412F04A}"/>
    <cellStyle name="Percent 2 2 3" xfId="36534" xr:uid="{931BE54B-2ED2-4F07-A162-E6905C03CC6D}"/>
    <cellStyle name="Percent 2 2 4" xfId="36535" xr:uid="{D034F066-13F2-4806-93CE-1BFD1EE8EBC2}"/>
    <cellStyle name="Percent 2 2 5" xfId="36536" xr:uid="{59E7C1CE-2D22-400D-BCD9-2AC771494488}"/>
    <cellStyle name="Percent 2 2 6" xfId="36537" xr:uid="{3DB9505C-733F-46E0-8F9C-616221FCEECC}"/>
    <cellStyle name="Percent 2 2 7" xfId="36538" xr:uid="{7225A1A9-595A-467D-A55D-9D21815EAFFE}"/>
    <cellStyle name="Percent 2 2 8" xfId="36539" xr:uid="{F2E1E26F-F1F0-40FA-8D78-9EDC5BC11263}"/>
    <cellStyle name="Percent 2 2 9" xfId="36540" xr:uid="{267E82D2-2CD0-43EC-B128-26FD1CE3800A}"/>
    <cellStyle name="Percent 2 20" xfId="36541" xr:uid="{6B9E44A3-ADC5-4477-9F8F-CCA3A46356C1}"/>
    <cellStyle name="Percent 2 21" xfId="36542" xr:uid="{3CAAD5D1-EEEE-4D32-A3F6-6887F05BEA72}"/>
    <cellStyle name="Percent 2 22" xfId="36543" xr:uid="{E621A27A-67E7-47C0-AFC5-3C1AC3B3913C}"/>
    <cellStyle name="Percent 2 23" xfId="36544" xr:uid="{69832DDE-0944-4E98-A702-66D91DDF0550}"/>
    <cellStyle name="Percent 2 24" xfId="36545" xr:uid="{6E4FC382-5733-499B-92A4-FEFB49557C4B}"/>
    <cellStyle name="Percent 2 25" xfId="36546" xr:uid="{2F76F61F-547C-42E2-8DB0-A120EC6CB523}"/>
    <cellStyle name="Percent 2 26" xfId="36547" xr:uid="{A128242F-25B0-4519-80E6-6BE02F7CF781}"/>
    <cellStyle name="Percent 2 27" xfId="36548" xr:uid="{71DF5AFC-B03C-4D7C-8C21-CE2A553F63E0}"/>
    <cellStyle name="Percent 2 28" xfId="36549" xr:uid="{FF91D4B8-3DFA-474E-84BF-2BF5EEFD33CF}"/>
    <cellStyle name="Percent 2 29" xfId="36550" xr:uid="{C6ECEE23-F635-46FD-A026-4318F70E6C53}"/>
    <cellStyle name="Percent 2 3" xfId="36551" xr:uid="{125286DA-95CF-45EF-BFBA-BE989F70D80F}"/>
    <cellStyle name="Percent 2 3 2" xfId="36552" xr:uid="{0E0537A7-ED11-4621-B805-89C12C94AFF8}"/>
    <cellStyle name="Percent 2 3 3" xfId="36553" xr:uid="{5439F423-0319-4453-BBF6-ED3D73EB26CA}"/>
    <cellStyle name="Percent 2 30" xfId="36554" xr:uid="{03D94F05-7121-4539-8EBC-E752AAA51DD3}"/>
    <cellStyle name="Percent 2 31" xfId="36555" xr:uid="{EAFE5250-D861-4989-9AAA-D05D1DB63757}"/>
    <cellStyle name="Percent 2 32" xfId="36556" xr:uid="{C090DC05-B997-482D-9A12-6970EFF7B986}"/>
    <cellStyle name="Percent 2 33" xfId="36557" xr:uid="{0D332185-67DE-404D-A8ED-596BB9445005}"/>
    <cellStyle name="Percent 2 34" xfId="36558" xr:uid="{8279DE98-D8D7-4661-B7C7-C525262C7375}"/>
    <cellStyle name="Percent 2 35" xfId="36559" xr:uid="{5B5111C2-8D52-47C9-9099-4080A92FFF12}"/>
    <cellStyle name="Percent 2 36" xfId="36560" xr:uid="{862748BC-8BB3-4148-B119-D22D9374DB93}"/>
    <cellStyle name="Percent 2 37" xfId="36561" xr:uid="{9EDF786C-3D5E-4231-8D0B-7A270CD834D8}"/>
    <cellStyle name="Percent 2 38" xfId="36562" xr:uid="{4E3D2691-7118-4BBC-865B-19B294F45383}"/>
    <cellStyle name="Percent 2 38 2" xfId="36563" xr:uid="{F74B2BD1-F54B-4FF3-A07F-9EC03E6BF6D8}"/>
    <cellStyle name="Percent 2 38 2 2" xfId="36564" xr:uid="{3996A3A8-2254-40C3-B466-7C966C71BFDB}"/>
    <cellStyle name="Percent 2 38 2 2 2" xfId="36565" xr:uid="{8F2637BD-37DD-40BC-824E-6024C06A88B2}"/>
    <cellStyle name="Percent 2 38 3" xfId="36566" xr:uid="{5ACC2676-1D48-4C14-9A50-4533CEE4C09B}"/>
    <cellStyle name="Percent 2 39" xfId="36567" xr:uid="{9120DCD5-545A-461E-B38A-2489CA299C12}"/>
    <cellStyle name="Percent 2 4" xfId="36568" xr:uid="{7BA57145-3C5A-4E67-B610-9C88C4B50F87}"/>
    <cellStyle name="Percent 2 4 2" xfId="36569" xr:uid="{2DD16065-AA3D-4630-87D1-94AA4675C35A}"/>
    <cellStyle name="Percent 2 4 3" xfId="36570" xr:uid="{BEEB1847-AA0F-48DC-A5F2-3B92F0CA9371}"/>
    <cellStyle name="Percent 2 40" xfId="36571" xr:uid="{5AFCBBD4-64B0-4AD6-9A1F-582DE613ABB7}"/>
    <cellStyle name="Percent 2 41" xfId="36572" xr:uid="{32063A99-74C9-4D5D-AE5A-6391E9E5A307}"/>
    <cellStyle name="Percent 2 42" xfId="36573" xr:uid="{80E5C48E-77C6-4D5E-9573-51F84A0D7757}"/>
    <cellStyle name="Percent 2 43" xfId="36574" xr:uid="{1C97CE2E-105E-4545-8120-DFE5A4D44B75}"/>
    <cellStyle name="Percent 2 44" xfId="36575" xr:uid="{AA6154E6-93E6-461C-A2E8-CB5C8A4594E4}"/>
    <cellStyle name="Percent 2 45" xfId="36576" xr:uid="{719AACE3-BFCF-4617-80C9-68AB912F195C}"/>
    <cellStyle name="Percent 2 46" xfId="36577" xr:uid="{AA49C47D-162F-4DDD-9CC6-1A020996F175}"/>
    <cellStyle name="Percent 2 47" xfId="36578" xr:uid="{9A1C079A-35E7-40FE-BBA4-D479E14380FC}"/>
    <cellStyle name="Percent 2 48" xfId="36579" xr:uid="{E47EECC5-7E69-406C-9B39-6C9FFD182575}"/>
    <cellStyle name="Percent 2 49" xfId="36580" xr:uid="{903AD8D8-084E-44E7-B9EC-EA266B64698F}"/>
    <cellStyle name="Percent 2 5" xfId="36581" xr:uid="{5D2A063D-0300-4C51-B2E7-23F918422477}"/>
    <cellStyle name="Percent 2 5 2" xfId="36582" xr:uid="{5D02A567-67AA-4343-BF05-68AAC24F9A2C}"/>
    <cellStyle name="Percent 2 5 3" xfId="36583" xr:uid="{89E5F8F4-BE03-45CD-AAFB-594CBFEAB5FD}"/>
    <cellStyle name="Percent 2 50" xfId="36584" xr:uid="{7F5C2FE0-4D61-43C4-B695-5E0312F95C70}"/>
    <cellStyle name="Percent 2 51" xfId="36585" xr:uid="{22B0F05C-BE22-408A-9705-F3700B3C3FDF}"/>
    <cellStyle name="Percent 2 52" xfId="36586" xr:uid="{1D9EC591-5680-46FB-9746-122195FE4316}"/>
    <cellStyle name="Percent 2 53" xfId="36587" xr:uid="{FD0A7CA6-C840-4911-87E8-5E14B027BE53}"/>
    <cellStyle name="Percent 2 54" xfId="36588" xr:uid="{350F3F66-D8BD-4973-A69F-1783CADA6173}"/>
    <cellStyle name="Percent 2 55" xfId="36589" xr:uid="{1CADB345-DF15-4AF5-8095-8EC71B29F589}"/>
    <cellStyle name="Percent 2 56" xfId="36590" xr:uid="{3D652A6E-3771-41CF-A520-CC1FE88B221B}"/>
    <cellStyle name="Percent 2 57" xfId="36591" xr:uid="{3385A84D-B5E7-486A-9B22-EF97742111F5}"/>
    <cellStyle name="Percent 2 58" xfId="36592" xr:uid="{743623E0-E1DC-4362-8F99-8EA20857777D}"/>
    <cellStyle name="Percent 2 59" xfId="36593" xr:uid="{2E1A9A12-B7B9-4A31-A88C-5BCAA0BF22AD}"/>
    <cellStyle name="Percent 2 6" xfId="36594" xr:uid="{F767B9E9-0D4D-48A5-8D2D-45791A514B10}"/>
    <cellStyle name="Percent 2 6 2" xfId="36595" xr:uid="{874E1B93-777E-4636-B0D4-9DFE8475D2F8}"/>
    <cellStyle name="Percent 2 6 3" xfId="36596" xr:uid="{AF14BEA0-6537-4FC7-BA96-BEB08E2C8330}"/>
    <cellStyle name="Percent 2 60" xfId="36597" xr:uid="{A5EFB989-BE9D-4C19-AAFC-D35414E3ECBA}"/>
    <cellStyle name="Percent 2 61" xfId="36598" xr:uid="{F2285AC6-8442-4A7B-A872-861D37537FCE}"/>
    <cellStyle name="Percent 2 62" xfId="36599" xr:uid="{FBAD4373-05E2-4879-B4C0-921C3F7C5F47}"/>
    <cellStyle name="Percent 2 63" xfId="36600" xr:uid="{139D2A72-9CC3-4340-84E2-B9FD0F0A4138}"/>
    <cellStyle name="Percent 2 63 2" xfId="36601" xr:uid="{663CF2A2-5094-4255-AE2D-057573387F48}"/>
    <cellStyle name="Percent 2 64" xfId="36602" xr:uid="{BFC39E4F-629C-4A98-8D14-9DC2DB0E8335}"/>
    <cellStyle name="Percent 2 65" xfId="36603" xr:uid="{DCCDC2F8-EF85-4F3D-A31B-0DC94B127FCF}"/>
    <cellStyle name="Percent 2 66" xfId="36604" xr:uid="{8CDAB2BE-B32F-4132-8BF8-49645C1D7B36}"/>
    <cellStyle name="Percent 2 67" xfId="36605" xr:uid="{DB30E4E7-8B94-44C8-950F-673BA6133868}"/>
    <cellStyle name="Percent 2 68" xfId="36606" xr:uid="{26C1B119-07E0-44C0-B854-0D40DA89D25A}"/>
    <cellStyle name="Percent 2 69" xfId="36607" xr:uid="{AF94041B-7BDE-45D6-88B5-1E4F4A5EABA5}"/>
    <cellStyle name="Percent 2 7" xfId="36608" xr:uid="{850F0473-4892-4622-9618-A44350732DCD}"/>
    <cellStyle name="Percent 2 7 2" xfId="36609" xr:uid="{174A0671-5DA6-4149-B911-44318C6AF926}"/>
    <cellStyle name="Percent 2 70" xfId="36610" xr:uid="{54B59F06-57D1-441C-946C-56279E7DCA41}"/>
    <cellStyle name="Percent 2 8" xfId="36611" xr:uid="{924D1963-1FE0-4EC4-B625-81F2D863FAB8}"/>
    <cellStyle name="Percent 2 8 2" xfId="36612" xr:uid="{3CA26984-7250-47FB-A639-CE3CC103B7C9}"/>
    <cellStyle name="Percent 2 9" xfId="36613" xr:uid="{97F1C390-F1C5-4964-AAE7-8CD046A17436}"/>
    <cellStyle name="Percent 2 9 2" xfId="36614" xr:uid="{4F1D42E6-B186-435A-9E26-3D728D12B0A9}"/>
    <cellStyle name="Percent 20" xfId="36615" xr:uid="{22688501-0F45-4F6E-B0F7-FF80E2F891CD}"/>
    <cellStyle name="Percent 21" xfId="36616" xr:uid="{9FEA5ABD-9D0E-43EB-B096-0D8A66D03A8C}"/>
    <cellStyle name="Percent 21 2" xfId="36617" xr:uid="{1AD4FA3F-4236-4B21-8ED2-822580AE9FAB}"/>
    <cellStyle name="Percent 21 3" xfId="36618" xr:uid="{0C5846E8-DD0A-4247-9E2F-788158AF8806}"/>
    <cellStyle name="Percent 22" xfId="36619" xr:uid="{20FF4685-A8A5-4B1B-8512-BB9C23F6B1EC}"/>
    <cellStyle name="Percent 22 10" xfId="36620" xr:uid="{8EC6DD1D-DF78-4DFE-9D49-F881D576D63C}"/>
    <cellStyle name="Percent 22 11" xfId="36621" xr:uid="{2B990CB9-E0B2-4399-9346-604B7B9F8D45}"/>
    <cellStyle name="Percent 22 12" xfId="36622" xr:uid="{EBE9F27F-6B3B-49B4-A0B4-07D12D5DE8A1}"/>
    <cellStyle name="Percent 22 13" xfId="36623" xr:uid="{698FB9CB-E2D1-471F-84CF-3ACDE77EF008}"/>
    <cellStyle name="Percent 22 14" xfId="36624" xr:uid="{DE963E1E-A4C2-4E59-8D91-F85CC04E1483}"/>
    <cellStyle name="Percent 22 15" xfId="36625" xr:uid="{5CA57CE2-4148-40D3-BFD6-6C4CCD2A2EF9}"/>
    <cellStyle name="Percent 22 16" xfId="36626" xr:uid="{EFC144E5-0489-4DDC-B3F4-7CA4B7E8D461}"/>
    <cellStyle name="Percent 22 17" xfId="36627" xr:uid="{D65E0A23-8845-4B68-AC8A-3FE19639FC36}"/>
    <cellStyle name="Percent 22 18" xfId="36628" xr:uid="{421C2CCE-0E0E-4A0E-9C49-898490967381}"/>
    <cellStyle name="Percent 22 19" xfId="36629" xr:uid="{F5296E9F-8278-4832-9C89-1E69F22EDA46}"/>
    <cellStyle name="Percent 22 2" xfId="36630" xr:uid="{30929054-A040-4903-B4AC-F80B9BF79202}"/>
    <cellStyle name="Percent 22 20" xfId="36631" xr:uid="{CBA2DEAB-9503-495E-8BF8-989FF01497C7}"/>
    <cellStyle name="Percent 22 21" xfId="36632" xr:uid="{E41D259E-B14B-4178-83A7-CA94859142C3}"/>
    <cellStyle name="Percent 22 3" xfId="36633" xr:uid="{3488620D-7683-49FB-81D8-C634023B4F04}"/>
    <cellStyle name="Percent 22 4" xfId="36634" xr:uid="{BAB10B15-7940-4B69-A9D7-4E009D13D7AE}"/>
    <cellStyle name="Percent 22 5" xfId="36635" xr:uid="{18067504-F0B9-4E91-9395-F9E1E52E6E02}"/>
    <cellStyle name="Percent 22 6" xfId="36636" xr:uid="{CCE6DF4C-3AE2-409D-81DC-38EC9ADA1B4E}"/>
    <cellStyle name="Percent 22 7" xfId="36637" xr:uid="{4F80D6D8-22BF-4D71-91DD-60436D7370CB}"/>
    <cellStyle name="Percent 22 8" xfId="36638" xr:uid="{C257BF94-4F0E-4F2A-A887-D432E749C67D}"/>
    <cellStyle name="Percent 22 9" xfId="36639" xr:uid="{F4FA320E-5A6E-4A09-B6DE-BB0F0424B2ED}"/>
    <cellStyle name="Percent 23" xfId="36640" xr:uid="{EF278D6A-4308-4BAD-92D7-087890642366}"/>
    <cellStyle name="Percent 24" xfId="36641" xr:uid="{6E0AB94D-B32D-4267-AE9E-57405DE939E1}"/>
    <cellStyle name="Percent 25" xfId="36642" xr:uid="{CAFB1B06-B3CA-4CCE-9F0C-E9A56861AD44}"/>
    <cellStyle name="Percent 26" xfId="36643" xr:uid="{077F7D59-A2CC-4BDC-A7C4-10F3C25DD9B0}"/>
    <cellStyle name="Percent 27" xfId="36644" xr:uid="{BAC7867B-5206-46E9-9F33-F043D84AB0FA}"/>
    <cellStyle name="Percent 27 10" xfId="36645" xr:uid="{4F3774D0-5225-4A79-9620-0074E29230AD}"/>
    <cellStyle name="Percent 27 11" xfId="36646" xr:uid="{6418A0EE-BF5B-48EC-95F9-62AD78441FBD}"/>
    <cellStyle name="Percent 27 12" xfId="36647" xr:uid="{56563A6D-0414-4BBE-B850-012DDBC1D891}"/>
    <cellStyle name="Percent 27 13" xfId="36648" xr:uid="{33FCCF51-757C-40AB-A042-622D8F89AB17}"/>
    <cellStyle name="Percent 27 14" xfId="36649" xr:uid="{D810D97E-69E4-40DB-8F2F-5519ABE666D5}"/>
    <cellStyle name="Percent 27 15" xfId="36650" xr:uid="{FE66E0C7-2527-4494-A935-4148AC8D4A5F}"/>
    <cellStyle name="Percent 27 16" xfId="36651" xr:uid="{4FF2D656-132F-47B6-AC78-6A891872DE73}"/>
    <cellStyle name="Percent 27 17" xfId="36652" xr:uid="{50E78436-E69D-415B-A674-FF485656E1BB}"/>
    <cellStyle name="Percent 27 18" xfId="36653" xr:uid="{A16D1E47-FC8A-457E-BAED-44FCC2EF4642}"/>
    <cellStyle name="Percent 27 2" xfId="36654" xr:uid="{F1CF0AA9-6B0D-495B-AF7A-DD54AF2CD5B7}"/>
    <cellStyle name="Percent 27 3" xfId="36655" xr:uid="{0E54B383-576C-4544-AED4-3A85BE289437}"/>
    <cellStyle name="Percent 27 4" xfId="36656" xr:uid="{98F04F5F-CCC1-4353-8F55-D5874BBA35DB}"/>
    <cellStyle name="Percent 27 5" xfId="36657" xr:uid="{109245AD-D80F-4211-8A3D-E67E4832E38C}"/>
    <cellStyle name="Percent 27 6" xfId="36658" xr:uid="{615E3645-92ED-47D1-9E24-C0D3821041EB}"/>
    <cellStyle name="Percent 27 7" xfId="36659" xr:uid="{EE276E2F-122C-447E-894C-929D775D4059}"/>
    <cellStyle name="Percent 27 8" xfId="36660" xr:uid="{C4C18ADF-60A0-40A0-98E4-E9BEA62FAE06}"/>
    <cellStyle name="Percent 27 9" xfId="36661" xr:uid="{33660E2C-CF45-45BF-9D90-64816FF72921}"/>
    <cellStyle name="Percent 28" xfId="36662" xr:uid="{BE704AFB-10A4-43AF-A763-B95FCA986FAC}"/>
    <cellStyle name="Percent 28 10" xfId="36663" xr:uid="{15DE6520-EFE0-4B36-8D9C-40F76E3791A5}"/>
    <cellStyle name="Percent 28 11" xfId="36664" xr:uid="{D156DF66-CD50-4624-B35D-0E500DD2622B}"/>
    <cellStyle name="Percent 28 12" xfId="36665" xr:uid="{39BC620D-F6D0-4379-A918-465FA79DCDA5}"/>
    <cellStyle name="Percent 28 13" xfId="36666" xr:uid="{7177A3FA-13BB-4E96-8150-D3B6774FDD68}"/>
    <cellStyle name="Percent 28 14" xfId="36667" xr:uid="{0C6AE4AA-02FF-4CDD-9661-8084E24AE8F1}"/>
    <cellStyle name="Percent 28 15" xfId="36668" xr:uid="{CB4D6044-B08F-4088-8C9A-DEA7FD4C02F3}"/>
    <cellStyle name="Percent 28 16" xfId="36669" xr:uid="{EAFA4057-80D4-4431-9CE7-409AC89F39A8}"/>
    <cellStyle name="Percent 28 17" xfId="36670" xr:uid="{7BF41CD5-DA02-4987-9756-5A3CDA7C7784}"/>
    <cellStyle name="Percent 28 18" xfId="36671" xr:uid="{65F46AB5-3F05-4418-9544-6453485604DB}"/>
    <cellStyle name="Percent 28 19" xfId="36672" xr:uid="{0CB10CEE-F8C3-4776-B4D5-2A3825D921D7}"/>
    <cellStyle name="Percent 28 2" xfId="36673" xr:uid="{B29E5971-04A7-46EB-B06C-24B4773FEB03}"/>
    <cellStyle name="Percent 28 3" xfId="36674" xr:uid="{F6EAED2B-962D-4638-8A30-D01CDB2483B0}"/>
    <cellStyle name="Percent 28 4" xfId="36675" xr:uid="{725E174B-B543-43E3-A6F0-1EB1303A4329}"/>
    <cellStyle name="Percent 28 5" xfId="36676" xr:uid="{CA9B1994-5B76-4E0A-8249-BF96C07DC726}"/>
    <cellStyle name="Percent 28 6" xfId="36677" xr:uid="{6B592C57-19E5-4681-9DAC-54578D143598}"/>
    <cellStyle name="Percent 28 7" xfId="36678" xr:uid="{549429FC-1235-4920-B4E4-6F2BC7B097BA}"/>
    <cellStyle name="Percent 28 8" xfId="36679" xr:uid="{AD01B6D1-CC70-41B7-A2B6-93556F6B25EC}"/>
    <cellStyle name="Percent 28 9" xfId="36680" xr:uid="{7BF524B0-A049-49CA-BFA9-981E108C8323}"/>
    <cellStyle name="Percent 29" xfId="36681" xr:uid="{FD425C77-9FD2-44BF-B141-39BC1428A3E5}"/>
    <cellStyle name="Percent 3" xfId="249" xr:uid="{45757A45-4B63-4810-9A4B-B351FEEBF93D}"/>
    <cellStyle name="Percent 3 2" xfId="250" xr:uid="{11AA6DD1-A0EA-42EB-AC00-58267F47E7A6}"/>
    <cellStyle name="Percent 3 2 2" xfId="36684" xr:uid="{88E0F0F6-38CA-42F1-AD24-55F26A579CB2}"/>
    <cellStyle name="Percent 3 2 2 2" xfId="36685" xr:uid="{F7D1E63F-9D42-427C-B413-A43C5AD6F9E8}"/>
    <cellStyle name="Percent 3 2 3" xfId="36686" xr:uid="{0E1EB4C3-35DA-4965-94B8-51B23B444369}"/>
    <cellStyle name="Percent 3 2 4" xfId="36683" xr:uid="{D7829AC5-8B63-47C7-8685-6B2192AF0E07}"/>
    <cellStyle name="Percent 3 3" xfId="36687" xr:uid="{7683706E-DFA1-4079-AE0C-A3740A418C44}"/>
    <cellStyle name="Percent 3 3 2" xfId="36688" xr:uid="{81704DC2-3150-4227-8BEC-D2C8681A113C}"/>
    <cellStyle name="Percent 3 3 3" xfId="36689" xr:uid="{C889BED0-FB80-42ED-884D-72526ED1B74D}"/>
    <cellStyle name="Percent 3 4" xfId="36690" xr:uid="{2EE8346B-E166-4359-BFC3-300EB4C199DA}"/>
    <cellStyle name="Percent 3 5" xfId="36682" xr:uid="{C8CAD715-C68A-4AE6-8358-D2BBB2CD9428}"/>
    <cellStyle name="Percent 30" xfId="36691" xr:uid="{B2C135B1-0131-4902-A900-765D2469F027}"/>
    <cellStyle name="Percent 30 10" xfId="36692" xr:uid="{3D4ABF77-5C69-4ECC-A72F-2A6A380A2101}"/>
    <cellStyle name="Percent 30 11" xfId="36693" xr:uid="{2732D4D9-7D22-469C-ABCA-17062E7BB927}"/>
    <cellStyle name="Percent 30 12" xfId="36694" xr:uid="{3A43803E-8382-4797-8A67-B1424896AEAC}"/>
    <cellStyle name="Percent 30 13" xfId="36695" xr:uid="{BF3A8592-98ED-4BF7-8DCA-0DB7F37B6F7A}"/>
    <cellStyle name="Percent 30 14" xfId="36696" xr:uid="{2AB36C6B-9B55-4B3E-AB7C-05E633AE2150}"/>
    <cellStyle name="Percent 30 15" xfId="36697" xr:uid="{68092A8D-1EC6-4BC7-A582-F24D26912DD2}"/>
    <cellStyle name="Percent 30 2" xfId="36698" xr:uid="{1630BBF5-ADA8-438B-A9DB-92AAE98430AB}"/>
    <cellStyle name="Percent 30 3" xfId="36699" xr:uid="{E2286055-7ACC-425A-8DD8-ACD087690462}"/>
    <cellStyle name="Percent 30 4" xfId="36700" xr:uid="{6FAE03FE-59C9-4897-B48C-924FC88545B3}"/>
    <cellStyle name="Percent 30 5" xfId="36701" xr:uid="{D0FF7003-8AE0-4466-8DC3-DDCC8CE8E3C0}"/>
    <cellStyle name="Percent 30 6" xfId="36702" xr:uid="{9AA17CD4-B68D-4A06-AE4E-CF5C0E574871}"/>
    <cellStyle name="Percent 30 7" xfId="36703" xr:uid="{84A7F826-2C91-4C8B-9C88-23E57131996B}"/>
    <cellStyle name="Percent 30 8" xfId="36704" xr:uid="{B3319FA1-57BE-4679-9E20-43CB99B691AD}"/>
    <cellStyle name="Percent 30 9" xfId="36705" xr:uid="{EFF08367-AA5E-44BE-BF0D-14D71DA33A46}"/>
    <cellStyle name="Percent 31" xfId="36706" xr:uid="{FC2E127C-197B-4968-85D4-55455A5F88B6}"/>
    <cellStyle name="Percent 32" xfId="36707" xr:uid="{BDBBF217-16C6-4B3E-8F8E-F6970C8E8D66}"/>
    <cellStyle name="Percent 33" xfId="419" xr:uid="{948B103F-F893-42F7-AC2B-D120BFFE0D40}"/>
    <cellStyle name="Percent 34" xfId="417" xr:uid="{68B8FF9A-A5EF-4A6D-B4E9-252DA416C355}"/>
    <cellStyle name="Percent 36" xfId="36708" xr:uid="{B1CD8350-E253-45AF-90F7-1AE248A272FF}"/>
    <cellStyle name="Percent 36 2" xfId="36709" xr:uid="{11477F9E-CD5A-4BB2-AB56-5152E263136E}"/>
    <cellStyle name="Percent 36 3" xfId="36710" xr:uid="{FC46649D-C262-4DD7-8E40-D911D96246A2}"/>
    <cellStyle name="Percent 36 4" xfId="36711" xr:uid="{147B5A36-597B-4B9A-906A-5C4A8CC727D9}"/>
    <cellStyle name="Percent 36 5" xfId="36712" xr:uid="{A8766993-7B01-4445-9C1A-800346E5EB82}"/>
    <cellStyle name="Percent 36 6" xfId="36713" xr:uid="{AED13930-EEE0-4BDA-8B4A-C52449E86757}"/>
    <cellStyle name="Percent 36 7" xfId="36714" xr:uid="{0CC88458-6691-4070-B112-1CD9DA024E4C}"/>
    <cellStyle name="Percent 36 8" xfId="36715" xr:uid="{8F87C5F6-01A8-4435-A1E7-242243E80AF4}"/>
    <cellStyle name="Percent 36 9" xfId="36716" xr:uid="{127DEF68-D959-4AA3-8DE4-B73F79E1F594}"/>
    <cellStyle name="Percent 39 2" xfId="36717" xr:uid="{AC1187E3-BFBE-4430-A977-54FB3301A046}"/>
    <cellStyle name="Percent 39 3" xfId="36718" xr:uid="{83E29AFD-A833-400A-AE57-8F371F31C0BD}"/>
    <cellStyle name="Percent 39 4" xfId="36719" xr:uid="{B069A933-7AF8-462C-A940-4CC92218E256}"/>
    <cellStyle name="Percent 39 5" xfId="36720" xr:uid="{96A38487-D120-46F4-B3DD-078019109230}"/>
    <cellStyle name="Percent 39 6" xfId="36721" xr:uid="{88D9CAD5-8D54-4D8F-9C95-3B285B98BFFA}"/>
    <cellStyle name="Percent 39 7" xfId="36722" xr:uid="{B608DF3A-D0E7-44FA-B7FD-DB57C4D6E9DB}"/>
    <cellStyle name="Percent 39 8" xfId="36723" xr:uid="{E2804DAC-3B1C-4411-B745-2EF2955124DB}"/>
    <cellStyle name="Percent 39 9" xfId="36724" xr:uid="{6C00DF77-9AC1-47AF-8A49-B9DA0728FBB0}"/>
    <cellStyle name="Percent 4" xfId="251" xr:uid="{BCE4F80A-172D-484D-A46B-D6A4B4559898}"/>
    <cellStyle name="Percent 4 10" xfId="36726" xr:uid="{615E848D-36A9-43E5-8886-777D2E146D20}"/>
    <cellStyle name="Percent 4 11" xfId="36727" xr:uid="{85A69C8B-C83B-492A-8096-9E1210EA17C1}"/>
    <cellStyle name="Percent 4 12" xfId="36728" xr:uid="{C446ED62-CCEE-4EDC-8D13-12F5F6A3961C}"/>
    <cellStyle name="Percent 4 13" xfId="36729" xr:uid="{1320256B-64DB-4063-891C-C0883B1BB71E}"/>
    <cellStyle name="Percent 4 14" xfId="36730" xr:uid="{F1FDA75F-5C98-45A2-8C96-34536893DB29}"/>
    <cellStyle name="Percent 4 15" xfId="36731" xr:uid="{68C97A76-8A6D-4DB7-9563-1EEF81D72FB1}"/>
    <cellStyle name="Percent 4 16" xfId="36732" xr:uid="{66A67C9D-97ED-457C-A38F-1180857807D5}"/>
    <cellStyle name="Percent 4 17" xfId="36733" xr:uid="{64E480CF-882F-409E-9F87-AA712D0B3373}"/>
    <cellStyle name="Percent 4 18" xfId="36734" xr:uid="{ECFEDAE6-7897-4730-8690-0B29A18A446F}"/>
    <cellStyle name="Percent 4 19" xfId="36735" xr:uid="{B2641DC4-D3CC-4474-85D9-6230D7434FF6}"/>
    <cellStyle name="Percent 4 2" xfId="252" xr:uid="{4DDC3E4A-DC5B-4240-905E-F03A6CB501DF}"/>
    <cellStyle name="Percent 4 2 2" xfId="36736" xr:uid="{FD92B34A-36CB-4106-9976-DD969A01D439}"/>
    <cellStyle name="Percent 4 20" xfId="36737" xr:uid="{18409DCE-7988-4F9F-A9B8-C788E4BF8BD4}"/>
    <cellStyle name="Percent 4 21" xfId="36738" xr:uid="{BE5294B9-E94F-45B7-90E6-428FBE34C71F}"/>
    <cellStyle name="Percent 4 22" xfId="36739" xr:uid="{43CE4EF5-E61E-4838-A8EE-ACB22BC51A86}"/>
    <cellStyle name="Percent 4 23" xfId="36740" xr:uid="{A783EA5E-FF21-45D3-B6D7-863B284A6A68}"/>
    <cellStyle name="Percent 4 24" xfId="36741" xr:uid="{7DC75AEC-ADD5-4998-943D-CFD1BF8CBE42}"/>
    <cellStyle name="Percent 4 25" xfId="36742" xr:uid="{F99C84BF-3BB1-461F-80C3-37340F0098EB}"/>
    <cellStyle name="Percent 4 26" xfId="36743" xr:uid="{12C23514-6DDD-4007-9AE4-50E8623D1110}"/>
    <cellStyle name="Percent 4 27" xfId="36744" xr:uid="{B915C550-2824-4F5F-9C04-575EBB818950}"/>
    <cellStyle name="Percent 4 28" xfId="36745" xr:uid="{ED191E12-30C8-45BB-89D6-5F16FF90E6E7}"/>
    <cellStyle name="Percent 4 29" xfId="36746" xr:uid="{51BEF41D-22AF-4EA4-BF64-A53A661AAB09}"/>
    <cellStyle name="Percent 4 3" xfId="36747" xr:uid="{A44E9E19-635A-44C3-AA54-2BC27DC95810}"/>
    <cellStyle name="Percent 4 30" xfId="36748" xr:uid="{80571975-9BA3-4157-BF75-45687D2B0F89}"/>
    <cellStyle name="Percent 4 31" xfId="36749" xr:uid="{912D8264-7706-4710-B514-4E5B57B51D0C}"/>
    <cellStyle name="Percent 4 32" xfId="36750" xr:uid="{AD50284E-F71A-4B69-948C-09BBCC4043CE}"/>
    <cellStyle name="Percent 4 33" xfId="36725" xr:uid="{B22F0382-BC1B-43A0-B97A-A7190250123F}"/>
    <cellStyle name="Percent 4 4" xfId="36751" xr:uid="{1269FCDD-B122-4BEA-A96D-598B5CDA82D9}"/>
    <cellStyle name="Percent 4 5" xfId="36752" xr:uid="{709522FE-FFE0-467E-B2D0-D30F01639874}"/>
    <cellStyle name="Percent 4 6" xfId="36753" xr:uid="{2545B734-3302-4FF2-98E8-3785C71A11B7}"/>
    <cellStyle name="Percent 4 7" xfId="36754" xr:uid="{1EF5A74A-3C5E-4C96-A9D2-5F49EDB0112B}"/>
    <cellStyle name="Percent 4 8" xfId="36755" xr:uid="{798EDF54-7589-4E30-9770-1D2787800434}"/>
    <cellStyle name="Percent 4 9" xfId="36756" xr:uid="{8FCC5020-DEFE-4097-BEA5-F0D1963A5C01}"/>
    <cellStyle name="Percent 43" xfId="36757" xr:uid="{E963769D-5660-4690-B032-749F64F77D68}"/>
    <cellStyle name="Percent 47" xfId="36758" xr:uid="{7E0AC325-77DC-4FF6-86CA-CA31347F1180}"/>
    <cellStyle name="Percent 5" xfId="253" xr:uid="{5831C3B3-192D-4E6F-A9D2-49D5A807016E}"/>
    <cellStyle name="Percent 5 10" xfId="36760" xr:uid="{E3E6E314-38A1-45F6-B133-6B462BF75D9C}"/>
    <cellStyle name="Percent 5 11" xfId="36761" xr:uid="{E5FE1656-CA7A-4712-BEBF-686BE865C446}"/>
    <cellStyle name="Percent 5 12" xfId="36762" xr:uid="{1317072B-8FCA-468E-934B-47405D8E0B7B}"/>
    <cellStyle name="Percent 5 13" xfId="36763" xr:uid="{40260F63-1580-4D7D-9A84-3ADBAB79FCAC}"/>
    <cellStyle name="Percent 5 14" xfId="36764" xr:uid="{63688068-C454-4E28-931A-668FFA5ABEA1}"/>
    <cellStyle name="Percent 5 15" xfId="36765" xr:uid="{1A8A145E-7C52-4F16-B62A-36DF86263A3C}"/>
    <cellStyle name="Percent 5 16" xfId="36766" xr:uid="{170AFF49-11B5-4106-BD98-CE9B8C10D557}"/>
    <cellStyle name="Percent 5 17" xfId="36759" xr:uid="{A0B444ED-7ABE-4979-B741-4DFDEC2B6B3C}"/>
    <cellStyle name="Percent 5 2" xfId="36767" xr:uid="{8997A79F-A0D5-4C4D-B55C-E506B08669B5}"/>
    <cellStyle name="Percent 5 2 2" xfId="36768" xr:uid="{A758F03E-91FC-44F1-AC05-647CD0494F86}"/>
    <cellStyle name="Percent 5 3" xfId="36769" xr:uid="{E339ABC0-A2A3-4370-9EBC-090AE889D4B7}"/>
    <cellStyle name="Percent 5 4" xfId="36770" xr:uid="{58839F68-830F-4EA2-B870-3DC1B1FAC4E9}"/>
    <cellStyle name="Percent 5 5" xfId="36771" xr:uid="{9C11B3A2-392E-4BE6-AD20-B14016063927}"/>
    <cellStyle name="Percent 5 6" xfId="36772" xr:uid="{AF25A855-BA02-4D3F-9568-2F0BE8DA33FF}"/>
    <cellStyle name="Percent 5 7" xfId="36773" xr:uid="{07596335-FF78-4387-AED0-2C1E8CA9B6D5}"/>
    <cellStyle name="Percent 5 8" xfId="36774" xr:uid="{D466E786-14CC-4182-922E-29B0605C66E1}"/>
    <cellStyle name="Percent 5 9" xfId="36775" xr:uid="{64951FBE-2BBF-4081-AC90-DF683C2583E0}"/>
    <cellStyle name="Percent 6" xfId="254" xr:uid="{0AD42DAA-B10D-4F84-BB5E-586AC1164D53}"/>
    <cellStyle name="Percent 6 2" xfId="36777" xr:uid="{9773EEFE-B749-4605-BBCF-D469E9E4078B}"/>
    <cellStyle name="Percent 6 3" xfId="36778" xr:uid="{C10B313D-FF11-49C8-8768-8B8C582B7A16}"/>
    <cellStyle name="Percent 6 4" xfId="36779" xr:uid="{18ACFF4F-8F3E-4C22-AE77-CF4AEB2AC2EC}"/>
    <cellStyle name="Percent 6 5" xfId="36776" xr:uid="{BCF25503-46BF-4A7F-8CC9-6710869828CA}"/>
    <cellStyle name="Percent 7" xfId="255" xr:uid="{CD6F76C9-4ADB-4065-ACC3-CAE78796C22E}"/>
    <cellStyle name="Percent 7 10" xfId="36781" xr:uid="{A84023ED-8AEF-4B99-AE86-CAAC34D40C8A}"/>
    <cellStyle name="Percent 7 11" xfId="36782" xr:uid="{32F95DD8-C79B-4036-ABDD-2B3D5520CCA7}"/>
    <cellStyle name="Percent 7 12" xfId="36783" xr:uid="{0FCB4B0D-5F79-441C-B947-927CDBC6857F}"/>
    <cellStyle name="Percent 7 13" xfId="36784" xr:uid="{7B1FBEF7-2501-477A-B1BD-A14EA27F129B}"/>
    <cellStyle name="Percent 7 14" xfId="36785" xr:uid="{6A1F5667-6167-4B4B-A4CF-5031AB5A1959}"/>
    <cellStyle name="Percent 7 15" xfId="36786" xr:uid="{54D0254A-DADF-412D-9CCE-2B89C3C818D9}"/>
    <cellStyle name="Percent 7 16" xfId="36787" xr:uid="{9966E1B1-7D8B-4B10-B429-9D6F9E50CF78}"/>
    <cellStyle name="Percent 7 17" xfId="36788" xr:uid="{AF495E73-A74C-44E3-9F12-B946E81B0FFF}"/>
    <cellStyle name="Percent 7 18" xfId="36789" xr:uid="{271DF9D0-F0CE-4C48-AFF7-6AB1F63431B6}"/>
    <cellStyle name="Percent 7 19" xfId="36790" xr:uid="{FEACF5F6-8455-496F-88D2-6E4C02146B90}"/>
    <cellStyle name="Percent 7 2" xfId="36791" xr:uid="{C9C1E086-8BD6-462A-9837-B7758A8E3206}"/>
    <cellStyle name="Percent 7 2 2" xfId="36792" xr:uid="{1C048D48-DFEF-4AF6-AC93-AC9B4B6C5B5D}"/>
    <cellStyle name="Percent 7 2 3" xfId="36793" xr:uid="{36D43DCF-AFB5-4066-B6CF-01E9D0E1D36E}"/>
    <cellStyle name="Percent 7 20" xfId="36794" xr:uid="{C8B5396A-8B39-44E1-BB4C-222288077F97}"/>
    <cellStyle name="Percent 7 21" xfId="36795" xr:uid="{FAE81F1C-5891-4088-A938-CDE82F76C75C}"/>
    <cellStyle name="Percent 7 22" xfId="36796" xr:uid="{51DFBA82-F074-44E2-B243-CF169B9908F3}"/>
    <cellStyle name="Percent 7 23" xfId="36797" xr:uid="{EE263BA0-B35C-4FDF-A83C-D155DD03F375}"/>
    <cellStyle name="Percent 7 24" xfId="36798" xr:uid="{5E1F7B21-224F-4B66-A418-3477A5800554}"/>
    <cellStyle name="Percent 7 25" xfId="36799" xr:uid="{84AAFC95-84EB-4AE6-9B48-C9E8F9C024AB}"/>
    <cellStyle name="Percent 7 26" xfId="36800" xr:uid="{F00560F0-D144-42BE-9496-B4390A539A01}"/>
    <cellStyle name="Percent 7 27" xfId="36801" xr:uid="{6159724B-0688-478C-8F24-7577D0DF7738}"/>
    <cellStyle name="Percent 7 28" xfId="36802" xr:uid="{52FD90A5-0DD5-4425-864F-66A4BEC02A8F}"/>
    <cellStyle name="Percent 7 29" xfId="36803" xr:uid="{D1B2608D-7D5D-4FEC-9D1F-C5C69382FE6D}"/>
    <cellStyle name="Percent 7 3" xfId="36804" xr:uid="{04007C35-5A12-4F8A-8897-7FEF22EBF884}"/>
    <cellStyle name="Percent 7 30" xfId="36805" xr:uid="{61661722-5E09-4A11-935C-097920464266}"/>
    <cellStyle name="Percent 7 31" xfId="36806" xr:uid="{A3B0EB89-9DC2-4950-9511-FA166144E67C}"/>
    <cellStyle name="Percent 7 32" xfId="36807" xr:uid="{7A421F47-7A06-4CB1-AFBD-C38DAAAE3535}"/>
    <cellStyle name="Percent 7 33" xfId="36808" xr:uid="{39E365AB-158E-40B4-83DF-452B2D1C8DAC}"/>
    <cellStyle name="Percent 7 34" xfId="36809" xr:uid="{C2456303-90FB-4CA7-99AC-97E34400A2A1}"/>
    <cellStyle name="Percent 7 35" xfId="36780" xr:uid="{6A3A966E-D62C-4A8A-B696-F31DB34CF87B}"/>
    <cellStyle name="Percent 7 4" xfId="36810" xr:uid="{E430B2F4-05DE-4DCF-AF17-1E911624B9D8}"/>
    <cellStyle name="Percent 7 5" xfId="36811" xr:uid="{243D2EB3-76B1-4626-8B15-7EFD078D9214}"/>
    <cellStyle name="Percent 7 6" xfId="36812" xr:uid="{474CC7C0-53F9-4A93-BA53-561BC8CE8F0A}"/>
    <cellStyle name="Percent 7 7" xfId="36813" xr:uid="{FBB4C981-5CD7-4886-B574-10B48D074633}"/>
    <cellStyle name="Percent 7 8" xfId="36814" xr:uid="{3BE22B3D-AA86-4BEC-8DEE-B3D5FB4030B5}"/>
    <cellStyle name="Percent 7 9" xfId="36815" xr:uid="{437786F8-636C-41FB-A489-EA4110CB0687}"/>
    <cellStyle name="Percent 8" xfId="256" xr:uid="{2A6D0416-11A4-4473-896F-CC9FC82A4F37}"/>
    <cellStyle name="Percent 8 2" xfId="36817" xr:uid="{D938858D-7136-4F40-8090-A9A79A0A9F07}"/>
    <cellStyle name="Percent 8 3" xfId="36818" xr:uid="{263B150B-A2D0-40E0-B9DE-DD92E147A434}"/>
    <cellStyle name="Percent 8 4" xfId="36819" xr:uid="{F0D475DD-B96A-4D5E-9875-602FEE9F1940}"/>
    <cellStyle name="Percent 8 5" xfId="36820" xr:uid="{DCE83574-859D-41EB-BE89-0D5B92447E1D}"/>
    <cellStyle name="Percent 8 6" xfId="36821" xr:uid="{E55C99D6-B212-49E2-918D-C72D00E9ECA7}"/>
    <cellStyle name="Percent 8 7" xfId="36816" xr:uid="{7071A6C9-9316-4FB8-A0AF-A8B86D00D1D8}"/>
    <cellStyle name="Percent 9" xfId="36822" xr:uid="{50528924-E907-44CC-91D3-B1FDFB40B4E2}"/>
    <cellStyle name="Percent 9 10" xfId="36823" xr:uid="{67CA4072-3057-46B2-9C62-0F8FAF4C8C40}"/>
    <cellStyle name="Percent 9 11" xfId="36824" xr:uid="{FB254E9B-3F4D-4CB2-94FA-E4D9A3D05F1D}"/>
    <cellStyle name="Percent 9 12" xfId="36825" xr:uid="{61FA99D1-7DAA-43D3-BC48-5E751BB94540}"/>
    <cellStyle name="Percent 9 13" xfId="36826" xr:uid="{2D13B21B-C60F-447A-8B90-4C93F463B7AA}"/>
    <cellStyle name="Percent 9 2" xfId="36827" xr:uid="{D2249AA4-FA90-42F3-8F6F-A2C20A438017}"/>
    <cellStyle name="Percent 9 2 2" xfId="36828" xr:uid="{94D63098-329B-4242-AB29-3824744A01EE}"/>
    <cellStyle name="Percent 9 2 2 2" xfId="36829" xr:uid="{1D1B1D11-EABC-4D92-AB7B-11CF58534260}"/>
    <cellStyle name="Percent 9 2 3" xfId="36830" xr:uid="{2A53D126-143A-4DD0-8CCE-956B531734B5}"/>
    <cellStyle name="Percent 9 3" xfId="36831" xr:uid="{82C3873A-BD45-491F-86EB-35C0748476CC}"/>
    <cellStyle name="Percent 9 3 2" xfId="36832" xr:uid="{B52A1E14-5540-450B-8BCB-846C6EAC3EFA}"/>
    <cellStyle name="Percent 9 3 3" xfId="36833" xr:uid="{4DED483E-389D-4A58-A79D-7F06EC19D2AC}"/>
    <cellStyle name="Percent 9 4" xfId="36834" xr:uid="{155CB25F-38E4-4829-A801-B86CA9A16DD1}"/>
    <cellStyle name="Percent 9 4 2" xfId="36835" xr:uid="{0982B305-55B8-4CE7-97B4-C0B301A82EE4}"/>
    <cellStyle name="Percent 9 5" xfId="36836" xr:uid="{6E50219A-49E9-45C3-864F-F45488A91122}"/>
    <cellStyle name="Percent 9 6" xfId="36837" xr:uid="{D4D73854-E744-45B0-92B0-F874DD75C68E}"/>
    <cellStyle name="Percent 9 7" xfId="36838" xr:uid="{AA5DDC9A-8BB1-4B0E-8171-7A0882CCBD1E}"/>
    <cellStyle name="Percent 9 8" xfId="36839" xr:uid="{02974052-329E-43F3-9E4E-B46D1E10CE14}"/>
    <cellStyle name="Percent 9 9" xfId="36840" xr:uid="{FFCF9D55-4F7B-49EB-927B-DA45CA433EB0}"/>
    <cellStyle name="Percent*" xfId="36841" xr:uid="{98F85D9B-976C-4241-906E-3641B632A916}"/>
    <cellStyle name="Percent.0" xfId="36842" xr:uid="{F84CCD49-774D-4365-BA62-63284D7AF646}"/>
    <cellStyle name="Percent.00" xfId="36843" xr:uid="{25F5BE6F-6593-4F2B-ABBF-DFE986F88D9E}"/>
    <cellStyle name="Percent0" xfId="36844" xr:uid="{171F0210-63F5-4EA9-AFCE-5623BD248DAC}"/>
    <cellStyle name="Percentage" xfId="36845" xr:uid="{CB52FC5E-422A-4680-A9A8-629F24C30241}"/>
    <cellStyle name="Percentage 2" xfId="36846" xr:uid="{D87A535E-0C0E-4075-9BDB-4F3B08222ED4}"/>
    <cellStyle name="Percentuale 2" xfId="36847" xr:uid="{4E2D70BC-0830-4E46-AFD1-2043CD6C9DEB}"/>
    <cellStyle name="Percentuale 2 2" xfId="36848" xr:uid="{6AE63821-8B6B-482F-ABEA-786F6BB7FEB2}"/>
    <cellStyle name="Period" xfId="36849" xr:uid="{D93FE6C3-841E-407C-A094-E33284382105}"/>
    <cellStyle name="Period +" xfId="36850" xr:uid="{49FB4252-6A57-4A28-987D-941EBF8CE0B8}"/>
    <cellStyle name="Price" xfId="36851" xr:uid="{DE3D29E8-1C0F-45E5-816F-091B9A104F4E}"/>
    <cellStyle name="Problem Formula" xfId="36852" xr:uid="{1F68127A-6E9F-4B96-9BFB-C354353F0643}"/>
    <cellStyle name="ProductClass" xfId="36853" xr:uid="{DEE36A3A-1134-406D-B401-34BC76F7C24F}"/>
    <cellStyle name="ProductType" xfId="36854" xr:uid="{256C8148-00CF-4C2F-87BE-2CC48DCF17D0}"/>
    <cellStyle name="ProgramArea_RP" xfId="36855" xr:uid="{126ACEAA-B1C7-4C65-B04B-622C06BF53AE}"/>
    <cellStyle name="Publication_style" xfId="36856" xr:uid="{FB90874F-498A-4F03-85F4-914C29E4BB10}"/>
    <cellStyle name="QvB" xfId="36857" xr:uid="{45B7D516-E212-4E8C-80AA-355330298233}"/>
    <cellStyle name="RebateValue" xfId="36858" xr:uid="{1958BDD0-3504-4227-9A38-AD029576D010}"/>
    <cellStyle name="Refdb standard" xfId="257" xr:uid="{C234BDD6-3CC2-469A-A530-E471672066B2}"/>
    <cellStyle name="Refdb standard 2" xfId="36859" xr:uid="{A2A3C48E-85EC-426F-A86C-7CB057738707}"/>
    <cellStyle name="ReportData" xfId="258" xr:uid="{65E1100C-68EC-47CA-A6D4-65F350231D00}"/>
    <cellStyle name="ReportElements" xfId="259" xr:uid="{A6264EC8-BB28-4740-B870-535F3C49EB35}"/>
    <cellStyle name="ReportHeader" xfId="260" xr:uid="{87CCF5D8-8093-4949-BE0D-3A75E1B7A3CF}"/>
    <cellStyle name="ReportHeader 2" xfId="36860" xr:uid="{DDAA701D-DA1C-45F0-AC86-DCFAC26ED95B}"/>
    <cellStyle name="Reports-0" xfId="36861" xr:uid="{33AD1FC8-B53F-412B-B8DB-D52ECA862FE4}"/>
    <cellStyle name="Reports-2" xfId="36862" xr:uid="{BA6BAAD0-5D46-4C64-8A3D-B9A97D7879CA}"/>
    <cellStyle name="ResellerType" xfId="36863" xr:uid="{E3980A2C-DCEF-42BC-A29E-6D6152955DA3}"/>
    <cellStyle name="RISKbigPercent" xfId="36864" xr:uid="{ADACB5EE-20BB-4538-AA98-39EB1199AF8B}"/>
    <cellStyle name="RISKbigPercent 2" xfId="36865" xr:uid="{561974AE-084A-4E4F-B844-89D78D36F805}"/>
    <cellStyle name="RISKbigPercent 2 2" xfId="36866" xr:uid="{24B23D27-0D0A-4973-B87B-834AD3FF6643}"/>
    <cellStyle name="RISKbigPercent 2 3" xfId="36867" xr:uid="{C8404F50-569D-4028-A8E4-D985C30AB6BF}"/>
    <cellStyle name="RISKbigPercent 2 4" xfId="36868" xr:uid="{65380D77-090E-4C9D-865A-1EA0D3B4340E}"/>
    <cellStyle name="RISKbigPercent 2 5" xfId="36869" xr:uid="{60AE3A3C-2413-4444-80B6-8F2AD1DAC84E}"/>
    <cellStyle name="RISKbigPercent 3" xfId="36870" xr:uid="{C61EEE69-28CA-496C-95F1-B90168F5480F}"/>
    <cellStyle name="RISKbigPercent 4" xfId="36871" xr:uid="{51080728-A54F-44DB-B9AE-A224A6560BAA}"/>
    <cellStyle name="RISKbigPercent 5" xfId="36872" xr:uid="{D5096140-B4FE-4AD9-9B1A-D1C5F565B96D}"/>
    <cellStyle name="RISKbigPercent 6" xfId="36873" xr:uid="{9E75D504-C0A7-4DE3-94A6-A724EF4223C2}"/>
    <cellStyle name="RISKbigPercent 7" xfId="36874" xr:uid="{CA45A282-C47A-4799-983F-212035ACB2A7}"/>
    <cellStyle name="RISKbigPercent 8" xfId="36875" xr:uid="{6C564D50-56B6-4376-BCC7-5A3E36F5A390}"/>
    <cellStyle name="RISKblandrEdge" xfId="36876" xr:uid="{90CECC8A-EE71-4CFA-8F70-14B026F76860}"/>
    <cellStyle name="RISKblandrEdge 2" xfId="36877" xr:uid="{4CCECA2C-8583-41E7-B29E-9846168FFA17}"/>
    <cellStyle name="RISKblandrEdge 2 2" xfId="36878" xr:uid="{6701712E-89D8-4BAE-94E5-8B7965C6DDBE}"/>
    <cellStyle name="RISKblandrEdge 2 3" xfId="36879" xr:uid="{BE54BC57-3196-48D4-B14B-202DBCB9C7E7}"/>
    <cellStyle name="RISKblandrEdge 2 4" xfId="36880" xr:uid="{A587F308-8FF6-43B9-B150-25C4AE263175}"/>
    <cellStyle name="RISKblandrEdge 2 5" xfId="36881" xr:uid="{9AAB6E20-ACE0-4B9E-A0BF-03C8D4C055C9}"/>
    <cellStyle name="RISKblandrEdge 3" xfId="36882" xr:uid="{0F4B82E4-2D31-40D7-9C48-013AA7D00218}"/>
    <cellStyle name="RISKblandrEdge 4" xfId="36883" xr:uid="{B20B7D1B-043A-4D56-A24D-54ABFD5252A1}"/>
    <cellStyle name="RISKblandrEdge 5" xfId="36884" xr:uid="{A938FEAA-8021-4146-A7CB-54A613876617}"/>
    <cellStyle name="RISKblandrEdge 6" xfId="36885" xr:uid="{224D3282-3A01-4E54-A943-CBCC0445D2B0}"/>
    <cellStyle name="RISKblandrEdge 7" xfId="36886" xr:uid="{7D5CD5CD-D166-45E6-BB88-4A7ECC704293}"/>
    <cellStyle name="RISKblandrEdge 8" xfId="36887" xr:uid="{EA38D133-66A0-4116-AD0A-4AD8F1E25265}"/>
    <cellStyle name="RISKblCorner" xfId="36888" xr:uid="{6332B6A0-17BE-4999-92C4-696F00691248}"/>
    <cellStyle name="RISKblCorner 2" xfId="36889" xr:uid="{DED75DB2-2BD3-4729-A225-B742D93FA786}"/>
    <cellStyle name="RISKblCorner 2 2" xfId="36890" xr:uid="{F45C4B64-E62B-49ED-B482-212D77352C3B}"/>
    <cellStyle name="RISKblCorner 2 3" xfId="36891" xr:uid="{E406F16F-C55D-4A71-A944-0693E9E50F51}"/>
    <cellStyle name="RISKblCorner 2 4" xfId="36892" xr:uid="{A3465496-0A97-4869-B48B-706D3B3164FE}"/>
    <cellStyle name="RISKblCorner 2 5" xfId="36893" xr:uid="{F3B4E14E-8840-4357-8AC6-313D4FA20528}"/>
    <cellStyle name="RISKblCorner 3" xfId="36894" xr:uid="{83F706E8-A5F6-497F-94A4-90C90EE185F5}"/>
    <cellStyle name="RISKblCorner 4" xfId="36895" xr:uid="{4C6C318A-8E1F-4D8A-B19A-A487ADD57040}"/>
    <cellStyle name="RISKblCorner 5" xfId="36896" xr:uid="{AE450241-6C33-4029-A09F-86B9DB34F846}"/>
    <cellStyle name="RISKblCorner 6" xfId="36897" xr:uid="{641912E1-423D-49CD-AFFC-72DC1D77A82E}"/>
    <cellStyle name="RISKblCorner 7" xfId="36898" xr:uid="{3847A45F-0744-408C-84CD-53EA4AE67CF5}"/>
    <cellStyle name="RISKblCorner 8" xfId="36899" xr:uid="{7CB0BD59-8888-48E8-AB18-EEE06CD99BDD}"/>
    <cellStyle name="RISKbottomEdge" xfId="36900" xr:uid="{268FE06D-6DA6-467D-B59C-ACEB337B2912}"/>
    <cellStyle name="RISKbottomEdge 2" xfId="36901" xr:uid="{13593547-47A0-4C86-A2E3-75FCFBFFF3CD}"/>
    <cellStyle name="RISKbottomEdge 2 2" xfId="36902" xr:uid="{5D7AC8EE-927D-4C6B-A5F9-A44D9A9C91D8}"/>
    <cellStyle name="RISKbottomEdge 2 3" xfId="36903" xr:uid="{4B628C1A-54FC-4E4B-8882-51919BF71E27}"/>
    <cellStyle name="RISKbottomEdge 2 4" xfId="36904" xr:uid="{9CA70848-74C6-401A-BB49-E5519B85465D}"/>
    <cellStyle name="RISKbottomEdge 2 5" xfId="36905" xr:uid="{BCCFD993-6E58-4256-A037-FAEB6CB6D89E}"/>
    <cellStyle name="RISKbottomEdge 3" xfId="36906" xr:uid="{5FA5E7B4-206B-4351-AF75-3C5EB3831287}"/>
    <cellStyle name="RISKbottomEdge 4" xfId="36907" xr:uid="{D7142FE8-DF63-4054-8526-305BDD7314C6}"/>
    <cellStyle name="RISKbottomEdge 5" xfId="36908" xr:uid="{78DF24F9-F6BC-4FB9-9716-CF1127AD914F}"/>
    <cellStyle name="RISKbottomEdge 6" xfId="36909" xr:uid="{FEA920ED-E62C-4170-BF39-D6E70A8D3BF4}"/>
    <cellStyle name="RISKbottomEdge 7" xfId="36910" xr:uid="{3013A84F-04E2-4BEB-8F6C-8A845E1DADEC}"/>
    <cellStyle name="RISKbottomEdge 8" xfId="36911" xr:uid="{4580E641-7E05-4525-8418-8F258C8ACB69}"/>
    <cellStyle name="RISKbrCorner" xfId="36912" xr:uid="{DFF20582-BAEA-4FC3-92E1-A0D4A269AC28}"/>
    <cellStyle name="RISKbrCorner 2" xfId="36913" xr:uid="{B8DDBC84-0355-433C-8A21-9D2D8F0390F3}"/>
    <cellStyle name="RISKbrCorner 2 2" xfId="36914" xr:uid="{0B8F8F4E-25D8-446E-8988-48A85C55CA9D}"/>
    <cellStyle name="RISKbrCorner 2 3" xfId="36915" xr:uid="{3397931A-BFEE-41E1-8B35-253F539C31BB}"/>
    <cellStyle name="RISKbrCorner 2 4" xfId="36916" xr:uid="{95669CB6-438A-4ABB-9ACC-FC9F49A17381}"/>
    <cellStyle name="RISKbrCorner 2 5" xfId="36917" xr:uid="{966F0FA5-9980-4654-8FBD-B0F94B4C4C96}"/>
    <cellStyle name="RISKbrCorner 3" xfId="36918" xr:uid="{E9906F82-4053-4016-9CC7-C6EAEB1F86F9}"/>
    <cellStyle name="RISKbrCorner 4" xfId="36919" xr:uid="{24D960BE-A290-46E0-A0C1-E01F9CDD91E1}"/>
    <cellStyle name="RISKbrCorner 5" xfId="36920" xr:uid="{6F1C9313-041E-4D29-BD51-EA2C9EED0924}"/>
    <cellStyle name="RISKbrCorner 6" xfId="36921" xr:uid="{A1043780-A62C-417F-B60E-594DC73F8983}"/>
    <cellStyle name="RISKbrCorner 7" xfId="36922" xr:uid="{B3F2F6E0-F108-4E15-A1BF-6FFEA35DAE2E}"/>
    <cellStyle name="RISKbrCorner 8" xfId="36923" xr:uid="{11831D9D-B5D6-4C40-89A3-87AEFE93410B}"/>
    <cellStyle name="RISKdarkBoxed" xfId="36924" xr:uid="{786C83AF-0341-482B-BF8F-249F053CE3FA}"/>
    <cellStyle name="RISKdarkBoxed 2" xfId="36925" xr:uid="{EE012CB1-B905-486C-AB71-4B2389320E11}"/>
    <cellStyle name="RISKdarkBoxed 2 2" xfId="36926" xr:uid="{4F893C97-C170-4027-923A-096D937215B3}"/>
    <cellStyle name="RISKdarkBoxed 2 3" xfId="36927" xr:uid="{411DBC14-6FE5-4491-BB35-91A429164BC9}"/>
    <cellStyle name="RISKdarkBoxed 2 4" xfId="36928" xr:uid="{B99F7907-595A-4827-A859-8B5C52BCA5A2}"/>
    <cellStyle name="RISKdarkBoxed 2 5" xfId="36929" xr:uid="{7D21599E-E80F-4BFE-A9A0-EDDF2116F3DC}"/>
    <cellStyle name="RISKdarkBoxed 3" xfId="36930" xr:uid="{98ADF364-6B47-4815-A2E8-FD70392DC969}"/>
    <cellStyle name="RISKdarkBoxed 4" xfId="36931" xr:uid="{0B8B02AE-0C51-47B1-B112-2DE02D57E88E}"/>
    <cellStyle name="RISKdarkBoxed 5" xfId="36932" xr:uid="{25E1C8A1-9071-4DD9-978B-90BC4834DB23}"/>
    <cellStyle name="RISKdarkBoxed 6" xfId="36933" xr:uid="{B6673722-F2F0-424A-BC55-B3A345B1A0D8}"/>
    <cellStyle name="RISKdarkBoxed 7" xfId="36934" xr:uid="{B768E48C-EC56-49E7-91E9-C6F8586BBCFF}"/>
    <cellStyle name="RISKdarkBoxed 8" xfId="36935" xr:uid="{6B7EB77F-3BBF-4358-9564-2A2EFCB4B2D2}"/>
    <cellStyle name="RISKdarkShade" xfId="36936" xr:uid="{5A939393-3D61-4E93-A432-97875DBC876F}"/>
    <cellStyle name="RISKdarkShade 2" xfId="36937" xr:uid="{84119E03-0279-4227-992C-F5FB15ED746D}"/>
    <cellStyle name="RISKdarkShade 2 2" xfId="36938" xr:uid="{EDE5E0BB-E794-4E75-941C-E0A156DBCB59}"/>
    <cellStyle name="RISKdarkShade 2 3" xfId="36939" xr:uid="{5E7C4326-5319-4AF5-A988-B4B2E00EE3BD}"/>
    <cellStyle name="RISKdarkShade 2 4" xfId="36940" xr:uid="{68F5BC96-B858-4F9D-9F4B-250353048D5C}"/>
    <cellStyle name="RISKdarkShade 2 5" xfId="36941" xr:uid="{D2747844-7664-4C23-A654-3DBAB347D502}"/>
    <cellStyle name="RISKdarkShade 3" xfId="36942" xr:uid="{EAB0E80B-9AD0-4B79-93C0-214A49BDD2E8}"/>
    <cellStyle name="RISKdarkShade 4" xfId="36943" xr:uid="{FD36B51A-3BBE-4410-B6E7-FBEB45DB3680}"/>
    <cellStyle name="RISKdarkShade 5" xfId="36944" xr:uid="{A8D8CD32-0001-4C07-9BCE-87FD56DB5A3D}"/>
    <cellStyle name="RISKdarkShade 6" xfId="36945" xr:uid="{E3E89D4E-0083-4E14-B109-FCFEFE258502}"/>
    <cellStyle name="RISKdarkShade 7" xfId="36946" xr:uid="{18612D36-6CD5-47CC-8C40-A5E09D3BCA28}"/>
    <cellStyle name="RISKdarkShade 8" xfId="36947" xr:uid="{10FADFD1-AE80-4A41-BAF4-1F8CA17D7733}"/>
    <cellStyle name="RISKdbottomEdge" xfId="36948" xr:uid="{D2FE6A5F-D9C9-4522-B2E5-07CB2580CE84}"/>
    <cellStyle name="RISKdbottomEdge 2" xfId="36949" xr:uid="{C2BABA74-2E79-4339-8C4C-64DCB09EAB78}"/>
    <cellStyle name="RISKdbottomEdge 2 2" xfId="36950" xr:uid="{444B6530-331B-4067-90ED-4325BBBBA547}"/>
    <cellStyle name="RISKdbottomEdge 2 3" xfId="36951" xr:uid="{6165F640-28DD-43B8-A7D4-674BDCC4F71E}"/>
    <cellStyle name="RISKdbottomEdge 2 4" xfId="36952" xr:uid="{5945E3EE-43E6-4F36-B9D8-472FAA3253B3}"/>
    <cellStyle name="RISKdbottomEdge 2 5" xfId="36953" xr:uid="{7AD2B68A-97A0-4D99-92F7-4082F207CDE8}"/>
    <cellStyle name="RISKdbottomEdge 3" xfId="36954" xr:uid="{D59729C2-1AED-4F25-BA9F-3CE6624C17D1}"/>
    <cellStyle name="RISKdbottomEdge 4" xfId="36955" xr:uid="{5400E9FD-E1CA-4B90-B26F-B53D8D6E0C2F}"/>
    <cellStyle name="RISKdbottomEdge 5" xfId="36956" xr:uid="{DD535105-3338-4047-9A24-3171F7B28C25}"/>
    <cellStyle name="RISKdbottomEdge 6" xfId="36957" xr:uid="{853DFF8A-9955-4840-A9B5-736E190F90C2}"/>
    <cellStyle name="RISKdbottomEdge 7" xfId="36958" xr:uid="{8CA5B842-7C44-4E44-A097-F7BF975B5ED8}"/>
    <cellStyle name="RISKdbottomEdge 8" xfId="36959" xr:uid="{0204D403-122F-4731-B97F-0E70EDFAF982}"/>
    <cellStyle name="RISKdrightEdge" xfId="36960" xr:uid="{E21D102B-9304-4715-8591-DC4B5D7E1606}"/>
    <cellStyle name="RISKdrightEdge 2" xfId="36961" xr:uid="{5426649B-C570-4732-8256-D2E95FF4F7AD}"/>
    <cellStyle name="RISKdrightEdge 2 2" xfId="36962" xr:uid="{74C42C07-8084-4E69-AE31-BADC2E33770F}"/>
    <cellStyle name="RISKdrightEdge 2 3" xfId="36963" xr:uid="{C3590944-3C68-4CEA-BA0E-147FDFE41DB1}"/>
    <cellStyle name="RISKdrightEdge 2 4" xfId="36964" xr:uid="{ABA3B2F1-E320-4921-8754-C3334A84AC7F}"/>
    <cellStyle name="RISKdrightEdge 2 5" xfId="36965" xr:uid="{0D6F63BC-967F-49F1-967E-92AA6CA14E3A}"/>
    <cellStyle name="RISKdrightEdge 3" xfId="36966" xr:uid="{C01D2BA0-8616-4E88-A4E2-2FA8670BEA59}"/>
    <cellStyle name="RISKdrightEdge 4" xfId="36967" xr:uid="{20282387-FBE0-4D70-82A3-B72E032BD1CA}"/>
    <cellStyle name="RISKdrightEdge 5" xfId="36968" xr:uid="{553E9554-D357-4C2B-A39A-C737092CC1A9}"/>
    <cellStyle name="RISKdrightEdge 6" xfId="36969" xr:uid="{11215DC8-35B2-4BD4-9F7E-843934293BF1}"/>
    <cellStyle name="RISKdrightEdge 7" xfId="36970" xr:uid="{DFD34FC8-D78B-470F-B548-D2263052E7E9}"/>
    <cellStyle name="RISKdrightEdge 8" xfId="36971" xr:uid="{491A7036-D34D-488D-893E-32C06591C578}"/>
    <cellStyle name="RISKdurationTime" xfId="36972" xr:uid="{A99870B5-3551-4714-A154-6DD95DCF2555}"/>
    <cellStyle name="RISKdurationTime 2" xfId="36973" xr:uid="{FC2F3FD4-D952-4830-8301-0262C6D777FF}"/>
    <cellStyle name="RISKdurationTime 2 2" xfId="36974" xr:uid="{D7588718-A795-41D9-8693-656244713BC9}"/>
    <cellStyle name="RISKdurationTime 2 3" xfId="36975" xr:uid="{3A2124D9-5AAD-47C1-8471-62FC9DC822AE}"/>
    <cellStyle name="RISKdurationTime 2 4" xfId="36976" xr:uid="{A4B5901B-DCEB-4805-A4A3-87149499A78E}"/>
    <cellStyle name="RISKdurationTime 2 5" xfId="36977" xr:uid="{D76FEE56-4E19-4AC7-953C-19B61E64004A}"/>
    <cellStyle name="RISKdurationTime 3" xfId="36978" xr:uid="{E37D4720-5FBB-4663-AA57-7C211DB05BE4}"/>
    <cellStyle name="RISKdurationTime 4" xfId="36979" xr:uid="{FFD8D618-D15D-4CE7-94E2-200728C77BF3}"/>
    <cellStyle name="RISKdurationTime 5" xfId="36980" xr:uid="{B8690252-FF83-429A-8E23-F9F8CC493C18}"/>
    <cellStyle name="RISKdurationTime 6" xfId="36981" xr:uid="{81595362-3953-4B22-9FB5-9A7DEB25EE06}"/>
    <cellStyle name="RISKdurationTime 7" xfId="36982" xr:uid="{144308F6-6783-45CE-BE0D-9FC1D26AD634}"/>
    <cellStyle name="RISKdurationTime 8" xfId="36983" xr:uid="{B609DB04-E90E-411C-A36C-D2330FCA207E}"/>
    <cellStyle name="RISKinNumber" xfId="36984" xr:uid="{D8CC7725-246B-4A1F-B97D-220B102B6C5A}"/>
    <cellStyle name="RISKlandrEdge" xfId="36985" xr:uid="{5F8A59DE-C43E-4271-BF7C-D3E85455E7AD}"/>
    <cellStyle name="RISKlandrEdge 2" xfId="36986" xr:uid="{8079A91D-FE7A-4479-A259-32149BA8A06E}"/>
    <cellStyle name="RISKlandrEdge 2 2" xfId="36987" xr:uid="{39E9BD41-F42C-48A3-8C82-20450E9B9BE6}"/>
    <cellStyle name="RISKlandrEdge 2 3" xfId="36988" xr:uid="{CE7EEFEA-0FD7-4085-B392-82BC29A48F35}"/>
    <cellStyle name="RISKlandrEdge 2 4" xfId="36989" xr:uid="{5EE2DCB9-5BAE-475E-97CC-C14578BD935F}"/>
    <cellStyle name="RISKlandrEdge 2 5" xfId="36990" xr:uid="{D8F77AA7-04DD-47F4-9E6B-9E12EA81F8A1}"/>
    <cellStyle name="RISKlandrEdge 3" xfId="36991" xr:uid="{155DEBD7-638E-44A6-8CDE-2A5170E176ED}"/>
    <cellStyle name="RISKlandrEdge 4" xfId="36992" xr:uid="{12A3F979-26EA-4282-AC9E-0893DFC9D0E6}"/>
    <cellStyle name="RISKlandrEdge 5" xfId="36993" xr:uid="{EE17BC4B-BED6-4C40-AA72-10963192A9BF}"/>
    <cellStyle name="RISKlandrEdge 6" xfId="36994" xr:uid="{8B551DC3-BF8B-4A49-8708-6DC6018F7790}"/>
    <cellStyle name="RISKlandrEdge 7" xfId="36995" xr:uid="{371F9618-D4BF-4AD7-94BD-B0327CC407DB}"/>
    <cellStyle name="RISKlandrEdge 8" xfId="36996" xr:uid="{DD314D06-C06B-41EC-AD6D-67FA837595C1}"/>
    <cellStyle name="RISKleftEdge" xfId="36997" xr:uid="{E6EFC24A-6A2F-48BC-B7C7-012A3A8ED514}"/>
    <cellStyle name="RISKleftEdge 2" xfId="36998" xr:uid="{B425D809-25AB-4954-A5E4-E15C436E3954}"/>
    <cellStyle name="RISKleftEdge 2 2" xfId="36999" xr:uid="{172CBE38-A762-4DD6-8EE0-BD32F2377A19}"/>
    <cellStyle name="RISKleftEdge 2 3" xfId="37000" xr:uid="{3BC7A7AE-372F-4936-91D6-F27F47FAB19A}"/>
    <cellStyle name="RISKleftEdge 2 4" xfId="37001" xr:uid="{467995AB-8804-4276-AAD4-1E41A1797BC2}"/>
    <cellStyle name="RISKleftEdge 2 5" xfId="37002" xr:uid="{989AD3D5-7C72-43E3-9259-27B5F8BAE765}"/>
    <cellStyle name="RISKleftEdge 3" xfId="37003" xr:uid="{93D03964-9A69-4C29-8ADD-77617CABD438}"/>
    <cellStyle name="RISKleftEdge 4" xfId="37004" xr:uid="{D4F10195-C029-41C2-9D16-B1F7DC1108E7}"/>
    <cellStyle name="RISKleftEdge 5" xfId="37005" xr:uid="{22A764CB-18B5-4B78-83EB-C3D91DC6FB55}"/>
    <cellStyle name="RISKleftEdge 6" xfId="37006" xr:uid="{5335E91F-2F9E-461B-8B35-F83618110364}"/>
    <cellStyle name="RISKleftEdge 7" xfId="37007" xr:uid="{A3560869-6ABB-4CAE-A2A8-A34630870DA4}"/>
    <cellStyle name="RISKleftEdge 8" xfId="37008" xr:uid="{75048DDB-B0C9-4961-9814-FFB5E53DD95C}"/>
    <cellStyle name="RISKlightBoxed" xfId="37009" xr:uid="{2172EBE4-78C3-4A5E-A70C-0ABFF48D00AA}"/>
    <cellStyle name="RISKlightBoxed 2" xfId="37010" xr:uid="{7C3710E9-D8E2-474E-B1A6-0198A9BB7810}"/>
    <cellStyle name="RISKlightBoxed 2 2" xfId="37011" xr:uid="{2C4959FF-C39C-416D-9F40-50150E29271C}"/>
    <cellStyle name="RISKlightBoxed 2 3" xfId="37012" xr:uid="{EFE9F75F-CEC2-49EF-B833-D641D0FF2298}"/>
    <cellStyle name="RISKlightBoxed 2 4" xfId="37013" xr:uid="{FC6960E0-06F4-4387-827A-03391B3062F9}"/>
    <cellStyle name="RISKlightBoxed 2 5" xfId="37014" xr:uid="{18A128DF-689A-4ED0-9FA8-BC26549BEA91}"/>
    <cellStyle name="RISKlightBoxed 3" xfId="37015" xr:uid="{26B05E8B-610A-42DD-B508-4F486E5D74E5}"/>
    <cellStyle name="RISKlightBoxed 4" xfId="37016" xr:uid="{3945498E-9916-4ABC-832E-03B68D337161}"/>
    <cellStyle name="RISKlightBoxed 5" xfId="37017" xr:uid="{1FB087A4-10E3-4C27-9541-7EFE6F984DA7}"/>
    <cellStyle name="RISKlightBoxed 6" xfId="37018" xr:uid="{C41B93F8-5CB9-44AC-975C-377B41B95A41}"/>
    <cellStyle name="RISKlightBoxed 7" xfId="37019" xr:uid="{86A618BE-E5AA-45DB-B4CA-78F2A0EE9B20}"/>
    <cellStyle name="RISKlightBoxed 8" xfId="37020" xr:uid="{0436BD01-C47C-4FEC-BDFC-EA4C0EE7A254}"/>
    <cellStyle name="RISKltandbEdge" xfId="37021" xr:uid="{B29589C0-F523-41DE-AFDC-4627D75A406C}"/>
    <cellStyle name="RISKltandbEdge 2" xfId="37022" xr:uid="{F54780A3-56D4-40AB-9DED-6DABAC683F44}"/>
    <cellStyle name="RISKltandbEdge 2 2" xfId="37023" xr:uid="{0F21168D-C309-4682-99AE-8BE8FC9B3096}"/>
    <cellStyle name="RISKltandbEdge 2 3" xfId="37024" xr:uid="{6F2566F0-5AC9-4349-B067-D70AFDCA2000}"/>
    <cellStyle name="RISKltandbEdge 2 4" xfId="37025" xr:uid="{3E296857-158D-4800-B1FA-F3AAFD2E22E7}"/>
    <cellStyle name="RISKltandbEdge 2 5" xfId="37026" xr:uid="{582E1108-C1FA-45F4-92DA-FF26722EB1C5}"/>
    <cellStyle name="RISKltandbEdge 3" xfId="37027" xr:uid="{212E857D-B6D8-4F34-B5A3-B9B2F6E92265}"/>
    <cellStyle name="RISKltandbEdge 4" xfId="37028" xr:uid="{F6C64316-CC67-4B16-A507-BBD9EE41EFB4}"/>
    <cellStyle name="RISKltandbEdge 5" xfId="37029" xr:uid="{BEA3B12D-84C5-43C0-BA54-1FBDE0D52C3B}"/>
    <cellStyle name="RISKltandbEdge 6" xfId="37030" xr:uid="{8FDFF5F6-F52D-422C-95F3-4A1CC51EDFFD}"/>
    <cellStyle name="RISKltandbEdge 7" xfId="37031" xr:uid="{5C640631-F560-4EEF-B728-C1C3CFFEB1D4}"/>
    <cellStyle name="RISKltandbEdge 8" xfId="37032" xr:uid="{ED9BB2C2-E249-4820-805B-2193F2521075}"/>
    <cellStyle name="RISKnormBoxed" xfId="37033" xr:uid="{B6F0164C-3A8F-4697-9F46-681504BED9DB}"/>
    <cellStyle name="RISKnormBoxed 2" xfId="37034" xr:uid="{99BBAC05-5A57-4B9B-8F07-B2DDF96CD7B8}"/>
    <cellStyle name="RISKnormBoxed 2 2" xfId="37035" xr:uid="{D20B191E-97E0-4658-81CB-4B61020521E2}"/>
    <cellStyle name="RISKnormBoxed 2 3" xfId="37036" xr:uid="{0CD2FFCA-D406-4CAD-9FFE-CCC96B640749}"/>
    <cellStyle name="RISKnormBoxed 2 4" xfId="37037" xr:uid="{F9E7F8A0-BED7-447F-B0A7-F577CECEB10D}"/>
    <cellStyle name="RISKnormBoxed 2 5" xfId="37038" xr:uid="{0F30F36D-5891-41E5-A645-687D606587D1}"/>
    <cellStyle name="RISKnormBoxed 3" xfId="37039" xr:uid="{C7871741-7CE8-4AEF-9044-E027370FDEC0}"/>
    <cellStyle name="RISKnormBoxed 4" xfId="37040" xr:uid="{70E82A57-34C8-4513-99D0-FE4BAA3D1ACF}"/>
    <cellStyle name="RISKnormBoxed 5" xfId="37041" xr:uid="{F121DA6B-DC88-4485-8307-0F08638F3BDF}"/>
    <cellStyle name="RISKnormBoxed 6" xfId="37042" xr:uid="{B3207264-48E9-47AE-A51C-96526616A5C7}"/>
    <cellStyle name="RISKnormBoxed 7" xfId="37043" xr:uid="{A4171520-B4A5-482F-AF82-062CCB267963}"/>
    <cellStyle name="RISKnormBoxed 8" xfId="37044" xr:uid="{4B8097F1-2941-4D85-9BA3-8AF447F0AD5E}"/>
    <cellStyle name="RISKnormCenter" xfId="37045" xr:uid="{7DFA5C8B-A43E-41AA-8246-DD0C8BDEEFF1}"/>
    <cellStyle name="RISKnormCenter 2" xfId="37046" xr:uid="{ABDF609F-4947-4A44-B62D-D64F64A66B23}"/>
    <cellStyle name="RISKnormCenter 2 2" xfId="37047" xr:uid="{B715BD85-8BB3-49BA-A274-9DA2A0C08924}"/>
    <cellStyle name="RISKnormCenter 2 3" xfId="37048" xr:uid="{363FA974-634F-4BD8-8081-E70BA207D54B}"/>
    <cellStyle name="RISKnormCenter 2 4" xfId="37049" xr:uid="{79A124C3-E300-4E6D-AA44-E2AA90F24A0D}"/>
    <cellStyle name="RISKnormCenter 2 5" xfId="37050" xr:uid="{786FFD13-6F13-44FC-AC87-352FB2EFA7F1}"/>
    <cellStyle name="RISKnormCenter 3" xfId="37051" xr:uid="{AB299C17-CE1A-4BD3-A43E-2B475DD57E55}"/>
    <cellStyle name="RISKnormCenter 4" xfId="37052" xr:uid="{A75B52B2-F932-428A-A4EC-AF1B883B055A}"/>
    <cellStyle name="RISKnormCenter 5" xfId="37053" xr:uid="{4BBF4FB0-4A6D-42D1-BFC3-763DE403FCC5}"/>
    <cellStyle name="RISKnormCenter 6" xfId="37054" xr:uid="{D06494A1-F690-4B8E-8A5D-A3E1A543A8E3}"/>
    <cellStyle name="RISKnormCenter 7" xfId="37055" xr:uid="{5F6DABEE-9A65-4733-880F-3813C8966519}"/>
    <cellStyle name="RISKnormCenter 8" xfId="37056" xr:uid="{1A9EED9D-B1C0-44FA-9E68-8200BFCFFE72}"/>
    <cellStyle name="RISKnormHeading" xfId="37057" xr:uid="{90FAE203-8571-4F5F-A2FA-3BF8EE88A9A6}"/>
    <cellStyle name="RISKnormHeading 2" xfId="37058" xr:uid="{6DA99CEE-7D9C-42A4-B829-94415A9C1F7F}"/>
    <cellStyle name="RISKnormHeading 2 2" xfId="37059" xr:uid="{5C4A3C67-D51D-4F9D-9A31-951E328706B8}"/>
    <cellStyle name="RISKnormHeading 2 3" xfId="37060" xr:uid="{E4E0F43B-BCCA-43C6-93ED-DE4AAEF22FF4}"/>
    <cellStyle name="RISKnormHeading 2 4" xfId="37061" xr:uid="{92FEA723-537A-4357-B67E-38D363FAFD84}"/>
    <cellStyle name="RISKnormHeading 2 5" xfId="37062" xr:uid="{59ACA9E8-97D7-4454-BFAA-7CD1A8834EEA}"/>
    <cellStyle name="RISKnormHeading 3" xfId="37063" xr:uid="{94852813-CA37-47B9-8EAD-8E7A6A3546F2}"/>
    <cellStyle name="RISKnormHeading 4" xfId="37064" xr:uid="{53874FF0-1219-46C4-B7B0-627BC3CE730C}"/>
    <cellStyle name="RISKnormHeading 5" xfId="37065" xr:uid="{04BAE63D-01CB-4ABD-B219-7459A55E7379}"/>
    <cellStyle name="RISKnormHeading 6" xfId="37066" xr:uid="{72B1916A-42AF-472F-BEE1-7F7C27C0CB5E}"/>
    <cellStyle name="RISKnormHeading 7" xfId="37067" xr:uid="{10DEE8C3-626E-4101-9870-4AB88B2CE81E}"/>
    <cellStyle name="RISKnormHeading 8" xfId="37068" xr:uid="{232353EF-D073-409A-BA07-68C2A789421F}"/>
    <cellStyle name="RISKnormItal" xfId="37069" xr:uid="{4043F24C-BCC0-4C1D-9C7E-1638C6D963D1}"/>
    <cellStyle name="RISKnormItal 2" xfId="37070" xr:uid="{3FE680E3-D89D-4039-A6A8-563231AE7EB6}"/>
    <cellStyle name="RISKnormItal 2 2" xfId="37071" xr:uid="{0D79D83D-7E7E-47A8-AA4B-4F16788C8E89}"/>
    <cellStyle name="RISKnormItal 2 3" xfId="37072" xr:uid="{395077AA-3E33-4908-8BB0-095581361149}"/>
    <cellStyle name="RISKnormItal 2 4" xfId="37073" xr:uid="{65626E3B-AF48-4A6B-ADCA-E41EAB30635E}"/>
    <cellStyle name="RISKnormItal 2 5" xfId="37074" xr:uid="{99D428CE-1692-4C17-BC9B-F9002016D942}"/>
    <cellStyle name="RISKnormItal 3" xfId="37075" xr:uid="{153BE759-943B-4C68-A3BD-853D2E8C2E5D}"/>
    <cellStyle name="RISKnormItal 4" xfId="37076" xr:uid="{8E198CA7-BFA2-4605-B2E6-67BAD50BA358}"/>
    <cellStyle name="RISKnormItal 5" xfId="37077" xr:uid="{DC2BB5AA-0874-46E2-B2EA-D4357DF96800}"/>
    <cellStyle name="RISKnormItal 6" xfId="37078" xr:uid="{92482C10-4A28-4F04-B03B-0D58A0EFEF7A}"/>
    <cellStyle name="RISKnormItal 7" xfId="37079" xr:uid="{B2A7F869-EF9B-49DA-ADA3-BADCCA567726}"/>
    <cellStyle name="RISKnormItal 8" xfId="37080" xr:uid="{1643F8A4-BB11-415F-808D-EEF9EF93256C}"/>
    <cellStyle name="RISKnormLabel" xfId="37081" xr:uid="{73DA831B-3AD1-4E40-94F3-9EB8464B88E0}"/>
    <cellStyle name="RISKnormShade" xfId="37082" xr:uid="{3C3CC335-7EB5-49A6-9FC5-7D091DBE0098}"/>
    <cellStyle name="RISKnormShade 2" xfId="37083" xr:uid="{59E6814C-BB7F-47A7-83E8-450A361656BD}"/>
    <cellStyle name="RISKnormShade 2 2" xfId="37084" xr:uid="{80594B95-B33F-4FC1-A17D-293A81E575A0}"/>
    <cellStyle name="RISKnormShade 2 3" xfId="37085" xr:uid="{3ABEC73A-488F-42C8-AE1A-634EAF62A6BB}"/>
    <cellStyle name="RISKnormShade 2 4" xfId="37086" xr:uid="{14CA6ABE-337D-4EB7-B511-9AF24BFD2553}"/>
    <cellStyle name="RISKnormShade 2 5" xfId="37087" xr:uid="{06B33FD0-6F1D-43E2-85AF-2605DE2FD956}"/>
    <cellStyle name="RISKnormShade 3" xfId="37088" xr:uid="{BA2F3B74-8C5A-4250-BECA-06F68C9BAC1E}"/>
    <cellStyle name="RISKnormShade 4" xfId="37089" xr:uid="{48A757F5-DC42-4D7A-BF56-416CD7703BFB}"/>
    <cellStyle name="RISKnormShade 5" xfId="37090" xr:uid="{AEA772B5-25D9-4698-AB22-E364A0712AAC}"/>
    <cellStyle name="RISKnormShade 6" xfId="37091" xr:uid="{BB9E26C3-98AE-4EE7-A2EE-313D4B6EEACF}"/>
    <cellStyle name="RISKnormShade 7" xfId="37092" xr:uid="{8F299930-B5AA-4EBE-822D-24C329A27609}"/>
    <cellStyle name="RISKnormShade 8" xfId="37093" xr:uid="{B282D0A7-E880-4A48-B143-C69B7A767EFE}"/>
    <cellStyle name="RISKnormTitle" xfId="37094" xr:uid="{CE6EC13A-0DC5-4F77-92C2-DAEA99E88C29}"/>
    <cellStyle name="RISKnormTitle 2" xfId="37095" xr:uid="{380284D1-516D-4B0A-8291-CAD046B2B75C}"/>
    <cellStyle name="RISKnormTitle 2 2" xfId="37096" xr:uid="{FFACDBB6-DAC9-4FF7-A6A4-2FD1782CA4EA}"/>
    <cellStyle name="RISKnormTitle 2 3" xfId="37097" xr:uid="{27730FA3-BEE9-4293-A535-2D80702ADE62}"/>
    <cellStyle name="RISKnormTitle 2 4" xfId="37098" xr:uid="{012582A8-875C-46C4-82AA-8B48CFDC6AFA}"/>
    <cellStyle name="RISKnormTitle 2 5" xfId="37099" xr:uid="{F5B14814-B394-40B9-AE54-02E6E8A409D9}"/>
    <cellStyle name="RISKnormTitle 3" xfId="37100" xr:uid="{1ECAF423-07B0-4497-BE9D-FA1EE7C4AA1D}"/>
    <cellStyle name="RISKnormTitle 4" xfId="37101" xr:uid="{0A27B3AC-0866-4E6B-8259-C260FEB1F104}"/>
    <cellStyle name="RISKnormTitle 5" xfId="37102" xr:uid="{B62F8903-B70C-406D-9985-F924C6B99DA6}"/>
    <cellStyle name="RISKnormTitle 6" xfId="37103" xr:uid="{7832511C-098B-4C81-8747-6050D045BCE6}"/>
    <cellStyle name="RISKnormTitle 7" xfId="37104" xr:uid="{285A7FD3-1436-43BF-963E-B24B2CCF25FC}"/>
    <cellStyle name="RISKnormTitle 8" xfId="37105" xr:uid="{5051C2B2-744B-4205-9208-E84E7F2E10BC}"/>
    <cellStyle name="RISKoutNumber" xfId="37106" xr:uid="{598F087B-5145-4864-8170-21DCF36E9BC5}"/>
    <cellStyle name="RISKoutNumber 2" xfId="37107" xr:uid="{D788DE3C-EC99-430A-9C4B-8C258C7320E3}"/>
    <cellStyle name="RISKoutNumber 2 2" xfId="37108" xr:uid="{3EB1343E-DBB6-4DCE-AB95-33B6EEC27AC7}"/>
    <cellStyle name="RISKoutNumber 2 3" xfId="37109" xr:uid="{363F667E-5B51-4C56-A5AC-49C684B7BC78}"/>
    <cellStyle name="RISKoutNumber 2 4" xfId="37110" xr:uid="{5214D7D3-F6B6-4991-BF3C-AB47C7CC452F}"/>
    <cellStyle name="RISKoutNumber 2 5" xfId="37111" xr:uid="{900AEC2C-FDDC-493F-8D54-81B0A6145EC8}"/>
    <cellStyle name="RISKoutNumber 3" xfId="37112" xr:uid="{EC103EA2-41CF-4A5F-9750-CD6111E2BB6E}"/>
    <cellStyle name="RISKoutNumber 4" xfId="37113" xr:uid="{84689B56-703D-4B1D-A96A-69FE64EA440D}"/>
    <cellStyle name="RISKoutNumber 5" xfId="37114" xr:uid="{6E7DCC1F-C876-4120-834C-2D03FBADB06A}"/>
    <cellStyle name="RISKoutNumber 6" xfId="37115" xr:uid="{B2E16B2A-86D4-40B7-99E2-CDE0701F14DA}"/>
    <cellStyle name="RISKoutNumber 7" xfId="37116" xr:uid="{9F32A474-295A-4AAD-A688-5818DF50A74F}"/>
    <cellStyle name="RISKoutNumber 8" xfId="37117" xr:uid="{C9ADF59E-3A0F-49EA-BE04-F66580A0C662}"/>
    <cellStyle name="RISKrightEdge" xfId="37118" xr:uid="{94468877-C305-4CEE-BC0E-5D80995F4A0E}"/>
    <cellStyle name="RISKrightEdge 2" xfId="37119" xr:uid="{8BDE1793-E151-4B2C-AE65-6EBF3EA9EA84}"/>
    <cellStyle name="RISKrightEdge 2 2" xfId="37120" xr:uid="{5838B042-8D62-45B1-BEDC-53DB83EF03B3}"/>
    <cellStyle name="RISKrightEdge 2 3" xfId="37121" xr:uid="{0EDF21A3-8E8A-4FCD-877C-8D37D2204D33}"/>
    <cellStyle name="RISKrightEdge 2 4" xfId="37122" xr:uid="{3908F283-0453-4B28-A368-03E99584336C}"/>
    <cellStyle name="RISKrightEdge 2 5" xfId="37123" xr:uid="{70F5B1E0-D597-4A89-B786-A7D1F4467A40}"/>
    <cellStyle name="RISKrightEdge 3" xfId="37124" xr:uid="{9A4E6F1B-7CE1-4BC1-8BEA-10219347F4CE}"/>
    <cellStyle name="RISKrightEdge 4" xfId="37125" xr:uid="{23432345-B0A3-44FF-84D1-B2EFE198E8E9}"/>
    <cellStyle name="RISKrightEdge 5" xfId="37126" xr:uid="{8BEEA123-9D12-40C9-A5CF-99A35B721F59}"/>
    <cellStyle name="RISKrightEdge 6" xfId="37127" xr:uid="{58B0766D-B887-4435-B0AC-7B591E275DA2}"/>
    <cellStyle name="RISKrightEdge 7" xfId="37128" xr:uid="{310DD555-36D5-46EF-ADC9-535FF740BF0E}"/>
    <cellStyle name="RISKrightEdge 8" xfId="37129" xr:uid="{4C38AF54-09EB-41D8-8752-328FF1E83C7D}"/>
    <cellStyle name="RISKrtandbEdge" xfId="37130" xr:uid="{88544F79-1A01-447F-B631-F206AB023C0A}"/>
    <cellStyle name="RISKrtandbEdge 2" xfId="37131" xr:uid="{3A543B7A-AD49-4A48-BB7B-81C8C080A95F}"/>
    <cellStyle name="RISKrtandbEdge 2 2" xfId="37132" xr:uid="{BF545D4D-3D9B-4670-A305-2B4F86F363F3}"/>
    <cellStyle name="RISKrtandbEdge 2 3" xfId="37133" xr:uid="{EC961248-E52D-4ADF-BE1D-1F2F050664D3}"/>
    <cellStyle name="RISKrtandbEdge 2 4" xfId="37134" xr:uid="{89330144-88B8-4FF8-976B-B525D0B7119B}"/>
    <cellStyle name="RISKrtandbEdge 2 5" xfId="37135" xr:uid="{5107C161-9DB2-4E1F-B987-0E08350F9B49}"/>
    <cellStyle name="RISKrtandbEdge 3" xfId="37136" xr:uid="{BF23F9C9-CA55-4241-A91F-135FB4BFA15D}"/>
    <cellStyle name="RISKrtandbEdge 4" xfId="37137" xr:uid="{B53171D6-8668-4950-85BE-6D3A701E31B6}"/>
    <cellStyle name="RISKrtandbEdge 5" xfId="37138" xr:uid="{5857A7F5-33D0-424B-94A9-66BDCC0C198E}"/>
    <cellStyle name="RISKrtandbEdge 6" xfId="37139" xr:uid="{DFE8E2E7-E8A3-44F2-B6CE-7145C76DE17B}"/>
    <cellStyle name="RISKrtandbEdge 7" xfId="37140" xr:uid="{E9176AC6-DCF2-4310-BEAA-887241690062}"/>
    <cellStyle name="RISKrtandbEdge 8" xfId="37141" xr:uid="{814F03DE-0729-4436-8DFF-12DAFF4049E7}"/>
    <cellStyle name="RISKssTime" xfId="37142" xr:uid="{8389A295-C704-4E69-90C2-CC29A77985E5}"/>
    <cellStyle name="RISKssTime 2" xfId="37143" xr:uid="{DC244323-57D2-4086-BA6D-E744790BEFE8}"/>
    <cellStyle name="RISKssTime 2 2" xfId="37144" xr:uid="{2EDAEF8D-DC72-445C-B4CC-620693C46970}"/>
    <cellStyle name="RISKssTime 2 3" xfId="37145" xr:uid="{AA08AC9B-B59C-47CE-9BF2-747619D03CC8}"/>
    <cellStyle name="RISKssTime 2 4" xfId="37146" xr:uid="{FB13C6A6-8B51-4C30-A0F3-47805AA88121}"/>
    <cellStyle name="RISKssTime 2 5" xfId="37147" xr:uid="{D908598D-A6A7-4BFB-8DE8-EF7792ED99B6}"/>
    <cellStyle name="RISKssTime 3" xfId="37148" xr:uid="{7353269F-4F2B-4B83-A567-34506C0E75CF}"/>
    <cellStyle name="RISKssTime 4" xfId="37149" xr:uid="{863ECC30-3E4C-4AA5-95E4-4D5755A6E9A0}"/>
    <cellStyle name="RISKssTime 5" xfId="37150" xr:uid="{AB2F7B2B-505A-4723-BD0F-B50201D0DA76}"/>
    <cellStyle name="RISKssTime 6" xfId="37151" xr:uid="{69D2F6B5-0C6F-479E-90C3-B5C386E448A8}"/>
    <cellStyle name="RISKssTime 7" xfId="37152" xr:uid="{E8FB544E-211E-4C7E-A4B9-12FEBEAB41C8}"/>
    <cellStyle name="RISKssTime 8" xfId="37153" xr:uid="{79463A2C-76F5-41D9-9B83-1481F091B222}"/>
    <cellStyle name="RISKtandbEdge" xfId="37154" xr:uid="{03D5BAB8-1F4D-493E-8169-89DAA17696FC}"/>
    <cellStyle name="RISKtandbEdge 2" xfId="37155" xr:uid="{9E0F9061-A863-4A1C-ABC8-C819C8B086CA}"/>
    <cellStyle name="RISKtandbEdge 2 2" xfId="37156" xr:uid="{2086C4F8-9C57-48E2-9DA1-AC45540BD828}"/>
    <cellStyle name="RISKtandbEdge 2 3" xfId="37157" xr:uid="{47F41F66-5101-4D48-9BA0-F312556E18D7}"/>
    <cellStyle name="RISKtandbEdge 2 4" xfId="37158" xr:uid="{63927895-E2A6-4B27-B4AE-E96CC9A67151}"/>
    <cellStyle name="RISKtandbEdge 2 5" xfId="37159" xr:uid="{A2341820-112F-4E09-9C4A-C2119373E8F8}"/>
    <cellStyle name="RISKtandbEdge 3" xfId="37160" xr:uid="{33A133AB-DA69-4F1B-9F2F-D6227323404C}"/>
    <cellStyle name="RISKtandbEdge 4" xfId="37161" xr:uid="{930F3B98-20B2-43F6-B17E-E7DEAECC49B0}"/>
    <cellStyle name="RISKtandbEdge 5" xfId="37162" xr:uid="{9F9DA565-4DB5-447E-A50A-517F9EE34FB3}"/>
    <cellStyle name="RISKtandbEdge 6" xfId="37163" xr:uid="{72DBC162-B7F0-497D-93E1-28139A4D4CA4}"/>
    <cellStyle name="RISKtandbEdge 7" xfId="37164" xr:uid="{FF597970-850E-4DF0-BCAF-468271701ED2}"/>
    <cellStyle name="RISKtandbEdge 8" xfId="37165" xr:uid="{F3CB527F-BF99-454D-90F1-E57EF93D8C40}"/>
    <cellStyle name="RISKtlandrEdge" xfId="37166" xr:uid="{0092C14E-389D-4545-891C-5C1A6263C040}"/>
    <cellStyle name="RISKtlandrEdge 2" xfId="37167" xr:uid="{E9E9A18E-B406-48C6-A70C-887038ADE664}"/>
    <cellStyle name="RISKtlandrEdge 2 2" xfId="37168" xr:uid="{3384735D-C6E4-4E46-8317-DC0C82DA6FC8}"/>
    <cellStyle name="RISKtlandrEdge 2 3" xfId="37169" xr:uid="{46D2EF34-7730-4F82-9CE4-D49470B4ADE2}"/>
    <cellStyle name="RISKtlandrEdge 2 4" xfId="37170" xr:uid="{3288BEA1-857D-48BB-87A9-175DB2CCF8E7}"/>
    <cellStyle name="RISKtlandrEdge 2 5" xfId="37171" xr:uid="{A4ED06C5-F233-47EB-A2C4-83A9D47D401E}"/>
    <cellStyle name="RISKtlandrEdge 3" xfId="37172" xr:uid="{26BB66C1-1254-4133-9911-4141C599E6B8}"/>
    <cellStyle name="RISKtlandrEdge 4" xfId="37173" xr:uid="{0143AD9C-E6E5-486D-B3E4-5BCAD3F77824}"/>
    <cellStyle name="RISKtlandrEdge 5" xfId="37174" xr:uid="{D36B8B27-A777-4852-84AD-F36687C39C47}"/>
    <cellStyle name="RISKtlandrEdge 6" xfId="37175" xr:uid="{48333C95-8245-454F-873D-7DB4A76406DA}"/>
    <cellStyle name="RISKtlandrEdge 7" xfId="37176" xr:uid="{62C039BA-FF5B-4816-9E80-DF7500A51076}"/>
    <cellStyle name="RISKtlandrEdge 8" xfId="37177" xr:uid="{9FBE51D8-F0F7-407A-AE3D-83EF5B9203BF}"/>
    <cellStyle name="RISKtlCorner" xfId="37178" xr:uid="{CD12049D-7D29-4132-9CBD-B73E86A25D71}"/>
    <cellStyle name="RISKtlCorner 2" xfId="37179" xr:uid="{4228B0FD-BC2A-4DD0-8EDF-2AEED78D9D0F}"/>
    <cellStyle name="RISKtlCorner 2 2" xfId="37180" xr:uid="{DE60357A-C94C-4687-83E0-D1B7406F97B0}"/>
    <cellStyle name="RISKtlCorner 2 3" xfId="37181" xr:uid="{A34CE70F-3A31-48DD-BB8F-5E5D09233176}"/>
    <cellStyle name="RISKtlCorner 2 4" xfId="37182" xr:uid="{36C3AA4E-87C3-4F2A-8A67-6B4A346D06A7}"/>
    <cellStyle name="RISKtlCorner 2 5" xfId="37183" xr:uid="{B305BB27-8436-45DB-B274-5D52B6CFF8BE}"/>
    <cellStyle name="RISKtlCorner 3" xfId="37184" xr:uid="{226D4D42-5531-462A-B2AB-EA02864B7D46}"/>
    <cellStyle name="RISKtlCorner 4" xfId="37185" xr:uid="{C83095D3-BBBA-4C67-988B-AEE68A76547B}"/>
    <cellStyle name="RISKtlCorner 5" xfId="37186" xr:uid="{108F5F28-6AD0-4A84-AA0A-50ACEC65AA33}"/>
    <cellStyle name="RISKtlCorner 6" xfId="37187" xr:uid="{F9C8292D-48DB-445D-B6E2-7E493F39C49E}"/>
    <cellStyle name="RISKtlCorner 7" xfId="37188" xr:uid="{3BB597AA-8020-415D-AF9E-093919D5B3AC}"/>
    <cellStyle name="RISKtlCorner 8" xfId="37189" xr:uid="{C2824361-EEE1-4AAA-8740-75B8E2345781}"/>
    <cellStyle name="RISKtopEdge" xfId="37190" xr:uid="{F16D50FF-1CFA-42D6-849F-088700697F24}"/>
    <cellStyle name="RISKtopEdge 2" xfId="37191" xr:uid="{DC64AB27-6B4B-46A0-8833-19119E007A2C}"/>
    <cellStyle name="RISKtopEdge 2 2" xfId="37192" xr:uid="{4C1B329D-0DD3-45CA-8D46-C0A2350C186C}"/>
    <cellStyle name="RISKtopEdge 2 3" xfId="37193" xr:uid="{86AFE460-CAB4-450F-A421-B7D79FC16318}"/>
    <cellStyle name="RISKtopEdge 2 4" xfId="37194" xr:uid="{33803108-B152-486D-8837-8A8190D811A8}"/>
    <cellStyle name="RISKtopEdge 2 5" xfId="37195" xr:uid="{4D5C04C8-67ED-4466-B372-E0CEB3E5B8F6}"/>
    <cellStyle name="RISKtopEdge 3" xfId="37196" xr:uid="{3F6AD230-72F1-446B-927C-3C347AECD376}"/>
    <cellStyle name="RISKtopEdge 4" xfId="37197" xr:uid="{007A1729-D89D-4F37-9B45-16E9FE72F5C4}"/>
    <cellStyle name="RISKtopEdge 5" xfId="37198" xr:uid="{31EC6390-7EDA-4483-A5E9-BBF83A77DAEC}"/>
    <cellStyle name="RISKtopEdge 6" xfId="37199" xr:uid="{A2EA39B0-5729-4052-9780-175E267F0C94}"/>
    <cellStyle name="RISKtopEdge 7" xfId="37200" xr:uid="{1580135F-CA97-4B9B-B3D2-981CC518DDBF}"/>
    <cellStyle name="RISKtopEdge 8" xfId="37201" xr:uid="{D0A1A7E0-3CBF-4C6F-A789-0E7044296AAA}"/>
    <cellStyle name="RISKtrCorner" xfId="37202" xr:uid="{EE450C60-EBA7-44FD-ACBC-FD86043FFD21}"/>
    <cellStyle name="RISKtrCorner 2" xfId="37203" xr:uid="{00655A86-EE80-4463-88B9-5C3BD6DCB24E}"/>
    <cellStyle name="RISKtrCorner 2 2" xfId="37204" xr:uid="{E6E66E4F-29BB-4161-ACC4-A905B8E8E0A7}"/>
    <cellStyle name="RISKtrCorner 2 3" xfId="37205" xr:uid="{EBE4F665-EFF3-444A-94EE-FD4FF254967E}"/>
    <cellStyle name="RISKtrCorner 2 4" xfId="37206" xr:uid="{E7B01C54-20CC-4B83-BDD5-0A9DD48B578F}"/>
    <cellStyle name="RISKtrCorner 2 5" xfId="37207" xr:uid="{1B7A91A9-5951-4004-A34D-FA5A43997F81}"/>
    <cellStyle name="RISKtrCorner 3" xfId="37208" xr:uid="{330091F4-486A-4EFF-A2A9-051C94CD9CED}"/>
    <cellStyle name="RISKtrCorner 4" xfId="37209" xr:uid="{D050D9B2-122B-4920-BEAE-79998D1E3B08}"/>
    <cellStyle name="RISKtrCorner 5" xfId="37210" xr:uid="{952C5722-8ECB-4FBC-9875-83CCCEAB5D50}"/>
    <cellStyle name="RISKtrCorner 6" xfId="37211" xr:uid="{B184A457-C424-44CA-BF49-3E9019783A09}"/>
    <cellStyle name="RISKtrCorner 7" xfId="37212" xr:uid="{43E0BD8E-9740-456C-8F31-DEC2D7CB8ACD}"/>
    <cellStyle name="RISKtrCorner 8" xfId="37213" xr:uid="{1C50AD76-9A75-4848-9640-107CE0E11E39}"/>
    <cellStyle name="rngLCDatePaste" xfId="37214" xr:uid="{FD022FAB-B039-458D-86AA-687B5213D4AF}"/>
    <cellStyle name="Row_CategoryHeadings" xfId="37215" xr:uid="{F22664B6-F881-425A-A923-C6F6001580E9}"/>
    <cellStyle name="Sample" xfId="37216" xr:uid="{B63CFD4A-E2B7-47DA-9206-4C3D862FA935}"/>
    <cellStyle name="SAPBEXaggData" xfId="261" xr:uid="{3BCF8BE0-9A1D-4E5E-8E0A-333DE8938879}"/>
    <cellStyle name="SAPBEXaggData 2" xfId="37217" xr:uid="{A9413855-2B24-40C1-BAC5-ECCF3765659C}"/>
    <cellStyle name="SAPBEXaggDataEmph" xfId="262" xr:uid="{5181366D-AD8E-450F-B793-25D140CD00BD}"/>
    <cellStyle name="SAPBEXaggDataEmph 2" xfId="37218" xr:uid="{6147B318-7C10-401C-AB61-3E665DCFF2A3}"/>
    <cellStyle name="SAPBEXaggItem" xfId="263" xr:uid="{BF2CC480-E14E-4323-B05A-87C8907346E0}"/>
    <cellStyle name="SAPBEXaggItem 2" xfId="37219" xr:uid="{1066083B-BAC8-4A4A-8C21-8E3AD12A0F83}"/>
    <cellStyle name="SAPBEXaggItemX" xfId="264" xr:uid="{64B4090E-718B-4E28-BA60-D876BFB773C9}"/>
    <cellStyle name="SAPBEXaggItemX 2" xfId="37220" xr:uid="{0E52360C-3875-4219-BF83-5A18E9B7FA6B}"/>
    <cellStyle name="SAPBEXchaText" xfId="265" xr:uid="{4A65F106-F7C3-4131-ABCF-33BC5C356C38}"/>
    <cellStyle name="SAPBEXchaText 2" xfId="37221" xr:uid="{EC5FB354-A7B5-4868-B4A3-EFB056F091C0}"/>
    <cellStyle name="SAPBEXchaText 2 2" xfId="37222" xr:uid="{D2C61D4A-016A-4747-B227-1BAB96D2837B}"/>
    <cellStyle name="SAPBEXchaText 2 3" xfId="37223" xr:uid="{09A044FE-FDB7-4D0F-81C4-97C3ED8BDE49}"/>
    <cellStyle name="SAPBEXchaText 2 4" xfId="37224" xr:uid="{A6F97F5B-1CDF-4C75-9F89-C4AEB16B08AD}"/>
    <cellStyle name="SAPBEXchaText 2 5" xfId="37225" xr:uid="{7D618019-3259-4296-BAFC-5768D33438BB}"/>
    <cellStyle name="SAPBEXchaText 3" xfId="37226" xr:uid="{D7AE2B48-2977-4816-A9FD-26F54A71E0E3}"/>
    <cellStyle name="SAPBEXchaText 4" xfId="37227" xr:uid="{9559E971-CC2B-4A20-BD47-13D6711F6310}"/>
    <cellStyle name="SAPBEXchaText 5" xfId="37228" xr:uid="{9797CADC-07DB-4B2A-BCCD-22E04768C386}"/>
    <cellStyle name="SAPBEXchaText 6" xfId="37229" xr:uid="{E7032574-04B8-4D25-8CE5-44CB49A6C175}"/>
    <cellStyle name="SAPBEXchaText 7" xfId="37230" xr:uid="{25FE5105-AAB8-43E5-8ED3-840327C6C3F3}"/>
    <cellStyle name="SAPBEXchaText 8" xfId="37231" xr:uid="{CF1298AC-3084-4C0C-B0C9-993F24E54033}"/>
    <cellStyle name="SAPBEXchaText 9" xfId="37232" xr:uid="{608574CB-3BD6-4DC1-B26C-47155432B294}"/>
    <cellStyle name="SAPBEXexcBad7" xfId="266" xr:uid="{CD601EDB-6EDD-4056-BA99-9D2628CE3B53}"/>
    <cellStyle name="SAPBEXexcBad7 2" xfId="37233" xr:uid="{2CFBD64D-DADA-43D4-AEE3-8377B0D1338F}"/>
    <cellStyle name="SAPBEXexcBad8" xfId="267" xr:uid="{9A1B0BBD-3844-438A-A111-BB8712A17748}"/>
    <cellStyle name="SAPBEXexcBad8 2" xfId="37234" xr:uid="{E2ED6981-7C25-4A1B-9079-C35480ED27A2}"/>
    <cellStyle name="SAPBEXexcBad9" xfId="268" xr:uid="{88EFAB94-7FFA-4954-9640-7429FC956D41}"/>
    <cellStyle name="SAPBEXexcBad9 2" xfId="37235" xr:uid="{EF539134-A510-4C60-AA23-140B5AA8FF09}"/>
    <cellStyle name="SAPBEXexcCritical4" xfId="269" xr:uid="{D6E3091D-DA7D-4B95-966E-90BA2A6686A3}"/>
    <cellStyle name="SAPBEXexcCritical4 2" xfId="37236" xr:uid="{46924F05-09BF-452C-A4D3-D0B2576E6A94}"/>
    <cellStyle name="SAPBEXexcCritical5" xfId="270" xr:uid="{E7DFF155-13A1-47AE-8032-3635173AAF80}"/>
    <cellStyle name="SAPBEXexcCritical5 2" xfId="37237" xr:uid="{BBF0EA5E-CF2B-4F73-AE1F-AB61683FD8B2}"/>
    <cellStyle name="SAPBEXexcCritical6" xfId="271" xr:uid="{79DE16D5-877E-482A-8241-13D9847AB4ED}"/>
    <cellStyle name="SAPBEXexcCritical6 2" xfId="37238" xr:uid="{2BABCD5C-D5B4-4F88-93C8-DEC9AC793089}"/>
    <cellStyle name="SAPBEXexcGood1" xfId="272" xr:uid="{F1A38A00-62FA-42AA-A6EF-18CE6719ABF2}"/>
    <cellStyle name="SAPBEXexcGood1 2" xfId="37239" xr:uid="{14F77E88-40F6-4A0B-9529-35941269AF2D}"/>
    <cellStyle name="SAPBEXexcGood2" xfId="273" xr:uid="{6A8CACF8-DB5A-4145-BA16-8606299B5CEC}"/>
    <cellStyle name="SAPBEXexcGood2 2" xfId="37240" xr:uid="{CD072ED0-988C-4B00-8211-098D3EC9591C}"/>
    <cellStyle name="SAPBEXexcGood3" xfId="274" xr:uid="{8BCC2399-11FE-4EBC-ACAA-9DA87431FF4D}"/>
    <cellStyle name="SAPBEXexcGood3 2" xfId="37241" xr:uid="{B3A96A46-F227-434B-B040-F7ACBCBF5423}"/>
    <cellStyle name="SAPBEXfilterDrill" xfId="275" xr:uid="{23204370-CAAD-4F09-94A8-F71785A15D04}"/>
    <cellStyle name="SAPBEXfilterDrill 2" xfId="37242" xr:uid="{F1112C2D-88C0-4BD3-A5B7-846B6F345092}"/>
    <cellStyle name="SAPBEXfilterDrill 3" xfId="37243" xr:uid="{61CFC120-5048-48C5-B81C-36B73367F260}"/>
    <cellStyle name="SAPBEXfilterDrill 4" xfId="37244" xr:uid="{5B82627C-5055-427D-A859-CD944EEDA361}"/>
    <cellStyle name="SAPBEXfilterDrill 5" xfId="37245" xr:uid="{D28C4637-741E-4ED6-9B96-0CFB333BFA82}"/>
    <cellStyle name="SAPBEXfilterDrill 6" xfId="37246" xr:uid="{772FE886-8086-4B70-B7E6-9AAED5E9F215}"/>
    <cellStyle name="SAPBEXfilterDrill 7" xfId="37247" xr:uid="{B6BF94B3-DD19-44CA-A5D8-CD11F72492FE}"/>
    <cellStyle name="SAPBEXfilterItem" xfId="276" xr:uid="{39AF6393-AB4A-4F32-A420-376392D49B42}"/>
    <cellStyle name="SAPBEXfilterText" xfId="277" xr:uid="{868C3FCF-A905-4161-9D91-CDC9DE381EC4}"/>
    <cellStyle name="SAPBEXfilterText 2" xfId="37248" xr:uid="{1B664A52-D8C2-48F2-92EA-54E0F1E0A6EC}"/>
    <cellStyle name="SAPBEXfilterText 3" xfId="37249" xr:uid="{6CE3D476-D6E7-4C34-8A62-0030E319489C}"/>
    <cellStyle name="SAPBEXfilterText 4" xfId="37250" xr:uid="{EAD8A4FB-6377-473D-A668-901F7A0F2C8F}"/>
    <cellStyle name="SAPBEXfilterText 5" xfId="37251" xr:uid="{AC18A784-386D-406C-889C-874FCE0FEA03}"/>
    <cellStyle name="SAPBEXfilterText 6" xfId="37252" xr:uid="{1E00F8E5-D859-4D9E-B246-C75439D5EA06}"/>
    <cellStyle name="SAPBEXformats" xfId="278" xr:uid="{A7493ABC-E54A-49F4-BFD4-FD62F6615FC9}"/>
    <cellStyle name="SAPBEXformats 2" xfId="37253" xr:uid="{9BDB4884-631A-4328-B186-2753E142A5A6}"/>
    <cellStyle name="SAPBEXformats 2 2" xfId="37254" xr:uid="{78286C7B-F246-41BD-8BF7-C6EA1BEFCB93}"/>
    <cellStyle name="SAPBEXformats 2 3" xfId="37255" xr:uid="{21A6E97C-46A4-4329-9BFB-C41BDEEEBA3E}"/>
    <cellStyle name="SAPBEXformats 2 4" xfId="37256" xr:uid="{E70A0FA6-EE6B-4026-84D3-6CB1064AAEB2}"/>
    <cellStyle name="SAPBEXformats 2 5" xfId="37257" xr:uid="{3785E552-3C88-4514-BCD8-084F95158C37}"/>
    <cellStyle name="SAPBEXformats 3" xfId="37258" xr:uid="{13E46987-16CA-4EC7-B263-73411DD8D92E}"/>
    <cellStyle name="SAPBEXformats 4" xfId="37259" xr:uid="{007AB1CB-4107-4439-94ED-5E56BFB13527}"/>
    <cellStyle name="SAPBEXformats 5" xfId="37260" xr:uid="{4920FEEE-EB83-40E0-A03E-BC95F2B11395}"/>
    <cellStyle name="SAPBEXformats 6" xfId="37261" xr:uid="{FAB61FCD-F096-4829-81D7-9E88EC37753A}"/>
    <cellStyle name="SAPBEXformats 7" xfId="37262" xr:uid="{2EA46FD8-7360-4140-A251-0E554C1461DF}"/>
    <cellStyle name="SAPBEXformats 8" xfId="37263" xr:uid="{674E2555-F6B6-4ECB-9B06-B3B21BBE7B03}"/>
    <cellStyle name="SAPBEXformats 9" xfId="37264" xr:uid="{EAB55DD4-D515-48AB-82A9-55825717C7BE}"/>
    <cellStyle name="SAPBEXheaderItem" xfId="279" xr:uid="{59BFFD00-541C-4FC4-BF8E-4822408ADF8E}"/>
    <cellStyle name="SAPBEXheaderItem 2" xfId="37265" xr:uid="{275DA6EF-ACE1-45C4-A1B3-E163B654F58B}"/>
    <cellStyle name="SAPBEXheaderItem 3" xfId="37266" xr:uid="{573592D5-B465-4BB3-A82D-CC6C047BA6E1}"/>
    <cellStyle name="SAPBEXheaderItem 4" xfId="37267" xr:uid="{FE2AE6CA-EF68-4EEC-A5FD-BABE5A4DB59E}"/>
    <cellStyle name="SAPBEXheaderItem 5" xfId="37268" xr:uid="{DC09A90C-D112-4DCD-AD1E-7821A020EE16}"/>
    <cellStyle name="SAPBEXheaderItem 6" xfId="37269" xr:uid="{11C05C48-D22D-4C4D-9C96-0ABDFB1FF1CC}"/>
    <cellStyle name="SAPBEXheaderItem 7" xfId="37270" xr:uid="{DE26001E-7DC3-4FC0-A985-4FB9C8436569}"/>
    <cellStyle name="SAPBEXheaderText" xfId="280" xr:uid="{18FD17FA-BB5D-4047-AE58-1B56C77D838D}"/>
    <cellStyle name="SAPBEXheaderText 2" xfId="37271" xr:uid="{21C11377-D6D0-48E0-A992-5185B6C4153D}"/>
    <cellStyle name="SAPBEXheaderText 3" xfId="37272" xr:uid="{C9D0A3CF-647F-475C-BD4F-94E50F6D9206}"/>
    <cellStyle name="SAPBEXheaderText 4" xfId="37273" xr:uid="{D7EFFCB2-8148-49C8-8340-212866BEE41C}"/>
    <cellStyle name="SAPBEXheaderText 5" xfId="37274" xr:uid="{26F0A78D-BA64-40A8-AB2E-D76CB882CE38}"/>
    <cellStyle name="SAPBEXheaderText 6" xfId="37275" xr:uid="{63C26292-211B-4412-8253-5CA4D645F46F}"/>
    <cellStyle name="SAPBEXheaderText 7" xfId="37276" xr:uid="{114B297C-705C-493C-8425-3AE51A23E608}"/>
    <cellStyle name="SAPBEXHLevel0" xfId="281" xr:uid="{2FD3C894-5723-49F0-871E-F68675165D6F}"/>
    <cellStyle name="SAPBEXHLevel0 2" xfId="37277" xr:uid="{33F9907E-DE16-4F57-8A8F-45C531514407}"/>
    <cellStyle name="SAPBEXHLevel0 2 2" xfId="37278" xr:uid="{B034A34C-A99A-4EF3-AF46-58FB03623C23}"/>
    <cellStyle name="SAPBEXHLevel0 2 3" xfId="37279" xr:uid="{E2732BFA-2EA2-4B9D-94F3-19481752A341}"/>
    <cellStyle name="SAPBEXHLevel0 2 4" xfId="37280" xr:uid="{CCA9C116-E9CC-4BFF-B52C-D652F643BA4F}"/>
    <cellStyle name="SAPBEXHLevel0 2 5" xfId="37281" xr:uid="{2BBAB7B9-9189-4A71-939C-6D424412CE49}"/>
    <cellStyle name="SAPBEXHLevel0 3" xfId="37282" xr:uid="{A0B7A589-E274-44B5-A78E-C7950D6FADDC}"/>
    <cellStyle name="SAPBEXHLevel0 4" xfId="37283" xr:uid="{7A12964E-43CC-4EF3-A7D0-FE36D40F481A}"/>
    <cellStyle name="SAPBEXHLevel0 5" xfId="37284" xr:uid="{B3D21F0B-7E98-4D6A-9CA5-D2CE2DEBF497}"/>
    <cellStyle name="SAPBEXHLevel0 6" xfId="37285" xr:uid="{347B345E-06D4-455F-99FE-0A9A72E7B7D7}"/>
    <cellStyle name="SAPBEXHLevel0 7" xfId="37286" xr:uid="{0A53E30C-49F2-419F-B11A-EEA450D4144D}"/>
    <cellStyle name="SAPBEXHLevel0 8" xfId="37287" xr:uid="{827FCAED-AD0A-4349-82E6-5E31704F73F2}"/>
    <cellStyle name="SAPBEXHLevel0 9" xfId="37288" xr:uid="{136F238F-549D-423F-97A7-475051501519}"/>
    <cellStyle name="SAPBEXHLevel0X" xfId="282" xr:uid="{18CE26F8-A0E1-4DFF-984B-3D7D5DE9799F}"/>
    <cellStyle name="SAPBEXHLevel0X 2" xfId="37289" xr:uid="{CD37B036-0E12-4E5A-8153-C0C952CA3B3B}"/>
    <cellStyle name="SAPBEXHLevel0X 2 2" xfId="37290" xr:uid="{0C9D1BF3-BB01-4969-BA87-1911EB1FB614}"/>
    <cellStyle name="SAPBEXHLevel0X 2 3" xfId="37291" xr:uid="{F3649A63-8DCA-48E1-9CEA-866BFECBBF05}"/>
    <cellStyle name="SAPBEXHLevel0X 2 4" xfId="37292" xr:uid="{0245F99C-4D2F-4195-9DC1-3D7903CC7714}"/>
    <cellStyle name="SAPBEXHLevel0X 2 5" xfId="37293" xr:uid="{AF4E6225-B8F4-43DE-8FD3-9C5C68277D45}"/>
    <cellStyle name="SAPBEXHLevel0X 3" xfId="37294" xr:uid="{08321B5C-6DF1-4EE4-AEB3-3E0A418B64A4}"/>
    <cellStyle name="SAPBEXHLevel0X 4" xfId="37295" xr:uid="{FE3766CF-B82A-4AEF-AC03-D191F2C071F1}"/>
    <cellStyle name="SAPBEXHLevel0X 5" xfId="37296" xr:uid="{447E54F1-8134-4251-B5E5-7C987695AF98}"/>
    <cellStyle name="SAPBEXHLevel0X 6" xfId="37297" xr:uid="{3E9D1448-69DC-42F4-A8E3-47694C9B67A2}"/>
    <cellStyle name="SAPBEXHLevel0X 7" xfId="37298" xr:uid="{1E04DD37-E0E5-4CFC-975F-50B409650580}"/>
    <cellStyle name="SAPBEXHLevel0X 8" xfId="37299" xr:uid="{62D78FCC-337D-4D42-905C-9816BAABF539}"/>
    <cellStyle name="SAPBEXHLevel0X 9" xfId="37300" xr:uid="{B1E5A1DC-05E0-4178-955B-A3BD07B59E8C}"/>
    <cellStyle name="SAPBEXHLevel1" xfId="283" xr:uid="{E8F43442-05CF-4836-8D78-865305CB3D66}"/>
    <cellStyle name="SAPBEXHLevel1 2" xfId="37301" xr:uid="{6F0F7E56-0892-4007-B962-CF7AEEEC2A9E}"/>
    <cellStyle name="SAPBEXHLevel1 2 2" xfId="37302" xr:uid="{EFF35E76-15EE-4A3D-A572-F8F0A336FB6D}"/>
    <cellStyle name="SAPBEXHLevel1 2 3" xfId="37303" xr:uid="{3EDA6E50-0F3C-45A5-9C60-745A330696C8}"/>
    <cellStyle name="SAPBEXHLevel1 2 4" xfId="37304" xr:uid="{8D360AEC-8D7B-4B12-B9FF-CD9524CB7FC0}"/>
    <cellStyle name="SAPBEXHLevel1 2 5" xfId="37305" xr:uid="{FE192926-6656-49EB-8775-1B614CD425A2}"/>
    <cellStyle name="SAPBEXHLevel1 3" xfId="37306" xr:uid="{86375663-75D4-4F04-8627-EDD0765317BF}"/>
    <cellStyle name="SAPBEXHLevel1 4" xfId="37307" xr:uid="{B6449884-D3D8-4A51-B1D0-874734960333}"/>
    <cellStyle name="SAPBEXHLevel1 5" xfId="37308" xr:uid="{91C0C0EF-6DD1-46A4-A334-1792D97FC0DE}"/>
    <cellStyle name="SAPBEXHLevel1 6" xfId="37309" xr:uid="{7E936C52-A09E-41D9-A249-2C8862685FAA}"/>
    <cellStyle name="SAPBEXHLevel1 7" xfId="37310" xr:uid="{EE62CC55-41D6-4A46-8215-C7BB4D8A8D25}"/>
    <cellStyle name="SAPBEXHLevel1 8" xfId="37311" xr:uid="{66D796C7-C014-4CB3-8171-62A9C9F56D6D}"/>
    <cellStyle name="SAPBEXHLevel1 9" xfId="37312" xr:uid="{9A25880E-FE4E-4FDF-8B90-82DB95541480}"/>
    <cellStyle name="SAPBEXHLevel1X" xfId="284" xr:uid="{8054E602-E76B-44E3-A9D3-6E5748FBD7ED}"/>
    <cellStyle name="SAPBEXHLevel1X 2" xfId="37313" xr:uid="{CEDF4D5C-DAB4-4EC0-8CC8-48553B064BF8}"/>
    <cellStyle name="SAPBEXHLevel1X 2 2" xfId="37314" xr:uid="{38149A9F-3035-48D1-841C-66106A6D42C4}"/>
    <cellStyle name="SAPBEXHLevel1X 2 3" xfId="37315" xr:uid="{E2C3F9E8-01CA-4F1D-9E2E-D4E00E33E241}"/>
    <cellStyle name="SAPBEXHLevel1X 2 4" xfId="37316" xr:uid="{7D484BA7-205E-4C1A-9D9F-4A5A17A652F0}"/>
    <cellStyle name="SAPBEXHLevel1X 2 5" xfId="37317" xr:uid="{66568EDD-9E76-4FE9-B575-D34249EE6CB6}"/>
    <cellStyle name="SAPBEXHLevel1X 3" xfId="37318" xr:uid="{3D5624D6-6962-48E8-B8BF-9A88AED9FB81}"/>
    <cellStyle name="SAPBEXHLevel1X 4" xfId="37319" xr:uid="{22297C1B-78B9-4188-8F87-7993A472C094}"/>
    <cellStyle name="SAPBEXHLevel1X 5" xfId="37320" xr:uid="{F885ADC4-FA5B-4FF4-BD3D-35832A51D070}"/>
    <cellStyle name="SAPBEXHLevel1X 6" xfId="37321" xr:uid="{6C0C717E-E459-4600-B718-FBFA8662334F}"/>
    <cellStyle name="SAPBEXHLevel1X 7" xfId="37322" xr:uid="{266766F7-42F0-433A-8751-C865333E8BC9}"/>
    <cellStyle name="SAPBEXHLevel1X 8" xfId="37323" xr:uid="{0D6B68AE-6D37-4E05-94D8-4F0A3575EB91}"/>
    <cellStyle name="SAPBEXHLevel1X 9" xfId="37324" xr:uid="{EC51464B-F43B-48C5-9B63-F112FC8AF309}"/>
    <cellStyle name="SAPBEXHLevel2" xfId="285" xr:uid="{707A1ECE-F088-4E70-A95D-DF1231AB1732}"/>
    <cellStyle name="SAPBEXHLevel2 2" xfId="37325" xr:uid="{0A258446-0325-49D8-BA76-BC046E0F62AB}"/>
    <cellStyle name="SAPBEXHLevel2 2 2" xfId="37326" xr:uid="{7A052425-EC85-4A86-8502-C03CDF28C798}"/>
    <cellStyle name="SAPBEXHLevel2 2 3" xfId="37327" xr:uid="{D3970A1A-88D8-4DCD-97A5-8238CC20C6FE}"/>
    <cellStyle name="SAPBEXHLevel2 2 4" xfId="37328" xr:uid="{034C9448-6E4C-4FB9-A83F-24717B04AD8B}"/>
    <cellStyle name="SAPBEXHLevel2 2 5" xfId="37329" xr:uid="{8CCE05AA-E897-4A7A-81B7-4B24F7E67045}"/>
    <cellStyle name="SAPBEXHLevel2 3" xfId="37330" xr:uid="{78B75BA1-2EA3-4823-80F7-85193B49EF5B}"/>
    <cellStyle name="SAPBEXHLevel2 4" xfId="37331" xr:uid="{7FE80230-E40B-4775-9ACF-5EBD9F64662C}"/>
    <cellStyle name="SAPBEXHLevel2 5" xfId="37332" xr:uid="{A7B32EA4-3CFD-4BF1-BE00-2D6C09089375}"/>
    <cellStyle name="SAPBEXHLevel2 6" xfId="37333" xr:uid="{26CF4FD8-C9A2-42DE-A4B9-B375C3026115}"/>
    <cellStyle name="SAPBEXHLevel2 7" xfId="37334" xr:uid="{6569E03A-D162-4150-A445-26E73FD66402}"/>
    <cellStyle name="SAPBEXHLevel2 8" xfId="37335" xr:uid="{7AF7E3E2-378C-4C98-AFCD-36856B487890}"/>
    <cellStyle name="SAPBEXHLevel2 9" xfId="37336" xr:uid="{FB0AB97B-2CDC-4E93-B013-AC8F8D0DC167}"/>
    <cellStyle name="SAPBEXHLevel2X" xfId="286" xr:uid="{3088E1D5-73BB-4F69-BDDF-4B1FF47EFD70}"/>
    <cellStyle name="SAPBEXHLevel2X 2" xfId="37337" xr:uid="{76AD25E8-A14C-433D-9EFE-9784D533E864}"/>
    <cellStyle name="SAPBEXHLevel2X 2 2" xfId="37338" xr:uid="{73153700-5CF4-4C2D-829C-CA244942DF64}"/>
    <cellStyle name="SAPBEXHLevel2X 2 3" xfId="37339" xr:uid="{41A97B32-55F4-4135-B8D3-9432CCE084E4}"/>
    <cellStyle name="SAPBEXHLevel2X 2 4" xfId="37340" xr:uid="{23FEE8E6-86FA-4331-8092-025EB226DAA5}"/>
    <cellStyle name="SAPBEXHLevel2X 2 5" xfId="37341" xr:uid="{A33A0C1D-F94B-4F19-9522-2A6040CCFA5C}"/>
    <cellStyle name="SAPBEXHLevel2X 3" xfId="37342" xr:uid="{64FE0A7F-8A61-4A42-AED5-2AA3B8FB4882}"/>
    <cellStyle name="SAPBEXHLevel2X 4" xfId="37343" xr:uid="{D6664BF2-D741-4483-98F3-BD9D8E0293B8}"/>
    <cellStyle name="SAPBEXHLevel2X 5" xfId="37344" xr:uid="{8E70FF9A-D346-4866-97E2-A0A44F8A6979}"/>
    <cellStyle name="SAPBEXHLevel2X 6" xfId="37345" xr:uid="{ABB9702E-1864-4C65-A4BC-E6C71745F289}"/>
    <cellStyle name="SAPBEXHLevel2X 7" xfId="37346" xr:uid="{F2FD29DE-FB20-476C-AB92-83FE6D65D62B}"/>
    <cellStyle name="SAPBEXHLevel2X 8" xfId="37347" xr:uid="{E8500BB8-1417-4B92-B862-922C489537C8}"/>
    <cellStyle name="SAPBEXHLevel2X 9" xfId="37348" xr:uid="{1E5CABF5-F852-4DED-9065-4FF286B5C0F5}"/>
    <cellStyle name="SAPBEXHLevel3" xfId="287" xr:uid="{898C9DBD-029F-456B-94E5-A4573D0A3327}"/>
    <cellStyle name="SAPBEXHLevel3 2" xfId="37349" xr:uid="{5DDCE2EC-6C86-49A6-A88C-6532F221E659}"/>
    <cellStyle name="SAPBEXHLevel3 2 2" xfId="37350" xr:uid="{D40B6EB8-B772-43FC-AC41-45855666588F}"/>
    <cellStyle name="SAPBEXHLevel3 2 3" xfId="37351" xr:uid="{8A5FC967-6F50-41FB-ADCA-FD74396BC484}"/>
    <cellStyle name="SAPBEXHLevel3 2 4" xfId="37352" xr:uid="{9DD2085C-97C9-4A8D-A8A1-79ADDEEB959F}"/>
    <cellStyle name="SAPBEXHLevel3 2 5" xfId="37353" xr:uid="{C0841A27-1294-4A06-9F51-6A163934B418}"/>
    <cellStyle name="SAPBEXHLevel3 3" xfId="37354" xr:uid="{46F654EB-7776-4AFC-8855-32F61DFFDF76}"/>
    <cellStyle name="SAPBEXHLevel3 4" xfId="37355" xr:uid="{37ED0FB5-E8A7-435A-A467-B3C56F9EF035}"/>
    <cellStyle name="SAPBEXHLevel3 5" xfId="37356" xr:uid="{0B12FEBC-1F56-4FF6-85C5-56E78D9E5E1F}"/>
    <cellStyle name="SAPBEXHLevel3 6" xfId="37357" xr:uid="{05E3E22B-1938-4EEF-9442-C59C5FADD139}"/>
    <cellStyle name="SAPBEXHLevel3 7" xfId="37358" xr:uid="{2F87C480-37A1-43C1-80A7-74404CC07D16}"/>
    <cellStyle name="SAPBEXHLevel3 8" xfId="37359" xr:uid="{58BBB600-D876-4369-8569-1DF45559DE79}"/>
    <cellStyle name="SAPBEXHLevel3 9" xfId="37360" xr:uid="{3D3BCAE1-B43C-4CBC-9362-97F25FCABE93}"/>
    <cellStyle name="SAPBEXHLevel3X" xfId="288" xr:uid="{06C80D4F-00EB-4671-A12D-9A3131A66C6F}"/>
    <cellStyle name="SAPBEXHLevel3X 2" xfId="37361" xr:uid="{7008624E-B206-4B91-A25C-736C0AFAF981}"/>
    <cellStyle name="SAPBEXHLevel3X 2 2" xfId="37362" xr:uid="{7B192718-1948-410F-8092-555FCC0E257E}"/>
    <cellStyle name="SAPBEXHLevel3X 2 3" xfId="37363" xr:uid="{AD1BF0B1-2F02-4FDE-98CA-4DB47359D011}"/>
    <cellStyle name="SAPBEXHLevel3X 2 4" xfId="37364" xr:uid="{1FEDBD11-D892-4072-A426-99B65D89EB85}"/>
    <cellStyle name="SAPBEXHLevel3X 2 5" xfId="37365" xr:uid="{1D4926A3-BC4B-4B44-B59B-A90E4AE9EF5E}"/>
    <cellStyle name="SAPBEXHLevel3X 3" xfId="37366" xr:uid="{7593A038-9CAC-46F3-AA36-3A4ABF036C2E}"/>
    <cellStyle name="SAPBEXHLevel3X 4" xfId="37367" xr:uid="{1192256E-D2C3-42D3-A2AC-BA2BC3BB0002}"/>
    <cellStyle name="SAPBEXHLevel3X 5" xfId="37368" xr:uid="{4544442A-FFC5-4A7D-B1C2-05D4FBB7A44E}"/>
    <cellStyle name="SAPBEXHLevel3X 6" xfId="37369" xr:uid="{EE323341-66D2-434C-9BC2-1D11746E7C8D}"/>
    <cellStyle name="SAPBEXHLevel3X 7" xfId="37370" xr:uid="{384035CA-5FE6-4AEB-B639-02E2DC2BAF8C}"/>
    <cellStyle name="SAPBEXHLevel3X 8" xfId="37371" xr:uid="{88D87CDC-3108-47E1-98BC-6AEC6F49A140}"/>
    <cellStyle name="SAPBEXHLevel3X 9" xfId="37372" xr:uid="{42283C73-C091-4C01-9E60-B9D2DEABECAA}"/>
    <cellStyle name="SAPBEXresData" xfId="289" xr:uid="{52E07236-6064-4339-AA75-9D648FC76E15}"/>
    <cellStyle name="SAPBEXresData 2" xfId="37373" xr:uid="{7D999DFE-88E2-4C21-AA59-F129BFE5463F}"/>
    <cellStyle name="SAPBEXresDataEmph" xfId="290" xr:uid="{3242CC2E-4269-4714-99AD-CE9DA1904C6E}"/>
    <cellStyle name="SAPBEXresDataEmph 2" xfId="37374" xr:uid="{D66A7734-5E6A-47C2-BBD1-47AF127B3937}"/>
    <cellStyle name="SAPBEXresItem" xfId="291" xr:uid="{54DCA818-98C2-422C-A6E9-D3548380CED9}"/>
    <cellStyle name="SAPBEXresItem 2" xfId="37375" xr:uid="{E9352CC9-0274-452A-A0D6-B0375D19531E}"/>
    <cellStyle name="SAPBEXresItemX" xfId="292" xr:uid="{767E83C5-DFEF-45E8-BEDA-41D184F7789E}"/>
    <cellStyle name="SAPBEXresItemX 2" xfId="37376" xr:uid="{48FDAE19-8776-473C-8CD1-6B7C0C2F19A8}"/>
    <cellStyle name="SAPBEXstdData" xfId="293" xr:uid="{A63F46D4-F8E7-4C95-B40A-C2CE8B71B3AF}"/>
    <cellStyle name="SAPBEXstdData 2" xfId="37377" xr:uid="{E2D5F306-8EFE-4582-9A5A-7898DBE4706E}"/>
    <cellStyle name="SAPBEXstdDataEmph" xfId="294" xr:uid="{FC7284A9-CE59-4C0D-A26C-0986A47CEF0F}"/>
    <cellStyle name="SAPBEXstdDataEmph 2" xfId="37378" xr:uid="{E8FD6B99-727D-4652-94B6-8F4D3B6A4ABE}"/>
    <cellStyle name="SAPBEXstdItem" xfId="295" xr:uid="{500A27F1-8268-415A-8D27-F57778B3D226}"/>
    <cellStyle name="SAPBEXstdItem 2" xfId="37379" xr:uid="{593927E2-3732-49A6-B596-B6E5ABE9699B}"/>
    <cellStyle name="SAPBEXstdItem 3" xfId="37380" xr:uid="{06F3A3F4-C6E5-4E9F-ABF0-1EB40706AAE7}"/>
    <cellStyle name="SAPBEXstdItem 4" xfId="37381" xr:uid="{A28DDE37-6B89-4AD2-900E-262C2138B9D8}"/>
    <cellStyle name="SAPBEXstdItem 5" xfId="37382" xr:uid="{C8051D8F-7C47-4B7E-9FAA-ED349F95DB14}"/>
    <cellStyle name="SAPBEXstdItem 6" xfId="37383" xr:uid="{ED378B84-4F7E-4376-95D4-940499516C48}"/>
    <cellStyle name="SAPBEXstdItem 7" xfId="37384" xr:uid="{EF23BB1A-A007-4662-9EE3-AC875C33E249}"/>
    <cellStyle name="SAPBEXstdItemX" xfId="296" xr:uid="{E991CDFC-FD76-458F-85C8-AB7818A9EC41}"/>
    <cellStyle name="SAPBEXstdItemX 2" xfId="37385" xr:uid="{1FAD7589-36B5-4FCE-8E30-A50E53026DFA}"/>
    <cellStyle name="SAPBEXstdItemX 2 2" xfId="37386" xr:uid="{353F83FF-9AEF-461F-B260-0BE750CE729F}"/>
    <cellStyle name="SAPBEXstdItemX 2 3" xfId="37387" xr:uid="{5228F3A4-6232-4902-A55A-AE8D927E903A}"/>
    <cellStyle name="SAPBEXstdItemX 2 4" xfId="37388" xr:uid="{E29BD90B-EAC3-44B3-BA68-7688935D977F}"/>
    <cellStyle name="SAPBEXstdItemX 2 5" xfId="37389" xr:uid="{57C722FF-C3FD-46DA-8BB5-FF0A37B47F8C}"/>
    <cellStyle name="SAPBEXstdItemX 3" xfId="37390" xr:uid="{AFF54911-68E1-4CB1-BFDA-DDB0AE38AB71}"/>
    <cellStyle name="SAPBEXstdItemX 4" xfId="37391" xr:uid="{C1201B08-F956-41A8-A1FA-5979E67271A5}"/>
    <cellStyle name="SAPBEXstdItemX 5" xfId="37392" xr:uid="{10B0DF02-77F4-4499-B406-74DEBF7610B7}"/>
    <cellStyle name="SAPBEXstdItemX 6" xfId="37393" xr:uid="{CE76D0EE-3621-4EEF-8B06-6C252D7C43B2}"/>
    <cellStyle name="SAPBEXstdItemX 7" xfId="37394" xr:uid="{F08C6DCF-FB58-45D0-891B-3A50FA9F58CD}"/>
    <cellStyle name="SAPBEXstdItemX 8" xfId="37395" xr:uid="{6BE69DE2-954B-4C39-B628-BC41FAD861E4}"/>
    <cellStyle name="SAPBEXstdItemX 9" xfId="37396" xr:uid="{E41D3F5C-1763-4CEE-BD92-F4C8AF77849B}"/>
    <cellStyle name="SAPBEXtitle" xfId="297" xr:uid="{FB68EA4C-5DE4-4B44-B8D7-33DE38B677E1}"/>
    <cellStyle name="SAPBEXundefined" xfId="298" xr:uid="{E4141DC1-5801-4839-BF18-33F5960F9794}"/>
    <cellStyle name="SAPBEXundefined 2" xfId="37397" xr:uid="{B7F9A0E2-3CA7-40F3-AA2E-4515C02A5363}"/>
    <cellStyle name="Section 1_RHI Model Results-090505-033632" xfId="37398" xr:uid="{8A3D7333-092D-47D8-B4AD-BCD1FFE60997}"/>
    <cellStyle name="semestre" xfId="37399" xr:uid="{257347AA-CF05-4D60-8CD3-0F8D5B356CD8}"/>
    <cellStyle name="Shade" xfId="37400" xr:uid="{7F4FBF9C-FDA0-4185-A9F4-1FFC791F2FD0}"/>
    <cellStyle name="Shade 2" xfId="37401" xr:uid="{29F5A34C-05ED-4A47-87DE-CA115DA4DE2A}"/>
    <cellStyle name="Shade 2 2" xfId="37402" xr:uid="{BA8874B0-C96C-4809-87E3-09C00F40B1DD}"/>
    <cellStyle name="Shade 2 3" xfId="37403" xr:uid="{405C3470-8D10-47C0-B53C-29757F911964}"/>
    <cellStyle name="Shade 3" xfId="37404" xr:uid="{30850E88-392E-4AF9-9243-B12CD391644A}"/>
    <cellStyle name="Shade 3 2" xfId="37405" xr:uid="{B64796F9-C05B-4A3A-B981-5BE1F5B47C6F}"/>
    <cellStyle name="Shade 3 3" xfId="37406" xr:uid="{9AADB43B-7A51-4D0D-8648-8BD189071D62}"/>
    <cellStyle name="Shade 4" xfId="37407" xr:uid="{1C4817C8-814F-46F1-BC2D-885A7044F22E}"/>
    <cellStyle name="Shade 5" xfId="37408" xr:uid="{D435D27D-3EA3-484E-AC40-7B3405273C0E}"/>
    <cellStyle name="Shade 6" xfId="37409" xr:uid="{42C9C4E3-C5B5-47B4-8F56-A9CA7EA4D439}"/>
    <cellStyle name="Sheet Heading" xfId="37410" xr:uid="{F4153525-65C5-48BF-A3AE-AA2E1D7A4628}"/>
    <cellStyle name="Sheet Title." xfId="37411" xr:uid="{4414C698-4ED7-4C76-8ECE-7BF50EB9A64B}"/>
    <cellStyle name="single" xfId="37412" xr:uid="{DA8CA922-668E-4913-8915-D970141DF544}"/>
    <cellStyle name="Single Cell Column Heading" xfId="37413" xr:uid="{04470BEA-2D9A-42B6-A511-4DEA06F99FB9}"/>
    <cellStyle name="Single Cell Column Heading 2" xfId="37414" xr:uid="{F5A351B0-3C4E-467B-96D6-0AA1E7FEDDA8}"/>
    <cellStyle name="Single Cell Column Heading 3" xfId="37415" xr:uid="{9351464D-F08F-41E9-98DD-B55177DDF54A}"/>
    <cellStyle name="Single Cell Column Heading 4" xfId="37416" xr:uid="{4EBE9CBC-FB10-4126-B04E-0C0AE84E62B8}"/>
    <cellStyle name="Single Cell Column Heading 5" xfId="37417" xr:uid="{B6858B43-24D3-496D-9F09-BFA7D73FF992}"/>
    <cellStyle name="Single Cell Column Heading 6" xfId="37418" xr:uid="{8BAC2EA8-0A96-453F-BD43-FA2881769194}"/>
    <cellStyle name="Single Cell Column Heading 7" xfId="37419" xr:uid="{F21AEC25-B430-4E32-ADE3-A0650EF4CE50}"/>
    <cellStyle name="Single Cell Column Heading 8" xfId="37420" xr:uid="{1D04CCB3-C434-475F-A9F7-3EB87E95B37F}"/>
    <cellStyle name="Single Cell Column Heading 9" xfId="37421" xr:uid="{D160AF2F-EBDF-44D3-928D-799FF97AF78F}"/>
    <cellStyle name="Size" xfId="37422" xr:uid="{D31B61B1-B6A7-4FCB-9FF9-753A95714388}"/>
    <cellStyle name="Source" xfId="37423" xr:uid="{167E363E-44F6-49ED-A4EC-E308086C2ED0}"/>
    <cellStyle name="Source 2" xfId="37424" xr:uid="{B2C7EAFC-E16B-4106-A32A-AEA9E02A82B3}"/>
    <cellStyle name="Source 3" xfId="37425" xr:uid="{60D9F61B-9EF6-4FA4-923E-14524ECEBADB}"/>
    <cellStyle name="Source Hed" xfId="37426" xr:uid="{534CB709-BAA1-4C47-A434-B7B009C8D766}"/>
    <cellStyle name="Source Hed 2" xfId="37427" xr:uid="{9D987E3F-0554-4487-877F-CF58AF0A4A56}"/>
    <cellStyle name="Source Text" xfId="37428" xr:uid="{F34418AD-E5E8-448D-9278-F6191CB3B05E}"/>
    <cellStyle name="Source Text 2" xfId="37429" xr:uid="{636A3C6E-DC51-471E-9A09-CC4CBC40BA52}"/>
    <cellStyle name="ss1" xfId="37430" xr:uid="{CB78E5AA-777B-4DAA-A8D1-C9C1B9FB95B0}"/>
    <cellStyle name="ss10" xfId="37431" xr:uid="{269746DF-F6D1-44A6-818D-7E7049A912BE}"/>
    <cellStyle name="ss11" xfId="37432" xr:uid="{B04F269A-55CE-48B4-83B7-EC0C6B21FF4A}"/>
    <cellStyle name="ss12" xfId="37433" xr:uid="{7F2720FC-61A1-41FE-877E-161AD383B94E}"/>
    <cellStyle name="ss13" xfId="37434" xr:uid="{948C3484-8A60-44CD-B569-1D6B1D75553A}"/>
    <cellStyle name="ss14" xfId="37435" xr:uid="{6BA62269-0CAA-43DD-AB21-E8F923A45E90}"/>
    <cellStyle name="ss15" xfId="37436" xr:uid="{60950A8D-0FE1-4F8B-B3E2-8732C1C8D642}"/>
    <cellStyle name="ss16" xfId="37437" xr:uid="{AD5CF4E1-0CE7-4CCB-A360-57BA33A45050}"/>
    <cellStyle name="ss17" xfId="37438" xr:uid="{51573FE1-7890-434D-BC9B-DF4297962965}"/>
    <cellStyle name="ss18" xfId="37439" xr:uid="{368562C5-A553-4B1C-BE9F-082974194E6E}"/>
    <cellStyle name="ss19" xfId="37440" xr:uid="{B23C6175-78E2-4152-9209-B6955A7CCB33}"/>
    <cellStyle name="ss2" xfId="37441" xr:uid="{9CCCAF9B-34A3-418C-9F70-930040A6F407}"/>
    <cellStyle name="ss20" xfId="37442" xr:uid="{721FE0F1-69A8-4B37-8298-3910B9275358}"/>
    <cellStyle name="ss21" xfId="37443" xr:uid="{BE17BF89-A314-4157-B3B0-BC7B5947202F}"/>
    <cellStyle name="ss22" xfId="37444" xr:uid="{4EFAB16C-53C4-4E39-A7F7-2F19B7933A54}"/>
    <cellStyle name="ss23" xfId="37445" xr:uid="{CFFAA907-8966-408C-84B0-782744BD0DF7}"/>
    <cellStyle name="ss24" xfId="37446" xr:uid="{4E00C0E1-71F5-460A-A059-F2017AC0A705}"/>
    <cellStyle name="ss25" xfId="37447" xr:uid="{9806251C-991D-4FC9-A668-54DE3FFF9F82}"/>
    <cellStyle name="ss3" xfId="37448" xr:uid="{FD11F62B-3D2F-43AB-9101-1B762E27FAFA}"/>
    <cellStyle name="ss4" xfId="37449" xr:uid="{EBCA3356-95B0-4B98-8EB5-63394B37A20D}"/>
    <cellStyle name="ss5" xfId="37450" xr:uid="{2916A32E-0713-4D11-A793-E812AB44995F}"/>
    <cellStyle name="ss6" xfId="37451" xr:uid="{03D160A7-9035-4173-B398-5D94C56DA773}"/>
    <cellStyle name="ss7" xfId="37452" xr:uid="{F301EBAF-1BD1-4085-82D2-7C9E06CD85FF}"/>
    <cellStyle name="ss8" xfId="37453" xr:uid="{E8B4ACD2-BCF6-488A-8A8B-C9BBA2AEFA1B}"/>
    <cellStyle name="ss9" xfId="37454" xr:uid="{E9ABB4E5-456F-4007-887E-6F11271F21D9}"/>
    <cellStyle name="sspecial" xfId="37455" xr:uid="{47312C49-B9C1-448B-871A-5BC7B2CC265A}"/>
    <cellStyle name="Standaard_Sheet1" xfId="37456" xr:uid="{A43FB5D7-F5FC-46B6-8875-94487B947573}"/>
    <cellStyle name="Standard_0002VS" xfId="37457" xr:uid="{BE09888D-5B91-4C34-BD57-8E661D043620}"/>
    <cellStyle name="Status" xfId="405" xr:uid="{D368CEA6-13C7-4FB2-A77E-F1F8A92E9137}"/>
    <cellStyle name="Style 1" xfId="299" xr:uid="{FDAE8AFD-86F2-437A-8DAA-31C02777D14B}"/>
    <cellStyle name="Style 1 2" xfId="37458" xr:uid="{44224AF3-9C96-42C6-8F95-7BB47E22AE91}"/>
    <cellStyle name="Style 1 2 2" xfId="37459" xr:uid="{9BD5E82A-5E0B-4A7A-8035-06BD4F7BF89B}"/>
    <cellStyle name="Style 1 2 3" xfId="37460" xr:uid="{54AED0A4-D1CF-446B-B1F1-EB2883E383D5}"/>
    <cellStyle name="Style 1 2 4" xfId="37461" xr:uid="{A2BA4485-C691-4C57-A345-80130A7C38F9}"/>
    <cellStyle name="Style 1 2 5" xfId="37462" xr:uid="{D7CE3730-741D-497A-B7C6-649C34C7B6F6}"/>
    <cellStyle name="Style 1 2 6" xfId="37463" xr:uid="{717AF1B7-5A59-4DF5-9A2B-FEC7CA92B3C3}"/>
    <cellStyle name="Style 1 2 7" xfId="37464" xr:uid="{79DC7A31-34B4-4762-82A6-0FE99E7E4C6B}"/>
    <cellStyle name="Style 1 3" xfId="37465" xr:uid="{9B423BDA-6B67-4530-A4DF-2C730423928C}"/>
    <cellStyle name="Style 1 3 2" xfId="37466" xr:uid="{72CA11FB-848C-4292-A0E5-23846D6DA89B}"/>
    <cellStyle name="Style 1 4" xfId="37467" xr:uid="{CB312961-EF89-4419-8FFC-1A07C71077C0}"/>
    <cellStyle name="Style 1 5" xfId="37468" xr:uid="{482ED00F-7F26-48C6-8A4D-B3E63C069422}"/>
    <cellStyle name="Style 1 6" xfId="37469" xr:uid="{74DCF6DD-FEA8-4DD8-BD80-6358F7A650DB}"/>
    <cellStyle name="Style 1 7" xfId="37470" xr:uid="{C61880E6-5A64-4798-9AA2-C84913C0E081}"/>
    <cellStyle name="Style 1 8" xfId="37471" xr:uid="{F122B03D-B8DE-4FFD-8899-C08A10DBFA11}"/>
    <cellStyle name="Style 1 9" xfId="37472" xr:uid="{1FD3B4C3-7176-4BD1-9A57-FE1DCC8193CC}"/>
    <cellStyle name="Style 2" xfId="37473" xr:uid="{24C0D58E-30F5-4F3F-935B-D557EEDBE870}"/>
    <cellStyle name="Style 21" xfId="37474" xr:uid="{95E8F1BE-F51C-4B5D-AE6A-8D761F830299}"/>
    <cellStyle name="Style 21 2" xfId="37475" xr:uid="{BFF6A3BE-32D9-4186-BB89-091AD9D2AB92}"/>
    <cellStyle name="Style 21 2 2" xfId="37476" xr:uid="{5E31B915-AB8F-49F7-BF97-762A196D23E7}"/>
    <cellStyle name="Style 21 2 3" xfId="37477" xr:uid="{F0319A7F-5432-4AB6-BBFC-9E119361D9B4}"/>
    <cellStyle name="Style 21 3" xfId="37478" xr:uid="{A0F3BE28-1D6F-4C73-A559-3818C1B7F3D8}"/>
    <cellStyle name="Style 21 4" xfId="37479" xr:uid="{B34E38AC-348E-4A0D-9C22-56AFB93D3446}"/>
    <cellStyle name="Style 21 5" xfId="37480" xr:uid="{62ACE56B-E466-4BD9-862E-03CD64030212}"/>
    <cellStyle name="Style 21 6" xfId="37481" xr:uid="{08EA90F2-3913-4A84-8CB0-36B6B87FEFA3}"/>
    <cellStyle name="Style 22" xfId="37482" xr:uid="{FA982E2E-9916-4983-8A8B-DE9B032FF6FD}"/>
    <cellStyle name="Style 22 2" xfId="37483" xr:uid="{8A858E94-A601-4BFD-BD8A-48072F4DDFB3}"/>
    <cellStyle name="Style 22 2 2" xfId="37484" xr:uid="{02918698-573B-4F92-9A54-61EF0801E4DF}"/>
    <cellStyle name="Style 22 2 3" xfId="37485" xr:uid="{94A89E88-2D01-47D3-857D-872EFD0D1773}"/>
    <cellStyle name="Style 22 3" xfId="37486" xr:uid="{794FECD9-3912-454F-BEC5-23484D5CC448}"/>
    <cellStyle name="Style 22 4" xfId="37487" xr:uid="{CE7269B7-39A6-4F64-8AC1-20577F14866F}"/>
    <cellStyle name="Style 22 5" xfId="37488" xr:uid="{4915CCB8-89EF-40A9-88E4-287C881FA60D}"/>
    <cellStyle name="Style 22 6" xfId="37489" xr:uid="{47D4023B-ED14-4147-907A-F9A52084BDEE}"/>
    <cellStyle name="Style 23" xfId="37490" xr:uid="{C84C3E21-D80C-491F-9063-01406CE71AEA}"/>
    <cellStyle name="Style 23 2" xfId="37491" xr:uid="{84A0F641-EBE7-4F0B-AFCB-0C6FD4E82805}"/>
    <cellStyle name="Style 23 2 2" xfId="37492" xr:uid="{DEC3AD44-08AE-4891-846A-87B23E0234FC}"/>
    <cellStyle name="Style 23 3" xfId="37493" xr:uid="{CB789197-678A-463C-B8E0-E80A00B33031}"/>
    <cellStyle name="Style 24" xfId="37494" xr:uid="{66707E77-3D67-4CBC-94B4-9BA635AE20DB}"/>
    <cellStyle name="Style 24 2" xfId="37495" xr:uid="{F896E24D-0ED0-45BF-B4B7-C2CC84996CDF}"/>
    <cellStyle name="Style 24 2 2" xfId="37496" xr:uid="{D7B46C3B-C8E6-41C7-9268-B609C36F10F0}"/>
    <cellStyle name="Style 24 3" xfId="37497" xr:uid="{52A356D4-EACE-422A-98BA-607F9CA28948}"/>
    <cellStyle name="Style 24 4" xfId="37498" xr:uid="{A841C314-36B8-4E77-A549-266F0B3064D3}"/>
    <cellStyle name="Style 25" xfId="37499" xr:uid="{D802226E-536F-4037-B418-8D352973092F}"/>
    <cellStyle name="Style 25 2" xfId="37500" xr:uid="{428608CC-B443-4065-93F9-937D952EACF3}"/>
    <cellStyle name="Style 25 3" xfId="37501" xr:uid="{643DBDB0-2F18-41FF-91B4-A63BAE0DCE05}"/>
    <cellStyle name="Style 26" xfId="37502" xr:uid="{DC9C85BA-DF5E-4107-A1B4-96E3B55B1ABE}"/>
    <cellStyle name="Style 26 2" xfId="37503" xr:uid="{4ADDF4CF-0013-425D-B615-6778E585186F}"/>
    <cellStyle name="Style 27" xfId="37504" xr:uid="{A9C673F2-4479-46D6-A0DD-3CC6DD5FDB4A}"/>
    <cellStyle name="Style 28" xfId="37505" xr:uid="{C7A96372-C8B4-493F-854D-178716B5ED5B}"/>
    <cellStyle name="Style 29" xfId="37506" xr:uid="{9D7BA944-5D66-4F4A-BFDF-C3631581497A}"/>
    <cellStyle name="Style 29 2" xfId="37507" xr:uid="{52CD8BF0-DB4A-4709-B21D-EAE86AE47158}"/>
    <cellStyle name="Style 29 3" xfId="37508" xr:uid="{ADF812E7-6273-4D91-B59E-7569A90F0683}"/>
    <cellStyle name="Style 30" xfId="37509" xr:uid="{274A14D5-9911-48D9-B91B-6DF42D1E9BAC}"/>
    <cellStyle name="Style 30 2" xfId="37510" xr:uid="{29C3E6D4-D204-48C7-A848-13C016FE7483}"/>
    <cellStyle name="Style 30 3" xfId="37511" xr:uid="{541927C3-4816-4B29-9D18-03DE70517E7F}"/>
    <cellStyle name="Style 31" xfId="37512" xr:uid="{0900BB43-3FD1-4BF5-848C-E386FB9F8C17}"/>
    <cellStyle name="Style 31 2" xfId="37513" xr:uid="{24CD6BC4-4048-469F-BD70-DA0E5FBB9967}"/>
    <cellStyle name="Style 31 3" xfId="37514" xr:uid="{F8124500-4513-4570-A611-52C0C935E706}"/>
    <cellStyle name="Style 32" xfId="37515" xr:uid="{A098D52A-B482-438F-A1D3-69C90AA03AFF}"/>
    <cellStyle name="Style 32 2" xfId="37516" xr:uid="{43ED2CC9-D54F-4C2C-B368-BA302E210B2A}"/>
    <cellStyle name="Style 32 3" xfId="37517" xr:uid="{77F15C12-F8EB-4CDD-8027-365CEF66F4C5}"/>
    <cellStyle name="Style 33" xfId="37518" xr:uid="{C7A447CB-9F22-49FF-9B99-37BF119A734D}"/>
    <cellStyle name="Style 34" xfId="37519" xr:uid="{07C7BB50-0CB7-4F13-9A47-5D348513C577}"/>
    <cellStyle name="Style 34 2" xfId="37520" xr:uid="{016151F6-34AB-407A-B3E9-DB2CBEDA2D45}"/>
    <cellStyle name="Style 34 3" xfId="37521" xr:uid="{176C4EDD-1999-4618-BDCF-D9935433713B}"/>
    <cellStyle name="Style 34 4" xfId="37522" xr:uid="{3351B40F-FD52-4D62-B4F3-C0187BA91FC8}"/>
    <cellStyle name="Style 35" xfId="37523" xr:uid="{448C275F-5C76-41DF-BBA2-4A6FBAE3868B}"/>
    <cellStyle name="Style 35 2" xfId="37524" xr:uid="{3779E3A3-CFD9-4CA5-9C7D-39A0C07A58AE}"/>
    <cellStyle name="Style 35 3" xfId="37525" xr:uid="{CDF3F730-B63C-4F05-B2E3-51DA72F1D00B}"/>
    <cellStyle name="Style 35 4" xfId="37526" xr:uid="{1FA2E054-7563-41F1-BBFC-D885652DEECA}"/>
    <cellStyle name="Style 36" xfId="37527" xr:uid="{69C55F71-5826-46A6-85BA-BD2E5BFE0577}"/>
    <cellStyle name="Style 36 2" xfId="37528" xr:uid="{42C2B3D8-B3CD-4FE4-BD53-EB696A491FAA}"/>
    <cellStyle name="Style 69" xfId="37529" xr:uid="{A2C929E8-7C27-4DAE-8D96-C7B323BB5996}"/>
    <cellStyle name="Style 69 2" xfId="37530" xr:uid="{DE8D453B-432E-404A-97BB-72EA05799171}"/>
    <cellStyle name="Style 70" xfId="37531" xr:uid="{83766F0D-C533-41B8-A8F7-F8ECC4525B8C}"/>
    <cellStyle name="Style 70 2" xfId="37532" xr:uid="{5772A394-5CF6-4BBF-AB8A-86EC2AAB82B0}"/>
    <cellStyle name="Style 71" xfId="37533" xr:uid="{2595B9F0-2C20-4C34-B71E-E0D5F836E014}"/>
    <cellStyle name="Style 71 2" xfId="37534" xr:uid="{D7D538A5-CA9E-4FD9-9046-D1C9111000B2}"/>
    <cellStyle name="Style 74" xfId="37535" xr:uid="{7CD16B69-00C5-43C6-BEDA-DD10F19A9978}"/>
    <cellStyle name="Style 74 2" xfId="37536" xr:uid="{DBBCAFAC-CB84-4E07-873E-D2881FBF8A4E}"/>
    <cellStyle name="Style 75" xfId="37537" xr:uid="{BFA628F7-A9C3-48B9-BC08-AD4F364BFDF4}"/>
    <cellStyle name="Style 75 2" xfId="37538" xr:uid="{1BA3B150-2F9A-4565-9059-C5AE691E1A2F}"/>
    <cellStyle name="Style1" xfId="300" xr:uid="{AB78C4B1-1A27-41DC-8355-91DF08EAF3BB}"/>
    <cellStyle name="Style2" xfId="301" xr:uid="{7775B95D-7D8E-4D52-B909-0B69AC5FFD45}"/>
    <cellStyle name="Style3" xfId="302" xr:uid="{03905F5D-139B-45F4-B5CD-2B9B5EC9A161}"/>
    <cellStyle name="Style4" xfId="303" xr:uid="{6FD31548-D78D-4B37-8381-461B757653C8}"/>
    <cellStyle name="Style5" xfId="304" xr:uid="{FF74785F-4E56-4F6E-ACA2-A99C07E08952}"/>
    <cellStyle name="Style6" xfId="305" xr:uid="{515B9240-5B66-4FCD-A6A1-AB1E160A7836}"/>
    <cellStyle name="styleColumnTitles" xfId="37539" xr:uid="{D8846BDB-67FD-42D2-AB03-54075801DCA7}"/>
    <cellStyle name="styleDateRange" xfId="37540" xr:uid="{85BE6858-CD93-45CD-9C62-E72A2C3AF3BE}"/>
    <cellStyle name="styleNormal" xfId="37541" xr:uid="{7287E16B-4D48-4408-8EA3-4B07417A1260}"/>
    <cellStyle name="Styles" xfId="37542" xr:uid="{9024CAD9-8902-46AC-9BEB-E045F41E263A}"/>
    <cellStyle name="styleSeriesAttributes" xfId="37543" xr:uid="{9333A859-CBAA-4624-881B-4AB527D1B24E}"/>
    <cellStyle name="styleSeriesData" xfId="37544" xr:uid="{B3688D4B-79A6-4E95-8658-FBCC7B9211DD}"/>
    <cellStyle name="styleSeriesDataForecast" xfId="37545" xr:uid="{B83680EA-C4D1-4F1F-82E3-ADCFA30D245E}"/>
    <cellStyle name="styleSeriesDataNA" xfId="37546" xr:uid="{881F0D5B-0B39-40BF-B2C6-1558297CC2AB}"/>
    <cellStyle name="Sub heading" xfId="37547" xr:uid="{10072CE0-660C-475E-B120-535F5D612765}"/>
    <cellStyle name="Subtitle" xfId="387" xr:uid="{0A36F260-FF33-4004-B1F1-CC298B425C95}"/>
    <cellStyle name="swiss" xfId="37548" xr:uid="{D416AE17-EECA-4FAA-93A5-72324AF6E593}"/>
    <cellStyle name="swiss input" xfId="37549" xr:uid="{27750654-4F76-45EA-AFAA-8B3C8A988BAF}"/>
    <cellStyle name="swiss input1" xfId="37550" xr:uid="{56EF1D6A-365C-4D40-8C28-DA7D5C1960F1}"/>
    <cellStyle name="swiss input2" xfId="37551" xr:uid="{4F4964F8-B3DF-447A-B2CC-75FF2FD6F193}"/>
    <cellStyle name="swiss spec" xfId="37552" xr:uid="{F6F300D9-45FA-4269-82E8-19149E9E04A0}"/>
    <cellStyle name="System" xfId="37553" xr:uid="{0A78F8F4-FD48-4658-856E-45361191831B}"/>
    <cellStyle name="System 2" xfId="37554" xr:uid="{B4FC84CD-6D56-4939-BD79-54C939BB300A}"/>
    <cellStyle name="System 3" xfId="37555" xr:uid="{73D02C0C-894C-4945-8F8A-638CCFA3E8F1}"/>
    <cellStyle name="table column" xfId="37556" xr:uid="{E79AECED-B47A-496E-8E56-787BB6CF138F}"/>
    <cellStyle name="table column +" xfId="37557" xr:uid="{BB480B4C-2B8C-48DF-A0E6-85005147A74E}"/>
    <cellStyle name="table column reg" xfId="37558" xr:uid="{DD9607A0-85F5-4DD2-80E3-190BE6B62B94}"/>
    <cellStyle name="table column reg +" xfId="37559" xr:uid="{4434D938-8C07-49B7-AF51-9A9CF08853AB}"/>
    <cellStyle name="Table Footnote" xfId="306" xr:uid="{A84BD955-D114-4D74-B2BF-2484306CEABD}"/>
    <cellStyle name="Table Footnote 2" xfId="307" xr:uid="{3F23404C-4B34-4F91-95A8-218AA64E0168}"/>
    <cellStyle name="Table Footnote 2 2" xfId="308" xr:uid="{0FDC553A-A777-4505-81D6-A8F40C833203}"/>
    <cellStyle name="Table Footnote_Additional charts" xfId="37560" xr:uid="{E9749C78-78D4-49BC-8DED-33D5313FF566}"/>
    <cellStyle name="Table head" xfId="37561" xr:uid="{90FA705E-A363-4415-A08A-E3CE3BC73EB0}"/>
    <cellStyle name="Table Head 2" xfId="37562" xr:uid="{FADA8EEB-ECDF-4523-8A02-B673B1A81B31}"/>
    <cellStyle name="Table Head Aligned" xfId="37563" xr:uid="{D71CA265-7850-4A13-BA8C-3248F4160C19}"/>
    <cellStyle name="Table Head Blue" xfId="37564" xr:uid="{2B81E28F-9A6D-4AE4-8501-ABE27BADDB93}"/>
    <cellStyle name="Table Head Green" xfId="37565" xr:uid="{620157E8-C3EB-4A2B-8D50-DD5286F94995}"/>
    <cellStyle name="Table Head_% Change" xfId="37566" xr:uid="{415D02AC-0ECE-4062-9062-07880F355821}"/>
    <cellStyle name="Table Header" xfId="309" xr:uid="{00D4902C-74D1-485E-B51B-1552608CE4F9}"/>
    <cellStyle name="Table Header 2" xfId="310" xr:uid="{41EB3ACF-142D-4A73-935A-4D283A6A9998}"/>
    <cellStyle name="Table Header 2 2" xfId="311" xr:uid="{1D0C17E7-1E88-4839-9F93-A2EDFCEA6315}"/>
    <cellStyle name="Table Header_Additional charts" xfId="37567" xr:uid="{22BF6D8B-C7B1-45DD-BDEC-4DD3BE5C1A43}"/>
    <cellStyle name="Table Heading" xfId="37568" xr:uid="{877E8FC1-B5B2-4795-B92B-C186F8C7EF39}"/>
    <cellStyle name="Table Heading 1" xfId="312" xr:uid="{6353E55F-74A2-4EEF-B7D1-12A583FB9507}"/>
    <cellStyle name="Table Heading 1 2" xfId="313" xr:uid="{F7CD4986-6560-4F0E-B4D5-AFE6586EBC5E}"/>
    <cellStyle name="Table Heading 1 2 2" xfId="314" xr:uid="{81800785-0736-4B37-AA29-4E06DAA6633F}"/>
    <cellStyle name="Table Heading 1_Additional charts" xfId="37569" xr:uid="{4CB0F14B-225E-42C9-BFAE-8A26451D0D6A}"/>
    <cellStyle name="Table Heading 2" xfId="315" xr:uid="{E99535AA-C642-44E5-A217-231DA9A5A06F}"/>
    <cellStyle name="Table Heading 2 2" xfId="316" xr:uid="{3BE54D7B-AE1A-498A-84BE-0A0726806441}"/>
    <cellStyle name="Table Heading 2_Additional charts" xfId="37570" xr:uid="{5949BA21-8ED9-4EDB-8247-7B8C5B730BC2}"/>
    <cellStyle name="Table Heading 3" xfId="37571" xr:uid="{3A3F5A20-A0B5-40AF-9145-03ECFE550228}"/>
    <cellStyle name="Table nos" xfId="37572" xr:uid="{D428D8C0-A419-4BDC-ADAB-D39450C708F7}"/>
    <cellStyle name="Table nos  red cust" xfId="37573" xr:uid="{73CF61CD-5FF4-4339-A25B-A8FC09C96E7B}"/>
    <cellStyle name="Table nos acct" xfId="37574" xr:uid="{8E616C77-AF9B-4645-A186-3810F834883F}"/>
    <cellStyle name="Table nos acct 3" xfId="37575" xr:uid="{DCCFC716-53EE-4338-ACEC-578FBB2CF20C}"/>
    <cellStyle name="Table nos acct 3 base" xfId="37576" xr:uid="{39DD59C5-BAA6-44AE-BE74-B0EFA7084A3C}"/>
    <cellStyle name="Table nos acct 5" xfId="37577" xr:uid="{19249CD2-BF5D-4300-ACD5-F81C52F5DCAF}"/>
    <cellStyle name="Table nos acct 5 base" xfId="37578" xr:uid="{0C11FAAD-C4ED-4D5C-8485-37E2F7E3FCCE}"/>
    <cellStyle name="Table nos acct cust" xfId="37579" xr:uid="{182A0980-7A4B-426D-AC80-C17C2252E6C3}"/>
    <cellStyle name="Table nos acct red" xfId="37580" xr:uid="{072BA2FB-0A11-46A8-BAD6-CEE3FA0808EB}"/>
    <cellStyle name="Table nos acct red cust" xfId="37581" xr:uid="{6969EBF1-986A-41BA-83C1-7686E6F68B8D}"/>
    <cellStyle name="Table nos acct special" xfId="37582" xr:uid="{F6A6FF40-E99A-41E8-A0CA-C1E528689180}"/>
    <cellStyle name="Table nos B" xfId="37583" xr:uid="{451604A7-A109-4A23-A2F6-61E9274FAE2A}"/>
    <cellStyle name="Table nos B acct" xfId="37584" xr:uid="{5D01F5DA-E6A8-4324-A1E1-53C66691E70D}"/>
    <cellStyle name="Table nos B acct 3" xfId="37585" xr:uid="{93E1D0E2-DCE1-40ED-AB20-78C3F08A642E}"/>
    <cellStyle name="Table nos B acct 3 base" xfId="37586" xr:uid="{59FA3BF4-8723-4133-AE49-011F5AFB6F1B}"/>
    <cellStyle name="Table nos B acct 5 base" xfId="37587" xr:uid="{4161EA51-5507-478A-B887-83A9A0496DCB}"/>
    <cellStyle name="Table nos base" xfId="37588" xr:uid="{4E5ABC30-3E4A-4B86-B5BC-24B132031076}"/>
    <cellStyle name="Table nos base acct" xfId="37589" xr:uid="{715465A7-FB6F-42D0-96D5-66091ACEB8BF}"/>
    <cellStyle name="Table nos base B" xfId="37590" xr:uid="{3071259E-DC41-4CC2-8DB3-ACABE82A08DE}"/>
    <cellStyle name="Table nos base B acct" xfId="37591" xr:uid="{41C0A7D0-6B2C-4C3F-9463-F685C6BB6845}"/>
    <cellStyle name="Table nos base B num" xfId="37592" xr:uid="{9916F95A-54EE-456F-8AC2-B39756F55FAF}"/>
    <cellStyle name="Table nos base B num right" xfId="37593" xr:uid="{BDA70A35-6022-4B9A-8778-8F631FC06946}"/>
    <cellStyle name="Table nos base num" xfId="37594" xr:uid="{196CCC6B-6E20-4B5A-84B3-09F5D3862CD2}"/>
    <cellStyle name="Table nos base num right" xfId="37595" xr:uid="{6B84143B-C574-44E2-B2FD-A3DE1ADB59EB}"/>
    <cellStyle name="Table nos cust" xfId="37596" xr:uid="{129F9F9C-BA97-436C-9F8A-8F78ABE7093D}"/>
    <cellStyle name="Table nos cust 3 red" xfId="37597" xr:uid="{3C8A0053-F284-4BDF-A0F1-4E3C8C601E2C}"/>
    <cellStyle name="Table nos cust 3 red base" xfId="37598" xr:uid="{B034B6F4-B907-49F6-BBE8-E52F54626D77}"/>
    <cellStyle name="Table nos cust base" xfId="37599" xr:uid="{CA99744F-72F7-4672-8858-D7F13E8729E9}"/>
    <cellStyle name="Table nos cust red base" xfId="37600" xr:uid="{167A5840-9770-48F1-9622-E0C50DEE7FE4}"/>
    <cellStyle name="Table nos left" xfId="37601" xr:uid="{AF078B12-91B6-46E2-8F13-0EC48E8468DD}"/>
    <cellStyle name="Table nos num" xfId="37602" xr:uid="{05DB6878-E821-426C-A372-91268C207DD7}"/>
    <cellStyle name="Table nos num B" xfId="37603" xr:uid="{E0043AEA-C45C-409C-BD06-3E5E5C1BC715}"/>
    <cellStyle name="Table nos num base" xfId="37604" xr:uid="{69E95428-0739-491F-BCAE-20789C96D56B}"/>
    <cellStyle name="Table nos num base B" xfId="37605" xr:uid="{E7CF2F0F-5B61-4E60-9615-E92F105E7945}"/>
    <cellStyle name="Table nos num r" xfId="37606" xr:uid="{3F4B1683-98C4-4182-9E22-F2E50EAFFEEE}"/>
    <cellStyle name="Table nos num r B" xfId="37607" xr:uid="{E5EEF9CE-2913-4575-A67D-0DF24B692B32}"/>
    <cellStyle name="Table nos num r B base" xfId="37608" xr:uid="{232AF135-6857-4D78-9465-F45D8C1DEC75}"/>
    <cellStyle name="Table nos num r base" xfId="37609" xr:uid="{A57B25C0-23FB-4104-8DF3-88E425C5C797}"/>
    <cellStyle name="Table nos num right" xfId="37610" xr:uid="{B9F8E951-EC91-4BFB-8143-E0AE43127778}"/>
    <cellStyle name="Table nos period" xfId="37611" xr:uid="{13051184-4B9B-428B-A824-D338A66D7BC7}"/>
    <cellStyle name="Table nos period base" xfId="37612" xr:uid="{2EBA5DFC-8D37-41D4-BF88-EBB7917D5A21}"/>
    <cellStyle name="Table nos period base B" xfId="37613" xr:uid="{8201492F-1FF1-4CBF-9435-2023B4084342}"/>
    <cellStyle name="Table nos period reg" xfId="37614" xr:uid="{94FAE577-1B37-4BF1-B990-2EFB6C19CA8D}"/>
    <cellStyle name="Table nos right" xfId="37615" xr:uid="{7F49F074-FEE4-415E-B649-968FDA52D34C}"/>
    <cellStyle name="Table Of Which" xfId="317" xr:uid="{C1CE5318-8C33-448B-9424-B25965641E4C}"/>
    <cellStyle name="Table Of Which 2" xfId="318" xr:uid="{248CB1CC-E3B9-4F37-A06D-D410D3DB1882}"/>
    <cellStyle name="Table Of Which_Additional charts" xfId="37616" xr:uid="{0369F66B-7F60-4CBD-AE21-9A7C0ADA1DEB}"/>
    <cellStyle name="Table Row Billions" xfId="319" xr:uid="{960E659E-208A-4C12-8EE2-A8D31BF0E15C}"/>
    <cellStyle name="Table Row Billions 2" xfId="320" xr:uid="{4BC312F4-59AF-4C17-B8AB-9B71AD062330}"/>
    <cellStyle name="Table Row Billions Check" xfId="321" xr:uid="{97518318-3759-4506-9D76-942F45154E84}"/>
    <cellStyle name="Table Row Billions Check 2" xfId="322" xr:uid="{8AAE3460-71AE-4F00-A3D0-1EBFDCF09B22}"/>
    <cellStyle name="Table Row Billions Check 3" xfId="323" xr:uid="{DC959D46-B566-4B23-A98D-32F4D0A0BB18}"/>
    <cellStyle name="Table Row Billions Check_asset sales" xfId="324" xr:uid="{7E85F4FF-4DC9-48FA-92CE-2DDBCCD38C66}"/>
    <cellStyle name="Table Row Billions_Additional charts" xfId="37617" xr:uid="{6391C22E-0B44-41EC-91E2-5702B641CB7C}"/>
    <cellStyle name="Table Row Millions" xfId="325" xr:uid="{E53480E6-A021-432A-9D2C-4C649452FCEC}"/>
    <cellStyle name="Table Row Millions 2" xfId="326" xr:uid="{2589A7AB-A504-4716-8893-6F56989D5B32}"/>
    <cellStyle name="Table Row Millions 2 2" xfId="327" xr:uid="{036E209D-1169-4EB9-BDA2-AC18D6C93EFE}"/>
    <cellStyle name="Table Row Millions Check" xfId="328" xr:uid="{2D631D02-3917-48B4-8639-C92F8618330E}"/>
    <cellStyle name="Table Row Millions Check 2" xfId="329" xr:uid="{36284D42-6DEE-4D9C-BE28-790A206E86A6}"/>
    <cellStyle name="Table Row Millions Check 3" xfId="330" xr:uid="{B1EF0284-B35D-4679-9C25-5ABAB94579C9}"/>
    <cellStyle name="Table Row Millions Check 4" xfId="331" xr:uid="{68FDC07C-4DE8-4608-99F0-182DBCA9F153}"/>
    <cellStyle name="Table Row Millions Check_asset sales" xfId="332" xr:uid="{62078B5C-CC6D-4D06-A622-6DB6072B556C}"/>
    <cellStyle name="Table Row Millions_Additional charts" xfId="37618" xr:uid="{C1CEBB6A-33A7-4291-9A82-259E2854F0D0}"/>
    <cellStyle name="Table Row Percentage" xfId="333" xr:uid="{42DC63FE-A8F4-4B21-8CE7-F25AB32F0C60}"/>
    <cellStyle name="Table Row Percentage 2" xfId="334" xr:uid="{08998775-B3BF-4660-B77A-9146972647F6}"/>
    <cellStyle name="Table Row Percentage Check" xfId="335" xr:uid="{42781A59-54DF-4FA5-B0DC-7D2AE0E215A4}"/>
    <cellStyle name="Table Row Percentage Check 2" xfId="336" xr:uid="{611F958B-FA3F-41C5-B7F1-F1F05EB14BE8}"/>
    <cellStyle name="Table Row Percentage Check 3" xfId="337" xr:uid="{40A94FB3-BBF2-4F9A-94F9-4866A494CA44}"/>
    <cellStyle name="Table Row Percentage Check_asset sales" xfId="338" xr:uid="{4940E8B3-97A3-4D2D-B89D-7891BA1D028B}"/>
    <cellStyle name="Table Row Percentage_Additional charts" xfId="37619" xr:uid="{B17F4F0F-9165-4DCA-A873-2E760DD35F9B}"/>
    <cellStyle name="Table slash" xfId="37620" xr:uid="{42103FD4-3BEA-453B-87AA-1CA3DEA09B2D}"/>
    <cellStyle name="Table Source" xfId="37621" xr:uid="{CBF859D2-793A-4285-AB31-5F34A0BFB142}"/>
    <cellStyle name="Table Text" xfId="37622" xr:uid="{63E7BE71-0CC0-429F-8332-0FAD61426CD9}"/>
    <cellStyle name="Table Title" xfId="37623" xr:uid="{8A65D2E8-9D27-49E1-84B6-AD2510E6CD91}"/>
    <cellStyle name="Table Total Billions" xfId="339" xr:uid="{6AC24830-F543-4168-ACF4-2FBA21E9D708}"/>
    <cellStyle name="Table Total Billions 2" xfId="340" xr:uid="{9BFB8BE8-D5FD-48BF-A00E-9C530FA6BF36}"/>
    <cellStyle name="Table Total Billions 2 2" xfId="37624" xr:uid="{349E214C-0ECA-42BB-994B-7A6DFE61E930}"/>
    <cellStyle name="Table Total Billions 3" xfId="37625" xr:uid="{630B1EF5-8E29-4CBD-A275-F5541D4ADCDF}"/>
    <cellStyle name="Table Total Billions_Additional charts" xfId="37626" xr:uid="{74222002-0C88-469B-83C3-ADA7F7AA3632}"/>
    <cellStyle name="Table Total Millions" xfId="341" xr:uid="{03D4DB57-D76A-43A3-AE5D-5A02A704B507}"/>
    <cellStyle name="Table Total Millions 2" xfId="342" xr:uid="{7D4A4967-E00B-4416-8AF7-288F169D7403}"/>
    <cellStyle name="Table Total Millions 2 2" xfId="343" xr:uid="{F02E09BE-0D9B-47D8-A80B-0763DC3E0EEA}"/>
    <cellStyle name="Table Total Millions 2 2 2" xfId="37627" xr:uid="{1F102270-E1C5-4621-BEAE-1E4FD786F341}"/>
    <cellStyle name="Table Total Millions 2 3" xfId="37628" xr:uid="{3B949F2B-E94C-4139-A78C-BF767337C028}"/>
    <cellStyle name="Table Total Millions 3" xfId="37629" xr:uid="{6A6C46A4-35F7-400F-90E2-E090DEE898E5}"/>
    <cellStyle name="Table Total Millions_Additional charts" xfId="37630" xr:uid="{6F6B862A-9411-44E1-89C9-8F06AAA709EC}"/>
    <cellStyle name="Table Total Percentage" xfId="344" xr:uid="{2463729B-0D89-434D-B4C7-4C4D8B10FE29}"/>
    <cellStyle name="Table Total Percentage 2" xfId="345" xr:uid="{F7E6C755-71C6-438D-8C40-76EF7F61189E}"/>
    <cellStyle name="Table Total Percentage 2 2" xfId="37631" xr:uid="{1AD5D9FB-481E-4915-B827-52756E911406}"/>
    <cellStyle name="Table Total Percentage 3" xfId="37632" xr:uid="{834A2110-B9BB-49BE-B098-CD8555662169}"/>
    <cellStyle name="Table Total Percentage_Additional charts" xfId="37633" xr:uid="{4D111573-40AF-48FC-9C89-A4493F3ECC03}"/>
    <cellStyle name="Table Units" xfId="346" xr:uid="{0E2B24F5-4F77-4964-B85E-C9869DBED766}"/>
    <cellStyle name="Table Units 2" xfId="347" xr:uid="{CEE74C67-22D1-4A60-9B29-ED0A4F8236C2}"/>
    <cellStyle name="Table Units 2 2" xfId="348" xr:uid="{8AB680D0-D70C-43BA-8614-DDC606CD1DD0}"/>
    <cellStyle name="Table Units 3" xfId="37634" xr:uid="{AC922573-F58A-4FEE-AAE2-9F85684047F1}"/>
    <cellStyle name="Table Units_Additional charts" xfId="37635" xr:uid="{9211C25F-99B7-406A-AD86-A152322235D4}"/>
    <cellStyle name="Table_center" xfId="37636" xr:uid="{D9E11FAD-81D8-437B-A438-747BA27E2732}"/>
    <cellStyle name="TableBody" xfId="37637" xr:uid="{5AF731BA-5F0F-4301-921A-1079A2CC0A03}"/>
    <cellStyle name="TableColHeads" xfId="37638" xr:uid="{6627BDE8-33E4-4D07-92B2-4C2D68ACAC16}"/>
    <cellStyle name="Term" xfId="37639" xr:uid="{7432A2B5-4E7E-4787-889A-FFCD47B3F09C}"/>
    <cellStyle name="test" xfId="37640" xr:uid="{EC4029E2-E457-463E-BF51-89EC6242D968}"/>
    <cellStyle name="test 2" xfId="37641" xr:uid="{6CF043F8-4CE6-4768-A41D-37D533E8820E}"/>
    <cellStyle name="test 2 2" xfId="37642" xr:uid="{EC4E30D8-BD37-40EC-ADEA-645DEE155945}"/>
    <cellStyle name="test 2 3" xfId="37643" xr:uid="{AC6A2496-AF3F-427E-87D0-E98ED63B7472}"/>
    <cellStyle name="test 2 4" xfId="37644" xr:uid="{FF92AE21-553F-4C7B-B08E-008EAFCC49B1}"/>
    <cellStyle name="test 2 5" xfId="37645" xr:uid="{C3F33C9F-D4AB-472D-82A0-CCF0884BC48A}"/>
    <cellStyle name="test 3" xfId="37646" xr:uid="{FE175E97-5639-4692-99BF-BF617C8DEC31}"/>
    <cellStyle name="test 4" xfId="37647" xr:uid="{D7A5EF7B-C876-4697-BF57-28C6867A3FA5}"/>
    <cellStyle name="test 5" xfId="37648" xr:uid="{00526B10-2BDC-458B-BD3E-F0B1512A39BA}"/>
    <cellStyle name="test 6" xfId="37649" xr:uid="{6C9C31A3-43A3-4647-9793-2A4D27ABE6CF}"/>
    <cellStyle name="test 7" xfId="37650" xr:uid="{D8806B79-C941-45DB-8747-ED6EBAD487D3}"/>
    <cellStyle name="test 8" xfId="37651" xr:uid="{D08371A9-BCD6-494D-A8A3-7708C18FB424}"/>
    <cellStyle name="Testo avviso" xfId="37652" xr:uid="{6C693DB0-ADB1-47AC-8C5C-C56091C82CE7}"/>
    <cellStyle name="Testo avviso 2" xfId="37653" xr:uid="{37D8DCBC-4AC4-45A8-9413-1ECED37D087D}"/>
    <cellStyle name="Testo descrittivo" xfId="37654" xr:uid="{39B3FEDF-B50F-402B-961A-001EE5315320}"/>
    <cellStyle name="Testo descrittivo 2" xfId="37655" xr:uid="{942E7BF5-5509-4AA3-B74D-9C6694992076}"/>
    <cellStyle name="tête chapitre" xfId="37656" xr:uid="{D69B8B99-88DF-4719-9D59-D95C20623FE1}"/>
    <cellStyle name="Text" xfId="406" xr:uid="{59F6EBA9-38B7-4D4E-831F-6B485F2DFC57}"/>
    <cellStyle name="Text 1" xfId="37658" xr:uid="{8AB81C4D-8578-4609-8B73-2AD118346CC0}"/>
    <cellStyle name="Text 2" xfId="37659" xr:uid="{F320AC32-A889-4494-BF9D-CA2DEBEFEEE3}"/>
    <cellStyle name="Text 3" xfId="37657" xr:uid="{A0B65F98-797B-4226-A6DD-12B1B6672018}"/>
    <cellStyle name="Text Head 1" xfId="37660" xr:uid="{F010CE45-2350-4E51-8F30-93596FB6B3B6}"/>
    <cellStyle name="Text Head 2" xfId="37661" xr:uid="{301E7AC9-EECA-4156-9363-264FABE30640}"/>
    <cellStyle name="Text Indent 1" xfId="37662" xr:uid="{FC0CFC12-7337-4170-99B6-D67F2B3E6795}"/>
    <cellStyle name="Text Indent 2" xfId="37663" xr:uid="{7ACEEE39-61D3-44F8-ABC2-3E21E3535776}"/>
    <cellStyle name="Text Level 1" xfId="37664" xr:uid="{D0C82833-C786-4E56-B323-4071DB2E1F14}"/>
    <cellStyle name="Text Level 1 2" xfId="37665" xr:uid="{A4E4D2CA-1464-4C70-9A2E-B4EA301F59E7}"/>
    <cellStyle name="Text Level 2" xfId="37666" xr:uid="{E0B78C70-D789-45BA-9B14-7E83F19493A3}"/>
    <cellStyle name="Text Level 2 2" xfId="37667" xr:uid="{B949639E-38BB-49A8-A01B-A7397E2C6ACB}"/>
    <cellStyle name="Text Level 3" xfId="37668" xr:uid="{71EA8523-103C-41DB-AA4B-FCC15838A8BD}"/>
    <cellStyle name="Text Level 3 2" xfId="37669" xr:uid="{3BC7EC07-F552-4FB7-9E51-98924678C174}"/>
    <cellStyle name="Text Level 4" xfId="37670" xr:uid="{352D9ADE-634F-442D-ADD3-A8E2063FCF10}"/>
    <cellStyle name="Text Level 4 2" xfId="37671" xr:uid="{856F94D5-E4B3-488E-BE68-53CACCC2B7AA}"/>
    <cellStyle name="Tickmark" xfId="37672" xr:uid="{68CFE19B-E94A-4E94-B2E0-F4C5C5CF2D5F}"/>
    <cellStyle name="TIME Detail" xfId="37673" xr:uid="{AE9840AA-CEDE-411D-8CB7-A6DEB5DA230E}"/>
    <cellStyle name="TIME Detail 2" xfId="37674" xr:uid="{C33C92B2-25F2-4C17-94F3-89930D7F56FB}"/>
    <cellStyle name="TIME Period Start" xfId="37675" xr:uid="{EAFA26EB-1E39-4A0D-B680-8A4376B81E12}"/>
    <cellStyle name="Timeline" xfId="37676" xr:uid="{81F44924-6B2C-4B38-BB4D-7B6D5C40F6DE}"/>
    <cellStyle name="Times New Roman" xfId="349" xr:uid="{CE6EC5DA-254A-4C8D-8040-6F956DACF085}"/>
    <cellStyle name="Title" xfId="3" builtinId="15" customBuiltin="1"/>
    <cellStyle name="Title 1" xfId="37677" xr:uid="{D257E4E2-52E2-4566-9F14-342D8EF611BD}"/>
    <cellStyle name="Title 10" xfId="37678" xr:uid="{16AB4322-3703-4115-8B87-D7E7A20ED334}"/>
    <cellStyle name="Title 11" xfId="37679" xr:uid="{22871E0A-5E13-4C52-9F81-D38C5B867BA0}"/>
    <cellStyle name="Title 12" xfId="37680" xr:uid="{B6DC4CEC-72E4-4994-96F5-8821E3D9C01F}"/>
    <cellStyle name="Title 13" xfId="37681" xr:uid="{28F308B6-7FF1-4D04-AE38-92EB52AA0B0B}"/>
    <cellStyle name="Title 14" xfId="37682" xr:uid="{29DB4312-9816-4DE5-9D79-48B645F878A7}"/>
    <cellStyle name="Title 15" xfId="37683" xr:uid="{08968A14-0236-40F1-8298-0DD081432DA8}"/>
    <cellStyle name="Title 16" xfId="37684" xr:uid="{9A47E465-9856-4FC6-AB70-A59077A59BDE}"/>
    <cellStyle name="Title 17" xfId="37685" xr:uid="{ACE243D3-8E03-4DA2-92CD-15070EA66838}"/>
    <cellStyle name="Title 18" xfId="37686" xr:uid="{4A91DADB-4F7D-4C82-B3EA-9A2DDE10DC90}"/>
    <cellStyle name="Title 19" xfId="37687" xr:uid="{34BDFBAE-6446-471B-AB6C-FE685C869D32}"/>
    <cellStyle name="Title 2" xfId="350" xr:uid="{4EE573B1-A6B1-4820-8ABE-5CC0C8A8A110}"/>
    <cellStyle name="Title 2 2" xfId="37688" xr:uid="{D6015F06-047A-4C05-8D0E-C7679B24E346}"/>
    <cellStyle name="Title 2 2 2" xfId="37689" xr:uid="{B7AA762D-F541-4F9F-BD04-140C1ABBF12F}"/>
    <cellStyle name="Title 2 3" xfId="37690" xr:uid="{9DF8ED68-CB7F-4FB7-B800-47282AB2F02A}"/>
    <cellStyle name="Title 20" xfId="37691" xr:uid="{ABFA38D3-752F-48FC-A1AA-1C3C56F3BA8B}"/>
    <cellStyle name="Title 21" xfId="37692" xr:uid="{2590269C-DBA8-442B-AA52-E56794957579}"/>
    <cellStyle name="Title 22" xfId="37693" xr:uid="{9EE0B521-4510-40C1-A091-959CE7913952}"/>
    <cellStyle name="Title 23" xfId="37694" xr:uid="{BF225CF9-DC7D-4A4E-8B42-448E2887427A}"/>
    <cellStyle name="Title 24" xfId="37695" xr:uid="{609B9E4C-C091-4E3B-A2B4-43EDDD809975}"/>
    <cellStyle name="Title 25" xfId="37696" xr:uid="{BB7E2B27-FAF1-455B-9CB8-4356BBA492A1}"/>
    <cellStyle name="Title 26" xfId="37697" xr:uid="{EB1A8286-0A84-47BB-8FBE-B830237E00C2}"/>
    <cellStyle name="Title 27" xfId="37698" xr:uid="{0438BB4A-40DC-4A23-8233-59E5967BDAF6}"/>
    <cellStyle name="Title 28" xfId="37699" xr:uid="{97BDB64C-6278-4BF7-AB44-7BA6AE5D55F4}"/>
    <cellStyle name="Title 29" xfId="37700" xr:uid="{04E5CFB4-3846-4694-AF56-BF7FA1C46923}"/>
    <cellStyle name="Title 3" xfId="351" xr:uid="{680ECA87-1F99-4CA0-B64D-EF9BA8A9AFAF}"/>
    <cellStyle name="Title 3 2" xfId="37701" xr:uid="{66846574-B4B5-4BC7-BC0E-F6F41D2F9B35}"/>
    <cellStyle name="Title 30" xfId="37702" xr:uid="{4B4543B8-6740-4C2E-90C5-B4B541F1D4E3}"/>
    <cellStyle name="Title 31" xfId="37703" xr:uid="{B0F83C13-029B-4392-B965-8F1333E55706}"/>
    <cellStyle name="Title 32" xfId="37704" xr:uid="{A9605773-A8F4-4AEE-8009-39BEB4EE3B30}"/>
    <cellStyle name="Title 33" xfId="37705" xr:uid="{D5E65728-0E3B-4E96-85EE-E4E3F0888D31}"/>
    <cellStyle name="Title 34" xfId="37706" xr:uid="{770DA511-0F96-46C5-BF21-39D54FF8119C}"/>
    <cellStyle name="Title 35" xfId="37707" xr:uid="{4ECC6845-F1F6-46D8-AAA6-BCC1F0AAE77C}"/>
    <cellStyle name="Title 35 2" xfId="37708" xr:uid="{6E5CB3AA-C146-45D2-8127-E435F890733A}"/>
    <cellStyle name="Title 35 2 2" xfId="37709" xr:uid="{D889BB13-EF76-4C94-AF96-4E5E11169C48}"/>
    <cellStyle name="Title 35 2 2 2" xfId="37710" xr:uid="{BC3A6500-8CB8-4E79-BA24-F81CC858653D}"/>
    <cellStyle name="Title 35 3" xfId="37711" xr:uid="{28BA5604-A8F7-4DDD-942E-14D6672668C6}"/>
    <cellStyle name="Title 35 4" xfId="37712" xr:uid="{330D43B1-A9A9-478E-8509-AB409E6B2AA0}"/>
    <cellStyle name="Title 36" xfId="37713" xr:uid="{2EEA0CFD-67C2-4229-BDBC-CA74E8C93B85}"/>
    <cellStyle name="Title 37" xfId="37714" xr:uid="{C34F3309-A504-4E9A-9187-8B3E26A3FC38}"/>
    <cellStyle name="Title 38" xfId="37715" xr:uid="{1AF4AE47-4DB8-4698-9386-08B0B9CA016B}"/>
    <cellStyle name="Title 39" xfId="37716" xr:uid="{4C766E45-C71B-470B-B55C-58F1384047A4}"/>
    <cellStyle name="Title 4" xfId="352" xr:uid="{11B37F3D-DDCA-4A5A-983D-F486AA90B35C}"/>
    <cellStyle name="Title 4 2" xfId="37717" xr:uid="{1A8E206A-F671-4AC8-8C3A-31CE84DC113C}"/>
    <cellStyle name="Title 40" xfId="37718" xr:uid="{D56A3A20-3336-4B35-8193-F40EAF3FD452}"/>
    <cellStyle name="Title 41" xfId="37719" xr:uid="{28A4A710-2FA8-4A0B-AFD6-5F352D3E325A}"/>
    <cellStyle name="Title 42" xfId="37720" xr:uid="{52A7A8FF-0830-4ED1-8F4D-CE8E2B2A89D4}"/>
    <cellStyle name="Title 43" xfId="37721" xr:uid="{6B47C5FE-F4EA-49DA-8C9B-736C022C2454}"/>
    <cellStyle name="Title 44" xfId="37722" xr:uid="{E3E1C3E0-C538-4E96-AB66-561B27D1284A}"/>
    <cellStyle name="Title 45" xfId="37723" xr:uid="{3FA64513-25D9-4756-A17E-04D4BE375271}"/>
    <cellStyle name="Title 46" xfId="37724" xr:uid="{267D77EB-15A0-48EB-8500-AF99A9644266}"/>
    <cellStyle name="Title 47" xfId="37725" xr:uid="{B5DC956F-3EAD-468D-95F9-8292B749F125}"/>
    <cellStyle name="Title 48" xfId="37726" xr:uid="{1F32AA90-54D1-4A05-A942-D87CE69A014D}"/>
    <cellStyle name="Title 49" xfId="37727" xr:uid="{FFC01F1F-0E7A-4185-B51A-FDE3143D947C}"/>
    <cellStyle name="Title 5" xfId="388" xr:uid="{E7B5CE35-5A5B-42D6-B0C2-9EBB027BE6CF}"/>
    <cellStyle name="Title 5 2" xfId="37728" xr:uid="{CD12AC74-2410-4FFB-BB91-BB5875140DE7}"/>
    <cellStyle name="Title 50" xfId="37729" xr:uid="{F70B1C82-891D-47B7-8133-69F9EC880BBE}"/>
    <cellStyle name="Title 51" xfId="37730" xr:uid="{80C809D0-E5F3-4265-8D2A-316899FA53D1}"/>
    <cellStyle name="Title 52" xfId="37731" xr:uid="{F430B0F1-1EF2-47DC-836E-80ADFC913A7C}"/>
    <cellStyle name="Title 53" xfId="37732" xr:uid="{F7CADB1C-D388-4B7B-93EE-696E97688607}"/>
    <cellStyle name="Title 54" xfId="37733" xr:uid="{15092C9A-58EB-4DEC-8FD9-01A7AA3FEA58}"/>
    <cellStyle name="Title 55" xfId="37734" xr:uid="{E30CD3B7-328C-4019-903A-D65DDEA98F38}"/>
    <cellStyle name="Title 56" xfId="37735" xr:uid="{5E594FDC-C958-48FA-9E1F-0C4EDDC46C41}"/>
    <cellStyle name="Title 57" xfId="37736" xr:uid="{0B3E8D4C-086E-4B33-8351-8C0095251800}"/>
    <cellStyle name="Title 58" xfId="37737" xr:uid="{DFBDADA5-D920-4EF7-9AB6-1C63B39F4D60}"/>
    <cellStyle name="Title 59" xfId="37738" xr:uid="{AB9797CD-927C-462E-820E-72DF93274CA1}"/>
    <cellStyle name="Title 6" xfId="37739" xr:uid="{ACC63ED0-497D-41E1-82E1-1ADB26747AB7}"/>
    <cellStyle name="Title 60" xfId="37740" xr:uid="{D81F0AAD-8061-42B8-ACB8-A9F0510227E2}"/>
    <cellStyle name="Title 60 2" xfId="37741" xr:uid="{CC72E4FF-A291-4EB9-B198-FB86B61D9083}"/>
    <cellStyle name="Title 60 2 2" xfId="37742" xr:uid="{1BEDD526-840F-4C4E-81F4-6719DDE023C3}"/>
    <cellStyle name="Title 60 2 2 2" xfId="37743" xr:uid="{C087E26B-6A00-400E-BB64-FEF4ECE2A284}"/>
    <cellStyle name="Title 60 2 3" xfId="37744" xr:uid="{434FF7E6-64EE-48F2-B385-14DB0BD2A942}"/>
    <cellStyle name="Title 60 3" xfId="37745" xr:uid="{49C761F9-CAEB-44A5-A3FC-D4524D574020}"/>
    <cellStyle name="Title 61" xfId="37746" xr:uid="{C2A2A0A3-BCD3-4980-BA7B-F573CCD5B5E2}"/>
    <cellStyle name="Title 62" xfId="37747" xr:uid="{261BBD6A-A9C6-4042-9F21-DC9E3DB97A99}"/>
    <cellStyle name="Title 63" xfId="37748" xr:uid="{E8E08AE0-0E42-466B-BFD5-F1D3B85B1173}"/>
    <cellStyle name="Title 64" xfId="37749" xr:uid="{C6E7484C-2141-4A29-AA48-CBFF240D97C3}"/>
    <cellStyle name="Title 65" xfId="38071" xr:uid="{CE276933-6F5D-42A7-8C02-780B259EB284}"/>
    <cellStyle name="Title 66" xfId="418" xr:uid="{85B79B1E-799F-4869-83E4-5539CA8D78EA}"/>
    <cellStyle name="Title 7" xfId="37750" xr:uid="{7C3A18C9-9F41-4DFF-81BD-F44025535618}"/>
    <cellStyle name="Title 8" xfId="37751" xr:uid="{3330F9CA-BC34-41A0-B63D-93C0B85128E9}"/>
    <cellStyle name="Title 9" xfId="37752" xr:uid="{A9BED68A-C9A0-4BB6-A891-13D39346BE4F}"/>
    <cellStyle name="Title1" xfId="37753" xr:uid="{80FC110F-4A0E-4F3D-89FE-AE4FFE465AF3}"/>
    <cellStyle name="Title-1" xfId="37754" xr:uid="{4F46FF66-A0F0-4DF0-9222-9C121D9EBB1A}"/>
    <cellStyle name="Title1 10" xfId="37755" xr:uid="{571582A4-3F59-4D1A-ABD3-F3ACBB50AFB7}"/>
    <cellStyle name="Title1 2" xfId="37756" xr:uid="{5331D152-05D5-48A4-8601-9EA04F019F1E}"/>
    <cellStyle name="Title-1 2" xfId="37757" xr:uid="{83B9E86C-4852-464A-844C-AC147381EE39}"/>
    <cellStyle name="Title1 2 2" xfId="37758" xr:uid="{A86E3F36-AF95-421E-ABB1-C8DB034DBB7D}"/>
    <cellStyle name="Title1 2 2 2" xfId="37759" xr:uid="{19095B1D-7B25-41DB-91DC-3D37B02FD75F}"/>
    <cellStyle name="Title1 3" xfId="37760" xr:uid="{D89B3A7C-5AED-4DCE-BCD8-62722A10F287}"/>
    <cellStyle name="Title-1 3" xfId="37761" xr:uid="{EA0076F7-2D74-4CDD-B3F3-0CF4DC75C3FD}"/>
    <cellStyle name="Title1 4" xfId="37762" xr:uid="{082E4A14-2784-47DE-8A08-53A42D6867C1}"/>
    <cellStyle name="Title-1 4" xfId="37763" xr:uid="{D8F0810B-4B23-43A5-8E90-3A9F292A8E7B}"/>
    <cellStyle name="Title1 5" xfId="37764" xr:uid="{684F655F-3359-485F-A668-552E3E6ADBD6}"/>
    <cellStyle name="Title1 6" xfId="37765" xr:uid="{9496C635-034F-46D4-B8FC-88F167C9A54A}"/>
    <cellStyle name="Title1 7" xfId="37766" xr:uid="{0103698D-BC25-4A4C-84F8-560F62C50B7E}"/>
    <cellStyle name="Title1 8" xfId="37767" xr:uid="{1D08B00F-D94E-4107-80DD-3C74B65203F1}"/>
    <cellStyle name="Title1 9" xfId="37768" xr:uid="{6FB2877B-FD8B-4196-A2AD-7E19E9DBF9E2}"/>
    <cellStyle name="Title2" xfId="37769" xr:uid="{B27E2E64-FE07-4F8E-8426-01EAF30BB85E}"/>
    <cellStyle name="Title-2" xfId="37770" xr:uid="{D9B397CF-E87D-4F53-87C1-857FD557E58C}"/>
    <cellStyle name="Title2 2" xfId="37771" xr:uid="{5F5D108C-92CD-4751-AD50-13EC7C6C06B6}"/>
    <cellStyle name="Title-2 2" xfId="37772" xr:uid="{E72C8B0F-9146-4260-8658-A980C81DF28D}"/>
    <cellStyle name="Title2 2 2" xfId="37773" xr:uid="{9CB5E1F1-90A2-44B7-82A3-27588C33577B}"/>
    <cellStyle name="Title2 3" xfId="37774" xr:uid="{442D1B68-9E88-488B-9118-AF3CFBAE7ED9}"/>
    <cellStyle name="Title-2 3" xfId="37775" xr:uid="{E64E5FA3-113C-481D-808B-9BF33DB01507}"/>
    <cellStyle name="Title-2 4" xfId="37776" xr:uid="{8E413B4B-32B2-4388-B45F-47034A38526D}"/>
    <cellStyle name="Title3" xfId="37777" xr:uid="{789EA080-9A6F-4604-944C-CEC85055124C}"/>
    <cellStyle name="Title3 2" xfId="37778" xr:uid="{29288482-5B9D-428A-8B32-A362B010E33A}"/>
    <cellStyle name="Title3 3" xfId="37779" xr:uid="{B7805FB2-2C73-473E-8F3E-F5258B4E8541}"/>
    <cellStyle name="Title3 4" xfId="37780" xr:uid="{5625964B-65FF-49C0-908C-3370A3B67AE1}"/>
    <cellStyle name="Title3 5" xfId="37781" xr:uid="{46FBA35E-4ADA-4B52-A514-B1E3352FD205}"/>
    <cellStyle name="Title3 6" xfId="37782" xr:uid="{71C146AF-9980-4199-85FC-FE5C2F53CE0C}"/>
    <cellStyle name="Title3 7" xfId="37783" xr:uid="{EA71E46B-978B-4031-A8E5-0B4ED8D6C326}"/>
    <cellStyle name="Title3 8" xfId="37784" xr:uid="{61685831-1AE9-4285-ADE2-1A2219055A5A}"/>
    <cellStyle name="Title4" xfId="37785" xr:uid="{208BB465-F9EA-41DE-93C2-4EBE94796AE2}"/>
    <cellStyle name="Title4 10" xfId="37786" xr:uid="{764C8D55-1B0F-4E0A-A040-7B7011B3630E}"/>
    <cellStyle name="Title4 2" xfId="37787" xr:uid="{DB74C973-76A2-4541-A528-D2861DE21727}"/>
    <cellStyle name="Title4 2 2" xfId="37788" xr:uid="{1F76CE31-C654-464A-80CD-9F7A05989D5C}"/>
    <cellStyle name="Title4 2 2 2" xfId="37789" xr:uid="{5F3C6BE4-77F9-40B7-98A1-3F2B986B769E}"/>
    <cellStyle name="Title4 3" xfId="37790" xr:uid="{DD067236-67CB-4CEA-9DBD-1C77E24B30D9}"/>
    <cellStyle name="Title4 4" xfId="37791" xr:uid="{6AFCDC10-9E88-43A0-83FF-21EB4141700D}"/>
    <cellStyle name="Title4 5" xfId="37792" xr:uid="{B02AACBE-7860-47FE-A985-72CAC48459ED}"/>
    <cellStyle name="Title4 6" xfId="37793" xr:uid="{37BD24FC-2B20-4F06-B6F7-444B1035671A}"/>
    <cellStyle name="Title4 7" xfId="37794" xr:uid="{54738D7C-AEB2-4547-BD36-F9AAD5F72581}"/>
    <cellStyle name="Title4 8" xfId="37795" xr:uid="{0EFFDECD-03FF-48E8-AC29-31AE80F99C24}"/>
    <cellStyle name="Title4 9" xfId="37796" xr:uid="{254479A1-CB7C-47CD-884B-B139D291A7E9}"/>
    <cellStyle name="Title5" xfId="37797" xr:uid="{16B6FED3-D1BB-44F8-9C4D-ED43DD8195C8}"/>
    <cellStyle name="Title5 10" xfId="37798" xr:uid="{81109FDA-D110-4DFD-8FB0-8EDC9B73FECA}"/>
    <cellStyle name="Title5 11" xfId="37799" xr:uid="{2C66155C-D71A-4147-9D11-51B4633CC2CE}"/>
    <cellStyle name="Title5 2" xfId="37800" xr:uid="{F71C3A15-5F65-4404-90A6-2466CA0763EC}"/>
    <cellStyle name="Title5 2 2" xfId="37801" xr:uid="{AA36C9F9-04D9-49D4-B2AA-6B7B19A8E1E6}"/>
    <cellStyle name="Title5 2 2 2" xfId="37802" xr:uid="{E2E7E5B7-D9E2-423B-9F32-29D441095E5C}"/>
    <cellStyle name="Title5 2 2 3" xfId="37803" xr:uid="{B0937807-E14C-4686-8F28-DBE625242FB4}"/>
    <cellStyle name="Title5 3" xfId="37804" xr:uid="{51B94742-F398-47C9-B4C5-883C29EA872B}"/>
    <cellStyle name="Title5 4" xfId="37805" xr:uid="{F561DDD4-4691-4165-97CD-D317FB48AE89}"/>
    <cellStyle name="Title5 5" xfId="37806" xr:uid="{FDC1DECE-D976-4212-AB0A-F5BB7159FA9D}"/>
    <cellStyle name="Title5 6" xfId="37807" xr:uid="{0655370E-C85C-496D-B300-6191BA84B182}"/>
    <cellStyle name="Title5 7" xfId="37808" xr:uid="{0CE4184B-59E2-4DB2-B2EC-5A6724D474B1}"/>
    <cellStyle name="Title5 8" xfId="37809" xr:uid="{91F17CBD-48ED-47B5-9150-B4E1F05DB969}"/>
    <cellStyle name="Title5 9" xfId="37810" xr:uid="{7868900E-26A4-4F52-A530-0819A7B12067}"/>
    <cellStyle name="Title6" xfId="37811" xr:uid="{92A2960A-0542-4547-A86A-6418AB48EB53}"/>
    <cellStyle name="Title6 10" xfId="37812" xr:uid="{DECF71DD-CE13-4CF9-9B45-12D089E35F51}"/>
    <cellStyle name="Title6 11" xfId="37813" xr:uid="{F0FB021E-A25B-4A01-9B5F-8F8E0AF5885E}"/>
    <cellStyle name="Title6 2" xfId="37814" xr:uid="{23A59897-AA35-4EA8-B440-F46E745EAF74}"/>
    <cellStyle name="Title6 2 2" xfId="37815" xr:uid="{7D90226C-348D-4BC5-BBE0-E40755A4264D}"/>
    <cellStyle name="Title6 2 2 2" xfId="37816" xr:uid="{45CE7BCE-E010-4FFD-926A-8C72490CFBF7}"/>
    <cellStyle name="Title6 2 2 3" xfId="37817" xr:uid="{AE8A50D3-079B-4C30-B2C5-AD4AAF8CEA81}"/>
    <cellStyle name="Title6 3" xfId="37818" xr:uid="{9BE9DFA5-5B97-4B1E-BFA9-6E63957E730A}"/>
    <cellStyle name="Title6 4" xfId="37819" xr:uid="{458F608E-9665-41A9-A363-2E345F773CDD}"/>
    <cellStyle name="Title6 5" xfId="37820" xr:uid="{6665BBD6-58E5-4E5E-A143-F73F463F9BE1}"/>
    <cellStyle name="Title6 6" xfId="37821" xr:uid="{5E93EB03-0AF1-4B29-945C-080353E2ADDE}"/>
    <cellStyle name="Title6 7" xfId="37822" xr:uid="{89B360F8-6EF8-4F8C-8FB9-54F40438C632}"/>
    <cellStyle name="Title6 8" xfId="37823" xr:uid="{A793D7BA-F1E2-46A5-B971-97B9C18D622B}"/>
    <cellStyle name="Title6 9" xfId="37824" xr:uid="{86EBF0E5-A784-4B45-AB82-A48BBB283412}"/>
    <cellStyle name="Titolo" xfId="37825" xr:uid="{613929EF-1525-4B74-B415-F0A976972D9B}"/>
    <cellStyle name="Titolo 1" xfId="37826" xr:uid="{5B9F3723-B8E9-44AA-BB37-E239D2FDD9C0}"/>
    <cellStyle name="Titolo 1 2" xfId="37827" xr:uid="{B7530A66-CE97-4B6E-8825-452763182C2B}"/>
    <cellStyle name="Titolo 2" xfId="37828" xr:uid="{AA078CB1-A757-4A94-98FB-19A9BEE186BB}"/>
    <cellStyle name="Titolo 2 2" xfId="37829" xr:uid="{187BA4FD-A36F-4613-BF9F-0E8465B18CCE}"/>
    <cellStyle name="Titolo 3" xfId="37830" xr:uid="{A58434C3-6EF2-4A1F-B393-F9576E797174}"/>
    <cellStyle name="Titolo 3 2" xfId="37831" xr:uid="{F066BA9D-FC65-460F-8DAD-01EAA4753B3F}"/>
    <cellStyle name="Titolo 4" xfId="37832" xr:uid="{3FBE44F2-1606-430D-A660-37FE15C4DB78}"/>
    <cellStyle name="Titolo 4 2" xfId="37833" xr:uid="{536B17CE-F0A0-4065-9BD3-026977705EEE}"/>
    <cellStyle name="Titolo 5" xfId="37834" xr:uid="{7A884968-6D5D-445B-8424-04AFFFE2DB16}"/>
    <cellStyle name="Titolo_Demand_Source_Cen" xfId="37835" xr:uid="{AAED72E5-10F5-4242-A575-89042BA713CC}"/>
    <cellStyle name="titre" xfId="37836" xr:uid="{D85D212A-D519-4DAA-B0C6-EEA5BD49ACDA}"/>
    <cellStyle name="Titre ligne" xfId="37837" xr:uid="{005743CB-3052-4AAA-8D9F-58336C08E3EC}"/>
    <cellStyle name="Tmpl_Assumptions" xfId="37838" xr:uid="{8B5BA69B-EFF5-4F92-B507-D8E20D9FD3E3}"/>
    <cellStyle name="TOC 1" xfId="37839" xr:uid="{A2F3DD05-3F85-4606-A43E-E31FA8537424}"/>
    <cellStyle name="TOC 2" xfId="37840" xr:uid="{C3DA800D-CC8C-4823-A610-D45A0A881627}"/>
    <cellStyle name="Total" xfId="8" builtinId="25" customBuiltin="1"/>
    <cellStyle name="Total 10" xfId="37841" xr:uid="{DB2414F3-4F93-456B-9FF3-ED9BA024D4B4}"/>
    <cellStyle name="Total 11" xfId="37842" xr:uid="{F1C96832-F66B-413B-862B-974B4EA1CBE9}"/>
    <cellStyle name="Total 12" xfId="37843" xr:uid="{D2BAA6B8-D871-4F71-9775-7C7F76B4328D}"/>
    <cellStyle name="Total 13" xfId="37844" xr:uid="{33DF5547-12B8-4C78-A409-498EFE63CE96}"/>
    <cellStyle name="Total 14" xfId="37845" xr:uid="{85914C5B-3351-4F24-AF8D-A0C407C81383}"/>
    <cellStyle name="Total 15" xfId="37846" xr:uid="{65ADBD64-7D28-4BD3-88C9-F5D318D50D1B}"/>
    <cellStyle name="Total 16" xfId="37847" xr:uid="{1B550312-E998-4D61-A1AB-6385174A39EA}"/>
    <cellStyle name="Total 17" xfId="37848" xr:uid="{C391CD92-E67C-45B0-9932-E9F06614C79C}"/>
    <cellStyle name="Total 18" xfId="37849" xr:uid="{671DDD09-999E-41D8-A673-9E2C9DA97981}"/>
    <cellStyle name="Total 19" xfId="37850" xr:uid="{95FB3C84-B6C3-472D-B0CA-83215C82DCE4}"/>
    <cellStyle name="Total 2" xfId="353" xr:uid="{4F37EA94-F22D-4251-8C0A-76C07295E1A8}"/>
    <cellStyle name="Total 2 10" xfId="37852" xr:uid="{44B0534F-2ABD-4D7D-A950-8D99A760E71F}"/>
    <cellStyle name="Total 2 11" xfId="37853" xr:uid="{B2FC47FD-0BA9-4DF6-BE85-F3EA9A7862AD}"/>
    <cellStyle name="Total 2 12" xfId="37854" xr:uid="{44D59EC3-9680-434A-A92F-16256D6AA914}"/>
    <cellStyle name="Total 2 13" xfId="37851" xr:uid="{88741C39-7153-47CB-9D3A-A024FD69AABC}"/>
    <cellStyle name="Total 2 2" xfId="37855" xr:uid="{5B6B7FB4-E148-4976-B1A3-630963424FD1}"/>
    <cellStyle name="Total 2 2 2" xfId="37856" xr:uid="{01417F38-716A-4664-9768-8A5A3894ADAD}"/>
    <cellStyle name="Total 2 2 3" xfId="37857" xr:uid="{40130127-C642-4ACA-8105-1E58B17D4FB5}"/>
    <cellStyle name="Total 2 2 4" xfId="37858" xr:uid="{999576F9-11E1-4F01-B31A-4D3052FF94A2}"/>
    <cellStyle name="Total 2 2 5" xfId="37859" xr:uid="{7B98A83D-D86D-40EB-B34B-8DABC927FC4E}"/>
    <cellStyle name="Total 2 3" xfId="37860" xr:uid="{CA06204A-A12D-4D87-88B9-FF4DEB221904}"/>
    <cellStyle name="Total 2 4" xfId="37861" xr:uid="{6A4787DF-B9F4-41B5-9377-81AFD2B64C68}"/>
    <cellStyle name="Total 2 5" xfId="37862" xr:uid="{FED232FF-CF08-4C2F-9EEE-64890A0FF55F}"/>
    <cellStyle name="Total 2 6" xfId="37863" xr:uid="{17CEDE9B-D3B0-4725-B6D0-269108AA6ADD}"/>
    <cellStyle name="Total 2 7" xfId="37864" xr:uid="{0AB5D149-C6DC-433E-B12D-CF4BE1613F03}"/>
    <cellStyle name="Total 2 8" xfId="37865" xr:uid="{78655631-D34D-417D-8B02-A7917C8EEAD7}"/>
    <cellStyle name="Total 2 9" xfId="37866" xr:uid="{2DC9106D-FB74-4BFC-BD72-B5D50E38F625}"/>
    <cellStyle name="Total 20" xfId="37867" xr:uid="{D60EC9E0-B3FA-484E-83B0-131C7B96E840}"/>
    <cellStyle name="Total 21" xfId="37868" xr:uid="{CAE9F642-C715-41D1-BF51-A1E0A06F8EDF}"/>
    <cellStyle name="Total 22" xfId="37869" xr:uid="{71C08929-142D-42D0-8F7A-8FF0B909240B}"/>
    <cellStyle name="Total 23" xfId="37870" xr:uid="{BAEED657-ECCA-48F3-9F17-103314D38137}"/>
    <cellStyle name="Total 24" xfId="37871" xr:uid="{511ECA18-D812-4E81-9F9F-493AA6E1834D}"/>
    <cellStyle name="Total 25" xfId="37872" xr:uid="{67D27904-3D6B-4E93-AF40-97DA4CE42013}"/>
    <cellStyle name="Total 26" xfId="37873" xr:uid="{3B1C1D03-AD72-4527-9E66-16D9083936C5}"/>
    <cellStyle name="Total 27" xfId="37874" xr:uid="{0DFDE427-DDE5-43A4-8895-B728B8A51C24}"/>
    <cellStyle name="Total 28" xfId="37875" xr:uid="{0C2525F5-530C-4473-AF4C-E44028B484B9}"/>
    <cellStyle name="Total 29" xfId="37876" xr:uid="{8F0F49B1-FA9C-490E-9B43-87F0FA1CF2E2}"/>
    <cellStyle name="Total 3" xfId="37877" xr:uid="{51925BDA-C813-4136-8105-1990BE6FDF3C}"/>
    <cellStyle name="Total 3 10" xfId="37878" xr:uid="{38A36C3F-59E8-43C7-BBA5-56F4143DFF7D}"/>
    <cellStyle name="Total 3 2" xfId="37879" xr:uid="{5834AAEE-4EFF-4428-AD0B-C0FF2BE1C14F}"/>
    <cellStyle name="Total 3 3" xfId="37880" xr:uid="{5729983B-E106-4BD0-975A-938E1E846EA0}"/>
    <cellStyle name="Total 3 4" xfId="37881" xr:uid="{07931054-0E20-48AA-9C74-D90267B164E0}"/>
    <cellStyle name="Total 3 5" xfId="37882" xr:uid="{103E4931-34A8-499C-9939-FFC893DE3CF2}"/>
    <cellStyle name="Total 3 6" xfId="37883" xr:uid="{6EA6294C-86F7-49E1-B01C-0368ABF87F11}"/>
    <cellStyle name="Total 3 7" xfId="37884" xr:uid="{ADA86172-1E47-4FC0-A6A9-AAF01993CB4F}"/>
    <cellStyle name="Total 3 8" xfId="37885" xr:uid="{1EF19E44-95D5-4198-B03D-503E5D5FB4C7}"/>
    <cellStyle name="Total 3 9" xfId="37886" xr:uid="{FEB25907-788D-4017-A439-51230F6E082C}"/>
    <cellStyle name="Total 30" xfId="37887" xr:uid="{4A6F1094-6473-44D5-A467-F66E7850641E}"/>
    <cellStyle name="Total 31" xfId="37888" xr:uid="{C9DE62CE-EE9B-47F6-84B4-8DED2FEC44A4}"/>
    <cellStyle name="Total 32" xfId="37889" xr:uid="{C3E2865D-075C-43D3-81DC-D6B0D59D04DF}"/>
    <cellStyle name="Total 33" xfId="37890" xr:uid="{E839BC32-9047-4450-9C58-3D683E6D8F20}"/>
    <cellStyle name="Total 34" xfId="37891" xr:uid="{BC82122E-B3F2-4FC5-84C6-D5E59857A86A}"/>
    <cellStyle name="Total 35" xfId="37892" xr:uid="{272CE8B8-E6A6-4231-920F-9AC093181B6D}"/>
    <cellStyle name="Total 35 2" xfId="37893" xr:uid="{8E9FBA6F-26E7-4B40-94E0-4C325D7BA1F4}"/>
    <cellStyle name="Total 35 2 2" xfId="37894" xr:uid="{2421E626-0681-4306-9E97-A35FE0B7B0ED}"/>
    <cellStyle name="Total 35 2 2 2" xfId="37895" xr:uid="{57C7B333-5361-42D4-8091-7D86258A24CB}"/>
    <cellStyle name="Total 35 3" xfId="37896" xr:uid="{9477D714-525E-4B25-AF99-A41BCDDE83D8}"/>
    <cellStyle name="Total 35 4" xfId="37897" xr:uid="{DA7DC813-0C35-4469-9E06-BFBAC0118C3F}"/>
    <cellStyle name="Total 36" xfId="37898" xr:uid="{B67EDADA-2013-486B-A473-3453E285768D}"/>
    <cellStyle name="Total 37" xfId="37899" xr:uid="{F5979991-AD3F-474D-9EE8-1B6233D8B050}"/>
    <cellStyle name="Total 38" xfId="37900" xr:uid="{063C5B6C-5A51-4D42-BB8A-B7B24DBA2148}"/>
    <cellStyle name="Total 39" xfId="37901" xr:uid="{B70ECA2F-B23F-48CE-9F18-EA13AFE3B958}"/>
    <cellStyle name="Total 4" xfId="37902" xr:uid="{F3B9C910-567D-4340-B1A9-24CD96DDB093}"/>
    <cellStyle name="Total 4 2" xfId="37903" xr:uid="{F32DBAA5-23A1-4C4F-9F46-A97EC7774B1A}"/>
    <cellStyle name="Total 4 3" xfId="37904" xr:uid="{77C2F08C-8CBD-4A0D-A98B-A735F37818B1}"/>
    <cellStyle name="Total 40" xfId="37905" xr:uid="{CB71974F-F89A-4623-9310-833284686800}"/>
    <cellStyle name="Total 41" xfId="37906" xr:uid="{C108E454-1BFA-4238-A8E7-DE0B2BB6DDDE}"/>
    <cellStyle name="Total 42" xfId="37907" xr:uid="{9E1505BE-FBD2-46FE-8D98-92EFB8C933C3}"/>
    <cellStyle name="Total 43" xfId="37908" xr:uid="{C4B1748B-524F-4D49-9FD9-C94984650BB4}"/>
    <cellStyle name="Total 44" xfId="37909" xr:uid="{BF96DB66-63B1-410D-8107-642896134FD8}"/>
    <cellStyle name="Total 45" xfId="37910" xr:uid="{19C709CE-3261-4C77-ADA0-00E1CE62870B}"/>
    <cellStyle name="Total 46" xfId="37911" xr:uid="{8A0AF171-6121-4283-96F8-A3F73ED9F5BB}"/>
    <cellStyle name="Total 47" xfId="37912" xr:uid="{39304ED9-3CB1-425F-A483-1ED7199C9E80}"/>
    <cellStyle name="Total 48" xfId="37913" xr:uid="{02682117-D710-4DC6-921F-5811361F8C54}"/>
    <cellStyle name="Total 49" xfId="37914" xr:uid="{0E624454-23AE-459D-940F-2029A84DDB9E}"/>
    <cellStyle name="Total 5" xfId="37915" xr:uid="{091708A0-9C86-4E3B-B362-979504B6B280}"/>
    <cellStyle name="Total 50" xfId="37916" xr:uid="{F8618439-914C-4EAE-BD75-426EB22337D3}"/>
    <cellStyle name="Total 51" xfId="37917" xr:uid="{2B7023D7-C283-4560-9FC9-2F491E0A9E37}"/>
    <cellStyle name="Total 52" xfId="37918" xr:uid="{2D6298EE-95B9-49C7-98B3-0BE69382777B}"/>
    <cellStyle name="Total 53" xfId="37919" xr:uid="{B9139C85-E479-4DB5-8DBA-44859105431B}"/>
    <cellStyle name="Total 54" xfId="37920" xr:uid="{82BC5306-D2B2-43A9-A5C3-4A29BFB47DE0}"/>
    <cellStyle name="Total 55" xfId="37921" xr:uid="{C4CB6119-127D-44DD-B279-27572A9C5AAC}"/>
    <cellStyle name="Total 56" xfId="37922" xr:uid="{AB4C1E5A-9E4E-4835-A7E9-EFAF31BFFF56}"/>
    <cellStyle name="Total 57" xfId="37923" xr:uid="{0280602F-983B-4A31-AAED-F92FEE8EA28B}"/>
    <cellStyle name="Total 58" xfId="37924" xr:uid="{36E0FB8B-CA1E-43C4-97FF-2B1A7A046F9A}"/>
    <cellStyle name="Total 59" xfId="37925" xr:uid="{66DA92E6-6032-4434-98F2-08A4EBCDDA4F}"/>
    <cellStyle name="Total 6" xfId="37926" xr:uid="{1B396114-8E53-48E9-A04A-9A8B5590F47B}"/>
    <cellStyle name="Total 60" xfId="37927" xr:uid="{FAFB19EF-9649-4208-8416-1847FEFC8984}"/>
    <cellStyle name="Total 60 2" xfId="37928" xr:uid="{6ED03F3F-A981-40BE-ADE0-C4CB19A33546}"/>
    <cellStyle name="Total 60 2 2" xfId="37929" xr:uid="{E5C8AAA3-8D87-4BE8-9F42-B307DA959269}"/>
    <cellStyle name="Total 60 2 2 2" xfId="37930" xr:uid="{E9D63D9A-1F3D-4544-B398-3C5D2EA7B1FA}"/>
    <cellStyle name="Total 60 2 3" xfId="37931" xr:uid="{D2C652E9-E9BC-4625-ABEC-173F588FD475}"/>
    <cellStyle name="Total 61" xfId="37932" xr:uid="{EF1E0568-C934-4E2B-A561-81AFC3C21688}"/>
    <cellStyle name="Total 62" xfId="37933" xr:uid="{17006EEC-8EAC-4559-859F-D5DCE2DD1BC1}"/>
    <cellStyle name="Total 63" xfId="37934" xr:uid="{8076DD81-01CE-4FB3-85FC-ACA29D4EA5A0}"/>
    <cellStyle name="Total 64" xfId="37935" xr:uid="{924ECA6E-526A-44CB-ADC1-5B00CFF25D3F}"/>
    <cellStyle name="Total 65" xfId="37936" xr:uid="{F136C637-21A6-44A3-BCB0-02D4A6709F2C}"/>
    <cellStyle name="Total 66" xfId="37937" xr:uid="{D04BA56A-C8BF-438A-8A8B-C89D06964F6D}"/>
    <cellStyle name="Total 7" xfId="37938" xr:uid="{FF807FF2-3DF4-479D-AB99-2A806B8B5D51}"/>
    <cellStyle name="Total 8" xfId="37939" xr:uid="{617CC808-AE65-4BD2-B9E4-ABCE15ADD442}"/>
    <cellStyle name="Total 9" xfId="37940" xr:uid="{BF919049-D25F-4A23-8FA8-97D564B81311}"/>
    <cellStyle name="Total Currency" xfId="37941" xr:uid="{7137DBA3-05E8-418D-82E9-36447125856B}"/>
    <cellStyle name="Total intermediaire" xfId="37942" xr:uid="{11048826-46B4-48D2-BED8-09A5E22A5D34}"/>
    <cellStyle name="Total Normal" xfId="37943" xr:uid="{00C26082-F875-4A27-AFC8-5071D915E69D}"/>
    <cellStyle name="Totale" xfId="37944" xr:uid="{FE2A9431-6108-4A5A-A8F4-71B773E57C2B}"/>
    <cellStyle name="Totale 2" xfId="37945" xr:uid="{F028E3A6-7607-4517-89D8-BC98512DDE34}"/>
    <cellStyle name="Totale 3" xfId="37946" xr:uid="{E510D431-6C27-427C-80F4-29839549DBAB}"/>
    <cellStyle name="Totale 4" xfId="37947" xr:uid="{E49B334A-2F30-46F5-847F-B5CA60A33B48}"/>
    <cellStyle name="Tusenskille [0]_rob4-mon.xls Diagram 1" xfId="37948" xr:uid="{2AC4C95A-CE61-48D2-B557-B1DCC2CB9B41}"/>
    <cellStyle name="Tusenskille_rob4-mon.xls Diagram 1" xfId="37949" xr:uid="{07870DF4-764A-4347-8951-C8FFE8F11673}"/>
    <cellStyle name="TypeNote" xfId="37950" xr:uid="{15618597-955E-4A74-A7E5-B35C1153B77C}"/>
    <cellStyle name="Unit" xfId="37951" xr:uid="{60AE27C8-2007-4126-9A24-764DCE85262D}"/>
    <cellStyle name="UnitOfMeasure" xfId="37952" xr:uid="{B8340E15-9EDA-465B-BE68-196099EAFE1E}"/>
    <cellStyle name="Unprot" xfId="37953" xr:uid="{985CF9B9-A0E7-4E15-874C-2E7C80A9E16A}"/>
    <cellStyle name="Unprot 2" xfId="37954" xr:uid="{BD097CF1-13B8-4A1C-AEC9-B4027486BED6}"/>
    <cellStyle name="Unprot$" xfId="37955" xr:uid="{949E6FE3-7DA0-4B15-A323-A6CF680FC28D}"/>
    <cellStyle name="Unprot$ 2" xfId="37956" xr:uid="{2891FA5A-AC42-4DEC-99BF-BB4B21A0938A}"/>
    <cellStyle name="Unprot$ 3" xfId="37957" xr:uid="{550E4B55-0B31-4785-90A3-F1C833739CAA}"/>
    <cellStyle name="Unprot_OP" xfId="37958" xr:uid="{EDEC3F4F-DE33-4B85-A38E-E806597745BF}"/>
    <cellStyle name="Unprotect" xfId="37959" xr:uid="{68CB3F67-F816-40D4-AF56-FD5AE3ED1DE0}"/>
    <cellStyle name="User input" xfId="37960" xr:uid="{E5611A6F-619F-4400-8DF7-02E5F49F7294}"/>
    <cellStyle name="Valore non valido" xfId="37961" xr:uid="{DAC572E8-B7B5-48BF-A4BD-E9455C4DA7BA}"/>
    <cellStyle name="Valore non valido 2" xfId="37962" xr:uid="{23D0B106-009B-4C15-B493-9D7BD49625FC}"/>
    <cellStyle name="Valore valido" xfId="37963" xr:uid="{9D7C908B-6464-4870-B6F6-76287A277080}"/>
    <cellStyle name="Valore valido 2" xfId="37964" xr:uid="{23CD42EF-3CAA-470A-862C-3F2FAE705DF2}"/>
    <cellStyle name="Value" xfId="37965" xr:uid="{770969C3-A2D0-4789-9701-503AD0C74544}"/>
    <cellStyle name="Valuta [0]_rob4-mon.xls Diagram 1" xfId="37966" xr:uid="{646BAB52-54CF-4789-9FD1-46F660BA2903}"/>
    <cellStyle name="Valuta_Copia di Tariffatorexx" xfId="37967" xr:uid="{2C054BDB-D9BA-46DC-B856-7CE68B41E5AC}"/>
    <cellStyle name="Vertical" xfId="37968" xr:uid="{64CDB7FC-18E1-45AC-A10E-50964FC04B79}"/>
    <cellStyle name="Währung [0]_0002VS" xfId="37969" xr:uid="{7E4EAFE3-55EB-45D6-84D4-E98DE96DABE3}"/>
    <cellStyle name="Währung_0002VS" xfId="37970" xr:uid="{B451493A-1C15-4B0B-9515-C4620E52B86A}"/>
    <cellStyle name="Warning" xfId="407" xr:uid="{DD3E3075-2B2D-44EA-9196-293E50EF7267}"/>
    <cellStyle name="Warning Text 10" xfId="37971" xr:uid="{DE0C4DA9-89BD-475A-AA38-227F1A4BC6DF}"/>
    <cellStyle name="Warning Text 11" xfId="37972" xr:uid="{E8CD1726-F5D1-4274-828A-A9B2F15855E1}"/>
    <cellStyle name="Warning Text 12" xfId="37973" xr:uid="{EC0FF28C-C6A6-4625-8CFE-89A6A2580A75}"/>
    <cellStyle name="Warning Text 13" xfId="37974" xr:uid="{024227D7-EDC8-454E-816A-0D7918AF9BD8}"/>
    <cellStyle name="Warning Text 14" xfId="37975" xr:uid="{63D3BD2C-7EAF-494F-AD40-F63291C6E956}"/>
    <cellStyle name="Warning Text 15" xfId="37976" xr:uid="{FF79C523-33F0-48E1-BDC1-D90C2EAD5206}"/>
    <cellStyle name="Warning Text 16" xfId="37977" xr:uid="{F2375329-CC4B-42D2-8E95-85890D6442EA}"/>
    <cellStyle name="Warning Text 17" xfId="37978" xr:uid="{D69C14EF-E04E-411F-B986-11E179BB904E}"/>
    <cellStyle name="Warning Text 18" xfId="37979" xr:uid="{26F61D76-5147-4690-93B4-7894CC4BBAB3}"/>
    <cellStyle name="Warning Text 19" xfId="37980" xr:uid="{F6F1829B-4580-4B64-B943-7171C77DB291}"/>
    <cellStyle name="Warning Text 2" xfId="354" xr:uid="{2C9AF2DE-9F2A-440A-A91D-39976656A196}"/>
    <cellStyle name="Warning Text 2 2" xfId="37982" xr:uid="{D0D2D1E2-221E-4680-B3CF-1F62289192BE}"/>
    <cellStyle name="Warning Text 2 2 2" xfId="37983" xr:uid="{708F23AD-E76A-4455-90AF-0D9F2636906F}"/>
    <cellStyle name="Warning Text 2 3" xfId="37984" xr:uid="{24E88A46-08E4-4123-BC12-B6421B210B46}"/>
    <cellStyle name="Warning Text 2 4" xfId="37985" xr:uid="{4F11CFAB-5F5F-414A-BF7C-6C8A0A328CC6}"/>
    <cellStyle name="Warning Text 2 5" xfId="37986" xr:uid="{1DEA5EDC-9F9D-479D-BAA9-7108D75457F9}"/>
    <cellStyle name="Warning Text 2 6" xfId="37981" xr:uid="{ADACAF66-F3B0-4FD5-98C5-F03EA712D8F9}"/>
    <cellStyle name="Warning Text 20" xfId="37987" xr:uid="{FD60ABA6-28EC-41ED-A985-856760A0CFE2}"/>
    <cellStyle name="Warning Text 21" xfId="37988" xr:uid="{0E702490-B9E2-4F8B-9F20-345742200342}"/>
    <cellStyle name="Warning Text 22" xfId="37989" xr:uid="{511D2A1F-A5B6-4D04-80D5-07E1DE6A17D1}"/>
    <cellStyle name="Warning Text 23" xfId="37990" xr:uid="{C5979FC1-83EF-4298-A89F-B55700B2BE1F}"/>
    <cellStyle name="Warning Text 24" xfId="37991" xr:uid="{061CDF18-FD26-4C2D-B942-06818467D73F}"/>
    <cellStyle name="Warning Text 25" xfId="37992" xr:uid="{7DB7C58B-D072-4322-858A-2AC80D90190B}"/>
    <cellStyle name="Warning Text 26" xfId="37993" xr:uid="{3F90EC68-22C1-475C-A796-FD0761972BAE}"/>
    <cellStyle name="Warning Text 27" xfId="37994" xr:uid="{022D036E-7D78-42DD-A613-CEE5F3A58711}"/>
    <cellStyle name="Warning Text 28" xfId="37995" xr:uid="{94E9FD63-7FFD-451A-8105-E1802455B705}"/>
    <cellStyle name="Warning Text 29" xfId="37996" xr:uid="{41BA4544-BB99-4C94-8A26-477FB8E785DA}"/>
    <cellStyle name="Warning Text 3" xfId="37997" xr:uid="{948A8C9A-283F-4F2B-834B-3694281A1FDD}"/>
    <cellStyle name="Warning Text 3 2" xfId="37998" xr:uid="{188D65E5-921C-4A99-9DDC-EFBD649345F8}"/>
    <cellStyle name="Warning Text 30" xfId="37999" xr:uid="{2DD41AE1-BD78-4C0B-AF0D-A123F51BE3D3}"/>
    <cellStyle name="Warning Text 31" xfId="38000" xr:uid="{5EF4DADA-B78F-461C-901B-B0CD1DEE68BC}"/>
    <cellStyle name="Warning Text 32" xfId="38001" xr:uid="{435BFB7F-4436-49BC-9A71-6B56C928C9B9}"/>
    <cellStyle name="Warning Text 33" xfId="38002" xr:uid="{1E6D704A-3612-4674-A93E-4C7D6450F0FE}"/>
    <cellStyle name="Warning Text 34" xfId="38003" xr:uid="{0F0439AB-E1DF-4C40-9906-8E38585C5AFE}"/>
    <cellStyle name="Warning Text 35" xfId="38004" xr:uid="{7CFC45D7-30AA-493D-B242-5AC129E8198A}"/>
    <cellStyle name="Warning Text 35 2" xfId="38005" xr:uid="{C23C4C2A-B22B-4B8C-828B-39C6532A4704}"/>
    <cellStyle name="Warning Text 35 2 2" xfId="38006" xr:uid="{E2256AE5-BEF4-47E9-AC86-5C4DBB27D773}"/>
    <cellStyle name="Warning Text 35 2 2 2" xfId="38007" xr:uid="{7C0D7639-184D-420F-B62A-0B5E6E0E1B2B}"/>
    <cellStyle name="Warning Text 35 3" xfId="38008" xr:uid="{80845DCA-4EBD-4967-B919-D26391E2AA1D}"/>
    <cellStyle name="Warning Text 35 4" xfId="38009" xr:uid="{251DC801-3F71-4CDD-AF2C-4B721157611D}"/>
    <cellStyle name="Warning Text 36" xfId="38010" xr:uid="{931238D7-6CEF-4CBA-AA2E-C5F4441FA76C}"/>
    <cellStyle name="Warning Text 37" xfId="38011" xr:uid="{C550B34E-E756-402A-B335-CB872B6624C9}"/>
    <cellStyle name="Warning Text 38" xfId="38012" xr:uid="{5ED4DA4A-2ABA-4CE1-9047-00826F114547}"/>
    <cellStyle name="Warning Text 39" xfId="38013" xr:uid="{8A19F468-A31E-47AD-89C7-F5AEABEDB06F}"/>
    <cellStyle name="Warning Text 4" xfId="38014" xr:uid="{996E2BF8-7DC7-438A-9889-0847676DD431}"/>
    <cellStyle name="Warning Text 40" xfId="38015" xr:uid="{FBB95BC4-5808-4CA6-A83C-0B92FA340953}"/>
    <cellStyle name="Warning Text 41" xfId="38016" xr:uid="{78AD5984-CABD-401E-BFBC-A51300347C82}"/>
    <cellStyle name="Warning Text 42" xfId="38017" xr:uid="{07C779DE-73EC-495C-B2EC-D58B00DF6367}"/>
    <cellStyle name="Warning Text 43" xfId="38018" xr:uid="{4545EA57-EFE1-4366-B958-C9E81226E44E}"/>
    <cellStyle name="Warning Text 44" xfId="38019" xr:uid="{E1506975-7616-4FE5-BD1E-775537E0F9AA}"/>
    <cellStyle name="Warning Text 45" xfId="38020" xr:uid="{72D064B6-2818-476A-837E-C6144CC36AB0}"/>
    <cellStyle name="Warning Text 46" xfId="38021" xr:uid="{9016AE30-3F25-4212-949E-BBF7AC222B19}"/>
    <cellStyle name="Warning Text 47" xfId="38022" xr:uid="{54D8CF78-7AEB-4C2F-8D1F-EED93D60E0E2}"/>
    <cellStyle name="Warning Text 48" xfId="38023" xr:uid="{6D5A6EBE-EDB9-4441-A0C9-FB78C2E24DF4}"/>
    <cellStyle name="Warning Text 49" xfId="38024" xr:uid="{AFC7F384-A01B-4D5A-BB97-23B25F53D576}"/>
    <cellStyle name="Warning Text 5" xfId="38025" xr:uid="{85EE5718-2A78-48DB-96F0-CD020E81E4B9}"/>
    <cellStyle name="Warning Text 50" xfId="38026" xr:uid="{9A9E19D3-656B-4180-94F3-4F05F8794F45}"/>
    <cellStyle name="Warning Text 51" xfId="38027" xr:uid="{965F6AE9-0AAE-4E07-B7E3-E5049E224B91}"/>
    <cellStyle name="Warning Text 52" xfId="38028" xr:uid="{B6F79761-08BC-495E-86BE-D0EAF8127FB0}"/>
    <cellStyle name="Warning Text 53" xfId="38029" xr:uid="{C7515BCC-1E76-4238-BAE4-40E7189128B3}"/>
    <cellStyle name="Warning Text 54" xfId="38030" xr:uid="{805FAA4E-F79D-4842-9788-45C65B4302C9}"/>
    <cellStyle name="Warning Text 55" xfId="38031" xr:uid="{71263729-745A-459E-B154-402F269FAD10}"/>
    <cellStyle name="Warning Text 56" xfId="38032" xr:uid="{C9C903ED-DDD7-4F82-9C69-A23CEAFC7715}"/>
    <cellStyle name="Warning Text 57" xfId="38033" xr:uid="{D2A05269-85A9-473B-992D-D3803788EEAD}"/>
    <cellStyle name="Warning Text 58" xfId="38034" xr:uid="{E02E28D5-F129-4E22-90DC-9D5C32A357B0}"/>
    <cellStyle name="Warning Text 59" xfId="38035" xr:uid="{DD672F26-E4D7-4848-A7CA-95A28C8B9DE7}"/>
    <cellStyle name="Warning Text 6" xfId="38036" xr:uid="{42FCB19C-1157-405F-9FA8-890496FB05BD}"/>
    <cellStyle name="Warning Text 60" xfId="38037" xr:uid="{50235FB6-0774-4E67-B812-0083BD3490F6}"/>
    <cellStyle name="Warning Text 60 2" xfId="38038" xr:uid="{6DE3D73F-1379-4F6A-BC08-F67E188521E0}"/>
    <cellStyle name="Warning Text 60 2 2" xfId="38039" xr:uid="{B7509624-363C-4641-989D-7BB673FA5404}"/>
    <cellStyle name="Warning Text 60 2 3" xfId="38040" xr:uid="{0628015F-81B0-4489-9CA6-3F6F188E2254}"/>
    <cellStyle name="Warning Text 61" xfId="38041" xr:uid="{CD35F2A2-43C2-4486-BE86-042D84E09A6C}"/>
    <cellStyle name="Warning Text 62" xfId="38042" xr:uid="{FA57FF9D-01DF-4272-8DD2-77FF51C49055}"/>
    <cellStyle name="Warning Text 63" xfId="38043" xr:uid="{48B663E3-95ED-4C74-9E5D-671CB430828C}"/>
    <cellStyle name="Warning Text 64" xfId="38044" xr:uid="{AC2EE07B-92F9-416B-B916-1C4DAD1A90F7}"/>
    <cellStyle name="Warning Text 65" xfId="38045" xr:uid="{2F47006B-3196-4B1B-B110-FAB3665C3EDA}"/>
    <cellStyle name="Warning Text 7" xfId="38046" xr:uid="{6DF89131-2AD5-4070-8655-5381EE19CD80}"/>
    <cellStyle name="Warning Text 8" xfId="38047" xr:uid="{866C3AE8-01C7-4566-A85B-FD76E3BBCDA5}"/>
    <cellStyle name="Warning Text 9" xfId="38048" xr:uid="{80929DC9-56B7-44EF-BC79-89661B343355}"/>
    <cellStyle name="Warnings" xfId="38049" xr:uid="{54DE9072-1E97-4A66-B627-A55C09F69A87}"/>
    <cellStyle name="Warnings 2" xfId="38050" xr:uid="{3ED43FE7-230F-4873-863D-E016550C3DC1}"/>
    <cellStyle name="whole number" xfId="355" xr:uid="{770D3DB8-8E9F-4413-8E02-25892EDC2418}"/>
    <cellStyle name="WIP" xfId="38051" xr:uid="{6F5208C6-5839-40B3-8A8B-1CFECA2F69A0}"/>
    <cellStyle name="WIP 2" xfId="38052" xr:uid="{C5E65A95-F137-47EE-B2F8-27BFFFD184D6}"/>
    <cellStyle name="WIP 3" xfId="38053" xr:uid="{89A24D85-F923-45A7-B7AC-DCB173A3B941}"/>
    <cellStyle name="WIP 4" xfId="38054" xr:uid="{79D5E440-B0BB-4EFE-9CAF-5795ED47D33D}"/>
    <cellStyle name="WIP 5" xfId="38055" xr:uid="{2611F685-60DD-4618-84AF-649AE8125E8B}"/>
    <cellStyle name="WIP 6" xfId="38056" xr:uid="{F8F1B539-44C6-48D0-8819-AA6336889536}"/>
    <cellStyle name="WIP 7" xfId="38057" xr:uid="{8B74D2C3-00FF-483B-BD7F-E0BF228A6489}"/>
    <cellStyle name="WIP 8" xfId="38058" xr:uid="{46189576-354F-4365-B53D-9E9E36C2E970}"/>
    <cellStyle name="Work in progress" xfId="38059" xr:uid="{98FA38D7-1395-4509-9397-74908249E1C8}"/>
    <cellStyle name="Work in progress 2" xfId="38060" xr:uid="{83809092-274D-4C76-81E3-902E6A28B49D}"/>
    <cellStyle name="Year" xfId="38061" xr:uid="{DFE14293-0389-4788-A676-84027C75A6F0}"/>
    <cellStyle name="Year 2" xfId="38062" xr:uid="{9D8AFD13-3F2E-4D34-8C62-18E36D349E05}"/>
    <cellStyle name="Year 3" xfId="38063" xr:uid="{CA6F417A-7609-48A8-8C07-7F64BB96536F}"/>
    <cellStyle name="Обычный_2++_CRFReport-template" xfId="38064" xr:uid="{95AF1A26-4134-4756-96B3-A4ACDD8B9C31}"/>
    <cellStyle name="常规_November Issue Standard" xfId="38065" xr:uid="{815C4B66-7997-4D27-9F8E-14CE181F24B9}"/>
  </cellStyles>
  <dxfs count="1230">
    <dxf>
      <font>
        <name val="Aptos"/>
        <family val="2"/>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numFmt numFmtId="179" formatCode="&quot;£&quot;#,##0"/>
    </dxf>
    <dxf>
      <numFmt numFmtId="179" formatCode="&quot;£&quot;#,##0"/>
    </dxf>
    <dxf>
      <numFmt numFmtId="1" formatCode="0"/>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tint="0.49998474074526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tint="0.49998474074526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5" tint="0.79998168889431442"/>
        </patternFill>
      </fill>
    </dxf>
    <dxf>
      <font>
        <color theme="0"/>
      </font>
      <fill>
        <patternFill patternType="solid">
          <bgColor theme="5" tint="0.59996337778862885"/>
        </patternFill>
      </fill>
    </dxf>
    <dxf>
      <fill>
        <patternFill>
          <bgColor theme="5" tint="0.59996337778862885"/>
        </patternFill>
      </fill>
    </dxf>
    <dxf>
      <fill>
        <patternFill>
          <bgColor theme="0" tint="-4.9989318521683403E-2"/>
        </patternFill>
      </fill>
    </dxf>
    <dxf>
      <fill>
        <patternFill>
          <bgColor theme="0" tint="-4.9989318521683403E-2"/>
        </patternFill>
      </fill>
    </dxf>
  </dxfs>
  <tableStyles count="1" defaultTableStyle="TableStyleMedium2" defaultPivotStyle="PivotStyleLight16">
    <tableStyle name="Table Style 1" pivot="0" count="0" xr9:uid="{1134B798-2560-4227-B2DF-004B4680C2C9}"/>
  </tableStyles>
  <colors>
    <mruColors>
      <color rgb="FFFFCC99"/>
      <color rgb="FFF6E6FE"/>
      <color rgb="FFF9D7A9"/>
      <color rgb="FFBBDFFF"/>
      <color rgb="FFEBF5FF"/>
      <color rgb="FFF95F35"/>
      <color rgb="FFFCB19C"/>
      <color rgb="FFFEDFD6"/>
      <color rgb="FFC7E7D4"/>
      <color rgb="FFC5E0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calcChain" Target="calcChain.xml"/><Relationship Id="rId68"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69"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70"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Valued benefit</a:t>
            </a:r>
            <a:r>
              <a:rPr lang="en-GB" baseline="0"/>
              <a:t> of moving between river quality classifications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scatterChart>
        <c:scatterStyle val="lineMarker"/>
        <c:varyColors val="0"/>
        <c:ser>
          <c:idx val="0"/>
          <c:order val="0"/>
          <c:spPr>
            <a:ln w="19050" cap="rnd">
              <a:noFill/>
              <a:prstDash val="dash"/>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dash"/>
              </a:ln>
              <a:effectLst/>
            </c:spPr>
            <c:trendlineType val="linear"/>
            <c:dispRSqr val="0"/>
            <c:dispEq val="1"/>
            <c:trendlineLbl>
              <c:layout>
                <c:manualLayout>
                  <c:x val="-3.9834864391951004E-2"/>
                  <c:y val="-3.179827955031632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'27'!$C$61:$C$64</c:f>
              <c:numCache>
                <c:formatCode>General</c:formatCode>
                <c:ptCount val="4"/>
                <c:pt idx="0">
                  <c:v>1</c:v>
                </c:pt>
                <c:pt idx="1">
                  <c:v>2</c:v>
                </c:pt>
                <c:pt idx="2">
                  <c:v>3</c:v>
                </c:pt>
                <c:pt idx="3">
                  <c:v>4</c:v>
                </c:pt>
              </c:numCache>
            </c:numRef>
          </c:xVal>
          <c:yVal>
            <c:numRef>
              <c:f>'27'!$D$61:$D$64</c:f>
              <c:numCache>
                <c:formatCode>"£"#,##0_);[Red]\("£"#,##0\)</c:formatCode>
                <c:ptCount val="4"/>
                <c:pt idx="0">
                  <c:v>17400</c:v>
                </c:pt>
                <c:pt idx="1">
                  <c:v>20000</c:v>
                </c:pt>
                <c:pt idx="2">
                  <c:v>23200</c:v>
                </c:pt>
                <c:pt idx="3" formatCode="&quot;£&quot;#,##0">
                  <c:v>26000</c:v>
                </c:pt>
              </c:numCache>
            </c:numRef>
          </c:yVal>
          <c:smooth val="0"/>
          <c:extLst>
            <c:ext xmlns:c16="http://schemas.microsoft.com/office/drawing/2014/chart" uri="{C3380CC4-5D6E-409C-BE32-E72D297353CC}">
              <c16:uniqueId val="{00000000-2C51-423E-BCCD-25BDBC2DDBAA}"/>
            </c:ext>
          </c:extLst>
        </c:ser>
        <c:ser>
          <c:idx val="1"/>
          <c:order val="1"/>
          <c:spPr>
            <a:ln w="25400" cap="rnd">
              <a:solidFill>
                <a:schemeClr val="accent1">
                  <a:lumMod val="40000"/>
                  <a:lumOff val="60000"/>
                </a:schemeClr>
              </a:solidFill>
              <a:round/>
            </a:ln>
            <a:effectLst/>
          </c:spPr>
          <c:marker>
            <c:symbol val="circle"/>
            <c:size val="5"/>
            <c:spPr>
              <a:solidFill>
                <a:schemeClr val="tx2"/>
              </a:solidFill>
              <a:ln w="9525">
                <a:noFill/>
              </a:ln>
              <a:effectLst/>
            </c:spPr>
          </c:marker>
          <c:xVal>
            <c:numRef>
              <c:f>'27'!$C$61:$C$63</c:f>
              <c:numCache>
                <c:formatCode>General</c:formatCode>
                <c:ptCount val="3"/>
                <c:pt idx="0">
                  <c:v>1</c:v>
                </c:pt>
                <c:pt idx="1">
                  <c:v>2</c:v>
                </c:pt>
                <c:pt idx="2">
                  <c:v>3</c:v>
                </c:pt>
              </c:numCache>
            </c:numRef>
          </c:xVal>
          <c:yVal>
            <c:numRef>
              <c:f>'27'!$D$61:$D$63</c:f>
              <c:numCache>
                <c:formatCode>"£"#,##0_);[Red]\("£"#,##0\)</c:formatCode>
                <c:ptCount val="3"/>
                <c:pt idx="0">
                  <c:v>17400</c:v>
                </c:pt>
                <c:pt idx="1">
                  <c:v>20000</c:v>
                </c:pt>
                <c:pt idx="2">
                  <c:v>23200</c:v>
                </c:pt>
              </c:numCache>
            </c:numRef>
          </c:yVal>
          <c:smooth val="0"/>
          <c:extLst>
            <c:ext xmlns:c16="http://schemas.microsoft.com/office/drawing/2014/chart" uri="{C3380CC4-5D6E-409C-BE32-E72D297353CC}">
              <c16:uniqueId val="{00000002-2C51-423E-BCCD-25BDBC2DDBAA}"/>
            </c:ext>
          </c:extLst>
        </c:ser>
        <c:dLbls>
          <c:showLegendKey val="0"/>
          <c:showVal val="0"/>
          <c:showCatName val="0"/>
          <c:showSerName val="0"/>
          <c:showPercent val="0"/>
          <c:showBubbleSize val="0"/>
        </c:dLbls>
        <c:axId val="22644208"/>
        <c:axId val="22653328"/>
      </c:scatterChart>
      <c:valAx>
        <c:axId val="226442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Incremental</a:t>
                </a:r>
                <a:r>
                  <a:rPr lang="en-GB" baseline="0"/>
                  <a:t> increase in water quality band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3328"/>
        <c:crosses val="autoZero"/>
        <c:crossBetween val="midCat"/>
      </c:valAx>
      <c:valAx>
        <c:axId val="22653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Value of quality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420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Valued benefit</a:t>
            </a:r>
            <a:r>
              <a:rPr lang="en-GB" baseline="0"/>
              <a:t> of moving between TrL&amp;C quality classifications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dash"/>
              </a:ln>
              <a:effectLst/>
            </c:spPr>
            <c:trendlineType val="linear"/>
            <c:dispRSqr val="0"/>
            <c:dispEq val="1"/>
            <c:trendlineLbl>
              <c:layout>
                <c:manualLayout>
                  <c:x val="-3.9834864391951004E-2"/>
                  <c:y val="-3.179827955031632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'27'!$C$66:$C$69</c:f>
              <c:numCache>
                <c:formatCode>General</c:formatCode>
                <c:ptCount val="4"/>
                <c:pt idx="0">
                  <c:v>1</c:v>
                </c:pt>
                <c:pt idx="1">
                  <c:v>2</c:v>
                </c:pt>
                <c:pt idx="2">
                  <c:v>3</c:v>
                </c:pt>
                <c:pt idx="3">
                  <c:v>4</c:v>
                </c:pt>
              </c:numCache>
            </c:numRef>
          </c:xVal>
          <c:yVal>
            <c:numRef>
              <c:f>'27'!$D$66:$D$69</c:f>
              <c:numCache>
                <c:formatCode>"£"#,##0_);[Red]\("£"#,##0\)</c:formatCode>
                <c:ptCount val="4"/>
                <c:pt idx="0">
                  <c:v>6400</c:v>
                </c:pt>
                <c:pt idx="1">
                  <c:v>7400</c:v>
                </c:pt>
                <c:pt idx="2">
                  <c:v>8500</c:v>
                </c:pt>
                <c:pt idx="3" formatCode="&quot;£&quot;#,##0">
                  <c:v>9533.3333333333321</c:v>
                </c:pt>
              </c:numCache>
            </c:numRef>
          </c:yVal>
          <c:smooth val="0"/>
          <c:extLst>
            <c:ext xmlns:c16="http://schemas.microsoft.com/office/drawing/2014/chart" uri="{C3380CC4-5D6E-409C-BE32-E72D297353CC}">
              <c16:uniqueId val="{00000001-8A71-41CF-B91B-5F240557EF5A}"/>
            </c:ext>
          </c:extLst>
        </c:ser>
        <c:ser>
          <c:idx val="1"/>
          <c:order val="1"/>
          <c:spPr>
            <a:ln w="25400" cap="rnd">
              <a:solidFill>
                <a:schemeClr val="accent1">
                  <a:lumMod val="40000"/>
                  <a:lumOff val="60000"/>
                </a:schemeClr>
              </a:solidFill>
              <a:round/>
            </a:ln>
            <a:effectLst/>
          </c:spPr>
          <c:marker>
            <c:symbol val="circle"/>
            <c:size val="5"/>
            <c:spPr>
              <a:solidFill>
                <a:schemeClr val="accent2"/>
              </a:solidFill>
              <a:ln w="9525">
                <a:solidFill>
                  <a:schemeClr val="accent2"/>
                </a:solidFill>
              </a:ln>
              <a:effectLst/>
            </c:spPr>
          </c:marker>
          <c:xVal>
            <c:numRef>
              <c:f>'27'!$C$66:$C$68</c:f>
              <c:numCache>
                <c:formatCode>General</c:formatCode>
                <c:ptCount val="3"/>
                <c:pt idx="0">
                  <c:v>1</c:v>
                </c:pt>
                <c:pt idx="1">
                  <c:v>2</c:v>
                </c:pt>
                <c:pt idx="2">
                  <c:v>3</c:v>
                </c:pt>
              </c:numCache>
            </c:numRef>
          </c:xVal>
          <c:yVal>
            <c:numRef>
              <c:f>'27'!$D$66:$D$68</c:f>
              <c:numCache>
                <c:formatCode>"£"#,##0_);[Red]\("£"#,##0\)</c:formatCode>
                <c:ptCount val="3"/>
                <c:pt idx="0">
                  <c:v>6400</c:v>
                </c:pt>
                <c:pt idx="1">
                  <c:v>7400</c:v>
                </c:pt>
                <c:pt idx="2">
                  <c:v>8500</c:v>
                </c:pt>
              </c:numCache>
            </c:numRef>
          </c:yVal>
          <c:smooth val="0"/>
          <c:extLst>
            <c:ext xmlns:c16="http://schemas.microsoft.com/office/drawing/2014/chart" uri="{C3380CC4-5D6E-409C-BE32-E72D297353CC}">
              <c16:uniqueId val="{00000002-8A71-41CF-B91B-5F240557EF5A}"/>
            </c:ext>
          </c:extLst>
        </c:ser>
        <c:dLbls>
          <c:showLegendKey val="0"/>
          <c:showVal val="0"/>
          <c:showCatName val="0"/>
          <c:showSerName val="0"/>
          <c:showPercent val="0"/>
          <c:showBubbleSize val="0"/>
        </c:dLbls>
        <c:axId val="22644208"/>
        <c:axId val="22653328"/>
      </c:scatterChart>
      <c:valAx>
        <c:axId val="226442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Incremental</a:t>
                </a:r>
                <a:r>
                  <a:rPr lang="en-GB" baseline="0"/>
                  <a:t> increase in water quality band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3328"/>
        <c:crosses val="autoZero"/>
        <c:crossBetween val="midCat"/>
      </c:valAx>
      <c:valAx>
        <c:axId val="22653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Value of quality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420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5.png"/><Relationship Id="rId7" Type="http://schemas.openxmlformats.org/officeDocument/2006/relationships/image" Target="../media/image40.tmp"/><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44.png"/><Relationship Id="rId7" Type="http://schemas.openxmlformats.org/officeDocument/2006/relationships/image" Target="../media/image45.png"/><Relationship Id="rId2" Type="http://schemas.openxmlformats.org/officeDocument/2006/relationships/image" Target="../media/image43.png"/><Relationship Id="rId1" Type="http://schemas.openxmlformats.org/officeDocument/2006/relationships/image" Target="../media/image42.tmp"/><Relationship Id="rId6" Type="http://schemas.openxmlformats.org/officeDocument/2006/relationships/image" Target="../media/image39.png"/><Relationship Id="rId5" Type="http://schemas.openxmlformats.org/officeDocument/2006/relationships/image" Target="../media/image34.png"/><Relationship Id="rId4"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4.png"/><Relationship Id="rId7" Type="http://schemas.openxmlformats.org/officeDocument/2006/relationships/image" Target="../media/image39.png"/><Relationship Id="rId2" Type="http://schemas.openxmlformats.org/officeDocument/2006/relationships/image" Target="../media/image43.png"/><Relationship Id="rId1" Type="http://schemas.openxmlformats.org/officeDocument/2006/relationships/image" Target="../media/image42.tmp"/><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46.png"/><Relationship Id="rId9" Type="http://schemas.openxmlformats.org/officeDocument/2006/relationships/image" Target="../media/image3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3.tmp"/><Relationship Id="rId2" Type="http://schemas.openxmlformats.org/officeDocument/2006/relationships/image" Target="../media/image52.tmp"/><Relationship Id="rId1" Type="http://schemas.openxmlformats.org/officeDocument/2006/relationships/image" Target="../media/image5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5.tmp"/><Relationship Id="rId1" Type="http://schemas.openxmlformats.org/officeDocument/2006/relationships/image" Target="../media/image54.tmp"/></Relationships>
</file>

<file path=xl/drawings/_rels/drawing21.xml.rels><?xml version="1.0" encoding="UTF-8" standalone="yes"?>
<Relationships xmlns="http://schemas.openxmlformats.org/package/2006/relationships"><Relationship Id="rId8" Type="http://schemas.openxmlformats.org/officeDocument/2006/relationships/customXml" Target="../ink/ink13.xml"/><Relationship Id="rId13" Type="http://schemas.openxmlformats.org/officeDocument/2006/relationships/customXml" Target="../ink/ink15.xml"/><Relationship Id="rId18" Type="http://schemas.openxmlformats.org/officeDocument/2006/relationships/customXml" Target="../ink/ink17.xml"/><Relationship Id="rId3" Type="http://schemas.openxmlformats.org/officeDocument/2006/relationships/customXml" Target="../ink/ink11.xml"/><Relationship Id="rId21" Type="http://schemas.openxmlformats.org/officeDocument/2006/relationships/image" Target="../media/image490.png"/><Relationship Id="rId7" Type="http://schemas.openxmlformats.org/officeDocument/2006/relationships/image" Target="../media/image430.png"/><Relationship Id="rId12" Type="http://schemas.openxmlformats.org/officeDocument/2006/relationships/image" Target="../media/image58.tmp"/><Relationship Id="rId17" Type="http://schemas.openxmlformats.org/officeDocument/2006/relationships/image" Target="../media/image59.tmp"/><Relationship Id="rId2" Type="http://schemas.openxmlformats.org/officeDocument/2006/relationships/image" Target="../media/image57.tmp"/><Relationship Id="rId16" Type="http://schemas.openxmlformats.org/officeDocument/2006/relationships/image" Target="../media/image480.png"/><Relationship Id="rId20" Type="http://schemas.openxmlformats.org/officeDocument/2006/relationships/customXml" Target="../ink/ink18.xml"/><Relationship Id="rId1" Type="http://schemas.openxmlformats.org/officeDocument/2006/relationships/image" Target="../media/image56.tmp"/><Relationship Id="rId6" Type="http://schemas.openxmlformats.org/officeDocument/2006/relationships/customXml" Target="../ink/ink12.xml"/><Relationship Id="rId11" Type="http://schemas.openxmlformats.org/officeDocument/2006/relationships/image" Target="../media/image450.png"/><Relationship Id="rId5" Type="http://schemas.openxmlformats.org/officeDocument/2006/relationships/image" Target="../media/image420.png"/><Relationship Id="rId15" Type="http://schemas.openxmlformats.org/officeDocument/2006/relationships/customXml" Target="../ink/ink16.xml"/><Relationship Id="rId23" Type="http://schemas.openxmlformats.org/officeDocument/2006/relationships/image" Target="../media/image500.png"/><Relationship Id="rId10" Type="http://schemas.openxmlformats.org/officeDocument/2006/relationships/customXml" Target="../ink/ink14.xml"/><Relationship Id="rId19" Type="http://schemas.openxmlformats.org/officeDocument/2006/relationships/image" Target="../media/image460.png"/><Relationship Id="rId9" Type="http://schemas.openxmlformats.org/officeDocument/2006/relationships/image" Target="../media/image440.png"/><Relationship Id="rId14" Type="http://schemas.openxmlformats.org/officeDocument/2006/relationships/image" Target="../media/image470.png"/><Relationship Id="rId22" Type="http://schemas.openxmlformats.org/officeDocument/2006/relationships/customXml" Target="../ink/ink1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2.tmp"/><Relationship Id="rId2" Type="http://schemas.openxmlformats.org/officeDocument/2006/relationships/image" Target="../media/image61.jpeg"/><Relationship Id="rId1" Type="http://schemas.openxmlformats.org/officeDocument/2006/relationships/image" Target="../media/image60.tmp"/></Relationships>
</file>

<file path=xl/drawings/_rels/drawing23.xml.rels><?xml version="1.0" encoding="UTF-8" standalone="yes"?>
<Relationships xmlns="http://schemas.openxmlformats.org/package/2006/relationships"><Relationship Id="rId3" Type="http://schemas.openxmlformats.org/officeDocument/2006/relationships/image" Target="../media/image65.tmp"/><Relationship Id="rId2" Type="http://schemas.openxmlformats.org/officeDocument/2006/relationships/image" Target="../media/image64.tmp"/><Relationship Id="rId1" Type="http://schemas.openxmlformats.org/officeDocument/2006/relationships/image" Target="../media/image63.tmp"/><Relationship Id="rId4" Type="http://schemas.openxmlformats.org/officeDocument/2006/relationships/image" Target="../media/image66.tmp"/></Relationships>
</file>

<file path=xl/drawings/_rels/drawing24.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image" Target="../media/image69.png"/><Relationship Id="rId7" Type="http://schemas.openxmlformats.org/officeDocument/2006/relationships/image" Target="../media/image73.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5" Type="http://schemas.openxmlformats.org/officeDocument/2006/relationships/image" Target="../media/image71.png"/><Relationship Id="rId4" Type="http://schemas.openxmlformats.org/officeDocument/2006/relationships/image" Target="../media/image70.png"/><Relationship Id="rId9" Type="http://schemas.openxmlformats.org/officeDocument/2006/relationships/image" Target="../media/image7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77.tmp"/><Relationship Id="rId1" Type="http://schemas.openxmlformats.org/officeDocument/2006/relationships/image" Target="../media/image76.tmp"/></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tmp"/><Relationship Id="rId2" Type="http://schemas.openxmlformats.org/officeDocument/2006/relationships/image" Target="../media/image16.tmp"/><Relationship Id="rId1" Type="http://schemas.openxmlformats.org/officeDocument/2006/relationships/image" Target="../media/image15.tmp"/><Relationship Id="rId4" Type="http://schemas.openxmlformats.org/officeDocument/2006/relationships/image" Target="../media/image18.tmp"/></Relationships>
</file>

<file path=xl/drawings/_rels/drawing5.xml.rels><?xml version="1.0" encoding="UTF-8" standalone="yes"?>
<Relationships xmlns="http://schemas.openxmlformats.org/package/2006/relationships"><Relationship Id="rId8" Type="http://schemas.openxmlformats.org/officeDocument/2006/relationships/image" Target="../media/image100.png"/><Relationship Id="rId13" Type="http://schemas.openxmlformats.org/officeDocument/2006/relationships/customXml" Target="../ink/ink4.xml"/><Relationship Id="rId18" Type="http://schemas.openxmlformats.org/officeDocument/2006/relationships/image" Target="../media/image17.png"/><Relationship Id="rId26" Type="http://schemas.openxmlformats.org/officeDocument/2006/relationships/image" Target="../media/image27.tmp"/><Relationship Id="rId3" Type="http://schemas.openxmlformats.org/officeDocument/2006/relationships/image" Target="../media/image21.tmp"/><Relationship Id="rId21" Type="http://schemas.openxmlformats.org/officeDocument/2006/relationships/customXml" Target="../ink/ink8.xml"/><Relationship Id="rId12" Type="http://schemas.openxmlformats.org/officeDocument/2006/relationships/image" Target="../media/image130.png"/><Relationship Id="rId17" Type="http://schemas.openxmlformats.org/officeDocument/2006/relationships/customXml" Target="../ink/ink6.xml"/><Relationship Id="rId25" Type="http://schemas.openxmlformats.org/officeDocument/2006/relationships/image" Target="../media/image26.png"/><Relationship Id="rId2" Type="http://schemas.openxmlformats.org/officeDocument/2006/relationships/image" Target="../media/image20.tmp"/><Relationship Id="rId16" Type="http://schemas.openxmlformats.org/officeDocument/2006/relationships/image" Target="../media/image15.png"/><Relationship Id="rId20" Type="http://schemas.openxmlformats.org/officeDocument/2006/relationships/image" Target="../media/image18.png"/><Relationship Id="rId1" Type="http://schemas.openxmlformats.org/officeDocument/2006/relationships/image" Target="../media/image19.tmp"/><Relationship Id="rId6" Type="http://schemas.openxmlformats.org/officeDocument/2006/relationships/customXml" Target="../ink/ink1.xml"/><Relationship Id="rId11" Type="http://schemas.openxmlformats.org/officeDocument/2006/relationships/customXml" Target="../ink/ink3.xml"/><Relationship Id="rId24" Type="http://schemas.openxmlformats.org/officeDocument/2006/relationships/image" Target="../media/image25.tmp"/><Relationship Id="rId5" Type="http://schemas.openxmlformats.org/officeDocument/2006/relationships/image" Target="../media/image23.tmp"/><Relationship Id="rId15" Type="http://schemas.openxmlformats.org/officeDocument/2006/relationships/customXml" Target="../ink/ink5.xml"/><Relationship Id="rId23" Type="http://schemas.openxmlformats.org/officeDocument/2006/relationships/image" Target="../media/image24.tmp"/><Relationship Id="rId10" Type="http://schemas.openxmlformats.org/officeDocument/2006/relationships/image" Target="../media/image122.png"/><Relationship Id="rId19" Type="http://schemas.openxmlformats.org/officeDocument/2006/relationships/customXml" Target="../ink/ink7.xml"/><Relationship Id="rId4" Type="http://schemas.openxmlformats.org/officeDocument/2006/relationships/image" Target="../media/image22.tmp"/><Relationship Id="rId9" Type="http://schemas.openxmlformats.org/officeDocument/2006/relationships/customXml" Target="../ink/ink2.xml"/><Relationship Id="rId14" Type="http://schemas.openxmlformats.org/officeDocument/2006/relationships/image" Target="../media/image140.png"/><Relationship Id="rId22"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0.png"/><Relationship Id="rId2" Type="http://schemas.openxmlformats.org/officeDocument/2006/relationships/customXml" Target="../ink/ink9.xml"/><Relationship Id="rId1" Type="http://schemas.openxmlformats.org/officeDocument/2006/relationships/image" Target="../media/image28.tmp"/><Relationship Id="rId5" Type="http://schemas.openxmlformats.org/officeDocument/2006/relationships/image" Target="../media/image121.png"/><Relationship Id="rId4" Type="http://schemas.openxmlformats.org/officeDocument/2006/relationships/customXml" Target="../ink/ink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40</xdr:row>
      <xdr:rowOff>79167</xdr:rowOff>
    </xdr:from>
    <xdr:to>
      <xdr:col>9</xdr:col>
      <xdr:colOff>582357</xdr:colOff>
      <xdr:row>46</xdr:row>
      <xdr:rowOff>161924</xdr:rowOff>
    </xdr:to>
    <xdr:pic>
      <xdr:nvPicPr>
        <xdr:cNvPr id="3" name="Graphic 5">
          <a:extLst>
            <a:ext uri="{FF2B5EF4-FFF2-40B4-BE49-F238E27FC236}">
              <a16:creationId xmlns:a16="http://schemas.microsoft.com/office/drawing/2014/main" id="{302F2723-B1DB-4DA8-9B97-3B96B6EE8D2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448050" y="9061242"/>
          <a:ext cx="2592132" cy="1244807"/>
        </a:xfrm>
        <a:prstGeom prst="rect">
          <a:avLst/>
        </a:prstGeom>
      </xdr:spPr>
    </xdr:pic>
    <xdr:clientData/>
  </xdr:twoCellAnchor>
  <xdr:twoCellAnchor editAs="oneCell">
    <xdr:from>
      <xdr:col>15</xdr:col>
      <xdr:colOff>204039</xdr:colOff>
      <xdr:row>36</xdr:row>
      <xdr:rowOff>34156</xdr:rowOff>
    </xdr:from>
    <xdr:to>
      <xdr:col>16</xdr:col>
      <xdr:colOff>600076</xdr:colOff>
      <xdr:row>37</xdr:row>
      <xdr:rowOff>123823</xdr:rowOff>
    </xdr:to>
    <xdr:pic>
      <xdr:nvPicPr>
        <xdr:cNvPr id="2" name="Picture 1">
          <a:extLst>
            <a:ext uri="{FF2B5EF4-FFF2-40B4-BE49-F238E27FC236}">
              <a16:creationId xmlns:a16="http://schemas.microsoft.com/office/drawing/2014/main" id="{A578A59F-945D-4D8E-119E-FEBFAFC821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9939" y="7120756"/>
          <a:ext cx="1053262" cy="280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304800</xdr:colOff>
      <xdr:row>35</xdr:row>
      <xdr:rowOff>160212</xdr:rowOff>
    </xdr:from>
    <xdr:to>
      <xdr:col>19</xdr:col>
      <xdr:colOff>153019</xdr:colOff>
      <xdr:row>37</xdr:row>
      <xdr:rowOff>161924</xdr:rowOff>
    </xdr:to>
    <xdr:pic>
      <xdr:nvPicPr>
        <xdr:cNvPr id="4" name="Picture 3">
          <a:extLst>
            <a:ext uri="{FF2B5EF4-FFF2-40B4-BE49-F238E27FC236}">
              <a16:creationId xmlns:a16="http://schemas.microsoft.com/office/drawing/2014/main" id="{7831D787-B2C9-CF6A-BDE8-F5FD6BD49C8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25150" y="7056312"/>
          <a:ext cx="1162669" cy="382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523875</xdr:colOff>
      <xdr:row>35</xdr:row>
      <xdr:rowOff>96241</xdr:rowOff>
    </xdr:from>
    <xdr:to>
      <xdr:col>21</xdr:col>
      <xdr:colOff>95250</xdr:colOff>
      <xdr:row>38</xdr:row>
      <xdr:rowOff>47624</xdr:rowOff>
    </xdr:to>
    <xdr:pic>
      <xdr:nvPicPr>
        <xdr:cNvPr id="5" name="Picture 4" descr="Adrian Rees Consulting - The UK Water Partnership">
          <a:extLst>
            <a:ext uri="{FF2B5EF4-FFF2-40B4-BE49-F238E27FC236}">
              <a16:creationId xmlns:a16="http://schemas.microsoft.com/office/drawing/2014/main" id="{414E7C5C-EAAF-A917-663D-30DE3A1A0ABC}"/>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5238" t="23376" r="16190" b="21428"/>
        <a:stretch>
          <a:fillRect/>
        </a:stretch>
      </xdr:blipFill>
      <xdr:spPr bwMode="auto">
        <a:xfrm>
          <a:off x="12258675" y="6992341"/>
          <a:ext cx="885825" cy="522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69</xdr:row>
      <xdr:rowOff>47625</xdr:rowOff>
    </xdr:from>
    <xdr:to>
      <xdr:col>2</xdr:col>
      <xdr:colOff>964777</xdr:colOff>
      <xdr:row>79</xdr:row>
      <xdr:rowOff>133447</xdr:rowOff>
    </xdr:to>
    <xdr:pic>
      <xdr:nvPicPr>
        <xdr:cNvPr id="2" name="Picture 1">
          <a:extLst>
            <a:ext uri="{FF2B5EF4-FFF2-40B4-BE49-F238E27FC236}">
              <a16:creationId xmlns:a16="http://schemas.microsoft.com/office/drawing/2014/main" id="{49915352-2A98-9495-7590-E463302507DB}"/>
            </a:ext>
          </a:extLst>
        </xdr:cNvPr>
        <xdr:cNvPicPr>
          <a:picLocks noChangeAspect="1"/>
        </xdr:cNvPicPr>
      </xdr:nvPicPr>
      <xdr:blipFill>
        <a:blip xmlns:r="http://schemas.openxmlformats.org/officeDocument/2006/relationships" r:embed="rId1"/>
        <a:stretch>
          <a:fillRect/>
        </a:stretch>
      </xdr:blipFill>
      <xdr:spPr>
        <a:xfrm>
          <a:off x="228600" y="14211300"/>
          <a:ext cx="4134062" cy="1895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124</xdr:row>
      <xdr:rowOff>180975</xdr:rowOff>
    </xdr:from>
    <xdr:to>
      <xdr:col>3</xdr:col>
      <xdr:colOff>438150</xdr:colOff>
      <xdr:row>150</xdr:row>
      <xdr:rowOff>152499</xdr:rowOff>
    </xdr:to>
    <xdr:grpSp>
      <xdr:nvGrpSpPr>
        <xdr:cNvPr id="20" name="Group 19">
          <a:extLst>
            <a:ext uri="{FF2B5EF4-FFF2-40B4-BE49-F238E27FC236}">
              <a16:creationId xmlns:a16="http://schemas.microsoft.com/office/drawing/2014/main" id="{7704347D-386B-F6DB-7E33-371E5543F8FF}"/>
            </a:ext>
          </a:extLst>
        </xdr:cNvPr>
        <xdr:cNvGrpSpPr/>
      </xdr:nvGrpSpPr>
      <xdr:grpSpPr>
        <a:xfrm>
          <a:off x="0" y="30737175"/>
          <a:ext cx="6896100" cy="4867374"/>
          <a:chOff x="14951075" y="19411950"/>
          <a:chExt cx="6029325" cy="4864199"/>
        </a:xfrm>
      </xdr:grpSpPr>
      <xdr:pic>
        <xdr:nvPicPr>
          <xdr:cNvPr id="18" name="Picture 17">
            <a:extLst>
              <a:ext uri="{FF2B5EF4-FFF2-40B4-BE49-F238E27FC236}">
                <a16:creationId xmlns:a16="http://schemas.microsoft.com/office/drawing/2014/main" id="{46113C20-5D1C-C661-0998-F2F5C42516C3}"/>
              </a:ext>
            </a:extLst>
          </xdr:cNvPr>
          <xdr:cNvPicPr>
            <a:picLocks noChangeAspect="1"/>
          </xdr:cNvPicPr>
        </xdr:nvPicPr>
        <xdr:blipFill>
          <a:blip xmlns:r="http://schemas.openxmlformats.org/officeDocument/2006/relationships" r:embed="rId1"/>
          <a:stretch>
            <a:fillRect/>
          </a:stretch>
        </xdr:blipFill>
        <xdr:spPr>
          <a:xfrm>
            <a:off x="14951075" y="19478623"/>
            <a:ext cx="6029325" cy="4797526"/>
          </a:xfrm>
          <a:prstGeom prst="rect">
            <a:avLst/>
          </a:prstGeom>
        </xdr:spPr>
      </xdr:pic>
      <xdr:pic>
        <xdr:nvPicPr>
          <xdr:cNvPr id="19" name="Picture 18">
            <a:extLst>
              <a:ext uri="{FF2B5EF4-FFF2-40B4-BE49-F238E27FC236}">
                <a16:creationId xmlns:a16="http://schemas.microsoft.com/office/drawing/2014/main" id="{1E37FA93-AA48-671F-E70F-EEFAF4D84603}"/>
              </a:ext>
            </a:extLst>
          </xdr:cNvPr>
          <xdr:cNvPicPr>
            <a:picLocks noChangeAspect="1"/>
          </xdr:cNvPicPr>
        </xdr:nvPicPr>
        <xdr:blipFill>
          <a:blip xmlns:r="http://schemas.openxmlformats.org/officeDocument/2006/relationships" r:embed="rId2"/>
          <a:stretch>
            <a:fillRect/>
          </a:stretch>
        </xdr:blipFill>
        <xdr:spPr>
          <a:xfrm>
            <a:off x="15373350" y="19411950"/>
            <a:ext cx="2711589" cy="257188"/>
          </a:xfrm>
          <a:prstGeom prst="rect">
            <a:avLst/>
          </a:prstGeom>
        </xdr:spPr>
      </xdr:pic>
    </xdr:grpSp>
    <xdr:clientData/>
  </xdr:twoCellAnchor>
  <xdr:oneCellAnchor>
    <xdr:from>
      <xdr:col>0</xdr:col>
      <xdr:colOff>161925</xdr:colOff>
      <xdr:row>189</xdr:row>
      <xdr:rowOff>95249</xdr:rowOff>
    </xdr:from>
    <xdr:ext cx="5520308" cy="4517781"/>
    <xdr:pic>
      <xdr:nvPicPr>
        <xdr:cNvPr id="2" name="Picture 23">
          <a:extLst>
            <a:ext uri="{FF2B5EF4-FFF2-40B4-BE49-F238E27FC236}">
              <a16:creationId xmlns:a16="http://schemas.microsoft.com/office/drawing/2014/main" id="{BEECF011-6999-A265-B085-352211640877}"/>
            </a:ext>
          </a:extLst>
        </xdr:cNvPr>
        <xdr:cNvPicPr>
          <a:picLocks noChangeAspect="1"/>
        </xdr:cNvPicPr>
      </xdr:nvPicPr>
      <xdr:blipFill>
        <a:blip xmlns:r="http://schemas.openxmlformats.org/officeDocument/2006/relationships" r:embed="rId3"/>
        <a:stretch>
          <a:fillRect/>
        </a:stretch>
      </xdr:blipFill>
      <xdr:spPr>
        <a:xfrm>
          <a:off x="161925" y="31213424"/>
          <a:ext cx="5513958" cy="4517781"/>
        </a:xfrm>
        <a:prstGeom prst="rect">
          <a:avLst/>
        </a:prstGeom>
      </xdr:spPr>
    </xdr:pic>
    <xdr:clientData/>
  </xdr:oneCellAnchor>
  <xdr:oneCellAnchor>
    <xdr:from>
      <xdr:col>0</xdr:col>
      <xdr:colOff>114300</xdr:colOff>
      <xdr:row>46</xdr:row>
      <xdr:rowOff>19050</xdr:rowOff>
    </xdr:from>
    <xdr:ext cx="6913030" cy="3092450"/>
    <xdr:pic>
      <xdr:nvPicPr>
        <xdr:cNvPr id="10" name="Picture 24">
          <a:extLst>
            <a:ext uri="{FF2B5EF4-FFF2-40B4-BE49-F238E27FC236}">
              <a16:creationId xmlns:a16="http://schemas.microsoft.com/office/drawing/2014/main" id="{6718DE89-19FD-AF0D-BA45-7C5B3AAAEF46}"/>
            </a:ext>
          </a:extLst>
        </xdr:cNvPr>
        <xdr:cNvPicPr>
          <a:picLocks noChangeAspect="1"/>
        </xdr:cNvPicPr>
      </xdr:nvPicPr>
      <xdr:blipFill>
        <a:blip xmlns:r="http://schemas.openxmlformats.org/officeDocument/2006/relationships" r:embed="rId4"/>
        <a:stretch>
          <a:fillRect/>
        </a:stretch>
      </xdr:blipFill>
      <xdr:spPr>
        <a:xfrm>
          <a:off x="114300" y="10134600"/>
          <a:ext cx="6913030" cy="3092450"/>
        </a:xfrm>
        <a:prstGeom prst="rect">
          <a:avLst/>
        </a:prstGeom>
      </xdr:spPr>
    </xdr:pic>
    <xdr:clientData/>
  </xdr:oneCellAnchor>
  <xdr:twoCellAnchor editAs="oneCell">
    <xdr:from>
      <xdr:col>0</xdr:col>
      <xdr:colOff>206375</xdr:colOff>
      <xdr:row>256</xdr:row>
      <xdr:rowOff>85725</xdr:rowOff>
    </xdr:from>
    <xdr:to>
      <xdr:col>2</xdr:col>
      <xdr:colOff>1911350</xdr:colOff>
      <xdr:row>263</xdr:row>
      <xdr:rowOff>159066</xdr:rowOff>
    </xdr:to>
    <xdr:pic>
      <xdr:nvPicPr>
        <xdr:cNvPr id="8" name="Picture 27">
          <a:extLst>
            <a:ext uri="{FF2B5EF4-FFF2-40B4-BE49-F238E27FC236}">
              <a16:creationId xmlns:a16="http://schemas.microsoft.com/office/drawing/2014/main" id="{823DC59C-A6FB-E9A3-628A-F5EBB89DD4CC}"/>
            </a:ext>
          </a:extLst>
        </xdr:cNvPr>
        <xdr:cNvPicPr>
          <a:picLocks noChangeAspect="1"/>
        </xdr:cNvPicPr>
      </xdr:nvPicPr>
      <xdr:blipFill>
        <a:blip xmlns:r="http://schemas.openxmlformats.org/officeDocument/2006/relationships" r:embed="rId5"/>
        <a:stretch>
          <a:fillRect/>
        </a:stretch>
      </xdr:blipFill>
      <xdr:spPr>
        <a:xfrm>
          <a:off x="206375" y="61731525"/>
          <a:ext cx="5070475" cy="1413191"/>
        </a:xfrm>
        <a:prstGeom prst="rect">
          <a:avLst/>
        </a:prstGeom>
      </xdr:spPr>
    </xdr:pic>
    <xdr:clientData/>
  </xdr:twoCellAnchor>
  <xdr:twoCellAnchor editAs="oneCell">
    <xdr:from>
      <xdr:col>2</xdr:col>
      <xdr:colOff>1038226</xdr:colOff>
      <xdr:row>256</xdr:row>
      <xdr:rowOff>66675</xdr:rowOff>
    </xdr:from>
    <xdr:to>
      <xdr:col>4</xdr:col>
      <xdr:colOff>654051</xdr:colOff>
      <xdr:row>267</xdr:row>
      <xdr:rowOff>83298</xdr:rowOff>
    </xdr:to>
    <xdr:pic>
      <xdr:nvPicPr>
        <xdr:cNvPr id="9" name="Picture 28">
          <a:extLst>
            <a:ext uri="{FF2B5EF4-FFF2-40B4-BE49-F238E27FC236}">
              <a16:creationId xmlns:a16="http://schemas.microsoft.com/office/drawing/2014/main" id="{E1FC4F05-E83C-CFEA-014C-1B6BF887DE08}"/>
            </a:ext>
          </a:extLst>
        </xdr:cNvPr>
        <xdr:cNvPicPr>
          <a:picLocks noChangeAspect="1"/>
        </xdr:cNvPicPr>
      </xdr:nvPicPr>
      <xdr:blipFill>
        <a:blip xmlns:r="http://schemas.openxmlformats.org/officeDocument/2006/relationships" r:embed="rId6"/>
        <a:stretch>
          <a:fillRect/>
        </a:stretch>
      </xdr:blipFill>
      <xdr:spPr>
        <a:xfrm>
          <a:off x="5438776" y="61712475"/>
          <a:ext cx="3924300" cy="2112123"/>
        </a:xfrm>
        <a:prstGeom prst="rect">
          <a:avLst/>
        </a:prstGeom>
      </xdr:spPr>
    </xdr:pic>
    <xdr:clientData/>
  </xdr:twoCellAnchor>
  <xdr:twoCellAnchor editAs="oneCell">
    <xdr:from>
      <xdr:col>3</xdr:col>
      <xdr:colOff>1209674</xdr:colOff>
      <xdr:row>126</xdr:row>
      <xdr:rowOff>0</xdr:rowOff>
    </xdr:from>
    <xdr:to>
      <xdr:col>6</xdr:col>
      <xdr:colOff>1003299</xdr:colOff>
      <xdr:row>140</xdr:row>
      <xdr:rowOff>120773</xdr:rowOff>
    </xdr:to>
    <xdr:pic>
      <xdr:nvPicPr>
        <xdr:cNvPr id="3" name="Picture 2">
          <a:extLst>
            <a:ext uri="{FF2B5EF4-FFF2-40B4-BE49-F238E27FC236}">
              <a16:creationId xmlns:a16="http://schemas.microsoft.com/office/drawing/2014/main" id="{7B17056F-4A04-039C-A46B-C980AE828EC0}"/>
            </a:ext>
          </a:extLst>
        </xdr:cNvPr>
        <xdr:cNvPicPr>
          <a:picLocks noChangeAspect="1"/>
        </xdr:cNvPicPr>
      </xdr:nvPicPr>
      <xdr:blipFill>
        <a:blip xmlns:r="http://schemas.openxmlformats.org/officeDocument/2006/relationships" r:embed="rId7"/>
        <a:stretch>
          <a:fillRect/>
        </a:stretch>
      </xdr:blipFill>
      <xdr:spPr>
        <a:xfrm>
          <a:off x="8000999" y="30060900"/>
          <a:ext cx="3400425" cy="2746498"/>
        </a:xfrm>
        <a:prstGeom prst="rect">
          <a:avLst/>
        </a:prstGeom>
      </xdr:spPr>
    </xdr:pic>
    <xdr:clientData/>
  </xdr:twoCellAnchor>
  <xdr:twoCellAnchor editAs="oneCell">
    <xdr:from>
      <xdr:col>2</xdr:col>
      <xdr:colOff>1819275</xdr:colOff>
      <xdr:row>191</xdr:row>
      <xdr:rowOff>0</xdr:rowOff>
    </xdr:from>
    <xdr:to>
      <xdr:col>4</xdr:col>
      <xdr:colOff>911225</xdr:colOff>
      <xdr:row>205</xdr:row>
      <xdr:rowOff>114423</xdr:rowOff>
    </xdr:to>
    <xdr:pic>
      <xdr:nvPicPr>
        <xdr:cNvPr id="4" name="Picture 3">
          <a:extLst>
            <a:ext uri="{FF2B5EF4-FFF2-40B4-BE49-F238E27FC236}">
              <a16:creationId xmlns:a16="http://schemas.microsoft.com/office/drawing/2014/main" id="{9270934F-CEBB-49B4-AAC5-9B19D63B01DA}"/>
            </a:ext>
          </a:extLst>
        </xdr:cNvPr>
        <xdr:cNvPicPr>
          <a:picLocks noChangeAspect="1"/>
        </xdr:cNvPicPr>
      </xdr:nvPicPr>
      <xdr:blipFill>
        <a:blip xmlns:r="http://schemas.openxmlformats.org/officeDocument/2006/relationships" r:embed="rId7"/>
        <a:stretch>
          <a:fillRect/>
        </a:stretch>
      </xdr:blipFill>
      <xdr:spPr>
        <a:xfrm>
          <a:off x="6219825" y="45415200"/>
          <a:ext cx="3397250" cy="27528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122</xdr:row>
      <xdr:rowOff>177800</xdr:rowOff>
    </xdr:from>
    <xdr:to>
      <xdr:col>3</xdr:col>
      <xdr:colOff>438150</xdr:colOff>
      <xdr:row>148</xdr:row>
      <xdr:rowOff>152499</xdr:rowOff>
    </xdr:to>
    <xdr:grpSp>
      <xdr:nvGrpSpPr>
        <xdr:cNvPr id="2" name="Group 1">
          <a:extLst>
            <a:ext uri="{FF2B5EF4-FFF2-40B4-BE49-F238E27FC236}">
              <a16:creationId xmlns:a16="http://schemas.microsoft.com/office/drawing/2014/main" id="{5FE643EE-3359-440E-BDAC-D348E10DE730}"/>
            </a:ext>
          </a:extLst>
        </xdr:cNvPr>
        <xdr:cNvGrpSpPr/>
      </xdr:nvGrpSpPr>
      <xdr:grpSpPr>
        <a:xfrm>
          <a:off x="0" y="27981275"/>
          <a:ext cx="6896100" cy="4870549"/>
          <a:chOff x="14951075" y="19411950"/>
          <a:chExt cx="6029325" cy="4864199"/>
        </a:xfrm>
      </xdr:grpSpPr>
      <xdr:pic>
        <xdr:nvPicPr>
          <xdr:cNvPr id="3" name="Picture 2">
            <a:extLst>
              <a:ext uri="{FF2B5EF4-FFF2-40B4-BE49-F238E27FC236}">
                <a16:creationId xmlns:a16="http://schemas.microsoft.com/office/drawing/2014/main" id="{9887901F-EE1C-A3D0-307D-652EEB53F8DE}"/>
              </a:ext>
            </a:extLst>
          </xdr:cNvPr>
          <xdr:cNvPicPr>
            <a:picLocks noChangeAspect="1"/>
          </xdr:cNvPicPr>
        </xdr:nvPicPr>
        <xdr:blipFill>
          <a:blip xmlns:r="http://schemas.openxmlformats.org/officeDocument/2006/relationships" r:embed="rId1"/>
          <a:stretch>
            <a:fillRect/>
          </a:stretch>
        </xdr:blipFill>
        <xdr:spPr>
          <a:xfrm>
            <a:off x="14951075" y="19478623"/>
            <a:ext cx="6029325" cy="4797526"/>
          </a:xfrm>
          <a:prstGeom prst="rect">
            <a:avLst/>
          </a:prstGeom>
        </xdr:spPr>
      </xdr:pic>
      <xdr:pic>
        <xdr:nvPicPr>
          <xdr:cNvPr id="4" name="Picture 3">
            <a:extLst>
              <a:ext uri="{FF2B5EF4-FFF2-40B4-BE49-F238E27FC236}">
                <a16:creationId xmlns:a16="http://schemas.microsoft.com/office/drawing/2014/main" id="{0D1F23FA-7EDF-B58A-6DAB-EF27F23607C7}"/>
              </a:ext>
            </a:extLst>
          </xdr:cNvPr>
          <xdr:cNvPicPr>
            <a:picLocks noChangeAspect="1"/>
          </xdr:cNvPicPr>
        </xdr:nvPicPr>
        <xdr:blipFill>
          <a:blip xmlns:r="http://schemas.openxmlformats.org/officeDocument/2006/relationships" r:embed="rId2"/>
          <a:stretch>
            <a:fillRect/>
          </a:stretch>
        </xdr:blipFill>
        <xdr:spPr>
          <a:xfrm>
            <a:off x="15373350" y="19411950"/>
            <a:ext cx="2711589" cy="257188"/>
          </a:xfrm>
          <a:prstGeom prst="rect">
            <a:avLst/>
          </a:prstGeom>
        </xdr:spPr>
      </xdr:pic>
    </xdr:grpSp>
    <xdr:clientData/>
  </xdr:twoCellAnchor>
  <xdr:twoCellAnchor editAs="oneCell">
    <xdr:from>
      <xdr:col>0</xdr:col>
      <xdr:colOff>161925</xdr:colOff>
      <xdr:row>187</xdr:row>
      <xdr:rowOff>95249</xdr:rowOff>
    </xdr:from>
    <xdr:to>
      <xdr:col>2</xdr:col>
      <xdr:colOff>2602483</xdr:colOff>
      <xdr:row>211</xdr:row>
      <xdr:rowOff>85480</xdr:rowOff>
    </xdr:to>
    <xdr:pic>
      <xdr:nvPicPr>
        <xdr:cNvPr id="5" name="Picture 4">
          <a:extLst>
            <a:ext uri="{FF2B5EF4-FFF2-40B4-BE49-F238E27FC236}">
              <a16:creationId xmlns:a16="http://schemas.microsoft.com/office/drawing/2014/main" id="{F1E67EF5-3FB4-4529-B397-07A954114B49}"/>
            </a:ext>
          </a:extLst>
        </xdr:cNvPr>
        <xdr:cNvPicPr>
          <a:picLocks noChangeAspect="1"/>
        </xdr:cNvPicPr>
      </xdr:nvPicPr>
      <xdr:blipFill>
        <a:blip xmlns:r="http://schemas.openxmlformats.org/officeDocument/2006/relationships" r:embed="rId3"/>
        <a:stretch>
          <a:fillRect/>
        </a:stretch>
      </xdr:blipFill>
      <xdr:spPr>
        <a:xfrm>
          <a:off x="158750" y="41395649"/>
          <a:ext cx="5517133" cy="4517781"/>
        </a:xfrm>
        <a:prstGeom prst="rect">
          <a:avLst/>
        </a:prstGeom>
      </xdr:spPr>
    </xdr:pic>
    <xdr:clientData/>
  </xdr:twoCellAnchor>
  <xdr:twoCellAnchor editAs="oneCell">
    <xdr:from>
      <xdr:col>0</xdr:col>
      <xdr:colOff>114300</xdr:colOff>
      <xdr:row>45</xdr:row>
      <xdr:rowOff>19050</xdr:rowOff>
    </xdr:from>
    <xdr:to>
      <xdr:col>3</xdr:col>
      <xdr:colOff>876085</xdr:colOff>
      <xdr:row>61</xdr:row>
      <xdr:rowOff>104775</xdr:rowOff>
    </xdr:to>
    <xdr:pic>
      <xdr:nvPicPr>
        <xdr:cNvPr id="6" name="Picture 5">
          <a:extLst>
            <a:ext uri="{FF2B5EF4-FFF2-40B4-BE49-F238E27FC236}">
              <a16:creationId xmlns:a16="http://schemas.microsoft.com/office/drawing/2014/main" id="{0B84D314-636A-4B69-9397-96C4F25618D1}"/>
            </a:ext>
          </a:extLst>
        </xdr:cNvPr>
        <xdr:cNvPicPr>
          <a:picLocks noChangeAspect="1"/>
        </xdr:cNvPicPr>
      </xdr:nvPicPr>
      <xdr:blipFill>
        <a:blip xmlns:r="http://schemas.openxmlformats.org/officeDocument/2006/relationships" r:embed="rId4"/>
        <a:stretch>
          <a:fillRect/>
        </a:stretch>
      </xdr:blipFill>
      <xdr:spPr>
        <a:xfrm>
          <a:off x="114300" y="9610725"/>
          <a:ext cx="6913030" cy="3092450"/>
        </a:xfrm>
        <a:prstGeom prst="rect">
          <a:avLst/>
        </a:prstGeom>
      </xdr:spPr>
    </xdr:pic>
    <xdr:clientData/>
  </xdr:twoCellAnchor>
  <xdr:twoCellAnchor editAs="oneCell">
    <xdr:from>
      <xdr:col>0</xdr:col>
      <xdr:colOff>244475</xdr:colOff>
      <xdr:row>256</xdr:row>
      <xdr:rowOff>85725</xdr:rowOff>
    </xdr:from>
    <xdr:to>
      <xdr:col>2</xdr:col>
      <xdr:colOff>1323652</xdr:colOff>
      <xdr:row>263</xdr:row>
      <xdr:rowOff>161823</xdr:rowOff>
    </xdr:to>
    <xdr:pic>
      <xdr:nvPicPr>
        <xdr:cNvPr id="7" name="Picture 6">
          <a:extLst>
            <a:ext uri="{FF2B5EF4-FFF2-40B4-BE49-F238E27FC236}">
              <a16:creationId xmlns:a16="http://schemas.microsoft.com/office/drawing/2014/main" id="{2F367C72-ED34-4D98-A16F-F5BF265258DC}"/>
            </a:ext>
          </a:extLst>
        </xdr:cNvPr>
        <xdr:cNvPicPr>
          <a:picLocks noChangeAspect="1"/>
        </xdr:cNvPicPr>
      </xdr:nvPicPr>
      <xdr:blipFill>
        <a:blip xmlns:r="http://schemas.openxmlformats.org/officeDocument/2006/relationships" r:embed="rId5"/>
        <a:stretch>
          <a:fillRect/>
        </a:stretch>
      </xdr:blipFill>
      <xdr:spPr>
        <a:xfrm>
          <a:off x="244475" y="57454800"/>
          <a:ext cx="4438327" cy="1412773"/>
        </a:xfrm>
        <a:prstGeom prst="rect">
          <a:avLst/>
        </a:prstGeom>
      </xdr:spPr>
    </xdr:pic>
    <xdr:clientData/>
  </xdr:twoCellAnchor>
  <xdr:twoCellAnchor editAs="oneCell">
    <xdr:from>
      <xdr:col>2</xdr:col>
      <xdr:colOff>1514475</xdr:colOff>
      <xdr:row>256</xdr:row>
      <xdr:rowOff>133350</xdr:rowOff>
    </xdr:from>
    <xdr:to>
      <xdr:col>4</xdr:col>
      <xdr:colOff>939800</xdr:colOff>
      <xdr:row>267</xdr:row>
      <xdr:rowOff>78707</xdr:rowOff>
    </xdr:to>
    <xdr:pic>
      <xdr:nvPicPr>
        <xdr:cNvPr id="8" name="Picture 7">
          <a:extLst>
            <a:ext uri="{FF2B5EF4-FFF2-40B4-BE49-F238E27FC236}">
              <a16:creationId xmlns:a16="http://schemas.microsoft.com/office/drawing/2014/main" id="{D4B7F982-CAFE-4CCE-97AD-D1A5901FB0ED}"/>
            </a:ext>
          </a:extLst>
        </xdr:cNvPr>
        <xdr:cNvPicPr>
          <a:picLocks noChangeAspect="1"/>
        </xdr:cNvPicPr>
      </xdr:nvPicPr>
      <xdr:blipFill>
        <a:blip xmlns:r="http://schemas.openxmlformats.org/officeDocument/2006/relationships" r:embed="rId6"/>
        <a:stretch>
          <a:fillRect/>
        </a:stretch>
      </xdr:blipFill>
      <xdr:spPr>
        <a:xfrm>
          <a:off x="4876800" y="57502425"/>
          <a:ext cx="3714750" cy="2040857"/>
        </a:xfrm>
        <a:prstGeom prst="rect">
          <a:avLst/>
        </a:prstGeom>
      </xdr:spPr>
    </xdr:pic>
    <xdr:clientData/>
  </xdr:twoCellAnchor>
  <xdr:oneCellAnchor>
    <xdr:from>
      <xdr:col>0</xdr:col>
      <xdr:colOff>180975</xdr:colOff>
      <xdr:row>268</xdr:row>
      <xdr:rowOff>123825</xdr:rowOff>
    </xdr:from>
    <xdr:ext cx="6231467" cy="2192324"/>
    <xdr:pic>
      <xdr:nvPicPr>
        <xdr:cNvPr id="11" name="Picture 2">
          <a:extLst>
            <a:ext uri="{FF2B5EF4-FFF2-40B4-BE49-F238E27FC236}">
              <a16:creationId xmlns:a16="http://schemas.microsoft.com/office/drawing/2014/main" id="{4673D63A-3901-479A-B6A7-83D234633202}"/>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905"/>
        <a:stretch/>
      </xdr:blipFill>
      <xdr:spPr>
        <a:xfrm>
          <a:off x="180975" y="59778900"/>
          <a:ext cx="6231467" cy="2192324"/>
        </a:xfrm>
        <a:prstGeom prst="rect">
          <a:avLst/>
        </a:prstGeom>
      </xdr:spPr>
    </xdr:pic>
    <xdr:clientData/>
  </xdr:oneCellAnchor>
  <xdr:twoCellAnchor editAs="oneCell">
    <xdr:from>
      <xdr:col>3</xdr:col>
      <xdr:colOff>558799</xdr:colOff>
      <xdr:row>188</xdr:row>
      <xdr:rowOff>139699</xdr:rowOff>
    </xdr:from>
    <xdr:to>
      <xdr:col>6</xdr:col>
      <xdr:colOff>736599</xdr:colOff>
      <xdr:row>203</xdr:row>
      <xdr:rowOff>78952</xdr:rowOff>
    </xdr:to>
    <xdr:pic>
      <xdr:nvPicPr>
        <xdr:cNvPr id="9" name="Picture 8">
          <a:extLst>
            <a:ext uri="{FF2B5EF4-FFF2-40B4-BE49-F238E27FC236}">
              <a16:creationId xmlns:a16="http://schemas.microsoft.com/office/drawing/2014/main" id="{B345E22D-64BD-A7AC-E02B-FDB805071589}"/>
            </a:ext>
          </a:extLst>
        </xdr:cNvPr>
        <xdr:cNvPicPr>
          <a:picLocks noChangeAspect="1"/>
        </xdr:cNvPicPr>
      </xdr:nvPicPr>
      <xdr:blipFill>
        <a:blip xmlns:r="http://schemas.openxmlformats.org/officeDocument/2006/relationships" r:embed="rId8"/>
        <a:stretch>
          <a:fillRect/>
        </a:stretch>
      </xdr:blipFill>
      <xdr:spPr>
        <a:xfrm>
          <a:off x="6435724" y="42583099"/>
          <a:ext cx="3775075" cy="2765003"/>
        </a:xfrm>
        <a:prstGeom prst="rect">
          <a:avLst/>
        </a:prstGeom>
      </xdr:spPr>
    </xdr:pic>
    <xdr:clientData/>
  </xdr:twoCellAnchor>
  <xdr:twoCellAnchor editAs="oneCell">
    <xdr:from>
      <xdr:col>4</xdr:col>
      <xdr:colOff>0</xdr:colOff>
      <xdr:row>124</xdr:row>
      <xdr:rowOff>0</xdr:rowOff>
    </xdr:from>
    <xdr:to>
      <xdr:col>7</xdr:col>
      <xdr:colOff>177800</xdr:colOff>
      <xdr:row>138</xdr:row>
      <xdr:rowOff>132928</xdr:rowOff>
    </xdr:to>
    <xdr:pic>
      <xdr:nvPicPr>
        <xdr:cNvPr id="10" name="Picture 9">
          <a:extLst>
            <a:ext uri="{FF2B5EF4-FFF2-40B4-BE49-F238E27FC236}">
              <a16:creationId xmlns:a16="http://schemas.microsoft.com/office/drawing/2014/main" id="{52BCAC52-86BD-4963-BDBD-0B4576380D29}"/>
            </a:ext>
          </a:extLst>
        </xdr:cNvPr>
        <xdr:cNvPicPr>
          <a:picLocks noChangeAspect="1"/>
        </xdr:cNvPicPr>
      </xdr:nvPicPr>
      <xdr:blipFill>
        <a:blip xmlns:r="http://schemas.openxmlformats.org/officeDocument/2006/relationships" r:embed="rId8"/>
        <a:stretch>
          <a:fillRect/>
        </a:stretch>
      </xdr:blipFill>
      <xdr:spPr>
        <a:xfrm>
          <a:off x="7086600" y="27489150"/>
          <a:ext cx="3771900" cy="27618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39</xdr:row>
      <xdr:rowOff>171450</xdr:rowOff>
    </xdr:from>
    <xdr:to>
      <xdr:col>3</xdr:col>
      <xdr:colOff>521547</xdr:colOff>
      <xdr:row>56</xdr:row>
      <xdr:rowOff>150589</xdr:rowOff>
    </xdr:to>
    <xdr:pic>
      <xdr:nvPicPr>
        <xdr:cNvPr id="4" name="Picture 12">
          <a:extLst>
            <a:ext uri="{FF2B5EF4-FFF2-40B4-BE49-F238E27FC236}">
              <a16:creationId xmlns:a16="http://schemas.microsoft.com/office/drawing/2014/main" id="{B902D024-BD9F-4EDD-880B-107093DF5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277"/>
        <a:stretch/>
      </xdr:blipFill>
      <xdr:spPr>
        <a:xfrm>
          <a:off x="314325" y="9915525"/>
          <a:ext cx="6677237" cy="3221449"/>
        </a:xfrm>
        <a:prstGeom prst="rect">
          <a:avLst/>
        </a:prstGeom>
      </xdr:spPr>
    </xdr:pic>
    <xdr:clientData/>
  </xdr:twoCellAnchor>
  <xdr:oneCellAnchor>
    <xdr:from>
      <xdr:col>1</xdr:col>
      <xdr:colOff>76200</xdr:colOff>
      <xdr:row>99</xdr:row>
      <xdr:rowOff>38100</xdr:rowOff>
    </xdr:from>
    <xdr:ext cx="16213813" cy="619211"/>
    <xdr:pic>
      <xdr:nvPicPr>
        <xdr:cNvPr id="6" name="Picture 3">
          <a:extLst>
            <a:ext uri="{FF2B5EF4-FFF2-40B4-BE49-F238E27FC236}">
              <a16:creationId xmlns:a16="http://schemas.microsoft.com/office/drawing/2014/main" id="{B6D013FA-545D-4F58-19C5-06125DE2BFB4}"/>
            </a:ext>
          </a:extLst>
        </xdr:cNvPr>
        <xdr:cNvPicPr>
          <a:picLocks noChangeAspect="1"/>
        </xdr:cNvPicPr>
      </xdr:nvPicPr>
      <xdr:blipFill>
        <a:blip xmlns:r="http://schemas.openxmlformats.org/officeDocument/2006/relationships" r:embed="rId2"/>
        <a:stretch>
          <a:fillRect/>
        </a:stretch>
      </xdr:blipFill>
      <xdr:spPr>
        <a:xfrm>
          <a:off x="342900" y="22507575"/>
          <a:ext cx="16213813" cy="619211"/>
        </a:xfrm>
        <a:prstGeom prst="rect">
          <a:avLst/>
        </a:prstGeom>
      </xdr:spPr>
    </xdr:pic>
    <xdr:clientData/>
  </xdr:oneCellAnchor>
  <xdr:oneCellAnchor>
    <xdr:from>
      <xdr:col>1</xdr:col>
      <xdr:colOff>9525</xdr:colOff>
      <xdr:row>213</xdr:row>
      <xdr:rowOff>161925</xdr:rowOff>
    </xdr:from>
    <xdr:ext cx="13947180" cy="558878"/>
    <xdr:pic>
      <xdr:nvPicPr>
        <xdr:cNvPr id="3" name="Picture 5">
          <a:extLst>
            <a:ext uri="{FF2B5EF4-FFF2-40B4-BE49-F238E27FC236}">
              <a16:creationId xmlns:a16="http://schemas.microsoft.com/office/drawing/2014/main" id="{A4879576-F6E5-0B8B-52C3-25A6B874CC15}"/>
            </a:ext>
          </a:extLst>
        </xdr:cNvPr>
        <xdr:cNvPicPr>
          <a:picLocks noChangeAspect="1"/>
        </xdr:cNvPicPr>
      </xdr:nvPicPr>
      <xdr:blipFill>
        <a:blip xmlns:r="http://schemas.openxmlformats.org/officeDocument/2006/relationships" r:embed="rId3"/>
        <a:stretch>
          <a:fillRect/>
        </a:stretch>
      </xdr:blipFill>
      <xdr:spPr>
        <a:xfrm>
          <a:off x="276225" y="32204025"/>
          <a:ext cx="13937020" cy="562053"/>
        </a:xfrm>
        <a:prstGeom prst="rect">
          <a:avLst/>
        </a:prstGeom>
      </xdr:spPr>
    </xdr:pic>
    <xdr:clientData/>
  </xdr:oneCellAnchor>
  <xdr:twoCellAnchor>
    <xdr:from>
      <xdr:col>1</xdr:col>
      <xdr:colOff>111125</xdr:colOff>
      <xdr:row>124</xdr:row>
      <xdr:rowOff>161925</xdr:rowOff>
    </xdr:from>
    <xdr:to>
      <xdr:col>3</xdr:col>
      <xdr:colOff>815975</xdr:colOff>
      <xdr:row>151</xdr:row>
      <xdr:rowOff>149324</xdr:rowOff>
    </xdr:to>
    <xdr:grpSp>
      <xdr:nvGrpSpPr>
        <xdr:cNvPr id="35" name="Group 5">
          <a:extLst>
            <a:ext uri="{FF2B5EF4-FFF2-40B4-BE49-F238E27FC236}">
              <a16:creationId xmlns:a16="http://schemas.microsoft.com/office/drawing/2014/main" id="{32E65D60-A28B-4297-AF2D-6AB9DDB9CB14}"/>
            </a:ext>
          </a:extLst>
        </xdr:cNvPr>
        <xdr:cNvGrpSpPr/>
      </xdr:nvGrpSpPr>
      <xdr:grpSpPr>
        <a:xfrm>
          <a:off x="377825" y="28013025"/>
          <a:ext cx="6896100" cy="4873724"/>
          <a:chOff x="14951075" y="19411950"/>
          <a:chExt cx="6029325" cy="4864199"/>
        </a:xfrm>
      </xdr:grpSpPr>
      <xdr:pic>
        <xdr:nvPicPr>
          <xdr:cNvPr id="36" name="Picture 6">
            <a:extLst>
              <a:ext uri="{FF2B5EF4-FFF2-40B4-BE49-F238E27FC236}">
                <a16:creationId xmlns:a16="http://schemas.microsoft.com/office/drawing/2014/main" id="{90BD3075-B861-DFF8-D2C7-EFF036ED8CCB}"/>
              </a:ext>
            </a:extLst>
          </xdr:cNvPr>
          <xdr:cNvPicPr>
            <a:picLocks noChangeAspect="1"/>
          </xdr:cNvPicPr>
        </xdr:nvPicPr>
        <xdr:blipFill>
          <a:blip xmlns:r="http://schemas.openxmlformats.org/officeDocument/2006/relationships" r:embed="rId4"/>
          <a:stretch>
            <a:fillRect/>
          </a:stretch>
        </xdr:blipFill>
        <xdr:spPr>
          <a:xfrm>
            <a:off x="14951075" y="19478623"/>
            <a:ext cx="6029325" cy="4797526"/>
          </a:xfrm>
          <a:prstGeom prst="rect">
            <a:avLst/>
          </a:prstGeom>
        </xdr:spPr>
      </xdr:pic>
      <xdr:pic>
        <xdr:nvPicPr>
          <xdr:cNvPr id="37" name="Picture 7">
            <a:extLst>
              <a:ext uri="{FF2B5EF4-FFF2-40B4-BE49-F238E27FC236}">
                <a16:creationId xmlns:a16="http://schemas.microsoft.com/office/drawing/2014/main" id="{456738F7-132D-4830-8C41-0ECFEAF8DD44}"/>
              </a:ext>
            </a:extLst>
          </xdr:cNvPr>
          <xdr:cNvPicPr>
            <a:picLocks noChangeAspect="1"/>
          </xdr:cNvPicPr>
        </xdr:nvPicPr>
        <xdr:blipFill>
          <a:blip xmlns:r="http://schemas.openxmlformats.org/officeDocument/2006/relationships" r:embed="rId5"/>
          <a:stretch>
            <a:fillRect/>
          </a:stretch>
        </xdr:blipFill>
        <xdr:spPr>
          <a:xfrm>
            <a:off x="15373350" y="19411950"/>
            <a:ext cx="2711589" cy="257188"/>
          </a:xfrm>
          <a:prstGeom prst="rect">
            <a:avLst/>
          </a:prstGeom>
        </xdr:spPr>
      </xdr:pic>
    </xdr:grpSp>
    <xdr:clientData/>
  </xdr:twoCellAnchor>
  <xdr:oneCellAnchor>
    <xdr:from>
      <xdr:col>3</xdr:col>
      <xdr:colOff>1098549</xdr:colOff>
      <xdr:row>125</xdr:row>
      <xdr:rowOff>0</xdr:rowOff>
    </xdr:from>
    <xdr:ext cx="3384550" cy="2752848"/>
    <xdr:pic>
      <xdr:nvPicPr>
        <xdr:cNvPr id="34" name="Picture 8">
          <a:extLst>
            <a:ext uri="{FF2B5EF4-FFF2-40B4-BE49-F238E27FC236}">
              <a16:creationId xmlns:a16="http://schemas.microsoft.com/office/drawing/2014/main" id="{0D4F6C80-2B1D-4B7E-AA39-1C6E4750E961}"/>
            </a:ext>
          </a:extLst>
        </xdr:cNvPr>
        <xdr:cNvPicPr>
          <a:picLocks noChangeAspect="1"/>
        </xdr:cNvPicPr>
      </xdr:nvPicPr>
      <xdr:blipFill>
        <a:blip xmlns:r="http://schemas.openxmlformats.org/officeDocument/2006/relationships" r:embed="rId6"/>
        <a:stretch>
          <a:fillRect/>
        </a:stretch>
      </xdr:blipFill>
      <xdr:spPr>
        <a:xfrm>
          <a:off x="7556499" y="28355925"/>
          <a:ext cx="3378200" cy="2752848"/>
        </a:xfrm>
        <a:prstGeom prst="rect">
          <a:avLst/>
        </a:prstGeom>
      </xdr:spPr>
    </xdr:pic>
    <xdr:clientData/>
  </xdr:oneCellAnchor>
  <xdr:oneCellAnchor>
    <xdr:from>
      <xdr:col>0</xdr:col>
      <xdr:colOff>158751</xdr:colOff>
      <xdr:row>154</xdr:row>
      <xdr:rowOff>44450</xdr:rowOff>
    </xdr:from>
    <xdr:ext cx="4822641" cy="2606844"/>
    <xdr:pic>
      <xdr:nvPicPr>
        <xdr:cNvPr id="33" name="Picture 9">
          <a:extLst>
            <a:ext uri="{FF2B5EF4-FFF2-40B4-BE49-F238E27FC236}">
              <a16:creationId xmlns:a16="http://schemas.microsoft.com/office/drawing/2014/main" id="{0C2FDADF-5FB3-7F94-65AD-79AE9112294B}"/>
            </a:ext>
          </a:extLst>
        </xdr:cNvPr>
        <xdr:cNvPicPr>
          <a:picLocks noChangeAspect="1"/>
        </xdr:cNvPicPr>
      </xdr:nvPicPr>
      <xdr:blipFill>
        <a:blip xmlns:r="http://schemas.openxmlformats.org/officeDocument/2006/relationships" r:embed="rId7"/>
        <a:stretch>
          <a:fillRect/>
        </a:stretch>
      </xdr:blipFill>
      <xdr:spPr>
        <a:xfrm>
          <a:off x="158751" y="33648650"/>
          <a:ext cx="4825816" cy="2610019"/>
        </a:xfrm>
        <a:prstGeom prst="rect">
          <a:avLst/>
        </a:prstGeom>
      </xdr:spPr>
    </xdr:pic>
    <xdr:clientData/>
  </xdr:oneCellAnchor>
  <xdr:oneCellAnchor>
    <xdr:from>
      <xdr:col>0</xdr:col>
      <xdr:colOff>158751</xdr:colOff>
      <xdr:row>333</xdr:row>
      <xdr:rowOff>44450</xdr:rowOff>
    </xdr:from>
    <xdr:ext cx="4822641" cy="2606844"/>
    <xdr:pic>
      <xdr:nvPicPr>
        <xdr:cNvPr id="32" name="Picture 14">
          <a:extLst>
            <a:ext uri="{FF2B5EF4-FFF2-40B4-BE49-F238E27FC236}">
              <a16:creationId xmlns:a16="http://schemas.microsoft.com/office/drawing/2014/main" id="{61DA5D51-899C-4150-B28B-D23567BA758A}"/>
            </a:ext>
          </a:extLst>
        </xdr:cNvPr>
        <xdr:cNvPicPr>
          <a:picLocks noChangeAspect="1"/>
        </xdr:cNvPicPr>
      </xdr:nvPicPr>
      <xdr:blipFill>
        <a:blip xmlns:r="http://schemas.openxmlformats.org/officeDocument/2006/relationships" r:embed="rId7"/>
        <a:stretch>
          <a:fillRect/>
        </a:stretch>
      </xdr:blipFill>
      <xdr:spPr>
        <a:xfrm>
          <a:off x="161926" y="33651825"/>
          <a:ext cx="4822641" cy="2606844"/>
        </a:xfrm>
        <a:prstGeom prst="rect">
          <a:avLst/>
        </a:prstGeom>
      </xdr:spPr>
    </xdr:pic>
    <xdr:clientData/>
  </xdr:oneCellAnchor>
  <xdr:oneCellAnchor>
    <xdr:from>
      <xdr:col>1</xdr:col>
      <xdr:colOff>57150</xdr:colOff>
      <xdr:row>305</xdr:row>
      <xdr:rowOff>120650</xdr:rowOff>
    </xdr:from>
    <xdr:ext cx="5520308" cy="4517781"/>
    <xdr:pic>
      <xdr:nvPicPr>
        <xdr:cNvPr id="42" name="Picture 23">
          <a:extLst>
            <a:ext uri="{FF2B5EF4-FFF2-40B4-BE49-F238E27FC236}">
              <a16:creationId xmlns:a16="http://schemas.microsoft.com/office/drawing/2014/main" id="{88F933F7-FF6D-491F-A0D0-4A931159576C}"/>
            </a:ext>
          </a:extLst>
        </xdr:cNvPr>
        <xdr:cNvPicPr>
          <a:picLocks noChangeAspect="1"/>
        </xdr:cNvPicPr>
      </xdr:nvPicPr>
      <xdr:blipFill>
        <a:blip xmlns:r="http://schemas.openxmlformats.org/officeDocument/2006/relationships" r:embed="rId8"/>
        <a:stretch>
          <a:fillRect/>
        </a:stretch>
      </xdr:blipFill>
      <xdr:spPr>
        <a:xfrm>
          <a:off x="323850" y="68052950"/>
          <a:ext cx="5520308" cy="4517781"/>
        </a:xfrm>
        <a:prstGeom prst="rect">
          <a:avLst/>
        </a:prstGeom>
      </xdr:spPr>
    </xdr:pic>
    <xdr:clientData/>
  </xdr:oneCellAnchor>
  <xdr:twoCellAnchor editAs="oneCell">
    <xdr:from>
      <xdr:col>2</xdr:col>
      <xdr:colOff>2740025</xdr:colOff>
      <xdr:row>306</xdr:row>
      <xdr:rowOff>47626</xdr:rowOff>
    </xdr:from>
    <xdr:to>
      <xdr:col>5</xdr:col>
      <xdr:colOff>368935</xdr:colOff>
      <xdr:row>321</xdr:row>
      <xdr:rowOff>57274</xdr:rowOff>
    </xdr:to>
    <xdr:pic>
      <xdr:nvPicPr>
        <xdr:cNvPr id="44" name="Picture 16">
          <a:extLst>
            <a:ext uri="{FF2B5EF4-FFF2-40B4-BE49-F238E27FC236}">
              <a16:creationId xmlns:a16="http://schemas.microsoft.com/office/drawing/2014/main" id="{8D2F7F73-2561-409E-B981-6355310AFDB8}"/>
            </a:ext>
          </a:extLst>
        </xdr:cNvPr>
        <xdr:cNvPicPr>
          <a:picLocks noChangeAspect="1"/>
        </xdr:cNvPicPr>
      </xdr:nvPicPr>
      <xdr:blipFill>
        <a:blip xmlns:r="http://schemas.openxmlformats.org/officeDocument/2006/relationships" r:embed="rId6"/>
        <a:stretch>
          <a:fillRect/>
        </a:stretch>
      </xdr:blipFill>
      <xdr:spPr>
        <a:xfrm>
          <a:off x="6102350" y="68160901"/>
          <a:ext cx="3381375" cy="27528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40</xdr:row>
      <xdr:rowOff>47625</xdr:rowOff>
    </xdr:from>
    <xdr:to>
      <xdr:col>3</xdr:col>
      <xdr:colOff>498052</xdr:colOff>
      <xdr:row>58</xdr:row>
      <xdr:rowOff>36289</xdr:rowOff>
    </xdr:to>
    <xdr:pic>
      <xdr:nvPicPr>
        <xdr:cNvPr id="2" name="Picture 12">
          <a:extLst>
            <a:ext uri="{FF2B5EF4-FFF2-40B4-BE49-F238E27FC236}">
              <a16:creationId xmlns:a16="http://schemas.microsoft.com/office/drawing/2014/main" id="{65443E5C-F02C-496D-8973-0BE6779DF2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277"/>
        <a:stretch/>
      </xdr:blipFill>
      <xdr:spPr>
        <a:xfrm>
          <a:off x="285750" y="9963150"/>
          <a:ext cx="6677237" cy="3392899"/>
        </a:xfrm>
        <a:prstGeom prst="rect">
          <a:avLst/>
        </a:prstGeom>
      </xdr:spPr>
    </xdr:pic>
    <xdr:clientData/>
  </xdr:twoCellAnchor>
  <xdr:oneCellAnchor>
    <xdr:from>
      <xdr:col>1</xdr:col>
      <xdr:colOff>0</xdr:colOff>
      <xdr:row>99</xdr:row>
      <xdr:rowOff>95250</xdr:rowOff>
    </xdr:from>
    <xdr:ext cx="16213813" cy="619211"/>
    <xdr:pic>
      <xdr:nvPicPr>
        <xdr:cNvPr id="5" name="Picture 2">
          <a:extLst>
            <a:ext uri="{FF2B5EF4-FFF2-40B4-BE49-F238E27FC236}">
              <a16:creationId xmlns:a16="http://schemas.microsoft.com/office/drawing/2014/main" id="{B03E7A25-2754-46B8-8A48-D65D9C142929}"/>
            </a:ext>
          </a:extLst>
        </xdr:cNvPr>
        <xdr:cNvPicPr>
          <a:picLocks noChangeAspect="1"/>
        </xdr:cNvPicPr>
      </xdr:nvPicPr>
      <xdr:blipFill>
        <a:blip xmlns:r="http://schemas.openxmlformats.org/officeDocument/2006/relationships" r:embed="rId2"/>
        <a:stretch>
          <a:fillRect/>
        </a:stretch>
      </xdr:blipFill>
      <xdr:spPr>
        <a:xfrm>
          <a:off x="266700" y="23726775"/>
          <a:ext cx="16213813" cy="619211"/>
        </a:xfrm>
        <a:prstGeom prst="rect">
          <a:avLst/>
        </a:prstGeom>
      </xdr:spPr>
    </xdr:pic>
    <xdr:clientData/>
  </xdr:oneCellAnchor>
  <xdr:twoCellAnchor editAs="oneCell">
    <xdr:from>
      <xdr:col>1</xdr:col>
      <xdr:colOff>9525</xdr:colOff>
      <xdr:row>213</xdr:row>
      <xdr:rowOff>161925</xdr:rowOff>
    </xdr:from>
    <xdr:to>
      <xdr:col>9</xdr:col>
      <xdr:colOff>736005</xdr:colOff>
      <xdr:row>216</xdr:row>
      <xdr:rowOff>152478</xdr:rowOff>
    </xdr:to>
    <xdr:pic>
      <xdr:nvPicPr>
        <xdr:cNvPr id="6" name="Picture 3">
          <a:extLst>
            <a:ext uri="{FF2B5EF4-FFF2-40B4-BE49-F238E27FC236}">
              <a16:creationId xmlns:a16="http://schemas.microsoft.com/office/drawing/2014/main" id="{F24B5A80-8171-40B5-9501-1232943A88C0}"/>
            </a:ext>
          </a:extLst>
        </xdr:cNvPr>
        <xdr:cNvPicPr>
          <a:picLocks noChangeAspect="1"/>
        </xdr:cNvPicPr>
      </xdr:nvPicPr>
      <xdr:blipFill>
        <a:blip xmlns:r="http://schemas.openxmlformats.org/officeDocument/2006/relationships" r:embed="rId3"/>
        <a:stretch>
          <a:fillRect/>
        </a:stretch>
      </xdr:blipFill>
      <xdr:spPr>
        <a:xfrm>
          <a:off x="276225" y="29098875"/>
          <a:ext cx="13937020" cy="562053"/>
        </a:xfrm>
        <a:prstGeom prst="rect">
          <a:avLst/>
        </a:prstGeom>
      </xdr:spPr>
    </xdr:pic>
    <xdr:clientData/>
  </xdr:twoCellAnchor>
  <xdr:twoCellAnchor editAs="oneCell">
    <xdr:from>
      <xdr:col>0</xdr:col>
      <xdr:colOff>171450</xdr:colOff>
      <xdr:row>402</xdr:row>
      <xdr:rowOff>161925</xdr:rowOff>
    </xdr:from>
    <xdr:to>
      <xdr:col>2</xdr:col>
      <xdr:colOff>969736</xdr:colOff>
      <xdr:row>411</xdr:row>
      <xdr:rowOff>105063</xdr:rowOff>
    </xdr:to>
    <xdr:pic>
      <xdr:nvPicPr>
        <xdr:cNvPr id="7" name="Picture 6">
          <a:extLst>
            <a:ext uri="{FF2B5EF4-FFF2-40B4-BE49-F238E27FC236}">
              <a16:creationId xmlns:a16="http://schemas.microsoft.com/office/drawing/2014/main" id="{14F7B2F1-657E-4FE8-AB67-7C6B4DD4AE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57083325"/>
          <a:ext cx="4160611" cy="1657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111125</xdr:colOff>
      <xdr:row>124</xdr:row>
      <xdr:rowOff>158750</xdr:rowOff>
    </xdr:from>
    <xdr:to>
      <xdr:col>3</xdr:col>
      <xdr:colOff>815975</xdr:colOff>
      <xdr:row>151</xdr:row>
      <xdr:rowOff>149324</xdr:rowOff>
    </xdr:to>
    <xdr:grpSp>
      <xdr:nvGrpSpPr>
        <xdr:cNvPr id="3" name="Group 2">
          <a:extLst>
            <a:ext uri="{FF2B5EF4-FFF2-40B4-BE49-F238E27FC236}">
              <a16:creationId xmlns:a16="http://schemas.microsoft.com/office/drawing/2014/main" id="{33579D77-9FC5-41DC-8544-16EF73D960C3}"/>
            </a:ext>
          </a:extLst>
        </xdr:cNvPr>
        <xdr:cNvGrpSpPr/>
      </xdr:nvGrpSpPr>
      <xdr:grpSpPr>
        <a:xfrm>
          <a:off x="377825" y="28686125"/>
          <a:ext cx="6896100" cy="4876899"/>
          <a:chOff x="14951075" y="19411950"/>
          <a:chExt cx="6029325" cy="4864199"/>
        </a:xfrm>
      </xdr:grpSpPr>
      <xdr:pic>
        <xdr:nvPicPr>
          <xdr:cNvPr id="4" name="Picture 3">
            <a:extLst>
              <a:ext uri="{FF2B5EF4-FFF2-40B4-BE49-F238E27FC236}">
                <a16:creationId xmlns:a16="http://schemas.microsoft.com/office/drawing/2014/main" id="{0CCF89CB-6EC2-5589-79FF-359364A5FE04}"/>
              </a:ext>
            </a:extLst>
          </xdr:cNvPr>
          <xdr:cNvPicPr>
            <a:picLocks noChangeAspect="1"/>
          </xdr:cNvPicPr>
        </xdr:nvPicPr>
        <xdr:blipFill>
          <a:blip xmlns:r="http://schemas.openxmlformats.org/officeDocument/2006/relationships" r:embed="rId5"/>
          <a:stretch>
            <a:fillRect/>
          </a:stretch>
        </xdr:blipFill>
        <xdr:spPr>
          <a:xfrm>
            <a:off x="14951075" y="19478623"/>
            <a:ext cx="6029325" cy="4797526"/>
          </a:xfrm>
          <a:prstGeom prst="rect">
            <a:avLst/>
          </a:prstGeom>
        </xdr:spPr>
      </xdr:pic>
      <xdr:pic>
        <xdr:nvPicPr>
          <xdr:cNvPr id="8" name="Picture 7">
            <a:extLst>
              <a:ext uri="{FF2B5EF4-FFF2-40B4-BE49-F238E27FC236}">
                <a16:creationId xmlns:a16="http://schemas.microsoft.com/office/drawing/2014/main" id="{0B2AC89B-DEE0-9535-48AF-5DF18A89F96A}"/>
              </a:ext>
            </a:extLst>
          </xdr:cNvPr>
          <xdr:cNvPicPr>
            <a:picLocks noChangeAspect="1"/>
          </xdr:cNvPicPr>
        </xdr:nvPicPr>
        <xdr:blipFill>
          <a:blip xmlns:r="http://schemas.openxmlformats.org/officeDocument/2006/relationships" r:embed="rId6"/>
          <a:stretch>
            <a:fillRect/>
          </a:stretch>
        </xdr:blipFill>
        <xdr:spPr>
          <a:xfrm>
            <a:off x="15373350" y="19411950"/>
            <a:ext cx="2711589" cy="257188"/>
          </a:xfrm>
          <a:prstGeom prst="rect">
            <a:avLst/>
          </a:prstGeom>
        </xdr:spPr>
      </xdr:pic>
    </xdr:grpSp>
    <xdr:clientData/>
  </xdr:twoCellAnchor>
  <xdr:twoCellAnchor editAs="oneCell">
    <xdr:from>
      <xdr:col>3</xdr:col>
      <xdr:colOff>1098549</xdr:colOff>
      <xdr:row>125</xdr:row>
      <xdr:rowOff>0</xdr:rowOff>
    </xdr:from>
    <xdr:to>
      <xdr:col>6</xdr:col>
      <xdr:colOff>734059</xdr:colOff>
      <xdr:row>140</xdr:row>
      <xdr:rowOff>9648</xdr:rowOff>
    </xdr:to>
    <xdr:pic>
      <xdr:nvPicPr>
        <xdr:cNvPr id="9" name="Picture 8">
          <a:extLst>
            <a:ext uri="{FF2B5EF4-FFF2-40B4-BE49-F238E27FC236}">
              <a16:creationId xmlns:a16="http://schemas.microsoft.com/office/drawing/2014/main" id="{5F8BE06E-D652-4D41-9BFC-EA0A4CECF7BE}"/>
            </a:ext>
          </a:extLst>
        </xdr:cNvPr>
        <xdr:cNvPicPr>
          <a:picLocks noChangeAspect="1"/>
        </xdr:cNvPicPr>
      </xdr:nvPicPr>
      <xdr:blipFill>
        <a:blip xmlns:r="http://schemas.openxmlformats.org/officeDocument/2006/relationships" r:embed="rId7"/>
        <a:stretch>
          <a:fillRect/>
        </a:stretch>
      </xdr:blipFill>
      <xdr:spPr>
        <a:xfrm>
          <a:off x="7553324" y="28355925"/>
          <a:ext cx="3381375" cy="2752848"/>
        </a:xfrm>
        <a:prstGeom prst="rect">
          <a:avLst/>
        </a:prstGeom>
      </xdr:spPr>
    </xdr:pic>
    <xdr:clientData/>
  </xdr:twoCellAnchor>
  <xdr:twoCellAnchor editAs="oneCell">
    <xdr:from>
      <xdr:col>0</xdr:col>
      <xdr:colOff>158751</xdr:colOff>
      <xdr:row>154</xdr:row>
      <xdr:rowOff>44450</xdr:rowOff>
    </xdr:from>
    <xdr:to>
      <xdr:col>2</xdr:col>
      <xdr:colOff>1459682</xdr:colOff>
      <xdr:row>168</xdr:row>
      <xdr:rowOff>84624</xdr:rowOff>
    </xdr:to>
    <xdr:pic>
      <xdr:nvPicPr>
        <xdr:cNvPr id="10" name="Picture 9">
          <a:extLst>
            <a:ext uri="{FF2B5EF4-FFF2-40B4-BE49-F238E27FC236}">
              <a16:creationId xmlns:a16="http://schemas.microsoft.com/office/drawing/2014/main" id="{94E7C6DF-F0FC-454D-82CF-02D7F778470B}"/>
            </a:ext>
          </a:extLst>
        </xdr:cNvPr>
        <xdr:cNvPicPr>
          <a:picLocks noChangeAspect="1"/>
        </xdr:cNvPicPr>
      </xdr:nvPicPr>
      <xdr:blipFill>
        <a:blip xmlns:r="http://schemas.openxmlformats.org/officeDocument/2006/relationships" r:embed="rId8"/>
        <a:stretch>
          <a:fillRect/>
        </a:stretch>
      </xdr:blipFill>
      <xdr:spPr>
        <a:xfrm>
          <a:off x="161926" y="33651825"/>
          <a:ext cx="4822641" cy="2610019"/>
        </a:xfrm>
        <a:prstGeom prst="rect">
          <a:avLst/>
        </a:prstGeom>
      </xdr:spPr>
    </xdr:pic>
    <xdr:clientData/>
  </xdr:twoCellAnchor>
  <xdr:oneCellAnchor>
    <xdr:from>
      <xdr:col>0</xdr:col>
      <xdr:colOff>158751</xdr:colOff>
      <xdr:row>335</xdr:row>
      <xdr:rowOff>44450</xdr:rowOff>
    </xdr:from>
    <xdr:ext cx="4822641" cy="2606844"/>
    <xdr:pic>
      <xdr:nvPicPr>
        <xdr:cNvPr id="11" name="Picture 14">
          <a:extLst>
            <a:ext uri="{FF2B5EF4-FFF2-40B4-BE49-F238E27FC236}">
              <a16:creationId xmlns:a16="http://schemas.microsoft.com/office/drawing/2014/main" id="{22753E4C-A70D-47AE-8C2D-5038C3800EFA}"/>
            </a:ext>
          </a:extLst>
        </xdr:cNvPr>
        <xdr:cNvPicPr>
          <a:picLocks noChangeAspect="1"/>
        </xdr:cNvPicPr>
      </xdr:nvPicPr>
      <xdr:blipFill>
        <a:blip xmlns:r="http://schemas.openxmlformats.org/officeDocument/2006/relationships" r:embed="rId8"/>
        <a:stretch>
          <a:fillRect/>
        </a:stretch>
      </xdr:blipFill>
      <xdr:spPr>
        <a:xfrm>
          <a:off x="161926" y="72580500"/>
          <a:ext cx="4822641" cy="2606844"/>
        </a:xfrm>
        <a:prstGeom prst="rect">
          <a:avLst/>
        </a:prstGeom>
      </xdr:spPr>
    </xdr:pic>
    <xdr:clientData/>
  </xdr:oneCellAnchor>
  <xdr:oneCellAnchor>
    <xdr:from>
      <xdr:col>1</xdr:col>
      <xdr:colOff>57150</xdr:colOff>
      <xdr:row>307</xdr:row>
      <xdr:rowOff>120650</xdr:rowOff>
    </xdr:from>
    <xdr:ext cx="5520308" cy="4517781"/>
    <xdr:pic>
      <xdr:nvPicPr>
        <xdr:cNvPr id="12" name="Picture 23">
          <a:extLst>
            <a:ext uri="{FF2B5EF4-FFF2-40B4-BE49-F238E27FC236}">
              <a16:creationId xmlns:a16="http://schemas.microsoft.com/office/drawing/2014/main" id="{13F2AC8F-0CEF-436B-9864-0988B97986B6}"/>
            </a:ext>
          </a:extLst>
        </xdr:cNvPr>
        <xdr:cNvPicPr>
          <a:picLocks noChangeAspect="1"/>
        </xdr:cNvPicPr>
      </xdr:nvPicPr>
      <xdr:blipFill>
        <a:blip xmlns:r="http://schemas.openxmlformats.org/officeDocument/2006/relationships" r:embed="rId9"/>
        <a:stretch>
          <a:fillRect/>
        </a:stretch>
      </xdr:blipFill>
      <xdr:spPr>
        <a:xfrm>
          <a:off x="323850" y="67589400"/>
          <a:ext cx="5520308" cy="4517781"/>
        </a:xfrm>
        <a:prstGeom prst="rect">
          <a:avLst/>
        </a:prstGeom>
      </xdr:spPr>
    </xdr:pic>
    <xdr:clientData/>
  </xdr:oneCellAnchor>
  <xdr:twoCellAnchor editAs="oneCell">
    <xdr:from>
      <xdr:col>2</xdr:col>
      <xdr:colOff>2740025</xdr:colOff>
      <xdr:row>308</xdr:row>
      <xdr:rowOff>47626</xdr:rowOff>
    </xdr:from>
    <xdr:to>
      <xdr:col>5</xdr:col>
      <xdr:colOff>372110</xdr:colOff>
      <xdr:row>323</xdr:row>
      <xdr:rowOff>57274</xdr:rowOff>
    </xdr:to>
    <xdr:pic>
      <xdr:nvPicPr>
        <xdr:cNvPr id="13" name="Picture 16">
          <a:extLst>
            <a:ext uri="{FF2B5EF4-FFF2-40B4-BE49-F238E27FC236}">
              <a16:creationId xmlns:a16="http://schemas.microsoft.com/office/drawing/2014/main" id="{300849CE-BB5A-41EC-92A5-C73127D4DC14}"/>
            </a:ext>
          </a:extLst>
        </xdr:cNvPr>
        <xdr:cNvPicPr>
          <a:picLocks noChangeAspect="1"/>
        </xdr:cNvPicPr>
      </xdr:nvPicPr>
      <xdr:blipFill>
        <a:blip xmlns:r="http://schemas.openxmlformats.org/officeDocument/2006/relationships" r:embed="rId7"/>
        <a:stretch>
          <a:fillRect/>
        </a:stretch>
      </xdr:blipFill>
      <xdr:spPr>
        <a:xfrm>
          <a:off x="6102350" y="67691001"/>
          <a:ext cx="3105785" cy="27274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196850</xdr:colOff>
      <xdr:row>147</xdr:row>
      <xdr:rowOff>139700</xdr:rowOff>
    </xdr:from>
    <xdr:to>
      <xdr:col>2</xdr:col>
      <xdr:colOff>1409916</xdr:colOff>
      <xdr:row>150</xdr:row>
      <xdr:rowOff>2225897</xdr:rowOff>
    </xdr:to>
    <xdr:pic>
      <xdr:nvPicPr>
        <xdr:cNvPr id="8" name="Picture 3">
          <a:extLst>
            <a:ext uri="{FF2B5EF4-FFF2-40B4-BE49-F238E27FC236}">
              <a16:creationId xmlns:a16="http://schemas.microsoft.com/office/drawing/2014/main" id="{73513180-B687-2EAC-DCAF-5FCB881B20D5}"/>
            </a:ext>
          </a:extLst>
        </xdr:cNvPr>
        <xdr:cNvPicPr>
          <a:picLocks noChangeAspect="1"/>
        </xdr:cNvPicPr>
      </xdr:nvPicPr>
      <xdr:blipFill>
        <a:blip xmlns:r="http://schemas.openxmlformats.org/officeDocument/2006/relationships" r:embed="rId1"/>
        <a:stretch>
          <a:fillRect/>
        </a:stretch>
      </xdr:blipFill>
      <xdr:spPr>
        <a:xfrm>
          <a:off x="196850" y="40354250"/>
          <a:ext cx="4210266" cy="43245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157</xdr:row>
      <xdr:rowOff>247650</xdr:rowOff>
    </xdr:from>
    <xdr:to>
      <xdr:col>3</xdr:col>
      <xdr:colOff>397213</xdr:colOff>
      <xdr:row>158</xdr:row>
      <xdr:rowOff>1905207</xdr:rowOff>
    </xdr:to>
    <xdr:pic>
      <xdr:nvPicPr>
        <xdr:cNvPr id="24" name="Picture 18">
          <a:extLst>
            <a:ext uri="{FF2B5EF4-FFF2-40B4-BE49-F238E27FC236}">
              <a16:creationId xmlns:a16="http://schemas.microsoft.com/office/drawing/2014/main" id="{07D27E36-3D16-2118-7F38-38281A943021}"/>
            </a:ext>
          </a:extLst>
        </xdr:cNvPr>
        <xdr:cNvPicPr>
          <a:picLocks noChangeAspect="1"/>
        </xdr:cNvPicPr>
      </xdr:nvPicPr>
      <xdr:blipFill>
        <a:blip xmlns:r="http://schemas.openxmlformats.org/officeDocument/2006/relationships" r:embed="rId1"/>
        <a:stretch>
          <a:fillRect/>
        </a:stretch>
      </xdr:blipFill>
      <xdr:spPr>
        <a:xfrm>
          <a:off x="276225" y="39643050"/>
          <a:ext cx="6582113" cy="40292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101600</xdr:colOff>
      <xdr:row>48</xdr:row>
      <xdr:rowOff>82550</xdr:rowOff>
    </xdr:from>
    <xdr:to>
      <xdr:col>2</xdr:col>
      <xdr:colOff>2067495</xdr:colOff>
      <xdr:row>59</xdr:row>
      <xdr:rowOff>171450</xdr:rowOff>
    </xdr:to>
    <xdr:pic>
      <xdr:nvPicPr>
        <xdr:cNvPr id="3" name="Picture 2">
          <a:extLst>
            <a:ext uri="{FF2B5EF4-FFF2-40B4-BE49-F238E27FC236}">
              <a16:creationId xmlns:a16="http://schemas.microsoft.com/office/drawing/2014/main" id="{361A6248-5570-FF14-D2D1-8BC417B19480}"/>
            </a:ext>
          </a:extLst>
        </xdr:cNvPr>
        <xdr:cNvPicPr>
          <a:picLocks noChangeAspect="1"/>
        </xdr:cNvPicPr>
      </xdr:nvPicPr>
      <xdr:blipFill>
        <a:blip xmlns:r="http://schemas.openxmlformats.org/officeDocument/2006/relationships" r:embed="rId1"/>
        <a:stretch>
          <a:fillRect/>
        </a:stretch>
      </xdr:blipFill>
      <xdr:spPr>
        <a:xfrm>
          <a:off x="368300" y="10636250"/>
          <a:ext cx="4366195" cy="2079625"/>
        </a:xfrm>
        <a:prstGeom prst="rect">
          <a:avLst/>
        </a:prstGeom>
      </xdr:spPr>
    </xdr:pic>
    <xdr:clientData/>
  </xdr:twoCellAnchor>
  <xdr:twoCellAnchor editAs="oneCell">
    <xdr:from>
      <xdr:col>2</xdr:col>
      <xdr:colOff>2225675</xdr:colOff>
      <xdr:row>48</xdr:row>
      <xdr:rowOff>53975</xdr:rowOff>
    </xdr:from>
    <xdr:to>
      <xdr:col>7</xdr:col>
      <xdr:colOff>266700</xdr:colOff>
      <xdr:row>60</xdr:row>
      <xdr:rowOff>28986</xdr:rowOff>
    </xdr:to>
    <xdr:pic>
      <xdr:nvPicPr>
        <xdr:cNvPr id="4" name="Picture 3">
          <a:extLst>
            <a:ext uri="{FF2B5EF4-FFF2-40B4-BE49-F238E27FC236}">
              <a16:creationId xmlns:a16="http://schemas.microsoft.com/office/drawing/2014/main" id="{318B4BCB-669D-1FA0-E6D9-2C70B375764F}"/>
            </a:ext>
          </a:extLst>
        </xdr:cNvPr>
        <xdr:cNvPicPr>
          <a:picLocks noChangeAspect="1"/>
        </xdr:cNvPicPr>
      </xdr:nvPicPr>
      <xdr:blipFill>
        <a:blip xmlns:r="http://schemas.openxmlformats.org/officeDocument/2006/relationships" r:embed="rId2"/>
        <a:stretch>
          <a:fillRect/>
        </a:stretch>
      </xdr:blipFill>
      <xdr:spPr>
        <a:xfrm>
          <a:off x="5588000" y="14760575"/>
          <a:ext cx="5899150" cy="22610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239711</xdr:colOff>
      <xdr:row>54</xdr:row>
      <xdr:rowOff>82550</xdr:rowOff>
    </xdr:from>
    <xdr:to>
      <xdr:col>12</xdr:col>
      <xdr:colOff>0</xdr:colOff>
      <xdr:row>64</xdr:row>
      <xdr:rowOff>133350</xdr:rowOff>
    </xdr:to>
    <xdr:graphicFrame macro="">
      <xdr:nvGraphicFramePr>
        <xdr:cNvPr id="7" name="Chart 1">
          <a:extLst>
            <a:ext uri="{FF2B5EF4-FFF2-40B4-BE49-F238E27FC236}">
              <a16:creationId xmlns:a16="http://schemas.microsoft.com/office/drawing/2014/main" id="{54AEA22C-1C7A-EB93-F7A2-CB8B9991FE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228600</xdr:colOff>
      <xdr:row>66</xdr:row>
      <xdr:rowOff>9525</xdr:rowOff>
    </xdr:from>
    <xdr:to>
      <xdr:col>11</xdr:col>
      <xdr:colOff>1182689</xdr:colOff>
      <xdr:row>78</xdr:row>
      <xdr:rowOff>66675</xdr:rowOff>
    </xdr:to>
    <xdr:graphicFrame macro="">
      <xdr:nvGraphicFramePr>
        <xdr:cNvPr id="8" name="Chart 1">
          <a:extLst>
            <a:ext uri="{FF2B5EF4-FFF2-40B4-BE49-F238E27FC236}">
              <a16:creationId xmlns:a16="http://schemas.microsoft.com/office/drawing/2014/main" id="{3DAF7BD8-668A-4738-A8ED-683EA324D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116</xdr:row>
      <xdr:rowOff>53975</xdr:rowOff>
    </xdr:from>
    <xdr:to>
      <xdr:col>2</xdr:col>
      <xdr:colOff>1159090</xdr:colOff>
      <xdr:row>126</xdr:row>
      <xdr:rowOff>73119</xdr:rowOff>
    </xdr:to>
    <xdr:pic>
      <xdr:nvPicPr>
        <xdr:cNvPr id="2" name="Picture 1">
          <a:extLst>
            <a:ext uri="{FF2B5EF4-FFF2-40B4-BE49-F238E27FC236}">
              <a16:creationId xmlns:a16="http://schemas.microsoft.com/office/drawing/2014/main" id="{7AA191AB-9D30-50B3-2CBB-C319C578FFD0}"/>
            </a:ext>
          </a:extLst>
        </xdr:cNvPr>
        <xdr:cNvPicPr>
          <a:picLocks noChangeAspect="1"/>
        </xdr:cNvPicPr>
      </xdr:nvPicPr>
      <xdr:blipFill>
        <a:blip xmlns:r="http://schemas.openxmlformats.org/officeDocument/2006/relationships" r:embed="rId1"/>
        <a:stretch>
          <a:fillRect/>
        </a:stretch>
      </xdr:blipFill>
      <xdr:spPr>
        <a:xfrm>
          <a:off x="333375" y="27886025"/>
          <a:ext cx="4191215" cy="1828894"/>
        </a:xfrm>
        <a:prstGeom prst="rect">
          <a:avLst/>
        </a:prstGeom>
      </xdr:spPr>
    </xdr:pic>
    <xdr:clientData/>
  </xdr:twoCellAnchor>
  <xdr:twoCellAnchor editAs="oneCell">
    <xdr:from>
      <xdr:col>1</xdr:col>
      <xdr:colOff>9526</xdr:colOff>
      <xdr:row>174</xdr:row>
      <xdr:rowOff>171450</xdr:rowOff>
    </xdr:from>
    <xdr:to>
      <xdr:col>2</xdr:col>
      <xdr:colOff>1638301</xdr:colOff>
      <xdr:row>189</xdr:row>
      <xdr:rowOff>126249</xdr:rowOff>
    </xdr:to>
    <xdr:pic>
      <xdr:nvPicPr>
        <xdr:cNvPr id="7" name="Picture 3">
          <a:extLst>
            <a:ext uri="{FF2B5EF4-FFF2-40B4-BE49-F238E27FC236}">
              <a16:creationId xmlns:a16="http://schemas.microsoft.com/office/drawing/2014/main" id="{E242EFFD-36BF-5A7C-C6AD-42792B1CED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6" y="42005250"/>
          <a:ext cx="4724400" cy="2812299"/>
        </a:xfrm>
        <a:prstGeom prst="rect">
          <a:avLst/>
        </a:prstGeom>
      </xdr:spPr>
    </xdr:pic>
    <xdr:clientData/>
  </xdr:twoCellAnchor>
  <xdr:twoCellAnchor editAs="oneCell">
    <xdr:from>
      <xdr:col>1</xdr:col>
      <xdr:colOff>0</xdr:colOff>
      <xdr:row>173</xdr:row>
      <xdr:rowOff>0</xdr:rowOff>
    </xdr:from>
    <xdr:to>
      <xdr:col>2</xdr:col>
      <xdr:colOff>1447800</xdr:colOff>
      <xdr:row>174</xdr:row>
      <xdr:rowOff>164558</xdr:rowOff>
    </xdr:to>
    <xdr:pic>
      <xdr:nvPicPr>
        <xdr:cNvPr id="5" name="Picture 5">
          <a:extLst>
            <a:ext uri="{FF2B5EF4-FFF2-40B4-BE49-F238E27FC236}">
              <a16:creationId xmlns:a16="http://schemas.microsoft.com/office/drawing/2014/main" id="{FE152453-41FD-3E0B-3242-46E014AD32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 y="44529375"/>
          <a:ext cx="4543425" cy="3550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20</xdr:row>
      <xdr:rowOff>76201</xdr:rowOff>
    </xdr:from>
    <xdr:to>
      <xdr:col>7</xdr:col>
      <xdr:colOff>149225</xdr:colOff>
      <xdr:row>29</xdr:row>
      <xdr:rowOff>141899</xdr:rowOff>
    </xdr:to>
    <xdr:pic>
      <xdr:nvPicPr>
        <xdr:cNvPr id="7" name="Picture 6">
          <a:extLst>
            <a:ext uri="{FF2B5EF4-FFF2-40B4-BE49-F238E27FC236}">
              <a16:creationId xmlns:a16="http://schemas.microsoft.com/office/drawing/2014/main" id="{CA9B870E-669E-A4C6-CAC2-C387FD5A4C81}"/>
            </a:ext>
          </a:extLst>
        </xdr:cNvPr>
        <xdr:cNvPicPr>
          <a:picLocks noChangeAspect="1"/>
        </xdr:cNvPicPr>
      </xdr:nvPicPr>
      <xdr:blipFill>
        <a:blip xmlns:r="http://schemas.openxmlformats.org/officeDocument/2006/relationships" r:embed="rId1"/>
        <a:stretch>
          <a:fillRect/>
        </a:stretch>
      </xdr:blipFill>
      <xdr:spPr>
        <a:xfrm>
          <a:off x="609600" y="2552701"/>
          <a:ext cx="3683000" cy="1859573"/>
        </a:xfrm>
        <a:prstGeom prst="rect">
          <a:avLst/>
        </a:prstGeom>
      </xdr:spPr>
    </xdr:pic>
    <xdr:clientData/>
  </xdr:twoCellAnchor>
  <xdr:twoCellAnchor editAs="oneCell">
    <xdr:from>
      <xdr:col>1</xdr:col>
      <xdr:colOff>381000</xdr:colOff>
      <xdr:row>44</xdr:row>
      <xdr:rowOff>95250</xdr:rowOff>
    </xdr:from>
    <xdr:to>
      <xdr:col>2</xdr:col>
      <xdr:colOff>580015</xdr:colOff>
      <xdr:row>46</xdr:row>
      <xdr:rowOff>114300</xdr:rowOff>
    </xdr:to>
    <xdr:pic>
      <xdr:nvPicPr>
        <xdr:cNvPr id="11" name="Picture 10">
          <a:extLst>
            <a:ext uri="{FF2B5EF4-FFF2-40B4-BE49-F238E27FC236}">
              <a16:creationId xmlns:a16="http://schemas.microsoft.com/office/drawing/2014/main" id="{EE19DE20-0166-025D-A71F-DF3C24088D71}"/>
            </a:ext>
          </a:extLst>
        </xdr:cNvPr>
        <xdr:cNvPicPr>
          <a:picLocks noChangeAspect="1"/>
        </xdr:cNvPicPr>
      </xdr:nvPicPr>
      <xdr:blipFill>
        <a:blip xmlns:r="http://schemas.openxmlformats.org/officeDocument/2006/relationships" r:embed="rId2"/>
        <a:stretch>
          <a:fillRect/>
        </a:stretch>
      </xdr:blipFill>
      <xdr:spPr>
        <a:xfrm>
          <a:off x="581025" y="6248400"/>
          <a:ext cx="862590" cy="409575"/>
        </a:xfrm>
        <a:prstGeom prst="rect">
          <a:avLst/>
        </a:prstGeom>
      </xdr:spPr>
    </xdr:pic>
    <xdr:clientData/>
  </xdr:twoCellAnchor>
  <xdr:twoCellAnchor editAs="oneCell">
    <xdr:from>
      <xdr:col>1</xdr:col>
      <xdr:colOff>400050</xdr:colOff>
      <xdr:row>73</xdr:row>
      <xdr:rowOff>66675</xdr:rowOff>
    </xdr:from>
    <xdr:to>
      <xdr:col>2</xdr:col>
      <xdr:colOff>600075</xdr:colOff>
      <xdr:row>75</xdr:row>
      <xdr:rowOff>92166</xdr:rowOff>
    </xdr:to>
    <xdr:pic>
      <xdr:nvPicPr>
        <xdr:cNvPr id="12" name="Picture 11">
          <a:extLst>
            <a:ext uri="{FF2B5EF4-FFF2-40B4-BE49-F238E27FC236}">
              <a16:creationId xmlns:a16="http://schemas.microsoft.com/office/drawing/2014/main" id="{668044AF-74A5-B733-FF86-3421461E3F33}"/>
            </a:ext>
          </a:extLst>
        </xdr:cNvPr>
        <xdr:cNvPicPr>
          <a:picLocks noChangeAspect="1"/>
        </xdr:cNvPicPr>
      </xdr:nvPicPr>
      <xdr:blipFill>
        <a:blip xmlns:r="http://schemas.openxmlformats.org/officeDocument/2006/relationships" r:embed="rId3"/>
        <a:stretch>
          <a:fillRect/>
        </a:stretch>
      </xdr:blipFill>
      <xdr:spPr>
        <a:xfrm>
          <a:off x="600075" y="11791950"/>
          <a:ext cx="857250" cy="425541"/>
        </a:xfrm>
        <a:prstGeom prst="rect">
          <a:avLst/>
        </a:prstGeom>
      </xdr:spPr>
    </xdr:pic>
    <xdr:clientData/>
  </xdr:twoCellAnchor>
  <xdr:twoCellAnchor editAs="oneCell">
    <xdr:from>
      <xdr:col>1</xdr:col>
      <xdr:colOff>419099</xdr:colOff>
      <xdr:row>87</xdr:row>
      <xdr:rowOff>76200</xdr:rowOff>
    </xdr:from>
    <xdr:to>
      <xdr:col>2</xdr:col>
      <xdr:colOff>581025</xdr:colOff>
      <xdr:row>89</xdr:row>
      <xdr:rowOff>85311</xdr:rowOff>
    </xdr:to>
    <xdr:pic>
      <xdr:nvPicPr>
        <xdr:cNvPr id="13" name="Picture 12">
          <a:extLst>
            <a:ext uri="{FF2B5EF4-FFF2-40B4-BE49-F238E27FC236}">
              <a16:creationId xmlns:a16="http://schemas.microsoft.com/office/drawing/2014/main" id="{B5209590-9CE8-A152-3E32-4D1C8610B54A}"/>
            </a:ext>
          </a:extLst>
        </xdr:cNvPr>
        <xdr:cNvPicPr>
          <a:picLocks noChangeAspect="1"/>
        </xdr:cNvPicPr>
      </xdr:nvPicPr>
      <xdr:blipFill>
        <a:blip xmlns:r="http://schemas.openxmlformats.org/officeDocument/2006/relationships" r:embed="rId4"/>
        <a:stretch>
          <a:fillRect/>
        </a:stretch>
      </xdr:blipFill>
      <xdr:spPr>
        <a:xfrm>
          <a:off x="619124" y="14658975"/>
          <a:ext cx="819151" cy="415511"/>
        </a:xfrm>
        <a:prstGeom prst="rect">
          <a:avLst/>
        </a:prstGeom>
      </xdr:spPr>
    </xdr:pic>
    <xdr:clientData/>
  </xdr:twoCellAnchor>
  <xdr:twoCellAnchor editAs="oneCell">
    <xdr:from>
      <xdr:col>7</xdr:col>
      <xdr:colOff>466725</xdr:colOff>
      <xdr:row>20</xdr:row>
      <xdr:rowOff>104775</xdr:rowOff>
    </xdr:from>
    <xdr:to>
      <xdr:col>15</xdr:col>
      <xdr:colOff>408977</xdr:colOff>
      <xdr:row>39</xdr:row>
      <xdr:rowOff>177800</xdr:rowOff>
    </xdr:to>
    <xdr:pic>
      <xdr:nvPicPr>
        <xdr:cNvPr id="3" name="Picture 2">
          <a:extLst>
            <a:ext uri="{FF2B5EF4-FFF2-40B4-BE49-F238E27FC236}">
              <a16:creationId xmlns:a16="http://schemas.microsoft.com/office/drawing/2014/main" id="{8A2CFD25-73CD-BB26-7889-838CB5D61B95}"/>
            </a:ext>
          </a:extLst>
        </xdr:cNvPr>
        <xdr:cNvPicPr>
          <a:picLocks noChangeAspect="1"/>
        </xdr:cNvPicPr>
      </xdr:nvPicPr>
      <xdr:blipFill>
        <a:blip xmlns:r="http://schemas.openxmlformats.org/officeDocument/2006/relationships" r:embed="rId5"/>
        <a:stretch>
          <a:fillRect/>
        </a:stretch>
      </xdr:blipFill>
      <xdr:spPr>
        <a:xfrm>
          <a:off x="4610100" y="2581275"/>
          <a:ext cx="5203227" cy="3771900"/>
        </a:xfrm>
        <a:prstGeom prst="rect">
          <a:avLst/>
        </a:prstGeom>
      </xdr:spPr>
    </xdr:pic>
    <xdr:clientData/>
  </xdr:twoCellAnchor>
  <xdr:twoCellAnchor editAs="oneCell">
    <xdr:from>
      <xdr:col>1</xdr:col>
      <xdr:colOff>304800</xdr:colOff>
      <xdr:row>6</xdr:row>
      <xdr:rowOff>58341</xdr:rowOff>
    </xdr:from>
    <xdr:to>
      <xdr:col>15</xdr:col>
      <xdr:colOff>39759</xdr:colOff>
      <xdr:row>14</xdr:row>
      <xdr:rowOff>111436</xdr:rowOff>
    </xdr:to>
    <xdr:pic>
      <xdr:nvPicPr>
        <xdr:cNvPr id="10" name="Picture 3">
          <a:extLst>
            <a:ext uri="{FF2B5EF4-FFF2-40B4-BE49-F238E27FC236}">
              <a16:creationId xmlns:a16="http://schemas.microsoft.com/office/drawing/2014/main" id="{BCB64904-6FC0-876B-B8B5-F2DFDD559535}"/>
            </a:ext>
          </a:extLst>
        </xdr:cNvPr>
        <xdr:cNvPicPr>
          <a:picLocks noChangeAspect="1"/>
        </xdr:cNvPicPr>
      </xdr:nvPicPr>
      <xdr:blipFill>
        <a:blip xmlns:r="http://schemas.openxmlformats.org/officeDocument/2006/relationships" r:embed="rId6"/>
        <a:stretch>
          <a:fillRect/>
        </a:stretch>
      </xdr:blipFill>
      <xdr:spPr>
        <a:xfrm>
          <a:off x="504825" y="1496616"/>
          <a:ext cx="8936109" cy="16755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90</xdr:row>
      <xdr:rowOff>2</xdr:rowOff>
    </xdr:from>
    <xdr:to>
      <xdr:col>3</xdr:col>
      <xdr:colOff>828675</xdr:colOff>
      <xdr:row>111</xdr:row>
      <xdr:rowOff>85944</xdr:rowOff>
    </xdr:to>
    <xdr:pic>
      <xdr:nvPicPr>
        <xdr:cNvPr id="2" name="Picture 2">
          <a:extLst>
            <a:ext uri="{FF2B5EF4-FFF2-40B4-BE49-F238E27FC236}">
              <a16:creationId xmlns:a16="http://schemas.microsoft.com/office/drawing/2014/main" id="{C0B8BC13-44CF-DD68-AFDA-3BC823AD4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840577"/>
          <a:ext cx="7019925" cy="4086442"/>
        </a:xfrm>
        <a:prstGeom prst="rect">
          <a:avLst/>
        </a:prstGeom>
      </xdr:spPr>
    </xdr:pic>
    <xdr:clientData/>
  </xdr:twoCellAnchor>
  <xdr:twoCellAnchor editAs="oneCell">
    <xdr:from>
      <xdr:col>0</xdr:col>
      <xdr:colOff>209551</xdr:colOff>
      <xdr:row>119</xdr:row>
      <xdr:rowOff>76200</xdr:rowOff>
    </xdr:from>
    <xdr:to>
      <xdr:col>2</xdr:col>
      <xdr:colOff>2771775</xdr:colOff>
      <xdr:row>131</xdr:row>
      <xdr:rowOff>84906</xdr:rowOff>
    </xdr:to>
    <xdr:pic>
      <xdr:nvPicPr>
        <xdr:cNvPr id="6" name="Picture 6">
          <a:extLst>
            <a:ext uri="{FF2B5EF4-FFF2-40B4-BE49-F238E27FC236}">
              <a16:creationId xmlns:a16="http://schemas.microsoft.com/office/drawing/2014/main" id="{BA72095E-49B2-2980-718F-00D0764A0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1" y="25441275"/>
          <a:ext cx="5924549" cy="22947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94</xdr:row>
      <xdr:rowOff>0</xdr:rowOff>
    </xdr:from>
    <xdr:ext cx="4793562" cy="3314862"/>
    <xdr:pic>
      <xdr:nvPicPr>
        <xdr:cNvPr id="11" name="Picture 167">
          <a:extLst>
            <a:ext uri="{FF2B5EF4-FFF2-40B4-BE49-F238E27FC236}">
              <a16:creationId xmlns:a16="http://schemas.microsoft.com/office/drawing/2014/main" id="{1000AECA-2495-F3C1-56D8-75AEA75687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875" y="16621125"/>
          <a:ext cx="4788146" cy="3156112"/>
        </a:xfrm>
        <a:prstGeom prst="rect">
          <a:avLst/>
        </a:prstGeom>
      </xdr:spPr>
    </xdr:pic>
    <xdr:clientData/>
  </xdr:oneCellAnchor>
  <xdr:twoCellAnchor editAs="oneCell">
    <xdr:from>
      <xdr:col>1</xdr:col>
      <xdr:colOff>0</xdr:colOff>
      <xdr:row>234</xdr:row>
      <xdr:rowOff>190499</xdr:rowOff>
    </xdr:from>
    <xdr:to>
      <xdr:col>2</xdr:col>
      <xdr:colOff>857250</xdr:colOff>
      <xdr:row>248</xdr:row>
      <xdr:rowOff>169667</xdr:rowOff>
    </xdr:to>
    <xdr:pic>
      <xdr:nvPicPr>
        <xdr:cNvPr id="9" name="Picture 8">
          <a:extLst>
            <a:ext uri="{FF2B5EF4-FFF2-40B4-BE49-F238E27FC236}">
              <a16:creationId xmlns:a16="http://schemas.microsoft.com/office/drawing/2014/main" id="{FBD844C6-89AE-1FF6-CB14-052A0F4531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4583" y="52641499"/>
          <a:ext cx="3958167" cy="2646169"/>
        </a:xfrm>
        <a:prstGeom prst="rect">
          <a:avLst/>
        </a:prstGeom>
      </xdr:spPr>
    </xdr:pic>
    <xdr:clientData/>
  </xdr:twoCellAnchor>
  <xdr:twoCellAnchor editAs="oneCell">
    <xdr:from>
      <xdr:col>1</xdr:col>
      <xdr:colOff>3114780</xdr:colOff>
      <xdr:row>244</xdr:row>
      <xdr:rowOff>104610</xdr:rowOff>
    </xdr:from>
    <xdr:to>
      <xdr:col>2</xdr:col>
      <xdr:colOff>172697</xdr:colOff>
      <xdr:row>244</xdr:row>
      <xdr:rowOff>113775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3" name="Ink 12">
              <a:extLst>
                <a:ext uri="{FF2B5EF4-FFF2-40B4-BE49-F238E27FC236}">
                  <a16:creationId xmlns:a16="http://schemas.microsoft.com/office/drawing/2014/main" id="{EC8C3FBF-C113-5DA1-D3FF-A91D5123ADEF}"/>
                </a:ext>
              </a:extLst>
            </xdr14:cNvPr>
            <xdr14:cNvContentPartPr/>
          </xdr14:nvContentPartPr>
          <xdr14:nvPr macro=""/>
          <xdr14:xfrm>
            <a:off x="3381480" y="52473060"/>
            <a:ext cx="180000" cy="360"/>
          </xdr14:xfrm>
        </xdr:contentPart>
      </mc:Choice>
      <mc:Fallback xmlns="">
        <xdr:pic>
          <xdr:nvPicPr>
            <xdr:cNvPr id="13" name="Ink 12">
              <a:extLst>
                <a:ext uri="{FF2B5EF4-FFF2-40B4-BE49-F238E27FC236}">
                  <a16:creationId xmlns:a16="http://schemas.microsoft.com/office/drawing/2014/main" id="{EC8C3FBF-C113-5DA1-D3FF-A91D5123ADEF}"/>
                </a:ext>
              </a:extLst>
            </xdr:cNvPr>
            <xdr:cNvPicPr/>
          </xdr:nvPicPr>
          <xdr:blipFill>
            <a:blip xmlns:r="http://schemas.openxmlformats.org/officeDocument/2006/relationships" r:embed="rId5"/>
            <a:stretch>
              <a:fillRect/>
            </a:stretch>
          </xdr:blipFill>
          <xdr:spPr>
            <a:xfrm>
              <a:off x="3363480" y="52437060"/>
              <a:ext cx="215640" cy="72000"/>
            </a:xfrm>
            <a:prstGeom prst="rect">
              <a:avLst/>
            </a:prstGeom>
          </xdr:spPr>
        </xdr:pic>
      </mc:Fallback>
    </mc:AlternateContent>
    <xdr:clientData/>
  </xdr:twoCellAnchor>
  <xdr:twoCellAnchor editAs="oneCell">
    <xdr:from>
      <xdr:col>1</xdr:col>
      <xdr:colOff>3105060</xdr:colOff>
      <xdr:row>244</xdr:row>
      <xdr:rowOff>151770</xdr:rowOff>
    </xdr:from>
    <xdr:to>
      <xdr:col>2</xdr:col>
      <xdr:colOff>209117</xdr:colOff>
      <xdr:row>244</xdr:row>
      <xdr:rowOff>178115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4" name="Ink 13">
              <a:extLst>
                <a:ext uri="{FF2B5EF4-FFF2-40B4-BE49-F238E27FC236}">
                  <a16:creationId xmlns:a16="http://schemas.microsoft.com/office/drawing/2014/main" id="{CF765D5B-CF76-4BBB-AD39-348F47AD2032}"/>
                </a:ext>
              </a:extLst>
            </xdr14:cNvPr>
            <xdr14:cNvContentPartPr/>
          </xdr14:nvContentPartPr>
          <xdr14:nvPr macro=""/>
          <xdr14:xfrm>
            <a:off x="3371760" y="52520220"/>
            <a:ext cx="218520" cy="29520"/>
          </xdr14:xfrm>
        </xdr:contentPart>
      </mc:Choice>
      <mc:Fallback xmlns="">
        <xdr:pic>
          <xdr:nvPicPr>
            <xdr:cNvPr id="14" name="Ink 13">
              <a:extLst>
                <a:ext uri="{FF2B5EF4-FFF2-40B4-BE49-F238E27FC236}">
                  <a16:creationId xmlns:a16="http://schemas.microsoft.com/office/drawing/2014/main" id="{CF765D5B-CF76-4BBB-AD39-348F47AD2032}"/>
                </a:ext>
              </a:extLst>
            </xdr:cNvPr>
            <xdr:cNvPicPr/>
          </xdr:nvPicPr>
          <xdr:blipFill>
            <a:blip xmlns:r="http://schemas.openxmlformats.org/officeDocument/2006/relationships" r:embed="rId7"/>
            <a:stretch>
              <a:fillRect/>
            </a:stretch>
          </xdr:blipFill>
          <xdr:spPr>
            <a:xfrm>
              <a:off x="3353760" y="52484580"/>
              <a:ext cx="254160" cy="101160"/>
            </a:xfrm>
            <a:prstGeom prst="rect">
              <a:avLst/>
            </a:prstGeom>
          </xdr:spPr>
        </xdr:pic>
      </mc:Fallback>
    </mc:AlternateContent>
    <xdr:clientData/>
  </xdr:twoCellAnchor>
  <xdr:twoCellAnchor editAs="oneCell">
    <xdr:from>
      <xdr:col>1</xdr:col>
      <xdr:colOff>3085980</xdr:colOff>
      <xdr:row>245</xdr:row>
      <xdr:rowOff>47670</xdr:rowOff>
    </xdr:from>
    <xdr:to>
      <xdr:col>2</xdr:col>
      <xdr:colOff>217372</xdr:colOff>
      <xdr:row>245</xdr:row>
      <xdr:rowOff>50485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5" name="Ink 14">
              <a:extLst>
                <a:ext uri="{FF2B5EF4-FFF2-40B4-BE49-F238E27FC236}">
                  <a16:creationId xmlns:a16="http://schemas.microsoft.com/office/drawing/2014/main" id="{2A033B60-0432-405F-28CD-F6EC43CBC8B9}"/>
                </a:ext>
              </a:extLst>
            </xdr14:cNvPr>
            <xdr14:cNvContentPartPr/>
          </xdr14:nvContentPartPr>
          <xdr14:nvPr macro=""/>
          <xdr14:xfrm>
            <a:off x="3352680" y="52606620"/>
            <a:ext cx="237600" cy="360"/>
          </xdr14:xfrm>
        </xdr:contentPart>
      </mc:Choice>
      <mc:Fallback xmlns="">
        <xdr:pic>
          <xdr:nvPicPr>
            <xdr:cNvPr id="15" name="Ink 14">
              <a:extLst>
                <a:ext uri="{FF2B5EF4-FFF2-40B4-BE49-F238E27FC236}">
                  <a16:creationId xmlns:a16="http://schemas.microsoft.com/office/drawing/2014/main" id="{2A033B60-0432-405F-28CD-F6EC43CBC8B9}"/>
                </a:ext>
              </a:extLst>
            </xdr:cNvPr>
            <xdr:cNvPicPr/>
          </xdr:nvPicPr>
          <xdr:blipFill>
            <a:blip xmlns:r="http://schemas.openxmlformats.org/officeDocument/2006/relationships" r:embed="rId9"/>
            <a:stretch>
              <a:fillRect/>
            </a:stretch>
          </xdr:blipFill>
          <xdr:spPr>
            <a:xfrm>
              <a:off x="3334680" y="52570620"/>
              <a:ext cx="273240" cy="72000"/>
            </a:xfrm>
            <a:prstGeom prst="rect">
              <a:avLst/>
            </a:prstGeom>
          </xdr:spPr>
        </xdr:pic>
      </mc:Fallback>
    </mc:AlternateContent>
    <xdr:clientData/>
  </xdr:twoCellAnchor>
  <xdr:twoCellAnchor editAs="oneCell">
    <xdr:from>
      <xdr:col>1</xdr:col>
      <xdr:colOff>3076620</xdr:colOff>
      <xdr:row>245</xdr:row>
      <xdr:rowOff>123630</xdr:rowOff>
    </xdr:from>
    <xdr:to>
      <xdr:col>2</xdr:col>
      <xdr:colOff>227177</xdr:colOff>
      <xdr:row>245</xdr:row>
      <xdr:rowOff>139895</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7" name="Ink 16">
              <a:extLst>
                <a:ext uri="{FF2B5EF4-FFF2-40B4-BE49-F238E27FC236}">
                  <a16:creationId xmlns:a16="http://schemas.microsoft.com/office/drawing/2014/main" id="{A8BE7E6C-0E62-A7BB-9A12-818B3E8D2B08}"/>
                </a:ext>
              </a:extLst>
            </xdr14:cNvPr>
            <xdr14:cNvContentPartPr/>
          </xdr14:nvContentPartPr>
          <xdr14:nvPr macro=""/>
          <xdr14:xfrm>
            <a:off x="3343320" y="52682580"/>
            <a:ext cx="257400" cy="19440"/>
          </xdr14:xfrm>
        </xdr:contentPart>
      </mc:Choice>
      <mc:Fallback xmlns="">
        <xdr:pic>
          <xdr:nvPicPr>
            <xdr:cNvPr id="17" name="Ink 16">
              <a:extLst>
                <a:ext uri="{FF2B5EF4-FFF2-40B4-BE49-F238E27FC236}">
                  <a16:creationId xmlns:a16="http://schemas.microsoft.com/office/drawing/2014/main" id="{A8BE7E6C-0E62-A7BB-9A12-818B3E8D2B08}"/>
                </a:ext>
              </a:extLst>
            </xdr:cNvPr>
            <xdr:cNvPicPr/>
          </xdr:nvPicPr>
          <xdr:blipFill>
            <a:blip xmlns:r="http://schemas.openxmlformats.org/officeDocument/2006/relationships" r:embed="rId11"/>
            <a:stretch>
              <a:fillRect/>
            </a:stretch>
          </xdr:blipFill>
          <xdr:spPr>
            <a:xfrm>
              <a:off x="3325320" y="52646580"/>
              <a:ext cx="293040" cy="91080"/>
            </a:xfrm>
            <a:prstGeom prst="rect">
              <a:avLst/>
            </a:prstGeom>
          </xdr:spPr>
        </xdr:pic>
      </mc:Fallback>
    </mc:AlternateContent>
    <xdr:clientData/>
  </xdr:twoCellAnchor>
  <xdr:twoCellAnchor editAs="oneCell">
    <xdr:from>
      <xdr:col>1</xdr:col>
      <xdr:colOff>0</xdr:colOff>
      <xdr:row>249</xdr:row>
      <xdr:rowOff>0</xdr:rowOff>
    </xdr:from>
    <xdr:to>
      <xdr:col>2</xdr:col>
      <xdr:colOff>893863</xdr:colOff>
      <xdr:row>264</xdr:row>
      <xdr:rowOff>126518</xdr:rowOff>
    </xdr:to>
    <xdr:pic>
      <xdr:nvPicPr>
        <xdr:cNvPr id="20" name="Picture 19">
          <a:extLst>
            <a:ext uri="{FF2B5EF4-FFF2-40B4-BE49-F238E27FC236}">
              <a16:creationId xmlns:a16="http://schemas.microsoft.com/office/drawing/2014/main" id="{F574D2F5-C592-2383-4E1C-6DD709DFBF6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66700" y="53320950"/>
          <a:ext cx="4000706" cy="2978303"/>
        </a:xfrm>
        <a:prstGeom prst="rect">
          <a:avLst/>
        </a:prstGeom>
      </xdr:spPr>
    </xdr:pic>
    <xdr:clientData/>
  </xdr:twoCellAnchor>
  <xdr:twoCellAnchor editAs="oneCell">
    <xdr:from>
      <xdr:col>2</xdr:col>
      <xdr:colOff>47525</xdr:colOff>
      <xdr:row>257</xdr:row>
      <xdr:rowOff>114135</xdr:rowOff>
    </xdr:from>
    <xdr:to>
      <xdr:col>2</xdr:col>
      <xdr:colOff>259880</xdr:colOff>
      <xdr:row>257</xdr:row>
      <xdr:rowOff>171735</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3" name="Ink 22">
              <a:extLst>
                <a:ext uri="{FF2B5EF4-FFF2-40B4-BE49-F238E27FC236}">
                  <a16:creationId xmlns:a16="http://schemas.microsoft.com/office/drawing/2014/main" id="{2590EE43-45A2-5631-E6D4-81AA92DBE6A5}"/>
                </a:ext>
              </a:extLst>
            </xdr14:cNvPr>
            <xdr14:cNvContentPartPr/>
          </xdr14:nvContentPartPr>
          <xdr14:nvPr macro=""/>
          <xdr14:xfrm>
            <a:off x="3438425" y="54959085"/>
            <a:ext cx="206640" cy="57600"/>
          </xdr14:xfrm>
        </xdr:contentPart>
      </mc:Choice>
      <mc:Fallback xmlns="">
        <xdr:pic>
          <xdr:nvPicPr>
            <xdr:cNvPr id="23" name="Ink 22">
              <a:extLst>
                <a:ext uri="{FF2B5EF4-FFF2-40B4-BE49-F238E27FC236}">
                  <a16:creationId xmlns:a16="http://schemas.microsoft.com/office/drawing/2014/main" id="{2590EE43-45A2-5631-E6D4-81AA92DBE6A5}"/>
                </a:ext>
              </a:extLst>
            </xdr:cNvPr>
            <xdr:cNvPicPr/>
          </xdr:nvPicPr>
          <xdr:blipFill>
            <a:blip xmlns:r="http://schemas.openxmlformats.org/officeDocument/2006/relationships" r:embed="rId14"/>
            <a:stretch>
              <a:fillRect/>
            </a:stretch>
          </xdr:blipFill>
          <xdr:spPr>
            <a:xfrm>
              <a:off x="3420425" y="54923085"/>
              <a:ext cx="242280" cy="129240"/>
            </a:xfrm>
            <a:prstGeom prst="rect">
              <a:avLst/>
            </a:prstGeom>
          </xdr:spPr>
        </xdr:pic>
      </mc:Fallback>
    </mc:AlternateContent>
    <xdr:clientData/>
  </xdr:twoCellAnchor>
  <xdr:twoCellAnchor editAs="oneCell">
    <xdr:from>
      <xdr:col>2</xdr:col>
      <xdr:colOff>9300</xdr:colOff>
      <xdr:row>258</xdr:row>
      <xdr:rowOff>57195</xdr:rowOff>
    </xdr:from>
    <xdr:to>
      <xdr:col>2</xdr:col>
      <xdr:colOff>247980</xdr:colOff>
      <xdr:row>258</xdr:row>
      <xdr:rowOff>82820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25" name="Ink 24">
              <a:extLst>
                <a:ext uri="{FF2B5EF4-FFF2-40B4-BE49-F238E27FC236}">
                  <a16:creationId xmlns:a16="http://schemas.microsoft.com/office/drawing/2014/main" id="{A2F44EFC-5847-DC9D-0819-59CE2792D2D7}"/>
                </a:ext>
              </a:extLst>
            </xdr14:cNvPr>
            <xdr14:cNvContentPartPr/>
          </xdr14:nvContentPartPr>
          <xdr14:nvPr macro=""/>
          <xdr14:xfrm>
            <a:off x="3400200" y="55092645"/>
            <a:ext cx="238680" cy="28800"/>
          </xdr14:xfrm>
        </xdr:contentPart>
      </mc:Choice>
      <mc:Fallback xmlns="">
        <xdr:pic>
          <xdr:nvPicPr>
            <xdr:cNvPr id="25" name="Ink 24">
              <a:extLst>
                <a:ext uri="{FF2B5EF4-FFF2-40B4-BE49-F238E27FC236}">
                  <a16:creationId xmlns:a16="http://schemas.microsoft.com/office/drawing/2014/main" id="{A2F44EFC-5847-DC9D-0819-59CE2792D2D7}"/>
                </a:ext>
              </a:extLst>
            </xdr:cNvPr>
            <xdr:cNvPicPr/>
          </xdr:nvPicPr>
          <xdr:blipFill>
            <a:blip xmlns:r="http://schemas.openxmlformats.org/officeDocument/2006/relationships" r:embed="rId16"/>
            <a:stretch>
              <a:fillRect/>
            </a:stretch>
          </xdr:blipFill>
          <xdr:spPr>
            <a:xfrm>
              <a:off x="3382200" y="55056645"/>
              <a:ext cx="274320" cy="100440"/>
            </a:xfrm>
            <a:prstGeom prst="rect">
              <a:avLst/>
            </a:prstGeom>
          </xdr:spPr>
        </xdr:pic>
      </mc:Fallback>
    </mc:AlternateContent>
    <xdr:clientData/>
  </xdr:twoCellAnchor>
  <xdr:oneCellAnchor>
    <xdr:from>
      <xdr:col>1</xdr:col>
      <xdr:colOff>0</xdr:colOff>
      <xdr:row>446</xdr:row>
      <xdr:rowOff>0</xdr:rowOff>
    </xdr:from>
    <xdr:ext cx="4784393" cy="3314862"/>
    <xdr:pic>
      <xdr:nvPicPr>
        <xdr:cNvPr id="2" name="Picture 1">
          <a:extLst>
            <a:ext uri="{FF2B5EF4-FFF2-40B4-BE49-F238E27FC236}">
              <a16:creationId xmlns:a16="http://schemas.microsoft.com/office/drawing/2014/main" id="{39B83776-2B9E-41F4-89ED-3BAD0338F4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773" y="17993591"/>
          <a:ext cx="4784393" cy="3314862"/>
        </a:xfrm>
        <a:prstGeom prst="rect">
          <a:avLst/>
        </a:prstGeom>
      </xdr:spPr>
    </xdr:pic>
    <xdr:clientData/>
  </xdr:oneCellAnchor>
  <xdr:oneCellAnchor>
    <xdr:from>
      <xdr:col>1</xdr:col>
      <xdr:colOff>0</xdr:colOff>
      <xdr:row>491</xdr:row>
      <xdr:rowOff>0</xdr:rowOff>
    </xdr:from>
    <xdr:ext cx="3277125" cy="2898738"/>
    <xdr:pic>
      <xdr:nvPicPr>
        <xdr:cNvPr id="3" name="Picture 2">
          <a:extLst>
            <a:ext uri="{FF2B5EF4-FFF2-40B4-BE49-F238E27FC236}">
              <a16:creationId xmlns:a16="http://schemas.microsoft.com/office/drawing/2014/main" id="{8F37DF5C-A096-4564-A423-E9D1B506144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59773" y="29423591"/>
          <a:ext cx="3277125" cy="2898738"/>
        </a:xfrm>
        <a:prstGeom prst="rect">
          <a:avLst/>
        </a:prstGeom>
      </xdr:spPr>
    </xdr:pic>
    <xdr:clientData/>
  </xdr:oneCellAnchor>
  <xdr:twoCellAnchor editAs="oneCell">
    <xdr:from>
      <xdr:col>1</xdr:col>
      <xdr:colOff>1095180</xdr:colOff>
      <xdr:row>504</xdr:row>
      <xdr:rowOff>142920</xdr:rowOff>
    </xdr:from>
    <xdr:to>
      <xdr:col>1</xdr:col>
      <xdr:colOff>1307155</xdr:colOff>
      <xdr:row>504</xdr:row>
      <xdr:rowOff>145735</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4" name="Ink 3">
              <a:extLst>
                <a:ext uri="{FF2B5EF4-FFF2-40B4-BE49-F238E27FC236}">
                  <a16:creationId xmlns:a16="http://schemas.microsoft.com/office/drawing/2014/main" id="{4D7F684B-C12C-24D0-4630-E6BB6A7B2D43}"/>
                </a:ext>
              </a:extLst>
            </xdr14:cNvPr>
            <xdr14:cNvContentPartPr/>
          </xdr14:nvContentPartPr>
          <xdr14:nvPr macro=""/>
          <xdr14:xfrm>
            <a:off x="1361880" y="102917670"/>
            <a:ext cx="208800" cy="360"/>
          </xdr14:xfrm>
        </xdr:contentPart>
      </mc:Choice>
      <mc:Fallback xmlns="">
        <xdr:pic>
          <xdr:nvPicPr>
            <xdr:cNvPr id="4" name="Ink 3">
              <a:extLst>
                <a:ext uri="{FF2B5EF4-FFF2-40B4-BE49-F238E27FC236}">
                  <a16:creationId xmlns:a16="http://schemas.microsoft.com/office/drawing/2014/main" id="{4D7F684B-C12C-24D0-4630-E6BB6A7B2D43}"/>
                </a:ext>
              </a:extLst>
            </xdr:cNvPr>
            <xdr:cNvPicPr/>
          </xdr:nvPicPr>
          <xdr:blipFill>
            <a:blip xmlns:r="http://schemas.openxmlformats.org/officeDocument/2006/relationships" r:embed="rId19"/>
            <a:stretch>
              <a:fillRect/>
            </a:stretch>
          </xdr:blipFill>
          <xdr:spPr>
            <a:xfrm>
              <a:off x="1343880" y="102881670"/>
              <a:ext cx="244440" cy="72000"/>
            </a:xfrm>
            <a:prstGeom prst="rect">
              <a:avLst/>
            </a:prstGeom>
          </xdr:spPr>
        </xdr:pic>
      </mc:Fallback>
    </mc:AlternateContent>
    <xdr:clientData/>
  </xdr:twoCellAnchor>
  <xdr:twoCellAnchor editAs="oneCell">
    <xdr:from>
      <xdr:col>1</xdr:col>
      <xdr:colOff>1847940</xdr:colOff>
      <xdr:row>504</xdr:row>
      <xdr:rowOff>123480</xdr:rowOff>
    </xdr:from>
    <xdr:to>
      <xdr:col>1</xdr:col>
      <xdr:colOff>2437260</xdr:colOff>
      <xdr:row>504</xdr:row>
      <xdr:rowOff>133560</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8" name="Ink 7">
              <a:extLst>
                <a:ext uri="{FF2B5EF4-FFF2-40B4-BE49-F238E27FC236}">
                  <a16:creationId xmlns:a16="http://schemas.microsoft.com/office/drawing/2014/main" id="{F3832BDE-347E-8C31-671C-DA929570296F}"/>
                </a:ext>
              </a:extLst>
            </xdr14:cNvPr>
            <xdr14:cNvContentPartPr/>
          </xdr14:nvContentPartPr>
          <xdr14:nvPr macro=""/>
          <xdr14:xfrm>
            <a:off x="2114640" y="102898230"/>
            <a:ext cx="589320" cy="10080"/>
          </xdr14:xfrm>
        </xdr:contentPart>
      </mc:Choice>
      <mc:Fallback xmlns="">
        <xdr:pic>
          <xdr:nvPicPr>
            <xdr:cNvPr id="8" name="Ink 7">
              <a:extLst>
                <a:ext uri="{FF2B5EF4-FFF2-40B4-BE49-F238E27FC236}">
                  <a16:creationId xmlns:a16="http://schemas.microsoft.com/office/drawing/2014/main" id="{F3832BDE-347E-8C31-671C-DA929570296F}"/>
                </a:ext>
              </a:extLst>
            </xdr:cNvPr>
            <xdr:cNvPicPr/>
          </xdr:nvPicPr>
          <xdr:blipFill>
            <a:blip xmlns:r="http://schemas.openxmlformats.org/officeDocument/2006/relationships" r:embed="rId21"/>
            <a:stretch>
              <a:fillRect/>
            </a:stretch>
          </xdr:blipFill>
          <xdr:spPr>
            <a:xfrm>
              <a:off x="2096640" y="102862230"/>
              <a:ext cx="624960" cy="81720"/>
            </a:xfrm>
            <a:prstGeom prst="rect">
              <a:avLst/>
            </a:prstGeom>
          </xdr:spPr>
        </xdr:pic>
      </mc:Fallback>
    </mc:AlternateContent>
    <xdr:clientData/>
  </xdr:twoCellAnchor>
  <xdr:twoCellAnchor editAs="oneCell">
    <xdr:from>
      <xdr:col>1</xdr:col>
      <xdr:colOff>2867100</xdr:colOff>
      <xdr:row>504</xdr:row>
      <xdr:rowOff>124920</xdr:rowOff>
    </xdr:from>
    <xdr:to>
      <xdr:col>2</xdr:col>
      <xdr:colOff>103462</xdr:colOff>
      <xdr:row>504</xdr:row>
      <xdr:rowOff>133560</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0" name="Ink 9">
              <a:extLst>
                <a:ext uri="{FF2B5EF4-FFF2-40B4-BE49-F238E27FC236}">
                  <a16:creationId xmlns:a16="http://schemas.microsoft.com/office/drawing/2014/main" id="{67F5ECAE-C300-F26D-DCCB-33212D7CF7D6}"/>
                </a:ext>
              </a:extLst>
            </xdr14:cNvPr>
            <xdr14:cNvContentPartPr/>
          </xdr14:nvContentPartPr>
          <xdr14:nvPr macro=""/>
          <xdr14:xfrm>
            <a:off x="3133800" y="102899670"/>
            <a:ext cx="338760" cy="8640"/>
          </xdr14:xfrm>
        </xdr:contentPart>
      </mc:Choice>
      <mc:Fallback xmlns="">
        <xdr:pic>
          <xdr:nvPicPr>
            <xdr:cNvPr id="10" name="Ink 9">
              <a:extLst>
                <a:ext uri="{FF2B5EF4-FFF2-40B4-BE49-F238E27FC236}">
                  <a16:creationId xmlns:a16="http://schemas.microsoft.com/office/drawing/2014/main" id="{67F5ECAE-C300-F26D-DCCB-33212D7CF7D6}"/>
                </a:ext>
              </a:extLst>
            </xdr:cNvPr>
            <xdr:cNvPicPr/>
          </xdr:nvPicPr>
          <xdr:blipFill>
            <a:blip xmlns:r="http://schemas.openxmlformats.org/officeDocument/2006/relationships" r:embed="rId23"/>
            <a:stretch>
              <a:fillRect/>
            </a:stretch>
          </xdr:blipFill>
          <xdr:spPr>
            <a:xfrm>
              <a:off x="3115800" y="102864030"/>
              <a:ext cx="374400" cy="80280"/>
            </a:xfrm>
            <a:prstGeom prst="rect">
              <a:avLst/>
            </a:prstGeom>
          </xdr:spPr>
        </xdr:pic>
      </mc:Fallback>
    </mc:AlternateContent>
    <xdr:clientData/>
  </xdr:twoCellAnchor>
  <xdr:oneCellAnchor>
    <xdr:from>
      <xdr:col>1</xdr:col>
      <xdr:colOff>0</xdr:colOff>
      <xdr:row>133</xdr:row>
      <xdr:rowOff>0</xdr:rowOff>
    </xdr:from>
    <xdr:ext cx="3286294" cy="2667000"/>
    <xdr:pic>
      <xdr:nvPicPr>
        <xdr:cNvPr id="12" name="Picture 21">
          <a:extLst>
            <a:ext uri="{FF2B5EF4-FFF2-40B4-BE49-F238E27FC236}">
              <a16:creationId xmlns:a16="http://schemas.microsoft.com/office/drawing/2014/main" id="{C8F762E7-A74B-4960-9511-8F5CCBE2DD1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66700" y="27298650"/>
          <a:ext cx="3284053" cy="2667000"/>
        </a:xfrm>
        <a:prstGeom prst="rect">
          <a:avLst/>
        </a:prstGeom>
      </xdr:spPr>
    </xdr:pic>
    <xdr:clientData/>
  </xdr:oneCellAnchor>
  <xdr:oneCellAnchor>
    <xdr:from>
      <xdr:col>1</xdr:col>
      <xdr:colOff>0</xdr:colOff>
      <xdr:row>662</xdr:row>
      <xdr:rowOff>0</xdr:rowOff>
    </xdr:from>
    <xdr:ext cx="4784393" cy="3314862"/>
    <xdr:pic>
      <xdr:nvPicPr>
        <xdr:cNvPr id="33" name="Picture 32">
          <a:extLst>
            <a:ext uri="{FF2B5EF4-FFF2-40B4-BE49-F238E27FC236}">
              <a16:creationId xmlns:a16="http://schemas.microsoft.com/office/drawing/2014/main" id="{DEF50A84-50A8-4EE2-B5F5-6E74605CD5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875" y="88709500"/>
          <a:ext cx="4784393" cy="3314862"/>
        </a:xfrm>
        <a:prstGeom prst="rect">
          <a:avLst/>
        </a:prstGeom>
      </xdr:spPr>
    </xdr:pic>
    <xdr:clientData/>
  </xdr:oneCellAnchor>
  <xdr:oneCellAnchor>
    <xdr:from>
      <xdr:col>1</xdr:col>
      <xdr:colOff>0</xdr:colOff>
      <xdr:row>868</xdr:row>
      <xdr:rowOff>0</xdr:rowOff>
    </xdr:from>
    <xdr:ext cx="4784393" cy="3314862"/>
    <xdr:pic>
      <xdr:nvPicPr>
        <xdr:cNvPr id="48" name="Picture 47">
          <a:extLst>
            <a:ext uri="{FF2B5EF4-FFF2-40B4-BE49-F238E27FC236}">
              <a16:creationId xmlns:a16="http://schemas.microsoft.com/office/drawing/2014/main" id="{4C30F632-1D71-464C-A12C-D74924E91F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43" y="88691357"/>
          <a:ext cx="4784393" cy="3314862"/>
        </a:xfrm>
        <a:prstGeom prst="rect">
          <a:avLst/>
        </a:prstGeom>
      </xdr:spPr>
    </xdr:pic>
    <xdr:clientData/>
  </xdr:oneCellAnchor>
  <xdr:oneCellAnchor>
    <xdr:from>
      <xdr:col>1</xdr:col>
      <xdr:colOff>0</xdr:colOff>
      <xdr:row>1061</xdr:row>
      <xdr:rowOff>0</xdr:rowOff>
    </xdr:from>
    <xdr:ext cx="4784393" cy="3314862"/>
    <xdr:pic>
      <xdr:nvPicPr>
        <xdr:cNvPr id="50" name="Picture 49">
          <a:extLst>
            <a:ext uri="{FF2B5EF4-FFF2-40B4-BE49-F238E27FC236}">
              <a16:creationId xmlns:a16="http://schemas.microsoft.com/office/drawing/2014/main" id="{8EED3F93-B50F-4AD5-B696-D83E39756A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773" y="17993591"/>
          <a:ext cx="4784393" cy="3314862"/>
        </a:xfrm>
        <a:prstGeom prst="rect">
          <a:avLst/>
        </a:prstGeom>
      </xdr:spPr>
    </xdr:pic>
    <xdr:clientData/>
  </xdr:oneCellAnchor>
  <xdr:oneCellAnchor>
    <xdr:from>
      <xdr:col>1</xdr:col>
      <xdr:colOff>0</xdr:colOff>
      <xdr:row>1219</xdr:row>
      <xdr:rowOff>0</xdr:rowOff>
    </xdr:from>
    <xdr:ext cx="4793562" cy="3314862"/>
    <xdr:pic>
      <xdr:nvPicPr>
        <xdr:cNvPr id="6" name="Picture 4">
          <a:extLst>
            <a:ext uri="{FF2B5EF4-FFF2-40B4-BE49-F238E27FC236}">
              <a16:creationId xmlns:a16="http://schemas.microsoft.com/office/drawing/2014/main" id="{6B564BB4-17CB-498D-A42B-013B46C6F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941" y="17974235"/>
          <a:ext cx="4793562" cy="3314862"/>
        </a:xfrm>
        <a:prstGeom prst="rect">
          <a:avLst/>
        </a:prstGeom>
      </xdr:spPr>
    </xdr:pic>
    <xdr:clientData/>
  </xdr:oneCellAnchor>
  <xdr:oneCellAnchor>
    <xdr:from>
      <xdr:col>1</xdr:col>
      <xdr:colOff>0</xdr:colOff>
      <xdr:row>1281</xdr:row>
      <xdr:rowOff>0</xdr:rowOff>
    </xdr:from>
    <xdr:ext cx="4793562" cy="3314862"/>
    <xdr:pic>
      <xdr:nvPicPr>
        <xdr:cNvPr id="16" name="Picture 6">
          <a:extLst>
            <a:ext uri="{FF2B5EF4-FFF2-40B4-BE49-F238E27FC236}">
              <a16:creationId xmlns:a16="http://schemas.microsoft.com/office/drawing/2014/main" id="{6A161816-3B1B-4C24-AD66-5E65EDFC99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941" y="266005235"/>
          <a:ext cx="4793562" cy="331486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55</xdr:row>
      <xdr:rowOff>114300</xdr:rowOff>
    </xdr:from>
    <xdr:ext cx="4130208" cy="2124406"/>
    <xdr:pic>
      <xdr:nvPicPr>
        <xdr:cNvPr id="5" name="Picture 18">
          <a:extLst>
            <a:ext uri="{FF2B5EF4-FFF2-40B4-BE49-F238E27FC236}">
              <a16:creationId xmlns:a16="http://schemas.microsoft.com/office/drawing/2014/main" id="{87BEDAA0-DF36-73A8-2EB1-8CA48D38E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1972925"/>
          <a:ext cx="4130208" cy="2124406"/>
        </a:xfrm>
        <a:prstGeom prst="rect">
          <a:avLst/>
        </a:prstGeom>
      </xdr:spPr>
    </xdr:pic>
    <xdr:clientData/>
  </xdr:oneCellAnchor>
  <xdr:oneCellAnchor>
    <xdr:from>
      <xdr:col>2</xdr:col>
      <xdr:colOff>1390650</xdr:colOff>
      <xdr:row>55</xdr:row>
      <xdr:rowOff>114300</xdr:rowOff>
    </xdr:from>
    <xdr:ext cx="1595928" cy="2047501"/>
    <xdr:pic>
      <xdr:nvPicPr>
        <xdr:cNvPr id="7" name="Picture 1">
          <a:extLst>
            <a:ext uri="{FF2B5EF4-FFF2-40B4-BE49-F238E27FC236}">
              <a16:creationId xmlns:a16="http://schemas.microsoft.com/office/drawing/2014/main" id="{A6C5711A-256B-67E5-8191-A4910A42DA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52975" y="11972925"/>
          <a:ext cx="1595928" cy="2047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95250</xdr:colOff>
      <xdr:row>55</xdr:row>
      <xdr:rowOff>152401</xdr:rowOff>
    </xdr:from>
    <xdr:ext cx="5371194" cy="1914989"/>
    <xdr:pic>
      <xdr:nvPicPr>
        <xdr:cNvPr id="8" name="Picture 3">
          <a:extLst>
            <a:ext uri="{FF2B5EF4-FFF2-40B4-BE49-F238E27FC236}">
              <a16:creationId xmlns:a16="http://schemas.microsoft.com/office/drawing/2014/main" id="{ABAFAF10-658F-DB22-6D01-903B81685E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53200" y="12011026"/>
          <a:ext cx="5371194" cy="191498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142875</xdr:colOff>
      <xdr:row>118</xdr:row>
      <xdr:rowOff>180975</xdr:rowOff>
    </xdr:from>
    <xdr:to>
      <xdr:col>2</xdr:col>
      <xdr:colOff>2274067</xdr:colOff>
      <xdr:row>133</xdr:row>
      <xdr:rowOff>63883</xdr:rowOff>
    </xdr:to>
    <xdr:pic>
      <xdr:nvPicPr>
        <xdr:cNvPr id="6" name="Picture 5">
          <a:extLst>
            <a:ext uri="{FF2B5EF4-FFF2-40B4-BE49-F238E27FC236}">
              <a16:creationId xmlns:a16="http://schemas.microsoft.com/office/drawing/2014/main" id="{F60F54F1-9F09-F938-5BC6-964B5E60A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24193500"/>
          <a:ext cx="5496692" cy="2743583"/>
        </a:xfrm>
        <a:prstGeom prst="rect">
          <a:avLst/>
        </a:prstGeom>
      </xdr:spPr>
    </xdr:pic>
    <xdr:clientData/>
  </xdr:twoCellAnchor>
  <xdr:twoCellAnchor editAs="oneCell">
    <xdr:from>
      <xdr:col>0</xdr:col>
      <xdr:colOff>180975</xdr:colOff>
      <xdr:row>135</xdr:row>
      <xdr:rowOff>142875</xdr:rowOff>
    </xdr:from>
    <xdr:to>
      <xdr:col>2</xdr:col>
      <xdr:colOff>2686869</xdr:colOff>
      <xdr:row>154</xdr:row>
      <xdr:rowOff>171959</xdr:rowOff>
    </xdr:to>
    <xdr:pic>
      <xdr:nvPicPr>
        <xdr:cNvPr id="12" name="Picture 11">
          <a:extLst>
            <a:ext uri="{FF2B5EF4-FFF2-40B4-BE49-F238E27FC236}">
              <a16:creationId xmlns:a16="http://schemas.microsoft.com/office/drawing/2014/main" id="{6709A34F-175C-AA53-5A51-E1D2FA1EEA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27393900"/>
          <a:ext cx="5868219" cy="3648584"/>
        </a:xfrm>
        <a:prstGeom prst="rect">
          <a:avLst/>
        </a:prstGeom>
      </xdr:spPr>
    </xdr:pic>
    <xdr:clientData/>
  </xdr:twoCellAnchor>
  <xdr:twoCellAnchor editAs="oneCell">
    <xdr:from>
      <xdr:col>4</xdr:col>
      <xdr:colOff>438150</xdr:colOff>
      <xdr:row>50</xdr:row>
      <xdr:rowOff>66675</xdr:rowOff>
    </xdr:from>
    <xdr:to>
      <xdr:col>8</xdr:col>
      <xdr:colOff>144079</xdr:colOff>
      <xdr:row>61</xdr:row>
      <xdr:rowOff>282</xdr:rowOff>
    </xdr:to>
    <xdr:pic>
      <xdr:nvPicPr>
        <xdr:cNvPr id="16" name="Picture 15">
          <a:extLst>
            <a:ext uri="{FF2B5EF4-FFF2-40B4-BE49-F238E27FC236}">
              <a16:creationId xmlns:a16="http://schemas.microsoft.com/office/drawing/2014/main" id="{FF939699-97FD-2A22-5B59-679117CB59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86725" y="11125200"/>
          <a:ext cx="4465254" cy="2019582"/>
        </a:xfrm>
        <a:prstGeom prst="rect">
          <a:avLst/>
        </a:prstGeom>
      </xdr:spPr>
    </xdr:pic>
    <xdr:clientData/>
  </xdr:twoCellAnchor>
  <xdr:twoCellAnchor editAs="oneCell">
    <xdr:from>
      <xdr:col>4</xdr:col>
      <xdr:colOff>295275</xdr:colOff>
      <xdr:row>74</xdr:row>
      <xdr:rowOff>28575</xdr:rowOff>
    </xdr:from>
    <xdr:to>
      <xdr:col>8</xdr:col>
      <xdr:colOff>1204</xdr:colOff>
      <xdr:row>84</xdr:row>
      <xdr:rowOff>133631</xdr:rowOff>
    </xdr:to>
    <xdr:pic>
      <xdr:nvPicPr>
        <xdr:cNvPr id="19" name="Picture 18">
          <a:extLst>
            <a:ext uri="{FF2B5EF4-FFF2-40B4-BE49-F238E27FC236}">
              <a16:creationId xmlns:a16="http://schemas.microsoft.com/office/drawing/2014/main" id="{1E8EBEF3-F359-8F5A-2127-6C1020EE6A8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3850" y="15468600"/>
          <a:ext cx="4465254" cy="20100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12</xdr:col>
      <xdr:colOff>158750</xdr:colOff>
      <xdr:row>42</xdr:row>
      <xdr:rowOff>111125</xdr:rowOff>
    </xdr:from>
    <xdr:ext cx="6401129" cy="3397425"/>
    <xdr:pic>
      <xdr:nvPicPr>
        <xdr:cNvPr id="21" name="Picture 1">
          <a:extLst>
            <a:ext uri="{FF2B5EF4-FFF2-40B4-BE49-F238E27FC236}">
              <a16:creationId xmlns:a16="http://schemas.microsoft.com/office/drawing/2014/main" id="{35904D73-2B9D-9020-A1A4-8620C58EBED7}"/>
            </a:ext>
          </a:extLst>
        </xdr:cNvPr>
        <xdr:cNvPicPr>
          <a:picLocks noChangeAspect="1"/>
        </xdr:cNvPicPr>
      </xdr:nvPicPr>
      <xdr:blipFill>
        <a:blip xmlns:r="http://schemas.openxmlformats.org/officeDocument/2006/relationships" r:embed="rId1"/>
        <a:stretch>
          <a:fillRect/>
        </a:stretch>
      </xdr:blipFill>
      <xdr:spPr>
        <a:xfrm>
          <a:off x="17332325" y="10074275"/>
          <a:ext cx="6401129" cy="3397425"/>
        </a:xfrm>
        <a:prstGeom prst="rect">
          <a:avLst/>
        </a:prstGeom>
      </xdr:spPr>
    </xdr:pic>
    <xdr:clientData/>
  </xdr:oneCellAnchor>
  <xdr:oneCellAnchor>
    <xdr:from>
      <xdr:col>1</xdr:col>
      <xdr:colOff>82550</xdr:colOff>
      <xdr:row>96</xdr:row>
      <xdr:rowOff>104775</xdr:rowOff>
    </xdr:from>
    <xdr:ext cx="3784519" cy="3597501"/>
    <xdr:pic>
      <xdr:nvPicPr>
        <xdr:cNvPr id="34" name="Picture 15">
          <a:extLst>
            <a:ext uri="{FF2B5EF4-FFF2-40B4-BE49-F238E27FC236}">
              <a16:creationId xmlns:a16="http://schemas.microsoft.com/office/drawing/2014/main" id="{42F13EC0-B91A-EF61-F367-9CF10EE5BFAE}"/>
            </a:ext>
          </a:extLst>
        </xdr:cNvPr>
        <xdr:cNvPicPr>
          <a:picLocks noChangeAspect="1"/>
        </xdr:cNvPicPr>
      </xdr:nvPicPr>
      <xdr:blipFill>
        <a:blip xmlns:r="http://schemas.openxmlformats.org/officeDocument/2006/relationships" r:embed="rId2"/>
        <a:stretch>
          <a:fillRect/>
        </a:stretch>
      </xdr:blipFill>
      <xdr:spPr>
        <a:xfrm>
          <a:off x="349250" y="24793575"/>
          <a:ext cx="3784519" cy="3597501"/>
        </a:xfrm>
        <a:prstGeom prst="rect">
          <a:avLst/>
        </a:prstGeom>
      </xdr:spPr>
    </xdr:pic>
    <xdr:clientData/>
  </xdr:oneCellAnchor>
  <xdr:oneCellAnchor>
    <xdr:from>
      <xdr:col>2</xdr:col>
      <xdr:colOff>929154</xdr:colOff>
      <xdr:row>96</xdr:row>
      <xdr:rowOff>99732</xdr:rowOff>
    </xdr:from>
    <xdr:ext cx="3934252" cy="3542179"/>
    <xdr:pic>
      <xdr:nvPicPr>
        <xdr:cNvPr id="36" name="Picture 17">
          <a:extLst>
            <a:ext uri="{FF2B5EF4-FFF2-40B4-BE49-F238E27FC236}">
              <a16:creationId xmlns:a16="http://schemas.microsoft.com/office/drawing/2014/main" id="{65412AC7-24F1-3992-2FC5-1E36E0D35A25}"/>
            </a:ext>
          </a:extLst>
        </xdr:cNvPr>
        <xdr:cNvPicPr>
          <a:picLocks noChangeAspect="1"/>
        </xdr:cNvPicPr>
      </xdr:nvPicPr>
      <xdr:blipFill>
        <a:blip xmlns:r="http://schemas.openxmlformats.org/officeDocument/2006/relationships" r:embed="rId3"/>
        <a:stretch>
          <a:fillRect/>
        </a:stretch>
      </xdr:blipFill>
      <xdr:spPr>
        <a:xfrm>
          <a:off x="4324536" y="24786291"/>
          <a:ext cx="3934252" cy="3542179"/>
        </a:xfrm>
        <a:prstGeom prst="rect">
          <a:avLst/>
        </a:prstGeom>
      </xdr:spPr>
    </xdr:pic>
    <xdr:clientData/>
  </xdr:oneCellAnchor>
  <xdr:oneCellAnchor>
    <xdr:from>
      <xdr:col>4</xdr:col>
      <xdr:colOff>731371</xdr:colOff>
      <xdr:row>96</xdr:row>
      <xdr:rowOff>129615</xdr:rowOff>
    </xdr:from>
    <xdr:ext cx="4091641" cy="3573535"/>
    <xdr:pic>
      <xdr:nvPicPr>
        <xdr:cNvPr id="35" name="Picture 18">
          <a:extLst>
            <a:ext uri="{FF2B5EF4-FFF2-40B4-BE49-F238E27FC236}">
              <a16:creationId xmlns:a16="http://schemas.microsoft.com/office/drawing/2014/main" id="{283D1ABB-450F-600E-F172-142207E81A54}"/>
            </a:ext>
          </a:extLst>
        </xdr:cNvPr>
        <xdr:cNvPicPr>
          <a:picLocks noChangeAspect="1"/>
        </xdr:cNvPicPr>
      </xdr:nvPicPr>
      <xdr:blipFill>
        <a:blip xmlns:r="http://schemas.openxmlformats.org/officeDocument/2006/relationships" r:embed="rId4"/>
        <a:stretch>
          <a:fillRect/>
        </a:stretch>
      </xdr:blipFill>
      <xdr:spPr>
        <a:xfrm>
          <a:off x="8379946" y="25047015"/>
          <a:ext cx="4091641" cy="3573535"/>
        </a:xfrm>
        <a:prstGeom prst="rect">
          <a:avLst/>
        </a:prstGeom>
      </xdr:spPr>
    </xdr:pic>
    <xdr:clientData/>
  </xdr:oneCellAnchor>
  <xdr:twoCellAnchor editAs="oneCell">
    <xdr:from>
      <xdr:col>8</xdr:col>
      <xdr:colOff>276225</xdr:colOff>
      <xdr:row>96</xdr:row>
      <xdr:rowOff>152400</xdr:rowOff>
    </xdr:from>
    <xdr:to>
      <xdr:col>12</xdr:col>
      <xdr:colOff>1104446</xdr:colOff>
      <xdr:row>114</xdr:row>
      <xdr:rowOff>159809</xdr:rowOff>
    </xdr:to>
    <xdr:pic>
      <xdr:nvPicPr>
        <xdr:cNvPr id="2" name="Picture 1">
          <a:extLst>
            <a:ext uri="{FF2B5EF4-FFF2-40B4-BE49-F238E27FC236}">
              <a16:creationId xmlns:a16="http://schemas.microsoft.com/office/drawing/2014/main" id="{84040F76-A2F5-4AB8-953D-B19D375E7D9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687300" y="25069800"/>
          <a:ext cx="5590721" cy="3436409"/>
        </a:xfrm>
        <a:prstGeom prst="rect">
          <a:avLst/>
        </a:prstGeom>
      </xdr:spPr>
    </xdr:pic>
    <xdr:clientData/>
  </xdr:twoCellAnchor>
  <xdr:twoCellAnchor editAs="oneCell">
    <xdr:from>
      <xdr:col>0</xdr:col>
      <xdr:colOff>200026</xdr:colOff>
      <xdr:row>116</xdr:row>
      <xdr:rowOff>128927</xdr:rowOff>
    </xdr:from>
    <xdr:to>
      <xdr:col>2</xdr:col>
      <xdr:colOff>758826</xdr:colOff>
      <xdr:row>119</xdr:row>
      <xdr:rowOff>98395</xdr:rowOff>
    </xdr:to>
    <xdr:pic>
      <xdr:nvPicPr>
        <xdr:cNvPr id="3" name="Picture 2">
          <a:extLst>
            <a:ext uri="{FF2B5EF4-FFF2-40B4-BE49-F238E27FC236}">
              <a16:creationId xmlns:a16="http://schemas.microsoft.com/office/drawing/2014/main" id="{8F53BE30-87A4-4C35-AD61-2616D4EE0D1E}"/>
            </a:ext>
          </a:extLst>
        </xdr:cNvPr>
        <xdr:cNvPicPr>
          <a:picLocks noChangeAspect="1"/>
        </xdr:cNvPicPr>
      </xdr:nvPicPr>
      <xdr:blipFill>
        <a:blip xmlns:r="http://schemas.openxmlformats.org/officeDocument/2006/relationships" r:embed="rId6"/>
        <a:stretch>
          <a:fillRect/>
        </a:stretch>
      </xdr:blipFill>
      <xdr:spPr>
        <a:xfrm>
          <a:off x="200026" y="28627727"/>
          <a:ext cx="3924300" cy="540968"/>
        </a:xfrm>
        <a:prstGeom prst="rect">
          <a:avLst/>
        </a:prstGeom>
      </xdr:spPr>
    </xdr:pic>
    <xdr:clientData/>
  </xdr:twoCellAnchor>
  <xdr:twoCellAnchor editAs="oneCell">
    <xdr:from>
      <xdr:col>2</xdr:col>
      <xdr:colOff>800102</xdr:colOff>
      <xdr:row>115</xdr:row>
      <xdr:rowOff>167027</xdr:rowOff>
    </xdr:from>
    <xdr:to>
      <xdr:col>4</xdr:col>
      <xdr:colOff>515939</xdr:colOff>
      <xdr:row>119</xdr:row>
      <xdr:rowOff>152400</xdr:rowOff>
    </xdr:to>
    <xdr:pic>
      <xdr:nvPicPr>
        <xdr:cNvPr id="4" name="Picture 3">
          <a:extLst>
            <a:ext uri="{FF2B5EF4-FFF2-40B4-BE49-F238E27FC236}">
              <a16:creationId xmlns:a16="http://schemas.microsoft.com/office/drawing/2014/main" id="{7A30C80A-C242-4E00-A591-66627A13B303}"/>
            </a:ext>
          </a:extLst>
        </xdr:cNvPr>
        <xdr:cNvPicPr>
          <a:picLocks noChangeAspect="1"/>
        </xdr:cNvPicPr>
      </xdr:nvPicPr>
      <xdr:blipFill>
        <a:blip xmlns:r="http://schemas.openxmlformats.org/officeDocument/2006/relationships" r:embed="rId7"/>
        <a:stretch>
          <a:fillRect/>
        </a:stretch>
      </xdr:blipFill>
      <xdr:spPr>
        <a:xfrm>
          <a:off x="4191002" y="28475327"/>
          <a:ext cx="3998912" cy="747373"/>
        </a:xfrm>
        <a:prstGeom prst="rect">
          <a:avLst/>
        </a:prstGeom>
      </xdr:spPr>
    </xdr:pic>
    <xdr:clientData/>
  </xdr:twoCellAnchor>
  <xdr:twoCellAnchor editAs="oneCell">
    <xdr:from>
      <xdr:col>4</xdr:col>
      <xdr:colOff>857250</xdr:colOff>
      <xdr:row>115</xdr:row>
      <xdr:rowOff>167238</xdr:rowOff>
    </xdr:from>
    <xdr:to>
      <xdr:col>7</xdr:col>
      <xdr:colOff>392111</xdr:colOff>
      <xdr:row>119</xdr:row>
      <xdr:rowOff>25925</xdr:rowOff>
    </xdr:to>
    <xdr:pic>
      <xdr:nvPicPr>
        <xdr:cNvPr id="5" name="Picture 4">
          <a:extLst>
            <a:ext uri="{FF2B5EF4-FFF2-40B4-BE49-F238E27FC236}">
              <a16:creationId xmlns:a16="http://schemas.microsoft.com/office/drawing/2014/main" id="{75BCDCC4-3BAD-4E5D-8B75-5162A6A9C64D}"/>
            </a:ext>
          </a:extLst>
        </xdr:cNvPr>
        <xdr:cNvPicPr>
          <a:picLocks noChangeAspect="1"/>
        </xdr:cNvPicPr>
      </xdr:nvPicPr>
      <xdr:blipFill>
        <a:blip xmlns:r="http://schemas.openxmlformats.org/officeDocument/2006/relationships" r:embed="rId8"/>
        <a:stretch>
          <a:fillRect/>
        </a:stretch>
      </xdr:blipFill>
      <xdr:spPr>
        <a:xfrm>
          <a:off x="8505825" y="28704138"/>
          <a:ext cx="3106736" cy="620687"/>
        </a:xfrm>
        <a:prstGeom prst="rect">
          <a:avLst/>
        </a:prstGeom>
      </xdr:spPr>
    </xdr:pic>
    <xdr:clientData/>
  </xdr:twoCellAnchor>
  <xdr:twoCellAnchor editAs="oneCell">
    <xdr:from>
      <xdr:col>0</xdr:col>
      <xdr:colOff>206375</xdr:colOff>
      <xdr:row>160</xdr:row>
      <xdr:rowOff>154318</xdr:rowOff>
    </xdr:from>
    <xdr:to>
      <xdr:col>3</xdr:col>
      <xdr:colOff>187325</xdr:colOff>
      <xdr:row>168</xdr:row>
      <xdr:rowOff>76199</xdr:rowOff>
    </xdr:to>
    <xdr:pic>
      <xdr:nvPicPr>
        <xdr:cNvPr id="6" name="Picture 5">
          <a:extLst>
            <a:ext uri="{FF2B5EF4-FFF2-40B4-BE49-F238E27FC236}">
              <a16:creationId xmlns:a16="http://schemas.microsoft.com/office/drawing/2014/main" id="{445BA83B-7B52-6C70-82D1-F9235B1AA7C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6375" y="37473268"/>
          <a:ext cx="6438900" cy="1369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135948</xdr:colOff>
      <xdr:row>46</xdr:row>
      <xdr:rowOff>47625</xdr:rowOff>
    </xdr:from>
    <xdr:to>
      <xdr:col>10</xdr:col>
      <xdr:colOff>304800</xdr:colOff>
      <xdr:row>65</xdr:row>
      <xdr:rowOff>48640</xdr:rowOff>
    </xdr:to>
    <xdr:pic>
      <xdr:nvPicPr>
        <xdr:cNvPr id="2" name="Picture 1">
          <a:extLst>
            <a:ext uri="{FF2B5EF4-FFF2-40B4-BE49-F238E27FC236}">
              <a16:creationId xmlns:a16="http://schemas.microsoft.com/office/drawing/2014/main" id="{71B14543-49BA-4414-BD2C-26B87FEA2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4873" y="8782050"/>
          <a:ext cx="3531177" cy="4379340"/>
        </a:xfrm>
        <a:prstGeom prst="rect">
          <a:avLst/>
        </a:prstGeom>
      </xdr:spPr>
    </xdr:pic>
    <xdr:clientData/>
  </xdr:twoCellAnchor>
  <xdr:twoCellAnchor editAs="oneCell">
    <xdr:from>
      <xdr:col>10</xdr:col>
      <xdr:colOff>401119</xdr:colOff>
      <xdr:row>46</xdr:row>
      <xdr:rowOff>28575</xdr:rowOff>
    </xdr:from>
    <xdr:to>
      <xdr:col>12</xdr:col>
      <xdr:colOff>314246</xdr:colOff>
      <xdr:row>62</xdr:row>
      <xdr:rowOff>8344</xdr:rowOff>
    </xdr:to>
    <xdr:pic>
      <xdr:nvPicPr>
        <xdr:cNvPr id="3" name="Picture 2">
          <a:extLst>
            <a:ext uri="{FF2B5EF4-FFF2-40B4-BE49-F238E27FC236}">
              <a16:creationId xmlns:a16="http://schemas.microsoft.com/office/drawing/2014/main" id="{3595FDB0-C5BD-41E7-B5EF-8B1415B74E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12369" y="8763000"/>
          <a:ext cx="3897752" cy="3786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150958</xdr:colOff>
      <xdr:row>48</xdr:row>
      <xdr:rowOff>196850</xdr:rowOff>
    </xdr:from>
    <xdr:to>
      <xdr:col>16</xdr:col>
      <xdr:colOff>466160</xdr:colOff>
      <xdr:row>73</xdr:row>
      <xdr:rowOff>0</xdr:rowOff>
    </xdr:to>
    <xdr:pic>
      <xdr:nvPicPr>
        <xdr:cNvPr id="2" name="Picture 3">
          <a:extLst>
            <a:ext uri="{FF2B5EF4-FFF2-40B4-BE49-F238E27FC236}">
              <a16:creationId xmlns:a16="http://schemas.microsoft.com/office/drawing/2014/main" id="{C3C3D8A8-E1B7-4859-9B63-E3AAE45FF05E}"/>
            </a:ext>
          </a:extLst>
        </xdr:cNvPr>
        <xdr:cNvPicPr>
          <a:picLocks noChangeAspect="1"/>
        </xdr:cNvPicPr>
      </xdr:nvPicPr>
      <xdr:blipFill>
        <a:blip xmlns:r="http://schemas.openxmlformats.org/officeDocument/2006/relationships" r:embed="rId1"/>
        <a:stretch>
          <a:fillRect/>
        </a:stretch>
      </xdr:blipFill>
      <xdr:spPr>
        <a:xfrm>
          <a:off x="5675458" y="11007725"/>
          <a:ext cx="5087227" cy="4565650"/>
        </a:xfrm>
        <a:prstGeom prst="rect">
          <a:avLst/>
        </a:prstGeom>
      </xdr:spPr>
    </xdr:pic>
    <xdr:clientData/>
  </xdr:twoCellAnchor>
  <xdr:twoCellAnchor>
    <xdr:from>
      <xdr:col>1</xdr:col>
      <xdr:colOff>105927</xdr:colOff>
      <xdr:row>49</xdr:row>
      <xdr:rowOff>9842</xdr:rowOff>
    </xdr:from>
    <xdr:to>
      <xdr:col>9</xdr:col>
      <xdr:colOff>104775</xdr:colOff>
      <xdr:row>72</xdr:row>
      <xdr:rowOff>114300</xdr:rowOff>
    </xdr:to>
    <xdr:grpSp>
      <xdr:nvGrpSpPr>
        <xdr:cNvPr id="4" name="Group 4">
          <a:extLst>
            <a:ext uri="{FF2B5EF4-FFF2-40B4-BE49-F238E27FC236}">
              <a16:creationId xmlns:a16="http://schemas.microsoft.com/office/drawing/2014/main" id="{1DF6F55C-A13C-4CB0-BEA7-38F4EFBF89B6}"/>
            </a:ext>
          </a:extLst>
        </xdr:cNvPr>
        <xdr:cNvGrpSpPr/>
      </xdr:nvGrpSpPr>
      <xdr:grpSpPr>
        <a:xfrm>
          <a:off x="372627" y="9839642"/>
          <a:ext cx="5256648" cy="4266883"/>
          <a:chOff x="257175" y="8172767"/>
          <a:chExt cx="5236253" cy="4124259"/>
        </a:xfrm>
      </xdr:grpSpPr>
      <xdr:pic>
        <xdr:nvPicPr>
          <xdr:cNvPr id="5" name="Picture 1">
            <a:extLst>
              <a:ext uri="{FF2B5EF4-FFF2-40B4-BE49-F238E27FC236}">
                <a16:creationId xmlns:a16="http://schemas.microsoft.com/office/drawing/2014/main" id="{AA2C687B-FB82-DBAE-77EE-45118E13A974}"/>
              </a:ext>
            </a:extLst>
          </xdr:cNvPr>
          <xdr:cNvPicPr>
            <a:picLocks noChangeAspect="1"/>
          </xdr:cNvPicPr>
        </xdr:nvPicPr>
        <xdr:blipFill>
          <a:blip xmlns:r="http://schemas.openxmlformats.org/officeDocument/2006/relationships" r:embed="rId2"/>
          <a:stretch>
            <a:fillRect/>
          </a:stretch>
        </xdr:blipFill>
        <xdr:spPr>
          <a:xfrm>
            <a:off x="292100" y="8362949"/>
            <a:ext cx="5201328" cy="3934077"/>
          </a:xfrm>
          <a:prstGeom prst="rect">
            <a:avLst/>
          </a:prstGeom>
        </xdr:spPr>
      </xdr:pic>
      <xdr:pic>
        <xdr:nvPicPr>
          <xdr:cNvPr id="6" name="Picture 2">
            <a:extLst>
              <a:ext uri="{FF2B5EF4-FFF2-40B4-BE49-F238E27FC236}">
                <a16:creationId xmlns:a16="http://schemas.microsoft.com/office/drawing/2014/main" id="{CA8DB6C2-10E8-DF3F-0EBD-6C85190808A7}"/>
              </a:ext>
            </a:extLst>
          </xdr:cNvPr>
          <xdr:cNvPicPr>
            <a:picLocks noChangeAspect="1"/>
          </xdr:cNvPicPr>
        </xdr:nvPicPr>
        <xdr:blipFill>
          <a:blip xmlns:r="http://schemas.openxmlformats.org/officeDocument/2006/relationships" r:embed="rId3"/>
          <a:stretch>
            <a:fillRect/>
          </a:stretch>
        </xdr:blipFill>
        <xdr:spPr>
          <a:xfrm>
            <a:off x="257175" y="8172767"/>
            <a:ext cx="3371850" cy="263224"/>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219076</xdr:colOff>
      <xdr:row>74</xdr:row>
      <xdr:rowOff>38100</xdr:rowOff>
    </xdr:from>
    <xdr:to>
      <xdr:col>2</xdr:col>
      <xdr:colOff>1038225</xdr:colOff>
      <xdr:row>89</xdr:row>
      <xdr:rowOff>20796</xdr:rowOff>
    </xdr:to>
    <xdr:pic>
      <xdr:nvPicPr>
        <xdr:cNvPr id="3" name="Picture 2">
          <a:extLst>
            <a:ext uri="{FF2B5EF4-FFF2-40B4-BE49-F238E27FC236}">
              <a16:creationId xmlns:a16="http://schemas.microsoft.com/office/drawing/2014/main" id="{BCD43D14-F336-2B1E-DDC2-2DB40B023A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18307050"/>
          <a:ext cx="4181474" cy="2697321"/>
        </a:xfrm>
        <a:prstGeom prst="rect">
          <a:avLst/>
        </a:prstGeom>
      </xdr:spPr>
    </xdr:pic>
    <xdr:clientData/>
  </xdr:twoCellAnchor>
  <xdr:twoCellAnchor editAs="oneCell">
    <xdr:from>
      <xdr:col>0</xdr:col>
      <xdr:colOff>238125</xdr:colOff>
      <xdr:row>115</xdr:row>
      <xdr:rowOff>123825</xdr:rowOff>
    </xdr:from>
    <xdr:to>
      <xdr:col>2</xdr:col>
      <xdr:colOff>2578946</xdr:colOff>
      <xdr:row>130</xdr:row>
      <xdr:rowOff>152400</xdr:rowOff>
    </xdr:to>
    <xdr:pic>
      <xdr:nvPicPr>
        <xdr:cNvPr id="2" name="Picture 7">
          <a:extLst>
            <a:ext uri="{FF2B5EF4-FFF2-40B4-BE49-F238E27FC236}">
              <a16:creationId xmlns:a16="http://schemas.microsoft.com/office/drawing/2014/main" id="{E66443EF-6555-1551-F065-8976B6A043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7936825"/>
          <a:ext cx="5703146" cy="2886075"/>
        </a:xfrm>
        <a:prstGeom prst="rect">
          <a:avLst/>
        </a:prstGeom>
      </xdr:spPr>
    </xdr:pic>
    <xdr:clientData/>
  </xdr:twoCellAnchor>
  <xdr:twoCellAnchor editAs="oneCell">
    <xdr:from>
      <xdr:col>2</xdr:col>
      <xdr:colOff>2733676</xdr:colOff>
      <xdr:row>115</xdr:row>
      <xdr:rowOff>123825</xdr:rowOff>
    </xdr:from>
    <xdr:to>
      <xdr:col>6</xdr:col>
      <xdr:colOff>884922</xdr:colOff>
      <xdr:row>130</xdr:row>
      <xdr:rowOff>85725</xdr:rowOff>
    </xdr:to>
    <xdr:pic>
      <xdr:nvPicPr>
        <xdr:cNvPr id="11" name="Picture 9">
          <a:extLst>
            <a:ext uri="{FF2B5EF4-FFF2-40B4-BE49-F238E27FC236}">
              <a16:creationId xmlns:a16="http://schemas.microsoft.com/office/drawing/2014/main" id="{1645D496-B949-F258-9174-2E83C07FC4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1" y="27936825"/>
          <a:ext cx="4825096" cy="2819400"/>
        </a:xfrm>
        <a:prstGeom prst="rect">
          <a:avLst/>
        </a:prstGeom>
      </xdr:spPr>
    </xdr:pic>
    <xdr:clientData/>
  </xdr:twoCellAnchor>
  <xdr:twoCellAnchor editAs="oneCell">
    <xdr:from>
      <xdr:col>0</xdr:col>
      <xdr:colOff>200025</xdr:colOff>
      <xdr:row>131</xdr:row>
      <xdr:rowOff>123825</xdr:rowOff>
    </xdr:from>
    <xdr:to>
      <xdr:col>2</xdr:col>
      <xdr:colOff>2190198</xdr:colOff>
      <xdr:row>139</xdr:row>
      <xdr:rowOff>151347</xdr:rowOff>
    </xdr:to>
    <xdr:pic>
      <xdr:nvPicPr>
        <xdr:cNvPr id="12" name="Picture 11">
          <a:extLst>
            <a:ext uri="{FF2B5EF4-FFF2-40B4-BE49-F238E27FC236}">
              <a16:creationId xmlns:a16="http://schemas.microsoft.com/office/drawing/2014/main" id="{02F938B9-3DF5-5DCF-79D5-36414A1510A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0025" y="30984825"/>
          <a:ext cx="5352498" cy="15515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241</xdr:row>
      <xdr:rowOff>0</xdr:rowOff>
    </xdr:from>
    <xdr:to>
      <xdr:col>2</xdr:col>
      <xdr:colOff>523876</xdr:colOff>
      <xdr:row>257</xdr:row>
      <xdr:rowOff>69848</xdr:rowOff>
    </xdr:to>
    <xdr:pic>
      <xdr:nvPicPr>
        <xdr:cNvPr id="2" name="Picture 5">
          <a:extLst>
            <a:ext uri="{FF2B5EF4-FFF2-40B4-BE49-F238E27FC236}">
              <a16:creationId xmlns:a16="http://schemas.microsoft.com/office/drawing/2014/main" id="{3122D409-ACF0-AFAB-9F78-17078E4E7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44" y="54972857"/>
          <a:ext cx="3619500" cy="3013073"/>
        </a:xfrm>
        <a:prstGeom prst="rect">
          <a:avLst/>
        </a:prstGeom>
      </xdr:spPr>
    </xdr:pic>
    <xdr:clientData/>
  </xdr:twoCellAnchor>
  <xdr:twoCellAnchor editAs="oneCell">
    <xdr:from>
      <xdr:col>3</xdr:col>
      <xdr:colOff>0</xdr:colOff>
      <xdr:row>241</xdr:row>
      <xdr:rowOff>1</xdr:rowOff>
    </xdr:from>
    <xdr:to>
      <xdr:col>6</xdr:col>
      <xdr:colOff>143947</xdr:colOff>
      <xdr:row>257</xdr:row>
      <xdr:rowOff>152400</xdr:rowOff>
    </xdr:to>
    <xdr:pic>
      <xdr:nvPicPr>
        <xdr:cNvPr id="11" name="Picture 9">
          <a:extLst>
            <a:ext uri="{FF2B5EF4-FFF2-40B4-BE49-F238E27FC236}">
              <a16:creationId xmlns:a16="http://schemas.microsoft.com/office/drawing/2014/main" id="{03E0C3C2-FFC8-6342-7FD8-DA23FB77E2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02917" y="46016334"/>
          <a:ext cx="3744397" cy="3048000"/>
        </a:xfrm>
        <a:prstGeom prst="rect">
          <a:avLst/>
        </a:prstGeom>
      </xdr:spPr>
    </xdr:pic>
    <xdr:clientData/>
  </xdr:twoCellAnchor>
  <xdr:twoCellAnchor editAs="oneCell">
    <xdr:from>
      <xdr:col>0</xdr:col>
      <xdr:colOff>158750</xdr:colOff>
      <xdr:row>68</xdr:row>
      <xdr:rowOff>127000</xdr:rowOff>
    </xdr:from>
    <xdr:to>
      <xdr:col>5</xdr:col>
      <xdr:colOff>1169582</xdr:colOff>
      <xdr:row>96</xdr:row>
      <xdr:rowOff>26179</xdr:rowOff>
    </xdr:to>
    <xdr:pic>
      <xdr:nvPicPr>
        <xdr:cNvPr id="16" name="Picture 14">
          <a:extLst>
            <a:ext uri="{FF2B5EF4-FFF2-40B4-BE49-F238E27FC236}">
              <a16:creationId xmlns:a16="http://schemas.microsoft.com/office/drawing/2014/main" id="{7C244691-6202-439F-86FC-9FF48AB05B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750" y="19081750"/>
          <a:ext cx="9869082" cy="5239529"/>
        </a:xfrm>
        <a:prstGeom prst="rect">
          <a:avLst/>
        </a:prstGeom>
      </xdr:spPr>
    </xdr:pic>
    <xdr:clientData/>
  </xdr:twoCellAnchor>
  <xdr:twoCellAnchor editAs="oneCell">
    <xdr:from>
      <xdr:col>1</xdr:col>
      <xdr:colOff>0</xdr:colOff>
      <xdr:row>135</xdr:row>
      <xdr:rowOff>0</xdr:rowOff>
    </xdr:from>
    <xdr:to>
      <xdr:col>2</xdr:col>
      <xdr:colOff>2003120</xdr:colOff>
      <xdr:row>152</xdr:row>
      <xdr:rowOff>93008</xdr:rowOff>
    </xdr:to>
    <xdr:pic>
      <xdr:nvPicPr>
        <xdr:cNvPr id="17" name="Picture 33">
          <a:extLst>
            <a:ext uri="{FF2B5EF4-FFF2-40B4-BE49-F238E27FC236}">
              <a16:creationId xmlns:a16="http://schemas.microsoft.com/office/drawing/2014/main" id="{B6163627-2F58-4CA1-BA74-B9919C17451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2143" y="31731857"/>
          <a:ext cx="5101920" cy="3169583"/>
        </a:xfrm>
        <a:prstGeom prst="rect">
          <a:avLst/>
        </a:prstGeom>
      </xdr:spPr>
    </xdr:pic>
    <xdr:clientData/>
  </xdr:twoCellAnchor>
  <xdr:twoCellAnchor editAs="oneCell">
    <xdr:from>
      <xdr:col>2</xdr:col>
      <xdr:colOff>2171700</xdr:colOff>
      <xdr:row>136</xdr:row>
      <xdr:rowOff>0</xdr:rowOff>
    </xdr:from>
    <xdr:to>
      <xdr:col>6</xdr:col>
      <xdr:colOff>27564</xdr:colOff>
      <xdr:row>147</xdr:row>
      <xdr:rowOff>162457</xdr:rowOff>
    </xdr:to>
    <xdr:pic>
      <xdr:nvPicPr>
        <xdr:cNvPr id="19" name="Picture 17">
          <a:extLst>
            <a:ext uri="{FF2B5EF4-FFF2-40B4-BE49-F238E27FC236}">
              <a16:creationId xmlns:a16="http://schemas.microsoft.com/office/drawing/2014/main" id="{79072BF6-1C1B-4A51-8718-9E559DB80E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34025" y="29927550"/>
          <a:ext cx="4523364" cy="2257957"/>
        </a:xfrm>
        <a:prstGeom prst="rect">
          <a:avLst/>
        </a:prstGeom>
      </xdr:spPr>
    </xdr:pic>
    <xdr:clientData/>
  </xdr:twoCellAnchor>
  <xdr:twoCellAnchor editAs="oneCell">
    <xdr:from>
      <xdr:col>1</xdr:col>
      <xdr:colOff>1212248</xdr:colOff>
      <xdr:row>247</xdr:row>
      <xdr:rowOff>25904</xdr:rowOff>
    </xdr:from>
    <xdr:to>
      <xdr:col>1</xdr:col>
      <xdr:colOff>2159343</xdr:colOff>
      <xdr:row>247</xdr:row>
      <xdr:rowOff>29439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4" name="Ink 3">
              <a:extLst>
                <a:ext uri="{FF2B5EF4-FFF2-40B4-BE49-F238E27FC236}">
                  <a16:creationId xmlns:a16="http://schemas.microsoft.com/office/drawing/2014/main" id="{FB5AF26D-2AFA-1174-FF1D-F36A83C1C22B}"/>
                </a:ext>
              </a:extLst>
            </xdr14:cNvPr>
            <xdr14:cNvContentPartPr/>
          </xdr14:nvContentPartPr>
          <xdr14:nvPr macro=""/>
          <xdr14:xfrm>
            <a:off x="1480680" y="53686290"/>
            <a:ext cx="943920" cy="360"/>
          </xdr14:xfrm>
        </xdr:contentPart>
      </mc:Choice>
      <mc:Fallback xmlns="">
        <xdr:pic>
          <xdr:nvPicPr>
            <xdr:cNvPr id="4" name="Ink 3">
              <a:extLst>
                <a:ext uri="{FF2B5EF4-FFF2-40B4-BE49-F238E27FC236}">
                  <a16:creationId xmlns:a16="http://schemas.microsoft.com/office/drawing/2014/main" id="{FB5AF26D-2AFA-1174-FF1D-F36A83C1C22B}"/>
                </a:ext>
              </a:extLst>
            </xdr:cNvPr>
            <xdr:cNvPicPr/>
          </xdr:nvPicPr>
          <xdr:blipFill>
            <a:blip xmlns:r="http://schemas.openxmlformats.org/officeDocument/2006/relationships" r:embed="rId8"/>
            <a:stretch>
              <a:fillRect/>
            </a:stretch>
          </xdr:blipFill>
          <xdr:spPr>
            <a:xfrm>
              <a:off x="1462680" y="53650290"/>
              <a:ext cx="979560" cy="72000"/>
            </a:xfrm>
            <a:prstGeom prst="rect">
              <a:avLst/>
            </a:prstGeom>
          </xdr:spPr>
        </xdr:pic>
      </mc:Fallback>
    </mc:AlternateContent>
    <xdr:clientData/>
  </xdr:twoCellAnchor>
  <xdr:twoCellAnchor editAs="oneCell">
    <xdr:from>
      <xdr:col>1</xdr:col>
      <xdr:colOff>1246448</xdr:colOff>
      <xdr:row>247</xdr:row>
      <xdr:rowOff>129584</xdr:rowOff>
    </xdr:from>
    <xdr:to>
      <xdr:col>1</xdr:col>
      <xdr:colOff>2144353</xdr:colOff>
      <xdr:row>247</xdr:row>
      <xdr:rowOff>142119</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601445F4-70DA-E1AB-AD09-831D5C82C283}"/>
                </a:ext>
              </a:extLst>
            </xdr14:cNvPr>
            <xdr14:cNvContentPartPr/>
          </xdr14:nvContentPartPr>
          <xdr14:nvPr macro=""/>
          <xdr14:xfrm>
            <a:off x="1514880" y="53789970"/>
            <a:ext cx="901080" cy="9360"/>
          </xdr14:xfrm>
        </xdr:contentPart>
      </mc:Choice>
      <mc:Fallback xmlns="">
        <xdr:pic>
          <xdr:nvPicPr>
            <xdr:cNvPr id="7" name="Ink 6">
              <a:extLst>
                <a:ext uri="{FF2B5EF4-FFF2-40B4-BE49-F238E27FC236}">
                  <a16:creationId xmlns:a16="http://schemas.microsoft.com/office/drawing/2014/main" id="{601445F4-70DA-E1AB-AD09-831D5C82C283}"/>
                </a:ext>
              </a:extLst>
            </xdr:cNvPr>
            <xdr:cNvPicPr/>
          </xdr:nvPicPr>
          <xdr:blipFill>
            <a:blip xmlns:r="http://schemas.openxmlformats.org/officeDocument/2006/relationships" r:embed="rId10"/>
            <a:stretch>
              <a:fillRect/>
            </a:stretch>
          </xdr:blipFill>
          <xdr:spPr>
            <a:xfrm>
              <a:off x="1496880" y="53753970"/>
              <a:ext cx="936720" cy="81000"/>
            </a:xfrm>
            <a:prstGeom prst="rect">
              <a:avLst/>
            </a:prstGeom>
          </xdr:spPr>
        </xdr:pic>
      </mc:Fallback>
    </mc:AlternateContent>
    <xdr:clientData/>
  </xdr:twoCellAnchor>
  <xdr:twoCellAnchor editAs="oneCell">
    <xdr:from>
      <xdr:col>4</xdr:col>
      <xdr:colOff>121061</xdr:colOff>
      <xdr:row>246</xdr:row>
      <xdr:rowOff>163105</xdr:rowOff>
    </xdr:from>
    <xdr:to>
      <xdr:col>5</xdr:col>
      <xdr:colOff>98111</xdr:colOff>
      <xdr:row>247</xdr:row>
      <xdr:rowOff>1735</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8" name="Ink 7">
              <a:extLst>
                <a:ext uri="{FF2B5EF4-FFF2-40B4-BE49-F238E27FC236}">
                  <a16:creationId xmlns:a16="http://schemas.microsoft.com/office/drawing/2014/main" id="{B040DC21-99E8-B286-ED09-6F783DCBA8D1}"/>
                </a:ext>
              </a:extLst>
            </xdr14:cNvPr>
            <xdr14:cNvContentPartPr/>
          </xdr14:nvContentPartPr>
          <xdr14:nvPr macro=""/>
          <xdr14:xfrm>
            <a:off x="7749720" y="53641650"/>
            <a:ext cx="1177200" cy="10080"/>
          </xdr14:xfrm>
        </xdr:contentPart>
      </mc:Choice>
      <mc:Fallback xmlns="">
        <xdr:pic>
          <xdr:nvPicPr>
            <xdr:cNvPr id="8" name="Ink 7">
              <a:extLst>
                <a:ext uri="{FF2B5EF4-FFF2-40B4-BE49-F238E27FC236}">
                  <a16:creationId xmlns:a16="http://schemas.microsoft.com/office/drawing/2014/main" id="{B040DC21-99E8-B286-ED09-6F783DCBA8D1}"/>
                </a:ext>
              </a:extLst>
            </xdr:cNvPr>
            <xdr:cNvPicPr/>
          </xdr:nvPicPr>
          <xdr:blipFill>
            <a:blip xmlns:r="http://schemas.openxmlformats.org/officeDocument/2006/relationships" r:embed="rId12"/>
            <a:stretch>
              <a:fillRect/>
            </a:stretch>
          </xdr:blipFill>
          <xdr:spPr>
            <a:xfrm>
              <a:off x="7731720" y="53606010"/>
              <a:ext cx="1212840" cy="81720"/>
            </a:xfrm>
            <a:prstGeom prst="rect">
              <a:avLst/>
            </a:prstGeom>
          </xdr:spPr>
        </xdr:pic>
      </mc:Fallback>
    </mc:AlternateContent>
    <xdr:clientData/>
  </xdr:twoCellAnchor>
  <xdr:twoCellAnchor editAs="oneCell">
    <xdr:from>
      <xdr:col>4</xdr:col>
      <xdr:colOff>51941</xdr:colOff>
      <xdr:row>247</xdr:row>
      <xdr:rowOff>75224</xdr:rowOff>
    </xdr:from>
    <xdr:to>
      <xdr:col>5</xdr:col>
      <xdr:colOff>178556</xdr:colOff>
      <xdr:row>247</xdr:row>
      <xdr:rowOff>112304</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9" name="Ink 8">
              <a:extLst>
                <a:ext uri="{FF2B5EF4-FFF2-40B4-BE49-F238E27FC236}">
                  <a16:creationId xmlns:a16="http://schemas.microsoft.com/office/drawing/2014/main" id="{6D572BEB-71F4-4639-3532-5A776AF82EFC}"/>
                </a:ext>
              </a:extLst>
            </xdr14:cNvPr>
            <xdr14:cNvContentPartPr/>
          </xdr14:nvContentPartPr>
          <xdr14:nvPr macro=""/>
          <xdr14:xfrm>
            <a:off x="7680600" y="53735610"/>
            <a:ext cx="1317240" cy="37080"/>
          </xdr14:xfrm>
        </xdr:contentPart>
      </mc:Choice>
      <mc:Fallback xmlns="">
        <xdr:pic>
          <xdr:nvPicPr>
            <xdr:cNvPr id="9" name="Ink 8">
              <a:extLst>
                <a:ext uri="{FF2B5EF4-FFF2-40B4-BE49-F238E27FC236}">
                  <a16:creationId xmlns:a16="http://schemas.microsoft.com/office/drawing/2014/main" id="{6D572BEB-71F4-4639-3532-5A776AF82EFC}"/>
                </a:ext>
              </a:extLst>
            </xdr:cNvPr>
            <xdr:cNvPicPr/>
          </xdr:nvPicPr>
          <xdr:blipFill>
            <a:blip xmlns:r="http://schemas.openxmlformats.org/officeDocument/2006/relationships" r:embed="rId14"/>
            <a:stretch>
              <a:fillRect/>
            </a:stretch>
          </xdr:blipFill>
          <xdr:spPr>
            <a:xfrm>
              <a:off x="7662600" y="53699970"/>
              <a:ext cx="1352880" cy="108720"/>
            </a:xfrm>
            <a:prstGeom prst="rect">
              <a:avLst/>
            </a:prstGeom>
          </xdr:spPr>
        </xdr:pic>
      </mc:Fallback>
    </mc:AlternateContent>
    <xdr:clientData/>
  </xdr:twoCellAnchor>
  <xdr:twoCellAnchor editAs="oneCell">
    <xdr:from>
      <xdr:col>1</xdr:col>
      <xdr:colOff>1142768</xdr:colOff>
      <xdr:row>248</xdr:row>
      <xdr:rowOff>59703</xdr:rowOff>
    </xdr:from>
    <xdr:to>
      <xdr:col>1</xdr:col>
      <xdr:colOff>2155088</xdr:colOff>
      <xdr:row>248</xdr:row>
      <xdr:rowOff>87423</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0" name="Ink 9">
              <a:extLst>
                <a:ext uri="{FF2B5EF4-FFF2-40B4-BE49-F238E27FC236}">
                  <a16:creationId xmlns:a16="http://schemas.microsoft.com/office/drawing/2014/main" id="{EE104BCD-C3D7-B0E0-F4EC-907C73164238}"/>
                </a:ext>
              </a:extLst>
            </xdr14:cNvPr>
            <xdr14:cNvContentPartPr/>
          </xdr14:nvContentPartPr>
          <xdr14:nvPr macro=""/>
          <xdr14:xfrm>
            <a:off x="1411200" y="53901930"/>
            <a:ext cx="1012320" cy="27720"/>
          </xdr14:xfrm>
        </xdr:contentPart>
      </mc:Choice>
      <mc:Fallback xmlns="">
        <xdr:pic>
          <xdr:nvPicPr>
            <xdr:cNvPr id="10" name="Ink 9">
              <a:extLst>
                <a:ext uri="{FF2B5EF4-FFF2-40B4-BE49-F238E27FC236}">
                  <a16:creationId xmlns:a16="http://schemas.microsoft.com/office/drawing/2014/main" id="{EE104BCD-C3D7-B0E0-F4EC-907C73164238}"/>
                </a:ext>
              </a:extLst>
            </xdr:cNvPr>
            <xdr:cNvPicPr/>
          </xdr:nvPicPr>
          <xdr:blipFill>
            <a:blip xmlns:r="http://schemas.openxmlformats.org/officeDocument/2006/relationships" r:embed="rId16"/>
            <a:stretch>
              <a:fillRect/>
            </a:stretch>
          </xdr:blipFill>
          <xdr:spPr>
            <a:xfrm>
              <a:off x="1393560" y="53865930"/>
              <a:ext cx="1047960" cy="99360"/>
            </a:xfrm>
            <a:prstGeom prst="rect">
              <a:avLst/>
            </a:prstGeom>
          </xdr:spPr>
        </xdr:pic>
      </mc:Fallback>
    </mc:AlternateContent>
    <xdr:clientData/>
  </xdr:twoCellAnchor>
  <xdr:twoCellAnchor editAs="oneCell">
    <xdr:from>
      <xdr:col>1</xdr:col>
      <xdr:colOff>1116848</xdr:colOff>
      <xdr:row>246</xdr:row>
      <xdr:rowOff>17305</xdr:rowOff>
    </xdr:from>
    <xdr:to>
      <xdr:col>1</xdr:col>
      <xdr:colOff>2179273</xdr:colOff>
      <xdr:row>246</xdr:row>
      <xdr:rowOff>34945</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8" name="Ink 17">
              <a:extLst>
                <a:ext uri="{FF2B5EF4-FFF2-40B4-BE49-F238E27FC236}">
                  <a16:creationId xmlns:a16="http://schemas.microsoft.com/office/drawing/2014/main" id="{72DC8E0C-C04B-1796-86A7-AB6FCE36A8A6}"/>
                </a:ext>
              </a:extLst>
            </xdr14:cNvPr>
            <xdr14:cNvContentPartPr/>
          </xdr14:nvContentPartPr>
          <xdr14:nvPr macro=""/>
          <xdr14:xfrm>
            <a:off x="1385280" y="53495850"/>
            <a:ext cx="1065600" cy="17640"/>
          </xdr14:xfrm>
        </xdr:contentPart>
      </mc:Choice>
      <mc:Fallback xmlns="">
        <xdr:pic>
          <xdr:nvPicPr>
            <xdr:cNvPr id="18" name="Ink 17">
              <a:extLst>
                <a:ext uri="{FF2B5EF4-FFF2-40B4-BE49-F238E27FC236}">
                  <a16:creationId xmlns:a16="http://schemas.microsoft.com/office/drawing/2014/main" id="{72DC8E0C-C04B-1796-86A7-AB6FCE36A8A6}"/>
                </a:ext>
              </a:extLst>
            </xdr:cNvPr>
            <xdr:cNvPicPr/>
          </xdr:nvPicPr>
          <xdr:blipFill>
            <a:blip xmlns:r="http://schemas.openxmlformats.org/officeDocument/2006/relationships" r:embed="rId18"/>
            <a:stretch>
              <a:fillRect/>
            </a:stretch>
          </xdr:blipFill>
          <xdr:spPr>
            <a:xfrm>
              <a:off x="1367280" y="53459850"/>
              <a:ext cx="1101240" cy="89280"/>
            </a:xfrm>
            <a:prstGeom prst="rect">
              <a:avLst/>
            </a:prstGeom>
          </xdr:spPr>
        </xdr:pic>
      </mc:Fallback>
    </mc:AlternateContent>
    <xdr:clientData/>
  </xdr:twoCellAnchor>
  <xdr:twoCellAnchor editAs="oneCell">
    <xdr:from>
      <xdr:col>3</xdr:col>
      <xdr:colOff>1186094</xdr:colOff>
      <xdr:row>247</xdr:row>
      <xdr:rowOff>181784</xdr:rowOff>
    </xdr:from>
    <xdr:to>
      <xdr:col>5</xdr:col>
      <xdr:colOff>116224</xdr:colOff>
      <xdr:row>248</xdr:row>
      <xdr:rowOff>2263</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20" name="Ink 19">
              <a:extLst>
                <a:ext uri="{FF2B5EF4-FFF2-40B4-BE49-F238E27FC236}">
                  <a16:creationId xmlns:a16="http://schemas.microsoft.com/office/drawing/2014/main" id="{8F3A73B1-4CE2-39E7-42C3-16126F636C54}"/>
                </a:ext>
              </a:extLst>
            </xdr14:cNvPr>
            <xdr14:cNvContentPartPr/>
          </xdr14:nvContentPartPr>
          <xdr14:nvPr macro=""/>
          <xdr14:xfrm>
            <a:off x="7602480" y="53842170"/>
            <a:ext cx="1324080" cy="360"/>
          </xdr14:xfrm>
        </xdr:contentPart>
      </mc:Choice>
      <mc:Fallback xmlns="">
        <xdr:pic>
          <xdr:nvPicPr>
            <xdr:cNvPr id="20" name="Ink 19">
              <a:extLst>
                <a:ext uri="{FF2B5EF4-FFF2-40B4-BE49-F238E27FC236}">
                  <a16:creationId xmlns:a16="http://schemas.microsoft.com/office/drawing/2014/main" id="{8F3A73B1-4CE2-39E7-42C3-16126F636C54}"/>
                </a:ext>
              </a:extLst>
            </xdr:cNvPr>
            <xdr:cNvPicPr/>
          </xdr:nvPicPr>
          <xdr:blipFill>
            <a:blip xmlns:r="http://schemas.openxmlformats.org/officeDocument/2006/relationships" r:embed="rId20"/>
            <a:stretch>
              <a:fillRect/>
            </a:stretch>
          </xdr:blipFill>
          <xdr:spPr>
            <a:xfrm>
              <a:off x="7584840" y="53806170"/>
              <a:ext cx="1359720" cy="72000"/>
            </a:xfrm>
            <a:prstGeom prst="rect">
              <a:avLst/>
            </a:prstGeom>
          </xdr:spPr>
        </xdr:pic>
      </mc:Fallback>
    </mc:AlternateContent>
    <xdr:clientData/>
  </xdr:twoCellAnchor>
  <xdr:twoCellAnchor editAs="oneCell">
    <xdr:from>
      <xdr:col>3</xdr:col>
      <xdr:colOff>1194734</xdr:colOff>
      <xdr:row>248</xdr:row>
      <xdr:rowOff>172023</xdr:rowOff>
    </xdr:from>
    <xdr:to>
      <xdr:col>5</xdr:col>
      <xdr:colOff>125749</xdr:colOff>
      <xdr:row>249</xdr:row>
      <xdr:rowOff>8033</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5A32BE0E-2A16-F056-8C3F-51DE21CEE764}"/>
                </a:ext>
              </a:extLst>
            </xdr14:cNvPr>
            <xdr14:cNvContentPartPr/>
          </xdr14:nvContentPartPr>
          <xdr14:nvPr macro=""/>
          <xdr14:xfrm>
            <a:off x="7611120" y="54014250"/>
            <a:ext cx="1315440" cy="20160"/>
          </xdr14:xfrm>
        </xdr:contentPart>
      </mc:Choice>
      <mc:Fallback xmlns="">
        <xdr:pic>
          <xdr:nvPicPr>
            <xdr:cNvPr id="21" name="Ink 20">
              <a:extLst>
                <a:ext uri="{FF2B5EF4-FFF2-40B4-BE49-F238E27FC236}">
                  <a16:creationId xmlns:a16="http://schemas.microsoft.com/office/drawing/2014/main" id="{5A32BE0E-2A16-F056-8C3F-51DE21CEE764}"/>
                </a:ext>
              </a:extLst>
            </xdr:cNvPr>
            <xdr:cNvPicPr/>
          </xdr:nvPicPr>
          <xdr:blipFill>
            <a:blip xmlns:r="http://schemas.openxmlformats.org/officeDocument/2006/relationships" r:embed="rId22"/>
            <a:stretch>
              <a:fillRect/>
            </a:stretch>
          </xdr:blipFill>
          <xdr:spPr>
            <a:xfrm>
              <a:off x="7593480" y="53978250"/>
              <a:ext cx="1351080" cy="91800"/>
            </a:xfrm>
            <a:prstGeom prst="rect">
              <a:avLst/>
            </a:prstGeom>
          </xdr:spPr>
        </xdr:pic>
      </mc:Fallback>
    </mc:AlternateContent>
    <xdr:clientData/>
  </xdr:twoCellAnchor>
  <xdr:twoCellAnchor editAs="oneCell">
    <xdr:from>
      <xdr:col>7</xdr:col>
      <xdr:colOff>0</xdr:colOff>
      <xdr:row>240</xdr:row>
      <xdr:rowOff>178592</xdr:rowOff>
    </xdr:from>
    <xdr:to>
      <xdr:col>9</xdr:col>
      <xdr:colOff>478631</xdr:colOff>
      <xdr:row>257</xdr:row>
      <xdr:rowOff>25774</xdr:rowOff>
    </xdr:to>
    <xdr:pic>
      <xdr:nvPicPr>
        <xdr:cNvPr id="22" name="Picture 22">
          <a:extLst>
            <a:ext uri="{FF2B5EF4-FFF2-40B4-BE49-F238E27FC236}">
              <a16:creationId xmlns:a16="http://schemas.microsoft.com/office/drawing/2014/main" id="{6E9F4746-6565-2019-8BB1-9C374D7F6EE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1263313" y="51685030"/>
          <a:ext cx="2869406" cy="2987257"/>
        </a:xfrm>
        <a:prstGeom prst="rect">
          <a:avLst/>
        </a:prstGeom>
      </xdr:spPr>
    </xdr:pic>
    <xdr:clientData/>
  </xdr:twoCellAnchor>
  <xdr:twoCellAnchor editAs="oneCell">
    <xdr:from>
      <xdr:col>10</xdr:col>
      <xdr:colOff>0</xdr:colOff>
      <xdr:row>241</xdr:row>
      <xdr:rowOff>0</xdr:rowOff>
    </xdr:from>
    <xdr:to>
      <xdr:col>12</xdr:col>
      <xdr:colOff>497681</xdr:colOff>
      <xdr:row>257</xdr:row>
      <xdr:rowOff>28584</xdr:rowOff>
    </xdr:to>
    <xdr:pic>
      <xdr:nvPicPr>
        <xdr:cNvPr id="24" name="Picture 24">
          <a:extLst>
            <a:ext uri="{FF2B5EF4-FFF2-40B4-BE49-F238E27FC236}">
              <a16:creationId xmlns:a16="http://schemas.microsoft.com/office/drawing/2014/main" id="{A88F7AB6-802B-F316-F685-C6C8CB64F7E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5144750" y="51685031"/>
          <a:ext cx="2869406" cy="2981334"/>
        </a:xfrm>
        <a:prstGeom prst="rect">
          <a:avLst/>
        </a:prstGeom>
      </xdr:spPr>
    </xdr:pic>
    <xdr:clientData/>
  </xdr:twoCellAnchor>
  <xdr:twoCellAnchor editAs="oneCell">
    <xdr:from>
      <xdr:col>13</xdr:col>
      <xdr:colOff>0</xdr:colOff>
      <xdr:row>241</xdr:row>
      <xdr:rowOff>0</xdr:rowOff>
    </xdr:from>
    <xdr:to>
      <xdr:col>17</xdr:col>
      <xdr:colOff>1172353</xdr:colOff>
      <xdr:row>254</xdr:row>
      <xdr:rowOff>105123</xdr:rowOff>
    </xdr:to>
    <xdr:pic>
      <xdr:nvPicPr>
        <xdr:cNvPr id="26" name="Picture 25">
          <a:extLst>
            <a:ext uri="{FF2B5EF4-FFF2-40B4-BE49-F238E27FC236}">
              <a16:creationId xmlns:a16="http://schemas.microsoft.com/office/drawing/2014/main" id="{FE20439C-0890-F93D-E548-95007C518C87}"/>
            </a:ext>
          </a:extLst>
        </xdr:cNvPr>
        <xdr:cNvPicPr>
          <a:picLocks noChangeAspect="1"/>
        </xdr:cNvPicPr>
      </xdr:nvPicPr>
      <xdr:blipFill>
        <a:blip xmlns:r="http://schemas.openxmlformats.org/officeDocument/2006/relationships" r:embed="rId25"/>
        <a:stretch>
          <a:fillRect/>
        </a:stretch>
      </xdr:blipFill>
      <xdr:spPr>
        <a:xfrm>
          <a:off x="18966656" y="51685031"/>
          <a:ext cx="5572903" cy="2495898"/>
        </a:xfrm>
        <a:prstGeom prst="rect">
          <a:avLst/>
        </a:prstGeom>
      </xdr:spPr>
    </xdr:pic>
    <xdr:clientData/>
  </xdr:twoCellAnchor>
  <xdr:twoCellAnchor editAs="oneCell">
    <xdr:from>
      <xdr:col>0</xdr:col>
      <xdr:colOff>209550</xdr:colOff>
      <xdr:row>200</xdr:row>
      <xdr:rowOff>171450</xdr:rowOff>
    </xdr:from>
    <xdr:to>
      <xdr:col>2</xdr:col>
      <xdr:colOff>1369056</xdr:colOff>
      <xdr:row>214</xdr:row>
      <xdr:rowOff>152770</xdr:rowOff>
    </xdr:to>
    <xdr:pic>
      <xdr:nvPicPr>
        <xdr:cNvPr id="6" name="Picture 5">
          <a:extLst>
            <a:ext uri="{FF2B5EF4-FFF2-40B4-BE49-F238E27FC236}">
              <a16:creationId xmlns:a16="http://schemas.microsoft.com/office/drawing/2014/main" id="{D0AA27E6-BFFE-C1C1-ECE3-6FBD4683BAA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09550" y="43053000"/>
          <a:ext cx="4521831" cy="26483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3</xdr:col>
      <xdr:colOff>371475</xdr:colOff>
      <xdr:row>82</xdr:row>
      <xdr:rowOff>133783</xdr:rowOff>
    </xdr:to>
    <xdr:pic>
      <xdr:nvPicPr>
        <xdr:cNvPr id="4" name="Picture 10">
          <a:extLst>
            <a:ext uri="{FF2B5EF4-FFF2-40B4-BE49-F238E27FC236}">
              <a16:creationId xmlns:a16="http://schemas.microsoft.com/office/drawing/2014/main" id="{7B240AA5-CFCB-1BDC-2989-BFDE88BD0D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6249650"/>
          <a:ext cx="5915025" cy="4324783"/>
        </a:xfrm>
        <a:prstGeom prst="rect">
          <a:avLst/>
        </a:prstGeom>
      </xdr:spPr>
    </xdr:pic>
    <xdr:clientData/>
  </xdr:twoCellAnchor>
  <xdr:twoCellAnchor editAs="oneCell">
    <xdr:from>
      <xdr:col>1</xdr:col>
      <xdr:colOff>2314635</xdr:colOff>
      <xdr:row>72</xdr:row>
      <xdr:rowOff>133275</xdr:rowOff>
    </xdr:from>
    <xdr:to>
      <xdr:col>1</xdr:col>
      <xdr:colOff>2685435</xdr:colOff>
      <xdr:row>73</xdr:row>
      <xdr:rowOff>375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2" name="Ink 11">
              <a:extLst>
                <a:ext uri="{FF2B5EF4-FFF2-40B4-BE49-F238E27FC236}">
                  <a16:creationId xmlns:a16="http://schemas.microsoft.com/office/drawing/2014/main" id="{0125DC0B-CEC0-8C5D-88BB-F2069CD08BEB}"/>
                </a:ext>
              </a:extLst>
            </xdr14:cNvPr>
            <xdr14:cNvContentPartPr/>
          </xdr14:nvContentPartPr>
          <xdr14:nvPr macro=""/>
          <xdr14:xfrm>
            <a:off x="2581335" y="19497600"/>
            <a:ext cx="370800" cy="57600"/>
          </xdr14:xfrm>
        </xdr:contentPart>
      </mc:Choice>
      <mc:Fallback xmlns="">
        <xdr:pic>
          <xdr:nvPicPr>
            <xdr:cNvPr id="12" name="Ink 11">
              <a:extLst>
                <a:ext uri="{FF2B5EF4-FFF2-40B4-BE49-F238E27FC236}">
                  <a16:creationId xmlns:a16="http://schemas.microsoft.com/office/drawing/2014/main" id="{0125DC0B-CEC0-8C5D-88BB-F2069CD08BEB}"/>
                </a:ext>
              </a:extLst>
            </xdr:cNvPr>
            <xdr:cNvPicPr/>
          </xdr:nvPicPr>
          <xdr:blipFill>
            <a:blip xmlns:r="http://schemas.openxmlformats.org/officeDocument/2006/relationships" r:embed="rId3"/>
            <a:stretch>
              <a:fillRect/>
            </a:stretch>
          </xdr:blipFill>
          <xdr:spPr>
            <a:xfrm>
              <a:off x="2306160" y="18642810"/>
              <a:ext cx="406440" cy="129240"/>
            </a:xfrm>
            <a:prstGeom prst="rect">
              <a:avLst/>
            </a:prstGeom>
          </xdr:spPr>
        </xdr:pic>
      </mc:Fallback>
    </mc:AlternateContent>
    <xdr:clientData/>
  </xdr:twoCellAnchor>
  <xdr:twoCellAnchor editAs="oneCell">
    <xdr:from>
      <xdr:col>1</xdr:col>
      <xdr:colOff>2381205</xdr:colOff>
      <xdr:row>69</xdr:row>
      <xdr:rowOff>171285</xdr:rowOff>
    </xdr:from>
    <xdr:to>
      <xdr:col>1</xdr:col>
      <xdr:colOff>2666325</xdr:colOff>
      <xdr:row>70</xdr:row>
      <xdr:rowOff>2385</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3" name="Ink 12">
              <a:extLst>
                <a:ext uri="{FF2B5EF4-FFF2-40B4-BE49-F238E27FC236}">
                  <a16:creationId xmlns:a16="http://schemas.microsoft.com/office/drawing/2014/main" id="{8A03F290-1138-BF6E-54E7-6E033EB220EB}"/>
                </a:ext>
              </a:extLst>
            </xdr14:cNvPr>
            <xdr14:cNvContentPartPr/>
          </xdr14:nvContentPartPr>
          <xdr14:nvPr macro=""/>
          <xdr14:xfrm>
            <a:off x="2647905" y="18964110"/>
            <a:ext cx="285120" cy="21600"/>
          </xdr14:xfrm>
        </xdr:contentPart>
      </mc:Choice>
      <mc:Fallback xmlns="">
        <xdr:pic>
          <xdr:nvPicPr>
            <xdr:cNvPr id="13" name="Ink 12">
              <a:extLst>
                <a:ext uri="{FF2B5EF4-FFF2-40B4-BE49-F238E27FC236}">
                  <a16:creationId xmlns:a16="http://schemas.microsoft.com/office/drawing/2014/main" id="{8A03F290-1138-BF6E-54E7-6E033EB220EB}"/>
                </a:ext>
              </a:extLst>
            </xdr:cNvPr>
            <xdr:cNvPicPr/>
          </xdr:nvPicPr>
          <xdr:blipFill>
            <a:blip xmlns:r="http://schemas.openxmlformats.org/officeDocument/2006/relationships" r:embed="rId5"/>
            <a:stretch>
              <a:fillRect/>
            </a:stretch>
          </xdr:blipFill>
          <xdr:spPr>
            <a:xfrm>
              <a:off x="2353680" y="18128370"/>
              <a:ext cx="320760" cy="9324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184149</xdr:colOff>
      <xdr:row>53</xdr:row>
      <xdr:rowOff>63949</xdr:rowOff>
    </xdr:from>
    <xdr:to>
      <xdr:col>1</xdr:col>
      <xdr:colOff>2686049</xdr:colOff>
      <xdr:row>61</xdr:row>
      <xdr:rowOff>47626</xdr:rowOff>
    </xdr:to>
    <xdr:pic>
      <xdr:nvPicPr>
        <xdr:cNvPr id="2" name="Picture 1">
          <a:extLst>
            <a:ext uri="{FF2B5EF4-FFF2-40B4-BE49-F238E27FC236}">
              <a16:creationId xmlns:a16="http://schemas.microsoft.com/office/drawing/2014/main" id="{F46295DE-BA37-E190-90A0-9BD575CE9690}"/>
            </a:ext>
          </a:extLst>
        </xdr:cNvPr>
        <xdr:cNvPicPr>
          <a:picLocks noChangeAspect="1"/>
        </xdr:cNvPicPr>
      </xdr:nvPicPr>
      <xdr:blipFill rotWithShape="1">
        <a:blip xmlns:r="http://schemas.openxmlformats.org/officeDocument/2006/relationships" r:embed="rId1"/>
        <a:srcRect b="25811"/>
        <a:stretch/>
      </xdr:blipFill>
      <xdr:spPr>
        <a:xfrm>
          <a:off x="450849" y="11541574"/>
          <a:ext cx="2501900" cy="21363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257174</xdr:colOff>
      <xdr:row>59</xdr:row>
      <xdr:rowOff>146049</xdr:rowOff>
    </xdr:from>
    <xdr:to>
      <xdr:col>2</xdr:col>
      <xdr:colOff>1859037</xdr:colOff>
      <xdr:row>70</xdr:row>
      <xdr:rowOff>165099</xdr:rowOff>
    </xdr:to>
    <xdr:pic>
      <xdr:nvPicPr>
        <xdr:cNvPr id="2" name="Picture 1">
          <a:extLst>
            <a:ext uri="{FF2B5EF4-FFF2-40B4-BE49-F238E27FC236}">
              <a16:creationId xmlns:a16="http://schemas.microsoft.com/office/drawing/2014/main" id="{5DD8AE92-0837-B1F5-D09D-9AD222D12E79}"/>
            </a:ext>
          </a:extLst>
        </xdr:cNvPr>
        <xdr:cNvPicPr>
          <a:picLocks noChangeAspect="1"/>
        </xdr:cNvPicPr>
      </xdr:nvPicPr>
      <xdr:blipFill>
        <a:blip xmlns:r="http://schemas.openxmlformats.org/officeDocument/2006/relationships" r:embed="rId1"/>
        <a:stretch>
          <a:fillRect/>
        </a:stretch>
      </xdr:blipFill>
      <xdr:spPr>
        <a:xfrm>
          <a:off x="523874" y="12871449"/>
          <a:ext cx="4620018" cy="2006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6350</xdr:colOff>
      <xdr:row>55</xdr:row>
      <xdr:rowOff>114300</xdr:rowOff>
    </xdr:from>
    <xdr:to>
      <xdr:col>1</xdr:col>
      <xdr:colOff>2095607</xdr:colOff>
      <xdr:row>66</xdr:row>
      <xdr:rowOff>96</xdr:rowOff>
    </xdr:to>
    <xdr:pic>
      <xdr:nvPicPr>
        <xdr:cNvPr id="2" name="Picture 1">
          <a:extLst>
            <a:ext uri="{FF2B5EF4-FFF2-40B4-BE49-F238E27FC236}">
              <a16:creationId xmlns:a16="http://schemas.microsoft.com/office/drawing/2014/main" id="{F96E88E8-C02A-6167-1B8C-FF05CFA93E68}"/>
            </a:ext>
          </a:extLst>
        </xdr:cNvPr>
        <xdr:cNvPicPr>
          <a:picLocks noChangeAspect="1"/>
        </xdr:cNvPicPr>
      </xdr:nvPicPr>
      <xdr:blipFill>
        <a:blip xmlns:r="http://schemas.openxmlformats.org/officeDocument/2006/relationships" r:embed="rId1"/>
        <a:stretch>
          <a:fillRect/>
        </a:stretch>
      </xdr:blipFill>
      <xdr:spPr>
        <a:xfrm>
          <a:off x="273050" y="12296775"/>
          <a:ext cx="2089257" cy="1873346"/>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11:07:32.061"/>
    </inkml:context>
    <inkml:brush xml:id="br0">
      <inkml:brushProperty name="width" value="0.1" units="cm"/>
      <inkml:brushProperty name="height" value="0.2" units="cm"/>
      <inkml:brushProperty name="color" value="#FFFC00"/>
      <inkml:brushProperty name="tip" value="rectangle"/>
      <inkml:brushProperty name="rasterOp" value="maskPen"/>
      <inkml:brushProperty name="ignorePressure" value="1"/>
    </inkml:brush>
  </inkml:definitions>
  <inkml:trace contextRef="#ctx0" brushRef="#br0">0 0 0,'2621'0'0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31T11:32:20.207"/>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1,'11'1,"-1"0,1 1,-1 1,1 0,-1 0,12 6,34 10,2-10,0-3,0-3,89-6,-24 0,60 3,-160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8:43:25.948"/>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0,'479'0,"-456"0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8:43:28.281"/>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74,'13'-1,"-1"-1,0 1,-1-1,1-1,0-1,16-6,-14 4,1 3,-1-3,29-3,36-2,-47 5,60-3,95 9,-168 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8:43:29.859"/>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0,'638'0,"-617"0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18:43:31.737"/>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36 0,'707'-36'0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8:44:28.735"/>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573 0,'-44'1,"0"2,-53 10,-155 14,146-18,76-8</inkml:trace>
  <inkml:trace contextRef="#ctx0" brushRef="#br0" timeOffset="2851.09">556 159,'-4'0,"-11"0,-8 0,-3 0,-3 0,0 0,0 0,0 0,1 0,1 0,-1 0,2 0,-1 0,1 0,0 0,0 0,4 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18:44:35.797"/>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662 0 0,'-662'79'0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3T08:48:33.654"/>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0,'557'0,"-534"0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3T08:48:34.908"/>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27,'5'0,"9"0,8 0,5 0,1 0,6 0,1 0,4 0,0 0,-2 0,-4 0,-2 0,-2 0,-2 0,-5 0</inkml:trace>
  <inkml:trace contextRef="#ctx0" brushRef="#br0" timeOffset="1264.42">873 27,'503'0,"-483"-1,1-1,34-8,-33 5,0 2,24-2,5 4,-28 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3T08:48:37.127"/>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33,'756'0,"-739"-2,2 1,28-13,26-1,-54 18,-5 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11:07:36.576"/>
    </inkml:context>
    <inkml:brush xml:id="br0">
      <inkml:brushProperty name="width" value="0.1" units="cm"/>
      <inkml:brushProperty name="height" value="0.2" units="cm"/>
      <inkml:brushProperty name="color" value="#FFFC00"/>
      <inkml:brushProperty name="tip" value="rectangle"/>
      <inkml:brushProperty name="rasterOp" value="maskPen"/>
      <inkml:brushProperty name="ignorePressure" value="1"/>
    </inkml:brush>
  </inkml:definitions>
  <inkml:trace contextRef="#ctx0" brushRef="#br0">0 25 0,'2502'-25'0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1:07:42.152"/>
    </inkml:context>
    <inkml:brush xml:id="br0">
      <inkml:brushProperty name="width" value="0.1" units="cm"/>
      <inkml:brushProperty name="height" value="0.2" units="cm"/>
      <inkml:brushProperty name="color" value="#FFFC00"/>
      <inkml:brushProperty name="tip" value="rectangle"/>
      <inkml:brushProperty name="rasterOp" value="maskPen"/>
      <inkml:brushProperty name="ignorePressure" value="1"/>
    </inkml:brush>
  </inkml:definitions>
  <inkml:trace contextRef="#ctx0" brushRef="#br0">0 64,'49'-26,"-6"1,286 13,-178 19,2481-7,-2611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1:07:45.401"/>
    </inkml:context>
    <inkml:brush xml:id="br0">
      <inkml:brushProperty name="width" value="0.1" units="cm"/>
      <inkml:brushProperty name="height" value="0.2" units="cm"/>
      <inkml:brushProperty name="color" value="#FFFC00"/>
      <inkml:brushProperty name="tip" value="rectangle"/>
      <inkml:brushProperty name="rasterOp" value="maskPen"/>
      <inkml:brushProperty name="ignorePressure" value="1"/>
    </inkml:brush>
  </inkml:definitions>
  <inkml:trace contextRef="#ctx0" brushRef="#br0">0 55,'35'0,"26"2,0-3,0-3,1-2,69-18,-85 16,0 1,0 3,1 2,82 5,-18 0,2068-3,-2152 2,55 9,21 1,-29-6,0 2,87 23,-50-9,-91-18</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1:08:01.626"/>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1 2,'67'0,"-10"-2,-1 3,102 15,-101-8,0-3,1-3,66-5,-11 1,1366 2,-1447 1,52 10,-52-5,49 1,-51-6,47 10,-47-6,49 2,41-8,-100 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11:08:07.391"/>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0 0,'2959'48'0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1:08:15.735"/>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1 0,'3656'0,"-3635"0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12T11:08:19.527"/>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1 50,'17'-1,"0"0,0-3,-1 1,29-11,40-6,6 13,147 7,-97 3,-27-4,127 3,-149 10,-58-7,53 3,-61-8,26 0,-2 2,54 8,-31-2,1-2,123-8,-62-1,1543 3,-1657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3-31T11:32:18.765"/>
    </inkml:context>
    <inkml:brush xml:id="br0">
      <inkml:brushProperty name="width" value="0.1" units="cm"/>
      <inkml:brushProperty name="height" value="0.2" units="cm"/>
      <inkml:brushProperty name="color" value="#00FDFF"/>
      <inkml:brushProperty name="tip" value="rectangle"/>
      <inkml:brushProperty name="rasterOp" value="maskPen"/>
      <inkml:brushProperty name="ignorePressure" value="1"/>
    </inkml:brush>
  </inkml:definitions>
  <inkml:trace contextRef="#ctx0" brushRef="#br0">0 1,'6'3,"-1"1,1-1,0 0,0 0,0 0,0-1,0 0,8 1,22 9,-11-1,1-1,0-1,1-2,0 0,43 4,138-3,-40-3,-153-3,1 1,-1 0,1 1,21 10,-22-8,0-1,0-1,0 0,26 3,91-6,-109-2</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E0B0511-CD72-4364-9833-081DDA16E99C}" name="Table33" displayName="Table33" ref="B2:W423" totalsRowShown="0">
  <autoFilter ref="B2:W423" xr:uid="{FE0B0511-CD72-4364-9833-081DDA16E99C}"/>
  <sortState xmlns:xlrd2="http://schemas.microsoft.com/office/spreadsheetml/2017/richdata2" ref="B3:W423">
    <sortCondition ref="C2:C423"/>
  </sortState>
  <tableColumns count="22">
    <tableColumn id="1" xr3:uid="{530E7536-425B-4612-B114-349A7A33FF66}" name="Unique ID (SM-Valuation)" dataDxfId="3"/>
    <tableColumn id="2" xr3:uid="{5FEA519A-911A-4A9B-8EE0-DBB059C6A5D6}" name="Service measure"/>
    <tableColumn id="3" xr3:uid="{F0CA65BE-8F74-4554-8DF7-1A8BBA22AD69}" name="Impact category"/>
    <tableColumn id="4" xr3:uid="{C84B4776-9C2B-409D-9DFB-0B216CB3EBE6}" name="Value metric"/>
    <tableColumn id="5" xr3:uid="{9D343972-2B50-4A61-B335-5C95D203AE44}" name="Publication year"/>
    <tableColumn id="6" xr3:uid="{6E772A14-E60D-46AE-8CCE-7D64CD47D8C1}" name="Study year"/>
    <tableColumn id="7" xr3:uid="{52B21F16-96B7-4BFC-B568-C7C7C4921102}" name="Base year"/>
    <tableColumn id="8" xr3:uid="{10686921-E1EB-4087-BD16-9CC8E095FE0A}" name="Study year deflator"/>
    <tableColumn id="9" xr3:uid="{BC0B44FE-3DD3-433A-81FC-E13C2FFE13BB}" name="Base year deflator"/>
    <tableColumn id="10" xr3:uid="{65B4480C-08E1-4F94-A35A-3D017DCDD3ED}" name="Study year price" dataDxfId="2"/>
    <tableColumn id="11" xr3:uid="{F9845943-E6BE-4FAF-AEA3-28853B4781E4}" name="Base year price" dataDxfId="1"/>
    <tableColumn id="12" xr3:uid="{A6564FCC-4395-445F-88C6-7B0CDD87BD70}" name="Valuation method"/>
    <tableColumn id="13" xr3:uid="{9E2A58CE-4867-4A09-8B27-586F642585D6}" name="Confidence score" dataDxfId="0"/>
    <tableColumn id="14" xr3:uid="{E3481009-60E1-4AFB-A686-F18BE14A6D1D}" name="Recommended"/>
    <tableColumn id="15" xr3:uid="{C97239F2-F489-4184-9C36-22AD1ADD8A9C}" name="Justification"/>
    <tableColumn id="16" xr3:uid="{BBAEC916-4EFF-4EF0-90BA-2874152D3B3A}" name="Source ID"/>
    <tableColumn id="17" xr3:uid="{93D18572-E1A2-4094-81A1-A3849CC46A93}" name="Primary source"/>
    <tableColumn id="18" xr3:uid="{27F492BA-3A65-49BA-A125-A5500F6BCB19}" name="Referenced in key database"/>
    <tableColumn id="19" xr3:uid="{11CD8E6F-2D73-42FF-8FE2-FD3F91A648C0}" name="Publication year2"/>
    <tableColumn id="20" xr3:uid="{D9C2342F-8C87-40E7-B9BB-463FE67A8CC5}" name="Location of study site - country"/>
    <tableColumn id="21" xr3:uid="{06FCF99C-4F44-4140-A134-C8DE9AB9C433}" name="Location of study site - region"/>
    <tableColumn id="22" xr3:uid="{06E84862-BD51-48EB-960D-CFCFD2D9BD8D}" name="Number of observations"/>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Arup">
      <a:dk1>
        <a:srgbClr val="000000"/>
      </a:dk1>
      <a:lt1>
        <a:srgbClr val="FFFFFF"/>
      </a:lt1>
      <a:dk2>
        <a:srgbClr val="E61E28"/>
      </a:dk2>
      <a:lt2>
        <a:srgbClr val="FFFFFF"/>
      </a:lt2>
      <a:accent1>
        <a:srgbClr val="E61E28"/>
      </a:accent1>
      <a:accent2>
        <a:srgbClr val="7D4196"/>
      </a:accent2>
      <a:accent3>
        <a:srgbClr val="005AAA"/>
      </a:accent3>
      <a:accent4>
        <a:srgbClr val="32A4A0"/>
      </a:accent4>
      <a:accent5>
        <a:srgbClr val="C83C96"/>
      </a:accent5>
      <a:accent6>
        <a:srgbClr val="4BA046"/>
      </a:accent6>
      <a:hlink>
        <a:srgbClr val="606062"/>
      </a:hlink>
      <a:folHlink>
        <a:srgbClr val="C9C9CA"/>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1">
    <wetp:webextensionref xmlns:r="http://schemas.openxmlformats.org/officeDocument/2006/relationships" r:id="rId1"/>
  </wetp:taskpane>
  <wetp:taskpane dockstate="right" visibility="0" width="350" row="5">
    <wetp:webextensionref xmlns:r="http://schemas.openxmlformats.org/officeDocument/2006/relationships" r:id="rId2"/>
  </wetp:taskpane>
</wetp:taskpanes>
</file>

<file path=xl/webextensions/webextension1.xml><?xml version="1.0" encoding="utf-8"?>
<we:webextension xmlns:we="http://schemas.microsoft.com/office/webextensions/webextension/2010/11" id="{4692B0A4-A90A-4BBD-9E56-039AC1307E61}">
  <we:reference id="919dff7a-7253-4f9d-997f-8e0132e05c0f" version="1.1.0.1" store="EXCatalog" storeType="EXCatalog"/>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ebextensions/webextension2.xml><?xml version="1.0" encoding="utf-8"?>
<we:webextension xmlns:we="http://schemas.microsoft.com/office/webextensions/webextension/2010/11" id="{AFD39EF1-947A-4759-961E-FAEBF1DA73DF}">
  <we:reference id="595cf913-d9c2-4888-8758-23443cd8d183" version="1.1.0.0" store="EXCatalog" storeType="EXCatalog"/>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VF@arup.co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ov.uk/government/publications/assess-the-impact-of-air-quality/air-quality-appraisal-damage-cost-guid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4.xml.rels><?xml version="1.0" encoding="UTF-8" standalone="yes"?>
<Relationships xmlns="http://schemas.openxmlformats.org/package/2006/relationships"><Relationship Id="rId1" Type="http://schemas.openxmlformats.org/officeDocument/2006/relationships/hyperlink" Target="https://fieldsintrust.org/insights/revaluing-parks-and-green-spaces"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3.xml.rels><?xml version="1.0" encoding="UTF-8" standalone="yes"?>
<Relationships xmlns="http://schemas.openxmlformats.org/package/2006/relationships"><Relationship Id="rId117" Type="http://schemas.openxmlformats.org/officeDocument/2006/relationships/hyperlink" Target="https://naei.energysecurity.gov.uk/sites/default/files/2024-12/NAEIPointsSources_2022_3.xlsx" TargetMode="External"/><Relationship Id="rId21" Type="http://schemas.openxmlformats.org/officeDocument/2006/relationships/hyperlink" Target="https://www.ons.gov.uk/peoplepopulationandcommunity/birthsdeathsandmarriages/families/bulletins/familiesandhouseholds/2023" TargetMode="External"/><Relationship Id="rId42" Type="http://schemas.openxmlformats.org/officeDocument/2006/relationships/hyperlink" Target="https://www.leep.exeter.ac.uk/orval/" TargetMode="External"/><Relationship Id="rId47" Type="http://schemas.openxmlformats.org/officeDocument/2006/relationships/hyperlink" Target="https://www.ons.gov.uk/economy/environmentalaccounts/bulletins/uknaturalcapitalaccounts/2023" TargetMode="External"/><Relationship Id="rId63" Type="http://schemas.openxmlformats.org/officeDocument/2006/relationships/hyperlink" Target="https://www.ofwat.gov.uk/regulated-companies/price-review/2024-price-review/final-determinations-models/" TargetMode="External"/><Relationship Id="rId68" Type="http://schemas.openxmlformats.org/officeDocument/2006/relationships/hyperlink" Target="https://www.researchgate.net/publication/362146041_Energy_Potential_of_Biogas_from_Sewage_Sludge_after_Thermal_Hydrolysis_and_Digestion" TargetMode="External"/><Relationship Id="rId84" Type="http://schemas.openxmlformats.org/officeDocument/2006/relationships/hyperlink" Target="https://www.google.com/search?q=TSGB0303&amp;rlz=1C1GCKA_enGB1091GB1091&amp;oq=TSGB0303&amp;gs_lcrp=EgZjaHJvbWUyBggAEEUYOTIKCAEQABiiBBiJBdIBBzI0NGowajeoAgCwAgA&amp;sourceid=chrome&amp;ie=UTF-8" TargetMode="External"/><Relationship Id="rId89" Type="http://schemas.openxmlformats.org/officeDocument/2006/relationships/hyperlink" Target="https://www.gov.uk/government/statistics/road-congestion-and-reliability-statistics-table-index" TargetMode="External"/><Relationship Id="rId112" Type="http://schemas.openxmlformats.org/officeDocument/2006/relationships/hyperlink" Target="https://publications.naturalengland.org.uk/publication/5419124441481216" TargetMode="External"/><Relationship Id="rId16" Type="http://schemas.openxmlformats.org/officeDocument/2006/relationships/hyperlink" Target="https://randd.defra.gov.uk/ProjectDetails?ProjectId=18679" TargetMode="External"/><Relationship Id="rId107" Type="http://schemas.openxmlformats.org/officeDocument/2006/relationships/hyperlink" Target="https://sciencesearch.defra.gov.uk/ProjectDetails?ProjectId=16992" TargetMode="External"/><Relationship Id="rId11" Type="http://schemas.openxmlformats.org/officeDocument/2006/relationships/hyperlink" Target="https://www.ons.gov.uk/peoplepopulationandcommunity/housing/bulletins/housingenglandandwales/census2021" TargetMode="External"/><Relationship Id="rId32" Type="http://schemas.openxmlformats.org/officeDocument/2006/relationships/hyperlink" Target="https://www.mcm-online.co.uk/public/level3-step3/" TargetMode="External"/><Relationship Id="rId37" Type="http://schemas.openxmlformats.org/officeDocument/2006/relationships/hyperlink" Target="https://environment.data.gov.uk/bwq/profiles/data.html" TargetMode="External"/><Relationship Id="rId53" Type="http://schemas.openxmlformats.org/officeDocument/2006/relationships/hyperlink" Target="https://www.ons.gov.uk/peoplepopulationandcommunity/birthsdeathsandmarriages/families/datasets/householdsbyhouseholdsizeregionsofenglandandukconstituentcountries" TargetMode="External"/><Relationship Id="rId58" Type="http://schemas.openxmlformats.org/officeDocument/2006/relationships/hyperlink" Target="https://iris.who.int/bitstream/handle/10665/379361/9789289058377-eng.pdf?sequence=1" TargetMode="External"/><Relationship Id="rId74" Type="http://schemas.openxmlformats.org/officeDocument/2006/relationships/hyperlink" Target="https://randd.defra.gov.uk/ProjectDetails?ProjectId=18702" TargetMode="External"/><Relationship Id="rId79" Type="http://schemas.openxmlformats.org/officeDocument/2006/relationships/hyperlink" Target="https://www.gov.uk/government/statistical-data-sets/road-traffic-statistics-tra" TargetMode="External"/><Relationship Id="rId102" Type="http://schemas.openxmlformats.org/officeDocument/2006/relationships/hyperlink" Target="https://www.ons.gov.uk/economy/economicoutputandproductivity/productivitymeasures/datasets/outputperhourworkeduk" TargetMode="External"/><Relationship Id="rId123" Type="http://schemas.openxmlformats.org/officeDocument/2006/relationships/hyperlink" Target="https://www.gov.uk/government/publications/multiple-benefits-of-nature-based-solutions-an-evidence-synthesis" TargetMode="External"/><Relationship Id="rId128" Type="http://schemas.openxmlformats.org/officeDocument/2006/relationships/hyperlink" Target="https://nic.org.uk/app/uploads/Reg-Economics-Limited-for-NIC-2018-Analysis-of-the-costs-of-water.pdf" TargetMode="External"/><Relationship Id="rId5" Type="http://schemas.openxmlformats.org/officeDocument/2006/relationships/hyperlink" Target="https://www.ons.gov.uk/economy/economicoutputandproductivity/productivitymeasures/datasets/subregionalproductivitylabourproductivitygvaperhourworkedandgvaperfilledjobindicesbycityregion" TargetMode="External"/><Relationship Id="rId90" Type="http://schemas.openxmlformats.org/officeDocument/2006/relationships/hyperlink" Target="https://www.gov.uk/government/statistical-data-sets/average-speed-delay-and-reliability-of-travel-times-cgn" TargetMode="External"/><Relationship Id="rId95" Type="http://schemas.openxmlformats.org/officeDocument/2006/relationships/hyperlink" Target="https://ahdb.org.uk/GB-fertiliser-prices" TargetMode="External"/><Relationship Id="rId22" Type="http://schemas.openxmlformats.org/officeDocument/2006/relationships/hyperlink" Target="https://www.ons.gov.uk/economy/nationalaccounts/satelliteaccounts/articles/changesinthevalueanddivisionofunpaidcareworkintheuk/2015" TargetMode="External"/><Relationship Id="rId27" Type="http://schemas.openxmlformats.org/officeDocument/2006/relationships/hyperlink" Target="https://data.cefas.co.uk/view/79" TargetMode="External"/><Relationship Id="rId43" Type="http://schemas.openxmlformats.org/officeDocument/2006/relationships/hyperlink" Target="https://www.gov.uk/government/publications/a-survey-of-freshwater-angling-in-england/a-survey-of-freshwater-angling-in-england-phase-1-summary" TargetMode="External"/><Relationship Id="rId48" Type="http://schemas.openxmlformats.org/officeDocument/2006/relationships/hyperlink" Target="https://www.ons.gov.uk/economy/environmentalaccounts/bulletins/uknaturalcapitalaccounts/2023" TargetMode="External"/><Relationship Id="rId64" Type="http://schemas.openxmlformats.org/officeDocument/2006/relationships/hyperlink" Target="https://www.discoverwater.co.uk/energy-emissions" TargetMode="External"/><Relationship Id="rId69" Type="http://schemas.openxmlformats.org/officeDocument/2006/relationships/hyperlink" Target="https://www.ofgem.gov.uk/publications/smart-export-guarantee-annual-report-april-2023-march-2024" TargetMode="External"/><Relationship Id="rId113" Type="http://schemas.openxmlformats.org/officeDocument/2006/relationships/hyperlink" Target="https://www.forestry.gov.scot/publications/665-the-social-and-environmental-benefits-of-forests-in-great-britain-main-report" TargetMode="External"/><Relationship Id="rId118" Type="http://schemas.openxmlformats.org/officeDocument/2006/relationships/hyperlink" Target="https://www.statista.com/statistics/550212/electricity-production-uk/" TargetMode="External"/><Relationship Id="rId80" Type="http://schemas.openxmlformats.org/officeDocument/2006/relationships/hyperlink" Target="https://www.gov.uk/government/statistical-data-sets/road-traffic-statistics-tra" TargetMode="External"/><Relationship Id="rId85" Type="http://schemas.openxmlformats.org/officeDocument/2006/relationships/hyperlink" Target="https://www.gov.uk/government/publications/greenhouse-gas-reporting-conversion-factors-2024" TargetMode="External"/><Relationship Id="rId12" Type="http://schemas.openxmlformats.org/officeDocument/2006/relationships/hyperlink" Target="https://www.ons.gov.uk/economy/inflationandpriceindices/datasets/housepriceindexannualtables2039" TargetMode="External"/><Relationship Id="rId17" Type="http://schemas.openxmlformats.org/officeDocument/2006/relationships/hyperlink" Target="https://www.gov.uk/government/publications/assess-the-impact-of-air-quality/air-quality-appraisal-damage-cost-guidance" TargetMode="External"/><Relationship Id="rId33" Type="http://schemas.openxmlformats.org/officeDocument/2006/relationships/hyperlink" Target="https://www.gov.uk/government/publications/mental-health-costs-of-flooding-and-erosion/mental-health-costs-of-flooding-and-erosion" TargetMode="External"/><Relationship Id="rId38" Type="http://schemas.openxmlformats.org/officeDocument/2006/relationships/hyperlink" Target="https://corporate.wessexwater.co.uk/media/wljndwg2/0101d-willingness-to-pay-research-1-accent.pdf" TargetMode="External"/><Relationship Id="rId59" Type="http://schemas.openxmlformats.org/officeDocument/2006/relationships/hyperlink" Target="https://sportengland-production-files.s3.eu-west-2.amazonaws.com/s3fs-public/2024-04/Active%20Lives%20Adult%20Survey%20November%202022-23%20Report.pdf?VersionId=veYJTP_2n55UdOmX3PAXH7dJr1GA24vs" TargetMode="External"/><Relationship Id="rId103" Type="http://schemas.openxmlformats.org/officeDocument/2006/relationships/hyperlink" Target="https://www.gov.uk/government/publications/land-value-estimates-for-policy-appraisal-2019" TargetMode="External"/><Relationship Id="rId108" Type="http://schemas.openxmlformats.org/officeDocument/2006/relationships/hyperlink" Target="https://www.forestresearch.gov.uk/publications/valuing-flood-regulation-services-of-existing-forest-cover-to-inform-natural-capital-accounts/" TargetMode="External"/><Relationship Id="rId124" Type="http://schemas.openxmlformats.org/officeDocument/2006/relationships/hyperlink" Target="https://corporate.wessexwater.co.uk/media/bvgnva4o/willingness-to-pay-outcomes-final-report-2022.pdf" TargetMode="External"/><Relationship Id="rId129" Type="http://schemas.openxmlformats.org/officeDocument/2006/relationships/hyperlink" Target="https://www.forestresearch.gov.uk/publications/quantifying-the-sustainable-forestry-carbon-cycle-report-download-page/" TargetMode="External"/><Relationship Id="rId54" Type="http://schemas.openxmlformats.org/officeDocument/2006/relationships/hyperlink" Target="https://www.anglianwater.co.uk/siteassets/household/about-us/pr19-12f-valuation-of-the-impact-of-roadworks-and-flooding-using-the-wellbeing-valuation-method.pdf" TargetMode="External"/><Relationship Id="rId70" Type="http://schemas.openxmlformats.org/officeDocument/2006/relationships/hyperlink" Target="https://utilityweek.co.uk/anglian-spreads-the-word-on-its-yield-boosting-ad-technology/" TargetMode="External"/><Relationship Id="rId75" Type="http://schemas.openxmlformats.org/officeDocument/2006/relationships/hyperlink" Target="https://www.mcm-online.co.uk/chapter-6/" TargetMode="External"/><Relationship Id="rId91" Type="http://schemas.openxmlformats.org/officeDocument/2006/relationships/hyperlink" Target="../Work/Develop/1_Common%20VF/Table%20CGN0504a%20-%20Monthly%20and%2012%20month%20rolling%20average%20delay%20compared%20to%20free%20flow%20on%20local%20%27A%27%20roads%20in%20England" TargetMode="External"/><Relationship Id="rId96" Type="http://schemas.openxmlformats.org/officeDocument/2006/relationships/hyperlink" Target="https://ahdb.org.uk/knowledge-library/rb209-section-1-principles-of-nutrient-management-and-fertiliser-use" TargetMode="External"/><Relationship Id="rId1" Type="http://schemas.openxmlformats.org/officeDocument/2006/relationships/hyperlink" Target="https://www.gov.uk/government/publications/updating-the-national-water-environment-benefit-survey-values-summary-of-the-peer-review" TargetMode="External"/><Relationship Id="rId6" Type="http://schemas.openxmlformats.org/officeDocument/2006/relationships/hyperlink" Target="https://corporate.wessexwater.co.uk/media/hx5a0fit/0101e-willingness-to-pay-research-2-accent.pdf" TargetMode="External"/><Relationship Id="rId23" Type="http://schemas.openxmlformats.org/officeDocument/2006/relationships/hyperlink" Target="https://www.ons.gov.uk/employmentandlabourmarket/peopleinwork/earningsandworkinghours/datasets/averageweeklyearningsearn01" TargetMode="External"/><Relationship Id="rId28" Type="http://schemas.openxmlformats.org/officeDocument/2006/relationships/hyperlink" Target="https://www.ons.gov.uk/economy/environmentalaccounts/bulletins/urbannaturalcapitalaccountsuk/2023" TargetMode="External"/><Relationship Id="rId49" Type="http://schemas.openxmlformats.org/officeDocument/2006/relationships/hyperlink" Target="https://www.gov.uk/government/publications/the-economic-and-social-costs-of-crime" TargetMode="External"/><Relationship Id="rId114" Type="http://schemas.openxmlformats.org/officeDocument/2006/relationships/hyperlink" Target="https://eprints.lse.ac.uk/49375/1/__lse.ac.uk_storage_LIBRARY_Secondary_libfile_shared_repository_Content_Mourato%2C%20S_Mourato_amenity_%20value_English_Mourato_amenity_value_english_2014.pdf" TargetMode="External"/><Relationship Id="rId119" Type="http://schemas.openxmlformats.org/officeDocument/2006/relationships/hyperlink" Target="https://www.gov.uk/government/statistical-data-sets/gas-and-electricity-prices-in-the-non-domestic-sector" TargetMode="External"/><Relationship Id="rId44" Type="http://schemas.openxmlformats.org/officeDocument/2006/relationships/hyperlink" Target="https://fieldsintrust.org/insights/revaluing-parks-and-green-spaces" TargetMode="External"/><Relationship Id="rId60" Type="http://schemas.openxmlformats.org/officeDocument/2006/relationships/hyperlink" Target="https://www.mcm-online.co.uk/handbook/" TargetMode="External"/><Relationship Id="rId65" Type="http://schemas.openxmlformats.org/officeDocument/2006/relationships/hyperlink" Target="https://oeservices.oxfordeconomics.com/publication/open/250836" TargetMode="External"/><Relationship Id="rId81" Type="http://schemas.openxmlformats.org/officeDocument/2006/relationships/hyperlink" Target="https://www.gov.uk/government/statistical-data-sets/road-traffic-statistics-tra" TargetMode="External"/><Relationship Id="rId86" Type="http://schemas.openxmlformats.org/officeDocument/2006/relationships/hyperlink" Target="https://www.gov.uk/government/collections/journey-time-statistics" TargetMode="External"/><Relationship Id="rId13" Type="http://schemas.openxmlformats.org/officeDocument/2006/relationships/hyperlink" Target="http://uknea.unep-wcmc.org/LinkClick.aspx?fileticket=COKihFXhPpc%3D&amp;tabid=82" TargetMode="External"/><Relationship Id="rId18" Type="http://schemas.openxmlformats.org/officeDocument/2006/relationships/hyperlink" Target="https://www.gov.uk/government/publications/green-book-supplementary-guidance-wellbeing" TargetMode="External"/><Relationship Id="rId39" Type="http://schemas.openxmlformats.org/officeDocument/2006/relationships/hyperlink" Target="https://www.ons.gov.uk/economy/environmentalaccounts/bulletins/uknaturalcapitalaccounts/2024" TargetMode="External"/><Relationship Id="rId109" Type="http://schemas.openxmlformats.org/officeDocument/2006/relationships/hyperlink" Target="https://www.ons.gov.uk/economy/environmentalaccounts/datasets/uknaturalcapitalaccounts2024detailedsummary" TargetMode="External"/><Relationship Id="rId34" Type="http://schemas.openxmlformats.org/officeDocument/2006/relationships/hyperlink" Target="https://www.gov.uk/government/publications/valuing-greenhouse-gas-emissions-in-policy-appraisal" TargetMode="External"/><Relationship Id="rId50" Type="http://schemas.openxmlformats.org/officeDocument/2006/relationships/hyperlink" Target="https://www.gov.uk/government/publications/the-economic-and-social-costs-of-crime" TargetMode="External"/><Relationship Id="rId55" Type="http://schemas.openxmlformats.org/officeDocument/2006/relationships/hyperlink" Target="https://www.gov.uk/government/statistics/cyber-security-breaches-survey-2022/cyber-security-breaches-survey-2022" TargetMode="External"/><Relationship Id="rId76" Type="http://schemas.openxmlformats.org/officeDocument/2006/relationships/hyperlink" Target="https://www.gov.uk/government/statistical-data-sets/average-speed-delay-and-reliability-of-travel-times-cgn" TargetMode="External"/><Relationship Id="rId97" Type="http://schemas.openxmlformats.org/officeDocument/2006/relationships/hyperlink" Target="https://pubs.acs.org/doi/10.1021/acs.est.0c00364" TargetMode="External"/><Relationship Id="rId104" Type="http://schemas.openxmlformats.org/officeDocument/2006/relationships/hyperlink" Target="https://www.ofwat.gov.uk/regulated-companies/price-review/2024-price-review/final-determinations-models/" TargetMode="External"/><Relationship Id="rId120" Type="http://schemas.openxmlformats.org/officeDocument/2006/relationships/hyperlink" Target="https://geoportal.statistics.gov.uk/datasets/ons::standard-area-measurements-for-administrative-areas-december-2023-in-the-uk/about" TargetMode="External"/><Relationship Id="rId125" Type="http://schemas.openxmlformats.org/officeDocument/2006/relationships/hyperlink" Target="https://www.ofwat.gov.uk/wp-content/uploads/2017/12/20171129-Incidents-and-their-classification-the-Common-Incident-Classification-Scheme-CICS-23.09.16.pdf" TargetMode="External"/><Relationship Id="rId7" Type="http://schemas.openxmlformats.org/officeDocument/2006/relationships/hyperlink" Target="https://www.hdcymru.co.uk/content/dam/hdcymru/about-us/pr19/updated-plan/2.8-willingness-to-pay.pdf" TargetMode="External"/><Relationship Id="rId71" Type="http://schemas.openxmlformats.org/officeDocument/2006/relationships/hyperlink" Target="https://conferences.aquaenviro.co.uk/wp-content/uploads/sites/7/2017/03/Michael-Theodoulou.pdf" TargetMode="External"/><Relationship Id="rId92" Type="http://schemas.openxmlformats.org/officeDocument/2006/relationships/hyperlink" Target="https://www.wrap.ngo/resources/report/uk-gate-fees-report-2023-24" TargetMode="External"/><Relationship Id="rId2" Type="http://schemas.openxmlformats.org/officeDocument/2006/relationships/hyperlink" Target="https://www.gov.uk/guidance/enabling-a-natural-capital-approach-enca" TargetMode="External"/><Relationship Id="rId29" Type="http://schemas.openxmlformats.org/officeDocument/2006/relationships/hyperlink" Target="https://www.gov.uk/government/statistics/dwelling-stock-estimates-in-england-2022/dwelling-stock-estimates-england-31-march-2022" TargetMode="External"/><Relationship Id="rId24" Type="http://schemas.openxmlformats.org/officeDocument/2006/relationships/hyperlink" Target="https://assets.publishing.service.gov.uk/media/6645c709bd01f5ed32793cbc/Green_Book_2022__updated_links_.pdf" TargetMode="External"/><Relationship Id="rId40" Type="http://schemas.openxmlformats.org/officeDocument/2006/relationships/hyperlink" Target="https://assets.publishing.service.gov.uk/media/5a7cbfd4e5274a38e5756843/scho0708bofv-e-e.pdf" TargetMode="External"/><Relationship Id="rId45" Type="http://schemas.openxmlformats.org/officeDocument/2006/relationships/hyperlink" Target="https://www.ofwat.gov.uk/regulated-companies/price-review/2024-price-review/final-determinations-models/" TargetMode="External"/><Relationship Id="rId66" Type="http://schemas.openxmlformats.org/officeDocument/2006/relationships/hyperlink" Target="https://www.thameswater.co.uk/media-library/home/about-us/regulation/our-five-year-plan/pr24-2023/water-quality-lead.pdf" TargetMode="External"/><Relationship Id="rId87" Type="http://schemas.openxmlformats.org/officeDocument/2006/relationships/hyperlink" Target="https://assets.publishing.service.gov.uk/media/61b77ef0d3bf7f055fce74d8/cgn0403.ods" TargetMode="External"/><Relationship Id="rId110" Type="http://schemas.openxmlformats.org/officeDocument/2006/relationships/hyperlink" Target="https://www.cbd.int/financial/values/uk-bapvalue.pdf" TargetMode="External"/><Relationship Id="rId115" Type="http://schemas.openxmlformats.org/officeDocument/2006/relationships/hyperlink" Target="https://www.gov.uk/government/statistics/land-use-change-statistics-2021-to-2022/land-use-change-statistics-new-residential-addresses-2021-to-2022" TargetMode="External"/><Relationship Id="rId61" Type="http://schemas.openxmlformats.org/officeDocument/2006/relationships/hyperlink" Target="https://www.gov.uk/government/statistics/non-domestic-rating-stock-of-properties-including-business-floorspace-2023" TargetMode="External"/><Relationship Id="rId82" Type="http://schemas.openxmlformats.org/officeDocument/2006/relationships/hyperlink" Target="https://www.gov.uk/government/publications/tag-data-book" TargetMode="External"/><Relationship Id="rId19" Type="http://schemas.openxmlformats.org/officeDocument/2006/relationships/hyperlink" Target="https://www.hse.gov.uk/statistics/economics/eauappraisal.htm" TargetMode="External"/><Relationship Id="rId14" Type="http://schemas.openxmlformats.org/officeDocument/2006/relationships/hyperlink" Target="https://www.ofwat.gov.uk/wp-content/uploads/2023/08/3524m_FinalReport_v3.pdf" TargetMode="External"/><Relationship Id="rId30" Type="http://schemas.openxmlformats.org/officeDocument/2006/relationships/hyperlink" Target="https://www.gov.uk/guidance/noise-pollution-economic-analysis" TargetMode="External"/><Relationship Id="rId35" Type="http://schemas.openxmlformats.org/officeDocument/2006/relationships/hyperlink" Target="https://pubs.acs.org/doi/epdf/10.1021/acs.est.0c03066?ref=article_openPDF" TargetMode="External"/><Relationship Id="rId56" Type="http://schemas.openxmlformats.org/officeDocument/2006/relationships/hyperlink" Target="https://www.gov.uk/government/publications/mental-health-costs-of-flooding-and-erosion/mental-health-costs-of-flooding-and-erosion" TargetMode="External"/><Relationship Id="rId77" Type="http://schemas.openxmlformats.org/officeDocument/2006/relationships/hyperlink" Target="../Work/Develop/1_Common%20VF/Table%20CGN0404%20-%20Average%20speed%20on%20the%20Strategic%20Road%20Network%20in%20England:%20Monthly%20and%20Year%20ending%20from%20April%202015" TargetMode="External"/><Relationship Id="rId100" Type="http://schemas.openxmlformats.org/officeDocument/2006/relationships/hyperlink" Target="https://www.irena.org/Data/View-data-by-topic/Climate-Change/Avoided-Emissions-Calculator" TargetMode="External"/><Relationship Id="rId105" Type="http://schemas.openxmlformats.org/officeDocument/2006/relationships/hyperlink" Target="https://assets.publishing.service.gov.uk/government/uploads/system/uploads/attachment_data/file/1030980/storm-overflows-evidence-project.pdf" TargetMode="External"/><Relationship Id="rId126" Type="http://schemas.openxmlformats.org/officeDocument/2006/relationships/hyperlink" Target="https://www.unitedutilities.com/globalassets/z_corporate-site/pr19/supplementary/s3004_customer_research_triangulation.pdf" TargetMode="External"/><Relationship Id="rId8" Type="http://schemas.openxmlformats.org/officeDocument/2006/relationships/hyperlink" Target="https://www.anglianwater.co.uk/siteassets/household/about-us/pr19-12h-valuation-completion-report.pdf" TargetMode="External"/><Relationship Id="rId51" Type="http://schemas.openxmlformats.org/officeDocument/2006/relationships/hyperlink" Target="https://www.gov.uk/government/publications/carbon-valuation-in-uk-policy-appraisal-a-revised-approach" TargetMode="External"/><Relationship Id="rId72" Type="http://schemas.openxmlformats.org/officeDocument/2006/relationships/hyperlink" Target="https://solentforum.org/services/Information_Hubs/Natural_capital/ENV6003066R_Solent%20Natural_Capital_Project_(Final%20Report).pdf" TargetMode="External"/><Relationship Id="rId93" Type="http://schemas.openxmlformats.org/officeDocument/2006/relationships/hyperlink" Target="https://pure.manchester.ac.uk/ws/files/76760751/LCC_of_advanced_treatment_options_and_sludge.pdf" TargetMode="External"/><Relationship Id="rId98" Type="http://schemas.openxmlformats.org/officeDocument/2006/relationships/hyperlink" Target="https://fwr.org/publication/sewage-sludge-operational-and-environmental-issues/" TargetMode="External"/><Relationship Id="rId121" Type="http://schemas.openxmlformats.org/officeDocument/2006/relationships/hyperlink" Target="https://www.gov.uk/government/publications/developing-the-environmental-resilience-and-flood-risk-actions-for-the-price-review-2024/water-industry-national-environment-programme-winep-methodology" TargetMode="External"/><Relationship Id="rId3" Type="http://schemas.openxmlformats.org/officeDocument/2006/relationships/hyperlink" Target="https://www.susdrain.org/resources/best.html" TargetMode="External"/><Relationship Id="rId25" Type="http://schemas.openxmlformats.org/officeDocument/2006/relationships/hyperlink" Target="https://www.gov.scot/publications/value-bathing-waters-influence-bathing-water-quality-final-research-report/pages/8/" TargetMode="External"/><Relationship Id="rId46" Type="http://schemas.openxmlformats.org/officeDocument/2006/relationships/hyperlink" Target="https://naturalresources.wales/media/688821/wales-bathing-water-report-2018.pdf" TargetMode="External"/><Relationship Id="rId67" Type="http://schemas.openxmlformats.org/officeDocument/2006/relationships/hyperlink" Target="https://www.ons.gov.uk/economy/environmentalaccounts/datasets/uknaturalcapitalaccounts2024" TargetMode="External"/><Relationship Id="rId116" Type="http://schemas.openxmlformats.org/officeDocument/2006/relationships/hyperlink" Target="https://www.london.gov.uk/sites/default/files/gla_migrate_files_destination/GLAE-wp-42.pdf" TargetMode="External"/><Relationship Id="rId20" Type="http://schemas.openxmlformats.org/officeDocument/2006/relationships/hyperlink" Target="https://www.mcm-online.co.uk/handbook/" TargetMode="External"/><Relationship Id="rId41" Type="http://schemas.openxmlformats.org/officeDocument/2006/relationships/hyperlink" Target="https://www.google.com/url?sa=t&amp;rct=j&amp;q=&amp;esrc=s&amp;source=web&amp;cd=&amp;ved=2ahUKEwjsx6va652LAxUoTUEAHbnuMAAQFnoECBUQAQ&amp;url=https%3A%2F%2Fwww.ons.gov.uk%2Ffile%3Furi%3D%2Fpeoplepopulationandcommunity%2Fbirthsdeathsandmarriages%2Ffamilies%2Fdatasets%2Fhouseholdsbyhouseholdsizeregionsofenglandandgbconstituentcountries%2F2023%2Fhouseholdsizebyregionscountries2023.xlsx&amp;usg=AOvVaw0FyhP5G-TXxx2rcXaCnuX3&amp;opi=89978449" TargetMode="External"/><Relationship Id="rId62" Type="http://schemas.openxmlformats.org/officeDocument/2006/relationships/hyperlink" Target="https://naturalresources.wales/media/696486/wales-bathing-water-report-2022-final.pdf" TargetMode="External"/><Relationship Id="rId83" Type="http://schemas.openxmlformats.org/officeDocument/2006/relationships/hyperlink" Target="https://www.gov.uk/government/publications/valuation-of-energy-use-and-greenhouse-gas-emissions-for-appraisal" TargetMode="External"/><Relationship Id="rId88" Type="http://schemas.openxmlformats.org/officeDocument/2006/relationships/hyperlink" Target="https://assets.publishing.service.gov.uk/media/61b77f21e90e070449d49f75/cgn0502.ods" TargetMode="External"/><Relationship Id="rId111" Type="http://schemas.openxmlformats.org/officeDocument/2006/relationships/hyperlink" Target="https://www.iucn-uk-peatlandprogramme.org/sites/default/files/2023-03/FieldProtocol_%20v2_clean_0.pdf" TargetMode="External"/><Relationship Id="rId15" Type="http://schemas.openxmlformats.org/officeDocument/2006/relationships/hyperlink" Target="https://www.ofwat.gov.uk/wp-content/uploads/2023/08/PR24-Using-collaborative-customer-research-to-set-outcome-delivery-incentive-rates-.pdf" TargetMode="External"/><Relationship Id="rId36" Type="http://schemas.openxmlformats.org/officeDocument/2006/relationships/hyperlink" Target="https://www.ons.gov.uk/economy/nationalaccounts/balanceofpayments/timeseries/auss/diop" TargetMode="External"/><Relationship Id="rId57" Type="http://schemas.openxmlformats.org/officeDocument/2006/relationships/hyperlink" Target="https://www.heatwalkingcycling.org/?&amp;heat_locale=en-US&amp;heat_lang=en" TargetMode="External"/><Relationship Id="rId106" Type="http://schemas.openxmlformats.org/officeDocument/2006/relationships/hyperlink" Target="http://uknea.unep-wcmc.org/LinkClick.aspx?fileticket=lVLEq%2bxAI%2bQ%3d&amp;tabid=82" TargetMode="External"/><Relationship Id="rId127" Type="http://schemas.openxmlformats.org/officeDocument/2006/relationships/hyperlink" Target="https://biodiversity-units.uk/news-insights/key-insights-from-biodiversity-units-uks-october-2024-pricing-report" TargetMode="External"/><Relationship Id="rId10" Type="http://schemas.openxmlformats.org/officeDocument/2006/relationships/hyperlink" Target="https://books.google.co.uk/books/about/Urban_Parks_Open_Space_and_Residential_P.html?id=LJoMMAAACAAJ&amp;redir_esc=y" TargetMode="External"/><Relationship Id="rId31" Type="http://schemas.openxmlformats.org/officeDocument/2006/relationships/hyperlink" Target="https://www.theccc.org.uk/publication/impacts-of-climate-change-on-meeting-government-outcomes-in-england-paul-watkiss-associates/" TargetMode="External"/><Relationship Id="rId52" Type="http://schemas.openxmlformats.org/officeDocument/2006/relationships/hyperlink" Target="https://www.gov.uk/government/statistics/non-domestic-rating-stock-of-properties-2020" TargetMode="External"/><Relationship Id="rId73" Type="http://schemas.openxmlformats.org/officeDocument/2006/relationships/hyperlink" Target="https://www.seafish.org/about-us/news-blogs/the-environmental-and-economic-benefits-of-bivalve-aquaculture-in-the-uk/" TargetMode="External"/><Relationship Id="rId78" Type="http://schemas.openxmlformats.org/officeDocument/2006/relationships/hyperlink" Target="https://www.sciencedirect.com/science/article/abs/pii/S0921800912003680" TargetMode="External"/><Relationship Id="rId94" Type="http://schemas.openxmlformats.org/officeDocument/2006/relationships/hyperlink" Target="https://ahdb.org.uk/knowledge-library/rb209-section-2-organic-materials" TargetMode="External"/><Relationship Id="rId99" Type="http://schemas.openxmlformats.org/officeDocument/2006/relationships/hyperlink" Target="https://hal.science/hal-00781673/document" TargetMode="External"/><Relationship Id="rId101" Type="http://schemas.openxmlformats.org/officeDocument/2006/relationships/hyperlink" Target="https://www.sciencedirect.com/science/article/pii/S1018363917300363" TargetMode="External"/><Relationship Id="rId122" Type="http://schemas.openxmlformats.org/officeDocument/2006/relationships/hyperlink" Target="https://randd.defra.gov.uk/ProjectDetails?ProjectID=20608" TargetMode="External"/><Relationship Id="rId4" Type="http://schemas.openxmlformats.org/officeDocument/2006/relationships/hyperlink" Target="https://www.voced.edu.au/content/ngv:91831" TargetMode="External"/><Relationship Id="rId9" Type="http://schemas.openxmlformats.org/officeDocument/2006/relationships/hyperlink" Target="https://register-of-charities.charitycommission.gov.uk/en/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8360025&amp;_uk_gov_ccew_onereg_charitydetails_web_portlet_CharityDetailsPortlet_priv_r_p_mvcRenderCommandName=%2Faccounts-and-annual-returns&amp;_uk_gov_ccew_onereg_charitydetails_web_portlet_CharityDetailsPortlet_priv_r_p_organisationNumber=5064537" TargetMode="External"/><Relationship Id="rId26" Type="http://schemas.openxmlformats.org/officeDocument/2006/relationships/hyperlink" Target="https://www.gov.uk/government/statistics/uk-sea-fisheries-annual-statistics-report-2023" TargetMode="External"/></Relationships>
</file>

<file path=xl/worksheets/_rels/sheet5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6.xml.rels><?xml version="1.0" encoding="UTF-8" standalone="yes"?>
<Relationships xmlns="http://schemas.openxmlformats.org/package/2006/relationships"><Relationship Id="rId8" Type="http://schemas.openxmlformats.org/officeDocument/2006/relationships/hyperlink" Target="https://www.ons.gov.uk/file?uri=/economy/grossdomesticproductgdp/datasets/uksecondestimateofgdpdatatables/quarter1jantomar2024quarterlynationalaccounts/quarterlynationalaccountsdatatables.xlsx" TargetMode="External"/><Relationship Id="rId3" Type="http://schemas.openxmlformats.org/officeDocument/2006/relationships/hyperlink" Target="https://obr.uk/efo/economic-and-fiscal-outlook-march-2024/" TargetMode="External"/><Relationship Id="rId7" Type="http://schemas.openxmlformats.org/officeDocument/2006/relationships/hyperlink" Target="https://www.ons.gov.uk/file?uri=/economy/grossdomesticproductgdp/datasets/uksecondestimateofgdpdatatables/quarter1jantomar2024quarterlynationalaccounts/quarterlynationalaccountsdatatables.xlsx" TargetMode="External"/><Relationship Id="rId2" Type="http://schemas.openxmlformats.org/officeDocument/2006/relationships/hyperlink" Target="https://www.gov.uk/government/publications/gross-domestic-product-gdp-deflators-user-guide" TargetMode="External"/><Relationship Id="rId1" Type="http://schemas.openxmlformats.org/officeDocument/2006/relationships/hyperlink" Target="https://www.gov.uk/government/publications/how-to-use-the-gdp-deflator-series-practical-examples" TargetMode="External"/><Relationship Id="rId6" Type="http://schemas.openxmlformats.org/officeDocument/2006/relationships/hyperlink" Target="https://www.ons.gov.uk/file?uri=/economy/grossdomesticproductgdp/datasets/uksecondestimateofgdpdatatables/quarter1jantomar2024quarterlynationalaccounts/quarterlynationalaccountsdatatables.xlsx" TargetMode="External"/><Relationship Id="rId5" Type="http://schemas.openxmlformats.org/officeDocument/2006/relationships/hyperlink" Target="https://www.ons.gov.uk/file?uri=/economy/grossdomesticproductgdp/datasets/uksecondestimateofgdpdatatables/quarter1jantomar2024quarterlynationalaccounts/quarterlynationalaccountsdatatables.xlsx" TargetMode="External"/><Relationship Id="rId4" Type="http://schemas.openxmlformats.org/officeDocument/2006/relationships/hyperlink" Target="https://obr.uk/efo/economic-and-fiscal-outlook-march-2024/" TargetMode="Externa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18A05-A029-47C0-9A22-45A6ECDE25DD}">
  <sheetPr>
    <tabColor rgb="FF002060"/>
  </sheetPr>
  <dimension ref="B1:AA63"/>
  <sheetViews>
    <sheetView tabSelected="1" zoomScaleNormal="100" workbookViewId="0">
      <selection activeCell="X30" sqref="X30"/>
    </sheetView>
  </sheetViews>
  <sheetFormatPr defaultColWidth="8.625" defaultRowHeight="14.45"/>
  <cols>
    <col min="1" max="1" width="2.625" style="2" customWidth="1"/>
    <col min="2" max="14" width="8.625" style="2"/>
    <col min="15" max="15" width="4.75" style="2" customWidth="1"/>
    <col min="16" max="16384" width="8.625" style="2"/>
  </cols>
  <sheetData>
    <row r="1" spans="2:23" s="3" customFormat="1" ht="30.95">
      <c r="B1" s="658" t="s">
        <v>0</v>
      </c>
      <c r="D1" s="24"/>
    </row>
    <row r="2" spans="2:23" s="3" customFormat="1" ht="15" thickBot="1">
      <c r="B2" s="660"/>
      <c r="D2" s="24"/>
    </row>
    <row r="3" spans="2:23" s="3" customFormat="1" ht="18.600000000000001">
      <c r="B3" s="822" t="s">
        <v>1</v>
      </c>
      <c r="C3" s="823"/>
      <c r="D3" s="823"/>
      <c r="E3" s="823"/>
      <c r="F3" s="823"/>
      <c r="G3" s="823"/>
      <c r="H3" s="823"/>
      <c r="I3" s="823"/>
      <c r="J3" s="823"/>
      <c r="K3" s="823"/>
      <c r="L3" s="823"/>
      <c r="M3" s="823"/>
      <c r="N3" s="841"/>
      <c r="P3" s="822" t="s">
        <v>2</v>
      </c>
      <c r="Q3" s="842"/>
      <c r="R3" s="843"/>
      <c r="S3" s="841"/>
    </row>
    <row r="4" spans="2:23" s="3" customFormat="1" ht="15.95">
      <c r="B4" s="1015" t="s">
        <v>3</v>
      </c>
      <c r="C4" s="1016"/>
      <c r="D4" s="1016"/>
      <c r="E4" s="1016"/>
      <c r="F4" s="1016"/>
      <c r="G4" s="1016"/>
      <c r="H4" s="1016"/>
      <c r="I4" s="1016"/>
      <c r="J4" s="1016"/>
      <c r="K4" s="1016"/>
      <c r="L4" s="1016"/>
      <c r="M4" s="1016"/>
      <c r="N4" s="1017"/>
      <c r="P4" s="844" t="s">
        <v>4</v>
      </c>
      <c r="R4" s="24"/>
      <c r="S4" s="845"/>
    </row>
    <row r="5" spans="2:23" s="3" customFormat="1" ht="16.5" thickBot="1">
      <c r="B5" s="1015"/>
      <c r="C5" s="1016"/>
      <c r="D5" s="1016"/>
      <c r="E5" s="1016"/>
      <c r="F5" s="1016"/>
      <c r="G5" s="1016"/>
      <c r="H5" s="1016"/>
      <c r="I5" s="1016"/>
      <c r="J5" s="1016"/>
      <c r="K5" s="1016"/>
      <c r="L5" s="1016"/>
      <c r="M5" s="1016"/>
      <c r="N5" s="1017"/>
      <c r="P5" s="846" t="s">
        <v>5</v>
      </c>
      <c r="Q5" s="847"/>
      <c r="R5" s="848"/>
      <c r="S5" s="849"/>
    </row>
    <row r="6" spans="2:23" s="3" customFormat="1" ht="15" thickBot="1">
      <c r="B6" s="1015"/>
      <c r="C6" s="1016"/>
      <c r="D6" s="1016"/>
      <c r="E6" s="1016"/>
      <c r="F6" s="1016"/>
      <c r="G6" s="1016"/>
      <c r="H6" s="1016"/>
      <c r="I6" s="1016"/>
      <c r="J6" s="1016"/>
      <c r="K6" s="1016"/>
      <c r="L6" s="1016"/>
      <c r="M6" s="1016"/>
      <c r="N6" s="1017"/>
    </row>
    <row r="7" spans="2:23" s="3" customFormat="1" ht="18.600000000000001">
      <c r="B7" s="1015"/>
      <c r="C7" s="1016"/>
      <c r="D7" s="1016"/>
      <c r="E7" s="1016"/>
      <c r="F7" s="1016"/>
      <c r="G7" s="1016"/>
      <c r="H7" s="1016"/>
      <c r="I7" s="1016"/>
      <c r="J7" s="1016"/>
      <c r="K7" s="1016"/>
      <c r="L7" s="1016"/>
      <c r="M7" s="1016"/>
      <c r="N7" s="1017"/>
      <c r="P7" s="822" t="s">
        <v>6</v>
      </c>
      <c r="Q7" s="842"/>
      <c r="R7" s="842"/>
      <c r="S7" s="842"/>
      <c r="T7" s="842"/>
      <c r="U7" s="842"/>
      <c r="V7" s="842"/>
      <c r="W7" s="841"/>
    </row>
    <row r="8" spans="2:23" s="3" customFormat="1" ht="15" customHeight="1">
      <c r="B8" s="1015"/>
      <c r="C8" s="1016"/>
      <c r="D8" s="1016"/>
      <c r="E8" s="1016"/>
      <c r="F8" s="1016"/>
      <c r="G8" s="1016"/>
      <c r="H8" s="1016"/>
      <c r="I8" s="1016"/>
      <c r="J8" s="1016"/>
      <c r="K8" s="1016"/>
      <c r="L8" s="1016"/>
      <c r="M8" s="1016"/>
      <c r="N8" s="1017"/>
      <c r="P8" s="1007" t="s">
        <v>7</v>
      </c>
      <c r="Q8" s="1008"/>
      <c r="R8" s="1008"/>
      <c r="S8" s="1008"/>
      <c r="T8" s="1008"/>
      <c r="U8" s="1008"/>
      <c r="V8" s="1008"/>
      <c r="W8" s="1009"/>
    </row>
    <row r="9" spans="2:23" s="3" customFormat="1" ht="15" customHeight="1">
      <c r="B9" s="1015"/>
      <c r="C9" s="1016"/>
      <c r="D9" s="1016"/>
      <c r="E9" s="1016"/>
      <c r="F9" s="1016"/>
      <c r="G9" s="1016"/>
      <c r="H9" s="1016"/>
      <c r="I9" s="1016"/>
      <c r="J9" s="1016"/>
      <c r="K9" s="1016"/>
      <c r="L9" s="1016"/>
      <c r="M9" s="1016"/>
      <c r="N9" s="1017"/>
      <c r="P9" s="1007"/>
      <c r="Q9" s="1008"/>
      <c r="R9" s="1008"/>
      <c r="S9" s="1008"/>
      <c r="T9" s="1008"/>
      <c r="U9" s="1008"/>
      <c r="V9" s="1008"/>
      <c r="W9" s="1009"/>
    </row>
    <row r="10" spans="2:23" s="3" customFormat="1" ht="15" customHeight="1">
      <c r="B10" s="1015"/>
      <c r="C10" s="1016"/>
      <c r="D10" s="1016"/>
      <c r="E10" s="1016"/>
      <c r="F10" s="1016"/>
      <c r="G10" s="1016"/>
      <c r="H10" s="1016"/>
      <c r="I10" s="1016"/>
      <c r="J10" s="1016"/>
      <c r="K10" s="1016"/>
      <c r="L10" s="1016"/>
      <c r="M10" s="1016"/>
      <c r="N10" s="1017"/>
      <c r="P10" s="1007"/>
      <c r="Q10" s="1008"/>
      <c r="R10" s="1008"/>
      <c r="S10" s="1008"/>
      <c r="T10" s="1008"/>
      <c r="U10" s="1008"/>
      <c r="V10" s="1008"/>
      <c r="W10" s="1009"/>
    </row>
    <row r="11" spans="2:23" s="3" customFormat="1" ht="15" customHeight="1">
      <c r="B11" s="1015"/>
      <c r="C11" s="1016"/>
      <c r="D11" s="1016"/>
      <c r="E11" s="1016"/>
      <c r="F11" s="1016"/>
      <c r="G11" s="1016"/>
      <c r="H11" s="1016"/>
      <c r="I11" s="1016"/>
      <c r="J11" s="1016"/>
      <c r="K11" s="1016"/>
      <c r="L11" s="1016"/>
      <c r="M11" s="1016"/>
      <c r="N11" s="1017"/>
      <c r="P11" s="1007"/>
      <c r="Q11" s="1008"/>
      <c r="R11" s="1008"/>
      <c r="S11" s="1008"/>
      <c r="T11" s="1008"/>
      <c r="U11" s="1008"/>
      <c r="V11" s="1008"/>
      <c r="W11" s="1009"/>
    </row>
    <row r="12" spans="2:23" s="3" customFormat="1" ht="15" customHeight="1">
      <c r="B12" s="1015"/>
      <c r="C12" s="1016"/>
      <c r="D12" s="1016"/>
      <c r="E12" s="1016"/>
      <c r="F12" s="1016"/>
      <c r="G12" s="1016"/>
      <c r="H12" s="1016"/>
      <c r="I12" s="1016"/>
      <c r="J12" s="1016"/>
      <c r="K12" s="1016"/>
      <c r="L12" s="1016"/>
      <c r="M12" s="1016"/>
      <c r="N12" s="1017"/>
      <c r="P12" s="1007"/>
      <c r="Q12" s="1008"/>
      <c r="R12" s="1008"/>
      <c r="S12" s="1008"/>
      <c r="T12" s="1008"/>
      <c r="U12" s="1008"/>
      <c r="V12" s="1008"/>
      <c r="W12" s="1009"/>
    </row>
    <row r="13" spans="2:23" s="3" customFormat="1" ht="15" thickBot="1">
      <c r="B13" s="1018"/>
      <c r="C13" s="1019"/>
      <c r="D13" s="1019"/>
      <c r="E13" s="1019"/>
      <c r="F13" s="1019"/>
      <c r="G13" s="1019"/>
      <c r="H13" s="1019"/>
      <c r="I13" s="1019"/>
      <c r="J13" s="1019"/>
      <c r="K13" s="1019"/>
      <c r="L13" s="1019"/>
      <c r="M13" s="1019"/>
      <c r="N13" s="1020"/>
      <c r="P13" s="1007"/>
      <c r="Q13" s="1008"/>
      <c r="R13" s="1008"/>
      <c r="S13" s="1008"/>
      <c r="T13" s="1008"/>
      <c r="U13" s="1008"/>
      <c r="V13" s="1008"/>
      <c r="W13" s="1009"/>
    </row>
    <row r="14" spans="2:23" s="3" customFormat="1" ht="15" thickBot="1">
      <c r="P14" s="1007"/>
      <c r="Q14" s="1008"/>
      <c r="R14" s="1008"/>
      <c r="S14" s="1008"/>
      <c r="T14" s="1008"/>
      <c r="U14" s="1008"/>
      <c r="V14" s="1008"/>
      <c r="W14" s="1009"/>
    </row>
    <row r="15" spans="2:23" s="3" customFormat="1" ht="18.600000000000001">
      <c r="B15" s="822" t="s">
        <v>8</v>
      </c>
      <c r="C15" s="842"/>
      <c r="D15" s="842"/>
      <c r="E15" s="842"/>
      <c r="F15" s="842"/>
      <c r="G15" s="842"/>
      <c r="H15" s="842"/>
      <c r="I15" s="842"/>
      <c r="J15" s="842"/>
      <c r="K15" s="842"/>
      <c r="L15" s="842"/>
      <c r="M15" s="842"/>
      <c r="N15" s="841"/>
      <c r="P15" s="1007"/>
      <c r="Q15" s="1008"/>
      <c r="R15" s="1008"/>
      <c r="S15" s="1008"/>
      <c r="T15" s="1008"/>
      <c r="U15" s="1008"/>
      <c r="V15" s="1008"/>
      <c r="W15" s="1009"/>
    </row>
    <row r="16" spans="2:23" s="3" customFormat="1" ht="15" customHeight="1">
      <c r="B16" s="1007" t="s">
        <v>9</v>
      </c>
      <c r="C16" s="1008"/>
      <c r="D16" s="1008"/>
      <c r="E16" s="1008"/>
      <c r="F16" s="1008"/>
      <c r="G16" s="1008"/>
      <c r="H16" s="1008"/>
      <c r="I16" s="1008"/>
      <c r="J16" s="1008"/>
      <c r="K16" s="1008"/>
      <c r="L16" s="1008"/>
      <c r="M16" s="1008"/>
      <c r="N16" s="1009"/>
      <c r="P16" s="1007"/>
      <c r="Q16" s="1008"/>
      <c r="R16" s="1008"/>
      <c r="S16" s="1008"/>
      <c r="T16" s="1008"/>
      <c r="U16" s="1008"/>
      <c r="V16" s="1008"/>
      <c r="W16" s="1009"/>
    </row>
    <row r="17" spans="2:27" s="3" customFormat="1" ht="15" customHeight="1">
      <c r="B17" s="1007"/>
      <c r="C17" s="1008"/>
      <c r="D17" s="1008"/>
      <c r="E17" s="1008"/>
      <c r="F17" s="1008"/>
      <c r="G17" s="1008"/>
      <c r="H17" s="1008"/>
      <c r="I17" s="1008"/>
      <c r="J17" s="1008"/>
      <c r="K17" s="1008"/>
      <c r="L17" s="1008"/>
      <c r="M17" s="1008"/>
      <c r="N17" s="1009"/>
      <c r="P17" s="1007"/>
      <c r="Q17" s="1008"/>
      <c r="R17" s="1008"/>
      <c r="S17" s="1008"/>
      <c r="T17" s="1008"/>
      <c r="U17" s="1008"/>
      <c r="V17" s="1008"/>
      <c r="W17" s="1009"/>
    </row>
    <row r="18" spans="2:27" s="3" customFormat="1" ht="15" customHeight="1">
      <c r="B18" s="1007"/>
      <c r="C18" s="1008"/>
      <c r="D18" s="1008"/>
      <c r="E18" s="1008"/>
      <c r="F18" s="1008"/>
      <c r="G18" s="1008"/>
      <c r="H18" s="1008"/>
      <c r="I18" s="1008"/>
      <c r="J18" s="1008"/>
      <c r="K18" s="1008"/>
      <c r="L18" s="1008"/>
      <c r="M18" s="1008"/>
      <c r="N18" s="1009"/>
      <c r="P18" s="1007"/>
      <c r="Q18" s="1008"/>
      <c r="R18" s="1008"/>
      <c r="S18" s="1008"/>
      <c r="T18" s="1008"/>
      <c r="U18" s="1008"/>
      <c r="V18" s="1008"/>
      <c r="W18" s="1009"/>
    </row>
    <row r="19" spans="2:27" ht="15" customHeight="1">
      <c r="B19" s="1007"/>
      <c r="C19" s="1008"/>
      <c r="D19" s="1008"/>
      <c r="E19" s="1008"/>
      <c r="F19" s="1008"/>
      <c r="G19" s="1008"/>
      <c r="H19" s="1008"/>
      <c r="I19" s="1008"/>
      <c r="J19" s="1008"/>
      <c r="K19" s="1008"/>
      <c r="L19" s="1008"/>
      <c r="M19" s="1008"/>
      <c r="N19" s="1009"/>
      <c r="P19" s="1007"/>
      <c r="Q19" s="1008"/>
      <c r="R19" s="1008"/>
      <c r="S19" s="1008"/>
      <c r="T19" s="1008"/>
      <c r="U19" s="1008"/>
      <c r="V19" s="1008"/>
      <c r="W19" s="1009"/>
      <c r="X19" s="3"/>
      <c r="Y19" s="3"/>
      <c r="Z19" s="3"/>
      <c r="AA19" s="3"/>
    </row>
    <row r="20" spans="2:27" ht="15" customHeight="1">
      <c r="B20" s="1007"/>
      <c r="C20" s="1008"/>
      <c r="D20" s="1008"/>
      <c r="E20" s="1008"/>
      <c r="F20" s="1008"/>
      <c r="G20" s="1008"/>
      <c r="H20" s="1008"/>
      <c r="I20" s="1008"/>
      <c r="J20" s="1008"/>
      <c r="K20" s="1008"/>
      <c r="L20" s="1008"/>
      <c r="M20" s="1008"/>
      <c r="N20" s="1009"/>
      <c r="P20" s="1007"/>
      <c r="Q20" s="1008"/>
      <c r="R20" s="1008"/>
      <c r="S20" s="1008"/>
      <c r="T20" s="1008"/>
      <c r="U20" s="1008"/>
      <c r="V20" s="1008"/>
      <c r="W20" s="1009"/>
      <c r="X20" s="3"/>
      <c r="Y20" s="3"/>
      <c r="Z20" s="3"/>
      <c r="AA20" s="3"/>
    </row>
    <row r="21" spans="2:27" ht="15" customHeight="1">
      <c r="B21" s="1007"/>
      <c r="C21" s="1008"/>
      <c r="D21" s="1008"/>
      <c r="E21" s="1008"/>
      <c r="F21" s="1008"/>
      <c r="G21" s="1008"/>
      <c r="H21" s="1008"/>
      <c r="I21" s="1008"/>
      <c r="J21" s="1008"/>
      <c r="K21" s="1008"/>
      <c r="L21" s="1008"/>
      <c r="M21" s="1008"/>
      <c r="N21" s="1009"/>
      <c r="P21" s="1007"/>
      <c r="Q21" s="1008"/>
      <c r="R21" s="1008"/>
      <c r="S21" s="1008"/>
      <c r="T21" s="1008"/>
      <c r="U21" s="1008"/>
      <c r="V21" s="1008"/>
      <c r="W21" s="1009"/>
      <c r="X21" s="3"/>
      <c r="Y21" s="3"/>
      <c r="Z21" s="3"/>
      <c r="AA21" s="3"/>
    </row>
    <row r="22" spans="2:27" ht="15.75" customHeight="1">
      <c r="B22" s="1007"/>
      <c r="C22" s="1008"/>
      <c r="D22" s="1008"/>
      <c r="E22" s="1008"/>
      <c r="F22" s="1008"/>
      <c r="G22" s="1008"/>
      <c r="H22" s="1008"/>
      <c r="I22" s="1008"/>
      <c r="J22" s="1008"/>
      <c r="K22" s="1008"/>
      <c r="L22" s="1008"/>
      <c r="M22" s="1008"/>
      <c r="N22" s="1009"/>
      <c r="P22" s="1007"/>
      <c r="Q22" s="1008"/>
      <c r="R22" s="1008"/>
      <c r="S22" s="1008"/>
      <c r="T22" s="1008"/>
      <c r="U22" s="1008"/>
      <c r="V22" s="1008"/>
      <c r="W22" s="1009"/>
      <c r="X22" s="3"/>
      <c r="Y22" s="3"/>
      <c r="Z22" s="3"/>
      <c r="AA22" s="3"/>
    </row>
    <row r="23" spans="2:27" ht="15" thickBot="1">
      <c r="B23" s="1007"/>
      <c r="C23" s="1008"/>
      <c r="D23" s="1008"/>
      <c r="E23" s="1008"/>
      <c r="F23" s="1008"/>
      <c r="G23" s="1008"/>
      <c r="H23" s="1008"/>
      <c r="I23" s="1008"/>
      <c r="J23" s="1008"/>
      <c r="K23" s="1008"/>
      <c r="L23" s="1008"/>
      <c r="M23" s="1008"/>
      <c r="N23" s="1009"/>
      <c r="P23" s="1010"/>
      <c r="Q23" s="1011"/>
      <c r="R23" s="1011"/>
      <c r="S23" s="1011"/>
      <c r="T23" s="1011"/>
      <c r="U23" s="1011"/>
      <c r="V23" s="1011"/>
      <c r="W23" s="1012"/>
      <c r="X23" s="3"/>
      <c r="Y23"/>
      <c r="Z23" s="3"/>
      <c r="AA23" s="3"/>
    </row>
    <row r="24" spans="2:27" ht="15" thickBot="1">
      <c r="B24" s="1007"/>
      <c r="C24" s="1008"/>
      <c r="D24" s="1008"/>
      <c r="E24" s="1008"/>
      <c r="F24" s="1008"/>
      <c r="G24" s="1008"/>
      <c r="H24" s="1008"/>
      <c r="I24" s="1008"/>
      <c r="J24" s="1008"/>
      <c r="K24" s="1008"/>
      <c r="L24" s="1008"/>
      <c r="M24" s="1008"/>
      <c r="N24" s="1009"/>
      <c r="X24" s="3"/>
    </row>
    <row r="25" spans="2:27" ht="18.95" thickBot="1">
      <c r="B25" s="1010"/>
      <c r="C25" s="1011"/>
      <c r="D25" s="1011"/>
      <c r="E25" s="1011"/>
      <c r="F25" s="1011"/>
      <c r="G25" s="1011"/>
      <c r="H25" s="1011"/>
      <c r="I25" s="1011"/>
      <c r="J25" s="1011"/>
      <c r="K25" s="1011"/>
      <c r="L25" s="1011"/>
      <c r="M25" s="1011"/>
      <c r="N25" s="1012"/>
      <c r="P25" s="822" t="s">
        <v>10</v>
      </c>
      <c r="Q25" s="842"/>
      <c r="R25" s="842"/>
      <c r="S25" s="842"/>
      <c r="T25" s="842"/>
      <c r="U25" s="842"/>
      <c r="V25" s="842"/>
      <c r="W25" s="841"/>
      <c r="X25" s="3"/>
    </row>
    <row r="26" spans="2:27" ht="16.5" customHeight="1" thickBot="1">
      <c r="B26" s="837"/>
      <c r="C26" s="837"/>
      <c r="D26" s="837"/>
      <c r="E26" s="837"/>
      <c r="F26" s="837"/>
      <c r="G26" s="837"/>
      <c r="H26" s="837"/>
      <c r="I26" s="837"/>
      <c r="J26" s="837"/>
      <c r="K26" s="837"/>
      <c r="L26" s="837"/>
      <c r="M26" s="837"/>
      <c r="N26" s="837"/>
      <c r="P26" s="1007" t="s">
        <v>11</v>
      </c>
      <c r="Q26" s="1008"/>
      <c r="R26" s="1008"/>
      <c r="S26" s="1008"/>
      <c r="T26" s="1008"/>
      <c r="U26" s="1008"/>
      <c r="V26" s="1008"/>
      <c r="W26" s="1009"/>
    </row>
    <row r="27" spans="2:27" ht="18.600000000000001">
      <c r="B27" s="822" t="s">
        <v>12</v>
      </c>
      <c r="C27" s="851"/>
      <c r="D27" s="851"/>
      <c r="E27" s="851"/>
      <c r="F27" s="851"/>
      <c r="G27" s="851"/>
      <c r="H27" s="851"/>
      <c r="I27" s="851"/>
      <c r="J27" s="851"/>
      <c r="K27" s="962"/>
      <c r="L27" s="962"/>
      <c r="M27" s="962"/>
      <c r="N27" s="963"/>
      <c r="P27" s="1007"/>
      <c r="Q27" s="1008"/>
      <c r="R27" s="1008"/>
      <c r="S27" s="1008"/>
      <c r="T27" s="1008"/>
      <c r="U27" s="1008"/>
      <c r="V27" s="1008"/>
      <c r="W27" s="1009"/>
    </row>
    <row r="28" spans="2:27" ht="15" customHeight="1">
      <c r="B28" s="1021" t="s">
        <v>13</v>
      </c>
      <c r="C28" s="1022"/>
      <c r="D28" s="1022"/>
      <c r="E28" s="1022"/>
      <c r="F28" s="1022"/>
      <c r="G28" s="1022"/>
      <c r="H28" s="1022"/>
      <c r="I28" s="1022"/>
      <c r="J28" s="1022"/>
      <c r="K28" s="1022"/>
      <c r="L28" s="1022"/>
      <c r="M28" s="1022"/>
      <c r="N28" s="1023"/>
      <c r="P28" s="1007"/>
      <c r="Q28" s="1008"/>
      <c r="R28" s="1008"/>
      <c r="S28" s="1008"/>
      <c r="T28" s="1008"/>
      <c r="U28" s="1008"/>
      <c r="V28" s="1008"/>
      <c r="W28" s="1009"/>
    </row>
    <row r="29" spans="2:27" s="3" customFormat="1">
      <c r="B29" s="1021"/>
      <c r="C29" s="1022"/>
      <c r="D29" s="1022"/>
      <c r="E29" s="1022"/>
      <c r="F29" s="1022"/>
      <c r="G29" s="1022"/>
      <c r="H29" s="1022"/>
      <c r="I29" s="1022"/>
      <c r="J29" s="1022"/>
      <c r="K29" s="1022"/>
      <c r="L29" s="1022"/>
      <c r="M29" s="1022"/>
      <c r="N29" s="1023"/>
      <c r="P29" s="1007"/>
      <c r="Q29" s="1008"/>
      <c r="R29" s="1008"/>
      <c r="S29" s="1008"/>
      <c r="T29" s="1008"/>
      <c r="U29" s="1008"/>
      <c r="V29" s="1008"/>
      <c r="W29" s="1009"/>
    </row>
    <row r="30" spans="2:27" s="3" customFormat="1">
      <c r="B30" s="1021"/>
      <c r="C30" s="1022"/>
      <c r="D30" s="1022"/>
      <c r="E30" s="1022"/>
      <c r="F30" s="1022"/>
      <c r="G30" s="1022"/>
      <c r="H30" s="1022"/>
      <c r="I30" s="1022"/>
      <c r="J30" s="1022"/>
      <c r="K30" s="1022"/>
      <c r="L30" s="1022"/>
      <c r="M30" s="1022"/>
      <c r="N30" s="1023"/>
      <c r="P30" s="1007"/>
      <c r="Q30" s="1008"/>
      <c r="R30" s="1008"/>
      <c r="S30" s="1008"/>
      <c r="T30" s="1008"/>
      <c r="U30" s="1008"/>
      <c r="V30" s="1008"/>
      <c r="W30" s="1009"/>
    </row>
    <row r="31" spans="2:27" s="3" customFormat="1" ht="15.95">
      <c r="B31" s="1021"/>
      <c r="C31" s="1022"/>
      <c r="D31" s="1022"/>
      <c r="E31" s="1022"/>
      <c r="F31" s="1022"/>
      <c r="G31" s="1022"/>
      <c r="H31" s="1022"/>
      <c r="I31" s="1022"/>
      <c r="J31" s="1022"/>
      <c r="K31" s="1022"/>
      <c r="L31" s="1022"/>
      <c r="M31" s="1022"/>
      <c r="N31" s="1023"/>
      <c r="P31" s="991" t="s">
        <v>14</v>
      </c>
      <c r="W31" s="845"/>
    </row>
    <row r="32" spans="2:27" s="3" customFormat="1">
      <c r="B32" s="1021"/>
      <c r="C32" s="1022"/>
      <c r="D32" s="1022"/>
      <c r="E32" s="1022"/>
      <c r="F32" s="1022"/>
      <c r="G32" s="1022"/>
      <c r="H32" s="1022"/>
      <c r="I32" s="1022"/>
      <c r="J32" s="1022"/>
      <c r="K32" s="1022"/>
      <c r="L32" s="1022"/>
      <c r="M32" s="1022"/>
      <c r="N32" s="1023"/>
      <c r="P32" s="858"/>
      <c r="W32" s="845"/>
    </row>
    <row r="33" spans="2:23" ht="15" customHeight="1" thickBot="1">
      <c r="B33" s="1024"/>
      <c r="C33" s="1025"/>
      <c r="D33" s="1025"/>
      <c r="E33" s="1025"/>
      <c r="F33" s="1025"/>
      <c r="G33" s="1025"/>
      <c r="H33" s="1025"/>
      <c r="I33" s="1025"/>
      <c r="J33" s="1025"/>
      <c r="K33" s="1025"/>
      <c r="L33" s="1025"/>
      <c r="M33" s="1025"/>
      <c r="N33" s="1026"/>
      <c r="P33" s="988" t="s">
        <v>15</v>
      </c>
      <c r="Q33" s="3"/>
      <c r="R33" s="3"/>
      <c r="S33" s="3"/>
      <c r="T33" s="3"/>
      <c r="U33" s="3"/>
      <c r="V33" s="3"/>
      <c r="W33" s="845"/>
    </row>
    <row r="34" spans="2:23" ht="15" customHeight="1" thickBot="1">
      <c r="B34" s="547"/>
      <c r="C34" s="547"/>
      <c r="D34" s="547"/>
      <c r="E34" s="547"/>
      <c r="F34" s="547"/>
      <c r="G34" s="547"/>
      <c r="H34" s="547"/>
      <c r="I34" s="547"/>
      <c r="J34" s="547"/>
      <c r="K34" s="547"/>
      <c r="L34" s="547"/>
      <c r="M34" s="547"/>
      <c r="N34" s="5"/>
      <c r="P34" s="988" t="s">
        <v>16</v>
      </c>
      <c r="Q34" s="3"/>
      <c r="R34" s="3"/>
      <c r="S34" s="3"/>
      <c r="T34" s="3"/>
      <c r="U34" s="3"/>
      <c r="V34" s="3"/>
      <c r="W34" s="845"/>
    </row>
    <row r="35" spans="2:23" ht="18.600000000000001">
      <c r="B35" s="822" t="s">
        <v>17</v>
      </c>
      <c r="C35" s="851"/>
      <c r="D35" s="851"/>
      <c r="E35" s="851"/>
      <c r="F35" s="851"/>
      <c r="G35" s="851"/>
      <c r="H35" s="851"/>
      <c r="I35" s="851"/>
      <c r="J35" s="851"/>
      <c r="K35" s="989"/>
      <c r="L35" s="989"/>
      <c r="M35" s="989"/>
      <c r="N35" s="990"/>
      <c r="P35" s="988" t="s">
        <v>18</v>
      </c>
      <c r="W35" s="854"/>
    </row>
    <row r="36" spans="2:23" ht="15" customHeight="1">
      <c r="B36" s="1007" t="s">
        <v>19</v>
      </c>
      <c r="C36" s="1008"/>
      <c r="D36" s="1008"/>
      <c r="E36" s="1008"/>
      <c r="F36" s="1008"/>
      <c r="G36" s="1008"/>
      <c r="H36" s="1008"/>
      <c r="I36" s="1008"/>
      <c r="J36" s="1008"/>
      <c r="K36" s="1008"/>
      <c r="L36" s="1008"/>
      <c r="M36" s="1008"/>
      <c r="N36" s="1009"/>
      <c r="P36" s="853"/>
      <c r="W36" s="854"/>
    </row>
    <row r="37" spans="2:23" ht="15" customHeight="1">
      <c r="B37" s="1007"/>
      <c r="C37" s="1008"/>
      <c r="D37" s="1008"/>
      <c r="E37" s="1008"/>
      <c r="F37" s="1008"/>
      <c r="G37" s="1008"/>
      <c r="H37" s="1008"/>
      <c r="I37" s="1008"/>
      <c r="J37" s="1008"/>
      <c r="K37" s="1008"/>
      <c r="L37" s="1008"/>
      <c r="M37" s="1008"/>
      <c r="N37" s="1009"/>
      <c r="P37" s="853"/>
      <c r="W37" s="854"/>
    </row>
    <row r="38" spans="2:23" ht="15" customHeight="1">
      <c r="B38" s="1007"/>
      <c r="C38" s="1008"/>
      <c r="D38" s="1008"/>
      <c r="E38" s="1008"/>
      <c r="F38" s="1008"/>
      <c r="G38" s="1008"/>
      <c r="H38" s="1008"/>
      <c r="I38" s="1008"/>
      <c r="J38" s="1008"/>
      <c r="K38" s="1008"/>
      <c r="L38" s="1008"/>
      <c r="M38" s="1008"/>
      <c r="N38" s="1009"/>
      <c r="P38" s="853"/>
      <c r="W38" s="854"/>
    </row>
    <row r="39" spans="2:23" ht="15" customHeight="1" thickBot="1">
      <c r="B39" s="1007"/>
      <c r="C39" s="1008"/>
      <c r="D39" s="1008"/>
      <c r="E39" s="1008"/>
      <c r="F39" s="1008"/>
      <c r="G39" s="1008"/>
      <c r="H39" s="1008"/>
      <c r="I39" s="1008"/>
      <c r="J39" s="1008"/>
      <c r="K39" s="1008"/>
      <c r="L39" s="1008"/>
      <c r="M39" s="1008"/>
      <c r="N39" s="1009"/>
      <c r="P39" s="987"/>
      <c r="Q39" s="855"/>
      <c r="R39" s="855"/>
      <c r="S39" s="855"/>
      <c r="T39" s="855"/>
      <c r="U39" s="855"/>
      <c r="V39" s="855"/>
      <c r="W39" s="856"/>
    </row>
    <row r="40" spans="2:23" ht="15" customHeight="1">
      <c r="B40" s="1007"/>
      <c r="C40" s="1008"/>
      <c r="D40" s="1008"/>
      <c r="E40" s="1008"/>
      <c r="F40" s="1008"/>
      <c r="G40" s="1008"/>
      <c r="H40" s="1008"/>
      <c r="I40" s="1008"/>
      <c r="J40" s="1008"/>
      <c r="K40" s="1008"/>
      <c r="L40" s="1008"/>
      <c r="M40" s="1008"/>
      <c r="N40" s="1009"/>
    </row>
    <row r="41" spans="2:23" ht="15" customHeight="1" thickBot="1">
      <c r="B41" s="1010"/>
      <c r="C41" s="1011"/>
      <c r="D41" s="1011"/>
      <c r="E41" s="1011"/>
      <c r="F41" s="1011"/>
      <c r="G41" s="1011"/>
      <c r="H41" s="1011"/>
      <c r="I41" s="1011"/>
      <c r="J41" s="1011"/>
      <c r="K41" s="1011"/>
      <c r="L41" s="1011"/>
      <c r="M41" s="1011"/>
      <c r="N41" s="1012"/>
    </row>
    <row r="42" spans="2:23" ht="15.75" customHeight="1">
      <c r="B42" s="1014"/>
      <c r="C42" s="1014"/>
      <c r="D42" s="1014"/>
      <c r="E42" s="1014"/>
      <c r="F42" s="1014"/>
      <c r="G42" s="1014"/>
      <c r="H42" s="1014"/>
      <c r="I42" s="1014"/>
      <c r="J42" s="1014"/>
      <c r="K42" s="1014"/>
      <c r="L42" s="1014"/>
      <c r="M42" s="1014"/>
      <c r="N42" s="1014"/>
    </row>
    <row r="43" spans="2:23">
      <c r="B43" s="547"/>
      <c r="C43" s="547"/>
      <c r="D43" s="547"/>
      <c r="E43" s="547"/>
      <c r="F43" s="547"/>
      <c r="G43" s="547"/>
      <c r="H43" s="547"/>
      <c r="I43" s="547"/>
      <c r="J43" s="547"/>
      <c r="K43" s="547"/>
      <c r="L43" s="547"/>
      <c r="M43" s="547"/>
      <c r="N43" s="547"/>
    </row>
    <row r="44" spans="2:23" ht="15.95">
      <c r="B44" s="832" t="s">
        <v>20</v>
      </c>
    </row>
    <row r="45" spans="2:23">
      <c r="C45" s="24"/>
      <c r="D45" s="24"/>
      <c r="S45"/>
    </row>
    <row r="46" spans="2:23">
      <c r="B46" s="662"/>
      <c r="C46" s="24"/>
      <c r="D46" s="24"/>
    </row>
    <row r="47" spans="2:23">
      <c r="C47" s="24"/>
      <c r="D47" s="24"/>
    </row>
    <row r="48" spans="2:23">
      <c r="B48" s="662"/>
      <c r="C48" s="24"/>
      <c r="D48" s="24"/>
    </row>
    <row r="49" spans="2:4">
      <c r="B49" s="662"/>
      <c r="C49" s="24"/>
      <c r="D49" s="24"/>
    </row>
    <row r="50" spans="2:4">
      <c r="B50" s="661"/>
      <c r="C50" s="24"/>
      <c r="D50" s="24"/>
    </row>
    <row r="51" spans="2:4">
      <c r="B51" s="662"/>
      <c r="C51" s="24"/>
      <c r="D51" s="24"/>
    </row>
    <row r="52" spans="2:4">
      <c r="B52" s="662"/>
      <c r="C52" s="24"/>
      <c r="D52" s="24"/>
    </row>
    <row r="53" spans="2:4">
      <c r="B53" s="662"/>
      <c r="C53" s="24"/>
      <c r="D53" s="24"/>
    </row>
    <row r="54" spans="2:4">
      <c r="B54" s="662"/>
      <c r="C54" s="24"/>
      <c r="D54" s="24"/>
    </row>
    <row r="55" spans="2:4">
      <c r="B55" s="850"/>
      <c r="C55" s="24"/>
      <c r="D55" s="24"/>
    </row>
    <row r="56" spans="2:4">
      <c r="B56" s="661"/>
      <c r="C56" s="24"/>
      <c r="D56" s="24"/>
    </row>
    <row r="57" spans="2:4">
      <c r="B57" s="3"/>
      <c r="C57" s="24"/>
      <c r="D57" s="24"/>
    </row>
    <row r="58" spans="2:4">
      <c r="B58" s="3"/>
      <c r="C58" s="24"/>
      <c r="D58" s="24"/>
    </row>
    <row r="59" spans="2:4">
      <c r="B59" s="3"/>
      <c r="C59" s="24"/>
      <c r="D59" s="24"/>
    </row>
    <row r="60" spans="2:4">
      <c r="B60" s="3"/>
      <c r="C60" s="3"/>
      <c r="D60" s="24"/>
    </row>
    <row r="61" spans="2:4" ht="18.600000000000001">
      <c r="B61" s="659"/>
      <c r="C61" s="3"/>
      <c r="D61" s="24"/>
    </row>
    <row r="62" spans="2:4">
      <c r="B62" s="660"/>
      <c r="C62" s="24"/>
      <c r="D62" s="24"/>
    </row>
    <row r="63" spans="2:4">
      <c r="B63" s="1013"/>
      <c r="C63" s="1013"/>
      <c r="D63" s="1013"/>
    </row>
  </sheetData>
  <sheetProtection algorithmName="SHA-512" hashValue="6gm7XjhHNrbDdlYwjBhlcS9hIvuaJBDl7p1MvOBx/GymvN184G+93XhSkG1stzbSGXwIgKZpkexQqMZiSI4NnA==" saltValue="YgxqJMtD4ETJwwA35hJH/A==" spinCount="100000" sheet="1" objects="1" scenarios="1"/>
  <mergeCells count="8">
    <mergeCell ref="P8:W23"/>
    <mergeCell ref="B63:D63"/>
    <mergeCell ref="B42:N42"/>
    <mergeCell ref="B4:N13"/>
    <mergeCell ref="B16:N25"/>
    <mergeCell ref="B28:N33"/>
    <mergeCell ref="B36:N41"/>
    <mergeCell ref="P26:W30"/>
  </mergeCells>
  <hyperlinks>
    <hyperlink ref="P31" r:id="rId1" xr:uid="{DA4C486D-B468-4D94-8CE7-DD0ED025E55E}"/>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AD85D-3B4F-479F-AC1B-152B8AE5F570}">
  <sheetPr codeName="Sheet8">
    <tabColor theme="5"/>
  </sheetPr>
  <dimension ref="B1:AW62"/>
  <sheetViews>
    <sheetView workbookViewId="0">
      <selection activeCell="V14" sqref="V14"/>
    </sheetView>
  </sheetViews>
  <sheetFormatPr defaultColWidth="9" defaultRowHeight="14.45"/>
  <cols>
    <col min="1" max="1" width="3.375" style="2" customWidth="1"/>
    <col min="2" max="2" width="41" style="2" customWidth="1"/>
    <col min="3" max="3" width="3.25" style="5" customWidth="1"/>
    <col min="4" max="49" width="3.375" style="2" customWidth="1"/>
    <col min="50" max="62" width="3.75" style="2" customWidth="1"/>
    <col min="63" max="16384" width="9" style="2"/>
  </cols>
  <sheetData>
    <row r="1" spans="2:49" ht="30.95">
      <c r="B1" s="875" t="s">
        <v>885</v>
      </c>
    </row>
    <row r="2" spans="2:49" s="714" customFormat="1" ht="18.600000000000001">
      <c r="B2" s="1072" t="s">
        <v>886</v>
      </c>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c r="AS2" s="1072"/>
      <c r="AT2" s="1072"/>
      <c r="AU2" s="1072"/>
      <c r="AV2" s="1072"/>
      <c r="AW2" s="1072"/>
    </row>
    <row r="3" spans="2:49" s="714" customFormat="1" ht="18.600000000000001">
      <c r="B3" s="1072"/>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c r="AT3" s="1072"/>
      <c r="AU3" s="1072"/>
      <c r="AV3" s="1072"/>
      <c r="AW3" s="1072"/>
    </row>
    <row r="4" spans="2:49" s="714" customFormat="1" ht="18.600000000000001">
      <c r="B4" s="1072"/>
      <c r="C4" s="1072"/>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2"/>
      <c r="AV4" s="1072"/>
      <c r="AW4" s="1072"/>
    </row>
    <row r="5" spans="2:49" s="714" customFormat="1" ht="18.600000000000001">
      <c r="B5" s="1072"/>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row>
    <row r="6" spans="2:49" s="714" customFormat="1" ht="18.600000000000001">
      <c r="B6" s="1072"/>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row>
    <row r="7" spans="2:49" s="714" customFormat="1" ht="18.600000000000001">
      <c r="B7" s="1072"/>
      <c r="C7" s="1072"/>
      <c r="D7" s="1072"/>
      <c r="E7" s="1072"/>
      <c r="F7" s="1072"/>
      <c r="G7" s="1072"/>
      <c r="H7" s="1072"/>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row>
    <row r="8" spans="2:49" s="714" customFormat="1" ht="18.600000000000001">
      <c r="B8" s="1072"/>
      <c r="C8" s="1072"/>
      <c r="D8" s="1072"/>
      <c r="E8" s="1072"/>
      <c r="F8" s="1072"/>
      <c r="G8" s="1072"/>
      <c r="H8" s="1072"/>
      <c r="I8" s="1072"/>
      <c r="J8" s="1072"/>
      <c r="K8" s="1072"/>
      <c r="L8" s="1072"/>
      <c r="M8" s="1072"/>
      <c r="N8" s="1072"/>
      <c r="O8" s="1072"/>
      <c r="P8" s="1072"/>
      <c r="Q8" s="1072"/>
      <c r="R8" s="1072"/>
      <c r="S8" s="1072"/>
      <c r="T8" s="1072"/>
      <c r="U8" s="1072"/>
      <c r="V8" s="1072"/>
      <c r="W8" s="1072"/>
      <c r="X8" s="1072"/>
      <c r="Y8" s="1072"/>
      <c r="Z8" s="1072"/>
      <c r="AA8" s="1072"/>
      <c r="AB8" s="1072"/>
      <c r="AC8" s="1072"/>
      <c r="AD8" s="1072"/>
      <c r="AE8" s="1072"/>
      <c r="AF8" s="1072"/>
      <c r="AG8" s="1072"/>
      <c r="AH8" s="1072"/>
      <c r="AI8" s="1072"/>
      <c r="AJ8" s="1072"/>
      <c r="AK8" s="1072"/>
      <c r="AL8" s="1072"/>
      <c r="AM8" s="1072"/>
      <c r="AN8" s="1072"/>
      <c r="AO8" s="1072"/>
      <c r="AP8" s="1072"/>
      <c r="AQ8" s="1072"/>
      <c r="AR8" s="1072"/>
      <c r="AS8" s="1072"/>
      <c r="AT8" s="1072"/>
      <c r="AU8" s="1072"/>
      <c r="AV8" s="1072"/>
      <c r="AW8" s="1072"/>
    </row>
    <row r="9" spans="2:49" s="714" customFormat="1" ht="18.600000000000001">
      <c r="B9" s="1072"/>
      <c r="C9" s="1072"/>
      <c r="D9" s="1072"/>
      <c r="E9" s="1072"/>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c r="AU9" s="1072"/>
      <c r="AV9" s="1072"/>
      <c r="AW9" s="1072"/>
    </row>
    <row r="10" spans="2:49" s="714" customFormat="1" ht="18.600000000000001">
      <c r="B10" s="1072"/>
      <c r="C10" s="1072"/>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2"/>
      <c r="AM10" s="1072"/>
      <c r="AN10" s="1072"/>
      <c r="AO10" s="1072"/>
      <c r="AP10" s="1072"/>
      <c r="AQ10" s="1072"/>
      <c r="AR10" s="1072"/>
      <c r="AS10" s="1072"/>
      <c r="AT10" s="1072"/>
      <c r="AU10" s="1072"/>
      <c r="AV10" s="1072"/>
      <c r="AW10" s="1072"/>
    </row>
    <row r="11" spans="2:49" s="714" customFormat="1" ht="18.600000000000001">
      <c r="B11" s="1072"/>
      <c r="C11" s="1072"/>
      <c r="D11" s="1072"/>
      <c r="E11" s="1072"/>
      <c r="F11" s="1072"/>
      <c r="G11" s="1072"/>
      <c r="H11" s="1072"/>
      <c r="I11" s="1072"/>
      <c r="J11" s="1072"/>
      <c r="K11" s="1072"/>
      <c r="L11" s="1072"/>
      <c r="M11" s="1072"/>
      <c r="N11" s="1072"/>
      <c r="O11" s="1072"/>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row>
    <row r="12" spans="2:49" s="714" customFormat="1" ht="18.600000000000001">
      <c r="B12" s="1072"/>
      <c r="C12" s="1072"/>
      <c r="D12" s="1072"/>
      <c r="E12" s="1072"/>
      <c r="F12" s="1072"/>
      <c r="G12" s="1072"/>
      <c r="H12" s="1072"/>
      <c r="I12" s="1072"/>
      <c r="J12" s="1072"/>
      <c r="K12" s="1072"/>
      <c r="L12" s="1072"/>
      <c r="M12" s="1072"/>
      <c r="N12" s="1072"/>
      <c r="O12" s="1072"/>
      <c r="P12" s="1072"/>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row>
    <row r="13" spans="2:49" s="832" customFormat="1" ht="15.95">
      <c r="C13" s="834"/>
    </row>
    <row r="14" spans="2:49" s="832" customFormat="1" ht="227.45" customHeight="1">
      <c r="C14" s="834"/>
      <c r="D14" s="916" t="s">
        <v>887</v>
      </c>
      <c r="E14" s="916" t="s">
        <v>888</v>
      </c>
      <c r="F14" s="916" t="s">
        <v>359</v>
      </c>
      <c r="G14" s="916" t="s">
        <v>363</v>
      </c>
      <c r="H14" s="916" t="s">
        <v>365</v>
      </c>
      <c r="I14" s="916" t="s">
        <v>367</v>
      </c>
      <c r="J14" s="916" t="s">
        <v>368</v>
      </c>
      <c r="K14" s="916" t="s">
        <v>370</v>
      </c>
      <c r="L14" s="916" t="s">
        <v>373</v>
      </c>
      <c r="M14" s="916" t="s">
        <v>375</v>
      </c>
      <c r="N14" s="916" t="s">
        <v>743</v>
      </c>
      <c r="O14" s="916" t="s">
        <v>378</v>
      </c>
      <c r="P14" s="916" t="s">
        <v>381</v>
      </c>
      <c r="Q14" s="916" t="s">
        <v>384</v>
      </c>
      <c r="R14" s="916" t="s">
        <v>386</v>
      </c>
      <c r="S14" s="916" t="s">
        <v>387</v>
      </c>
      <c r="T14" s="916" t="s">
        <v>388</v>
      </c>
      <c r="U14" s="916" t="s">
        <v>390</v>
      </c>
      <c r="V14" s="916" t="s">
        <v>392</v>
      </c>
      <c r="W14" s="916" t="s">
        <v>394</v>
      </c>
      <c r="X14" s="916" t="s">
        <v>397</v>
      </c>
      <c r="Y14" s="916" t="s">
        <v>398</v>
      </c>
      <c r="Z14" s="916" t="s">
        <v>889</v>
      </c>
      <c r="AA14" s="916" t="s">
        <v>890</v>
      </c>
      <c r="AB14" s="916" t="s">
        <v>403</v>
      </c>
      <c r="AC14" s="916" t="s">
        <v>406</v>
      </c>
      <c r="AD14" s="916" t="s">
        <v>407</v>
      </c>
      <c r="AE14" s="916" t="s">
        <v>409</v>
      </c>
      <c r="AF14" s="916" t="s">
        <v>411</v>
      </c>
      <c r="AG14" s="916" t="s">
        <v>413</v>
      </c>
      <c r="AH14" s="916" t="s">
        <v>891</v>
      </c>
      <c r="AI14" s="916" t="s">
        <v>417</v>
      </c>
      <c r="AJ14" s="916" t="s">
        <v>419</v>
      </c>
      <c r="AK14" s="916" t="s">
        <v>421</v>
      </c>
      <c r="AL14" s="916" t="s">
        <v>424</v>
      </c>
      <c r="AM14" s="916" t="s">
        <v>426</v>
      </c>
      <c r="AN14" s="916" t="s">
        <v>428</v>
      </c>
      <c r="AO14" s="916" t="s">
        <v>269</v>
      </c>
      <c r="AP14" s="916" t="s">
        <v>431</v>
      </c>
      <c r="AQ14" s="916" t="s">
        <v>433</v>
      </c>
      <c r="AR14" s="916" t="s">
        <v>435</v>
      </c>
      <c r="AS14" s="916" t="s">
        <v>437</v>
      </c>
      <c r="AT14" s="916" t="s">
        <v>439</v>
      </c>
      <c r="AU14" s="916" t="s">
        <v>440</v>
      </c>
      <c r="AV14" s="916" t="s">
        <v>442</v>
      </c>
      <c r="AW14" s="916" t="s">
        <v>444</v>
      </c>
    </row>
    <row r="15" spans="2:49" s="832" customFormat="1" ht="14.25" customHeight="1">
      <c r="B15" s="857" t="s">
        <v>892</v>
      </c>
      <c r="C15" s="834"/>
      <c r="D15" s="917">
        <v>1</v>
      </c>
      <c r="E15" s="917">
        <v>2</v>
      </c>
      <c r="F15" s="917">
        <v>3</v>
      </c>
      <c r="G15" s="917">
        <v>4</v>
      </c>
      <c r="H15" s="917">
        <v>5</v>
      </c>
      <c r="I15" s="917">
        <v>6</v>
      </c>
      <c r="J15" s="917">
        <v>7</v>
      </c>
      <c r="K15" s="917">
        <v>8</v>
      </c>
      <c r="L15" s="917">
        <v>9</v>
      </c>
      <c r="M15" s="917">
        <v>10</v>
      </c>
      <c r="N15" s="917">
        <v>11</v>
      </c>
      <c r="O15" s="917">
        <v>12</v>
      </c>
      <c r="P15" s="917">
        <v>13</v>
      </c>
      <c r="Q15" s="917">
        <v>14</v>
      </c>
      <c r="R15" s="917">
        <v>15</v>
      </c>
      <c r="S15" s="917">
        <v>16</v>
      </c>
      <c r="T15" s="917">
        <v>17</v>
      </c>
      <c r="U15" s="917">
        <v>18</v>
      </c>
      <c r="V15" s="917">
        <v>19</v>
      </c>
      <c r="W15" s="917">
        <v>20</v>
      </c>
      <c r="X15" s="917">
        <v>21</v>
      </c>
      <c r="Y15" s="917">
        <v>22</v>
      </c>
      <c r="Z15" s="917">
        <v>23</v>
      </c>
      <c r="AA15" s="917">
        <v>24</v>
      </c>
      <c r="AB15" s="917">
        <v>25</v>
      </c>
      <c r="AC15" s="917">
        <v>26</v>
      </c>
      <c r="AD15" s="917">
        <v>27</v>
      </c>
      <c r="AE15" s="917">
        <v>28</v>
      </c>
      <c r="AF15" s="917">
        <v>29</v>
      </c>
      <c r="AG15" s="917">
        <v>30</v>
      </c>
      <c r="AH15" s="917">
        <v>31</v>
      </c>
      <c r="AI15" s="917">
        <v>32</v>
      </c>
      <c r="AJ15" s="917">
        <v>33</v>
      </c>
      <c r="AK15" s="917">
        <v>34</v>
      </c>
      <c r="AL15" s="917">
        <v>35</v>
      </c>
      <c r="AM15" s="917">
        <v>36</v>
      </c>
      <c r="AN15" s="917">
        <v>37</v>
      </c>
      <c r="AO15" s="917">
        <v>38</v>
      </c>
      <c r="AP15" s="917">
        <v>39</v>
      </c>
      <c r="AQ15" s="917">
        <v>40</v>
      </c>
      <c r="AR15" s="917">
        <v>41</v>
      </c>
      <c r="AS15" s="917">
        <v>42</v>
      </c>
      <c r="AT15" s="917">
        <v>43</v>
      </c>
      <c r="AU15" s="918">
        <v>44</v>
      </c>
      <c r="AV15" s="918">
        <v>45</v>
      </c>
      <c r="AW15" s="918">
        <v>46</v>
      </c>
    </row>
    <row r="16" spans="2:49" s="832" customFormat="1" ht="15.75" customHeight="1">
      <c r="B16" s="919" t="s">
        <v>888</v>
      </c>
      <c r="C16" s="876">
        <v>1</v>
      </c>
      <c r="D16" s="919"/>
      <c r="E16" s="884"/>
      <c r="F16" s="884"/>
      <c r="G16" s="884"/>
      <c r="H16" s="884"/>
      <c r="I16" s="884"/>
      <c r="J16" s="884"/>
      <c r="K16" s="884"/>
      <c r="L16" s="884"/>
      <c r="M16" s="884"/>
      <c r="N16" s="884"/>
      <c r="O16" s="884"/>
      <c r="P16" s="884"/>
      <c r="Q16" s="884"/>
      <c r="R16" s="884"/>
      <c r="S16" s="884"/>
      <c r="T16" s="884"/>
      <c r="U16" s="884"/>
      <c r="V16" s="884"/>
      <c r="W16" s="884"/>
      <c r="X16" s="926"/>
      <c r="Y16" s="926"/>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row>
    <row r="17" spans="2:49" s="832" customFormat="1" ht="15.75" customHeight="1">
      <c r="B17" s="919" t="s">
        <v>887</v>
      </c>
      <c r="C17" s="876">
        <v>2</v>
      </c>
      <c r="D17" s="884"/>
      <c r="E17" s="919"/>
      <c r="F17" s="884"/>
      <c r="G17" s="884"/>
      <c r="H17" s="884"/>
      <c r="I17" s="884"/>
      <c r="J17" s="884"/>
      <c r="K17" s="884"/>
      <c r="L17" s="884"/>
      <c r="M17" s="884"/>
      <c r="N17" s="884"/>
      <c r="O17" s="884"/>
      <c r="P17" s="884"/>
      <c r="Q17" s="884"/>
      <c r="R17" s="884"/>
      <c r="S17" s="884"/>
      <c r="T17" s="884"/>
      <c r="U17" s="884"/>
      <c r="V17" s="884"/>
      <c r="W17" s="884"/>
      <c r="X17" s="926"/>
      <c r="Y17" s="926"/>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row>
    <row r="18" spans="2:49" s="832" customFormat="1" ht="15.75" customHeight="1">
      <c r="B18" s="919" t="s">
        <v>359</v>
      </c>
      <c r="C18" s="876">
        <v>3</v>
      </c>
      <c r="D18" s="884"/>
      <c r="E18" s="884"/>
      <c r="F18" s="919"/>
      <c r="G18" s="884"/>
      <c r="H18" s="884"/>
      <c r="I18" s="884"/>
      <c r="J18" s="884"/>
      <c r="K18" s="884"/>
      <c r="L18" s="884"/>
      <c r="M18" s="884"/>
      <c r="N18" s="884"/>
      <c r="O18" s="884"/>
      <c r="P18" s="884"/>
      <c r="Q18" s="884"/>
      <c r="R18" s="884"/>
      <c r="S18" s="884"/>
      <c r="T18" s="884"/>
      <c r="U18" s="884"/>
      <c r="V18" s="884"/>
      <c r="W18" s="884"/>
      <c r="X18" s="926"/>
      <c r="Y18" s="926"/>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row>
    <row r="19" spans="2:49" s="832" customFormat="1" ht="15.75" customHeight="1">
      <c r="B19" s="919" t="s">
        <v>363</v>
      </c>
      <c r="C19" s="876">
        <v>4</v>
      </c>
      <c r="D19" s="884"/>
      <c r="E19" s="884"/>
      <c r="F19" s="884"/>
      <c r="G19" s="919"/>
      <c r="H19" s="884"/>
      <c r="I19" s="884"/>
      <c r="J19" s="884"/>
      <c r="K19" s="884"/>
      <c r="L19" s="884"/>
      <c r="M19" s="884"/>
      <c r="N19" s="884"/>
      <c r="O19" s="884"/>
      <c r="P19" s="884"/>
      <c r="Q19" s="884"/>
      <c r="R19" s="884"/>
      <c r="S19" s="884"/>
      <c r="T19" s="884"/>
      <c r="U19" s="884"/>
      <c r="V19" s="884"/>
      <c r="W19" s="884"/>
      <c r="X19" s="926"/>
      <c r="Y19" s="926"/>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row>
    <row r="20" spans="2:49" s="832" customFormat="1" ht="15.75" customHeight="1">
      <c r="B20" s="919" t="s">
        <v>365</v>
      </c>
      <c r="C20" s="876">
        <v>5</v>
      </c>
      <c r="D20" s="884"/>
      <c r="E20" s="884"/>
      <c r="F20" s="884"/>
      <c r="G20" s="884"/>
      <c r="H20" s="919"/>
      <c r="I20" s="884"/>
      <c r="J20" s="884"/>
      <c r="K20" s="884"/>
      <c r="L20" s="884"/>
      <c r="M20" s="884"/>
      <c r="N20" s="884"/>
      <c r="O20" s="884"/>
      <c r="P20" s="884"/>
      <c r="Q20" s="884"/>
      <c r="R20" s="884"/>
      <c r="S20" s="884"/>
      <c r="T20" s="884"/>
      <c r="U20" s="884"/>
      <c r="V20" s="884"/>
      <c r="W20" s="884"/>
      <c r="X20" s="926"/>
      <c r="Y20" s="926"/>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row>
    <row r="21" spans="2:49" s="832" customFormat="1" ht="15.75" customHeight="1">
      <c r="B21" s="919" t="s">
        <v>367</v>
      </c>
      <c r="C21" s="876">
        <v>6</v>
      </c>
      <c r="D21" s="884"/>
      <c r="E21" s="884"/>
      <c r="F21" s="884"/>
      <c r="G21" s="884"/>
      <c r="H21" s="884"/>
      <c r="I21" s="919"/>
      <c r="J21" s="884"/>
      <c r="K21" s="884"/>
      <c r="L21" s="884"/>
      <c r="M21" s="884"/>
      <c r="N21" s="884"/>
      <c r="O21" s="884"/>
      <c r="P21" s="884"/>
      <c r="Q21" s="884"/>
      <c r="R21" s="884"/>
      <c r="S21" s="884"/>
      <c r="T21" s="884"/>
      <c r="U21" s="884"/>
      <c r="V21" s="884"/>
      <c r="W21" s="884"/>
      <c r="X21" s="926"/>
      <c r="Y21" s="926"/>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row>
    <row r="22" spans="2:49" s="832" customFormat="1" ht="15.75" customHeight="1">
      <c r="B22" s="919" t="s">
        <v>368</v>
      </c>
      <c r="C22" s="876">
        <v>7</v>
      </c>
      <c r="D22" s="884"/>
      <c r="E22" s="884"/>
      <c r="F22" s="884"/>
      <c r="G22" s="884"/>
      <c r="H22" s="884"/>
      <c r="I22" s="884"/>
      <c r="J22" s="919"/>
      <c r="K22" s="884"/>
      <c r="L22" s="884"/>
      <c r="M22" s="884"/>
      <c r="N22" s="884"/>
      <c r="O22" s="884"/>
      <c r="P22" s="884"/>
      <c r="Q22" s="884"/>
      <c r="R22" s="884"/>
      <c r="S22" s="884"/>
      <c r="T22" s="884"/>
      <c r="U22" s="884"/>
      <c r="V22" s="884"/>
      <c r="W22" s="884"/>
      <c r="X22" s="926"/>
      <c r="Y22" s="926"/>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row>
    <row r="23" spans="2:49" s="832" customFormat="1" ht="15.75" customHeight="1">
      <c r="B23" s="919" t="s">
        <v>370</v>
      </c>
      <c r="C23" s="876">
        <v>8</v>
      </c>
      <c r="D23" s="884"/>
      <c r="E23" s="884"/>
      <c r="F23" s="884"/>
      <c r="G23" s="884"/>
      <c r="H23" s="884"/>
      <c r="I23" s="884"/>
      <c r="J23" s="884"/>
      <c r="K23" s="919"/>
      <c r="L23" s="884"/>
      <c r="M23" s="884"/>
      <c r="N23" s="884"/>
      <c r="O23" s="884"/>
      <c r="P23" s="884"/>
      <c r="Q23" s="884"/>
      <c r="R23" s="884"/>
      <c r="S23" s="884"/>
      <c r="T23" s="884"/>
      <c r="U23" s="884"/>
      <c r="V23" s="884"/>
      <c r="W23" s="884"/>
      <c r="X23" s="926"/>
      <c r="Y23" s="926"/>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row>
    <row r="24" spans="2:49" s="832" customFormat="1" ht="15.75" customHeight="1">
      <c r="B24" s="919" t="s">
        <v>373</v>
      </c>
      <c r="C24" s="876">
        <v>9</v>
      </c>
      <c r="D24" s="884"/>
      <c r="E24" s="884"/>
      <c r="F24" s="884"/>
      <c r="G24" s="884"/>
      <c r="H24" s="884"/>
      <c r="I24" s="884"/>
      <c r="J24" s="884"/>
      <c r="K24" s="884"/>
      <c r="L24" s="919"/>
      <c r="M24" s="884"/>
      <c r="N24" s="884"/>
      <c r="O24" s="884"/>
      <c r="P24" s="884"/>
      <c r="Q24" s="884"/>
      <c r="R24" s="884"/>
      <c r="S24" s="884"/>
      <c r="T24" s="884"/>
      <c r="U24" s="884"/>
      <c r="V24" s="884"/>
      <c r="W24" s="884"/>
      <c r="X24" s="926"/>
      <c r="Y24" s="926"/>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925"/>
    </row>
    <row r="25" spans="2:49" s="832" customFormat="1" ht="15.75" customHeight="1">
      <c r="B25" s="919" t="s">
        <v>375</v>
      </c>
      <c r="C25" s="876">
        <v>10</v>
      </c>
      <c r="D25" s="884"/>
      <c r="E25" s="884"/>
      <c r="F25" s="884"/>
      <c r="G25" s="884"/>
      <c r="H25" s="884"/>
      <c r="I25" s="884"/>
      <c r="J25" s="884"/>
      <c r="K25" s="884"/>
      <c r="L25" s="884"/>
      <c r="M25" s="919"/>
      <c r="N25" s="884"/>
      <c r="O25" s="884"/>
      <c r="P25" s="884"/>
      <c r="Q25" s="884"/>
      <c r="R25" s="884"/>
      <c r="S25" s="884"/>
      <c r="T25" s="884"/>
      <c r="U25" s="884"/>
      <c r="V25" s="884"/>
      <c r="W25" s="884"/>
      <c r="X25" s="926"/>
      <c r="Y25" s="926"/>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924"/>
    </row>
    <row r="26" spans="2:49" s="832" customFormat="1" ht="15.75" customHeight="1">
      <c r="B26" s="919" t="s">
        <v>743</v>
      </c>
      <c r="C26" s="876">
        <v>11</v>
      </c>
      <c r="D26" s="884"/>
      <c r="E26" s="884"/>
      <c r="F26" s="884"/>
      <c r="G26" s="884"/>
      <c r="H26" s="884"/>
      <c r="I26" s="884"/>
      <c r="J26" s="884"/>
      <c r="K26" s="884"/>
      <c r="L26" s="884"/>
      <c r="M26" s="884"/>
      <c r="N26" s="919"/>
      <c r="O26" s="884"/>
      <c r="P26" s="884"/>
      <c r="Q26" s="884"/>
      <c r="R26" s="884"/>
      <c r="S26" s="884"/>
      <c r="T26" s="884"/>
      <c r="U26" s="884"/>
      <c r="V26" s="884"/>
      <c r="W26" s="884"/>
      <c r="X26" s="926"/>
      <c r="Y26" s="926"/>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924"/>
    </row>
    <row r="27" spans="2:49" s="832" customFormat="1" ht="15.75" customHeight="1">
      <c r="B27" s="919" t="s">
        <v>378</v>
      </c>
      <c r="C27" s="876">
        <v>12</v>
      </c>
      <c r="D27" s="884"/>
      <c r="E27" s="884"/>
      <c r="F27" s="884"/>
      <c r="G27" s="884"/>
      <c r="H27" s="884"/>
      <c r="I27" s="884"/>
      <c r="J27" s="884"/>
      <c r="K27" s="884"/>
      <c r="L27" s="884"/>
      <c r="M27" s="884"/>
      <c r="N27" s="884"/>
      <c r="O27" s="919"/>
      <c r="P27" s="884"/>
      <c r="Q27" s="884"/>
      <c r="R27" s="884"/>
      <c r="S27" s="884"/>
      <c r="T27" s="884"/>
      <c r="U27" s="884"/>
      <c r="V27" s="884"/>
      <c r="W27" s="884"/>
      <c r="X27" s="926"/>
      <c r="Y27" s="926"/>
      <c r="Z27" s="884"/>
      <c r="AA27" s="884"/>
      <c r="AB27" s="884"/>
      <c r="AC27" s="884"/>
      <c r="AD27" s="884"/>
      <c r="AE27" s="884"/>
      <c r="AF27" s="884"/>
      <c r="AG27" s="926"/>
      <c r="AH27" s="884"/>
      <c r="AI27" s="884"/>
      <c r="AJ27" s="884"/>
      <c r="AK27" s="884"/>
      <c r="AL27" s="884"/>
      <c r="AM27" s="884"/>
      <c r="AN27" s="884"/>
      <c r="AO27" s="884"/>
      <c r="AP27" s="884"/>
      <c r="AQ27" s="884"/>
      <c r="AR27" s="884"/>
      <c r="AS27" s="884"/>
      <c r="AT27" s="884"/>
      <c r="AU27" s="884"/>
      <c r="AV27" s="884"/>
      <c r="AW27" s="884"/>
    </row>
    <row r="28" spans="2:49" s="832" customFormat="1" ht="15.75" customHeight="1">
      <c r="B28" s="919" t="s">
        <v>381</v>
      </c>
      <c r="C28" s="876">
        <v>13</v>
      </c>
      <c r="D28" s="884"/>
      <c r="E28" s="884"/>
      <c r="F28" s="884"/>
      <c r="G28" s="884"/>
      <c r="H28" s="884"/>
      <c r="I28" s="884"/>
      <c r="J28" s="884"/>
      <c r="K28" s="884"/>
      <c r="L28" s="884"/>
      <c r="M28" s="884"/>
      <c r="N28" s="884"/>
      <c r="O28" s="884"/>
      <c r="P28" s="919"/>
      <c r="Q28" s="884"/>
      <c r="R28" s="884"/>
      <c r="S28" s="884"/>
      <c r="T28" s="884"/>
      <c r="U28" s="884"/>
      <c r="V28" s="884"/>
      <c r="W28" s="884"/>
      <c r="X28" s="926"/>
      <c r="Y28" s="926"/>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924"/>
      <c r="AV28" s="884"/>
      <c r="AW28" s="884"/>
    </row>
    <row r="29" spans="2:49" s="832" customFormat="1" ht="15.75" customHeight="1">
      <c r="B29" s="919" t="s">
        <v>384</v>
      </c>
      <c r="C29" s="876">
        <v>14</v>
      </c>
      <c r="D29" s="884"/>
      <c r="E29" s="884"/>
      <c r="F29" s="884"/>
      <c r="G29" s="884"/>
      <c r="H29" s="884"/>
      <c r="I29" s="884"/>
      <c r="J29" s="884"/>
      <c r="K29" s="884"/>
      <c r="L29" s="884"/>
      <c r="M29" s="884"/>
      <c r="N29" s="884"/>
      <c r="O29" s="884"/>
      <c r="P29" s="884"/>
      <c r="Q29" s="919"/>
      <c r="R29" s="884"/>
      <c r="S29" s="884"/>
      <c r="T29" s="884"/>
      <c r="U29" s="884"/>
      <c r="V29" s="884"/>
      <c r="W29" s="884"/>
      <c r="X29" s="926"/>
      <c r="Y29" s="926"/>
      <c r="Z29" s="884"/>
      <c r="AA29" s="884"/>
      <c r="AB29" s="884"/>
      <c r="AC29" s="884"/>
      <c r="AD29" s="884"/>
      <c r="AE29" s="884"/>
      <c r="AF29" s="884"/>
      <c r="AG29" s="922"/>
      <c r="AH29" s="884"/>
      <c r="AI29" s="884"/>
      <c r="AJ29" s="884"/>
      <c r="AK29" s="884"/>
      <c r="AL29" s="884"/>
      <c r="AM29" s="884"/>
      <c r="AN29" s="884"/>
      <c r="AO29" s="884"/>
      <c r="AP29" s="884"/>
      <c r="AQ29" s="884"/>
      <c r="AR29" s="884"/>
      <c r="AS29" s="884"/>
      <c r="AT29" s="884"/>
      <c r="AU29" s="884"/>
      <c r="AV29" s="884"/>
      <c r="AW29" s="884"/>
    </row>
    <row r="30" spans="2:49" s="832" customFormat="1" ht="15.75" customHeight="1">
      <c r="B30" s="919" t="s">
        <v>386</v>
      </c>
      <c r="C30" s="876">
        <v>15</v>
      </c>
      <c r="D30" s="884"/>
      <c r="E30" s="884"/>
      <c r="F30" s="884"/>
      <c r="G30" s="884"/>
      <c r="H30" s="884"/>
      <c r="I30" s="884"/>
      <c r="J30" s="884"/>
      <c r="K30" s="884"/>
      <c r="L30" s="884"/>
      <c r="M30" s="884"/>
      <c r="N30" s="884"/>
      <c r="O30" s="884"/>
      <c r="P30" s="884"/>
      <c r="Q30" s="884"/>
      <c r="R30" s="919"/>
      <c r="S30" s="884"/>
      <c r="T30" s="884"/>
      <c r="U30" s="884"/>
      <c r="V30" s="884"/>
      <c r="W30" s="884"/>
      <c r="X30" s="926"/>
      <c r="Y30" s="926"/>
      <c r="Z30" s="884"/>
      <c r="AA30" s="884"/>
      <c r="AB30" s="884"/>
      <c r="AC30" s="884"/>
      <c r="AD30" s="884"/>
      <c r="AE30" s="884"/>
      <c r="AF30" s="884"/>
      <c r="AG30" s="922"/>
      <c r="AH30" s="884"/>
      <c r="AI30" s="884"/>
      <c r="AJ30" s="884"/>
      <c r="AK30" s="884"/>
      <c r="AL30" s="884"/>
      <c r="AM30" s="884"/>
      <c r="AN30" s="884"/>
      <c r="AO30" s="884"/>
      <c r="AP30" s="884"/>
      <c r="AQ30" s="884"/>
      <c r="AR30" s="884"/>
      <c r="AS30" s="884"/>
      <c r="AT30" s="884"/>
      <c r="AU30" s="884"/>
      <c r="AV30" s="884"/>
      <c r="AW30" s="884"/>
    </row>
    <row r="31" spans="2:49" s="832" customFormat="1" ht="15.75" customHeight="1">
      <c r="B31" s="919" t="s">
        <v>387</v>
      </c>
      <c r="C31" s="876">
        <v>16</v>
      </c>
      <c r="D31" s="884"/>
      <c r="E31" s="884"/>
      <c r="F31" s="884"/>
      <c r="G31" s="884"/>
      <c r="H31" s="884"/>
      <c r="I31" s="884"/>
      <c r="J31" s="884"/>
      <c r="K31" s="884"/>
      <c r="L31" s="884"/>
      <c r="M31" s="884"/>
      <c r="N31" s="884"/>
      <c r="O31" s="884"/>
      <c r="P31" s="884"/>
      <c r="Q31" s="884"/>
      <c r="R31" s="884"/>
      <c r="S31" s="919"/>
      <c r="T31" s="884"/>
      <c r="U31" s="884"/>
      <c r="V31" s="884"/>
      <c r="W31" s="884"/>
      <c r="X31" s="926"/>
      <c r="Y31" s="926"/>
      <c r="Z31" s="884"/>
      <c r="AA31" s="884"/>
      <c r="AB31" s="884"/>
      <c r="AC31" s="884"/>
      <c r="AD31" s="884"/>
      <c r="AE31" s="884"/>
      <c r="AF31" s="884"/>
      <c r="AG31" s="922"/>
      <c r="AH31" s="884"/>
      <c r="AI31" s="884"/>
      <c r="AJ31" s="884"/>
      <c r="AK31" s="884"/>
      <c r="AL31" s="884"/>
      <c r="AM31" s="884"/>
      <c r="AN31" s="884"/>
      <c r="AO31" s="884"/>
      <c r="AP31" s="884"/>
      <c r="AQ31" s="884"/>
      <c r="AR31" s="884"/>
      <c r="AS31" s="884"/>
      <c r="AT31" s="884"/>
      <c r="AU31" s="884"/>
      <c r="AV31" s="884"/>
      <c r="AW31" s="884"/>
    </row>
    <row r="32" spans="2:49" s="832" customFormat="1" ht="15.75" customHeight="1">
      <c r="B32" s="919" t="s">
        <v>388</v>
      </c>
      <c r="C32" s="876">
        <v>17</v>
      </c>
      <c r="D32" s="884"/>
      <c r="E32" s="884"/>
      <c r="F32" s="884"/>
      <c r="G32" s="884"/>
      <c r="H32" s="884"/>
      <c r="I32" s="884"/>
      <c r="J32" s="884"/>
      <c r="K32" s="884"/>
      <c r="L32" s="884"/>
      <c r="M32" s="884"/>
      <c r="N32" s="884"/>
      <c r="O32" s="884"/>
      <c r="P32" s="884"/>
      <c r="Q32" s="884"/>
      <c r="R32" s="884"/>
      <c r="S32" s="884"/>
      <c r="T32" s="919"/>
      <c r="U32" s="884"/>
      <c r="V32" s="884"/>
      <c r="W32" s="884"/>
      <c r="X32" s="926"/>
      <c r="Y32" s="926"/>
      <c r="Z32" s="884"/>
      <c r="AA32" s="884"/>
      <c r="AB32" s="884"/>
      <c r="AC32" s="884"/>
      <c r="AD32" s="884"/>
      <c r="AE32" s="884"/>
      <c r="AF32" s="884"/>
      <c r="AG32" s="922"/>
      <c r="AH32" s="884"/>
      <c r="AI32" s="884"/>
      <c r="AJ32" s="884"/>
      <c r="AK32" s="884"/>
      <c r="AL32" s="884"/>
      <c r="AM32" s="884"/>
      <c r="AN32" s="884"/>
      <c r="AO32" s="884"/>
      <c r="AP32" s="884"/>
      <c r="AQ32" s="884"/>
      <c r="AR32" s="884"/>
      <c r="AS32" s="884"/>
      <c r="AT32" s="884"/>
      <c r="AU32" s="884"/>
      <c r="AV32" s="884"/>
      <c r="AW32" s="884"/>
    </row>
    <row r="33" spans="2:49" s="832" customFormat="1" ht="15.75" customHeight="1">
      <c r="B33" s="919" t="s">
        <v>390</v>
      </c>
      <c r="C33" s="876">
        <v>18</v>
      </c>
      <c r="D33" s="884"/>
      <c r="E33" s="884"/>
      <c r="F33" s="884"/>
      <c r="G33" s="884"/>
      <c r="H33" s="884"/>
      <c r="I33" s="884"/>
      <c r="J33" s="884"/>
      <c r="K33" s="884"/>
      <c r="L33" s="884"/>
      <c r="M33" s="884"/>
      <c r="N33" s="884"/>
      <c r="O33" s="884"/>
      <c r="P33" s="884"/>
      <c r="Q33" s="884"/>
      <c r="R33" s="884"/>
      <c r="S33" s="884"/>
      <c r="T33" s="884"/>
      <c r="U33" s="919"/>
      <c r="V33" s="884"/>
      <c r="W33" s="884"/>
      <c r="X33" s="926"/>
      <c r="Y33" s="926"/>
      <c r="Z33" s="884"/>
      <c r="AA33" s="884"/>
      <c r="AB33" s="884"/>
      <c r="AC33" s="884"/>
      <c r="AD33" s="924"/>
      <c r="AE33" s="884"/>
      <c r="AF33" s="884"/>
      <c r="AG33" s="884"/>
      <c r="AH33" s="884"/>
      <c r="AI33" s="884"/>
      <c r="AJ33" s="884"/>
      <c r="AK33" s="884"/>
      <c r="AL33" s="884"/>
      <c r="AM33" s="884"/>
      <c r="AN33" s="884"/>
      <c r="AO33" s="927"/>
      <c r="AP33" s="884"/>
      <c r="AQ33" s="884"/>
      <c r="AR33" s="884"/>
      <c r="AS33" s="884"/>
      <c r="AT33" s="884"/>
      <c r="AU33" s="884"/>
      <c r="AV33" s="884"/>
      <c r="AW33" s="884"/>
    </row>
    <row r="34" spans="2:49" s="832" customFormat="1" ht="15.75" customHeight="1">
      <c r="B34" s="919" t="s">
        <v>392</v>
      </c>
      <c r="C34" s="876">
        <v>19</v>
      </c>
      <c r="D34" s="884"/>
      <c r="E34" s="884"/>
      <c r="F34" s="884"/>
      <c r="G34" s="884"/>
      <c r="H34" s="884"/>
      <c r="I34" s="884"/>
      <c r="J34" s="884"/>
      <c r="K34" s="884"/>
      <c r="L34" s="884"/>
      <c r="M34" s="884"/>
      <c r="N34" s="884"/>
      <c r="O34" s="884"/>
      <c r="P34" s="884"/>
      <c r="Q34" s="884"/>
      <c r="R34" s="884"/>
      <c r="S34" s="884"/>
      <c r="T34" s="884"/>
      <c r="U34" s="884"/>
      <c r="V34" s="919"/>
      <c r="W34" s="884"/>
      <c r="X34" s="926"/>
      <c r="Y34" s="926"/>
      <c r="Z34" s="884"/>
      <c r="AA34" s="884"/>
      <c r="AB34" s="884"/>
      <c r="AC34" s="884"/>
      <c r="AD34" s="924"/>
      <c r="AE34" s="884"/>
      <c r="AF34" s="884"/>
      <c r="AG34" s="884"/>
      <c r="AH34" s="884"/>
      <c r="AI34" s="884"/>
      <c r="AJ34" s="884"/>
      <c r="AK34" s="884"/>
      <c r="AL34" s="884"/>
      <c r="AM34" s="884"/>
      <c r="AN34" s="884"/>
      <c r="AO34" s="927"/>
      <c r="AP34" s="884"/>
      <c r="AQ34" s="884"/>
      <c r="AR34" s="884"/>
      <c r="AS34" s="884"/>
      <c r="AT34" s="884"/>
      <c r="AU34" s="884"/>
      <c r="AV34" s="884"/>
      <c r="AW34" s="884"/>
    </row>
    <row r="35" spans="2:49" s="832" customFormat="1" ht="15.75" customHeight="1">
      <c r="B35" s="919" t="s">
        <v>394</v>
      </c>
      <c r="C35" s="876">
        <v>20</v>
      </c>
      <c r="D35" s="884"/>
      <c r="E35" s="884"/>
      <c r="F35" s="884"/>
      <c r="G35" s="884"/>
      <c r="H35" s="884"/>
      <c r="I35" s="884"/>
      <c r="J35" s="884"/>
      <c r="K35" s="884"/>
      <c r="L35" s="884"/>
      <c r="M35" s="884"/>
      <c r="N35" s="884"/>
      <c r="O35" s="884"/>
      <c r="P35" s="884"/>
      <c r="Q35" s="884"/>
      <c r="R35" s="884"/>
      <c r="S35" s="884"/>
      <c r="T35" s="884"/>
      <c r="U35" s="884"/>
      <c r="V35" s="884"/>
      <c r="W35" s="919"/>
      <c r="X35" s="926"/>
      <c r="Y35" s="926"/>
      <c r="Z35" s="884"/>
      <c r="AA35" s="884"/>
      <c r="AB35" s="884"/>
      <c r="AC35" s="884"/>
      <c r="AD35" s="924"/>
      <c r="AE35" s="884"/>
      <c r="AF35" s="884"/>
      <c r="AG35" s="884"/>
      <c r="AH35" s="884"/>
      <c r="AI35" s="884"/>
      <c r="AJ35" s="884"/>
      <c r="AK35" s="884"/>
      <c r="AL35" s="884"/>
      <c r="AM35" s="884"/>
      <c r="AN35" s="884"/>
      <c r="AO35" s="927"/>
      <c r="AP35" s="884"/>
      <c r="AQ35" s="884"/>
      <c r="AR35" s="884"/>
      <c r="AS35" s="884"/>
      <c r="AT35" s="884"/>
      <c r="AU35" s="884"/>
      <c r="AV35" s="884"/>
      <c r="AW35" s="884"/>
    </row>
    <row r="36" spans="2:49" s="832" customFormat="1" ht="15.75" customHeight="1">
      <c r="B36" s="919" t="s">
        <v>397</v>
      </c>
      <c r="C36" s="876">
        <v>21</v>
      </c>
      <c r="D36" s="926"/>
      <c r="E36" s="926"/>
      <c r="F36" s="926"/>
      <c r="G36" s="926"/>
      <c r="H36" s="926"/>
      <c r="I36" s="926"/>
      <c r="J36" s="926"/>
      <c r="K36" s="926"/>
      <c r="L36" s="926"/>
      <c r="M36" s="926"/>
      <c r="N36" s="926"/>
      <c r="O36" s="926"/>
      <c r="P36" s="926"/>
      <c r="Q36" s="926"/>
      <c r="R36" s="926"/>
      <c r="S36" s="926"/>
      <c r="T36" s="926"/>
      <c r="U36" s="926"/>
      <c r="V36" s="926"/>
      <c r="W36" s="926"/>
      <c r="X36" s="919"/>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row>
    <row r="37" spans="2:49" s="832" customFormat="1" ht="15.75" customHeight="1">
      <c r="B37" s="919" t="s">
        <v>398</v>
      </c>
      <c r="C37" s="876">
        <v>22</v>
      </c>
      <c r="D37" s="926"/>
      <c r="E37" s="926"/>
      <c r="F37" s="926"/>
      <c r="G37" s="926"/>
      <c r="H37" s="926"/>
      <c r="I37" s="926"/>
      <c r="J37" s="926"/>
      <c r="K37" s="926"/>
      <c r="L37" s="926"/>
      <c r="M37" s="926"/>
      <c r="N37" s="926"/>
      <c r="O37" s="926"/>
      <c r="P37" s="926"/>
      <c r="Q37" s="926"/>
      <c r="R37" s="926"/>
      <c r="S37" s="926"/>
      <c r="T37" s="926"/>
      <c r="U37" s="926"/>
      <c r="V37" s="926"/>
      <c r="W37" s="926"/>
      <c r="X37" s="926"/>
      <c r="Y37" s="919"/>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6"/>
      <c r="AV37" s="926"/>
      <c r="AW37" s="926"/>
    </row>
    <row r="38" spans="2:49" s="832" customFormat="1" ht="15.75" customHeight="1">
      <c r="B38" s="919" t="s">
        <v>546</v>
      </c>
      <c r="C38" s="876">
        <v>23</v>
      </c>
      <c r="D38" s="884"/>
      <c r="E38" s="884"/>
      <c r="F38" s="884"/>
      <c r="G38" s="884"/>
      <c r="H38" s="884"/>
      <c r="I38" s="884"/>
      <c r="J38" s="884"/>
      <c r="K38" s="884"/>
      <c r="L38" s="884"/>
      <c r="M38" s="884"/>
      <c r="N38" s="884"/>
      <c r="O38" s="884"/>
      <c r="P38" s="884"/>
      <c r="Q38" s="884"/>
      <c r="R38" s="884"/>
      <c r="S38" s="884"/>
      <c r="T38" s="884"/>
      <c r="U38" s="884"/>
      <c r="V38" s="884"/>
      <c r="W38" s="884"/>
      <c r="X38" s="926"/>
      <c r="Y38" s="926"/>
      <c r="Z38" s="919"/>
      <c r="AA38" s="92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row>
    <row r="39" spans="2:49" s="832" customFormat="1" ht="15.75" customHeight="1">
      <c r="B39" s="919" t="s">
        <v>890</v>
      </c>
      <c r="C39" s="876">
        <v>24</v>
      </c>
      <c r="D39" s="884"/>
      <c r="E39" s="884"/>
      <c r="F39" s="884"/>
      <c r="G39" s="884"/>
      <c r="H39" s="884"/>
      <c r="I39" s="884"/>
      <c r="J39" s="884"/>
      <c r="K39" s="884"/>
      <c r="L39" s="884"/>
      <c r="M39" s="884"/>
      <c r="N39" s="884"/>
      <c r="O39" s="884"/>
      <c r="P39" s="884"/>
      <c r="Q39" s="884"/>
      <c r="R39" s="884"/>
      <c r="S39" s="884"/>
      <c r="T39" s="884"/>
      <c r="U39" s="884"/>
      <c r="V39" s="884"/>
      <c r="W39" s="884"/>
      <c r="X39" s="926"/>
      <c r="Y39" s="926"/>
      <c r="Z39" s="920"/>
      <c r="AA39" s="919"/>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row>
    <row r="40" spans="2:49" s="832" customFormat="1" ht="15.75" customHeight="1">
      <c r="B40" s="919" t="s">
        <v>403</v>
      </c>
      <c r="C40" s="876">
        <v>25</v>
      </c>
      <c r="D40" s="884"/>
      <c r="E40" s="884"/>
      <c r="F40" s="884"/>
      <c r="G40" s="884"/>
      <c r="H40" s="884"/>
      <c r="I40" s="884"/>
      <c r="J40" s="884"/>
      <c r="K40" s="884"/>
      <c r="L40" s="884"/>
      <c r="M40" s="884"/>
      <c r="N40" s="884"/>
      <c r="O40" s="884"/>
      <c r="P40" s="884"/>
      <c r="Q40" s="884"/>
      <c r="R40" s="884"/>
      <c r="S40" s="884"/>
      <c r="T40" s="884"/>
      <c r="U40" s="884"/>
      <c r="V40" s="884"/>
      <c r="W40" s="884"/>
      <c r="X40" s="926"/>
      <c r="Y40" s="926"/>
      <c r="Z40" s="884"/>
      <c r="AA40" s="884"/>
      <c r="AB40" s="919"/>
      <c r="AC40" s="884"/>
      <c r="AD40" s="884"/>
      <c r="AE40" s="884"/>
      <c r="AF40" s="884"/>
      <c r="AG40" s="884"/>
      <c r="AH40" s="884"/>
      <c r="AI40" s="884"/>
      <c r="AJ40" s="884"/>
      <c r="AK40" s="884"/>
      <c r="AL40" s="884"/>
      <c r="AM40" s="884"/>
      <c r="AN40" s="884"/>
      <c r="AO40" s="884"/>
      <c r="AP40" s="884"/>
      <c r="AQ40" s="884"/>
      <c r="AR40" s="884"/>
      <c r="AS40" s="884"/>
      <c r="AT40" s="884"/>
      <c r="AU40" s="884"/>
      <c r="AV40" s="884"/>
      <c r="AW40" s="884"/>
    </row>
    <row r="41" spans="2:49" s="832" customFormat="1" ht="15.75" customHeight="1">
      <c r="B41" s="919" t="s">
        <v>406</v>
      </c>
      <c r="C41" s="876">
        <v>26</v>
      </c>
      <c r="D41" s="884"/>
      <c r="E41" s="884"/>
      <c r="F41" s="884"/>
      <c r="G41" s="884"/>
      <c r="H41" s="884"/>
      <c r="I41" s="884"/>
      <c r="J41" s="884"/>
      <c r="K41" s="884"/>
      <c r="L41" s="884"/>
      <c r="M41" s="884"/>
      <c r="N41" s="884"/>
      <c r="O41" s="884"/>
      <c r="P41" s="884"/>
      <c r="Q41" s="884"/>
      <c r="R41" s="884"/>
      <c r="S41" s="884"/>
      <c r="T41" s="884"/>
      <c r="U41" s="884"/>
      <c r="V41" s="884"/>
      <c r="W41" s="884"/>
      <c r="X41" s="926"/>
      <c r="Y41" s="926"/>
      <c r="Z41" s="884"/>
      <c r="AA41" s="884"/>
      <c r="AB41" s="884"/>
      <c r="AC41" s="919"/>
      <c r="AD41" s="884"/>
      <c r="AE41" s="884"/>
      <c r="AF41" s="884"/>
      <c r="AG41" s="884"/>
      <c r="AH41" s="884"/>
      <c r="AI41" s="884"/>
      <c r="AJ41" s="884"/>
      <c r="AK41" s="884"/>
      <c r="AL41" s="884"/>
      <c r="AM41" s="884"/>
      <c r="AN41" s="884"/>
      <c r="AO41" s="924"/>
      <c r="AP41" s="884"/>
      <c r="AQ41" s="884"/>
      <c r="AR41" s="884"/>
      <c r="AS41" s="884"/>
      <c r="AT41" s="884"/>
      <c r="AU41" s="884"/>
      <c r="AV41" s="884"/>
      <c r="AW41" s="884"/>
    </row>
    <row r="42" spans="2:49" s="832" customFormat="1" ht="15.75" customHeight="1">
      <c r="B42" s="919" t="s">
        <v>407</v>
      </c>
      <c r="C42" s="876">
        <v>27</v>
      </c>
      <c r="D42" s="884"/>
      <c r="E42" s="884"/>
      <c r="F42" s="884"/>
      <c r="G42" s="884"/>
      <c r="H42" s="884"/>
      <c r="I42" s="884"/>
      <c r="J42" s="884"/>
      <c r="K42" s="884"/>
      <c r="L42" s="884"/>
      <c r="M42" s="884"/>
      <c r="N42" s="884"/>
      <c r="O42" s="884"/>
      <c r="P42" s="884"/>
      <c r="Q42" s="884"/>
      <c r="R42" s="884"/>
      <c r="S42" s="884"/>
      <c r="T42" s="884"/>
      <c r="U42" s="884"/>
      <c r="V42" s="884"/>
      <c r="W42" s="884"/>
      <c r="X42" s="926"/>
      <c r="Y42" s="926"/>
      <c r="Z42" s="884"/>
      <c r="AA42" s="884"/>
      <c r="AB42" s="884"/>
      <c r="AC42" s="884"/>
      <c r="AD42" s="919"/>
      <c r="AE42" s="923"/>
      <c r="AF42" s="884"/>
      <c r="AG42" s="884"/>
      <c r="AH42" s="884"/>
      <c r="AI42" s="884"/>
      <c r="AJ42" s="884"/>
      <c r="AK42" s="884"/>
      <c r="AL42" s="884"/>
      <c r="AM42" s="884"/>
      <c r="AN42" s="884"/>
      <c r="AO42" s="922"/>
      <c r="AP42" s="884"/>
      <c r="AQ42" s="884"/>
      <c r="AR42" s="884"/>
      <c r="AS42" s="884"/>
      <c r="AT42" s="884"/>
      <c r="AU42" s="884"/>
      <c r="AV42" s="884"/>
      <c r="AW42" s="884"/>
    </row>
    <row r="43" spans="2:49" s="832" customFormat="1" ht="15.75" customHeight="1">
      <c r="B43" s="919" t="s">
        <v>409</v>
      </c>
      <c r="C43" s="876">
        <v>28</v>
      </c>
      <c r="D43" s="884"/>
      <c r="E43" s="884"/>
      <c r="F43" s="884"/>
      <c r="G43" s="884"/>
      <c r="H43" s="884"/>
      <c r="I43" s="884"/>
      <c r="J43" s="884"/>
      <c r="K43" s="884"/>
      <c r="L43" s="884"/>
      <c r="M43" s="884"/>
      <c r="N43" s="884"/>
      <c r="O43" s="884"/>
      <c r="P43" s="884"/>
      <c r="Q43" s="884"/>
      <c r="R43" s="884"/>
      <c r="S43" s="884"/>
      <c r="T43" s="884"/>
      <c r="U43" s="884"/>
      <c r="V43" s="884"/>
      <c r="W43" s="884"/>
      <c r="X43" s="926"/>
      <c r="Y43" s="926"/>
      <c r="Z43" s="884"/>
      <c r="AA43" s="884"/>
      <c r="AB43" s="884"/>
      <c r="AC43" s="884"/>
      <c r="AD43" s="923"/>
      <c r="AE43" s="919"/>
      <c r="AF43" s="884"/>
      <c r="AG43" s="884"/>
      <c r="AH43" s="884"/>
      <c r="AI43" s="884"/>
      <c r="AJ43" s="884"/>
      <c r="AK43" s="884"/>
      <c r="AL43" s="884"/>
      <c r="AM43" s="884"/>
      <c r="AN43" s="884"/>
      <c r="AO43" s="924"/>
      <c r="AP43" s="884"/>
      <c r="AQ43" s="884"/>
      <c r="AR43" s="884"/>
      <c r="AS43" s="884"/>
      <c r="AT43" s="884"/>
      <c r="AU43" s="884"/>
      <c r="AV43" s="884"/>
      <c r="AW43" s="884"/>
    </row>
    <row r="44" spans="2:49" s="832" customFormat="1" ht="15.75" customHeight="1">
      <c r="B44" s="919" t="s">
        <v>411</v>
      </c>
      <c r="C44" s="876">
        <v>29</v>
      </c>
      <c r="D44" s="884"/>
      <c r="E44" s="884"/>
      <c r="F44" s="884"/>
      <c r="G44" s="884"/>
      <c r="H44" s="884"/>
      <c r="I44" s="884"/>
      <c r="J44" s="884"/>
      <c r="K44" s="884"/>
      <c r="L44" s="884"/>
      <c r="M44" s="884"/>
      <c r="N44" s="884"/>
      <c r="O44" s="884"/>
      <c r="P44" s="884"/>
      <c r="Q44" s="884"/>
      <c r="R44" s="884"/>
      <c r="S44" s="884"/>
      <c r="T44" s="884"/>
      <c r="U44" s="884"/>
      <c r="V44" s="884"/>
      <c r="W44" s="884"/>
      <c r="X44" s="926"/>
      <c r="Y44" s="926"/>
      <c r="Z44" s="884"/>
      <c r="AA44" s="884"/>
      <c r="AB44" s="884"/>
      <c r="AC44" s="884"/>
      <c r="AD44" s="884"/>
      <c r="AE44" s="884"/>
      <c r="AF44" s="919"/>
      <c r="AG44" s="924"/>
      <c r="AH44" s="884"/>
      <c r="AI44" s="884"/>
      <c r="AJ44" s="884"/>
      <c r="AK44" s="884"/>
      <c r="AL44" s="884"/>
      <c r="AM44" s="884"/>
      <c r="AN44" s="884"/>
      <c r="AO44" s="884"/>
      <c r="AP44" s="884"/>
      <c r="AQ44" s="884"/>
      <c r="AR44" s="884"/>
      <c r="AS44" s="884"/>
      <c r="AT44" s="884"/>
      <c r="AU44" s="884"/>
      <c r="AV44" s="884"/>
      <c r="AW44" s="924"/>
    </row>
    <row r="45" spans="2:49" s="832" customFormat="1" ht="15.75" customHeight="1">
      <c r="B45" s="919" t="s">
        <v>413</v>
      </c>
      <c r="C45" s="876">
        <v>30</v>
      </c>
      <c r="D45" s="884"/>
      <c r="E45" s="884"/>
      <c r="F45" s="884"/>
      <c r="G45" s="884"/>
      <c r="H45" s="884"/>
      <c r="I45" s="884"/>
      <c r="J45" s="884"/>
      <c r="K45" s="884"/>
      <c r="L45" s="884"/>
      <c r="M45" s="884"/>
      <c r="N45" s="884"/>
      <c r="O45" s="921"/>
      <c r="P45" s="884"/>
      <c r="Q45" s="922"/>
      <c r="R45" s="922"/>
      <c r="S45" s="922"/>
      <c r="T45" s="922"/>
      <c r="U45" s="884"/>
      <c r="V45" s="884"/>
      <c r="W45" s="884"/>
      <c r="X45" s="926"/>
      <c r="Y45" s="926"/>
      <c r="Z45" s="884"/>
      <c r="AA45" s="884"/>
      <c r="AB45" s="884"/>
      <c r="AC45" s="884"/>
      <c r="AD45" s="884"/>
      <c r="AE45" s="884"/>
      <c r="AF45" s="926"/>
      <c r="AG45" s="919"/>
      <c r="AH45" s="884"/>
      <c r="AI45" s="884"/>
      <c r="AJ45" s="924"/>
      <c r="AK45" s="927"/>
      <c r="AL45" s="884"/>
      <c r="AM45" s="884"/>
      <c r="AN45" s="884"/>
      <c r="AO45" s="884"/>
      <c r="AP45" s="884"/>
      <c r="AQ45" s="884"/>
      <c r="AR45" s="884"/>
      <c r="AS45" s="884"/>
      <c r="AT45" s="884"/>
      <c r="AU45" s="884"/>
      <c r="AV45" s="884"/>
      <c r="AW45" s="884"/>
    </row>
    <row r="46" spans="2:49" s="832" customFormat="1" ht="15.75" customHeight="1">
      <c r="B46" s="919" t="s">
        <v>891</v>
      </c>
      <c r="C46" s="876">
        <v>31</v>
      </c>
      <c r="D46" s="884"/>
      <c r="E46" s="884"/>
      <c r="F46" s="884"/>
      <c r="G46" s="884"/>
      <c r="H46" s="884"/>
      <c r="I46" s="884"/>
      <c r="J46" s="884"/>
      <c r="K46" s="884"/>
      <c r="L46" s="884"/>
      <c r="M46" s="884"/>
      <c r="N46" s="884"/>
      <c r="O46" s="884"/>
      <c r="P46" s="884"/>
      <c r="Q46" s="884"/>
      <c r="R46" s="884"/>
      <c r="S46" s="884"/>
      <c r="T46" s="884"/>
      <c r="U46" s="884"/>
      <c r="V46" s="884"/>
      <c r="W46" s="884"/>
      <c r="X46" s="926"/>
      <c r="Y46" s="926"/>
      <c r="Z46" s="884"/>
      <c r="AA46" s="884"/>
      <c r="AB46" s="884"/>
      <c r="AC46" s="884"/>
      <c r="AD46" s="884"/>
      <c r="AE46" s="884"/>
      <c r="AF46" s="884"/>
      <c r="AG46" s="884"/>
      <c r="AH46" s="919"/>
      <c r="AI46" s="884"/>
      <c r="AJ46" s="884"/>
      <c r="AK46" s="884"/>
      <c r="AL46" s="884"/>
      <c r="AM46" s="884"/>
      <c r="AN46" s="884"/>
      <c r="AO46" s="884"/>
      <c r="AP46" s="884"/>
      <c r="AQ46" s="884"/>
      <c r="AR46" s="884"/>
      <c r="AS46" s="884"/>
      <c r="AT46" s="884"/>
      <c r="AU46" s="884"/>
      <c r="AV46" s="884"/>
      <c r="AW46" s="884"/>
    </row>
    <row r="47" spans="2:49" s="832" customFormat="1" ht="15.75" customHeight="1">
      <c r="B47" s="919" t="s">
        <v>417</v>
      </c>
      <c r="C47" s="876">
        <v>32</v>
      </c>
      <c r="D47" s="884"/>
      <c r="E47" s="884"/>
      <c r="F47" s="884"/>
      <c r="G47" s="884"/>
      <c r="H47" s="884"/>
      <c r="I47" s="884"/>
      <c r="J47" s="884"/>
      <c r="K47" s="884"/>
      <c r="L47" s="884"/>
      <c r="M47" s="884"/>
      <c r="N47" s="884"/>
      <c r="O47" s="884"/>
      <c r="P47" s="884"/>
      <c r="Q47" s="884"/>
      <c r="R47" s="884"/>
      <c r="S47" s="884"/>
      <c r="T47" s="884"/>
      <c r="U47" s="884"/>
      <c r="V47" s="884"/>
      <c r="W47" s="884"/>
      <c r="X47" s="926"/>
      <c r="Y47" s="926"/>
      <c r="Z47" s="884"/>
      <c r="AA47" s="884"/>
      <c r="AB47" s="884"/>
      <c r="AC47" s="884"/>
      <c r="AD47" s="884"/>
      <c r="AE47" s="884"/>
      <c r="AF47" s="884"/>
      <c r="AG47" s="884"/>
      <c r="AH47" s="884"/>
      <c r="AI47" s="919"/>
      <c r="AJ47" s="884"/>
      <c r="AK47" s="884"/>
      <c r="AL47" s="884"/>
      <c r="AM47" s="884"/>
      <c r="AN47" s="884"/>
      <c r="AO47" s="884"/>
      <c r="AP47" s="884"/>
      <c r="AQ47" s="884"/>
      <c r="AR47" s="884"/>
      <c r="AS47" s="884"/>
      <c r="AT47" s="884"/>
      <c r="AU47" s="884"/>
      <c r="AV47" s="884"/>
      <c r="AW47" s="884"/>
    </row>
    <row r="48" spans="2:49" s="832" customFormat="1" ht="15.75" customHeight="1">
      <c r="B48" s="919" t="s">
        <v>419</v>
      </c>
      <c r="C48" s="876">
        <v>33</v>
      </c>
      <c r="D48" s="884"/>
      <c r="E48" s="884"/>
      <c r="F48" s="884"/>
      <c r="G48" s="884"/>
      <c r="H48" s="884"/>
      <c r="I48" s="884"/>
      <c r="J48" s="884"/>
      <c r="K48" s="884"/>
      <c r="L48" s="884"/>
      <c r="M48" s="884"/>
      <c r="N48" s="884"/>
      <c r="O48" s="884"/>
      <c r="P48" s="884"/>
      <c r="Q48" s="884"/>
      <c r="R48" s="884"/>
      <c r="S48" s="884"/>
      <c r="T48" s="884"/>
      <c r="U48" s="884"/>
      <c r="V48" s="884"/>
      <c r="W48" s="884"/>
      <c r="X48" s="926"/>
      <c r="Y48" s="926"/>
      <c r="Z48" s="884"/>
      <c r="AA48" s="884"/>
      <c r="AB48" s="884"/>
      <c r="AC48" s="884"/>
      <c r="AD48" s="884"/>
      <c r="AE48" s="884"/>
      <c r="AF48" s="884"/>
      <c r="AG48" s="921"/>
      <c r="AH48" s="884"/>
      <c r="AI48" s="884"/>
      <c r="AJ48" s="919"/>
      <c r="AK48" s="884"/>
      <c r="AL48" s="884"/>
      <c r="AM48" s="884"/>
      <c r="AN48" s="884"/>
      <c r="AO48" s="884"/>
      <c r="AP48" s="924"/>
      <c r="AQ48" s="884"/>
      <c r="AR48" s="884"/>
      <c r="AS48" s="884"/>
      <c r="AT48" s="884"/>
      <c r="AU48" s="884"/>
      <c r="AV48" s="884"/>
      <c r="AW48" s="924"/>
    </row>
    <row r="49" spans="2:49" s="832" customFormat="1" ht="15.75" customHeight="1">
      <c r="B49" s="919" t="s">
        <v>421</v>
      </c>
      <c r="C49" s="876">
        <v>34</v>
      </c>
      <c r="D49" s="884"/>
      <c r="E49" s="884"/>
      <c r="F49" s="884"/>
      <c r="G49" s="884"/>
      <c r="H49" s="884"/>
      <c r="I49" s="884"/>
      <c r="J49" s="884"/>
      <c r="K49" s="884"/>
      <c r="L49" s="884"/>
      <c r="M49" s="884"/>
      <c r="N49" s="884"/>
      <c r="O49" s="884"/>
      <c r="P49" s="884"/>
      <c r="Q49" s="884"/>
      <c r="R49" s="884"/>
      <c r="S49" s="884"/>
      <c r="T49" s="884"/>
      <c r="U49" s="884"/>
      <c r="V49" s="884"/>
      <c r="W49" s="884"/>
      <c r="X49" s="926"/>
      <c r="Y49" s="926"/>
      <c r="Z49" s="884"/>
      <c r="AA49" s="884"/>
      <c r="AB49" s="884"/>
      <c r="AC49" s="884"/>
      <c r="AD49" s="884"/>
      <c r="AE49" s="884"/>
      <c r="AF49" s="884"/>
      <c r="AG49" s="927"/>
      <c r="AH49" s="884"/>
      <c r="AI49" s="884"/>
      <c r="AJ49" s="884"/>
      <c r="AK49" s="919"/>
      <c r="AL49" s="884"/>
      <c r="AM49" s="884"/>
      <c r="AN49" s="884"/>
      <c r="AO49" s="884"/>
      <c r="AP49" s="884"/>
      <c r="AQ49" s="884"/>
      <c r="AR49" s="884"/>
      <c r="AS49" s="884"/>
      <c r="AT49" s="884"/>
      <c r="AU49" s="884"/>
      <c r="AV49" s="884"/>
      <c r="AW49" s="884"/>
    </row>
    <row r="50" spans="2:49" s="832" customFormat="1" ht="15.75" customHeight="1">
      <c r="B50" s="919" t="s">
        <v>424</v>
      </c>
      <c r="C50" s="876">
        <v>35</v>
      </c>
      <c r="D50" s="924"/>
      <c r="E50" s="924"/>
      <c r="F50" s="884"/>
      <c r="G50" s="884"/>
      <c r="H50" s="884"/>
      <c r="I50" s="884"/>
      <c r="J50" s="884"/>
      <c r="K50" s="884"/>
      <c r="L50" s="884"/>
      <c r="M50" s="884"/>
      <c r="N50" s="884"/>
      <c r="O50" s="884"/>
      <c r="P50" s="884"/>
      <c r="Q50" s="884"/>
      <c r="R50" s="884"/>
      <c r="S50" s="884"/>
      <c r="T50" s="884"/>
      <c r="U50" s="884"/>
      <c r="V50" s="884"/>
      <c r="W50" s="884"/>
      <c r="X50" s="926"/>
      <c r="Y50" s="926"/>
      <c r="Z50" s="884"/>
      <c r="AA50" s="884"/>
      <c r="AB50" s="884"/>
      <c r="AC50" s="884"/>
      <c r="AD50" s="884"/>
      <c r="AE50" s="884"/>
      <c r="AF50" s="884"/>
      <c r="AG50" s="884"/>
      <c r="AH50" s="884"/>
      <c r="AI50" s="884"/>
      <c r="AJ50" s="884"/>
      <c r="AK50" s="884"/>
      <c r="AL50" s="919"/>
      <c r="AM50" s="884"/>
      <c r="AN50" s="884"/>
      <c r="AO50" s="884"/>
      <c r="AP50" s="884"/>
      <c r="AQ50" s="884"/>
      <c r="AR50" s="884"/>
      <c r="AS50" s="884"/>
      <c r="AT50" s="884"/>
      <c r="AU50" s="884"/>
      <c r="AV50" s="884"/>
      <c r="AW50" s="884"/>
    </row>
    <row r="51" spans="2:49" s="832" customFormat="1" ht="15.75" customHeight="1">
      <c r="B51" s="919" t="s">
        <v>426</v>
      </c>
      <c r="C51" s="876">
        <v>36</v>
      </c>
      <c r="D51" s="884"/>
      <c r="E51" s="884"/>
      <c r="F51" s="884"/>
      <c r="G51" s="884"/>
      <c r="H51" s="884"/>
      <c r="I51" s="884"/>
      <c r="J51" s="884"/>
      <c r="K51" s="884"/>
      <c r="L51" s="884"/>
      <c r="M51" s="884"/>
      <c r="N51" s="884"/>
      <c r="O51" s="884"/>
      <c r="P51" s="884"/>
      <c r="Q51" s="884"/>
      <c r="R51" s="884"/>
      <c r="S51" s="884"/>
      <c r="T51" s="884"/>
      <c r="U51" s="884"/>
      <c r="V51" s="884"/>
      <c r="W51" s="884"/>
      <c r="X51" s="926"/>
      <c r="Y51" s="926"/>
      <c r="Z51" s="884"/>
      <c r="AA51" s="884"/>
      <c r="AB51" s="884"/>
      <c r="AC51" s="884"/>
      <c r="AD51" s="884"/>
      <c r="AE51" s="884"/>
      <c r="AF51" s="884"/>
      <c r="AG51" s="884"/>
      <c r="AH51" s="884"/>
      <c r="AI51" s="884"/>
      <c r="AJ51" s="884"/>
      <c r="AK51" s="884"/>
      <c r="AL51" s="884"/>
      <c r="AM51" s="919"/>
      <c r="AN51" s="884"/>
      <c r="AO51" s="884"/>
      <c r="AP51" s="884"/>
      <c r="AQ51" s="884"/>
      <c r="AR51" s="884"/>
      <c r="AS51" s="884"/>
      <c r="AT51" s="884"/>
      <c r="AU51" s="884"/>
      <c r="AV51" s="884"/>
      <c r="AW51" s="884"/>
    </row>
    <row r="52" spans="2:49" s="832" customFormat="1" ht="15.75" customHeight="1">
      <c r="B52" s="919" t="s">
        <v>428</v>
      </c>
      <c r="C52" s="876">
        <v>37</v>
      </c>
      <c r="D52" s="884"/>
      <c r="E52" s="884"/>
      <c r="F52" s="884"/>
      <c r="G52" s="884"/>
      <c r="H52" s="884"/>
      <c r="I52" s="884"/>
      <c r="J52" s="884"/>
      <c r="K52" s="884"/>
      <c r="L52" s="884"/>
      <c r="M52" s="884"/>
      <c r="N52" s="884"/>
      <c r="O52" s="884"/>
      <c r="P52" s="884"/>
      <c r="Q52" s="884"/>
      <c r="R52" s="884"/>
      <c r="S52" s="884"/>
      <c r="T52" s="884"/>
      <c r="U52" s="884"/>
      <c r="V52" s="884"/>
      <c r="W52" s="884"/>
      <c r="X52" s="926"/>
      <c r="Y52" s="926"/>
      <c r="Z52" s="884"/>
      <c r="AA52" s="884"/>
      <c r="AB52" s="884"/>
      <c r="AC52" s="884"/>
      <c r="AD52" s="884"/>
      <c r="AE52" s="884"/>
      <c r="AF52" s="884"/>
      <c r="AG52" s="884"/>
      <c r="AH52" s="884"/>
      <c r="AI52" s="884"/>
      <c r="AJ52" s="884"/>
      <c r="AK52" s="884"/>
      <c r="AL52" s="884"/>
      <c r="AM52" s="884"/>
      <c r="AN52" s="919"/>
      <c r="AO52" s="884"/>
      <c r="AP52" s="884"/>
      <c r="AQ52" s="884"/>
      <c r="AR52" s="884"/>
      <c r="AS52" s="884"/>
      <c r="AT52" s="884"/>
      <c r="AU52" s="884"/>
      <c r="AV52" s="884"/>
      <c r="AW52" s="884"/>
    </row>
    <row r="53" spans="2:49" s="832" customFormat="1" ht="15.75" customHeight="1">
      <c r="B53" s="919" t="s">
        <v>269</v>
      </c>
      <c r="C53" s="876">
        <v>38</v>
      </c>
      <c r="D53" s="884"/>
      <c r="E53" s="884"/>
      <c r="F53" s="884"/>
      <c r="G53" s="884"/>
      <c r="H53" s="884"/>
      <c r="I53" s="884"/>
      <c r="J53" s="884"/>
      <c r="K53" s="884"/>
      <c r="L53" s="884"/>
      <c r="M53" s="884"/>
      <c r="N53" s="884"/>
      <c r="O53" s="884"/>
      <c r="P53" s="884"/>
      <c r="Q53" s="884"/>
      <c r="R53" s="884"/>
      <c r="S53" s="884"/>
      <c r="T53" s="884"/>
      <c r="U53" s="884"/>
      <c r="V53" s="884"/>
      <c r="W53" s="884"/>
      <c r="X53" s="926"/>
      <c r="Y53" s="926"/>
      <c r="Z53" s="884"/>
      <c r="AA53" s="884"/>
      <c r="AB53" s="884"/>
      <c r="AC53" s="920"/>
      <c r="AD53" s="922"/>
      <c r="AE53" s="884"/>
      <c r="AF53" s="884"/>
      <c r="AG53" s="884"/>
      <c r="AH53" s="884"/>
      <c r="AI53" s="884"/>
      <c r="AJ53" s="884"/>
      <c r="AK53" s="884"/>
      <c r="AL53" s="884"/>
      <c r="AM53" s="884"/>
      <c r="AN53" s="884"/>
      <c r="AO53" s="919"/>
      <c r="AP53" s="884"/>
      <c r="AQ53" s="884"/>
      <c r="AR53" s="884"/>
      <c r="AS53" s="884"/>
      <c r="AT53" s="921"/>
      <c r="AU53" s="884"/>
      <c r="AV53" s="884"/>
      <c r="AW53" s="884"/>
    </row>
    <row r="54" spans="2:49" s="832" customFormat="1" ht="15.75" customHeight="1">
      <c r="B54" s="919" t="s">
        <v>431</v>
      </c>
      <c r="C54" s="876">
        <v>39</v>
      </c>
      <c r="D54" s="884"/>
      <c r="E54" s="884"/>
      <c r="F54" s="884"/>
      <c r="G54" s="884"/>
      <c r="H54" s="884"/>
      <c r="I54" s="884"/>
      <c r="J54" s="884"/>
      <c r="K54" s="884"/>
      <c r="L54" s="884"/>
      <c r="M54" s="884"/>
      <c r="N54" s="884"/>
      <c r="O54" s="884"/>
      <c r="P54" s="884"/>
      <c r="Q54" s="884"/>
      <c r="R54" s="884"/>
      <c r="S54" s="884"/>
      <c r="T54" s="884"/>
      <c r="U54" s="884"/>
      <c r="V54" s="884"/>
      <c r="W54" s="884"/>
      <c r="X54" s="926"/>
      <c r="Y54" s="926"/>
      <c r="Z54" s="884"/>
      <c r="AA54" s="884"/>
      <c r="AB54" s="884"/>
      <c r="AC54" s="884"/>
      <c r="AD54" s="884"/>
      <c r="AE54" s="884"/>
      <c r="AF54" s="884"/>
      <c r="AG54" s="884"/>
      <c r="AH54" s="884"/>
      <c r="AI54" s="884"/>
      <c r="AJ54" s="921"/>
      <c r="AK54" s="884"/>
      <c r="AL54" s="884"/>
      <c r="AM54" s="884"/>
      <c r="AN54" s="884"/>
      <c r="AO54" s="884"/>
      <c r="AP54" s="919"/>
      <c r="AQ54" s="884"/>
      <c r="AR54" s="884"/>
      <c r="AS54" s="884"/>
      <c r="AT54" s="884"/>
      <c r="AU54" s="884"/>
      <c r="AV54" s="884"/>
      <c r="AW54" s="924"/>
    </row>
    <row r="55" spans="2:49" s="832" customFormat="1" ht="15.75" customHeight="1">
      <c r="B55" s="919" t="s">
        <v>433</v>
      </c>
      <c r="C55" s="876">
        <v>40</v>
      </c>
      <c r="D55" s="884"/>
      <c r="E55" s="884"/>
      <c r="F55" s="884"/>
      <c r="G55" s="884"/>
      <c r="H55" s="884"/>
      <c r="I55" s="884"/>
      <c r="J55" s="884"/>
      <c r="K55" s="884"/>
      <c r="L55" s="884"/>
      <c r="M55" s="884"/>
      <c r="N55" s="884"/>
      <c r="O55" s="884"/>
      <c r="P55" s="884"/>
      <c r="Q55" s="884"/>
      <c r="R55" s="884"/>
      <c r="S55" s="884"/>
      <c r="T55" s="884"/>
      <c r="U55" s="884"/>
      <c r="V55" s="884"/>
      <c r="W55" s="884"/>
      <c r="X55" s="926"/>
      <c r="Y55" s="926"/>
      <c r="Z55" s="884"/>
      <c r="AA55" s="884"/>
      <c r="AB55" s="884"/>
      <c r="AC55" s="884"/>
      <c r="AD55" s="884"/>
      <c r="AE55" s="884"/>
      <c r="AF55" s="884"/>
      <c r="AG55" s="884"/>
      <c r="AH55" s="884"/>
      <c r="AI55" s="884"/>
      <c r="AJ55" s="884"/>
      <c r="AK55" s="884"/>
      <c r="AL55" s="884"/>
      <c r="AM55" s="884"/>
      <c r="AN55" s="884"/>
      <c r="AO55" s="884"/>
      <c r="AP55" s="884"/>
      <c r="AQ55" s="919"/>
      <c r="AR55" s="884"/>
      <c r="AS55" s="884"/>
      <c r="AT55" s="884"/>
      <c r="AU55" s="884"/>
      <c r="AV55" s="884"/>
      <c r="AW55" s="884"/>
    </row>
    <row r="56" spans="2:49" s="832" customFormat="1" ht="15.75" customHeight="1">
      <c r="B56" s="919" t="s">
        <v>435</v>
      </c>
      <c r="C56" s="876">
        <v>41</v>
      </c>
      <c r="D56" s="884"/>
      <c r="E56" s="884"/>
      <c r="F56" s="884"/>
      <c r="G56" s="884"/>
      <c r="H56" s="884"/>
      <c r="I56" s="884"/>
      <c r="J56" s="884"/>
      <c r="K56" s="884"/>
      <c r="L56" s="884"/>
      <c r="M56" s="884"/>
      <c r="N56" s="884"/>
      <c r="O56" s="884"/>
      <c r="P56" s="884"/>
      <c r="Q56" s="884"/>
      <c r="R56" s="884"/>
      <c r="S56" s="884"/>
      <c r="T56" s="884"/>
      <c r="U56" s="884"/>
      <c r="V56" s="884"/>
      <c r="W56" s="884"/>
      <c r="X56" s="926"/>
      <c r="Y56" s="926"/>
      <c r="Z56" s="884"/>
      <c r="AA56" s="884"/>
      <c r="AB56" s="884"/>
      <c r="AC56" s="884"/>
      <c r="AD56" s="884"/>
      <c r="AE56" s="884"/>
      <c r="AF56" s="884"/>
      <c r="AG56" s="884"/>
      <c r="AH56" s="884"/>
      <c r="AI56" s="884"/>
      <c r="AJ56" s="884"/>
      <c r="AK56" s="884"/>
      <c r="AL56" s="884"/>
      <c r="AM56" s="884"/>
      <c r="AN56" s="884"/>
      <c r="AO56" s="884"/>
      <c r="AP56" s="884"/>
      <c r="AQ56" s="884"/>
      <c r="AR56" s="919"/>
      <c r="AS56" s="884"/>
      <c r="AT56" s="884"/>
      <c r="AU56" s="884"/>
      <c r="AV56" s="884"/>
      <c r="AW56" s="884"/>
    </row>
    <row r="57" spans="2:49" s="832" customFormat="1" ht="15.75" customHeight="1">
      <c r="B57" s="919" t="s">
        <v>437</v>
      </c>
      <c r="C57" s="876">
        <v>42</v>
      </c>
      <c r="D57" s="884"/>
      <c r="E57" s="884"/>
      <c r="F57" s="884"/>
      <c r="G57" s="884"/>
      <c r="H57" s="884"/>
      <c r="I57" s="884"/>
      <c r="J57" s="884"/>
      <c r="K57" s="884"/>
      <c r="L57" s="884"/>
      <c r="M57" s="884"/>
      <c r="N57" s="884"/>
      <c r="O57" s="884"/>
      <c r="P57" s="884"/>
      <c r="Q57" s="884"/>
      <c r="R57" s="884"/>
      <c r="S57" s="884"/>
      <c r="T57" s="884"/>
      <c r="U57" s="884"/>
      <c r="V57" s="884"/>
      <c r="W57" s="884"/>
      <c r="X57" s="926"/>
      <c r="Y57" s="926"/>
      <c r="Z57" s="884"/>
      <c r="AA57" s="884"/>
      <c r="AB57" s="884"/>
      <c r="AC57" s="884"/>
      <c r="AD57" s="884"/>
      <c r="AE57" s="884"/>
      <c r="AF57" s="884"/>
      <c r="AG57" s="884"/>
      <c r="AH57" s="884"/>
      <c r="AI57" s="884"/>
      <c r="AJ57" s="884"/>
      <c r="AK57" s="884"/>
      <c r="AL57" s="884"/>
      <c r="AM57" s="884"/>
      <c r="AN57" s="884"/>
      <c r="AO57" s="884"/>
      <c r="AP57" s="884"/>
      <c r="AQ57" s="884"/>
      <c r="AR57" s="884"/>
      <c r="AS57" s="919"/>
      <c r="AT57" s="884"/>
      <c r="AU57" s="884"/>
      <c r="AV57" s="884"/>
      <c r="AW57" s="884"/>
    </row>
    <row r="58" spans="2:49" s="832" customFormat="1" ht="15.75" customHeight="1">
      <c r="B58" s="919" t="s">
        <v>439</v>
      </c>
      <c r="C58" s="876">
        <v>43</v>
      </c>
      <c r="D58" s="884"/>
      <c r="E58" s="884"/>
      <c r="F58" s="884"/>
      <c r="G58" s="884"/>
      <c r="H58" s="884"/>
      <c r="I58" s="884"/>
      <c r="J58" s="884"/>
      <c r="K58" s="884"/>
      <c r="L58" s="884"/>
      <c r="M58" s="884"/>
      <c r="N58" s="884"/>
      <c r="O58" s="884"/>
      <c r="P58" s="884"/>
      <c r="Q58" s="884"/>
      <c r="R58" s="884"/>
      <c r="S58" s="884"/>
      <c r="T58" s="884"/>
      <c r="U58" s="884"/>
      <c r="V58" s="884"/>
      <c r="W58" s="884"/>
      <c r="X58" s="926"/>
      <c r="Y58" s="926"/>
      <c r="Z58" s="884"/>
      <c r="AA58" s="884"/>
      <c r="AB58" s="884"/>
      <c r="AC58" s="884"/>
      <c r="AD58" s="884"/>
      <c r="AE58" s="884"/>
      <c r="AF58" s="884"/>
      <c r="AG58" s="884"/>
      <c r="AH58" s="884"/>
      <c r="AI58" s="884"/>
      <c r="AJ58" s="884"/>
      <c r="AK58" s="884"/>
      <c r="AL58" s="884"/>
      <c r="AM58" s="884"/>
      <c r="AN58" s="884"/>
      <c r="AO58" s="924"/>
      <c r="AP58" s="884"/>
      <c r="AQ58" s="884"/>
      <c r="AR58" s="884"/>
      <c r="AS58" s="884"/>
      <c r="AT58" s="919"/>
      <c r="AU58" s="884"/>
      <c r="AV58" s="884"/>
      <c r="AW58" s="884"/>
    </row>
    <row r="59" spans="2:49" s="832" customFormat="1" ht="15.75" customHeight="1">
      <c r="B59" s="919" t="s">
        <v>440</v>
      </c>
      <c r="C59" s="876">
        <v>44</v>
      </c>
      <c r="D59" s="884"/>
      <c r="E59" s="884"/>
      <c r="F59" s="884"/>
      <c r="G59" s="884"/>
      <c r="H59" s="884"/>
      <c r="I59" s="884"/>
      <c r="J59" s="884"/>
      <c r="K59" s="884"/>
      <c r="L59" s="884"/>
      <c r="M59" s="884"/>
      <c r="N59" s="884"/>
      <c r="O59" s="884"/>
      <c r="P59" s="884"/>
      <c r="Q59" s="884"/>
      <c r="R59" s="884"/>
      <c r="S59" s="884"/>
      <c r="T59" s="884"/>
      <c r="U59" s="884"/>
      <c r="V59" s="884"/>
      <c r="W59" s="884"/>
      <c r="X59" s="926"/>
      <c r="Y59" s="926"/>
      <c r="Z59" s="884"/>
      <c r="AA59" s="884"/>
      <c r="AB59" s="884"/>
      <c r="AC59" s="884"/>
      <c r="AD59" s="884"/>
      <c r="AE59" s="884"/>
      <c r="AF59" s="884"/>
      <c r="AG59" s="884"/>
      <c r="AH59" s="884"/>
      <c r="AI59" s="884"/>
      <c r="AJ59" s="884"/>
      <c r="AK59" s="884"/>
      <c r="AL59" s="884"/>
      <c r="AM59" s="884"/>
      <c r="AN59" s="884"/>
      <c r="AO59" s="884"/>
      <c r="AP59" s="884"/>
      <c r="AQ59" s="884"/>
      <c r="AR59" s="884"/>
      <c r="AS59" s="884"/>
      <c r="AT59" s="884"/>
      <c r="AU59" s="919"/>
      <c r="AV59" s="884"/>
      <c r="AW59" s="884"/>
    </row>
    <row r="60" spans="2:49" s="832" customFormat="1" ht="15.75" customHeight="1">
      <c r="B60" s="919" t="s">
        <v>442</v>
      </c>
      <c r="C60" s="876">
        <v>45</v>
      </c>
      <c r="D60" s="884"/>
      <c r="E60" s="884"/>
      <c r="F60" s="884"/>
      <c r="G60" s="884"/>
      <c r="H60" s="884"/>
      <c r="I60" s="884"/>
      <c r="J60" s="884"/>
      <c r="K60" s="884"/>
      <c r="L60" s="884"/>
      <c r="M60" s="884"/>
      <c r="N60" s="884"/>
      <c r="O60" s="884"/>
      <c r="P60" s="884"/>
      <c r="Q60" s="884"/>
      <c r="R60" s="884"/>
      <c r="S60" s="884"/>
      <c r="T60" s="884"/>
      <c r="U60" s="884"/>
      <c r="V60" s="884"/>
      <c r="W60" s="884"/>
      <c r="X60" s="926"/>
      <c r="Y60" s="926"/>
      <c r="Z60" s="884"/>
      <c r="AA60" s="884"/>
      <c r="AB60" s="884"/>
      <c r="AC60" s="884"/>
      <c r="AD60" s="884"/>
      <c r="AE60" s="884"/>
      <c r="AF60" s="884"/>
      <c r="AG60" s="884"/>
      <c r="AH60" s="884"/>
      <c r="AI60" s="884"/>
      <c r="AJ60" s="884"/>
      <c r="AK60" s="884"/>
      <c r="AL60" s="884"/>
      <c r="AM60" s="884"/>
      <c r="AN60" s="884"/>
      <c r="AO60" s="884"/>
      <c r="AP60" s="884"/>
      <c r="AQ60" s="884"/>
      <c r="AR60" s="884"/>
      <c r="AS60" s="884"/>
      <c r="AT60" s="884"/>
      <c r="AU60" s="884"/>
      <c r="AV60" s="919"/>
      <c r="AW60" s="884"/>
    </row>
    <row r="61" spans="2:49" s="832" customFormat="1" ht="15.75" customHeight="1">
      <c r="B61" s="919" t="s">
        <v>444</v>
      </c>
      <c r="C61" s="876">
        <v>46</v>
      </c>
      <c r="D61" s="884"/>
      <c r="E61" s="884"/>
      <c r="F61" s="884"/>
      <c r="G61" s="884"/>
      <c r="H61" s="884"/>
      <c r="I61" s="884"/>
      <c r="J61" s="884"/>
      <c r="K61" s="884"/>
      <c r="L61" s="884"/>
      <c r="M61" s="884"/>
      <c r="N61" s="884"/>
      <c r="O61" s="884"/>
      <c r="P61" s="884"/>
      <c r="Q61" s="884"/>
      <c r="R61" s="884"/>
      <c r="S61" s="884"/>
      <c r="T61" s="884"/>
      <c r="U61" s="884"/>
      <c r="V61" s="884"/>
      <c r="W61" s="884"/>
      <c r="X61" s="926"/>
      <c r="Y61" s="926"/>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919"/>
    </row>
    <row r="62" spans="2:49" s="832" customFormat="1" ht="15.95">
      <c r="C62" s="834"/>
    </row>
  </sheetData>
  <sheetProtection algorithmName="SHA-512" hashValue="1t91D16sKp/5otVFdcUrBS1JZ6/z095A+8i+2ASC1wUsRhk5FHScDO4LF5PA7hClUcRJQh+m4++eAlxxvK0/AA==" saltValue="XdStDNv44J5v7zYrdeWT9g==" spinCount="100000" sheet="1" objects="1" scenarios="1"/>
  <mergeCells count="1">
    <mergeCell ref="B2:AW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2917-AFC3-467E-8E70-4ECD31DC278D}">
  <sheetPr codeName="Sheet9">
    <tabColor theme="5" tint="0.59999389629810485"/>
  </sheetPr>
  <dimension ref="A1:W207"/>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5" width="16.125" style="2" customWidth="1"/>
    <col min="16" max="16" width="9" style="2"/>
    <col min="17" max="17" width="16.625" style="2" customWidth="1"/>
    <col min="18" max="18" width="18.5" style="2" customWidth="1"/>
    <col min="19" max="16384" width="9" style="2"/>
  </cols>
  <sheetData>
    <row r="1" spans="1:12" ht="15" thickBot="1"/>
    <row r="2" spans="1:12" s="710" customFormat="1" ht="18.95" thickBot="1">
      <c r="B2" s="712" t="s">
        <v>355</v>
      </c>
      <c r="C2" s="709"/>
      <c r="D2" s="709"/>
      <c r="I2" s="13"/>
      <c r="J2" s="13"/>
      <c r="K2" s="13"/>
      <c r="L2" s="13"/>
    </row>
    <row r="4" spans="1:12" s="714" customFormat="1" ht="18.75" customHeight="1">
      <c r="A4" s="715"/>
      <c r="B4" s="713" t="s">
        <v>893</v>
      </c>
      <c r="C4" s="715"/>
      <c r="D4" s="715"/>
      <c r="E4" s="715"/>
      <c r="F4" s="715"/>
      <c r="G4" s="715"/>
      <c r="H4" s="715"/>
      <c r="I4" s="2"/>
    </row>
    <row r="5" spans="1:12" ht="258.75" customHeight="1">
      <c r="A5" s="716"/>
      <c r="B5" s="1126" t="s">
        <v>894</v>
      </c>
      <c r="C5" s="1127"/>
      <c r="D5" s="1127"/>
      <c r="E5" s="1127"/>
      <c r="F5" s="1127"/>
      <c r="G5" s="1127"/>
      <c r="H5" s="1127"/>
    </row>
    <row r="7" spans="1:12" s="718" customFormat="1" ht="18.600000000000001">
      <c r="A7" s="724"/>
      <c r="B7" s="724" t="s">
        <v>895</v>
      </c>
      <c r="C7" s="724"/>
      <c r="D7" s="724"/>
      <c r="E7" s="724"/>
      <c r="F7" s="724"/>
      <c r="G7" s="724"/>
      <c r="H7" s="724"/>
      <c r="I7" s="2"/>
      <c r="J7" s="2"/>
      <c r="K7" s="2"/>
      <c r="L7" s="2"/>
    </row>
    <row r="9" spans="1:12">
      <c r="D9" s="1134" t="s">
        <v>479</v>
      </c>
      <c r="E9" s="1134"/>
      <c r="F9" s="1134"/>
      <c r="G9" s="1134"/>
      <c r="H9" s="1134"/>
    </row>
    <row r="10" spans="1:12" ht="29.1">
      <c r="B10" s="522" t="s">
        <v>104</v>
      </c>
      <c r="C10" s="521" t="s">
        <v>711</v>
      </c>
      <c r="D10" s="719" t="s">
        <v>448</v>
      </c>
      <c r="E10" s="522" t="s">
        <v>460</v>
      </c>
      <c r="F10" s="522" t="s">
        <v>151</v>
      </c>
      <c r="G10" s="522" t="s">
        <v>462</v>
      </c>
      <c r="H10" s="719" t="s">
        <v>465</v>
      </c>
    </row>
    <row r="11" spans="1:12">
      <c r="B11" s="278" t="s">
        <v>483</v>
      </c>
      <c r="C11" s="334" t="s">
        <v>356</v>
      </c>
      <c r="D11" s="362" t="s">
        <v>477</v>
      </c>
      <c r="E11" s="374" t="str" cm="1">
        <f t="array" ref="E11">_xlfn.XLOOKUP(1,($B11=$B$34:$B$47)*(E$10=$C$34:$C$47),$G$34:$G$47,"Not found",0,1)</f>
        <v>LG(H)</v>
      </c>
      <c r="F11" s="374"/>
      <c r="G11" s="374"/>
      <c r="H11" s="374"/>
    </row>
    <row r="12" spans="1:12">
      <c r="B12" s="278" t="s">
        <v>484</v>
      </c>
      <c r="C12" s="334" t="s">
        <v>356</v>
      </c>
      <c r="D12" s="362" t="s">
        <v>477</v>
      </c>
      <c r="E12" s="374" t="str" cm="1">
        <f t="array" ref="E12">_xlfn.XLOOKUP(1,($B12=$B$34:$B$47)*(E$10=$C$34:$C$47),$G$34:$G$47,"Not found",0,1)</f>
        <v>LG(H)</v>
      </c>
      <c r="F12" s="374"/>
      <c r="G12" s="374"/>
      <c r="H12" s="374"/>
    </row>
    <row r="13" spans="1:12">
      <c r="B13" s="278" t="s">
        <v>485</v>
      </c>
      <c r="C13" s="334" t="s">
        <v>356</v>
      </c>
      <c r="D13" s="362" t="s">
        <v>477</v>
      </c>
      <c r="E13" s="374" t="str" cm="1">
        <f t="array" ref="E13">_xlfn.XLOOKUP(1,($B13=$B$34:$B$47)*(E$10=$C$34:$C$47),$G$34:$G$47,"Not found",0,1)</f>
        <v>LG(H)</v>
      </c>
      <c r="F13" s="374" cm="1">
        <f t="array" ref="F13">_xlfn.XLOOKUP(1,($B13=$B$149:$B$172)*(F$10=$C$149:$C$172),$G$149:$G$172,"Not found",0,1)</f>
        <v>146481.43112542774</v>
      </c>
      <c r="G13" s="374" cm="1">
        <f t="array" ref="G13">_xlfn.XLOOKUP(1,($B13=$B$149:$B$172)*(G$10=$C$149:$C$172),$G$149:$G$172,"Not found",0,1)</f>
        <v>355960.33619980043</v>
      </c>
      <c r="H13" s="374"/>
    </row>
    <row r="14" spans="1:12">
      <c r="B14" s="278" t="s">
        <v>486</v>
      </c>
      <c r="C14" s="334" t="s">
        <v>356</v>
      </c>
      <c r="D14" s="362" t="s">
        <v>477</v>
      </c>
      <c r="E14" s="374" t="str" cm="1">
        <f t="array" ref="E14">_xlfn.XLOOKUP(1,($B14=$B$34:$B$47)*(E$10=$C$34:$C$47),$G$34:$G$47,"Not found",0,1)</f>
        <v>LG(H)</v>
      </c>
      <c r="F14" s="374" cm="1">
        <f t="array" ref="F14">_xlfn.XLOOKUP(1,($B14=$B$149:$B$172)*(F$10=$C$149:$C$172),$G$149:$G$172,"Not found",0,1)</f>
        <v>721505.01918587042</v>
      </c>
      <c r="G14" s="374" t="str" cm="1">
        <f t="array" ref="G14">_xlfn.XLOOKUP(1,($B14=$B$149:$B$172)*(G$10=$C$149:$C$172),$G$149:$G$172,"Not found",0,1)</f>
        <v>LG(L)</v>
      </c>
      <c r="H14" s="374"/>
    </row>
    <row r="15" spans="1:12">
      <c r="B15" s="278" t="s">
        <v>487</v>
      </c>
      <c r="C15" s="334" t="s">
        <v>356</v>
      </c>
      <c r="D15" s="362" t="s">
        <v>477</v>
      </c>
      <c r="E15" s="374" t="str" cm="1">
        <f t="array" ref="E15">_xlfn.XLOOKUP(1,($B15=$B$34:$B$47)*(E$10=$C$34:$C$47),$G$34:$G$47,"Not found",0,1)</f>
        <v>LG(H)</v>
      </c>
      <c r="F15" s="374" cm="1">
        <f t="array" ref="F15">_xlfn.XLOOKUP(1,($B15=$B$149:$B$172)*(F$10=$C$149:$C$172),$G$149:$G$172,"Not found",0,1)</f>
        <v>146481.43112542774</v>
      </c>
      <c r="G15" s="374" cm="1">
        <f t="array" ref="G15">_xlfn.XLOOKUP(1,($B15=$B$149:$B$172)*(G$10=$C$149:$C$172),$G$149:$G$172,"Not found",0,1)</f>
        <v>355960.33619980043</v>
      </c>
      <c r="H15" s="374" t="str" cm="1">
        <f t="array" ref="H15">_xlfn.XLOOKUP(1,($B15=$B$202:$B$207)*(H$10=$C$202:$C$207),$G$202:$G$207,"Not found",0,1)</f>
        <v>LG(M)</v>
      </c>
    </row>
    <row r="16" spans="1:12">
      <c r="B16" s="278" t="s">
        <v>488</v>
      </c>
      <c r="C16" s="334" t="s">
        <v>356</v>
      </c>
      <c r="D16" s="362" t="s">
        <v>477</v>
      </c>
      <c r="E16" s="374" t="str" cm="1">
        <f t="array" ref="E16">_xlfn.XLOOKUP(1,($B16=$B$34:$B$47)*(E$10=$C$34:$C$47),$G$34:$G$47,"Not found",0,1)</f>
        <v>LG(H)</v>
      </c>
      <c r="F16" s="374" cm="1">
        <f t="array" ref="F16">_xlfn.XLOOKUP(1,($B16=$B$149:$B$172)*(F$10=$C$149:$C$172),$G$149:$G$172,"Not found",0,1)</f>
        <v>721505.01918587042</v>
      </c>
      <c r="G16" s="374" t="str" cm="1">
        <f t="array" ref="G16">_xlfn.XLOOKUP(1,($B16=$B$149:$B$172)*(G$10=$C$149:$C$172),$G$149:$G$172,"Not found",0,1)</f>
        <v>LG(L)</v>
      </c>
      <c r="H16" s="374" t="str" cm="1">
        <f t="array" ref="H16">_xlfn.XLOOKUP(1,($B16=$B$202:$B$207)*(H$10=$C$202:$C$207),$G$202:$G$207,"Not found",0,1)</f>
        <v>LG(M)</v>
      </c>
    </row>
    <row r="17" spans="1:8">
      <c r="B17" s="278" t="s">
        <v>489</v>
      </c>
      <c r="C17" s="334" t="s">
        <v>356</v>
      </c>
      <c r="D17" s="362" t="s">
        <v>477</v>
      </c>
      <c r="E17" s="374" t="str" cm="1">
        <f t="array" ref="E17">_xlfn.XLOOKUP(1,($B17=$B$34:$B$47)*(E$10=$C$34:$C$47),$G$34:$G$47,"Not found",0,1)</f>
        <v>LG(H)</v>
      </c>
      <c r="F17" s="374" cm="1">
        <f t="array" ref="F17">_xlfn.XLOOKUP(1,($B17=$B$149:$B$172)*(F$10=$C$149:$C$172),$G$149:$G$172,"Not found",0,1)</f>
        <v>146481.43112542774</v>
      </c>
      <c r="G17" s="374" cm="1">
        <f t="array" ref="G17">_xlfn.XLOOKUP(1,($B17=$B$149:$B$172)*(G$10=$C$149:$C$172),$G$149:$G$172,"Not found",0,1)</f>
        <v>355960.33619980043</v>
      </c>
      <c r="H17" s="374"/>
    </row>
    <row r="18" spans="1:8">
      <c r="B18" s="278" t="s">
        <v>490</v>
      </c>
      <c r="C18" s="334" t="s">
        <v>356</v>
      </c>
      <c r="D18" s="362" t="s">
        <v>477</v>
      </c>
      <c r="E18" s="374" t="str" cm="1">
        <f t="array" ref="E18">_xlfn.XLOOKUP(1,($B18=$B$34:$B$47)*(E$10=$C$34:$C$47),$G$34:$G$47,"Not found",0,1)</f>
        <v>LG(H)</v>
      </c>
      <c r="F18" s="374" cm="1">
        <f t="array" ref="F18">_xlfn.XLOOKUP(1,($B18=$B$149:$B$172)*(F$10=$C$149:$C$172),$G$149:$G$172,"Not found",0,1)</f>
        <v>721505.01918587042</v>
      </c>
      <c r="G18" s="374" t="str" cm="1">
        <f t="array" ref="G18">_xlfn.XLOOKUP(1,($B18=$B$149:$B$172)*(G$10=$C$149:$C$172),$G$149:$G$172,"Not found",0,1)</f>
        <v>LG(L)</v>
      </c>
      <c r="H18" s="374"/>
    </row>
    <row r="19" spans="1:8">
      <c r="B19" s="278" t="s">
        <v>491</v>
      </c>
      <c r="C19" s="334" t="s">
        <v>356</v>
      </c>
      <c r="D19" s="362" t="s">
        <v>477</v>
      </c>
      <c r="E19" s="374" t="str" cm="1">
        <f t="array" ref="E19">_xlfn.XLOOKUP(1,($B19=$B$34:$B$47)*(E$10=$C$34:$C$47),$G$34:$G$47,"Not found",0,1)</f>
        <v>LG(H)</v>
      </c>
      <c r="F19" s="374" cm="1">
        <f t="array" ref="F19">_xlfn.XLOOKUP(1,($B19=$B$149:$B$172)*(F$10=$C$149:$C$172),$G$149:$G$172,"Not found",0,1)</f>
        <v>146481.43112542774</v>
      </c>
      <c r="G19" s="374" cm="1">
        <f t="array" ref="G19">_xlfn.XLOOKUP(1,($B19=$B$149:$B$172)*(G$10=$C$149:$C$172),$G$149:$G$172,"Not found",0,1)</f>
        <v>355960.33619980043</v>
      </c>
      <c r="H19" s="374" t="str" cm="1">
        <f t="array" ref="H19">_xlfn.XLOOKUP(1,($B19=$B$202:$B$207)*(H$10=$C$202:$C$207),$G$202:$G$207,"Not found",0,1)</f>
        <v>LG(M)</v>
      </c>
    </row>
    <row r="20" spans="1:8">
      <c r="B20" s="278" t="s">
        <v>492</v>
      </c>
      <c r="C20" s="334" t="s">
        <v>356</v>
      </c>
      <c r="D20" s="362" t="s">
        <v>477</v>
      </c>
      <c r="E20" s="374" t="str" cm="1">
        <f t="array" ref="E20">_xlfn.XLOOKUP(1,($B20=$B$34:$B$47)*(E$10=$C$34:$C$47),$G$34:$G$47,"Not found",0,1)</f>
        <v>LG(H)</v>
      </c>
      <c r="F20" s="374" cm="1">
        <f t="array" ref="F20">_xlfn.XLOOKUP(1,($B20=$B$149:$B$172)*(F$10=$C$149:$C$172),$G$149:$G$172,"Not found",0,1)</f>
        <v>721505.01918587042</v>
      </c>
      <c r="G20" s="374" t="str" cm="1">
        <f t="array" ref="G20">_xlfn.XLOOKUP(1,($B20=$B$149:$B$172)*(G$10=$C$149:$C$172),$G$149:$G$172,"Not found",0,1)</f>
        <v>LG(L)</v>
      </c>
      <c r="H20" s="374" t="str" cm="1">
        <f t="array" ref="H20">_xlfn.XLOOKUP(1,($B20=$B$202:$B$207)*(H$10=$C$202:$C$207),$G$202:$G$207,"Not found",0,1)</f>
        <v>LG(M)</v>
      </c>
    </row>
    <row r="21" spans="1:8">
      <c r="B21" s="278" t="s">
        <v>493</v>
      </c>
      <c r="C21" s="334" t="s">
        <v>356</v>
      </c>
      <c r="D21" s="362" t="s">
        <v>477</v>
      </c>
      <c r="E21" s="374" t="str" cm="1">
        <f t="array" ref="E21">_xlfn.XLOOKUP(1,($B21=$B$34:$B$47)*(E$10=$C$34:$C$47),$G$34:$G$47,"Not found",0,1)</f>
        <v>LG(H)</v>
      </c>
      <c r="F21" s="374" cm="1">
        <f t="array" ref="F21">_xlfn.XLOOKUP(1,($B21=$B$149:$B$172)*(F$10=$C$149:$C$172),$G$149:$G$172,"Not found",0,1)</f>
        <v>146481.43112542774</v>
      </c>
      <c r="G21" s="374" cm="1">
        <f t="array" ref="G21">_xlfn.XLOOKUP(1,($B21=$B$149:$B$172)*(G$10=$C$149:$C$172),$G$149:$G$172,"Not found",0,1)</f>
        <v>355960.33619980043</v>
      </c>
      <c r="H21" s="374"/>
    </row>
    <row r="22" spans="1:8">
      <c r="B22" s="278" t="s">
        <v>494</v>
      </c>
      <c r="C22" s="334" t="s">
        <v>356</v>
      </c>
      <c r="D22" s="362" t="s">
        <v>477</v>
      </c>
      <c r="E22" s="374" t="str" cm="1">
        <f t="array" ref="E22">_xlfn.XLOOKUP(1,($B22=$B$34:$B$47)*(E$10=$C$34:$C$47),$G$34:$G$47,"Not found",0,1)</f>
        <v>LG(H)</v>
      </c>
      <c r="F22" s="374" cm="1">
        <f t="array" ref="F22">_xlfn.XLOOKUP(1,($B22=$B$149:$B$172)*(F$10=$C$149:$C$172),$G$149:$G$172,"Not found",0,1)</f>
        <v>721505.01918587042</v>
      </c>
      <c r="G22" s="374" t="str" cm="1">
        <f t="array" ref="G22">_xlfn.XLOOKUP(1,($B22=$B$149:$B$172)*(G$10=$C$149:$C$172),$G$149:$G$172,"Not found",0,1)</f>
        <v>LG(L)</v>
      </c>
      <c r="H22" s="374"/>
    </row>
    <row r="23" spans="1:8">
      <c r="B23" s="278" t="s">
        <v>495</v>
      </c>
      <c r="C23" s="334" t="s">
        <v>356</v>
      </c>
      <c r="D23" s="362" t="s">
        <v>477</v>
      </c>
      <c r="E23" s="374" t="str" cm="1">
        <f t="array" ref="E23">_xlfn.XLOOKUP(1,($B23=$B$34:$B$47)*(E$10=$C$34:$C$47),$G$34:$G$47,"Not found",0,1)</f>
        <v>LG(H)</v>
      </c>
      <c r="F23" s="374" cm="1">
        <f t="array" ref="F23">_xlfn.XLOOKUP(1,($B23=$B$149:$B$172)*(F$10=$C$149:$C$172),$G$149:$G$172,"Not found",0,1)</f>
        <v>146481.43112542774</v>
      </c>
      <c r="G23" s="374" cm="1">
        <f t="array" ref="G23">_xlfn.XLOOKUP(1,($B23=$B$149:$B$172)*(G$10=$C$149:$C$172),$G$149:$G$172,"Not found",0,1)</f>
        <v>355960.33619980043</v>
      </c>
      <c r="H23" s="374" t="str" cm="1">
        <f t="array" ref="H23">_xlfn.XLOOKUP(1,($B23=$B$202:$B$207)*(H$10=$C$202:$C$207),$G$202:$G$207,"Not found",0,1)</f>
        <v>LG(M)</v>
      </c>
    </row>
    <row r="24" spans="1:8">
      <c r="B24" s="278" t="s">
        <v>496</v>
      </c>
      <c r="C24" s="334" t="s">
        <v>356</v>
      </c>
      <c r="D24" s="362" t="s">
        <v>477</v>
      </c>
      <c r="E24" s="374" t="str" cm="1">
        <f t="array" ref="E24">_xlfn.XLOOKUP(1,($B24=$B$34:$B$47)*(E$10=$C$34:$C$47),$G$34:$G$47,"Not found",0,1)</f>
        <v>LG(H)</v>
      </c>
      <c r="F24" s="374" cm="1">
        <f t="array" ref="F24">_xlfn.XLOOKUP(1,($B24=$B$149:$B$172)*(F$10=$C$149:$C$172),$G$149:$G$172,"Not found",0,1)</f>
        <v>721505.01918587042</v>
      </c>
      <c r="G24" s="374" t="str" cm="1">
        <f t="array" ref="G24">_xlfn.XLOOKUP(1,($B24=$B$149:$B$172)*(G$10=$C$149:$C$172),$G$149:$G$172,"Not found",0,1)</f>
        <v>LG(L)</v>
      </c>
      <c r="H24" s="374" t="str" cm="1">
        <f t="array" ref="H24">_xlfn.XLOOKUP(1,($B24=$B$202:$B$207)*(H$10=$C$202:$C$207),$G$202:$G$207,"Not found",0,1)</f>
        <v>LG(M)</v>
      </c>
    </row>
    <row r="25" spans="1:8">
      <c r="B25" s="800" t="s">
        <v>896</v>
      </c>
    </row>
    <row r="26" spans="1:8">
      <c r="B26" s="800"/>
    </row>
    <row r="27" spans="1:8">
      <c r="A27" s="721"/>
      <c r="B27" s="722" t="s">
        <v>460</v>
      </c>
      <c r="C27" s="721"/>
      <c r="D27" s="721"/>
      <c r="E27" s="721"/>
      <c r="F27" s="721"/>
      <c r="G27" s="721"/>
      <c r="H27" s="721"/>
    </row>
    <row r="28" spans="1:8">
      <c r="A28" s="727"/>
      <c r="B28" s="729" t="s">
        <v>897</v>
      </c>
      <c r="C28" s="727"/>
      <c r="D28" s="727"/>
      <c r="E28" s="727"/>
      <c r="F28" s="727"/>
      <c r="G28" s="727"/>
      <c r="H28" s="727"/>
    </row>
    <row r="29" spans="1:8">
      <c r="B29" s="277" t="s">
        <v>898</v>
      </c>
      <c r="C29" s="277" t="s">
        <v>899</v>
      </c>
    </row>
    <row r="30" spans="1:8">
      <c r="B30" s="278" t="s">
        <v>460</v>
      </c>
      <c r="C30" s="278" t="s">
        <v>900</v>
      </c>
    </row>
    <row r="31" spans="1:8">
      <c r="B31" s="16"/>
    </row>
    <row r="32" spans="1:8">
      <c r="A32" s="727"/>
      <c r="B32" s="728" t="s">
        <v>901</v>
      </c>
      <c r="C32" s="727"/>
      <c r="D32" s="727"/>
      <c r="E32" s="727"/>
      <c r="F32" s="727"/>
      <c r="G32" s="727"/>
      <c r="H32" s="727"/>
    </row>
    <row r="33" spans="2:7" ht="29.1">
      <c r="B33" s="522" t="s">
        <v>902</v>
      </c>
      <c r="C33" s="522" t="s">
        <v>898</v>
      </c>
      <c r="D33" s="522" t="s">
        <v>899</v>
      </c>
      <c r="E33" s="719" t="s">
        <v>903</v>
      </c>
      <c r="F33" s="522" t="s">
        <v>904</v>
      </c>
      <c r="G33" s="522" t="s">
        <v>905</v>
      </c>
    </row>
    <row r="34" spans="2:7">
      <c r="B34" s="278" t="s">
        <v>483</v>
      </c>
      <c r="C34" s="463" t="s">
        <v>460</v>
      </c>
      <c r="D34" s="278" t="s">
        <v>900</v>
      </c>
      <c r="E34" s="463" t="s">
        <v>906</v>
      </c>
      <c r="F34" s="601" t="s">
        <v>907</v>
      </c>
      <c r="G34" s="306" t="s">
        <v>477</v>
      </c>
    </row>
    <row r="35" spans="2:7">
      <c r="B35" s="278" t="s">
        <v>484</v>
      </c>
      <c r="C35" s="463" t="s">
        <v>460</v>
      </c>
      <c r="D35" s="278" t="s">
        <v>900</v>
      </c>
      <c r="E35" s="463" t="s">
        <v>906</v>
      </c>
      <c r="F35" s="601" t="s">
        <v>907</v>
      </c>
      <c r="G35" s="306" t="s">
        <v>477</v>
      </c>
    </row>
    <row r="36" spans="2:7">
      <c r="B36" s="278" t="s">
        <v>485</v>
      </c>
      <c r="C36" s="463" t="s">
        <v>460</v>
      </c>
      <c r="D36" s="278" t="s">
        <v>900</v>
      </c>
      <c r="E36" s="463" t="s">
        <v>906</v>
      </c>
      <c r="F36" s="601" t="s">
        <v>907</v>
      </c>
      <c r="G36" s="306" t="s">
        <v>477</v>
      </c>
    </row>
    <row r="37" spans="2:7">
      <c r="B37" s="278" t="s">
        <v>486</v>
      </c>
      <c r="C37" s="463" t="s">
        <v>460</v>
      </c>
      <c r="D37" s="278" t="s">
        <v>900</v>
      </c>
      <c r="E37" s="463" t="s">
        <v>906</v>
      </c>
      <c r="F37" s="601" t="s">
        <v>907</v>
      </c>
      <c r="G37" s="306" t="s">
        <v>477</v>
      </c>
    </row>
    <row r="38" spans="2:7">
      <c r="B38" s="278" t="s">
        <v>487</v>
      </c>
      <c r="C38" s="463" t="s">
        <v>460</v>
      </c>
      <c r="D38" s="278" t="s">
        <v>900</v>
      </c>
      <c r="E38" s="463" t="s">
        <v>906</v>
      </c>
      <c r="F38" s="601" t="s">
        <v>907</v>
      </c>
      <c r="G38" s="306" t="s">
        <v>477</v>
      </c>
    </row>
    <row r="39" spans="2:7">
      <c r="B39" s="278" t="s">
        <v>488</v>
      </c>
      <c r="C39" s="463" t="s">
        <v>460</v>
      </c>
      <c r="D39" s="278" t="s">
        <v>900</v>
      </c>
      <c r="E39" s="463" t="s">
        <v>906</v>
      </c>
      <c r="F39" s="601" t="s">
        <v>907</v>
      </c>
      <c r="G39" s="306" t="s">
        <v>477</v>
      </c>
    </row>
    <row r="40" spans="2:7">
      <c r="B40" s="278" t="s">
        <v>489</v>
      </c>
      <c r="C40" s="463" t="s">
        <v>460</v>
      </c>
      <c r="D40" s="278" t="s">
        <v>900</v>
      </c>
      <c r="E40" s="463" t="s">
        <v>906</v>
      </c>
      <c r="F40" s="601" t="s">
        <v>907</v>
      </c>
      <c r="G40" s="306" t="s">
        <v>477</v>
      </c>
    </row>
    <row r="41" spans="2:7">
      <c r="B41" s="278" t="s">
        <v>490</v>
      </c>
      <c r="C41" s="463" t="s">
        <v>460</v>
      </c>
      <c r="D41" s="278" t="s">
        <v>900</v>
      </c>
      <c r="E41" s="463" t="s">
        <v>906</v>
      </c>
      <c r="F41" s="601" t="s">
        <v>907</v>
      </c>
      <c r="G41" s="306" t="s">
        <v>477</v>
      </c>
    </row>
    <row r="42" spans="2:7">
      <c r="B42" s="278" t="s">
        <v>491</v>
      </c>
      <c r="C42" s="463" t="s">
        <v>460</v>
      </c>
      <c r="D42" s="278" t="s">
        <v>900</v>
      </c>
      <c r="E42" s="463" t="s">
        <v>906</v>
      </c>
      <c r="F42" s="601" t="s">
        <v>907</v>
      </c>
      <c r="G42" s="306" t="s">
        <v>477</v>
      </c>
    </row>
    <row r="43" spans="2:7">
      <c r="B43" s="278" t="s">
        <v>492</v>
      </c>
      <c r="C43" s="463" t="s">
        <v>460</v>
      </c>
      <c r="D43" s="278" t="s">
        <v>900</v>
      </c>
      <c r="E43" s="463" t="s">
        <v>906</v>
      </c>
      <c r="F43" s="601" t="s">
        <v>907</v>
      </c>
      <c r="G43" s="306" t="s">
        <v>477</v>
      </c>
    </row>
    <row r="44" spans="2:7">
      <c r="B44" s="278" t="s">
        <v>493</v>
      </c>
      <c r="C44" s="463" t="s">
        <v>460</v>
      </c>
      <c r="D44" s="278" t="s">
        <v>900</v>
      </c>
      <c r="E44" s="463" t="s">
        <v>906</v>
      </c>
      <c r="F44" s="601" t="s">
        <v>907</v>
      </c>
      <c r="G44" s="306" t="s">
        <v>477</v>
      </c>
    </row>
    <row r="45" spans="2:7">
      <c r="B45" s="278" t="s">
        <v>494</v>
      </c>
      <c r="C45" s="463" t="s">
        <v>460</v>
      </c>
      <c r="D45" s="278" t="s">
        <v>900</v>
      </c>
      <c r="E45" s="463" t="s">
        <v>906</v>
      </c>
      <c r="F45" s="601" t="s">
        <v>907</v>
      </c>
      <c r="G45" s="306" t="s">
        <v>477</v>
      </c>
    </row>
    <row r="46" spans="2:7">
      <c r="B46" s="278" t="s">
        <v>495</v>
      </c>
      <c r="C46" s="463" t="s">
        <v>460</v>
      </c>
      <c r="D46" s="278" t="s">
        <v>900</v>
      </c>
      <c r="E46" s="463" t="s">
        <v>906</v>
      </c>
      <c r="F46" s="601" t="s">
        <v>907</v>
      </c>
      <c r="G46" s="306" t="s">
        <v>477</v>
      </c>
    </row>
    <row r="47" spans="2:7">
      <c r="B47" s="278" t="s">
        <v>496</v>
      </c>
      <c r="C47" s="463" t="s">
        <v>460</v>
      </c>
      <c r="D47" s="278" t="s">
        <v>900</v>
      </c>
      <c r="E47" s="463" t="s">
        <v>906</v>
      </c>
      <c r="F47" s="601" t="s">
        <v>907</v>
      </c>
      <c r="G47" s="306" t="s">
        <v>477</v>
      </c>
    </row>
    <row r="48" spans="2:7">
      <c r="B48" s="16"/>
    </row>
    <row r="49" spans="1:8">
      <c r="A49" s="721"/>
      <c r="B49" s="722" t="s">
        <v>908</v>
      </c>
      <c r="C49" s="721"/>
      <c r="D49" s="721"/>
      <c r="E49" s="721"/>
      <c r="F49" s="721"/>
      <c r="G49" s="721"/>
      <c r="H49" s="721"/>
    </row>
    <row r="50" spans="1:8">
      <c r="A50" s="727"/>
      <c r="B50" s="729" t="s">
        <v>897</v>
      </c>
      <c r="C50" s="727"/>
      <c r="D50" s="727"/>
      <c r="E50" s="727"/>
      <c r="F50" s="727"/>
      <c r="G50" s="727"/>
      <c r="H50" s="727"/>
    </row>
    <row r="51" spans="1:8">
      <c r="B51" s="277" t="s">
        <v>898</v>
      </c>
      <c r="C51" s="277" t="s">
        <v>899</v>
      </c>
    </row>
    <row r="52" spans="1:8">
      <c r="B52" s="278" t="s">
        <v>151</v>
      </c>
      <c r="C52" s="278" t="s">
        <v>909</v>
      </c>
    </row>
    <row r="53" spans="1:8">
      <c r="B53" s="278" t="s">
        <v>462</v>
      </c>
      <c r="C53" s="278" t="s">
        <v>910</v>
      </c>
    </row>
    <row r="54" spans="1:8">
      <c r="B54" s="16"/>
    </row>
    <row r="55" spans="1:8">
      <c r="A55" s="727"/>
      <c r="B55" s="728" t="s">
        <v>911</v>
      </c>
      <c r="C55" s="727"/>
      <c r="D55" s="727"/>
      <c r="E55" s="727"/>
      <c r="F55" s="727"/>
      <c r="G55" s="727"/>
      <c r="H55" s="727"/>
    </row>
    <row r="56" spans="1:8">
      <c r="A56" s="725"/>
      <c r="B56" s="726" t="s">
        <v>912</v>
      </c>
      <c r="C56" s="725"/>
      <c r="D56" s="725"/>
      <c r="E56" s="725"/>
      <c r="F56" s="725"/>
      <c r="G56" s="725"/>
      <c r="H56" s="725"/>
    </row>
    <row r="57" spans="1:8" ht="34.5" customHeight="1">
      <c r="B57" s="719" t="s">
        <v>913</v>
      </c>
      <c r="C57" s="719" t="s">
        <v>914</v>
      </c>
      <c r="D57" s="719" t="s">
        <v>915</v>
      </c>
      <c r="E57" s="719" t="s">
        <v>916</v>
      </c>
      <c r="F57" s="719" t="s">
        <v>917</v>
      </c>
      <c r="G57" s="719" t="s">
        <v>918</v>
      </c>
      <c r="H57" s="719" t="s">
        <v>919</v>
      </c>
    </row>
    <row r="58" spans="1:8">
      <c r="B58" s="278">
        <v>136</v>
      </c>
      <c r="C58" s="278" t="s">
        <v>920</v>
      </c>
      <c r="D58" s="279" t="s">
        <v>907</v>
      </c>
      <c r="E58" s="278">
        <v>2018</v>
      </c>
      <c r="F58" s="278" t="s">
        <v>921</v>
      </c>
      <c r="G58" s="278" t="s">
        <v>922</v>
      </c>
      <c r="H58" s="278" t="s">
        <v>923</v>
      </c>
    </row>
    <row r="59" spans="1:8">
      <c r="B59" s="16"/>
    </row>
    <row r="60" spans="1:8">
      <c r="A60" s="725"/>
      <c r="B60" s="726" t="s">
        <v>924</v>
      </c>
      <c r="C60" s="725"/>
      <c r="D60" s="725"/>
      <c r="E60" s="725"/>
      <c r="F60" s="725"/>
      <c r="G60" s="725"/>
      <c r="H60" s="725"/>
    </row>
    <row r="61" spans="1:8">
      <c r="B61" s="277" t="s">
        <v>165</v>
      </c>
      <c r="C61" s="277" t="s">
        <v>925</v>
      </c>
      <c r="D61" s="277" t="s">
        <v>926</v>
      </c>
      <c r="E61" s="1134" t="s">
        <v>927</v>
      </c>
      <c r="F61" s="1134"/>
      <c r="G61" s="1134"/>
      <c r="H61" s="1134"/>
    </row>
    <row r="62" spans="1:8">
      <c r="B62" s="278" t="s">
        <v>169</v>
      </c>
      <c r="C62" s="278" t="s">
        <v>166</v>
      </c>
      <c r="D62" s="278">
        <f>VLOOKUP(C62,METHODOLOGY!$C$175:$D$177,2,FALSE)</f>
        <v>3</v>
      </c>
      <c r="E62" s="1087" t="str">
        <f>_xlfn.XLOOKUP(C62,METHODOLOGY!$E$150:$O$150,METHODOLOGY!$E$151:$O$151,"",0,1)</f>
        <v>Monetary values have been peer reviewed or are recommended / referenced in other, well recognised and accepted guidance / tools relevant to the water sector.</v>
      </c>
      <c r="F62" s="1087"/>
      <c r="G62" s="1087"/>
      <c r="H62" s="1087"/>
    </row>
    <row r="63" spans="1:8">
      <c r="B63" s="278" t="s">
        <v>173</v>
      </c>
      <c r="C63" s="278" t="s">
        <v>166</v>
      </c>
      <c r="D63" s="278">
        <f>VLOOKUP(C63,METHODOLOGY!$C$175:$D$177,2,FALSE)</f>
        <v>3</v>
      </c>
      <c r="E63" s="1087" t="str">
        <f>_xlfn.XLOOKUP(C63,METHODOLOGY!$E$150:$O$150,METHODOLOGY!$E$155:$O$155,"",0,1)</f>
        <v>Study has few limitations and is considered robust.</v>
      </c>
      <c r="F63" s="1087"/>
      <c r="G63" s="1087"/>
      <c r="H63" s="1087"/>
    </row>
    <row r="64" spans="1:8">
      <c r="B64" s="278" t="s">
        <v>177</v>
      </c>
      <c r="C64" s="278" t="s">
        <v>167</v>
      </c>
      <c r="D64" s="278">
        <f>VLOOKUP(C64,METHODOLOGY!$C$175:$D$177,2,FALSE)</f>
        <v>2</v>
      </c>
      <c r="E64" s="1087" t="str">
        <f>_xlfn.XLOOKUP(C64,METHODOLOGY!$E$150:$O$150,METHODOLOGY!$E$158:$O$158,"",0,1)</f>
        <v>6-10 years</v>
      </c>
      <c r="F64" s="1087"/>
      <c r="G64" s="1087"/>
      <c r="H64" s="1087"/>
    </row>
    <row r="65" spans="1:8">
      <c r="B65" s="278" t="s">
        <v>181</v>
      </c>
      <c r="C65" s="278" t="s">
        <v>167</v>
      </c>
      <c r="D65" s="278">
        <f>VLOOKUP(C65,METHODOLOGY!$C$175:$D$177,2,FALSE)</f>
        <v>2</v>
      </c>
      <c r="E65" s="1087" t="str">
        <f>_xlfn.XLOOKUP(C65,METHODOLOGY!$E$150:$O$150,METHODOLOGY!$E$160:$O$160,"",0,1)</f>
        <v>Less geographically relevant e.g. Europe or relevant to a specific UK region</v>
      </c>
      <c r="F65" s="1087"/>
      <c r="G65" s="1087"/>
      <c r="H65" s="1087"/>
    </row>
    <row r="66" spans="1:8">
      <c r="B66" s="278" t="s">
        <v>928</v>
      </c>
      <c r="C66" s="278" t="s">
        <v>166</v>
      </c>
      <c r="D66" s="278">
        <f>VLOOKUP(C66,METHODOLOGY!$C$175:$D$177,2,FALSE)</f>
        <v>3</v>
      </c>
      <c r="E66" s="1087" t="str">
        <f>_xlfn.XLOOKUP(C66,METHODOLOGY!$E$150:$O$150,METHODOLOGY!$E$162:$O$162,"",0,1)</f>
        <v>Clear understanding of the valuation method and how the value should be applied.</v>
      </c>
      <c r="F66" s="1087"/>
      <c r="G66" s="1087"/>
      <c r="H66" s="1087"/>
    </row>
    <row r="67" spans="1:8">
      <c r="B67" s="278" t="s">
        <v>189</v>
      </c>
      <c r="C67" s="278" t="s">
        <v>167</v>
      </c>
      <c r="D67" s="278">
        <f>VLOOKUP(C67,METHODOLOGY!$C$175:$D$177,2,FALSE)</f>
        <v>2</v>
      </c>
      <c r="E67" s="1087" t="str">
        <f>_xlfn.XLOOKUP(C67,METHODOLOGY!$E$150:$O$150,METHODOLOGY!$E$164:$O$164,"",0,1)</f>
        <v xml:space="preserve">The original valuation can be used with some modification e.g. applying household numbers. The calculation is simple or introduces low levels of uncertainty. </v>
      </c>
      <c r="F67" s="1087"/>
      <c r="G67" s="1087"/>
      <c r="H67" s="1087"/>
    </row>
    <row r="68" spans="1:8">
      <c r="C68" s="282" t="s">
        <v>924</v>
      </c>
      <c r="D68" s="326">
        <f>IF(AND(D67=1,AVERAGE(D62:D67)&gt;2.14285714285714),2.14285714285714,IF(AND(D67=2,AVERAGE(D62:D67)&gt;2.57142857142857),2.57142857142857,AVERAGE(D62:D67)))</f>
        <v>2.5</v>
      </c>
      <c r="E68" s="270" t="str">
        <f>IF(D68&lt;=2.14285714285714,"Red",IF(D68&lt;=2.57142857142857,"Amber",IF(D68&lt;=3,"Green")))</f>
        <v>Amber</v>
      </c>
    </row>
    <row r="70" spans="1:8">
      <c r="A70" s="725"/>
      <c r="B70" s="726" t="s">
        <v>929</v>
      </c>
      <c r="C70" s="725"/>
      <c r="D70" s="725"/>
      <c r="E70" s="725"/>
      <c r="F70" s="725"/>
      <c r="G70" s="725"/>
      <c r="H70" s="725"/>
    </row>
    <row r="71" spans="1:8">
      <c r="B71" s="277" t="s">
        <v>898</v>
      </c>
      <c r="C71" s="277" t="s">
        <v>331</v>
      </c>
      <c r="D71" s="277" t="s">
        <v>226</v>
      </c>
      <c r="E71" s="1128" t="s">
        <v>930</v>
      </c>
      <c r="F71" s="1129"/>
      <c r="G71" s="1130"/>
      <c r="H71" s="522" t="s">
        <v>913</v>
      </c>
    </row>
    <row r="72" spans="1:8">
      <c r="B72" s="278" t="s">
        <v>151</v>
      </c>
      <c r="C72" s="387">
        <v>2381</v>
      </c>
      <c r="D72" s="364" t="s">
        <v>931</v>
      </c>
      <c r="E72" s="1123" t="s">
        <v>932</v>
      </c>
      <c r="F72" s="1124"/>
      <c r="G72" s="1125"/>
      <c r="H72" s="1131">
        <v>22</v>
      </c>
    </row>
    <row r="73" spans="1:8" ht="15" customHeight="1">
      <c r="B73" s="278" t="s">
        <v>462</v>
      </c>
      <c r="C73" s="297">
        <v>5786</v>
      </c>
      <c r="D73" s="364" t="s">
        <v>931</v>
      </c>
      <c r="E73" s="1118" t="s">
        <v>933</v>
      </c>
      <c r="F73" s="1119"/>
      <c r="G73" s="1091"/>
      <c r="H73" s="1132"/>
    </row>
    <row r="74" spans="1:8" ht="15" customHeight="1">
      <c r="B74" s="278" t="s">
        <v>934</v>
      </c>
      <c r="C74" s="305">
        <v>20</v>
      </c>
      <c r="D74" s="364" t="s">
        <v>935</v>
      </c>
      <c r="E74" s="1118"/>
      <c r="F74" s="1119"/>
      <c r="G74" s="1091"/>
      <c r="H74" s="1133"/>
    </row>
    <row r="90" spans="1:23">
      <c r="A90" s="725"/>
      <c r="B90" s="726" t="s">
        <v>936</v>
      </c>
      <c r="C90" s="725"/>
      <c r="D90" s="725"/>
      <c r="E90" s="725"/>
      <c r="F90" s="725"/>
      <c r="G90" s="725"/>
      <c r="H90" s="725"/>
    </row>
    <row r="91" spans="1:23" ht="79.5" customHeight="1">
      <c r="B91" s="298" t="s">
        <v>937</v>
      </c>
      <c r="C91" s="298" t="s">
        <v>938</v>
      </c>
      <c r="D91" s="298" t="s">
        <v>226</v>
      </c>
      <c r="E91" s="298" t="s">
        <v>939</v>
      </c>
      <c r="F91" s="298" t="s">
        <v>940</v>
      </c>
    </row>
    <row r="92" spans="1:23">
      <c r="B92" s="375" t="s">
        <v>941</v>
      </c>
      <c r="C92" s="396">
        <f>C72*1000</f>
        <v>2381000</v>
      </c>
      <c r="D92" s="364" t="s">
        <v>931</v>
      </c>
      <c r="E92" s="278">
        <f>C74</f>
        <v>20</v>
      </c>
      <c r="F92" s="387">
        <f>C92/E92</f>
        <v>119050</v>
      </c>
    </row>
    <row r="93" spans="1:23">
      <c r="B93" s="375" t="s">
        <v>942</v>
      </c>
      <c r="C93" s="396">
        <f>C73*1000</f>
        <v>5786000</v>
      </c>
      <c r="D93" s="364" t="s">
        <v>931</v>
      </c>
      <c r="E93" s="278">
        <f>C74</f>
        <v>20</v>
      </c>
      <c r="F93" s="387">
        <f>C93/E93</f>
        <v>289300</v>
      </c>
    </row>
    <row r="95" spans="1:23" s="262" customFormat="1">
      <c r="A95" s="727"/>
      <c r="B95" s="728" t="s">
        <v>943</v>
      </c>
      <c r="C95" s="727"/>
      <c r="D95" s="727"/>
      <c r="E95" s="727"/>
      <c r="F95" s="727"/>
      <c r="G95" s="727"/>
      <c r="H95" s="727"/>
      <c r="I95" s="2"/>
      <c r="J95" s="2"/>
      <c r="K95" s="2"/>
      <c r="L95" s="2"/>
      <c r="M95" s="2"/>
      <c r="N95" s="2"/>
      <c r="O95" s="2"/>
      <c r="P95" s="2"/>
      <c r="Q95" s="2"/>
      <c r="R95" s="2"/>
      <c r="S95" s="2"/>
      <c r="T95" s="2"/>
      <c r="U95" s="2"/>
      <c r="V95" s="2"/>
      <c r="W95" s="2"/>
    </row>
    <row r="96" spans="1:23" s="262" customFormat="1">
      <c r="A96" s="725"/>
      <c r="B96" s="726" t="s">
        <v>912</v>
      </c>
      <c r="C96" s="725"/>
      <c r="D96" s="725"/>
      <c r="E96" s="725"/>
      <c r="F96" s="725"/>
      <c r="G96" s="725"/>
      <c r="H96" s="725"/>
      <c r="I96" s="2"/>
      <c r="J96" s="2"/>
      <c r="K96" s="2"/>
      <c r="L96" s="2"/>
      <c r="M96" s="2"/>
      <c r="N96" s="2"/>
      <c r="O96" s="2"/>
      <c r="P96" s="2"/>
      <c r="Q96" s="2"/>
      <c r="R96" s="2"/>
      <c r="S96" s="2"/>
      <c r="T96" s="2"/>
      <c r="U96" s="2"/>
      <c r="V96" s="2"/>
      <c r="W96" s="2"/>
    </row>
    <row r="97" spans="1:23" ht="29.1">
      <c r="B97" s="719" t="s">
        <v>913</v>
      </c>
      <c r="C97" s="719" t="s">
        <v>914</v>
      </c>
      <c r="D97" s="719" t="s">
        <v>915</v>
      </c>
      <c r="E97" s="719" t="s">
        <v>916</v>
      </c>
      <c r="F97" s="719" t="s">
        <v>917</v>
      </c>
      <c r="G97" s="719" t="s">
        <v>918</v>
      </c>
      <c r="H97" s="719" t="s">
        <v>919</v>
      </c>
    </row>
    <row r="98" spans="1:23">
      <c r="B98" s="278">
        <v>134</v>
      </c>
      <c r="C98" s="278" t="s">
        <v>944</v>
      </c>
      <c r="D98" s="279" t="s">
        <v>907</v>
      </c>
      <c r="E98" s="278">
        <v>2022</v>
      </c>
      <c r="F98" s="278" t="s">
        <v>921</v>
      </c>
      <c r="G98" s="278" t="s">
        <v>945</v>
      </c>
      <c r="H98" s="278" t="s">
        <v>923</v>
      </c>
    </row>
    <row r="99" spans="1:23">
      <c r="B99" s="16"/>
    </row>
    <row r="100" spans="1:23" s="262" customFormat="1">
      <c r="A100" s="725"/>
      <c r="B100" s="726" t="s">
        <v>924</v>
      </c>
      <c r="C100" s="725"/>
      <c r="D100" s="725"/>
      <c r="E100" s="725"/>
      <c r="F100" s="725"/>
      <c r="G100" s="725"/>
      <c r="H100" s="725"/>
      <c r="I100" s="2"/>
      <c r="J100" s="2"/>
      <c r="K100" s="2"/>
      <c r="L100" s="2"/>
      <c r="M100" s="2"/>
      <c r="N100" s="2"/>
      <c r="O100" s="2"/>
      <c r="P100" s="2"/>
      <c r="Q100" s="2"/>
      <c r="R100" s="2"/>
      <c r="S100" s="2"/>
      <c r="T100" s="2"/>
      <c r="U100" s="2"/>
      <c r="V100" s="2"/>
      <c r="W100" s="2"/>
    </row>
    <row r="101" spans="1:23">
      <c r="B101" s="277" t="s">
        <v>165</v>
      </c>
      <c r="C101" s="277" t="s">
        <v>925</v>
      </c>
      <c r="D101" s="277" t="s">
        <v>926</v>
      </c>
      <c r="E101" s="1138" t="s">
        <v>927</v>
      </c>
      <c r="F101" s="1138"/>
      <c r="G101" s="1138"/>
      <c r="H101" s="1138"/>
    </row>
    <row r="102" spans="1:23">
      <c r="B102" s="278" t="s">
        <v>169</v>
      </c>
      <c r="C102" s="278" t="s">
        <v>166</v>
      </c>
      <c r="D102" s="278">
        <f>VLOOKUP(C102,METHODOLOGY!$C$175:$D$177,2,FALSE)</f>
        <v>3</v>
      </c>
      <c r="E102" s="1087" t="str">
        <f>_xlfn.XLOOKUP(C102,METHODOLOGY!$E$150:$O$150,METHODOLOGY!$E$151:$O$151,"",0,1)</f>
        <v>Monetary values have been peer reviewed or are recommended / referenced in other, well recognised and accepted guidance / tools relevant to the water sector.</v>
      </c>
      <c r="F102" s="1087"/>
      <c r="G102" s="1087"/>
      <c r="H102" s="1087"/>
    </row>
    <row r="103" spans="1:23">
      <c r="B103" s="278" t="s">
        <v>173</v>
      </c>
      <c r="C103" s="278" t="s">
        <v>166</v>
      </c>
      <c r="D103" s="278">
        <f>VLOOKUP(C103,METHODOLOGY!$C$175:$D$177,2,FALSE)</f>
        <v>3</v>
      </c>
      <c r="E103" s="1087" t="str">
        <f>_xlfn.XLOOKUP(C103,METHODOLOGY!$E$150:$O$150,METHODOLOGY!$E$155:$O$155,"",0,1)</f>
        <v>Study has few limitations and is considered robust.</v>
      </c>
      <c r="F103" s="1087"/>
      <c r="G103" s="1087"/>
      <c r="H103" s="1087"/>
    </row>
    <row r="104" spans="1:23">
      <c r="B104" s="278" t="s">
        <v>177</v>
      </c>
      <c r="C104" s="278" t="s">
        <v>166</v>
      </c>
      <c r="D104" s="278">
        <f>VLOOKUP(C104,METHODOLOGY!$C$175:$D$177,2,FALSE)</f>
        <v>3</v>
      </c>
      <c r="E104" s="1087" t="str">
        <f>_xlfn.XLOOKUP(C104,METHODOLOGY!$E$150:$O$150,METHODOLOGY!$E$158:$O$158,"",0,1)</f>
        <v>0 – 5 years</v>
      </c>
      <c r="F104" s="1087"/>
      <c r="G104" s="1087"/>
      <c r="H104" s="1087"/>
    </row>
    <row r="105" spans="1:23">
      <c r="B105" s="278" t="s">
        <v>181</v>
      </c>
      <c r="C105" s="278" t="s">
        <v>167</v>
      </c>
      <c r="D105" s="278">
        <f>VLOOKUP(C105,METHODOLOGY!$C$175:$D$177,2,FALSE)</f>
        <v>2</v>
      </c>
      <c r="E105" s="1087" t="str">
        <f>_xlfn.XLOOKUP(C105,METHODOLOGY!$E$150:$O$150,METHODOLOGY!$E$160:$O$160,"",0,1)</f>
        <v>Less geographically relevant e.g. Europe or relevant to a specific UK region</v>
      </c>
      <c r="F105" s="1087"/>
      <c r="G105" s="1087"/>
      <c r="H105" s="1087"/>
    </row>
    <row r="106" spans="1:23">
      <c r="B106" s="278" t="s">
        <v>928</v>
      </c>
      <c r="C106" s="278" t="s">
        <v>166</v>
      </c>
      <c r="D106" s="278">
        <f>VLOOKUP(C106,METHODOLOGY!$C$175:$D$177,2,FALSE)</f>
        <v>3</v>
      </c>
      <c r="E106" s="1087" t="str">
        <f>_xlfn.XLOOKUP(C106,METHODOLOGY!$E$150:$O$150,METHODOLOGY!$E$162:$O$162,"",0,1)</f>
        <v>Clear understanding of the valuation method and how the value should be applied.</v>
      </c>
      <c r="F106" s="1087"/>
      <c r="G106" s="1087"/>
      <c r="H106" s="1087"/>
    </row>
    <row r="107" spans="1:23">
      <c r="B107" s="278" t="s">
        <v>189</v>
      </c>
      <c r="C107" s="278" t="s">
        <v>167</v>
      </c>
      <c r="D107" s="278">
        <f>VLOOKUP(C107,METHODOLOGY!$C$175:$D$177,2,FALSE)</f>
        <v>2</v>
      </c>
      <c r="E107" s="1087" t="str">
        <f>_xlfn.XLOOKUP(C107,METHODOLOGY!$E$150:$O$150,METHODOLOGY!$E$164:$O$164,"",0,1)</f>
        <v xml:space="preserve">The original valuation can be used with some modification e.g. applying household numbers. The calculation is simple or introduces low levels of uncertainty. </v>
      </c>
      <c r="F107" s="1087"/>
      <c r="G107" s="1087"/>
      <c r="H107" s="1087"/>
    </row>
    <row r="108" spans="1:23">
      <c r="C108" s="282" t="s">
        <v>924</v>
      </c>
      <c r="D108" s="326">
        <f>IF(AND(D107=1,AVERAGE(D102:D107)&gt;2.14285714285714),2.14285714285714,IF(AND(D107=2,AVERAGE(D102:D107)&gt;2.57142857142857),2.57142857142857,AVERAGE(D102:D107)))</f>
        <v>2.5714285714285698</v>
      </c>
      <c r="E108" s="270" t="str">
        <f>IF(D108&lt;=2.14285714285714,"Red",IF(D108&lt;=2.57142857142857,"Amber",IF(D108&lt;=3,"Green")))</f>
        <v>Amber</v>
      </c>
    </row>
    <row r="110" spans="1:23" s="262" customFormat="1">
      <c r="A110" s="725"/>
      <c r="B110" s="726" t="s">
        <v>929</v>
      </c>
      <c r="C110" s="725"/>
      <c r="D110" s="725"/>
      <c r="E110" s="725"/>
      <c r="F110" s="725"/>
      <c r="G110" s="725"/>
      <c r="H110" s="725"/>
      <c r="I110" s="2"/>
      <c r="J110" s="2"/>
      <c r="K110" s="2"/>
      <c r="L110" s="2"/>
      <c r="M110" s="2"/>
      <c r="N110" s="2"/>
      <c r="O110" s="2"/>
      <c r="P110" s="2"/>
      <c r="Q110" s="2"/>
      <c r="R110" s="2"/>
      <c r="S110" s="2"/>
      <c r="T110" s="2"/>
      <c r="U110" s="2"/>
      <c r="V110" s="2"/>
      <c r="W110" s="2"/>
    </row>
    <row r="111" spans="1:23">
      <c r="B111" s="233" t="s">
        <v>898</v>
      </c>
      <c r="C111" s="233" t="s">
        <v>331</v>
      </c>
      <c r="D111" s="233" t="s">
        <v>226</v>
      </c>
      <c r="E111" s="1128" t="s">
        <v>930</v>
      </c>
      <c r="F111" s="1129"/>
      <c r="G111" s="1129"/>
      <c r="H111" s="1130"/>
    </row>
    <row r="112" spans="1:23" ht="76.5" customHeight="1">
      <c r="B112" s="1135" t="s">
        <v>151</v>
      </c>
      <c r="C112" s="417">
        <v>13.74</v>
      </c>
      <c r="D112" s="364" t="s">
        <v>946</v>
      </c>
      <c r="E112" s="1123" t="s">
        <v>947</v>
      </c>
      <c r="F112" s="1124"/>
      <c r="G112" s="1124"/>
      <c r="H112" s="1125"/>
    </row>
    <row r="113" spans="2:8" ht="15" customHeight="1">
      <c r="B113" s="1136"/>
      <c r="C113" s="278">
        <v>50</v>
      </c>
      <c r="D113" s="364" t="s">
        <v>948</v>
      </c>
      <c r="E113" s="1118" t="s">
        <v>949</v>
      </c>
      <c r="F113" s="1119"/>
      <c r="G113" s="1119"/>
      <c r="H113" s="1091"/>
    </row>
    <row r="114" spans="2:8" ht="15" customHeight="1">
      <c r="B114" s="1136"/>
      <c r="C114" s="278">
        <v>25</v>
      </c>
      <c r="D114" s="364" t="s">
        <v>948</v>
      </c>
      <c r="E114" s="1118" t="s">
        <v>950</v>
      </c>
      <c r="F114" s="1119"/>
      <c r="G114" s="1119"/>
      <c r="H114" s="1091"/>
    </row>
    <row r="115" spans="2:8" ht="15" customHeight="1">
      <c r="B115" s="1137"/>
      <c r="C115" s="304">
        <f>'COMPANY INPUT'!C5</f>
        <v>1165610</v>
      </c>
      <c r="D115" s="416" t="s">
        <v>951</v>
      </c>
      <c r="E115" s="1118" t="s">
        <v>952</v>
      </c>
      <c r="F115" s="1119"/>
      <c r="G115" s="1119"/>
      <c r="H115" s="1091"/>
    </row>
    <row r="116" spans="2:8">
      <c r="D116" s="677"/>
      <c r="E116" s="24"/>
      <c r="F116" s="24"/>
      <c r="G116" s="24"/>
      <c r="H116" s="24"/>
    </row>
    <row r="142" spans="1:8">
      <c r="A142" s="725"/>
      <c r="B142" s="726" t="s">
        <v>936</v>
      </c>
      <c r="C142" s="725"/>
      <c r="D142" s="725"/>
      <c r="E142" s="725"/>
      <c r="F142" s="725"/>
      <c r="G142" s="725"/>
      <c r="H142" s="725"/>
    </row>
    <row r="143" spans="1:8">
      <c r="B143" s="233" t="s">
        <v>953</v>
      </c>
      <c r="C143" s="233" t="s">
        <v>331</v>
      </c>
    </row>
    <row r="144" spans="1:8">
      <c r="B144" s="278" t="s">
        <v>954</v>
      </c>
      <c r="C144" s="417">
        <f>C112/(C113-C114)</f>
        <v>0.54959999999999998</v>
      </c>
    </row>
    <row r="145" spans="1:10">
      <c r="B145" s="278" t="s">
        <v>955</v>
      </c>
      <c r="C145" s="297">
        <f>C144*C115</f>
        <v>640619.25599999994</v>
      </c>
    </row>
    <row r="147" spans="1:10">
      <c r="A147" s="727"/>
      <c r="B147" s="728" t="s">
        <v>901</v>
      </c>
      <c r="C147" s="727"/>
      <c r="D147" s="727"/>
      <c r="E147" s="727"/>
      <c r="F147" s="727"/>
      <c r="G147" s="727"/>
      <c r="H147" s="727"/>
    </row>
    <row r="148" spans="1:10" ht="29.1">
      <c r="B148" s="298" t="s">
        <v>902</v>
      </c>
      <c r="C148" s="298" t="s">
        <v>898</v>
      </c>
      <c r="D148" s="298" t="s">
        <v>899</v>
      </c>
      <c r="E148" s="298" t="s">
        <v>903</v>
      </c>
      <c r="F148" s="298" t="s">
        <v>904</v>
      </c>
      <c r="G148" s="298" t="s">
        <v>905</v>
      </c>
      <c r="H148" s="222" t="s">
        <v>924</v>
      </c>
      <c r="I148" s="222" t="s">
        <v>956</v>
      </c>
      <c r="J148" s="222" t="s">
        <v>927</v>
      </c>
    </row>
    <row r="149" spans="1:10" ht="43.5" customHeight="1">
      <c r="B149" s="278" t="s">
        <v>485</v>
      </c>
      <c r="C149" s="278" t="s">
        <v>151</v>
      </c>
      <c r="D149" s="278" t="s">
        <v>909</v>
      </c>
      <c r="E149" s="299" t="s">
        <v>957</v>
      </c>
      <c r="F149" s="278" t="str" cm="1">
        <f t="array" ref="F149">_xlfn.XLOOKUP(1,($D$176:$D$193=B149)*($E$176:$E$193=C149),$B$176:$B$193,"Not found",0,1)</f>
        <v>1-01</v>
      </c>
      <c r="G149" s="311">
        <f t="shared" ref="G149:G166" si="0">VLOOKUP(F149,$B$176:$L$193,11,FALSE)</f>
        <v>146481.43112542774</v>
      </c>
      <c r="H149" s="1120">
        <f>$D$68</f>
        <v>2.5</v>
      </c>
      <c r="I149" s="1117" t="s">
        <v>958</v>
      </c>
      <c r="J149" s="1112" t="s">
        <v>959</v>
      </c>
    </row>
    <row r="150" spans="1:10">
      <c r="B150" s="278" t="s">
        <v>487</v>
      </c>
      <c r="C150" s="278" t="s">
        <v>151</v>
      </c>
      <c r="D150" s="278" t="s">
        <v>909</v>
      </c>
      <c r="E150" s="299" t="s">
        <v>957</v>
      </c>
      <c r="F150" s="278" t="str" cm="1">
        <f t="array" ref="F150">_xlfn.XLOOKUP(1,($D$176:$D$193=B150)*($E$176:$E$193=C150),$B$176:$B$193,"Not found",0,1)</f>
        <v>1-02</v>
      </c>
      <c r="G150" s="311">
        <f t="shared" si="0"/>
        <v>146481.43112542774</v>
      </c>
      <c r="H150" s="1121"/>
      <c r="I150" s="1117"/>
      <c r="J150" s="1112"/>
    </row>
    <row r="151" spans="1:10">
      <c r="B151" s="278" t="s">
        <v>489</v>
      </c>
      <c r="C151" s="278" t="s">
        <v>151</v>
      </c>
      <c r="D151" s="278" t="s">
        <v>909</v>
      </c>
      <c r="E151" s="299" t="s">
        <v>957</v>
      </c>
      <c r="F151" s="278" t="str" cm="1">
        <f t="array" ref="F151">_xlfn.XLOOKUP(1,($D$176:$D$193=B151)*($E$176:$E$193=C151),$B$176:$B$193,"Not found",0,1)</f>
        <v>1-03</v>
      </c>
      <c r="G151" s="311">
        <f t="shared" si="0"/>
        <v>146481.43112542774</v>
      </c>
      <c r="H151" s="1121"/>
      <c r="I151" s="1117"/>
      <c r="J151" s="1112"/>
    </row>
    <row r="152" spans="1:10">
      <c r="B152" s="278" t="s">
        <v>491</v>
      </c>
      <c r="C152" s="278" t="s">
        <v>151</v>
      </c>
      <c r="D152" s="278" t="s">
        <v>909</v>
      </c>
      <c r="E152" s="299" t="s">
        <v>957</v>
      </c>
      <c r="F152" s="278" t="str" cm="1">
        <f t="array" ref="F152">_xlfn.XLOOKUP(1,($D$176:$D$193=B152)*($E$176:$E$193=C152),$B$176:$B$193,"Not found",0,1)</f>
        <v>1-04</v>
      </c>
      <c r="G152" s="311">
        <f t="shared" si="0"/>
        <v>146481.43112542774</v>
      </c>
      <c r="H152" s="1121"/>
      <c r="I152" s="1117"/>
      <c r="J152" s="1112"/>
    </row>
    <row r="153" spans="1:10">
      <c r="B153" s="278" t="s">
        <v>493</v>
      </c>
      <c r="C153" s="278" t="s">
        <v>151</v>
      </c>
      <c r="D153" s="278" t="s">
        <v>909</v>
      </c>
      <c r="E153" s="299" t="s">
        <v>957</v>
      </c>
      <c r="F153" s="278" t="str" cm="1">
        <f t="array" ref="F153">_xlfn.XLOOKUP(1,($D$176:$D$193=B153)*($E$176:$E$193=C153),$B$176:$B$193,"Not found",0,1)</f>
        <v>1-05</v>
      </c>
      <c r="G153" s="311">
        <f t="shared" si="0"/>
        <v>146481.43112542774</v>
      </c>
      <c r="H153" s="1121"/>
      <c r="I153" s="1117"/>
      <c r="J153" s="1112"/>
    </row>
    <row r="154" spans="1:10">
      <c r="B154" s="278" t="s">
        <v>495</v>
      </c>
      <c r="C154" s="278" t="s">
        <v>151</v>
      </c>
      <c r="D154" s="278" t="s">
        <v>909</v>
      </c>
      <c r="E154" s="299" t="s">
        <v>957</v>
      </c>
      <c r="F154" s="278" t="str" cm="1">
        <f t="array" ref="F154">_xlfn.XLOOKUP(1,($D$176:$D$193=B154)*($E$176:$E$193=C154),$B$176:$B$193,"Not found",0,1)</f>
        <v>1-06</v>
      </c>
      <c r="G154" s="311">
        <f t="shared" si="0"/>
        <v>146481.43112542774</v>
      </c>
      <c r="H154" s="1121"/>
      <c r="I154" s="1117"/>
      <c r="J154" s="1112"/>
    </row>
    <row r="155" spans="1:10">
      <c r="B155" s="278" t="s">
        <v>485</v>
      </c>
      <c r="C155" s="278" t="s">
        <v>462</v>
      </c>
      <c r="D155" s="299" t="s">
        <v>910</v>
      </c>
      <c r="E155" s="299" t="s">
        <v>957</v>
      </c>
      <c r="F155" s="278" t="str" cm="1">
        <f t="array" ref="F155">_xlfn.XLOOKUP(1,($D$176:$D$193=B155)*($E$176:$E$193=C155),$B$176:$B$193,"Not found",0,1)</f>
        <v>1-07</v>
      </c>
      <c r="G155" s="311">
        <f t="shared" si="0"/>
        <v>355960.33619980043</v>
      </c>
      <c r="H155" s="1121"/>
      <c r="I155" s="1117"/>
      <c r="J155" s="1112"/>
    </row>
    <row r="156" spans="1:10">
      <c r="B156" s="278" t="s">
        <v>487</v>
      </c>
      <c r="C156" s="278" t="s">
        <v>462</v>
      </c>
      <c r="D156" s="299" t="s">
        <v>910</v>
      </c>
      <c r="E156" s="299" t="s">
        <v>957</v>
      </c>
      <c r="F156" s="278" t="str" cm="1">
        <f t="array" ref="F156">_xlfn.XLOOKUP(1,($D$176:$D$193=B156)*($E$176:$E$193=C156),$B$176:$B$193,"Not found",0,1)</f>
        <v>1-08</v>
      </c>
      <c r="G156" s="311">
        <f t="shared" si="0"/>
        <v>355960.33619980043</v>
      </c>
      <c r="H156" s="1121"/>
      <c r="I156" s="1117"/>
      <c r="J156" s="1112"/>
    </row>
    <row r="157" spans="1:10">
      <c r="B157" s="278" t="s">
        <v>489</v>
      </c>
      <c r="C157" s="278" t="s">
        <v>462</v>
      </c>
      <c r="D157" s="299" t="s">
        <v>910</v>
      </c>
      <c r="E157" s="299" t="s">
        <v>957</v>
      </c>
      <c r="F157" s="278" t="str" cm="1">
        <f t="array" ref="F157">_xlfn.XLOOKUP(1,($D$176:$D$193=B157)*($E$176:$E$193=C157),$B$176:$B$193,"Not found",0,1)</f>
        <v>1-09</v>
      </c>
      <c r="G157" s="311">
        <f t="shared" si="0"/>
        <v>355960.33619980043</v>
      </c>
      <c r="H157" s="1121"/>
      <c r="I157" s="1117"/>
      <c r="J157" s="1112"/>
    </row>
    <row r="158" spans="1:10">
      <c r="B158" s="278" t="s">
        <v>491</v>
      </c>
      <c r="C158" s="278" t="s">
        <v>462</v>
      </c>
      <c r="D158" s="299" t="s">
        <v>910</v>
      </c>
      <c r="E158" s="299" t="s">
        <v>957</v>
      </c>
      <c r="F158" s="278" t="str" cm="1">
        <f t="array" ref="F158">_xlfn.XLOOKUP(1,($D$176:$D$193=B158)*($E$176:$E$193=C158),$B$176:$B$193,"Not found",0,1)</f>
        <v>1-10</v>
      </c>
      <c r="G158" s="311">
        <f t="shared" si="0"/>
        <v>355960.33619980043</v>
      </c>
      <c r="H158" s="1121"/>
      <c r="I158" s="1117"/>
      <c r="J158" s="1112"/>
    </row>
    <row r="159" spans="1:10">
      <c r="B159" s="278" t="s">
        <v>493</v>
      </c>
      <c r="C159" s="278" t="s">
        <v>462</v>
      </c>
      <c r="D159" s="299" t="s">
        <v>910</v>
      </c>
      <c r="E159" s="299" t="s">
        <v>957</v>
      </c>
      <c r="F159" s="278" t="str" cm="1">
        <f t="array" ref="F159">_xlfn.XLOOKUP(1,($D$176:$D$193=B159)*($E$176:$E$193=C159),$B$176:$B$193,"Not found",0,1)</f>
        <v>1-11</v>
      </c>
      <c r="G159" s="311">
        <f t="shared" si="0"/>
        <v>355960.33619980043</v>
      </c>
      <c r="H159" s="1121"/>
      <c r="I159" s="1117"/>
      <c r="J159" s="1112"/>
    </row>
    <row r="160" spans="1:10">
      <c r="B160" s="278" t="s">
        <v>495</v>
      </c>
      <c r="C160" s="278" t="s">
        <v>462</v>
      </c>
      <c r="D160" s="299" t="s">
        <v>910</v>
      </c>
      <c r="E160" s="299" t="s">
        <v>957</v>
      </c>
      <c r="F160" s="278" t="str" cm="1">
        <f t="array" ref="F160">_xlfn.XLOOKUP(1,($D$176:$D$193=B160)*($E$176:$E$193=C160),$B$176:$B$193,"Not found",0,1)</f>
        <v>1-12</v>
      </c>
      <c r="G160" s="311">
        <f t="shared" si="0"/>
        <v>355960.33619980043</v>
      </c>
      <c r="H160" s="1122"/>
      <c r="I160" s="1117"/>
      <c r="J160" s="1112"/>
    </row>
    <row r="161" spans="1:23">
      <c r="B161" s="278" t="s">
        <v>486</v>
      </c>
      <c r="C161" s="278" t="s">
        <v>151</v>
      </c>
      <c r="D161" s="278" t="s">
        <v>909</v>
      </c>
      <c r="E161" s="299" t="s">
        <v>960</v>
      </c>
      <c r="F161" s="278" t="str" cm="1">
        <f t="array" ref="F161">_xlfn.XLOOKUP(1,($D$176:$D$193=B161)*($E$176:$E$193=C161),$B$176:$B$193,"Not found",0,1)</f>
        <v>1-13</v>
      </c>
      <c r="G161" s="311">
        <f t="shared" si="0"/>
        <v>721505.01918587042</v>
      </c>
      <c r="H161" s="1116">
        <f>$D$108</f>
        <v>2.5714285714285698</v>
      </c>
      <c r="I161" s="1117" t="s">
        <v>958</v>
      </c>
      <c r="J161" s="1112" t="s">
        <v>959</v>
      </c>
    </row>
    <row r="162" spans="1:23">
      <c r="B162" s="278" t="s">
        <v>488</v>
      </c>
      <c r="C162" s="278" t="s">
        <v>151</v>
      </c>
      <c r="D162" s="278" t="s">
        <v>909</v>
      </c>
      <c r="E162" s="299" t="s">
        <v>960</v>
      </c>
      <c r="F162" s="278" t="str" cm="1">
        <f t="array" ref="F162">_xlfn.XLOOKUP(1,($D$176:$D$193=B162)*($E$176:$E$193=C162),$B$176:$B$193,"Not found",0,1)</f>
        <v>1-14</v>
      </c>
      <c r="G162" s="311">
        <f t="shared" si="0"/>
        <v>721505.01918587042</v>
      </c>
      <c r="H162" s="1116"/>
      <c r="I162" s="1117"/>
      <c r="J162" s="1112"/>
    </row>
    <row r="163" spans="1:23">
      <c r="B163" s="278" t="s">
        <v>490</v>
      </c>
      <c r="C163" s="278" t="s">
        <v>151</v>
      </c>
      <c r="D163" s="278" t="s">
        <v>909</v>
      </c>
      <c r="E163" s="299" t="s">
        <v>960</v>
      </c>
      <c r="F163" s="278" t="str" cm="1">
        <f t="array" ref="F163">_xlfn.XLOOKUP(1,($D$176:$D$193=B163)*($E$176:$E$193=C163),$B$176:$B$193,"Not found",0,1)</f>
        <v>1-15</v>
      </c>
      <c r="G163" s="311">
        <f t="shared" si="0"/>
        <v>721505.01918587042</v>
      </c>
      <c r="H163" s="1116"/>
      <c r="I163" s="1117"/>
      <c r="J163" s="1112"/>
    </row>
    <row r="164" spans="1:23">
      <c r="B164" s="278" t="s">
        <v>492</v>
      </c>
      <c r="C164" s="278" t="s">
        <v>151</v>
      </c>
      <c r="D164" s="278" t="s">
        <v>909</v>
      </c>
      <c r="E164" s="299" t="s">
        <v>960</v>
      </c>
      <c r="F164" s="278" t="str" cm="1">
        <f t="array" ref="F164">_xlfn.XLOOKUP(1,($D$176:$D$193=B164)*($E$176:$E$193=C164),$B$176:$B$193,"Not found",0,1)</f>
        <v>1-16</v>
      </c>
      <c r="G164" s="311">
        <f t="shared" si="0"/>
        <v>721505.01918587042</v>
      </c>
      <c r="H164" s="1116"/>
      <c r="I164" s="1117"/>
      <c r="J164" s="1112"/>
    </row>
    <row r="165" spans="1:23">
      <c r="B165" s="278" t="s">
        <v>494</v>
      </c>
      <c r="C165" s="278" t="s">
        <v>151</v>
      </c>
      <c r="D165" s="278" t="s">
        <v>909</v>
      </c>
      <c r="E165" s="299" t="s">
        <v>960</v>
      </c>
      <c r="F165" s="278" t="str" cm="1">
        <f t="array" ref="F165">_xlfn.XLOOKUP(1,($D$176:$D$193=B165)*($E$176:$E$193=C165),$B$176:$B$193,"Not found",0,1)</f>
        <v>1-17</v>
      </c>
      <c r="G165" s="311">
        <f t="shared" si="0"/>
        <v>721505.01918587042</v>
      </c>
      <c r="H165" s="1116"/>
      <c r="I165" s="1117"/>
      <c r="J165" s="1112"/>
    </row>
    <row r="166" spans="1:23">
      <c r="B166" s="278" t="s">
        <v>496</v>
      </c>
      <c r="C166" s="278" t="s">
        <v>151</v>
      </c>
      <c r="D166" s="278" t="s">
        <v>909</v>
      </c>
      <c r="E166" s="299" t="s">
        <v>960</v>
      </c>
      <c r="F166" s="278" t="str" cm="1">
        <f t="array" ref="F166">_xlfn.XLOOKUP(1,($D$176:$D$193=B166)*($E$176:$E$193=C166),$B$176:$B$193,"Not found",0,1)</f>
        <v>1-18</v>
      </c>
      <c r="G166" s="311">
        <f t="shared" si="0"/>
        <v>721505.01918587042</v>
      </c>
      <c r="H166" s="1116"/>
      <c r="I166" s="1117"/>
      <c r="J166" s="1112"/>
    </row>
    <row r="167" spans="1:23">
      <c r="B167" s="278" t="s">
        <v>486</v>
      </c>
      <c r="C167" s="278" t="s">
        <v>462</v>
      </c>
      <c r="D167" s="299" t="s">
        <v>910</v>
      </c>
      <c r="E167" s="299" t="s">
        <v>960</v>
      </c>
      <c r="F167" s="278" t="s">
        <v>906</v>
      </c>
      <c r="G167" s="641" t="s">
        <v>961</v>
      </c>
      <c r="H167" s="681" t="s">
        <v>907</v>
      </c>
      <c r="I167" s="681" t="s">
        <v>907</v>
      </c>
      <c r="J167" s="681" t="s">
        <v>907</v>
      </c>
    </row>
    <row r="168" spans="1:23">
      <c r="B168" s="278" t="s">
        <v>488</v>
      </c>
      <c r="C168" s="278" t="s">
        <v>462</v>
      </c>
      <c r="D168" s="299" t="s">
        <v>910</v>
      </c>
      <c r="E168" s="299" t="s">
        <v>960</v>
      </c>
      <c r="F168" s="278" t="s">
        <v>906</v>
      </c>
      <c r="G168" s="641" t="s">
        <v>961</v>
      </c>
      <c r="H168" s="681" t="s">
        <v>907</v>
      </c>
      <c r="I168" s="681" t="s">
        <v>907</v>
      </c>
      <c r="J168" s="681" t="s">
        <v>907</v>
      </c>
    </row>
    <row r="169" spans="1:23">
      <c r="B169" s="278" t="s">
        <v>490</v>
      </c>
      <c r="C169" s="278" t="s">
        <v>462</v>
      </c>
      <c r="D169" s="299" t="s">
        <v>910</v>
      </c>
      <c r="E169" s="299" t="s">
        <v>960</v>
      </c>
      <c r="F169" s="278" t="s">
        <v>906</v>
      </c>
      <c r="G169" s="641" t="s">
        <v>961</v>
      </c>
      <c r="H169" s="681" t="s">
        <v>907</v>
      </c>
      <c r="I169" s="681" t="s">
        <v>907</v>
      </c>
      <c r="J169" s="681" t="s">
        <v>907</v>
      </c>
    </row>
    <row r="170" spans="1:23">
      <c r="B170" s="278" t="s">
        <v>492</v>
      </c>
      <c r="C170" s="278" t="s">
        <v>462</v>
      </c>
      <c r="D170" s="299" t="s">
        <v>910</v>
      </c>
      <c r="E170" s="299" t="s">
        <v>960</v>
      </c>
      <c r="F170" s="278" t="s">
        <v>906</v>
      </c>
      <c r="G170" s="641" t="s">
        <v>961</v>
      </c>
      <c r="H170" s="681" t="s">
        <v>907</v>
      </c>
      <c r="I170" s="681" t="s">
        <v>907</v>
      </c>
      <c r="J170" s="681" t="s">
        <v>907</v>
      </c>
    </row>
    <row r="171" spans="1:23">
      <c r="B171" s="278" t="s">
        <v>494</v>
      </c>
      <c r="C171" s="278" t="s">
        <v>462</v>
      </c>
      <c r="D171" s="299" t="s">
        <v>910</v>
      </c>
      <c r="E171" s="299" t="s">
        <v>960</v>
      </c>
      <c r="F171" s="278" t="s">
        <v>906</v>
      </c>
      <c r="G171" s="641" t="s">
        <v>961</v>
      </c>
      <c r="H171" s="681" t="s">
        <v>907</v>
      </c>
      <c r="I171" s="681" t="s">
        <v>907</v>
      </c>
      <c r="J171" s="681" t="s">
        <v>907</v>
      </c>
    </row>
    <row r="172" spans="1:23">
      <c r="B172" s="278" t="s">
        <v>496</v>
      </c>
      <c r="C172" s="278" t="s">
        <v>462</v>
      </c>
      <c r="D172" s="299" t="s">
        <v>910</v>
      </c>
      <c r="E172" s="299" t="s">
        <v>960</v>
      </c>
      <c r="F172" s="278" t="s">
        <v>906</v>
      </c>
      <c r="G172" s="641" t="s">
        <v>961</v>
      </c>
      <c r="H172" s="681" t="s">
        <v>907</v>
      </c>
      <c r="I172" s="681" t="s">
        <v>907</v>
      </c>
      <c r="J172" s="681" t="s">
        <v>907</v>
      </c>
    </row>
    <row r="173" spans="1:23">
      <c r="B173" s="18"/>
    </row>
    <row r="174" spans="1:23">
      <c r="A174" s="725"/>
      <c r="B174" s="726" t="s">
        <v>962</v>
      </c>
      <c r="C174" s="725"/>
      <c r="D174" s="725"/>
      <c r="E174" s="725"/>
      <c r="F174" s="725"/>
      <c r="G174" s="725"/>
      <c r="H174" s="725"/>
    </row>
    <row r="175" spans="1:23">
      <c r="B175" s="277" t="s">
        <v>904</v>
      </c>
      <c r="C175" s="277" t="s">
        <v>62</v>
      </c>
      <c r="D175" s="277" t="s">
        <v>902</v>
      </c>
      <c r="E175" s="277" t="s">
        <v>898</v>
      </c>
      <c r="F175" s="277" t="s">
        <v>916</v>
      </c>
      <c r="G175" s="277" t="s">
        <v>963</v>
      </c>
      <c r="H175" s="277" t="s">
        <v>964</v>
      </c>
      <c r="I175" s="277" t="s">
        <v>965</v>
      </c>
      <c r="J175" s="277" t="s">
        <v>966</v>
      </c>
      <c r="K175" s="277" t="s">
        <v>967</v>
      </c>
      <c r="L175" s="277" t="s">
        <v>968</v>
      </c>
      <c r="M175" s="277" t="s">
        <v>956</v>
      </c>
      <c r="N175" s="277" t="s">
        <v>969</v>
      </c>
      <c r="O175" s="277" t="s">
        <v>970</v>
      </c>
      <c r="P175" s="277" t="s">
        <v>927</v>
      </c>
      <c r="Q175" s="277" t="s">
        <v>913</v>
      </c>
      <c r="R175" s="277" t="s">
        <v>914</v>
      </c>
      <c r="S175" s="277" t="s">
        <v>915</v>
      </c>
      <c r="T175" s="277" t="s">
        <v>916</v>
      </c>
      <c r="U175" s="277" t="s">
        <v>917</v>
      </c>
      <c r="V175" s="277" t="s">
        <v>918</v>
      </c>
      <c r="W175" s="277" t="s">
        <v>919</v>
      </c>
    </row>
    <row r="176" spans="1:23">
      <c r="B176" s="302" t="s">
        <v>971</v>
      </c>
      <c r="C176" s="278" t="s">
        <v>355</v>
      </c>
      <c r="D176" s="278" t="s">
        <v>485</v>
      </c>
      <c r="E176" s="278" t="s">
        <v>151</v>
      </c>
      <c r="F176" s="299">
        <f t="shared" ref="F176:F181" si="1">$E$58</f>
        <v>2018</v>
      </c>
      <c r="G176" s="278">
        <v>2017</v>
      </c>
      <c r="H176" s="278">
        <f>'COMPANY INPUT'!$C$16</f>
        <v>2023</v>
      </c>
      <c r="I176" s="278">
        <f>VLOOKUP(G176,'GDP Deflators'!$H$13:$I$86,2,FALSE)</f>
        <v>81.273099999999999</v>
      </c>
      <c r="J176" s="278">
        <f>VLOOKUP(H176,'GDP Deflators'!$H$13:$I$86,2,FALSE)</f>
        <v>100</v>
      </c>
      <c r="K176" s="387">
        <f t="shared" ref="K176:K181" si="2">$F$92</f>
        <v>119050</v>
      </c>
      <c r="L176" s="746">
        <f t="shared" ref="L176:L181" si="3">K176*(J176/I176)</f>
        <v>146481.43112542774</v>
      </c>
      <c r="M176" s="300" t="str">
        <f t="shared" ref="M176:M187" si="4">$I$149</f>
        <v>Willingness to Pay</v>
      </c>
      <c r="N176" s="326">
        <f t="shared" ref="N176:N187" si="5">$H$149</f>
        <v>2.5</v>
      </c>
      <c r="O176" s="278" t="s">
        <v>718</v>
      </c>
      <c r="P176" s="278" t="str">
        <f t="shared" ref="P176:P187" si="6">$J$149</f>
        <v>Only value found in available WTP/WTA studies</v>
      </c>
      <c r="Q176" s="299">
        <f>B$58</f>
        <v>136</v>
      </c>
      <c r="R176" s="299" t="str">
        <f t="shared" ref="R176:W176" si="7">C$58</f>
        <v>UU (2018) Customer research triangulation report</v>
      </c>
      <c r="S176" s="299" t="str">
        <f t="shared" si="7"/>
        <v>/</v>
      </c>
      <c r="T176" s="299">
        <f t="shared" si="7"/>
        <v>2018</v>
      </c>
      <c r="U176" s="299" t="str">
        <f t="shared" si="7"/>
        <v>England</v>
      </c>
      <c r="V176" s="299" t="str">
        <f t="shared" si="7"/>
        <v>UU region</v>
      </c>
      <c r="W176" s="299" t="str">
        <f t="shared" si="7"/>
        <v>Unknown</v>
      </c>
    </row>
    <row r="177" spans="2:23">
      <c r="B177" s="302" t="s">
        <v>972</v>
      </c>
      <c r="C177" s="278" t="s">
        <v>355</v>
      </c>
      <c r="D177" s="278" t="s">
        <v>487</v>
      </c>
      <c r="E177" s="278" t="s">
        <v>151</v>
      </c>
      <c r="F177" s="299">
        <f t="shared" si="1"/>
        <v>2018</v>
      </c>
      <c r="G177" s="278">
        <v>2017</v>
      </c>
      <c r="H177" s="278">
        <f>'COMPANY INPUT'!$C$16</f>
        <v>2023</v>
      </c>
      <c r="I177" s="278">
        <f>VLOOKUP(G177,'GDP Deflators'!$H$13:$I$86,2,FALSE)</f>
        <v>81.273099999999999</v>
      </c>
      <c r="J177" s="278">
        <f>VLOOKUP(H177,'GDP Deflators'!$H$13:$I$86,2,FALSE)</f>
        <v>100</v>
      </c>
      <c r="K177" s="387">
        <f t="shared" si="2"/>
        <v>119050</v>
      </c>
      <c r="L177" s="746">
        <f t="shared" si="3"/>
        <v>146481.43112542774</v>
      </c>
      <c r="M177" s="300" t="str">
        <f t="shared" si="4"/>
        <v>Willingness to Pay</v>
      </c>
      <c r="N177" s="326">
        <f t="shared" si="5"/>
        <v>2.5</v>
      </c>
      <c r="O177" s="278" t="s">
        <v>718</v>
      </c>
      <c r="P177" s="278" t="str">
        <f t="shared" si="6"/>
        <v>Only value found in available WTP/WTA studies</v>
      </c>
      <c r="Q177" s="299">
        <f t="shared" ref="Q177:Q181" si="8">B$58</f>
        <v>136</v>
      </c>
      <c r="R177" s="299" t="str">
        <f t="shared" ref="R177:R181" si="9">C$58</f>
        <v>UU (2018) Customer research triangulation report</v>
      </c>
      <c r="S177" s="299" t="str">
        <f t="shared" ref="S177:S181" si="10">D$58</f>
        <v>/</v>
      </c>
      <c r="T177" s="299">
        <f t="shared" ref="T177:T181" si="11">E$58</f>
        <v>2018</v>
      </c>
      <c r="U177" s="299" t="str">
        <f t="shared" ref="U177:U181" si="12">F$58</f>
        <v>England</v>
      </c>
      <c r="V177" s="299" t="str">
        <f t="shared" ref="V177:V181" si="13">G$58</f>
        <v>UU region</v>
      </c>
      <c r="W177" s="299" t="str">
        <f t="shared" ref="W177:W181" si="14">H$58</f>
        <v>Unknown</v>
      </c>
    </row>
    <row r="178" spans="2:23">
      <c r="B178" s="302" t="s">
        <v>973</v>
      </c>
      <c r="C178" s="278" t="s">
        <v>355</v>
      </c>
      <c r="D178" s="278" t="s">
        <v>489</v>
      </c>
      <c r="E178" s="278" t="s">
        <v>151</v>
      </c>
      <c r="F178" s="299">
        <f t="shared" si="1"/>
        <v>2018</v>
      </c>
      <c r="G178" s="278">
        <v>2017</v>
      </c>
      <c r="H178" s="278">
        <f>'COMPANY INPUT'!$C$16</f>
        <v>2023</v>
      </c>
      <c r="I178" s="278">
        <f>VLOOKUP(G178,'GDP Deflators'!$H$13:$I$86,2,FALSE)</f>
        <v>81.273099999999999</v>
      </c>
      <c r="J178" s="278">
        <f>VLOOKUP(H178,'GDP Deflators'!$H$13:$I$86,2,FALSE)</f>
        <v>100</v>
      </c>
      <c r="K178" s="387">
        <f t="shared" si="2"/>
        <v>119050</v>
      </c>
      <c r="L178" s="746">
        <f t="shared" si="3"/>
        <v>146481.43112542774</v>
      </c>
      <c r="M178" s="300" t="str">
        <f t="shared" si="4"/>
        <v>Willingness to Pay</v>
      </c>
      <c r="N178" s="326">
        <f t="shared" si="5"/>
        <v>2.5</v>
      </c>
      <c r="O178" s="278" t="s">
        <v>718</v>
      </c>
      <c r="P178" s="278" t="str">
        <f t="shared" si="6"/>
        <v>Only value found in available WTP/WTA studies</v>
      </c>
      <c r="Q178" s="299">
        <f t="shared" si="8"/>
        <v>136</v>
      </c>
      <c r="R178" s="299" t="str">
        <f t="shared" si="9"/>
        <v>UU (2018) Customer research triangulation report</v>
      </c>
      <c r="S178" s="299" t="str">
        <f t="shared" si="10"/>
        <v>/</v>
      </c>
      <c r="T178" s="299">
        <f t="shared" si="11"/>
        <v>2018</v>
      </c>
      <c r="U178" s="299" t="str">
        <f t="shared" si="12"/>
        <v>England</v>
      </c>
      <c r="V178" s="299" t="str">
        <f t="shared" si="13"/>
        <v>UU region</v>
      </c>
      <c r="W178" s="299" t="str">
        <f t="shared" si="14"/>
        <v>Unknown</v>
      </c>
    </row>
    <row r="179" spans="2:23">
      <c r="B179" s="302" t="s">
        <v>974</v>
      </c>
      <c r="C179" s="278" t="s">
        <v>355</v>
      </c>
      <c r="D179" s="278" t="s">
        <v>491</v>
      </c>
      <c r="E179" s="278" t="s">
        <v>151</v>
      </c>
      <c r="F179" s="299">
        <f t="shared" si="1"/>
        <v>2018</v>
      </c>
      <c r="G179" s="278">
        <v>2017</v>
      </c>
      <c r="H179" s="278">
        <f>'COMPANY INPUT'!$C$16</f>
        <v>2023</v>
      </c>
      <c r="I179" s="278">
        <f>VLOOKUP(G179,'GDP Deflators'!$H$13:$I$86,2,FALSE)</f>
        <v>81.273099999999999</v>
      </c>
      <c r="J179" s="278">
        <f>VLOOKUP(H179,'GDP Deflators'!$H$13:$I$86,2,FALSE)</f>
        <v>100</v>
      </c>
      <c r="K179" s="387">
        <f t="shared" si="2"/>
        <v>119050</v>
      </c>
      <c r="L179" s="746">
        <f t="shared" si="3"/>
        <v>146481.43112542774</v>
      </c>
      <c r="M179" s="300" t="str">
        <f t="shared" si="4"/>
        <v>Willingness to Pay</v>
      </c>
      <c r="N179" s="326">
        <f t="shared" si="5"/>
        <v>2.5</v>
      </c>
      <c r="O179" s="278" t="s">
        <v>718</v>
      </c>
      <c r="P179" s="278" t="str">
        <f t="shared" si="6"/>
        <v>Only value found in available WTP/WTA studies</v>
      </c>
      <c r="Q179" s="299">
        <f t="shared" si="8"/>
        <v>136</v>
      </c>
      <c r="R179" s="299" t="str">
        <f t="shared" si="9"/>
        <v>UU (2018) Customer research triangulation report</v>
      </c>
      <c r="S179" s="299" t="str">
        <f t="shared" si="10"/>
        <v>/</v>
      </c>
      <c r="T179" s="299">
        <f t="shared" si="11"/>
        <v>2018</v>
      </c>
      <c r="U179" s="299" t="str">
        <f t="shared" si="12"/>
        <v>England</v>
      </c>
      <c r="V179" s="299" t="str">
        <f t="shared" si="13"/>
        <v>UU region</v>
      </c>
      <c r="W179" s="299" t="str">
        <f t="shared" si="14"/>
        <v>Unknown</v>
      </c>
    </row>
    <row r="180" spans="2:23">
      <c r="B180" s="302" t="s">
        <v>975</v>
      </c>
      <c r="C180" s="278" t="s">
        <v>355</v>
      </c>
      <c r="D180" s="278" t="s">
        <v>493</v>
      </c>
      <c r="E180" s="278" t="s">
        <v>151</v>
      </c>
      <c r="F180" s="299">
        <f t="shared" si="1"/>
        <v>2018</v>
      </c>
      <c r="G180" s="278">
        <v>2017</v>
      </c>
      <c r="H180" s="278">
        <f>'COMPANY INPUT'!$C$16</f>
        <v>2023</v>
      </c>
      <c r="I180" s="278">
        <f>VLOOKUP(G180,'GDP Deflators'!$H$13:$I$86,2,FALSE)</f>
        <v>81.273099999999999</v>
      </c>
      <c r="J180" s="278">
        <f>VLOOKUP(H180,'GDP Deflators'!$H$13:$I$86,2,FALSE)</f>
        <v>100</v>
      </c>
      <c r="K180" s="387">
        <f t="shared" si="2"/>
        <v>119050</v>
      </c>
      <c r="L180" s="746">
        <f t="shared" si="3"/>
        <v>146481.43112542774</v>
      </c>
      <c r="M180" s="300" t="str">
        <f t="shared" si="4"/>
        <v>Willingness to Pay</v>
      </c>
      <c r="N180" s="326">
        <f t="shared" si="5"/>
        <v>2.5</v>
      </c>
      <c r="O180" s="278" t="s">
        <v>718</v>
      </c>
      <c r="P180" s="278" t="str">
        <f t="shared" si="6"/>
        <v>Only value found in available WTP/WTA studies</v>
      </c>
      <c r="Q180" s="299">
        <f t="shared" si="8"/>
        <v>136</v>
      </c>
      <c r="R180" s="299" t="str">
        <f t="shared" si="9"/>
        <v>UU (2018) Customer research triangulation report</v>
      </c>
      <c r="S180" s="299" t="str">
        <f t="shared" si="10"/>
        <v>/</v>
      </c>
      <c r="T180" s="299">
        <f t="shared" si="11"/>
        <v>2018</v>
      </c>
      <c r="U180" s="299" t="str">
        <f t="shared" si="12"/>
        <v>England</v>
      </c>
      <c r="V180" s="299" t="str">
        <f t="shared" si="13"/>
        <v>UU region</v>
      </c>
      <c r="W180" s="299" t="str">
        <f t="shared" si="14"/>
        <v>Unknown</v>
      </c>
    </row>
    <row r="181" spans="2:23">
      <c r="B181" s="302" t="s">
        <v>976</v>
      </c>
      <c r="C181" s="278" t="s">
        <v>355</v>
      </c>
      <c r="D181" s="278" t="s">
        <v>495</v>
      </c>
      <c r="E181" s="278" t="s">
        <v>151</v>
      </c>
      <c r="F181" s="299">
        <f t="shared" si="1"/>
        <v>2018</v>
      </c>
      <c r="G181" s="278">
        <v>2017</v>
      </c>
      <c r="H181" s="278">
        <f>'COMPANY INPUT'!$C$16</f>
        <v>2023</v>
      </c>
      <c r="I181" s="278">
        <f>VLOOKUP(G181,'GDP Deflators'!$H$13:$I$86,2,FALSE)</f>
        <v>81.273099999999999</v>
      </c>
      <c r="J181" s="278">
        <f>VLOOKUP(H181,'GDP Deflators'!$H$13:$I$86,2,FALSE)</f>
        <v>100</v>
      </c>
      <c r="K181" s="387">
        <f t="shared" si="2"/>
        <v>119050</v>
      </c>
      <c r="L181" s="746">
        <f t="shared" si="3"/>
        <v>146481.43112542774</v>
      </c>
      <c r="M181" s="300" t="str">
        <f t="shared" si="4"/>
        <v>Willingness to Pay</v>
      </c>
      <c r="N181" s="326">
        <f t="shared" si="5"/>
        <v>2.5</v>
      </c>
      <c r="O181" s="278" t="s">
        <v>718</v>
      </c>
      <c r="P181" s="278" t="str">
        <f t="shared" si="6"/>
        <v>Only value found in available WTP/WTA studies</v>
      </c>
      <c r="Q181" s="299">
        <f t="shared" si="8"/>
        <v>136</v>
      </c>
      <c r="R181" s="299" t="str">
        <f t="shared" si="9"/>
        <v>UU (2018) Customer research triangulation report</v>
      </c>
      <c r="S181" s="299" t="str">
        <f t="shared" si="10"/>
        <v>/</v>
      </c>
      <c r="T181" s="299">
        <f t="shared" si="11"/>
        <v>2018</v>
      </c>
      <c r="U181" s="299" t="str">
        <f t="shared" si="12"/>
        <v>England</v>
      </c>
      <c r="V181" s="299" t="str">
        <f t="shared" si="13"/>
        <v>UU region</v>
      </c>
      <c r="W181" s="299" t="str">
        <f t="shared" si="14"/>
        <v>Unknown</v>
      </c>
    </row>
    <row r="182" spans="2:23">
      <c r="B182" s="302" t="s">
        <v>977</v>
      </c>
      <c r="C182" s="278" t="s">
        <v>355</v>
      </c>
      <c r="D182" s="278" t="s">
        <v>485</v>
      </c>
      <c r="E182" s="278" t="s">
        <v>462</v>
      </c>
      <c r="F182" s="299">
        <f t="shared" ref="F182:F187" si="15">$E$58</f>
        <v>2018</v>
      </c>
      <c r="G182" s="278">
        <v>2017</v>
      </c>
      <c r="H182" s="278">
        <f>'COMPANY INPUT'!$C$16</f>
        <v>2023</v>
      </c>
      <c r="I182" s="278">
        <f>VLOOKUP(G182,'GDP Deflators'!$H$13:$I$86,2,FALSE)</f>
        <v>81.273099999999999</v>
      </c>
      <c r="J182" s="278">
        <f>VLOOKUP(H182,'GDP Deflators'!$H$13:$I$86,2,FALSE)</f>
        <v>100</v>
      </c>
      <c r="K182" s="387">
        <f>$F$93</f>
        <v>289300</v>
      </c>
      <c r="L182" s="746">
        <f t="shared" ref="L182:L188" si="16">K182*(J182/I182)</f>
        <v>355960.33619980043</v>
      </c>
      <c r="M182" s="300" t="str">
        <f t="shared" si="4"/>
        <v>Willingness to Pay</v>
      </c>
      <c r="N182" s="326">
        <f t="shared" si="5"/>
        <v>2.5</v>
      </c>
      <c r="O182" s="278" t="s">
        <v>718</v>
      </c>
      <c r="P182" s="278" t="str">
        <f t="shared" si="6"/>
        <v>Only value found in available WTP/WTA studies</v>
      </c>
      <c r="Q182" s="299">
        <f t="shared" ref="Q182:W187" si="17">B$58</f>
        <v>136</v>
      </c>
      <c r="R182" s="299" t="str">
        <f t="shared" si="17"/>
        <v>UU (2018) Customer research triangulation report</v>
      </c>
      <c r="S182" s="299" t="str">
        <f t="shared" si="17"/>
        <v>/</v>
      </c>
      <c r="T182" s="299">
        <f t="shared" si="17"/>
        <v>2018</v>
      </c>
      <c r="U182" s="299" t="str">
        <f t="shared" si="17"/>
        <v>England</v>
      </c>
      <c r="V182" s="299" t="str">
        <f t="shared" si="17"/>
        <v>UU region</v>
      </c>
      <c r="W182" s="299" t="str">
        <f t="shared" si="17"/>
        <v>Unknown</v>
      </c>
    </row>
    <row r="183" spans="2:23">
      <c r="B183" s="302" t="s">
        <v>978</v>
      </c>
      <c r="C183" s="278" t="s">
        <v>355</v>
      </c>
      <c r="D183" s="278" t="s">
        <v>487</v>
      </c>
      <c r="E183" s="278" t="s">
        <v>462</v>
      </c>
      <c r="F183" s="299">
        <f t="shared" si="15"/>
        <v>2018</v>
      </c>
      <c r="G183" s="278">
        <v>2017</v>
      </c>
      <c r="H183" s="278">
        <f>'COMPANY INPUT'!$C$16</f>
        <v>2023</v>
      </c>
      <c r="I183" s="278">
        <f>VLOOKUP(G183,'GDP Deflators'!$H$13:$I$86,2,FALSE)</f>
        <v>81.273099999999999</v>
      </c>
      <c r="J183" s="278">
        <f>VLOOKUP(H183,'GDP Deflators'!$H$13:$I$86,2,FALSE)</f>
        <v>100</v>
      </c>
      <c r="K183" s="387">
        <f t="shared" ref="K183:K187" si="18">$F$93</f>
        <v>289300</v>
      </c>
      <c r="L183" s="746">
        <f t="shared" si="16"/>
        <v>355960.33619980043</v>
      </c>
      <c r="M183" s="300" t="str">
        <f t="shared" si="4"/>
        <v>Willingness to Pay</v>
      </c>
      <c r="N183" s="326">
        <f t="shared" si="5"/>
        <v>2.5</v>
      </c>
      <c r="O183" s="278" t="s">
        <v>718</v>
      </c>
      <c r="P183" s="278" t="str">
        <f t="shared" si="6"/>
        <v>Only value found in available WTP/WTA studies</v>
      </c>
      <c r="Q183" s="299">
        <f t="shared" si="17"/>
        <v>136</v>
      </c>
      <c r="R183" s="299" t="str">
        <f t="shared" si="17"/>
        <v>UU (2018) Customer research triangulation report</v>
      </c>
      <c r="S183" s="299" t="str">
        <f t="shared" si="17"/>
        <v>/</v>
      </c>
      <c r="T183" s="299">
        <f t="shared" si="17"/>
        <v>2018</v>
      </c>
      <c r="U183" s="299" t="str">
        <f t="shared" si="17"/>
        <v>England</v>
      </c>
      <c r="V183" s="299" t="str">
        <f t="shared" si="17"/>
        <v>UU region</v>
      </c>
      <c r="W183" s="299" t="str">
        <f t="shared" si="17"/>
        <v>Unknown</v>
      </c>
    </row>
    <row r="184" spans="2:23">
      <c r="B184" s="302" t="s">
        <v>979</v>
      </c>
      <c r="C184" s="278" t="s">
        <v>355</v>
      </c>
      <c r="D184" s="278" t="s">
        <v>489</v>
      </c>
      <c r="E184" s="278" t="s">
        <v>462</v>
      </c>
      <c r="F184" s="299">
        <f t="shared" si="15"/>
        <v>2018</v>
      </c>
      <c r="G184" s="278">
        <v>2017</v>
      </c>
      <c r="H184" s="278">
        <f>'COMPANY INPUT'!$C$16</f>
        <v>2023</v>
      </c>
      <c r="I184" s="278">
        <f>VLOOKUP(G184,'GDP Deflators'!$H$13:$I$86,2,FALSE)</f>
        <v>81.273099999999999</v>
      </c>
      <c r="J184" s="278">
        <f>VLOOKUP(H184,'GDP Deflators'!$H$13:$I$86,2,FALSE)</f>
        <v>100</v>
      </c>
      <c r="K184" s="387">
        <f t="shared" si="18"/>
        <v>289300</v>
      </c>
      <c r="L184" s="746">
        <f t="shared" si="16"/>
        <v>355960.33619980043</v>
      </c>
      <c r="M184" s="300" t="str">
        <f t="shared" si="4"/>
        <v>Willingness to Pay</v>
      </c>
      <c r="N184" s="326">
        <f t="shared" si="5"/>
        <v>2.5</v>
      </c>
      <c r="O184" s="278" t="s">
        <v>718</v>
      </c>
      <c r="P184" s="278" t="str">
        <f t="shared" si="6"/>
        <v>Only value found in available WTP/WTA studies</v>
      </c>
      <c r="Q184" s="299">
        <f t="shared" si="17"/>
        <v>136</v>
      </c>
      <c r="R184" s="299" t="str">
        <f t="shared" si="17"/>
        <v>UU (2018) Customer research triangulation report</v>
      </c>
      <c r="S184" s="299" t="str">
        <f t="shared" si="17"/>
        <v>/</v>
      </c>
      <c r="T184" s="299">
        <f t="shared" si="17"/>
        <v>2018</v>
      </c>
      <c r="U184" s="299" t="str">
        <f t="shared" si="17"/>
        <v>England</v>
      </c>
      <c r="V184" s="299" t="str">
        <f t="shared" si="17"/>
        <v>UU region</v>
      </c>
      <c r="W184" s="299" t="str">
        <f t="shared" si="17"/>
        <v>Unknown</v>
      </c>
    </row>
    <row r="185" spans="2:23">
      <c r="B185" s="302" t="s">
        <v>980</v>
      </c>
      <c r="C185" s="278" t="s">
        <v>355</v>
      </c>
      <c r="D185" s="278" t="s">
        <v>491</v>
      </c>
      <c r="E185" s="278" t="s">
        <v>462</v>
      </c>
      <c r="F185" s="299">
        <f t="shared" si="15"/>
        <v>2018</v>
      </c>
      <c r="G185" s="278">
        <v>2017</v>
      </c>
      <c r="H185" s="278">
        <f>'COMPANY INPUT'!$C$16</f>
        <v>2023</v>
      </c>
      <c r="I185" s="278">
        <f>VLOOKUP(G185,'GDP Deflators'!$H$13:$I$86,2,FALSE)</f>
        <v>81.273099999999999</v>
      </c>
      <c r="J185" s="278">
        <f>VLOOKUP(H185,'GDP Deflators'!$H$13:$I$86,2,FALSE)</f>
        <v>100</v>
      </c>
      <c r="K185" s="387">
        <f t="shared" si="18"/>
        <v>289300</v>
      </c>
      <c r="L185" s="746">
        <f t="shared" si="16"/>
        <v>355960.33619980043</v>
      </c>
      <c r="M185" s="300" t="str">
        <f t="shared" si="4"/>
        <v>Willingness to Pay</v>
      </c>
      <c r="N185" s="326">
        <f t="shared" si="5"/>
        <v>2.5</v>
      </c>
      <c r="O185" s="278" t="s">
        <v>718</v>
      </c>
      <c r="P185" s="278" t="str">
        <f t="shared" si="6"/>
        <v>Only value found in available WTP/WTA studies</v>
      </c>
      <c r="Q185" s="299">
        <f t="shared" si="17"/>
        <v>136</v>
      </c>
      <c r="R185" s="299" t="str">
        <f t="shared" si="17"/>
        <v>UU (2018) Customer research triangulation report</v>
      </c>
      <c r="S185" s="299" t="str">
        <f t="shared" si="17"/>
        <v>/</v>
      </c>
      <c r="T185" s="299">
        <f t="shared" si="17"/>
        <v>2018</v>
      </c>
      <c r="U185" s="299" t="str">
        <f t="shared" si="17"/>
        <v>England</v>
      </c>
      <c r="V185" s="299" t="str">
        <f t="shared" si="17"/>
        <v>UU region</v>
      </c>
      <c r="W185" s="299" t="str">
        <f t="shared" si="17"/>
        <v>Unknown</v>
      </c>
    </row>
    <row r="186" spans="2:23">
      <c r="B186" s="302" t="s">
        <v>981</v>
      </c>
      <c r="C186" s="278" t="s">
        <v>355</v>
      </c>
      <c r="D186" s="278" t="s">
        <v>493</v>
      </c>
      <c r="E186" s="278" t="s">
        <v>462</v>
      </c>
      <c r="F186" s="299">
        <f t="shared" si="15"/>
        <v>2018</v>
      </c>
      <c r="G186" s="278">
        <v>2017</v>
      </c>
      <c r="H186" s="278">
        <f>'COMPANY INPUT'!$C$16</f>
        <v>2023</v>
      </c>
      <c r="I186" s="278">
        <f>VLOOKUP(G186,'GDP Deflators'!$H$13:$I$86,2,FALSE)</f>
        <v>81.273099999999999</v>
      </c>
      <c r="J186" s="278">
        <f>VLOOKUP(H186,'GDP Deflators'!$H$13:$I$86,2,FALSE)</f>
        <v>100</v>
      </c>
      <c r="K186" s="387">
        <f t="shared" si="18"/>
        <v>289300</v>
      </c>
      <c r="L186" s="746">
        <f t="shared" si="16"/>
        <v>355960.33619980043</v>
      </c>
      <c r="M186" s="300" t="str">
        <f t="shared" si="4"/>
        <v>Willingness to Pay</v>
      </c>
      <c r="N186" s="326">
        <f t="shared" si="5"/>
        <v>2.5</v>
      </c>
      <c r="O186" s="278" t="s">
        <v>718</v>
      </c>
      <c r="P186" s="278" t="str">
        <f t="shared" si="6"/>
        <v>Only value found in available WTP/WTA studies</v>
      </c>
      <c r="Q186" s="299">
        <f t="shared" si="17"/>
        <v>136</v>
      </c>
      <c r="R186" s="299" t="str">
        <f t="shared" si="17"/>
        <v>UU (2018) Customer research triangulation report</v>
      </c>
      <c r="S186" s="299" t="str">
        <f t="shared" si="17"/>
        <v>/</v>
      </c>
      <c r="T186" s="299">
        <f t="shared" si="17"/>
        <v>2018</v>
      </c>
      <c r="U186" s="299" t="str">
        <f t="shared" si="17"/>
        <v>England</v>
      </c>
      <c r="V186" s="299" t="str">
        <f t="shared" si="17"/>
        <v>UU region</v>
      </c>
      <c r="W186" s="299" t="str">
        <f t="shared" si="17"/>
        <v>Unknown</v>
      </c>
    </row>
    <row r="187" spans="2:23">
      <c r="B187" s="302" t="s">
        <v>982</v>
      </c>
      <c r="C187" s="278" t="s">
        <v>355</v>
      </c>
      <c r="D187" s="278" t="s">
        <v>495</v>
      </c>
      <c r="E187" s="278" t="s">
        <v>462</v>
      </c>
      <c r="F187" s="299">
        <f t="shared" si="15"/>
        <v>2018</v>
      </c>
      <c r="G187" s="278">
        <v>2017</v>
      </c>
      <c r="H187" s="278">
        <f>'COMPANY INPUT'!$C$16</f>
        <v>2023</v>
      </c>
      <c r="I187" s="278">
        <f>VLOOKUP(G187,'GDP Deflators'!$H$13:$I$86,2,FALSE)</f>
        <v>81.273099999999999</v>
      </c>
      <c r="J187" s="278">
        <f>VLOOKUP(H187,'GDP Deflators'!$H$13:$I$86,2,FALSE)</f>
        <v>100</v>
      </c>
      <c r="K187" s="387">
        <f t="shared" si="18"/>
        <v>289300</v>
      </c>
      <c r="L187" s="746">
        <f t="shared" si="16"/>
        <v>355960.33619980043</v>
      </c>
      <c r="M187" s="300" t="str">
        <f t="shared" si="4"/>
        <v>Willingness to Pay</v>
      </c>
      <c r="N187" s="326">
        <f t="shared" si="5"/>
        <v>2.5</v>
      </c>
      <c r="O187" s="278" t="s">
        <v>718</v>
      </c>
      <c r="P187" s="278" t="str">
        <f t="shared" si="6"/>
        <v>Only value found in available WTP/WTA studies</v>
      </c>
      <c r="Q187" s="299">
        <f t="shared" si="17"/>
        <v>136</v>
      </c>
      <c r="R187" s="299" t="str">
        <f t="shared" si="17"/>
        <v>UU (2018) Customer research triangulation report</v>
      </c>
      <c r="S187" s="299" t="str">
        <f t="shared" si="17"/>
        <v>/</v>
      </c>
      <c r="T187" s="299">
        <f t="shared" si="17"/>
        <v>2018</v>
      </c>
      <c r="U187" s="299" t="str">
        <f t="shared" si="17"/>
        <v>England</v>
      </c>
      <c r="V187" s="299" t="str">
        <f t="shared" si="17"/>
        <v>UU region</v>
      </c>
      <c r="W187" s="299" t="str">
        <f t="shared" si="17"/>
        <v>Unknown</v>
      </c>
    </row>
    <row r="188" spans="2:23">
      <c r="B188" s="302" t="s">
        <v>983</v>
      </c>
      <c r="C188" s="278" t="s">
        <v>355</v>
      </c>
      <c r="D188" s="278" t="s">
        <v>486</v>
      </c>
      <c r="E188" s="278" t="s">
        <v>151</v>
      </c>
      <c r="F188" s="299">
        <f t="shared" ref="F188:F193" si="19">$E$98</f>
        <v>2022</v>
      </c>
      <c r="G188" s="278">
        <v>2021</v>
      </c>
      <c r="H188" s="278">
        <f>'COMPANY INPUT'!$C$16</f>
        <v>2023</v>
      </c>
      <c r="I188" s="278">
        <f>VLOOKUP(G188,'GDP Deflators'!$H$13:$I$86,2,FALSE)</f>
        <v>88.789299999999997</v>
      </c>
      <c r="J188" s="278">
        <f>VLOOKUP(H188,'GDP Deflators'!$H$13:$I$86,2,FALSE)</f>
        <v>100</v>
      </c>
      <c r="K188" s="387">
        <f t="shared" ref="K188:K193" si="20">$C$145</f>
        <v>640619.25599999994</v>
      </c>
      <c r="L188" s="746">
        <f t="shared" si="16"/>
        <v>721505.01918587042</v>
      </c>
      <c r="M188" s="300" t="str">
        <f t="shared" ref="M188:M193" si="21">$I$161</f>
        <v>Willingness to Pay</v>
      </c>
      <c r="N188" s="326">
        <f t="shared" ref="N188:N193" si="22">$H$161</f>
        <v>2.5714285714285698</v>
      </c>
      <c r="O188" s="278" t="s">
        <v>718</v>
      </c>
      <c r="P188" s="278" t="str">
        <f t="shared" ref="P188:P193" si="23">$J$161</f>
        <v>Only value found in available WTP/WTA studies</v>
      </c>
      <c r="Q188" s="299">
        <f t="shared" ref="Q188:W193" si="24">B$98</f>
        <v>134</v>
      </c>
      <c r="R188" s="299" t="str">
        <f t="shared" si="24"/>
        <v>NERA / Wessex Water</v>
      </c>
      <c r="S188" s="299" t="str">
        <f t="shared" si="24"/>
        <v>/</v>
      </c>
      <c r="T188" s="299">
        <f t="shared" si="24"/>
        <v>2022</v>
      </c>
      <c r="U188" s="299" t="str">
        <f t="shared" si="24"/>
        <v>England</v>
      </c>
      <c r="V188" s="299" t="str">
        <f t="shared" si="24"/>
        <v>Wessex Water region</v>
      </c>
      <c r="W188" s="299" t="str">
        <f t="shared" si="24"/>
        <v>Unknown</v>
      </c>
    </row>
    <row r="189" spans="2:23">
      <c r="B189" s="302" t="s">
        <v>984</v>
      </c>
      <c r="C189" s="278" t="s">
        <v>355</v>
      </c>
      <c r="D189" s="278" t="s">
        <v>488</v>
      </c>
      <c r="E189" s="278" t="s">
        <v>151</v>
      </c>
      <c r="F189" s="299">
        <f t="shared" si="19"/>
        <v>2022</v>
      </c>
      <c r="G189" s="278">
        <v>2021</v>
      </c>
      <c r="H189" s="278">
        <f>'COMPANY INPUT'!$C$16</f>
        <v>2023</v>
      </c>
      <c r="I189" s="278">
        <f>VLOOKUP(G189,'GDP Deflators'!$H$13:$I$86,2,FALSE)</f>
        <v>88.789299999999997</v>
      </c>
      <c r="J189" s="278">
        <f>VLOOKUP(H189,'GDP Deflators'!$H$13:$I$86,2,FALSE)</f>
        <v>100</v>
      </c>
      <c r="K189" s="387">
        <f t="shared" si="20"/>
        <v>640619.25599999994</v>
      </c>
      <c r="L189" s="746">
        <f t="shared" ref="L189:L193" si="25">K189*(J189/I189)</f>
        <v>721505.01918587042</v>
      </c>
      <c r="M189" s="300" t="str">
        <f t="shared" si="21"/>
        <v>Willingness to Pay</v>
      </c>
      <c r="N189" s="326">
        <f t="shared" si="22"/>
        <v>2.5714285714285698</v>
      </c>
      <c r="O189" s="278" t="s">
        <v>718</v>
      </c>
      <c r="P189" s="278" t="str">
        <f t="shared" si="23"/>
        <v>Only value found in available WTP/WTA studies</v>
      </c>
      <c r="Q189" s="299">
        <f t="shared" si="24"/>
        <v>134</v>
      </c>
      <c r="R189" s="299" t="str">
        <f t="shared" si="24"/>
        <v>NERA / Wessex Water</v>
      </c>
      <c r="S189" s="299" t="str">
        <f t="shared" si="24"/>
        <v>/</v>
      </c>
      <c r="T189" s="299">
        <f t="shared" si="24"/>
        <v>2022</v>
      </c>
      <c r="U189" s="299" t="str">
        <f t="shared" si="24"/>
        <v>England</v>
      </c>
      <c r="V189" s="299" t="str">
        <f t="shared" si="24"/>
        <v>Wessex Water region</v>
      </c>
      <c r="W189" s="299" t="str">
        <f t="shared" si="24"/>
        <v>Unknown</v>
      </c>
    </row>
    <row r="190" spans="2:23">
      <c r="B190" s="302" t="s">
        <v>985</v>
      </c>
      <c r="C190" s="278" t="s">
        <v>355</v>
      </c>
      <c r="D190" s="278" t="s">
        <v>490</v>
      </c>
      <c r="E190" s="278" t="s">
        <v>151</v>
      </c>
      <c r="F190" s="299">
        <f t="shared" si="19"/>
        <v>2022</v>
      </c>
      <c r="G190" s="278">
        <v>2021</v>
      </c>
      <c r="H190" s="278">
        <f>'COMPANY INPUT'!$C$16</f>
        <v>2023</v>
      </c>
      <c r="I190" s="278">
        <f>VLOOKUP(G190,'GDP Deflators'!$H$13:$I$86,2,FALSE)</f>
        <v>88.789299999999997</v>
      </c>
      <c r="J190" s="278">
        <f>VLOOKUP(H190,'GDP Deflators'!$H$13:$I$86,2,FALSE)</f>
        <v>100</v>
      </c>
      <c r="K190" s="387">
        <f t="shared" si="20"/>
        <v>640619.25599999994</v>
      </c>
      <c r="L190" s="746">
        <f t="shared" si="25"/>
        <v>721505.01918587042</v>
      </c>
      <c r="M190" s="300" t="str">
        <f t="shared" si="21"/>
        <v>Willingness to Pay</v>
      </c>
      <c r="N190" s="326">
        <f t="shared" si="22"/>
        <v>2.5714285714285698</v>
      </c>
      <c r="O190" s="278" t="s">
        <v>718</v>
      </c>
      <c r="P190" s="278" t="str">
        <f t="shared" si="23"/>
        <v>Only value found in available WTP/WTA studies</v>
      </c>
      <c r="Q190" s="299">
        <f t="shared" si="24"/>
        <v>134</v>
      </c>
      <c r="R190" s="299" t="str">
        <f t="shared" si="24"/>
        <v>NERA / Wessex Water</v>
      </c>
      <c r="S190" s="299" t="str">
        <f t="shared" si="24"/>
        <v>/</v>
      </c>
      <c r="T190" s="299">
        <f t="shared" si="24"/>
        <v>2022</v>
      </c>
      <c r="U190" s="299" t="str">
        <f t="shared" si="24"/>
        <v>England</v>
      </c>
      <c r="V190" s="299" t="str">
        <f t="shared" si="24"/>
        <v>Wessex Water region</v>
      </c>
      <c r="W190" s="299" t="str">
        <f t="shared" si="24"/>
        <v>Unknown</v>
      </c>
    </row>
    <row r="191" spans="2:23">
      <c r="B191" s="302" t="s">
        <v>986</v>
      </c>
      <c r="C191" s="278" t="s">
        <v>355</v>
      </c>
      <c r="D191" s="278" t="s">
        <v>492</v>
      </c>
      <c r="E191" s="278" t="s">
        <v>151</v>
      </c>
      <c r="F191" s="299">
        <f t="shared" si="19"/>
        <v>2022</v>
      </c>
      <c r="G191" s="278">
        <v>2021</v>
      </c>
      <c r="H191" s="278">
        <f>'COMPANY INPUT'!$C$16</f>
        <v>2023</v>
      </c>
      <c r="I191" s="278">
        <f>VLOOKUP(G191,'GDP Deflators'!$H$13:$I$86,2,FALSE)</f>
        <v>88.789299999999997</v>
      </c>
      <c r="J191" s="278">
        <f>VLOOKUP(H191,'GDP Deflators'!$H$13:$I$86,2,FALSE)</f>
        <v>100</v>
      </c>
      <c r="K191" s="387">
        <f t="shared" si="20"/>
        <v>640619.25599999994</v>
      </c>
      <c r="L191" s="746">
        <f t="shared" si="25"/>
        <v>721505.01918587042</v>
      </c>
      <c r="M191" s="300" t="str">
        <f t="shared" si="21"/>
        <v>Willingness to Pay</v>
      </c>
      <c r="N191" s="326">
        <f t="shared" si="22"/>
        <v>2.5714285714285698</v>
      </c>
      <c r="O191" s="278" t="s">
        <v>718</v>
      </c>
      <c r="P191" s="278" t="str">
        <f t="shared" si="23"/>
        <v>Only value found in available WTP/WTA studies</v>
      </c>
      <c r="Q191" s="299">
        <f t="shared" si="24"/>
        <v>134</v>
      </c>
      <c r="R191" s="299" t="str">
        <f t="shared" si="24"/>
        <v>NERA / Wessex Water</v>
      </c>
      <c r="S191" s="299" t="str">
        <f t="shared" si="24"/>
        <v>/</v>
      </c>
      <c r="T191" s="299">
        <f t="shared" si="24"/>
        <v>2022</v>
      </c>
      <c r="U191" s="299" t="str">
        <f t="shared" si="24"/>
        <v>England</v>
      </c>
      <c r="V191" s="299" t="str">
        <f t="shared" si="24"/>
        <v>Wessex Water region</v>
      </c>
      <c r="W191" s="299" t="str">
        <f t="shared" si="24"/>
        <v>Unknown</v>
      </c>
    </row>
    <row r="192" spans="2:23">
      <c r="B192" s="302" t="s">
        <v>987</v>
      </c>
      <c r="C192" s="278" t="s">
        <v>355</v>
      </c>
      <c r="D192" s="278" t="s">
        <v>494</v>
      </c>
      <c r="E192" s="278" t="s">
        <v>151</v>
      </c>
      <c r="F192" s="299">
        <f t="shared" si="19"/>
        <v>2022</v>
      </c>
      <c r="G192" s="278">
        <v>2021</v>
      </c>
      <c r="H192" s="278">
        <f>'COMPANY INPUT'!$C$16</f>
        <v>2023</v>
      </c>
      <c r="I192" s="278">
        <f>VLOOKUP(G192,'GDP Deflators'!$H$13:$I$86,2,FALSE)</f>
        <v>88.789299999999997</v>
      </c>
      <c r="J192" s="278">
        <f>VLOOKUP(H192,'GDP Deflators'!$H$13:$I$86,2,FALSE)</f>
        <v>100</v>
      </c>
      <c r="K192" s="387">
        <f t="shared" si="20"/>
        <v>640619.25599999994</v>
      </c>
      <c r="L192" s="746">
        <f t="shared" si="25"/>
        <v>721505.01918587042</v>
      </c>
      <c r="M192" s="300" t="str">
        <f t="shared" si="21"/>
        <v>Willingness to Pay</v>
      </c>
      <c r="N192" s="326">
        <f t="shared" si="22"/>
        <v>2.5714285714285698</v>
      </c>
      <c r="O192" s="278" t="s">
        <v>718</v>
      </c>
      <c r="P192" s="278" t="str">
        <f t="shared" si="23"/>
        <v>Only value found in available WTP/WTA studies</v>
      </c>
      <c r="Q192" s="299">
        <f t="shared" si="24"/>
        <v>134</v>
      </c>
      <c r="R192" s="299" t="str">
        <f t="shared" si="24"/>
        <v>NERA / Wessex Water</v>
      </c>
      <c r="S192" s="299" t="str">
        <f t="shared" si="24"/>
        <v>/</v>
      </c>
      <c r="T192" s="299">
        <f t="shared" si="24"/>
        <v>2022</v>
      </c>
      <c r="U192" s="299" t="str">
        <f t="shared" si="24"/>
        <v>England</v>
      </c>
      <c r="V192" s="299" t="str">
        <f t="shared" si="24"/>
        <v>Wessex Water region</v>
      </c>
      <c r="W192" s="299" t="str">
        <f t="shared" si="24"/>
        <v>Unknown</v>
      </c>
    </row>
    <row r="193" spans="1:23">
      <c r="B193" s="302" t="s">
        <v>988</v>
      </c>
      <c r="C193" s="278" t="s">
        <v>355</v>
      </c>
      <c r="D193" s="278" t="s">
        <v>496</v>
      </c>
      <c r="E193" s="278" t="s">
        <v>151</v>
      </c>
      <c r="F193" s="299">
        <f t="shared" si="19"/>
        <v>2022</v>
      </c>
      <c r="G193" s="278">
        <v>2021</v>
      </c>
      <c r="H193" s="278">
        <f>'COMPANY INPUT'!$C$16</f>
        <v>2023</v>
      </c>
      <c r="I193" s="278">
        <f>VLOOKUP(G193,'GDP Deflators'!$H$13:$I$86,2,FALSE)</f>
        <v>88.789299999999997</v>
      </c>
      <c r="J193" s="278">
        <f>VLOOKUP(H193,'GDP Deflators'!$H$13:$I$86,2,FALSE)</f>
        <v>100</v>
      </c>
      <c r="K193" s="387">
        <f t="shared" si="20"/>
        <v>640619.25599999994</v>
      </c>
      <c r="L193" s="746">
        <f t="shared" si="25"/>
        <v>721505.01918587042</v>
      </c>
      <c r="M193" s="300" t="str">
        <f t="shared" si="21"/>
        <v>Willingness to Pay</v>
      </c>
      <c r="N193" s="326">
        <f t="shared" si="22"/>
        <v>2.5714285714285698</v>
      </c>
      <c r="O193" s="278" t="s">
        <v>718</v>
      </c>
      <c r="P193" s="278" t="str">
        <f t="shared" si="23"/>
        <v>Only value found in available WTP/WTA studies</v>
      </c>
      <c r="Q193" s="299">
        <f t="shared" si="24"/>
        <v>134</v>
      </c>
      <c r="R193" s="299" t="str">
        <f t="shared" si="24"/>
        <v>NERA / Wessex Water</v>
      </c>
      <c r="S193" s="299" t="str">
        <f t="shared" si="24"/>
        <v>/</v>
      </c>
      <c r="T193" s="299">
        <f t="shared" si="24"/>
        <v>2022</v>
      </c>
      <c r="U193" s="299" t="str">
        <f t="shared" si="24"/>
        <v>England</v>
      </c>
      <c r="V193" s="299" t="str">
        <f t="shared" si="24"/>
        <v>Wessex Water region</v>
      </c>
      <c r="W193" s="299" t="str">
        <f t="shared" si="24"/>
        <v>Unknown</v>
      </c>
    </row>
    <row r="195" spans="1:23">
      <c r="A195" s="721"/>
      <c r="B195" s="722" t="s">
        <v>465</v>
      </c>
      <c r="C195" s="721"/>
      <c r="D195" s="721"/>
      <c r="E195" s="721"/>
      <c r="F195" s="721"/>
      <c r="G195" s="721"/>
      <c r="H195" s="721"/>
    </row>
    <row r="196" spans="1:23">
      <c r="A196" s="727"/>
      <c r="B196" s="729" t="s">
        <v>897</v>
      </c>
      <c r="C196" s="727"/>
      <c r="D196" s="727"/>
      <c r="E196" s="727"/>
      <c r="F196" s="727"/>
      <c r="G196" s="727"/>
      <c r="H196" s="727"/>
    </row>
    <row r="197" spans="1:23">
      <c r="B197" s="277" t="s">
        <v>898</v>
      </c>
      <c r="C197" s="277" t="s">
        <v>899</v>
      </c>
    </row>
    <row r="198" spans="1:23">
      <c r="B198" s="278" t="s">
        <v>465</v>
      </c>
      <c r="C198" s="278" t="s">
        <v>989</v>
      </c>
    </row>
    <row r="199" spans="1:23">
      <c r="B199" s="16"/>
    </row>
    <row r="200" spans="1:23">
      <c r="A200" s="727"/>
      <c r="B200" s="728" t="s">
        <v>901</v>
      </c>
      <c r="C200" s="727"/>
      <c r="D200" s="727"/>
      <c r="E200" s="727"/>
      <c r="F200" s="727"/>
      <c r="G200" s="727"/>
      <c r="H200" s="727"/>
    </row>
    <row r="201" spans="1:23" ht="29.1">
      <c r="B201" s="277" t="s">
        <v>902</v>
      </c>
      <c r="C201" s="277" t="s">
        <v>898</v>
      </c>
      <c r="D201" s="277" t="s">
        <v>899</v>
      </c>
      <c r="E201" s="298" t="s">
        <v>903</v>
      </c>
      <c r="F201" s="277" t="s">
        <v>904</v>
      </c>
      <c r="G201" s="277" t="s">
        <v>905</v>
      </c>
      <c r="H201" s="277" t="s">
        <v>924</v>
      </c>
      <c r="I201" s="298" t="s">
        <v>956</v>
      </c>
      <c r="J201" s="277" t="s">
        <v>927</v>
      </c>
    </row>
    <row r="202" spans="1:23">
      <c r="B202" s="278" t="s">
        <v>487</v>
      </c>
      <c r="C202" s="278" t="s">
        <v>465</v>
      </c>
      <c r="D202" s="278" t="s">
        <v>989</v>
      </c>
      <c r="E202" s="299" t="s">
        <v>906</v>
      </c>
      <c r="F202" s="279" t="s">
        <v>907</v>
      </c>
      <c r="G202" s="300" t="s">
        <v>990</v>
      </c>
      <c r="H202" s="279" t="s">
        <v>907</v>
      </c>
      <c r="I202" s="279" t="s">
        <v>907</v>
      </c>
      <c r="J202" s="279" t="s">
        <v>907</v>
      </c>
    </row>
    <row r="203" spans="1:23">
      <c r="B203" s="278" t="s">
        <v>488</v>
      </c>
      <c r="C203" s="278" t="s">
        <v>465</v>
      </c>
      <c r="D203" s="278" t="s">
        <v>989</v>
      </c>
      <c r="E203" s="299" t="s">
        <v>906</v>
      </c>
      <c r="F203" s="279" t="s">
        <v>907</v>
      </c>
      <c r="G203" s="300" t="s">
        <v>990</v>
      </c>
      <c r="H203" s="279" t="s">
        <v>907</v>
      </c>
      <c r="I203" s="279" t="s">
        <v>907</v>
      </c>
      <c r="J203" s="279" t="s">
        <v>907</v>
      </c>
    </row>
    <row r="204" spans="1:23">
      <c r="B204" s="278" t="s">
        <v>491</v>
      </c>
      <c r="C204" s="278" t="s">
        <v>465</v>
      </c>
      <c r="D204" s="278" t="s">
        <v>989</v>
      </c>
      <c r="E204" s="299" t="s">
        <v>906</v>
      </c>
      <c r="F204" s="279" t="s">
        <v>907</v>
      </c>
      <c r="G204" s="300" t="s">
        <v>990</v>
      </c>
      <c r="H204" s="279" t="s">
        <v>907</v>
      </c>
      <c r="I204" s="279" t="s">
        <v>907</v>
      </c>
      <c r="J204" s="279" t="s">
        <v>907</v>
      </c>
    </row>
    <row r="205" spans="1:23">
      <c r="B205" s="278" t="s">
        <v>492</v>
      </c>
      <c r="C205" s="278" t="s">
        <v>465</v>
      </c>
      <c r="D205" s="278" t="s">
        <v>989</v>
      </c>
      <c r="E205" s="299" t="s">
        <v>906</v>
      </c>
      <c r="F205" s="279" t="s">
        <v>907</v>
      </c>
      <c r="G205" s="300" t="s">
        <v>990</v>
      </c>
      <c r="H205" s="279" t="s">
        <v>907</v>
      </c>
      <c r="I205" s="279" t="s">
        <v>907</v>
      </c>
      <c r="J205" s="279" t="s">
        <v>907</v>
      </c>
    </row>
    <row r="206" spans="1:23">
      <c r="B206" s="278" t="s">
        <v>495</v>
      </c>
      <c r="C206" s="278" t="s">
        <v>465</v>
      </c>
      <c r="D206" s="278" t="s">
        <v>989</v>
      </c>
      <c r="E206" s="299" t="s">
        <v>906</v>
      </c>
      <c r="F206" s="279" t="s">
        <v>907</v>
      </c>
      <c r="G206" s="300" t="s">
        <v>990</v>
      </c>
      <c r="H206" s="279" t="s">
        <v>907</v>
      </c>
      <c r="I206" s="279" t="s">
        <v>907</v>
      </c>
      <c r="J206" s="279" t="s">
        <v>907</v>
      </c>
    </row>
    <row r="207" spans="1:23">
      <c r="B207" s="278" t="s">
        <v>496</v>
      </c>
      <c r="C207" s="278" t="s">
        <v>465</v>
      </c>
      <c r="D207" s="278" t="s">
        <v>989</v>
      </c>
      <c r="E207" s="299" t="s">
        <v>906</v>
      </c>
      <c r="F207" s="279" t="s">
        <v>907</v>
      </c>
      <c r="G207" s="300" t="s">
        <v>990</v>
      </c>
      <c r="H207" s="279" t="s">
        <v>907</v>
      </c>
      <c r="I207" s="279" t="s">
        <v>907</v>
      </c>
      <c r="J207" s="279" t="s">
        <v>907</v>
      </c>
    </row>
  </sheetData>
  <sheetProtection algorithmName="SHA-512" hashValue="127InEzgKVOEQP5NVwmdW8c/2l1fxy4kt3+Wue8S5lRQjgLP7fMe+GvTRkEQ8/QS2KttUl+Egs/VvCRrKTPpmg==" saltValue="GoovfvXkDCDbRRsxs0PXsw==" spinCount="100000" sheet="1" objects="1" scenarios="1"/>
  <dataConsolidate/>
  <mergeCells count="33">
    <mergeCell ref="E113:H113"/>
    <mergeCell ref="B112:B115"/>
    <mergeCell ref="D9:H9"/>
    <mergeCell ref="E63:H63"/>
    <mergeCell ref="E64:H64"/>
    <mergeCell ref="E65:H65"/>
    <mergeCell ref="E66:H66"/>
    <mergeCell ref="E67:H67"/>
    <mergeCell ref="E101:H101"/>
    <mergeCell ref="E102:H102"/>
    <mergeCell ref="E103:H103"/>
    <mergeCell ref="E104:H104"/>
    <mergeCell ref="E105:H105"/>
    <mergeCell ref="E106:H106"/>
    <mergeCell ref="E107:H107"/>
    <mergeCell ref="E111:H111"/>
    <mergeCell ref="E112:H112"/>
    <mergeCell ref="B5:H5"/>
    <mergeCell ref="E72:G72"/>
    <mergeCell ref="E73:G73"/>
    <mergeCell ref="E74:G74"/>
    <mergeCell ref="E71:G71"/>
    <mergeCell ref="H72:H74"/>
    <mergeCell ref="E61:H61"/>
    <mergeCell ref="E62:H62"/>
    <mergeCell ref="H161:H166"/>
    <mergeCell ref="J161:J166"/>
    <mergeCell ref="I161:I166"/>
    <mergeCell ref="E114:H114"/>
    <mergeCell ref="E115:H115"/>
    <mergeCell ref="J149:J160"/>
    <mergeCell ref="I149:I160"/>
    <mergeCell ref="H149:H160"/>
  </mergeCells>
  <phoneticPr fontId="16" type="noConversion"/>
  <conditionalFormatting sqref="D68:E68">
    <cfRule type="cellIs" dxfId="1224" priority="41" operator="lessThanOrEqual">
      <formula>2.14285714285714</formula>
    </cfRule>
    <cfRule type="cellIs" dxfId="1223" priority="42" operator="lessThanOrEqual">
      <formula>2.57142857142857</formula>
    </cfRule>
    <cfRule type="cellIs" dxfId="1222" priority="43" operator="lessThanOrEqual">
      <formula>3</formula>
    </cfRule>
  </conditionalFormatting>
  <conditionalFormatting sqref="D108:E108">
    <cfRule type="cellIs" dxfId="1221" priority="5" operator="lessThanOrEqual">
      <formula>2.14285714285714</formula>
    </cfRule>
    <cfRule type="cellIs" dxfId="1220" priority="6" operator="lessThanOrEqual">
      <formula>2.57142857142857</formula>
    </cfRule>
    <cfRule type="cellIs" dxfId="1219" priority="7" operator="lessThanOrEqual">
      <formula>3</formula>
    </cfRule>
  </conditionalFormatting>
  <conditionalFormatting sqref="D11:H24">
    <cfRule type="notContainsBlanks" dxfId="1218" priority="1">
      <formula>LEN(TRIM(D11))&gt;0</formula>
    </cfRule>
  </conditionalFormatting>
  <conditionalFormatting sqref="E68">
    <cfRule type="containsText" dxfId="1217" priority="38" operator="containsText" text="Green">
      <formula>NOT(ISERROR(SEARCH("Green",E68)))</formula>
    </cfRule>
    <cfRule type="containsText" dxfId="1216" priority="39" operator="containsText" text="Amber">
      <formula>NOT(ISERROR(SEARCH("Amber",E68)))</formula>
    </cfRule>
    <cfRule type="containsText" dxfId="1215" priority="40" operator="containsText" text="Red">
      <formula>NOT(ISERROR(SEARCH("Red",E68)))</formula>
    </cfRule>
  </conditionalFormatting>
  <conditionalFormatting sqref="E108">
    <cfRule type="containsText" dxfId="1214" priority="2" operator="containsText" text="Green">
      <formula>NOT(ISERROR(SEARCH("Green",E108)))</formula>
    </cfRule>
    <cfRule type="containsText" dxfId="1213" priority="3" operator="containsText" text="Amber">
      <formula>NOT(ISERROR(SEARCH("Amber",E108)))</formula>
    </cfRule>
    <cfRule type="containsText" dxfId="1212" priority="4" operator="containsText" text="Red">
      <formula>NOT(ISERROR(SEARCH("Red",E108)))</formula>
    </cfRule>
  </conditionalFormatting>
  <conditionalFormatting sqref="H149 H161">
    <cfRule type="cellIs" dxfId="1211" priority="14" operator="lessThanOrEqual">
      <formula>2.14285714285714</formula>
    </cfRule>
    <cfRule type="cellIs" dxfId="1210" priority="15" operator="lessThanOrEqual">
      <formula>2.57142857142857</formula>
    </cfRule>
    <cfRule type="cellIs" dxfId="1209" priority="16" operator="lessThanOrEqual">
      <formula>3</formula>
    </cfRule>
  </conditionalFormatting>
  <conditionalFormatting sqref="N176:N193">
    <cfRule type="cellIs" dxfId="1208" priority="17" operator="lessThanOrEqual">
      <formula>2.14285714285714</formula>
    </cfRule>
    <cfRule type="cellIs" dxfId="1207" priority="18" operator="lessThanOrEqual">
      <formula>2.57142857142857</formula>
    </cfRule>
    <cfRule type="cellIs" dxfId="1206" priority="19" operator="lessThanOrEqual">
      <formula>3</formula>
    </cfRule>
  </conditionalFormatting>
  <dataValidations count="1">
    <dataValidation type="list" allowBlank="1" showInputMessage="1" showErrorMessage="1" sqref="C62:C67 C69 C102:C107 C109" xr:uid="{8B12F274-2571-4111-850A-3EA3267587A6}">
      <formula1>"High, Medium, Low"</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B140-2387-42D4-BFC7-BA6308E6C437}">
  <sheetPr codeName="Sheet10">
    <tabColor theme="5" tint="0.59999389629810485"/>
  </sheetPr>
  <dimension ref="A1:W314"/>
  <sheetViews>
    <sheetView workbookViewId="0">
      <selection activeCell="B2" sqref="B2"/>
    </sheetView>
  </sheetViews>
  <sheetFormatPr defaultColWidth="9" defaultRowHeight="14.45"/>
  <cols>
    <col min="1" max="1" width="3.5" style="7" customWidth="1"/>
    <col min="2" max="3" width="40.625" style="7" customWidth="1"/>
    <col min="4" max="13" width="15.625" style="7" customWidth="1"/>
    <col min="14" max="15" width="16.125" style="7" customWidth="1"/>
    <col min="16" max="16" width="9" style="7"/>
    <col min="17" max="17" width="16.625" style="7" customWidth="1"/>
    <col min="18" max="18" width="18.5" style="7" customWidth="1"/>
    <col min="19" max="16384" width="9" style="7"/>
  </cols>
  <sheetData>
    <row r="1" spans="1:8" ht="15" thickBot="1"/>
    <row r="2" spans="1:8" s="732" customFormat="1" ht="18.95" thickBot="1">
      <c r="A2" s="730"/>
      <c r="B2" s="731" t="s">
        <v>357</v>
      </c>
      <c r="C2" s="733"/>
      <c r="D2" s="733"/>
    </row>
    <row r="4" spans="1:8" s="734" customFormat="1" ht="18.600000000000001">
      <c r="A4" s="735"/>
      <c r="B4" s="736" t="s">
        <v>893</v>
      </c>
      <c r="C4" s="735"/>
      <c r="D4" s="735"/>
      <c r="E4" s="735"/>
      <c r="F4" s="735"/>
      <c r="G4" s="735"/>
      <c r="H4" s="735"/>
    </row>
    <row r="5" spans="1:8" ht="117.75" customHeight="1">
      <c r="A5" s="737"/>
      <c r="B5" s="1152" t="s">
        <v>991</v>
      </c>
      <c r="C5" s="1152"/>
      <c r="D5" s="1152"/>
      <c r="E5" s="1152"/>
      <c r="F5" s="1152"/>
      <c r="G5" s="1152"/>
      <c r="H5" s="1152"/>
    </row>
    <row r="7" spans="1:8" s="29" customFormat="1" ht="18.600000000000001">
      <c r="A7" s="738"/>
      <c r="B7" s="724" t="s">
        <v>895</v>
      </c>
      <c r="C7" s="738"/>
      <c r="D7" s="738"/>
      <c r="E7" s="738"/>
      <c r="F7" s="738"/>
      <c r="G7" s="738"/>
      <c r="H7" s="738"/>
    </row>
    <row r="9" spans="1:8">
      <c r="D9" s="1139" t="s">
        <v>479</v>
      </c>
      <c r="E9" s="1139"/>
      <c r="F9" s="1139"/>
      <c r="G9" s="1139"/>
    </row>
    <row r="10" spans="1:8">
      <c r="B10" s="398" t="s">
        <v>104</v>
      </c>
      <c r="C10" s="398" t="s">
        <v>711</v>
      </c>
      <c r="D10" s="386" t="s">
        <v>448</v>
      </c>
      <c r="E10" s="398" t="s">
        <v>460</v>
      </c>
      <c r="F10" s="398" t="s">
        <v>151</v>
      </c>
      <c r="G10" s="398" t="s">
        <v>462</v>
      </c>
    </row>
    <row r="11" spans="1:8">
      <c r="B11" s="276" t="s">
        <v>106</v>
      </c>
      <c r="C11" s="276" t="s">
        <v>358</v>
      </c>
      <c r="D11" s="362" t="s">
        <v>477</v>
      </c>
      <c r="E11" s="362" t="str" cm="1">
        <f t="array" ref="E11">_xlfn.XLOOKUP(1,($B11=$B$31:$B$41)*(E$10=$C$31:$C$41),$G$31:$G$41,"Not found",0,1)</f>
        <v>LG(H)</v>
      </c>
      <c r="F11" s="374" cm="1">
        <f t="array" ref="F11">_xlfn.XLOOKUP(1,($B11=$B$268:$B$289)*(F$10=$C$268:$C$289),$G$268:$G$289,"Not found",0,1)</f>
        <v>76.05646174627779</v>
      </c>
      <c r="G11" s="374" cm="1">
        <f t="array" ref="G11">_xlfn.XLOOKUP(1,($B11=$B$268:$B$289)*(G$10=$C$268:$C$289),$G$268:$G$289,"Not found",0,1)</f>
        <v>4705.8596683295546</v>
      </c>
    </row>
    <row r="12" spans="1:8">
      <c r="B12" s="276" t="s">
        <v>109</v>
      </c>
      <c r="C12" s="276" t="s">
        <v>358</v>
      </c>
      <c r="D12" s="362" t="s">
        <v>477</v>
      </c>
      <c r="E12" s="362" t="str" cm="1">
        <f t="array" ref="E12">_xlfn.XLOOKUP(1,($B12=$B$31:$B$41)*(E$10=$C$31:$C$41),$G$31:$G$41,"Not found",0,1)</f>
        <v>LG(H)</v>
      </c>
      <c r="F12" s="374" cm="1">
        <f t="array" ref="F12">_xlfn.XLOOKUP(1,($B12=$B$268:$B$289)*(F$10=$C$268:$C$289),$G$268:$G$289,"Not found",0,1)</f>
        <v>76.05646174627779</v>
      </c>
      <c r="G12" s="374" cm="1">
        <f t="array" ref="G12">_xlfn.XLOOKUP(1,($B12=$B$268:$B$289)*(G$10=$C$268:$C$289),$G$268:$G$289,"Not found",0,1)</f>
        <v>4705.8596683295546</v>
      </c>
    </row>
    <row r="13" spans="1:8">
      <c r="B13" s="276" t="s">
        <v>110</v>
      </c>
      <c r="C13" s="276" t="s">
        <v>358</v>
      </c>
      <c r="D13" s="362" t="s">
        <v>477</v>
      </c>
      <c r="E13" s="362" t="str" cm="1">
        <f t="array" ref="E13">_xlfn.XLOOKUP(1,($B13=$B$31:$B$41)*(E$10=$C$31:$C$41),$G$31:$G$41,"Not found",0,1)</f>
        <v>LG(H)</v>
      </c>
      <c r="F13" s="374" cm="1">
        <f t="array" ref="F13">_xlfn.XLOOKUP(1,($B13=$B$268:$B$289)*(F$10=$C$268:$C$289),$G$268:$G$289,"Not found",0,1)</f>
        <v>76.05646174627779</v>
      </c>
      <c r="G13" s="374" cm="1">
        <f t="array" ref="G13">_xlfn.XLOOKUP(1,($B13=$B$268:$B$289)*(G$10=$C$268:$C$289),$G$268:$G$289,"Not found",0,1)</f>
        <v>4705.8596683295546</v>
      </c>
    </row>
    <row r="14" spans="1:8">
      <c r="B14" s="276" t="s">
        <v>111</v>
      </c>
      <c r="C14" s="276" t="s">
        <v>358</v>
      </c>
      <c r="D14" s="362" t="s">
        <v>477</v>
      </c>
      <c r="E14" s="362" t="str" cm="1">
        <f t="array" ref="E14">_xlfn.XLOOKUP(1,($B14=$B$31:$B$41)*(E$10=$C$31:$C$41),$G$31:$G$41,"Not found",0,1)</f>
        <v>LG(H)</v>
      </c>
      <c r="F14" s="374" cm="1">
        <f t="array" ref="F14">_xlfn.XLOOKUP(1,($B14=$B$268:$B$289)*(F$10=$C$268:$C$289),$G$268:$G$289,"Not found",0,1)</f>
        <v>76.05646174627779</v>
      </c>
      <c r="G14" s="374" cm="1">
        <f t="array" ref="G14">_xlfn.XLOOKUP(1,($B14=$B$268:$B$289)*(G$10=$C$268:$C$289),$G$268:$G$289,"Not found",0,1)</f>
        <v>4705.8596683295546</v>
      </c>
    </row>
    <row r="15" spans="1:8">
      <c r="B15" s="276" t="s">
        <v>112</v>
      </c>
      <c r="C15" s="276" t="s">
        <v>358</v>
      </c>
      <c r="D15" s="362" t="s">
        <v>477</v>
      </c>
      <c r="E15" s="362" t="str" cm="1">
        <f t="array" ref="E15">_xlfn.XLOOKUP(1,($B15=$B$31:$B$41)*(E$10=$C$31:$C$41),$G$31:$G$41,"Not found",0,1)</f>
        <v>LG(H)</v>
      </c>
      <c r="F15" s="374" cm="1">
        <f t="array" ref="F15">_xlfn.XLOOKUP(1,($B15=$B$268:$B$289)*(F$10=$C$268:$C$289),$G$268:$G$289,"Not found",0,1)</f>
        <v>76.05646174627779</v>
      </c>
      <c r="G15" s="374" cm="1">
        <f t="array" ref="G15">_xlfn.XLOOKUP(1,($B15=$B$268:$B$289)*(G$10=$C$268:$C$289),$G$268:$G$289,"Not found",0,1)</f>
        <v>5762.0803906088486</v>
      </c>
    </row>
    <row r="16" spans="1:8">
      <c r="B16" s="276" t="s">
        <v>113</v>
      </c>
      <c r="C16" s="276" t="s">
        <v>358</v>
      </c>
      <c r="D16" s="362" t="s">
        <v>477</v>
      </c>
      <c r="E16" s="362" t="str" cm="1">
        <f t="array" ref="E16">_xlfn.XLOOKUP(1,($B16=$B$31:$B$41)*(E$10=$C$31:$C$41),$G$31:$G$41,"Not found",0,1)</f>
        <v>LG(H)</v>
      </c>
      <c r="F16" s="374" cm="1">
        <f t="array" ref="F16">_xlfn.XLOOKUP(1,($B16=$B$268:$B$289)*(F$10=$C$268:$C$289),$G$268:$G$289,"Not found",0,1)</f>
        <v>76.05646174627779</v>
      </c>
      <c r="G16" s="374" cm="1">
        <f t="array" ref="G16">_xlfn.XLOOKUP(1,($B16=$B$268:$B$289)*(G$10=$C$268:$C$289),$G$268:$G$289,"Not found",0,1)</f>
        <v>5762.0803906088486</v>
      </c>
    </row>
    <row r="17" spans="1:10">
      <c r="B17" s="276" t="s">
        <v>114</v>
      </c>
      <c r="C17" s="276" t="s">
        <v>358</v>
      </c>
      <c r="D17" s="362" t="s">
        <v>477</v>
      </c>
      <c r="E17" s="362" t="str" cm="1">
        <f t="array" ref="E17">_xlfn.XLOOKUP(1,($B17=$B$31:$B$41)*(E$10=$C$31:$C$41),$G$31:$G$41,"Not found",0,1)</f>
        <v>LG(H)</v>
      </c>
      <c r="F17" s="374" cm="1">
        <f t="array" ref="F17">_xlfn.XLOOKUP(1,($B17=$B$268:$B$289)*(F$10=$C$268:$C$289),$G$268:$G$289,"Not found",0,1)</f>
        <v>76.05646174627779</v>
      </c>
      <c r="G17" s="374" cm="1">
        <f t="array" ref="G17">_xlfn.XLOOKUP(1,($B17=$B$268:$B$289)*(G$10=$C$268:$C$289),$G$268:$G$289,"Not found",0,1)</f>
        <v>5762.0803906088486</v>
      </c>
    </row>
    <row r="18" spans="1:10">
      <c r="B18" s="276" t="s">
        <v>115</v>
      </c>
      <c r="C18" s="276" t="s">
        <v>358</v>
      </c>
      <c r="D18" s="362" t="s">
        <v>477</v>
      </c>
      <c r="E18" s="362" t="str" cm="1">
        <f t="array" ref="E18">_xlfn.XLOOKUP(1,($B18=$B$31:$B$41)*(E$10=$C$31:$C$41),$G$31:$G$41,"Not found",0,1)</f>
        <v>LG(H)</v>
      </c>
      <c r="F18" s="374" cm="1">
        <f t="array" ref="F18">_xlfn.XLOOKUP(1,($B18=$B$268:$B$289)*(F$10=$C$268:$C$289),$G$268:$G$289,"Not found",0,1)</f>
        <v>76.05646174627779</v>
      </c>
      <c r="G18" s="374" cm="1">
        <f t="array" ref="G18">_xlfn.XLOOKUP(1,($B18=$B$268:$B$289)*(G$10=$C$268:$C$289),$G$268:$G$289,"Not found",0,1)</f>
        <v>5762.0803906088486</v>
      </c>
    </row>
    <row r="19" spans="1:10">
      <c r="B19" s="276" t="s">
        <v>116</v>
      </c>
      <c r="C19" s="276" t="s">
        <v>358</v>
      </c>
      <c r="D19" s="362" t="s">
        <v>477</v>
      </c>
      <c r="E19" s="362" t="str" cm="1">
        <f t="array" ref="E19">_xlfn.XLOOKUP(1,($B19=$B$31:$B$41)*(E$10=$C$31:$C$41),$G$31:$G$41,"Not found",0,1)</f>
        <v>LG(H)</v>
      </c>
      <c r="F19" s="374" cm="1">
        <f t="array" ref="F19">_xlfn.XLOOKUP(1,($B19=$B$268:$B$289)*(F$10=$C$268:$C$289),$G$268:$G$289,"Not found",0,1)</f>
        <v>76.05646174627779</v>
      </c>
      <c r="G19" s="374" cm="1">
        <f t="array" ref="G19">_xlfn.XLOOKUP(1,($B19=$B$268:$B$289)*(G$10=$C$268:$C$289),$G$268:$G$289,"Not found",0,1)</f>
        <v>5762.0803906088486</v>
      </c>
    </row>
    <row r="20" spans="1:10">
      <c r="B20" s="276" t="s">
        <v>117</v>
      </c>
      <c r="C20" s="276" t="s">
        <v>358</v>
      </c>
      <c r="D20" s="362" t="s">
        <v>477</v>
      </c>
      <c r="E20" s="362" t="str" cm="1">
        <f t="array" ref="E20">_xlfn.XLOOKUP(1,($B20=$B$31:$B$41)*(E$10=$C$31:$C$41),$G$31:$G$41,"Not found",0,1)</f>
        <v>LG(H)</v>
      </c>
      <c r="F20" s="374" cm="1">
        <f t="array" ref="F20">_xlfn.XLOOKUP(1,($B20=$B$268:$B$289)*(F$10=$C$268:$C$289),$G$268:$G$289,"Not found",0,1)</f>
        <v>76.05646174627779</v>
      </c>
      <c r="G20" s="374" cm="1">
        <f t="array" ref="G20">_xlfn.XLOOKUP(1,($B20=$B$268:$B$289)*(G$10=$C$268:$C$289),$G$268:$G$289,"Not found",0,1)</f>
        <v>5762.0803906088486</v>
      </c>
      <c r="H20" s="264"/>
    </row>
    <row r="21" spans="1:10">
      <c r="B21" s="276" t="s">
        <v>118</v>
      </c>
      <c r="C21" s="276" t="s">
        <v>358</v>
      </c>
      <c r="D21" s="362" t="s">
        <v>477</v>
      </c>
      <c r="E21" s="362" t="str" cm="1">
        <f t="array" ref="E21">_xlfn.XLOOKUP(1,($B21=$B$31:$B$41)*(E$10=$C$31:$C$41),$G$31:$G$41,"Not found",0,1)</f>
        <v>LG(H)</v>
      </c>
      <c r="F21" s="374" cm="1">
        <f t="array" ref="F21">_xlfn.XLOOKUP(1,($B21=$B$268:$B$289)*(F$10=$C$268:$C$289),$G$268:$G$289,"Not found",0,1)</f>
        <v>76.05646174627779</v>
      </c>
      <c r="G21" s="374" cm="1">
        <f t="array" ref="G21">_xlfn.XLOOKUP(1,($B21=$B$268:$B$289)*(G$10=$C$268:$C$289),$G$268:$G$289,"Not found",0,1)</f>
        <v>5762.0803906088486</v>
      </c>
    </row>
    <row r="22" spans="1:10">
      <c r="B22" s="800" t="s">
        <v>896</v>
      </c>
    </row>
    <row r="24" spans="1:10">
      <c r="A24" s="739"/>
      <c r="B24" s="740" t="s">
        <v>460</v>
      </c>
      <c r="C24" s="739"/>
      <c r="D24" s="739"/>
      <c r="E24" s="739"/>
      <c r="F24" s="739"/>
      <c r="G24" s="739"/>
      <c r="H24" s="739"/>
    </row>
    <row r="25" spans="1:10">
      <c r="A25" s="741"/>
      <c r="B25" s="742" t="s">
        <v>897</v>
      </c>
      <c r="C25" s="741"/>
      <c r="D25" s="741"/>
      <c r="E25" s="741"/>
      <c r="F25" s="741"/>
      <c r="G25" s="741"/>
      <c r="H25" s="741"/>
    </row>
    <row r="26" spans="1:10">
      <c r="B26" s="398" t="s">
        <v>898</v>
      </c>
      <c r="C26" s="398" t="s">
        <v>899</v>
      </c>
    </row>
    <row r="27" spans="1:10">
      <c r="B27" s="276" t="s">
        <v>460</v>
      </c>
      <c r="C27" s="276" t="s">
        <v>900</v>
      </c>
    </row>
    <row r="28" spans="1:10">
      <c r="B28" s="29"/>
    </row>
    <row r="29" spans="1:10">
      <c r="A29" s="741"/>
      <c r="B29" s="743" t="s">
        <v>901</v>
      </c>
      <c r="C29" s="741"/>
      <c r="D29" s="741"/>
      <c r="E29" s="741"/>
      <c r="F29" s="741"/>
      <c r="G29" s="741"/>
      <c r="H29" s="741"/>
    </row>
    <row r="30" spans="1:10">
      <c r="B30" s="398" t="s">
        <v>902</v>
      </c>
      <c r="C30" s="398" t="s">
        <v>898</v>
      </c>
      <c r="D30" s="398" t="s">
        <v>899</v>
      </c>
      <c r="E30" s="398" t="s">
        <v>903</v>
      </c>
      <c r="F30" s="398" t="s">
        <v>904</v>
      </c>
      <c r="G30" s="398" t="s">
        <v>905</v>
      </c>
      <c r="H30" s="398" t="s">
        <v>924</v>
      </c>
      <c r="I30" s="398" t="s">
        <v>956</v>
      </c>
      <c r="J30" s="398" t="s">
        <v>927</v>
      </c>
    </row>
    <row r="31" spans="1:10">
      <c r="B31" s="276" t="s">
        <v>106</v>
      </c>
      <c r="C31" s="276" t="str">
        <f>$B$27</f>
        <v>Trust</v>
      </c>
      <c r="D31" s="373" t="str">
        <f>$C$27</f>
        <v>Reduced customer trust in water quality performance</v>
      </c>
      <c r="E31" s="373" t="s">
        <v>906</v>
      </c>
      <c r="F31" s="340" t="s">
        <v>907</v>
      </c>
      <c r="G31" s="343" t="s">
        <v>477</v>
      </c>
      <c r="H31" s="630" t="s">
        <v>907</v>
      </c>
      <c r="I31" s="630" t="s">
        <v>907</v>
      </c>
      <c r="J31" s="630" t="s">
        <v>907</v>
      </c>
    </row>
    <row r="32" spans="1:10">
      <c r="B32" s="276" t="s">
        <v>109</v>
      </c>
      <c r="C32" s="276" t="str">
        <f t="shared" ref="C32:C41" si="0">$B$27</f>
        <v>Trust</v>
      </c>
      <c r="D32" s="373" t="str">
        <f t="shared" ref="D32:D41" si="1">$C$27</f>
        <v>Reduced customer trust in water quality performance</v>
      </c>
      <c r="E32" s="373" t="s">
        <v>906</v>
      </c>
      <c r="F32" s="340" t="s">
        <v>907</v>
      </c>
      <c r="G32" s="343" t="s">
        <v>477</v>
      </c>
      <c r="H32" s="630" t="s">
        <v>907</v>
      </c>
      <c r="I32" s="630" t="s">
        <v>907</v>
      </c>
      <c r="J32" s="630" t="s">
        <v>907</v>
      </c>
    </row>
    <row r="33" spans="1:10">
      <c r="B33" s="276" t="s">
        <v>110</v>
      </c>
      <c r="C33" s="276" t="str">
        <f t="shared" si="0"/>
        <v>Trust</v>
      </c>
      <c r="D33" s="373" t="str">
        <f t="shared" si="1"/>
        <v>Reduced customer trust in water quality performance</v>
      </c>
      <c r="E33" s="373" t="s">
        <v>906</v>
      </c>
      <c r="F33" s="340" t="s">
        <v>907</v>
      </c>
      <c r="G33" s="343" t="s">
        <v>477</v>
      </c>
      <c r="H33" s="630" t="s">
        <v>907</v>
      </c>
      <c r="I33" s="630" t="s">
        <v>907</v>
      </c>
      <c r="J33" s="630" t="s">
        <v>907</v>
      </c>
    </row>
    <row r="34" spans="1:10">
      <c r="B34" s="276" t="s">
        <v>111</v>
      </c>
      <c r="C34" s="276" t="str">
        <f t="shared" si="0"/>
        <v>Trust</v>
      </c>
      <c r="D34" s="373" t="str">
        <f t="shared" si="1"/>
        <v>Reduced customer trust in water quality performance</v>
      </c>
      <c r="E34" s="373" t="s">
        <v>906</v>
      </c>
      <c r="F34" s="340" t="s">
        <v>907</v>
      </c>
      <c r="G34" s="343" t="s">
        <v>477</v>
      </c>
      <c r="H34" s="630" t="s">
        <v>907</v>
      </c>
      <c r="I34" s="630" t="s">
        <v>907</v>
      </c>
      <c r="J34" s="630" t="s">
        <v>907</v>
      </c>
    </row>
    <row r="35" spans="1:10">
      <c r="B35" s="276" t="s">
        <v>112</v>
      </c>
      <c r="C35" s="276" t="str">
        <f t="shared" si="0"/>
        <v>Trust</v>
      </c>
      <c r="D35" s="373" t="str">
        <f t="shared" si="1"/>
        <v>Reduced customer trust in water quality performance</v>
      </c>
      <c r="E35" s="373" t="s">
        <v>906</v>
      </c>
      <c r="F35" s="340" t="s">
        <v>907</v>
      </c>
      <c r="G35" s="343" t="s">
        <v>477</v>
      </c>
      <c r="H35" s="630" t="s">
        <v>907</v>
      </c>
      <c r="I35" s="630" t="s">
        <v>907</v>
      </c>
      <c r="J35" s="630" t="s">
        <v>907</v>
      </c>
    </row>
    <row r="36" spans="1:10">
      <c r="B36" s="276" t="s">
        <v>113</v>
      </c>
      <c r="C36" s="276" t="str">
        <f t="shared" si="0"/>
        <v>Trust</v>
      </c>
      <c r="D36" s="373" t="str">
        <f t="shared" si="1"/>
        <v>Reduced customer trust in water quality performance</v>
      </c>
      <c r="E36" s="373" t="s">
        <v>906</v>
      </c>
      <c r="F36" s="340" t="s">
        <v>907</v>
      </c>
      <c r="G36" s="343" t="s">
        <v>477</v>
      </c>
      <c r="H36" s="630" t="s">
        <v>907</v>
      </c>
      <c r="I36" s="630" t="s">
        <v>907</v>
      </c>
      <c r="J36" s="630" t="s">
        <v>907</v>
      </c>
    </row>
    <row r="37" spans="1:10">
      <c r="B37" s="276" t="s">
        <v>114</v>
      </c>
      <c r="C37" s="276" t="str">
        <f t="shared" si="0"/>
        <v>Trust</v>
      </c>
      <c r="D37" s="373" t="str">
        <f t="shared" si="1"/>
        <v>Reduced customer trust in water quality performance</v>
      </c>
      <c r="E37" s="373" t="s">
        <v>906</v>
      </c>
      <c r="F37" s="340" t="s">
        <v>907</v>
      </c>
      <c r="G37" s="343" t="s">
        <v>477</v>
      </c>
      <c r="H37" s="630" t="s">
        <v>907</v>
      </c>
      <c r="I37" s="630" t="s">
        <v>907</v>
      </c>
      <c r="J37" s="630" t="s">
        <v>907</v>
      </c>
    </row>
    <row r="38" spans="1:10">
      <c r="B38" s="276" t="s">
        <v>115</v>
      </c>
      <c r="C38" s="276" t="str">
        <f t="shared" si="0"/>
        <v>Trust</v>
      </c>
      <c r="D38" s="373" t="str">
        <f t="shared" si="1"/>
        <v>Reduced customer trust in water quality performance</v>
      </c>
      <c r="E38" s="373" t="s">
        <v>906</v>
      </c>
      <c r="F38" s="340" t="s">
        <v>907</v>
      </c>
      <c r="G38" s="343" t="s">
        <v>477</v>
      </c>
      <c r="H38" s="630" t="s">
        <v>907</v>
      </c>
      <c r="I38" s="630" t="s">
        <v>907</v>
      </c>
      <c r="J38" s="630" t="s">
        <v>907</v>
      </c>
    </row>
    <row r="39" spans="1:10">
      <c r="B39" s="276" t="s">
        <v>116</v>
      </c>
      <c r="C39" s="276" t="str">
        <f t="shared" si="0"/>
        <v>Trust</v>
      </c>
      <c r="D39" s="373" t="str">
        <f t="shared" si="1"/>
        <v>Reduced customer trust in water quality performance</v>
      </c>
      <c r="E39" s="373" t="s">
        <v>906</v>
      </c>
      <c r="F39" s="340" t="s">
        <v>907</v>
      </c>
      <c r="G39" s="343" t="s">
        <v>477</v>
      </c>
      <c r="H39" s="630" t="s">
        <v>907</v>
      </c>
      <c r="I39" s="630" t="s">
        <v>907</v>
      </c>
      <c r="J39" s="630" t="s">
        <v>907</v>
      </c>
    </row>
    <row r="40" spans="1:10">
      <c r="B40" s="276" t="s">
        <v>117</v>
      </c>
      <c r="C40" s="276" t="str">
        <f t="shared" si="0"/>
        <v>Trust</v>
      </c>
      <c r="D40" s="373" t="str">
        <f t="shared" si="1"/>
        <v>Reduced customer trust in water quality performance</v>
      </c>
      <c r="E40" s="373" t="s">
        <v>906</v>
      </c>
      <c r="F40" s="340" t="s">
        <v>907</v>
      </c>
      <c r="G40" s="343" t="s">
        <v>477</v>
      </c>
      <c r="H40" s="630" t="s">
        <v>907</v>
      </c>
      <c r="I40" s="630" t="s">
        <v>907</v>
      </c>
      <c r="J40" s="630" t="s">
        <v>907</v>
      </c>
    </row>
    <row r="41" spans="1:10">
      <c r="B41" s="276" t="s">
        <v>118</v>
      </c>
      <c r="C41" s="276" t="str">
        <f t="shared" si="0"/>
        <v>Trust</v>
      </c>
      <c r="D41" s="373" t="str">
        <f t="shared" si="1"/>
        <v>Reduced customer trust in water quality performance</v>
      </c>
      <c r="E41" s="373" t="s">
        <v>906</v>
      </c>
      <c r="F41" s="340" t="s">
        <v>907</v>
      </c>
      <c r="G41" s="343" t="s">
        <v>477</v>
      </c>
      <c r="H41" s="630" t="s">
        <v>907</v>
      </c>
      <c r="I41" s="630" t="s">
        <v>907</v>
      </c>
      <c r="J41" s="630" t="s">
        <v>907</v>
      </c>
    </row>
    <row r="43" spans="1:10">
      <c r="A43" s="739"/>
      <c r="B43" s="740" t="s">
        <v>908</v>
      </c>
      <c r="C43" s="739"/>
      <c r="D43" s="739"/>
      <c r="E43" s="739"/>
      <c r="F43" s="739"/>
      <c r="G43" s="739"/>
      <c r="H43" s="739"/>
    </row>
    <row r="44" spans="1:10">
      <c r="A44" s="741"/>
      <c r="B44" s="742" t="s">
        <v>897</v>
      </c>
      <c r="C44" s="741"/>
      <c r="D44" s="741"/>
      <c r="E44" s="741"/>
      <c r="F44" s="741"/>
      <c r="G44" s="741"/>
      <c r="H44" s="741"/>
    </row>
    <row r="45" spans="1:10">
      <c r="B45" s="398" t="s">
        <v>898</v>
      </c>
      <c r="C45" s="398" t="s">
        <v>899</v>
      </c>
    </row>
    <row r="46" spans="1:10">
      <c r="B46" s="276" t="s">
        <v>151</v>
      </c>
      <c r="C46" s="276" t="s">
        <v>992</v>
      </c>
    </row>
    <row r="47" spans="1:10">
      <c r="B47" s="276" t="s">
        <v>462</v>
      </c>
      <c r="C47" s="276" t="s">
        <v>910</v>
      </c>
    </row>
    <row r="48" spans="1:10">
      <c r="B48" s="29"/>
    </row>
    <row r="49" spans="1:8">
      <c r="A49" s="741"/>
      <c r="B49" s="743" t="s">
        <v>911</v>
      </c>
      <c r="C49" s="741"/>
      <c r="D49" s="741"/>
      <c r="E49" s="741"/>
      <c r="F49" s="741"/>
      <c r="G49" s="741"/>
      <c r="H49" s="741"/>
    </row>
    <row r="50" spans="1:8">
      <c r="A50" s="744"/>
      <c r="B50" s="745" t="s">
        <v>912</v>
      </c>
      <c r="C50" s="744"/>
      <c r="D50" s="744"/>
      <c r="E50" s="744"/>
      <c r="F50" s="744"/>
      <c r="G50" s="744"/>
      <c r="H50" s="744"/>
    </row>
    <row r="51" spans="1:8" ht="29.1">
      <c r="B51" s="719" t="s">
        <v>913</v>
      </c>
      <c r="C51" s="719" t="s">
        <v>914</v>
      </c>
      <c r="D51" s="719" t="s">
        <v>915</v>
      </c>
      <c r="E51" s="719" t="s">
        <v>916</v>
      </c>
      <c r="F51" s="719" t="s">
        <v>917</v>
      </c>
      <c r="G51" s="719" t="s">
        <v>918</v>
      </c>
      <c r="H51" s="719" t="s">
        <v>919</v>
      </c>
    </row>
    <row r="52" spans="1:8">
      <c r="B52" s="276">
        <v>7</v>
      </c>
      <c r="C52" s="276" t="s">
        <v>993</v>
      </c>
      <c r="D52" s="340" t="s">
        <v>907</v>
      </c>
      <c r="E52" s="276">
        <v>2018</v>
      </c>
      <c r="F52" s="276" t="s">
        <v>921</v>
      </c>
      <c r="G52" s="276" t="s">
        <v>994</v>
      </c>
      <c r="H52" s="276">
        <v>511</v>
      </c>
    </row>
    <row r="53" spans="1:8">
      <c r="B53" s="29"/>
    </row>
    <row r="54" spans="1:8">
      <c r="A54" s="744"/>
      <c r="B54" s="745" t="s">
        <v>924</v>
      </c>
      <c r="C54" s="744"/>
      <c r="D54" s="744"/>
      <c r="E54" s="744"/>
      <c r="F54" s="744"/>
      <c r="G54" s="744"/>
      <c r="H54" s="744"/>
    </row>
    <row r="55" spans="1:8">
      <c r="B55" s="398" t="s">
        <v>165</v>
      </c>
      <c r="C55" s="398" t="s">
        <v>995</v>
      </c>
      <c r="D55" s="398" t="s">
        <v>926</v>
      </c>
      <c r="E55" s="1153" t="s">
        <v>927</v>
      </c>
      <c r="F55" s="1153"/>
      <c r="G55" s="1153"/>
      <c r="H55" s="1153"/>
    </row>
    <row r="56" spans="1:8">
      <c r="B56" s="276" t="s">
        <v>169</v>
      </c>
      <c r="C56" s="276" t="s">
        <v>167</v>
      </c>
      <c r="D56" s="278">
        <f>VLOOKUP(C56,METHODOLOGY!$C$175:$D$177,2,FALSE)</f>
        <v>2</v>
      </c>
      <c r="E56" s="1087" t="str">
        <f>_xlfn.XLOOKUP(C56,METHODOLOGY!$E$150:$O$150,METHODOLOGY!$E$151:$O$151,"",0,1)</f>
        <v>The monetary values are recommended / referenced in other, well recognised and accepted guidance / tools relevant to another sector.</v>
      </c>
      <c r="F56" s="1087"/>
      <c r="G56" s="1087"/>
      <c r="H56" s="1087"/>
    </row>
    <row r="57" spans="1:8">
      <c r="B57" s="276" t="s">
        <v>173</v>
      </c>
      <c r="C57" s="276" t="s">
        <v>166</v>
      </c>
      <c r="D57" s="278">
        <f>VLOOKUP(C57,METHODOLOGY!$C$175:$D$177,2,FALSE)</f>
        <v>3</v>
      </c>
      <c r="E57" s="1087" t="str">
        <f>_xlfn.XLOOKUP(C57,METHODOLOGY!$E$150:$O$150,METHODOLOGY!$E$155:$O$155,"",0,1)</f>
        <v>Study has few limitations and is considered robust.</v>
      </c>
      <c r="F57" s="1087"/>
      <c r="G57" s="1087"/>
      <c r="H57" s="1087"/>
    </row>
    <row r="58" spans="1:8">
      <c r="B58" s="276" t="s">
        <v>177</v>
      </c>
      <c r="C58" s="276" t="s">
        <v>167</v>
      </c>
      <c r="D58" s="278">
        <f>VLOOKUP(C58,METHODOLOGY!$C$175:$D$177,2,FALSE)</f>
        <v>2</v>
      </c>
      <c r="E58" s="1087" t="str">
        <f>_xlfn.XLOOKUP(C58,METHODOLOGY!$E$150:$O$150,METHODOLOGY!$E$158:$O$158,"",0,1)</f>
        <v>6-10 years</v>
      </c>
      <c r="F58" s="1087"/>
      <c r="G58" s="1087"/>
      <c r="H58" s="1087"/>
    </row>
    <row r="59" spans="1:8">
      <c r="B59" s="276" t="s">
        <v>181</v>
      </c>
      <c r="C59" s="276" t="s">
        <v>167</v>
      </c>
      <c r="D59" s="278">
        <f>VLOOKUP(C59,METHODOLOGY!$C$175:$D$177,2,FALSE)</f>
        <v>2</v>
      </c>
      <c r="E59" s="1087" t="str">
        <f>_xlfn.XLOOKUP(C59,METHODOLOGY!$E$150:$O$150,METHODOLOGY!$E$160:$O$160,"",0,1)</f>
        <v>Less geographically relevant e.g. Europe or relevant to a specific UK region</v>
      </c>
      <c r="F59" s="1087"/>
      <c r="G59" s="1087"/>
      <c r="H59" s="1087"/>
    </row>
    <row r="60" spans="1:8">
      <c r="B60" s="276" t="s">
        <v>928</v>
      </c>
      <c r="C60" s="276" t="s">
        <v>166</v>
      </c>
      <c r="D60" s="278">
        <f>VLOOKUP(C60,METHODOLOGY!$C$175:$D$177,2,FALSE)</f>
        <v>3</v>
      </c>
      <c r="E60" s="1087" t="str">
        <f>_xlfn.XLOOKUP(C60,METHODOLOGY!$E$150:$O$150,METHODOLOGY!$E$162:$O$162,"",0,1)</f>
        <v>Clear understanding of the valuation method and how the value should be applied.</v>
      </c>
      <c r="F60" s="1087"/>
      <c r="G60" s="1087"/>
      <c r="H60" s="1087"/>
    </row>
    <row r="61" spans="1:8">
      <c r="B61" s="276" t="s">
        <v>189</v>
      </c>
      <c r="C61" s="276" t="s">
        <v>167</v>
      </c>
      <c r="D61" s="278">
        <f>VLOOKUP(C61,METHODOLOGY!$C$175:$D$177,2,FALSE)</f>
        <v>2</v>
      </c>
      <c r="E61" s="1087" t="str">
        <f>_xlfn.XLOOKUP(C61,METHODOLOGY!$E$150:$O$150,METHODOLOGY!$E$164:$O$164,"",0,1)</f>
        <v xml:space="preserve">The original valuation can be used with some modification e.g. applying household numbers. The calculation is simple or introduces low levels of uncertainty. </v>
      </c>
      <c r="F61" s="1087"/>
      <c r="G61" s="1087"/>
      <c r="H61" s="1087"/>
    </row>
    <row r="62" spans="1:8">
      <c r="C62" s="282" t="s">
        <v>924</v>
      </c>
      <c r="D62" s="326">
        <f>IF(AND(D61=1,AVERAGE(D56:D61)&gt;2.14285714285714),2.14285714285714,IF(AND(D61=2,AVERAGE(D56:D61)&gt;2.57142857142857),2.57142857142857,AVERAGE(D56:D61)))</f>
        <v>2.3333333333333335</v>
      </c>
      <c r="E62" s="270" t="str">
        <f>IF(D62&lt;=2.14285714285714,"Red",IF(D62&lt;=2.57142857142857,"Amber",IF(D62&lt;=3,"Green")))</f>
        <v>Amber</v>
      </c>
    </row>
    <row r="65" spans="1:10">
      <c r="A65" s="744"/>
      <c r="B65" s="745" t="s">
        <v>929</v>
      </c>
      <c r="C65" s="744"/>
      <c r="D65" s="744"/>
      <c r="E65" s="744"/>
      <c r="F65" s="744"/>
      <c r="G65" s="744"/>
      <c r="H65" s="744"/>
    </row>
    <row r="66" spans="1:10">
      <c r="B66" s="398" t="s">
        <v>169</v>
      </c>
      <c r="C66" s="398" t="s">
        <v>898</v>
      </c>
      <c r="D66" s="398" t="s">
        <v>902</v>
      </c>
      <c r="E66" s="398" t="s">
        <v>331</v>
      </c>
      <c r="F66" s="398" t="s">
        <v>226</v>
      </c>
      <c r="G66" s="1138" t="s">
        <v>930</v>
      </c>
      <c r="H66" s="1138"/>
      <c r="I66" s="1138"/>
      <c r="J66" s="1138"/>
    </row>
    <row r="67" spans="1:10" ht="93" customHeight="1">
      <c r="B67" s="338">
        <v>7</v>
      </c>
      <c r="C67" s="338" t="s">
        <v>151</v>
      </c>
      <c r="D67" s="338" t="s">
        <v>996</v>
      </c>
      <c r="E67" s="404">
        <v>0.57999999999999996</v>
      </c>
      <c r="F67" s="339" t="s">
        <v>997</v>
      </c>
      <c r="G67" s="1123" t="s">
        <v>998</v>
      </c>
      <c r="H67" s="1124"/>
      <c r="I67" s="1124"/>
      <c r="J67" s="1125"/>
    </row>
    <row r="68" spans="1:10" ht="93" customHeight="1">
      <c r="B68" s="338">
        <v>7</v>
      </c>
      <c r="C68" s="338" t="s">
        <v>151</v>
      </c>
      <c r="D68" s="338" t="s">
        <v>999</v>
      </c>
      <c r="E68" s="404">
        <v>0.11</v>
      </c>
      <c r="F68" s="338" t="s">
        <v>997</v>
      </c>
      <c r="G68" s="1123" t="s">
        <v>1000</v>
      </c>
      <c r="H68" s="1124"/>
      <c r="I68" s="1124"/>
      <c r="J68" s="1125"/>
    </row>
    <row r="98" spans="1:8">
      <c r="A98" s="741"/>
      <c r="B98" s="743" t="s">
        <v>943</v>
      </c>
      <c r="C98" s="741"/>
      <c r="D98" s="741"/>
      <c r="E98" s="741"/>
      <c r="F98" s="741"/>
      <c r="G98" s="741"/>
      <c r="H98" s="741"/>
    </row>
    <row r="99" spans="1:8">
      <c r="A99" s="744"/>
      <c r="B99" s="745" t="s">
        <v>912</v>
      </c>
      <c r="C99" s="744"/>
      <c r="D99" s="744"/>
      <c r="E99" s="744"/>
      <c r="F99" s="744"/>
      <c r="G99" s="744"/>
      <c r="H99" s="744"/>
    </row>
    <row r="100" spans="1:8" ht="29.1">
      <c r="B100" s="719" t="s">
        <v>913</v>
      </c>
      <c r="C100" s="719" t="s">
        <v>914</v>
      </c>
      <c r="D100" s="719" t="s">
        <v>915</v>
      </c>
      <c r="E100" s="719" t="s">
        <v>916</v>
      </c>
      <c r="F100" s="719" t="s">
        <v>917</v>
      </c>
      <c r="G100" s="719" t="s">
        <v>918</v>
      </c>
      <c r="H100" s="719" t="s">
        <v>919</v>
      </c>
    </row>
    <row r="101" spans="1:8">
      <c r="B101" s="276">
        <v>8</v>
      </c>
      <c r="C101" s="276" t="s">
        <v>1001</v>
      </c>
      <c r="D101" s="340" t="s">
        <v>907</v>
      </c>
      <c r="E101" s="276">
        <v>2019</v>
      </c>
      <c r="F101" s="276" t="s">
        <v>1002</v>
      </c>
      <c r="G101" s="276" t="s">
        <v>1003</v>
      </c>
      <c r="H101" s="276">
        <v>505</v>
      </c>
    </row>
    <row r="102" spans="1:8">
      <c r="B102" s="29"/>
    </row>
    <row r="103" spans="1:8">
      <c r="A103" s="744"/>
      <c r="B103" s="745" t="s">
        <v>924</v>
      </c>
      <c r="C103" s="744"/>
      <c r="D103" s="744"/>
      <c r="E103" s="744"/>
      <c r="F103" s="744"/>
      <c r="G103" s="744"/>
      <c r="H103" s="744"/>
    </row>
    <row r="104" spans="1:8">
      <c r="B104" s="398" t="s">
        <v>165</v>
      </c>
      <c r="C104" s="398" t="s">
        <v>995</v>
      </c>
      <c r="D104" s="398" t="s">
        <v>926</v>
      </c>
      <c r="E104" s="1139" t="s">
        <v>927</v>
      </c>
      <c r="F104" s="1139"/>
      <c r="G104" s="1139"/>
      <c r="H104" s="1139"/>
    </row>
    <row r="105" spans="1:8">
      <c r="B105" s="276" t="s">
        <v>169</v>
      </c>
      <c r="C105" s="276" t="s">
        <v>167</v>
      </c>
      <c r="D105" s="278">
        <f>VLOOKUP(C105,METHODOLOGY!$C$175:$D$177,2,FALSE)</f>
        <v>2</v>
      </c>
      <c r="E105" s="1087" t="str">
        <f>_xlfn.XLOOKUP(C105,METHODOLOGY!$E$150:$O$150,METHODOLOGY!$E$151:$O$151,"",0,1)</f>
        <v>The monetary values are recommended / referenced in other, well recognised and accepted guidance / tools relevant to another sector.</v>
      </c>
      <c r="F105" s="1087"/>
      <c r="G105" s="1087"/>
      <c r="H105" s="1087"/>
    </row>
    <row r="106" spans="1:8">
      <c r="B106" s="276" t="s">
        <v>173</v>
      </c>
      <c r="C106" s="276" t="s">
        <v>166</v>
      </c>
      <c r="D106" s="278">
        <f>VLOOKUP(C106,METHODOLOGY!$C$175:$D$177,2,FALSE)</f>
        <v>3</v>
      </c>
      <c r="E106" s="1087" t="str">
        <f>_xlfn.XLOOKUP(C106,METHODOLOGY!$E$150:$O$150,METHODOLOGY!$E$155:$O$155,"",0,1)</f>
        <v>Study has few limitations and is considered robust.</v>
      </c>
      <c r="F106" s="1087"/>
      <c r="G106" s="1087"/>
      <c r="H106" s="1087"/>
    </row>
    <row r="107" spans="1:8">
      <c r="B107" s="276" t="s">
        <v>177</v>
      </c>
      <c r="C107" s="276" t="s">
        <v>166</v>
      </c>
      <c r="D107" s="278">
        <f>VLOOKUP(C107,METHODOLOGY!$C$175:$D$177,2,FALSE)</f>
        <v>3</v>
      </c>
      <c r="E107" s="1087" t="str">
        <f>_xlfn.XLOOKUP(C107,METHODOLOGY!$E$150:$O$150,METHODOLOGY!$E$158:$O$158,"",0,1)</f>
        <v>0 – 5 years</v>
      </c>
      <c r="F107" s="1087"/>
      <c r="G107" s="1087"/>
      <c r="H107" s="1087"/>
    </row>
    <row r="108" spans="1:8">
      <c r="B108" s="276" t="s">
        <v>181</v>
      </c>
      <c r="C108" s="276" t="s">
        <v>167</v>
      </c>
      <c r="D108" s="278">
        <f>VLOOKUP(C108,METHODOLOGY!$C$175:$D$177,2,FALSE)</f>
        <v>2</v>
      </c>
      <c r="E108" s="1087" t="str">
        <f>_xlfn.XLOOKUP(C108,METHODOLOGY!$E$150:$O$150,METHODOLOGY!$E$160:$O$160,"",0,1)</f>
        <v>Less geographically relevant e.g. Europe or relevant to a specific UK region</v>
      </c>
      <c r="F108" s="1087"/>
      <c r="G108" s="1087"/>
      <c r="H108" s="1087"/>
    </row>
    <row r="109" spans="1:8">
      <c r="B109" s="276" t="s">
        <v>928</v>
      </c>
      <c r="C109" s="276" t="s">
        <v>167</v>
      </c>
      <c r="D109" s="278">
        <f>VLOOKUP(C109,METHODOLOGY!$C$175:$D$177,2,FALSE)</f>
        <v>2</v>
      </c>
      <c r="E109" s="1087" t="str">
        <f>_xlfn.XLOOKUP(C109,METHODOLOGY!$E$150:$O$150,METHODOLOGY!$E$162:$O$162,"",0,1)</f>
        <v>Meta-analysis or limited understanding of what the value represents.</v>
      </c>
      <c r="F109" s="1087"/>
      <c r="G109" s="1087"/>
      <c r="H109" s="1087"/>
    </row>
    <row r="110" spans="1:8">
      <c r="B110" s="276" t="s">
        <v>189</v>
      </c>
      <c r="C110" s="276" t="s">
        <v>167</v>
      </c>
      <c r="D110" s="278">
        <f>VLOOKUP(C110,METHODOLOGY!$C$175:$D$177,2,FALSE)</f>
        <v>2</v>
      </c>
      <c r="E110" s="1087" t="str">
        <f>_xlfn.XLOOKUP(C110,METHODOLOGY!$E$150:$O$150,METHODOLOGY!$E$164:$O$164,"",0,1)</f>
        <v xml:space="preserve">The original valuation can be used with some modification e.g. applying household numbers. The calculation is simple or introduces low levels of uncertainty. </v>
      </c>
      <c r="F110" s="1087"/>
      <c r="G110" s="1087"/>
      <c r="H110" s="1087"/>
    </row>
    <row r="111" spans="1:8">
      <c r="C111" s="282" t="s">
        <v>924</v>
      </c>
      <c r="D111" s="326">
        <f>IF(AND(D110=1,AVERAGE(D105:D110)&gt;2.14285714285714),2.14285714285714,IF(AND(D110=2,AVERAGE(D105:D110)&gt;2.57142857142857),2.57142857142857,AVERAGE(D105:D110)))</f>
        <v>2.3333333333333335</v>
      </c>
      <c r="E111" s="270" t="str">
        <f>IF(D111&lt;=2.14285714285714,"Red",IF(D111&lt;=2.57142857142857,"Amber",IF(D111&lt;=3,"Green")))</f>
        <v>Amber</v>
      </c>
    </row>
    <row r="114" spans="1:12">
      <c r="A114" s="744"/>
      <c r="B114" s="745" t="s">
        <v>929</v>
      </c>
      <c r="C114" s="744"/>
      <c r="D114" s="744"/>
      <c r="E114" s="744"/>
      <c r="F114" s="744"/>
      <c r="G114" s="744"/>
      <c r="H114" s="744"/>
    </row>
    <row r="115" spans="1:12">
      <c r="B115" s="398" t="s">
        <v>169</v>
      </c>
      <c r="C115" s="398" t="s">
        <v>898</v>
      </c>
      <c r="D115" s="398" t="s">
        <v>902</v>
      </c>
      <c r="E115" s="398" t="s">
        <v>331</v>
      </c>
      <c r="F115" s="398" t="s">
        <v>226</v>
      </c>
      <c r="G115" s="1146" t="s">
        <v>930</v>
      </c>
      <c r="H115" s="1147"/>
      <c r="I115" s="1147"/>
      <c r="J115" s="1147"/>
      <c r="K115" s="1147"/>
      <c r="L115" s="1148"/>
    </row>
    <row r="116" spans="1:12">
      <c r="B116" s="338">
        <v>8</v>
      </c>
      <c r="C116" s="338" t="s">
        <v>151</v>
      </c>
      <c r="D116" s="338" t="s">
        <v>999</v>
      </c>
      <c r="E116" s="405">
        <v>5.0000000000000001E-3</v>
      </c>
      <c r="F116" s="339" t="s">
        <v>1004</v>
      </c>
      <c r="G116" s="1140" t="s">
        <v>1005</v>
      </c>
      <c r="H116" s="1141"/>
      <c r="I116" s="1141"/>
      <c r="J116" s="1141"/>
      <c r="K116" s="1141"/>
      <c r="L116" s="1141"/>
    </row>
    <row r="117" spans="1:12">
      <c r="B117" s="338">
        <v>8</v>
      </c>
      <c r="C117" s="338" t="s">
        <v>151</v>
      </c>
      <c r="D117" s="338" t="s">
        <v>996</v>
      </c>
      <c r="E117" s="404">
        <v>0.05</v>
      </c>
      <c r="F117" s="339" t="s">
        <v>1004</v>
      </c>
      <c r="G117" s="1140" t="s">
        <v>1006</v>
      </c>
      <c r="H117" s="1141"/>
      <c r="I117" s="1141"/>
      <c r="J117" s="1141"/>
      <c r="K117" s="1141"/>
      <c r="L117" s="1141"/>
    </row>
    <row r="118" spans="1:12">
      <c r="B118" s="338">
        <v>8</v>
      </c>
      <c r="C118" s="338" t="s">
        <v>151</v>
      </c>
      <c r="D118" s="338" t="s">
        <v>999</v>
      </c>
      <c r="E118" s="405">
        <v>4.0000000000000001E-3</v>
      </c>
      <c r="F118" s="339" t="s">
        <v>1004</v>
      </c>
      <c r="G118" s="1140" t="s">
        <v>1007</v>
      </c>
      <c r="H118" s="1141"/>
      <c r="I118" s="1141"/>
      <c r="J118" s="1141"/>
      <c r="K118" s="1141"/>
      <c r="L118" s="1141"/>
    </row>
    <row r="119" spans="1:12">
      <c r="B119" s="338">
        <v>8</v>
      </c>
      <c r="C119" s="338" t="s">
        <v>151</v>
      </c>
      <c r="D119" s="338" t="s">
        <v>996</v>
      </c>
      <c r="E119" s="404">
        <v>0.04</v>
      </c>
      <c r="F119" s="339" t="s">
        <v>1004</v>
      </c>
      <c r="G119" s="1140" t="s">
        <v>1008</v>
      </c>
      <c r="H119" s="1141"/>
      <c r="I119" s="1141"/>
      <c r="J119" s="1141"/>
      <c r="K119" s="1141"/>
      <c r="L119" s="1141"/>
    </row>
    <row r="120" spans="1:12">
      <c r="B120" s="338">
        <v>8</v>
      </c>
      <c r="C120" s="338" t="s">
        <v>462</v>
      </c>
      <c r="D120" s="338" t="s">
        <v>999</v>
      </c>
      <c r="E120" s="404">
        <v>10.6</v>
      </c>
      <c r="F120" s="339" t="s">
        <v>1009</v>
      </c>
      <c r="G120" s="1140" t="s">
        <v>1010</v>
      </c>
      <c r="H120" s="1141"/>
      <c r="I120" s="1141"/>
      <c r="J120" s="1141"/>
      <c r="K120" s="1141"/>
      <c r="L120" s="1141"/>
    </row>
    <row r="121" spans="1:12">
      <c r="B121" s="338">
        <v>8</v>
      </c>
      <c r="C121" s="338" t="s">
        <v>462</v>
      </c>
      <c r="D121" s="338" t="s">
        <v>996</v>
      </c>
      <c r="E121" s="404">
        <v>10.78</v>
      </c>
      <c r="F121" s="339" t="s">
        <v>1011</v>
      </c>
      <c r="G121" s="1140" t="s">
        <v>1012</v>
      </c>
      <c r="H121" s="1141"/>
      <c r="I121" s="1141"/>
      <c r="J121" s="1141"/>
      <c r="K121" s="1141"/>
      <c r="L121" s="1141"/>
    </row>
    <row r="122" spans="1:12">
      <c r="B122" s="338">
        <v>8</v>
      </c>
      <c r="C122" s="338" t="s">
        <v>462</v>
      </c>
      <c r="D122" s="338" t="s">
        <v>999</v>
      </c>
      <c r="E122" s="404">
        <v>5.99</v>
      </c>
      <c r="F122" s="339" t="s">
        <v>1011</v>
      </c>
      <c r="G122" s="1140" t="s">
        <v>1013</v>
      </c>
      <c r="H122" s="1141"/>
      <c r="I122" s="1141"/>
      <c r="J122" s="1141"/>
      <c r="K122" s="1141"/>
      <c r="L122" s="1141"/>
    </row>
    <row r="123" spans="1:12">
      <c r="B123" s="338">
        <v>8</v>
      </c>
      <c r="C123" s="338" t="s">
        <v>462</v>
      </c>
      <c r="D123" s="338" t="s">
        <v>996</v>
      </c>
      <c r="E123" s="404">
        <v>6.18</v>
      </c>
      <c r="F123" s="339" t="s">
        <v>1011</v>
      </c>
      <c r="G123" s="1140" t="s">
        <v>1014</v>
      </c>
      <c r="H123" s="1141"/>
      <c r="I123" s="1141"/>
      <c r="J123" s="1141"/>
      <c r="K123" s="1141"/>
      <c r="L123" s="1141"/>
    </row>
    <row r="124" spans="1:12">
      <c r="B124" s="32"/>
      <c r="C124" s="158"/>
      <c r="D124" s="33"/>
      <c r="E124" s="97"/>
      <c r="F124" s="34"/>
      <c r="G124" s="34"/>
      <c r="H124" s="34"/>
      <c r="I124" s="34"/>
      <c r="J124" s="34"/>
    </row>
    <row r="125" spans="1:12">
      <c r="A125" s="744"/>
      <c r="B125" s="745" t="s">
        <v>1015</v>
      </c>
      <c r="C125" s="744"/>
      <c r="D125" s="744"/>
      <c r="E125" s="744"/>
      <c r="F125" s="744"/>
      <c r="G125" s="744"/>
      <c r="H125" s="744"/>
    </row>
    <row r="126" spans="1:12">
      <c r="B126" s="398" t="s">
        <v>1016</v>
      </c>
      <c r="C126" s="398" t="s">
        <v>1017</v>
      </c>
      <c r="D126" s="398" t="s">
        <v>1018</v>
      </c>
      <c r="E126" s="398" t="s">
        <v>1019</v>
      </c>
      <c r="F126" s="398" t="s">
        <v>1020</v>
      </c>
      <c r="G126" s="398" t="s">
        <v>1021</v>
      </c>
      <c r="H126" s="398" t="s">
        <v>1022</v>
      </c>
      <c r="I126" s="398" t="s">
        <v>1023</v>
      </c>
      <c r="J126" s="34"/>
      <c r="K126" s="34"/>
    </row>
    <row r="127" spans="1:12">
      <c r="B127" s="338" t="s">
        <v>1024</v>
      </c>
      <c r="C127" s="338" t="s">
        <v>999</v>
      </c>
      <c r="D127" s="406" t="s">
        <v>1025</v>
      </c>
      <c r="E127" s="407" t="s">
        <v>907</v>
      </c>
      <c r="F127" s="407" t="s">
        <v>907</v>
      </c>
      <c r="G127" s="407" t="s">
        <v>907</v>
      </c>
      <c r="H127" s="407" t="s">
        <v>907</v>
      </c>
      <c r="I127" s="408">
        <f>E116</f>
        <v>5.0000000000000001E-3</v>
      </c>
      <c r="J127" s="34"/>
    </row>
    <row r="128" spans="1:12">
      <c r="B128" s="338" t="s">
        <v>1024</v>
      </c>
      <c r="C128" s="338" t="s">
        <v>996</v>
      </c>
      <c r="D128" s="406" t="s">
        <v>1025</v>
      </c>
      <c r="E128" s="407" t="s">
        <v>907</v>
      </c>
      <c r="F128" s="407" t="s">
        <v>907</v>
      </c>
      <c r="G128" s="407" t="s">
        <v>907</v>
      </c>
      <c r="H128" s="407" t="s">
        <v>907</v>
      </c>
      <c r="I128" s="408">
        <f>E117</f>
        <v>0.05</v>
      </c>
      <c r="J128" s="34"/>
    </row>
    <row r="129" spans="2:11">
      <c r="B129" s="338" t="s">
        <v>1026</v>
      </c>
      <c r="C129" s="338" t="s">
        <v>999</v>
      </c>
      <c r="D129" s="406" t="s">
        <v>1025</v>
      </c>
      <c r="E129" s="407" t="s">
        <v>907</v>
      </c>
      <c r="F129" s="407" t="s">
        <v>907</v>
      </c>
      <c r="G129" s="407" t="s">
        <v>907</v>
      </c>
      <c r="H129" s="407" t="s">
        <v>907</v>
      </c>
      <c r="I129" s="408">
        <f>E118</f>
        <v>4.0000000000000001E-3</v>
      </c>
      <c r="J129" s="34"/>
    </row>
    <row r="130" spans="2:11">
      <c r="B130" s="338" t="s">
        <v>1026</v>
      </c>
      <c r="C130" s="338" t="s">
        <v>996</v>
      </c>
      <c r="D130" s="406" t="s">
        <v>1025</v>
      </c>
      <c r="E130" s="407" t="s">
        <v>907</v>
      </c>
      <c r="F130" s="407" t="s">
        <v>907</v>
      </c>
      <c r="G130" s="407" t="s">
        <v>907</v>
      </c>
      <c r="H130" s="407" t="s">
        <v>907</v>
      </c>
      <c r="I130" s="408">
        <f>E119</f>
        <v>0.04</v>
      </c>
      <c r="J130" s="34"/>
    </row>
    <row r="131" spans="2:11">
      <c r="B131" s="338" t="s">
        <v>1024</v>
      </c>
      <c r="C131" s="338" t="s">
        <v>999</v>
      </c>
      <c r="D131" s="406" t="s">
        <v>1027</v>
      </c>
      <c r="E131" s="409">
        <v>180</v>
      </c>
      <c r="F131" s="410">
        <v>90</v>
      </c>
      <c r="G131" s="411">
        <f t="shared" ref="G131:G133" si="2">E131-F131</f>
        <v>90</v>
      </c>
      <c r="H131" s="408">
        <f>E120</f>
        <v>10.6</v>
      </c>
      <c r="I131" s="408">
        <f t="shared" ref="I131:I133" si="3">H131/G131</f>
        <v>0.11777777777777777</v>
      </c>
      <c r="J131" s="34"/>
      <c r="K131" s="34"/>
    </row>
    <row r="132" spans="2:11">
      <c r="B132" s="338" t="s">
        <v>1024</v>
      </c>
      <c r="C132" s="338" t="s">
        <v>996</v>
      </c>
      <c r="D132" s="406" t="s">
        <v>1027</v>
      </c>
      <c r="E132" s="409">
        <v>60</v>
      </c>
      <c r="F132" s="410">
        <v>50</v>
      </c>
      <c r="G132" s="411">
        <f>E132-F132</f>
        <v>10</v>
      </c>
      <c r="H132" s="408">
        <f>E121</f>
        <v>10.78</v>
      </c>
      <c r="I132" s="408">
        <f>H132/G132</f>
        <v>1.0779999999999998</v>
      </c>
      <c r="J132" s="34"/>
      <c r="K132" s="34"/>
    </row>
    <row r="133" spans="2:11">
      <c r="B133" s="338" t="s">
        <v>1026</v>
      </c>
      <c r="C133" s="338" t="s">
        <v>999</v>
      </c>
      <c r="D133" s="406" t="s">
        <v>1027</v>
      </c>
      <c r="E133" s="409">
        <v>550</v>
      </c>
      <c r="F133" s="410">
        <v>190</v>
      </c>
      <c r="G133" s="411">
        <f t="shared" si="2"/>
        <v>360</v>
      </c>
      <c r="H133" s="408">
        <f>E122</f>
        <v>5.99</v>
      </c>
      <c r="I133" s="408">
        <f t="shared" si="3"/>
        <v>1.6638888888888891E-2</v>
      </c>
      <c r="J133" s="34"/>
      <c r="K133" s="34"/>
    </row>
    <row r="134" spans="2:11">
      <c r="B134" s="338" t="s">
        <v>1026</v>
      </c>
      <c r="C134" s="338" t="s">
        <v>996</v>
      </c>
      <c r="D134" s="406" t="s">
        <v>1027</v>
      </c>
      <c r="E134" s="409">
        <v>140</v>
      </c>
      <c r="F134" s="410">
        <v>80</v>
      </c>
      <c r="G134" s="411">
        <f>E134-F134</f>
        <v>60</v>
      </c>
      <c r="H134" s="408">
        <f>E123</f>
        <v>6.18</v>
      </c>
      <c r="I134" s="408">
        <f>H134/G134</f>
        <v>0.10299999999999999</v>
      </c>
      <c r="J134" s="34"/>
      <c r="K134" s="34"/>
    </row>
    <row r="135" spans="2:11">
      <c r="B135" s="32"/>
      <c r="C135" s="158"/>
      <c r="D135" s="33"/>
      <c r="E135" s="97"/>
      <c r="F135" s="34"/>
      <c r="G135" s="34"/>
      <c r="H135" s="34"/>
      <c r="I135" s="34"/>
      <c r="J135" s="34"/>
    </row>
    <row r="136" spans="2:11">
      <c r="B136" s="32"/>
      <c r="C136" s="158"/>
      <c r="D136" s="33"/>
      <c r="E136" s="97"/>
      <c r="F136" s="34"/>
      <c r="G136" s="34"/>
      <c r="H136" s="34"/>
      <c r="I136" s="34"/>
      <c r="J136" s="34"/>
    </row>
    <row r="137" spans="2:11">
      <c r="B137" s="32"/>
      <c r="C137" s="158"/>
      <c r="D137" s="33"/>
      <c r="E137" s="97"/>
      <c r="F137" s="34"/>
      <c r="G137" s="34"/>
      <c r="H137" s="34"/>
      <c r="I137" s="34"/>
      <c r="J137" s="34"/>
    </row>
    <row r="138" spans="2:11">
      <c r="B138" s="32"/>
      <c r="C138" s="158"/>
      <c r="D138" s="33"/>
      <c r="E138" s="97"/>
      <c r="F138" s="34"/>
      <c r="G138" s="34"/>
      <c r="H138" s="34"/>
      <c r="I138" s="34"/>
      <c r="J138" s="34"/>
    </row>
    <row r="139" spans="2:11">
      <c r="B139" s="32"/>
      <c r="C139" s="158"/>
      <c r="D139" s="33"/>
      <c r="E139" s="97"/>
      <c r="F139" s="34"/>
      <c r="G139" s="34"/>
      <c r="H139" s="34"/>
      <c r="I139" s="34"/>
      <c r="J139" s="34"/>
    </row>
    <row r="140" spans="2:11">
      <c r="B140" s="32"/>
      <c r="C140" s="158"/>
      <c r="D140" s="33"/>
      <c r="E140" s="97"/>
      <c r="F140" s="34"/>
      <c r="G140" s="34"/>
      <c r="H140" s="34"/>
      <c r="I140" s="34"/>
      <c r="J140" s="34"/>
    </row>
    <row r="141" spans="2:11">
      <c r="B141" s="32"/>
      <c r="C141" s="158"/>
      <c r="D141" s="33"/>
      <c r="E141" s="97"/>
      <c r="F141" s="34"/>
      <c r="G141" s="34"/>
      <c r="H141" s="34"/>
      <c r="I141" s="34"/>
      <c r="J141" s="34"/>
    </row>
    <row r="142" spans="2:11">
      <c r="B142" s="32"/>
      <c r="C142" s="158"/>
      <c r="D142" s="33"/>
      <c r="E142" s="97"/>
      <c r="F142" s="34"/>
      <c r="G142" s="34"/>
      <c r="H142" s="34"/>
      <c r="I142" s="34"/>
      <c r="J142" s="34"/>
    </row>
    <row r="143" spans="2:11">
      <c r="B143" s="32"/>
      <c r="C143" s="158"/>
      <c r="D143" s="33"/>
      <c r="E143" s="97"/>
      <c r="F143" s="34"/>
      <c r="G143" s="34"/>
      <c r="H143" s="34"/>
      <c r="I143" s="34"/>
      <c r="J143" s="34"/>
    </row>
    <row r="144" spans="2:11">
      <c r="B144" s="32"/>
      <c r="C144" s="158"/>
      <c r="D144" s="33"/>
      <c r="E144" s="97"/>
      <c r="F144" s="34"/>
      <c r="G144" s="34"/>
      <c r="H144" s="34"/>
      <c r="I144" s="34"/>
      <c r="J144" s="34"/>
    </row>
    <row r="145" spans="1:10">
      <c r="B145" s="32"/>
      <c r="C145" s="158"/>
      <c r="D145" s="33"/>
      <c r="E145" s="97"/>
      <c r="F145" s="34"/>
      <c r="G145" s="34"/>
      <c r="H145" s="34"/>
      <c r="I145" s="34"/>
      <c r="J145" s="34"/>
    </row>
    <row r="146" spans="1:10">
      <c r="B146" s="32"/>
      <c r="C146" s="158"/>
      <c r="D146" s="33"/>
      <c r="E146" s="97"/>
      <c r="F146" s="34"/>
      <c r="G146" s="34"/>
      <c r="H146" s="34"/>
      <c r="I146" s="34"/>
      <c r="J146" s="34"/>
    </row>
    <row r="147" spans="1:10">
      <c r="B147" s="32"/>
      <c r="C147" s="158"/>
      <c r="D147" s="33"/>
      <c r="E147" s="97"/>
      <c r="F147" s="34"/>
      <c r="G147" s="34"/>
      <c r="H147" s="34"/>
      <c r="I147" s="34"/>
      <c r="J147" s="34"/>
    </row>
    <row r="148" spans="1:10">
      <c r="B148" s="32"/>
      <c r="C148" s="158"/>
      <c r="D148" s="33"/>
      <c r="E148" s="97"/>
      <c r="F148" s="34"/>
      <c r="G148" s="34"/>
      <c r="H148" s="34"/>
      <c r="I148" s="34"/>
      <c r="J148" s="34"/>
    </row>
    <row r="149" spans="1:10">
      <c r="B149" s="32"/>
      <c r="C149" s="158"/>
      <c r="D149" s="33"/>
      <c r="E149" s="97"/>
      <c r="F149" s="34"/>
      <c r="G149" s="34"/>
      <c r="H149" s="34"/>
      <c r="I149" s="34"/>
      <c r="J149" s="34"/>
    </row>
    <row r="150" spans="1:10">
      <c r="B150" s="32"/>
      <c r="C150" s="158"/>
      <c r="D150" s="33"/>
      <c r="E150" s="97"/>
      <c r="F150" s="34"/>
      <c r="G150" s="34"/>
      <c r="H150" s="34"/>
      <c r="I150" s="34"/>
      <c r="J150" s="34"/>
    </row>
    <row r="151" spans="1:10">
      <c r="B151" s="32"/>
      <c r="C151" s="158"/>
      <c r="D151" s="33"/>
      <c r="E151" s="97"/>
      <c r="F151" s="34"/>
      <c r="G151" s="34"/>
      <c r="H151" s="34"/>
      <c r="I151" s="34"/>
      <c r="J151" s="34"/>
    </row>
    <row r="152" spans="1:10">
      <c r="B152" s="32"/>
      <c r="C152" s="158"/>
      <c r="D152" s="33"/>
      <c r="E152" s="97"/>
      <c r="F152" s="34"/>
      <c r="G152" s="34"/>
      <c r="H152" s="34"/>
      <c r="I152" s="34"/>
      <c r="J152" s="34"/>
    </row>
    <row r="153" spans="1:10">
      <c r="B153" s="32"/>
      <c r="C153" s="158"/>
      <c r="D153" s="33"/>
      <c r="E153" s="97"/>
      <c r="F153" s="34"/>
      <c r="G153" s="34"/>
      <c r="H153" s="34"/>
      <c r="I153" s="34"/>
      <c r="J153" s="34"/>
    </row>
    <row r="154" spans="1:10">
      <c r="A154" s="741"/>
      <c r="B154" s="743" t="s">
        <v>1028</v>
      </c>
      <c r="C154" s="741"/>
      <c r="D154" s="741"/>
      <c r="E154" s="741"/>
      <c r="F154" s="741"/>
      <c r="G154" s="741"/>
      <c r="H154" s="741"/>
    </row>
    <row r="155" spans="1:10">
      <c r="A155" s="744"/>
      <c r="B155" s="745" t="s">
        <v>912</v>
      </c>
      <c r="C155" s="744"/>
      <c r="D155" s="744"/>
      <c r="E155" s="744"/>
      <c r="F155" s="744"/>
      <c r="G155" s="744"/>
      <c r="H155" s="744"/>
    </row>
    <row r="156" spans="1:10" ht="29.1">
      <c r="B156" s="719" t="s">
        <v>913</v>
      </c>
      <c r="C156" s="719" t="s">
        <v>914</v>
      </c>
      <c r="D156" s="719" t="s">
        <v>915</v>
      </c>
      <c r="E156" s="719" t="s">
        <v>916</v>
      </c>
      <c r="F156" s="719" t="s">
        <v>917</v>
      </c>
      <c r="G156" s="719" t="s">
        <v>918</v>
      </c>
      <c r="H156" s="719" t="s">
        <v>919</v>
      </c>
    </row>
    <row r="157" spans="1:10">
      <c r="B157" s="276">
        <v>9</v>
      </c>
      <c r="C157" s="276" t="s">
        <v>1029</v>
      </c>
      <c r="D157" s="340" t="s">
        <v>907</v>
      </c>
      <c r="E157" s="276">
        <v>2018</v>
      </c>
      <c r="F157" s="276" t="s">
        <v>921</v>
      </c>
      <c r="G157" s="276" t="s">
        <v>1030</v>
      </c>
      <c r="H157" s="276">
        <v>505</v>
      </c>
    </row>
    <row r="158" spans="1:10">
      <c r="B158" s="29"/>
    </row>
    <row r="159" spans="1:10">
      <c r="A159" s="744"/>
      <c r="B159" s="745" t="s">
        <v>924</v>
      </c>
      <c r="C159" s="744"/>
      <c r="D159" s="744"/>
      <c r="E159" s="744"/>
      <c r="F159" s="744"/>
      <c r="G159" s="744"/>
      <c r="H159" s="744"/>
    </row>
    <row r="160" spans="1:10">
      <c r="B160" s="398" t="s">
        <v>165</v>
      </c>
      <c r="C160" s="398" t="s">
        <v>995</v>
      </c>
      <c r="D160" s="398" t="s">
        <v>926</v>
      </c>
      <c r="E160" s="1139" t="s">
        <v>927</v>
      </c>
      <c r="F160" s="1139"/>
      <c r="G160" s="1139"/>
      <c r="H160" s="1139"/>
    </row>
    <row r="161" spans="1:12">
      <c r="B161" s="276" t="s">
        <v>169</v>
      </c>
      <c r="C161" s="276" t="s">
        <v>167</v>
      </c>
      <c r="D161" s="278">
        <f>VLOOKUP(C161,METHODOLOGY!$C$175:$D$177,2,FALSE)</f>
        <v>2</v>
      </c>
      <c r="E161" s="1087" t="str">
        <f>_xlfn.XLOOKUP(C161,METHODOLOGY!$E$150:$O$150,METHODOLOGY!$E$151:$O$151,"",0,1)</f>
        <v>The monetary values are recommended / referenced in other, well recognised and accepted guidance / tools relevant to another sector.</v>
      </c>
      <c r="F161" s="1087"/>
      <c r="G161" s="1087"/>
      <c r="H161" s="1087"/>
    </row>
    <row r="162" spans="1:12">
      <c r="B162" s="276" t="s">
        <v>173</v>
      </c>
      <c r="C162" s="276" t="s">
        <v>166</v>
      </c>
      <c r="D162" s="278">
        <f>VLOOKUP(C162,METHODOLOGY!$C$175:$D$177,2,FALSE)</f>
        <v>3</v>
      </c>
      <c r="E162" s="1087" t="str">
        <f>_xlfn.XLOOKUP(C162,METHODOLOGY!$E$150:$O$150,METHODOLOGY!$E$155:$O$155,"",0,1)</f>
        <v>Study has few limitations and is considered robust.</v>
      </c>
      <c r="F162" s="1087"/>
      <c r="G162" s="1087"/>
      <c r="H162" s="1087"/>
    </row>
    <row r="163" spans="1:12">
      <c r="B163" s="276" t="s">
        <v>177</v>
      </c>
      <c r="C163" s="276" t="s">
        <v>167</v>
      </c>
      <c r="D163" s="278">
        <f>VLOOKUP(C163,METHODOLOGY!$C$175:$D$177,2,FALSE)</f>
        <v>2</v>
      </c>
      <c r="E163" s="1087" t="str">
        <f>_xlfn.XLOOKUP(C163,METHODOLOGY!$E$150:$O$150,METHODOLOGY!$E$158:$O$158,"",0,1)</f>
        <v>6-10 years</v>
      </c>
      <c r="F163" s="1087"/>
      <c r="G163" s="1087"/>
      <c r="H163" s="1087"/>
    </row>
    <row r="164" spans="1:12">
      <c r="B164" s="276" t="s">
        <v>181</v>
      </c>
      <c r="C164" s="276" t="s">
        <v>167</v>
      </c>
      <c r="D164" s="278">
        <f>VLOOKUP(C164,METHODOLOGY!$C$175:$D$177,2,FALSE)</f>
        <v>2</v>
      </c>
      <c r="E164" s="1087" t="str">
        <f>_xlfn.XLOOKUP(C164,METHODOLOGY!$E$150:$O$150,METHODOLOGY!$E$160:$O$160,"",0,1)</f>
        <v>Less geographically relevant e.g. Europe or relevant to a specific UK region</v>
      </c>
      <c r="F164" s="1087"/>
      <c r="G164" s="1087"/>
      <c r="H164" s="1087"/>
    </row>
    <row r="165" spans="1:12">
      <c r="B165" s="276" t="s">
        <v>928</v>
      </c>
      <c r="C165" s="276" t="s">
        <v>167</v>
      </c>
      <c r="D165" s="278">
        <f>VLOOKUP(C165,METHODOLOGY!$C$175:$D$177,2,FALSE)</f>
        <v>2</v>
      </c>
      <c r="E165" s="1087" t="str">
        <f>_xlfn.XLOOKUP(C165,METHODOLOGY!$E$150:$O$150,METHODOLOGY!$E$162:$O$162,"",0,1)</f>
        <v>Meta-analysis or limited understanding of what the value represents.</v>
      </c>
      <c r="F165" s="1087"/>
      <c r="G165" s="1087"/>
      <c r="H165" s="1087"/>
    </row>
    <row r="166" spans="1:12">
      <c r="B166" s="276" t="s">
        <v>189</v>
      </c>
      <c r="C166" s="276" t="s">
        <v>167</v>
      </c>
      <c r="D166" s="278">
        <f>VLOOKUP(C166,METHODOLOGY!$C$175:$D$177,2,FALSE)</f>
        <v>2</v>
      </c>
      <c r="E166" s="1087" t="str">
        <f>_xlfn.XLOOKUP(C166,METHODOLOGY!$E$150:$O$150,METHODOLOGY!$E$164:$O$164,"",0,1)</f>
        <v xml:space="preserve">The original valuation can be used with some modification e.g. applying household numbers. The calculation is simple or introduces low levels of uncertainty. </v>
      </c>
      <c r="F166" s="1087"/>
      <c r="G166" s="1087"/>
      <c r="H166" s="1087"/>
    </row>
    <row r="167" spans="1:12">
      <c r="C167" s="282" t="s">
        <v>924</v>
      </c>
      <c r="D167" s="326">
        <f>IF(AND(D166=1,AVERAGE(D161:D166)&gt;2.14285714285714),2.14285714285714,IF(AND(D166=2,AVERAGE(D161:D166)&gt;2.57142857142857),2.57142857142857,AVERAGE(D161:D166)))</f>
        <v>2.1666666666666665</v>
      </c>
      <c r="E167" s="270" t="str">
        <f>IF(D167&lt;=2.14285714285714,"Red",IF(D167&lt;=2.57142857142857,"Amber",IF(D167&lt;=3,"Green")))</f>
        <v>Amber</v>
      </c>
    </row>
    <row r="170" spans="1:12">
      <c r="A170" s="744"/>
      <c r="B170" s="745" t="s">
        <v>929</v>
      </c>
      <c r="C170" s="744"/>
      <c r="D170" s="744"/>
      <c r="E170" s="744"/>
      <c r="F170" s="744"/>
      <c r="G170" s="744"/>
      <c r="H170" s="744"/>
    </row>
    <row r="171" spans="1:12">
      <c r="B171" s="398" t="s">
        <v>913</v>
      </c>
      <c r="C171" s="398" t="s">
        <v>898</v>
      </c>
      <c r="D171" s="398" t="s">
        <v>902</v>
      </c>
      <c r="E171" s="398" t="s">
        <v>331</v>
      </c>
      <c r="F171" s="398" t="s">
        <v>226</v>
      </c>
      <c r="G171" s="1145" t="s">
        <v>930</v>
      </c>
      <c r="H171" s="1145"/>
      <c r="I171" s="1145"/>
      <c r="J171" s="1145"/>
      <c r="K171" s="1145"/>
      <c r="L171" s="1145"/>
    </row>
    <row r="172" spans="1:12">
      <c r="B172" s="338">
        <v>9</v>
      </c>
      <c r="C172" s="338" t="s">
        <v>1031</v>
      </c>
      <c r="D172" s="338" t="s">
        <v>999</v>
      </c>
      <c r="E172" s="405">
        <v>1423</v>
      </c>
      <c r="F172" s="339" t="s">
        <v>1032</v>
      </c>
      <c r="G172" s="1140" t="s">
        <v>1033</v>
      </c>
      <c r="H172" s="1141"/>
      <c r="I172" s="1141"/>
      <c r="J172" s="1141"/>
      <c r="K172" s="1141"/>
      <c r="L172" s="1141"/>
    </row>
    <row r="173" spans="1:12">
      <c r="B173" s="338">
        <v>9</v>
      </c>
      <c r="C173" s="338" t="s">
        <v>1031</v>
      </c>
      <c r="D173" s="338" t="s">
        <v>996</v>
      </c>
      <c r="E173" s="405">
        <v>1041</v>
      </c>
      <c r="F173" s="339" t="s">
        <v>1032</v>
      </c>
      <c r="G173" s="1142" t="s">
        <v>1034</v>
      </c>
      <c r="H173" s="1143"/>
      <c r="I173" s="1143"/>
      <c r="J173" s="1143"/>
      <c r="K173" s="1143"/>
      <c r="L173" s="1144"/>
    </row>
    <row r="174" spans="1:12">
      <c r="B174" s="338">
        <v>9</v>
      </c>
      <c r="C174" s="338" t="s">
        <v>1031</v>
      </c>
      <c r="D174" s="338" t="s">
        <v>996</v>
      </c>
      <c r="E174" s="405">
        <v>21862</v>
      </c>
      <c r="F174" s="339" t="s">
        <v>1032</v>
      </c>
      <c r="G174" s="1142" t="s">
        <v>1035</v>
      </c>
      <c r="H174" s="1143"/>
      <c r="I174" s="1143"/>
      <c r="J174" s="1143"/>
      <c r="K174" s="1143"/>
      <c r="L174" s="1144"/>
    </row>
    <row r="175" spans="1:12">
      <c r="B175" s="338">
        <v>9</v>
      </c>
      <c r="C175" s="338" t="s">
        <v>1031</v>
      </c>
      <c r="D175" s="338" t="s">
        <v>999</v>
      </c>
      <c r="E175" s="404">
        <v>484</v>
      </c>
      <c r="F175" s="339" t="s">
        <v>1032</v>
      </c>
      <c r="G175" s="1140" t="s">
        <v>1036</v>
      </c>
      <c r="H175" s="1141"/>
      <c r="I175" s="1141"/>
      <c r="J175" s="1141"/>
      <c r="K175" s="1141"/>
      <c r="L175" s="1141"/>
    </row>
    <row r="176" spans="1:12">
      <c r="B176" s="338">
        <v>9</v>
      </c>
      <c r="C176" s="338" t="s">
        <v>1031</v>
      </c>
      <c r="D176" s="338" t="s">
        <v>996</v>
      </c>
      <c r="E176" s="405">
        <v>354</v>
      </c>
      <c r="F176" s="339" t="s">
        <v>1032</v>
      </c>
      <c r="G176" s="1142" t="s">
        <v>1037</v>
      </c>
      <c r="H176" s="1143"/>
      <c r="I176" s="1143"/>
      <c r="J176" s="1143"/>
      <c r="K176" s="1143"/>
      <c r="L176" s="1144"/>
    </row>
    <row r="177" spans="1:12">
      <c r="B177" s="338">
        <v>9</v>
      </c>
      <c r="C177" s="338" t="s">
        <v>1031</v>
      </c>
      <c r="D177" s="338" t="s">
        <v>996</v>
      </c>
      <c r="E177" s="404">
        <v>7443</v>
      </c>
      <c r="F177" s="339" t="s">
        <v>1032</v>
      </c>
      <c r="G177" s="1142" t="s">
        <v>1038</v>
      </c>
      <c r="H177" s="1143"/>
      <c r="I177" s="1143"/>
      <c r="J177" s="1143"/>
      <c r="K177" s="1143"/>
      <c r="L177" s="1144"/>
    </row>
    <row r="179" spans="1:12">
      <c r="A179" s="741"/>
      <c r="B179" s="743" t="s">
        <v>1039</v>
      </c>
      <c r="C179" s="741"/>
      <c r="D179" s="741"/>
      <c r="E179" s="741"/>
      <c r="F179" s="741"/>
      <c r="G179" s="741"/>
      <c r="H179" s="741"/>
    </row>
    <row r="180" spans="1:12">
      <c r="A180" s="744"/>
      <c r="B180" s="745" t="s">
        <v>912</v>
      </c>
      <c r="C180" s="744"/>
      <c r="D180" s="744"/>
      <c r="E180" s="744"/>
      <c r="F180" s="744"/>
      <c r="G180" s="744"/>
      <c r="H180" s="744"/>
    </row>
    <row r="181" spans="1:12" ht="29.1">
      <c r="B181" s="719" t="s">
        <v>913</v>
      </c>
      <c r="C181" s="719" t="s">
        <v>914</v>
      </c>
      <c r="D181" s="719" t="s">
        <v>915</v>
      </c>
      <c r="E181" s="719" t="s">
        <v>916</v>
      </c>
      <c r="F181" s="719" t="s">
        <v>917</v>
      </c>
      <c r="G181" s="719" t="s">
        <v>918</v>
      </c>
      <c r="H181" s="719" t="s">
        <v>919</v>
      </c>
    </row>
    <row r="182" spans="1:12">
      <c r="B182" s="278">
        <v>136</v>
      </c>
      <c r="C182" s="278" t="s">
        <v>920</v>
      </c>
      <c r="D182" s="279" t="s">
        <v>907</v>
      </c>
      <c r="E182" s="278">
        <v>2018</v>
      </c>
      <c r="F182" s="278" t="s">
        <v>921</v>
      </c>
      <c r="G182" s="278" t="s">
        <v>922</v>
      </c>
      <c r="H182" s="278" t="s">
        <v>923</v>
      </c>
    </row>
    <row r="183" spans="1:12">
      <c r="B183" s="29"/>
    </row>
    <row r="184" spans="1:12">
      <c r="A184" s="744"/>
      <c r="B184" s="745" t="s">
        <v>924</v>
      </c>
      <c r="C184" s="744"/>
      <c r="D184" s="744"/>
      <c r="E184" s="744"/>
      <c r="F184" s="744"/>
      <c r="G184" s="744"/>
      <c r="H184" s="744"/>
    </row>
    <row r="185" spans="1:12">
      <c r="B185" s="398" t="s">
        <v>165</v>
      </c>
      <c r="C185" s="398" t="s">
        <v>995</v>
      </c>
      <c r="D185" s="398" t="s">
        <v>926</v>
      </c>
      <c r="E185" s="1138" t="s">
        <v>927</v>
      </c>
      <c r="F185" s="1138"/>
      <c r="G185" s="1138"/>
      <c r="H185" s="1138"/>
    </row>
    <row r="186" spans="1:12">
      <c r="B186" s="276" t="s">
        <v>169</v>
      </c>
      <c r="C186" s="276" t="s">
        <v>167</v>
      </c>
      <c r="D186" s="278">
        <f>VLOOKUP(C186,METHODOLOGY!$C$175:$D$177,2,FALSE)</f>
        <v>2</v>
      </c>
      <c r="E186" s="1087" t="str">
        <f>_xlfn.XLOOKUP(C186,METHODOLOGY!$E$150:$O$150,METHODOLOGY!$E$151:$O$151,"",0,1)</f>
        <v>The monetary values are recommended / referenced in other, well recognised and accepted guidance / tools relevant to another sector.</v>
      </c>
      <c r="F186" s="1087"/>
      <c r="G186" s="1087"/>
      <c r="H186" s="1087"/>
    </row>
    <row r="187" spans="1:12">
      <c r="B187" s="276" t="s">
        <v>173</v>
      </c>
      <c r="C187" s="276" t="s">
        <v>166</v>
      </c>
      <c r="D187" s="278">
        <f>VLOOKUP(C187,METHODOLOGY!$C$175:$D$177,2,FALSE)</f>
        <v>3</v>
      </c>
      <c r="E187" s="1087" t="str">
        <f>_xlfn.XLOOKUP(C187,METHODOLOGY!$E$150:$O$150,METHODOLOGY!$E$155:$O$155,"",0,1)</f>
        <v>Study has few limitations and is considered robust.</v>
      </c>
      <c r="F187" s="1087"/>
      <c r="G187" s="1087"/>
      <c r="H187" s="1087"/>
    </row>
    <row r="188" spans="1:12">
      <c r="B188" s="276" t="s">
        <v>177</v>
      </c>
      <c r="C188" s="276" t="s">
        <v>167</v>
      </c>
      <c r="D188" s="278">
        <f>VLOOKUP(C188,METHODOLOGY!$C$175:$D$177,2,FALSE)</f>
        <v>2</v>
      </c>
      <c r="E188" s="1087" t="str">
        <f>_xlfn.XLOOKUP(C188,METHODOLOGY!$E$150:$O$150,METHODOLOGY!$E$158:$O$158,"",0,1)</f>
        <v>6-10 years</v>
      </c>
      <c r="F188" s="1087"/>
      <c r="G188" s="1087"/>
      <c r="H188" s="1087"/>
    </row>
    <row r="189" spans="1:12">
      <c r="B189" s="276" t="s">
        <v>181</v>
      </c>
      <c r="C189" s="276" t="s">
        <v>167</v>
      </c>
      <c r="D189" s="278">
        <f>VLOOKUP(C189,METHODOLOGY!$C$175:$D$177,2,FALSE)</f>
        <v>2</v>
      </c>
      <c r="E189" s="1087" t="str">
        <f>_xlfn.XLOOKUP(C189,METHODOLOGY!$E$150:$O$150,METHODOLOGY!$E$160:$O$160,"",0,1)</f>
        <v>Less geographically relevant e.g. Europe or relevant to a specific UK region</v>
      </c>
      <c r="F189" s="1087"/>
      <c r="G189" s="1087"/>
      <c r="H189" s="1087"/>
    </row>
    <row r="190" spans="1:12">
      <c r="B190" s="276" t="s">
        <v>928</v>
      </c>
      <c r="C190" s="276" t="s">
        <v>166</v>
      </c>
      <c r="D190" s="278">
        <f>VLOOKUP(C190,METHODOLOGY!$C$175:$D$177,2,FALSE)</f>
        <v>3</v>
      </c>
      <c r="E190" s="1087" t="str">
        <f>_xlfn.XLOOKUP(C190,METHODOLOGY!$E$150:$O$150,METHODOLOGY!$E$162:$O$162,"",0,1)</f>
        <v>Clear understanding of the valuation method and how the value should be applied.</v>
      </c>
      <c r="F190" s="1087"/>
      <c r="G190" s="1087"/>
      <c r="H190" s="1087"/>
    </row>
    <row r="191" spans="1:12">
      <c r="B191" s="276" t="s">
        <v>189</v>
      </c>
      <c r="C191" s="276" t="s">
        <v>166</v>
      </c>
      <c r="D191" s="278">
        <f>VLOOKUP(C191,METHODOLOGY!$C$175:$D$177,2,FALSE)</f>
        <v>3</v>
      </c>
      <c r="E191" s="1087" t="str">
        <f>_xlfn.XLOOKUP(C191,METHODOLOGY!$E$150:$O$150,METHODOLOGY!$E$164:$O$164,"",0,1)</f>
        <v xml:space="preserve">The original valuation can be used with no or very simple modification e.g. change units from ha to km2, applying inflation. </v>
      </c>
      <c r="F191" s="1087"/>
      <c r="G191" s="1087"/>
      <c r="H191" s="1087"/>
    </row>
    <row r="192" spans="1:12">
      <c r="C192" s="282" t="s">
        <v>924</v>
      </c>
      <c r="D192" s="326">
        <f>IF(AND(D191=1,AVERAGE(D186:D191)&gt;2.14285714285714),2.14285714285714,IF(AND(D191=2,AVERAGE(D186:D191)&gt;2.57142857142857),2.57142857142857,AVERAGE(D186:D191)))</f>
        <v>2.5</v>
      </c>
      <c r="E192" s="270" t="str">
        <f>IF(D192&lt;=2.14285714285714,"Red",IF(D192&lt;=2.57142857142857,"Amber",IF(D192&lt;=3,"Green")))</f>
        <v>Amber</v>
      </c>
    </row>
    <row r="195" spans="1:12">
      <c r="A195" s="744"/>
      <c r="B195" s="745" t="s">
        <v>929</v>
      </c>
      <c r="C195" s="744"/>
      <c r="D195" s="744"/>
      <c r="E195" s="744"/>
      <c r="F195" s="744"/>
      <c r="G195" s="744"/>
      <c r="H195" s="744"/>
    </row>
    <row r="196" spans="1:12">
      <c r="B196" s="398" t="s">
        <v>913</v>
      </c>
      <c r="C196" s="398" t="s">
        <v>898</v>
      </c>
      <c r="D196" s="398" t="s">
        <v>902</v>
      </c>
      <c r="E196" s="398" t="s">
        <v>331</v>
      </c>
      <c r="F196" s="398" t="s">
        <v>226</v>
      </c>
      <c r="G196" s="1145" t="s">
        <v>930</v>
      </c>
      <c r="H196" s="1145"/>
      <c r="I196" s="1145"/>
      <c r="J196" s="1145"/>
      <c r="K196" s="1145"/>
      <c r="L196" s="1145"/>
    </row>
    <row r="197" spans="1:12">
      <c r="B197" s="338">
        <v>22</v>
      </c>
      <c r="C197" s="338" t="s">
        <v>151</v>
      </c>
      <c r="D197" s="338" t="s">
        <v>999</v>
      </c>
      <c r="E197" s="405">
        <v>6235</v>
      </c>
      <c r="F197" s="339" t="s">
        <v>1040</v>
      </c>
      <c r="G197" s="1140" t="s">
        <v>1041</v>
      </c>
      <c r="H197" s="1141"/>
      <c r="I197" s="1141"/>
      <c r="J197" s="1141"/>
      <c r="K197" s="1141"/>
      <c r="L197" s="1141"/>
    </row>
    <row r="198" spans="1:12">
      <c r="B198" s="338">
        <v>22</v>
      </c>
      <c r="C198" s="338" t="s">
        <v>151</v>
      </c>
      <c r="D198" s="338" t="s">
        <v>996</v>
      </c>
      <c r="E198" s="405">
        <v>24050</v>
      </c>
      <c r="F198" s="339" t="s">
        <v>1040</v>
      </c>
      <c r="G198" s="1142" t="s">
        <v>1042</v>
      </c>
      <c r="H198" s="1143"/>
      <c r="I198" s="1143"/>
      <c r="J198" s="1143"/>
      <c r="K198" s="1143"/>
      <c r="L198" s="1144"/>
    </row>
    <row r="199" spans="1:12">
      <c r="B199" s="338">
        <v>22</v>
      </c>
      <c r="C199" s="338" t="s">
        <v>462</v>
      </c>
      <c r="D199" s="338" t="s">
        <v>999</v>
      </c>
      <c r="E199" s="405">
        <v>1498</v>
      </c>
      <c r="F199" s="339" t="s">
        <v>1040</v>
      </c>
      <c r="G199" s="1142" t="s">
        <v>1043</v>
      </c>
      <c r="H199" s="1143"/>
      <c r="I199" s="1143"/>
      <c r="J199" s="1143"/>
      <c r="K199" s="1143"/>
      <c r="L199" s="1144"/>
    </row>
    <row r="200" spans="1:12">
      <c r="B200" s="338">
        <v>22</v>
      </c>
      <c r="C200" s="338" t="s">
        <v>462</v>
      </c>
      <c r="D200" s="338" t="s">
        <v>996</v>
      </c>
      <c r="E200" s="404">
        <v>28407</v>
      </c>
      <c r="F200" s="339" t="s">
        <v>1040</v>
      </c>
      <c r="G200" s="1140" t="s">
        <v>1044</v>
      </c>
      <c r="H200" s="1141"/>
      <c r="I200" s="1141"/>
      <c r="J200" s="1141"/>
      <c r="K200" s="1141"/>
      <c r="L200" s="1141"/>
    </row>
    <row r="217" spans="1:23" s="263" customFormat="1">
      <c r="A217" s="741"/>
      <c r="B217" s="743" t="s">
        <v>1045</v>
      </c>
      <c r="C217" s="741"/>
      <c r="D217" s="741"/>
      <c r="E217" s="741"/>
      <c r="F217" s="741"/>
      <c r="G217" s="741"/>
      <c r="H217" s="741"/>
      <c r="I217" s="7"/>
      <c r="J217" s="7"/>
      <c r="K217" s="7"/>
      <c r="L217" s="7"/>
      <c r="M217" s="7"/>
      <c r="N217" s="7"/>
      <c r="O217" s="7"/>
      <c r="P217" s="7"/>
      <c r="Q217" s="7"/>
      <c r="R217" s="7"/>
      <c r="S217" s="7"/>
      <c r="T217" s="7"/>
      <c r="U217" s="7"/>
      <c r="V217" s="7"/>
      <c r="W217" s="7"/>
    </row>
    <row r="218" spans="1:23" s="263" customFormat="1">
      <c r="A218" s="744"/>
      <c r="B218" s="745" t="s">
        <v>912</v>
      </c>
      <c r="C218" s="744"/>
      <c r="D218" s="744"/>
      <c r="E218" s="744"/>
      <c r="F218" s="744"/>
      <c r="G218" s="744"/>
      <c r="H218" s="744"/>
      <c r="I218" s="7"/>
      <c r="J218" s="7"/>
      <c r="K218" s="7"/>
      <c r="L218" s="7"/>
      <c r="M218" s="7"/>
      <c r="N218" s="7"/>
      <c r="O218" s="7"/>
      <c r="P218" s="7"/>
      <c r="Q218" s="7"/>
      <c r="R218" s="7"/>
      <c r="S218" s="7"/>
      <c r="T218" s="7"/>
      <c r="U218" s="7"/>
      <c r="V218" s="7"/>
      <c r="W218" s="7"/>
    </row>
    <row r="219" spans="1:23" ht="29.1">
      <c r="B219" s="719" t="s">
        <v>913</v>
      </c>
      <c r="C219" s="719" t="s">
        <v>914</v>
      </c>
      <c r="D219" s="719" t="s">
        <v>915</v>
      </c>
      <c r="E219" s="719" t="s">
        <v>916</v>
      </c>
      <c r="F219" s="719" t="s">
        <v>917</v>
      </c>
      <c r="G219" s="719" t="s">
        <v>918</v>
      </c>
      <c r="H219" s="719" t="s">
        <v>919</v>
      </c>
    </row>
    <row r="220" spans="1:23" ht="57.95">
      <c r="B220" s="342">
        <v>16</v>
      </c>
      <c r="C220" s="342" t="s">
        <v>1046</v>
      </c>
      <c r="D220" s="636" t="s">
        <v>907</v>
      </c>
      <c r="E220" s="342">
        <v>2023</v>
      </c>
      <c r="F220" s="342" t="s">
        <v>1047</v>
      </c>
      <c r="G220" s="342" t="s">
        <v>1048</v>
      </c>
      <c r="H220" s="342" t="s">
        <v>1049</v>
      </c>
    </row>
    <row r="221" spans="1:23">
      <c r="B221" s="29"/>
    </row>
    <row r="222" spans="1:23" s="263" customFormat="1">
      <c r="A222" s="744"/>
      <c r="B222" s="745" t="s">
        <v>924</v>
      </c>
      <c r="C222" s="744"/>
      <c r="D222" s="744"/>
      <c r="E222" s="744"/>
      <c r="F222" s="744"/>
      <c r="G222" s="744"/>
      <c r="H222" s="744"/>
      <c r="I222" s="7"/>
      <c r="J222" s="7"/>
      <c r="K222" s="7"/>
      <c r="L222" s="7"/>
      <c r="M222" s="7"/>
      <c r="N222" s="7"/>
      <c r="O222" s="7"/>
      <c r="P222" s="7"/>
      <c r="Q222" s="7"/>
      <c r="R222" s="7"/>
      <c r="S222" s="7"/>
      <c r="T222" s="7"/>
      <c r="U222" s="7"/>
      <c r="V222" s="7"/>
      <c r="W222" s="7"/>
    </row>
    <row r="223" spans="1:23">
      <c r="B223" s="398" t="s">
        <v>165</v>
      </c>
      <c r="C223" s="398" t="s">
        <v>995</v>
      </c>
      <c r="D223" s="398" t="s">
        <v>926</v>
      </c>
      <c r="E223" s="1139" t="s">
        <v>927</v>
      </c>
      <c r="F223" s="1139"/>
      <c r="G223" s="1139"/>
      <c r="H223" s="1139"/>
    </row>
    <row r="224" spans="1:23">
      <c r="B224" s="276" t="s">
        <v>169</v>
      </c>
      <c r="C224" s="276" t="s">
        <v>166</v>
      </c>
      <c r="D224" s="278">
        <f>VLOOKUP(C224,METHODOLOGY!$C$175:$D$177,2,FALSE)</f>
        <v>3</v>
      </c>
      <c r="E224" s="1087" t="str">
        <f>_xlfn.XLOOKUP(C224,METHODOLOGY!$E$150:$O$150,METHODOLOGY!$E$151:$O$151,"",0,1)</f>
        <v>Monetary values have been peer reviewed or are recommended / referenced in other, well recognised and accepted guidance / tools relevant to the water sector.</v>
      </c>
      <c r="F224" s="1087"/>
      <c r="G224" s="1087"/>
      <c r="H224" s="1087"/>
    </row>
    <row r="225" spans="1:12">
      <c r="B225" s="276" t="s">
        <v>173</v>
      </c>
      <c r="C225" s="276" t="s">
        <v>167</v>
      </c>
      <c r="D225" s="278">
        <f>VLOOKUP(C225,METHODOLOGY!$C$175:$D$177,2,FALSE)</f>
        <v>2</v>
      </c>
      <c r="E225" s="1087" t="str">
        <f>_xlfn.XLOOKUP(C225,METHODOLOGY!$E$150:$O$150,METHODOLOGY!$E$155:$O$155,"",0,1)</f>
        <v>Study has some limitations which may impact on the robustness of the value.</v>
      </c>
      <c r="F225" s="1087"/>
      <c r="G225" s="1087"/>
      <c r="H225" s="1087"/>
    </row>
    <row r="226" spans="1:12">
      <c r="B226" s="276" t="s">
        <v>177</v>
      </c>
      <c r="C226" s="276" t="s">
        <v>166</v>
      </c>
      <c r="D226" s="278">
        <f>VLOOKUP(C226,METHODOLOGY!$C$175:$D$177,2,FALSE)</f>
        <v>3</v>
      </c>
      <c r="E226" s="1087" t="str">
        <f>_xlfn.XLOOKUP(C226,METHODOLOGY!$E$150:$O$150,METHODOLOGY!$E$158:$O$158,"",0,1)</f>
        <v>0 – 5 years</v>
      </c>
      <c r="F226" s="1087"/>
      <c r="G226" s="1087"/>
      <c r="H226" s="1087"/>
    </row>
    <row r="227" spans="1:12">
      <c r="B227" s="276" t="s">
        <v>181</v>
      </c>
      <c r="C227" s="276" t="s">
        <v>166</v>
      </c>
      <c r="D227" s="278">
        <f>VLOOKUP(C227,METHODOLOGY!$C$175:$D$177,2,FALSE)</f>
        <v>3</v>
      </c>
      <c r="E227" s="1087" t="str">
        <f>_xlfn.XLOOKUP(C227,METHODOLOGY!$E$150:$O$150,METHODOLOGY!$E$160:$O$160,"",0,1)</f>
        <v>Geographically relevant to UK</v>
      </c>
      <c r="F227" s="1087"/>
      <c r="G227" s="1087"/>
      <c r="H227" s="1087"/>
    </row>
    <row r="228" spans="1:12">
      <c r="B228" s="276" t="s">
        <v>928</v>
      </c>
      <c r="C228" s="276" t="s">
        <v>168</v>
      </c>
      <c r="D228" s="278">
        <f>VLOOKUP(C228,METHODOLOGY!$C$175:$D$177,2,FALSE)</f>
        <v>1</v>
      </c>
      <c r="E228" s="1087" t="str">
        <f>_xlfn.XLOOKUP(C228,METHODOLOGY!$E$150:$O$150,METHODOLOGY!$E$162:$O$162,"",0,1)</f>
        <v>Unclear on what the value represents.</v>
      </c>
      <c r="F228" s="1087"/>
      <c r="G228" s="1087"/>
      <c r="H228" s="1087"/>
    </row>
    <row r="229" spans="1:12">
      <c r="B229" s="276" t="s">
        <v>189</v>
      </c>
      <c r="C229" s="276" t="s">
        <v>166</v>
      </c>
      <c r="D229" s="278">
        <f>VLOOKUP(C229,METHODOLOGY!$C$175:$D$177,2,FALSE)</f>
        <v>3</v>
      </c>
      <c r="E229" s="1087" t="str">
        <f>_xlfn.XLOOKUP(C229,METHODOLOGY!$E$150:$O$150,METHODOLOGY!$E$164:$O$164,"",0,1)</f>
        <v xml:space="preserve">The original valuation can be used with no or very simple modification e.g. change units from ha to km2, applying inflation. </v>
      </c>
      <c r="F229" s="1087"/>
      <c r="G229" s="1087"/>
      <c r="H229" s="1087"/>
    </row>
    <row r="230" spans="1:12">
      <c r="C230" s="282" t="s">
        <v>924</v>
      </c>
      <c r="D230" s="326">
        <f>IF(AND(D229=1,AVERAGE(D224:D229)&gt;2.14285714285714),2.14285714285714,IF(AND(D229=2,AVERAGE(D224:D229)&gt;2.57142857142857),2.57142857142857,AVERAGE(D224:D229)))</f>
        <v>2.5</v>
      </c>
      <c r="E230" s="270" t="str">
        <f>IF(D230&lt;=2.14285714285714,"Red",IF(D230&lt;=2.57142857142857,"Amber",IF(D230&lt;=3,"Green")))</f>
        <v>Amber</v>
      </c>
    </row>
    <row r="233" spans="1:12">
      <c r="A233" s="744"/>
      <c r="B233" s="745" t="s">
        <v>929</v>
      </c>
      <c r="C233" s="744"/>
      <c r="D233" s="744"/>
      <c r="E233" s="744"/>
      <c r="F233" s="744"/>
      <c r="G233" s="744"/>
      <c r="H233" s="744"/>
    </row>
    <row r="234" spans="1:12">
      <c r="B234" s="398" t="s">
        <v>913</v>
      </c>
      <c r="C234" s="398" t="s">
        <v>898</v>
      </c>
      <c r="D234" s="398" t="s">
        <v>902</v>
      </c>
      <c r="E234" s="398" t="s">
        <v>331</v>
      </c>
      <c r="F234" s="398" t="s">
        <v>226</v>
      </c>
      <c r="G234" s="1145" t="s">
        <v>930</v>
      </c>
      <c r="H234" s="1145"/>
      <c r="I234" s="1145"/>
      <c r="J234" s="1145"/>
      <c r="K234" s="1145"/>
      <c r="L234" s="1145"/>
    </row>
    <row r="235" spans="1:12">
      <c r="B235" s="338">
        <v>16</v>
      </c>
      <c r="C235" s="338" t="s">
        <v>151</v>
      </c>
      <c r="D235" s="338" t="s">
        <v>996</v>
      </c>
      <c r="E235" s="412">
        <v>71</v>
      </c>
      <c r="F235" s="339" t="s">
        <v>1050</v>
      </c>
      <c r="G235" s="1140" t="s">
        <v>1051</v>
      </c>
      <c r="H235" s="1141"/>
      <c r="I235" s="1141"/>
      <c r="J235" s="1141"/>
      <c r="K235" s="1141"/>
      <c r="L235" s="1141"/>
    </row>
    <row r="236" spans="1:12">
      <c r="B236" s="338">
        <v>16</v>
      </c>
      <c r="C236" s="338" t="s">
        <v>151</v>
      </c>
      <c r="D236" s="338" t="s">
        <v>999</v>
      </c>
      <c r="E236" s="412">
        <v>71</v>
      </c>
      <c r="F236" s="339" t="s">
        <v>1050</v>
      </c>
      <c r="G236" s="1142" t="s">
        <v>1052</v>
      </c>
      <c r="H236" s="1150"/>
      <c r="I236" s="1150"/>
      <c r="J236" s="1150"/>
      <c r="K236" s="1150"/>
      <c r="L236" s="1151"/>
    </row>
    <row r="237" spans="1:12">
      <c r="B237" s="338">
        <v>16</v>
      </c>
      <c r="C237" s="338" t="s">
        <v>462</v>
      </c>
      <c r="D237" s="338" t="s">
        <v>996</v>
      </c>
      <c r="E237" s="412">
        <v>4393</v>
      </c>
      <c r="F237" s="339" t="s">
        <v>1050</v>
      </c>
      <c r="G237" s="1142" t="s">
        <v>1053</v>
      </c>
      <c r="H237" s="1150"/>
      <c r="I237" s="1150"/>
      <c r="J237" s="1150"/>
      <c r="K237" s="1150"/>
      <c r="L237" s="1151"/>
    </row>
    <row r="238" spans="1:12">
      <c r="B238" s="338">
        <v>16</v>
      </c>
      <c r="C238" s="338" t="s">
        <v>462</v>
      </c>
      <c r="D238" s="338" t="s">
        <v>999</v>
      </c>
      <c r="E238" s="412">
        <v>5379</v>
      </c>
      <c r="F238" s="339" t="s">
        <v>1050</v>
      </c>
      <c r="G238" s="1140" t="s">
        <v>1054</v>
      </c>
      <c r="H238" s="1141"/>
      <c r="I238" s="1141"/>
      <c r="J238" s="1141"/>
      <c r="K238" s="1141"/>
      <c r="L238" s="1141"/>
    </row>
    <row r="239" spans="1:12">
      <c r="B239" s="338">
        <v>73</v>
      </c>
      <c r="C239" s="338" t="s">
        <v>934</v>
      </c>
      <c r="D239" s="338" t="s">
        <v>1055</v>
      </c>
      <c r="E239" s="344">
        <f>'COMPANY INPUT'!C6</f>
        <v>2676565</v>
      </c>
      <c r="F239" s="339" t="s">
        <v>333</v>
      </c>
      <c r="G239" s="1140"/>
      <c r="H239" s="1141"/>
      <c r="I239" s="1141"/>
      <c r="J239" s="1141"/>
      <c r="K239" s="1141"/>
      <c r="L239" s="1141"/>
    </row>
    <row r="241" spans="2:2">
      <c r="B241" s="7" t="s">
        <v>1056</v>
      </c>
    </row>
    <row r="259" spans="1:10">
      <c r="A259" s="744"/>
      <c r="B259" s="745" t="s">
        <v>936</v>
      </c>
      <c r="C259" s="744"/>
      <c r="D259" s="744"/>
      <c r="E259" s="744"/>
      <c r="F259" s="744"/>
      <c r="G259" s="744"/>
      <c r="H259" s="744"/>
    </row>
    <row r="260" spans="1:10">
      <c r="B260" s="293" t="s">
        <v>898</v>
      </c>
      <c r="C260" s="293" t="s">
        <v>902</v>
      </c>
      <c r="D260" s="293" t="s">
        <v>1057</v>
      </c>
    </row>
    <row r="261" spans="1:10">
      <c r="B261" s="276" t="s">
        <v>151</v>
      </c>
      <c r="C261" s="276" t="s">
        <v>996</v>
      </c>
      <c r="D261" s="413">
        <f>E235</f>
        <v>71</v>
      </c>
    </row>
    <row r="262" spans="1:10">
      <c r="B262" s="276" t="s">
        <v>151</v>
      </c>
      <c r="C262" s="276" t="s">
        <v>999</v>
      </c>
      <c r="D262" s="413">
        <f>E236</f>
        <v>71</v>
      </c>
    </row>
    <row r="263" spans="1:10">
      <c r="B263" s="276" t="s">
        <v>462</v>
      </c>
      <c r="C263" s="276" t="s">
        <v>996</v>
      </c>
      <c r="D263" s="413">
        <f>E237</f>
        <v>4393</v>
      </c>
    </row>
    <row r="264" spans="1:10">
      <c r="B264" s="276" t="s">
        <v>462</v>
      </c>
      <c r="C264" s="276" t="s">
        <v>999</v>
      </c>
      <c r="D264" s="413">
        <f>E238</f>
        <v>5379</v>
      </c>
    </row>
    <row r="266" spans="1:10">
      <c r="A266" s="741"/>
      <c r="B266" s="743" t="s">
        <v>901</v>
      </c>
      <c r="C266" s="741"/>
      <c r="D266" s="741"/>
      <c r="E266" s="741"/>
      <c r="F266" s="741"/>
      <c r="G266" s="741"/>
      <c r="H266" s="741"/>
    </row>
    <row r="267" spans="1:10" ht="29.1">
      <c r="B267" s="399" t="s">
        <v>902</v>
      </c>
      <c r="C267" s="399" t="s">
        <v>898</v>
      </c>
      <c r="D267" s="399" t="s">
        <v>899</v>
      </c>
      <c r="E267" s="400" t="s">
        <v>903</v>
      </c>
      <c r="F267" s="398" t="s">
        <v>904</v>
      </c>
      <c r="G267" s="398" t="s">
        <v>905</v>
      </c>
      <c r="H267" s="400" t="s">
        <v>924</v>
      </c>
      <c r="I267" s="152" t="s">
        <v>956</v>
      </c>
      <c r="J267" s="152" t="s">
        <v>927</v>
      </c>
    </row>
    <row r="268" spans="1:10">
      <c r="B268" s="276" t="s">
        <v>106</v>
      </c>
      <c r="C268" s="276" t="s">
        <v>151</v>
      </c>
      <c r="D268" s="373" t="s">
        <v>992</v>
      </c>
      <c r="E268" s="373" t="s">
        <v>1058</v>
      </c>
      <c r="F268" s="276" t="str" cm="1">
        <f t="array" ref="F268">_xlfn.XLOOKUP(1,($D$293:$D$314=B268)*($E$293:$E$314=C268),$B$293:$B$314,"Not found",0,1)</f>
        <v>2-1</v>
      </c>
      <c r="G268" s="348">
        <f t="shared" ref="G268:G289" si="4">VLOOKUP(F268,B293:L315,11,FALSE)</f>
        <v>76.05646174627779</v>
      </c>
      <c r="H268" s="1120">
        <f>$D$230</f>
        <v>2.5</v>
      </c>
      <c r="I268" s="1149" t="s">
        <v>1059</v>
      </c>
      <c r="J268" s="1149" t="s">
        <v>1060</v>
      </c>
    </row>
    <row r="269" spans="1:10">
      <c r="B269" s="276" t="s">
        <v>109</v>
      </c>
      <c r="C269" s="276" t="s">
        <v>151</v>
      </c>
      <c r="D269" s="373" t="s">
        <v>992</v>
      </c>
      <c r="E269" s="373" t="s">
        <v>1058</v>
      </c>
      <c r="F269" s="276" t="str" cm="1">
        <f t="array" ref="F269">_xlfn.XLOOKUP(1,($D$293:$D$314=B269)*($E$293:$E$314=C269),$B$293:$B$314,"Not found",0,1)</f>
        <v>2-2</v>
      </c>
      <c r="G269" s="348">
        <f t="shared" si="4"/>
        <v>76.05646174627779</v>
      </c>
      <c r="H269" s="1121"/>
      <c r="I269" s="1149"/>
      <c r="J269" s="1149"/>
    </row>
    <row r="270" spans="1:10">
      <c r="B270" s="276" t="s">
        <v>110</v>
      </c>
      <c r="C270" s="276" t="s">
        <v>151</v>
      </c>
      <c r="D270" s="373" t="s">
        <v>992</v>
      </c>
      <c r="E270" s="373" t="s">
        <v>1058</v>
      </c>
      <c r="F270" s="276" t="str" cm="1">
        <f t="array" ref="F270">_xlfn.XLOOKUP(1,($D$293:$D$314=B270)*($E$293:$E$314=C270),$B$293:$B$314,"Not found",0,1)</f>
        <v>2-3</v>
      </c>
      <c r="G270" s="348">
        <f t="shared" si="4"/>
        <v>76.05646174627779</v>
      </c>
      <c r="H270" s="1121"/>
      <c r="I270" s="1149"/>
      <c r="J270" s="1149"/>
    </row>
    <row r="271" spans="1:10">
      <c r="B271" s="276" t="s">
        <v>111</v>
      </c>
      <c r="C271" s="276" t="s">
        <v>151</v>
      </c>
      <c r="D271" s="373" t="s">
        <v>992</v>
      </c>
      <c r="E271" s="373" t="s">
        <v>1058</v>
      </c>
      <c r="F271" s="276" t="str" cm="1">
        <f t="array" ref="F271">_xlfn.XLOOKUP(1,($D$293:$D$314=B271)*($E$293:$E$314=C271),$B$293:$B$314,"Not found",0,1)</f>
        <v>2-4</v>
      </c>
      <c r="G271" s="348">
        <f t="shared" si="4"/>
        <v>76.05646174627779</v>
      </c>
      <c r="H271" s="1121"/>
      <c r="I271" s="1149"/>
      <c r="J271" s="1149"/>
    </row>
    <row r="272" spans="1:10">
      <c r="B272" s="276" t="s">
        <v>112</v>
      </c>
      <c r="C272" s="276" t="s">
        <v>151</v>
      </c>
      <c r="D272" s="373" t="s">
        <v>992</v>
      </c>
      <c r="E272" s="373" t="s">
        <v>1058</v>
      </c>
      <c r="F272" s="276" t="str" cm="1">
        <f t="array" ref="F272">_xlfn.XLOOKUP(1,($D$293:$D$314=B272)*($E$293:$E$314=C272),$B$293:$B$314,"Not found",0,1)</f>
        <v>2-5</v>
      </c>
      <c r="G272" s="348">
        <f t="shared" si="4"/>
        <v>76.05646174627779</v>
      </c>
      <c r="H272" s="1121"/>
      <c r="I272" s="1149"/>
      <c r="J272" s="1149"/>
    </row>
    <row r="273" spans="2:10">
      <c r="B273" s="276" t="s">
        <v>113</v>
      </c>
      <c r="C273" s="276" t="s">
        <v>151</v>
      </c>
      <c r="D273" s="373" t="s">
        <v>992</v>
      </c>
      <c r="E273" s="373" t="s">
        <v>1058</v>
      </c>
      <c r="F273" s="276" t="str" cm="1">
        <f t="array" ref="F273">_xlfn.XLOOKUP(1,($D$293:$D$314=B273)*($E$293:$E$314=C273),$B$293:$B$314,"Not found",0,1)</f>
        <v>2-6</v>
      </c>
      <c r="G273" s="348">
        <f t="shared" si="4"/>
        <v>76.05646174627779</v>
      </c>
      <c r="H273" s="1121"/>
      <c r="I273" s="1149"/>
      <c r="J273" s="1149"/>
    </row>
    <row r="274" spans="2:10">
      <c r="B274" s="276" t="s">
        <v>114</v>
      </c>
      <c r="C274" s="276" t="s">
        <v>151</v>
      </c>
      <c r="D274" s="373" t="s">
        <v>992</v>
      </c>
      <c r="E274" s="373" t="s">
        <v>1058</v>
      </c>
      <c r="F274" s="276" t="str" cm="1">
        <f t="array" ref="F274">_xlfn.XLOOKUP(1,($D$293:$D$314=B274)*($E$293:$E$314=C274),$B$293:$B$314,"Not found",0,1)</f>
        <v>2-7</v>
      </c>
      <c r="G274" s="348">
        <f t="shared" si="4"/>
        <v>76.05646174627779</v>
      </c>
      <c r="H274" s="1121"/>
      <c r="I274" s="1149"/>
      <c r="J274" s="1149"/>
    </row>
    <row r="275" spans="2:10">
      <c r="B275" s="276" t="s">
        <v>115</v>
      </c>
      <c r="C275" s="276" t="s">
        <v>151</v>
      </c>
      <c r="D275" s="373" t="s">
        <v>992</v>
      </c>
      <c r="E275" s="373" t="s">
        <v>1058</v>
      </c>
      <c r="F275" s="276" t="str" cm="1">
        <f t="array" ref="F275">_xlfn.XLOOKUP(1,($D$293:$D$314=B275)*($E$293:$E$314=C275),$B$293:$B$314,"Not found",0,1)</f>
        <v>2-8</v>
      </c>
      <c r="G275" s="348">
        <f t="shared" si="4"/>
        <v>76.05646174627779</v>
      </c>
      <c r="H275" s="1121"/>
      <c r="I275" s="1149"/>
      <c r="J275" s="1149"/>
    </row>
    <row r="276" spans="2:10">
      <c r="B276" s="276" t="s">
        <v>116</v>
      </c>
      <c r="C276" s="276" t="s">
        <v>151</v>
      </c>
      <c r="D276" s="373" t="s">
        <v>992</v>
      </c>
      <c r="E276" s="373" t="s">
        <v>1058</v>
      </c>
      <c r="F276" s="276" t="str" cm="1">
        <f t="array" ref="F276">_xlfn.XLOOKUP(1,($D$293:$D$314=B276)*($E$293:$E$314=C276),$B$293:$B$314,"Not found",0,1)</f>
        <v>2-9</v>
      </c>
      <c r="G276" s="348">
        <f t="shared" si="4"/>
        <v>76.05646174627779</v>
      </c>
      <c r="H276" s="1121"/>
      <c r="I276" s="1149"/>
      <c r="J276" s="1149"/>
    </row>
    <row r="277" spans="2:10">
      <c r="B277" s="276" t="s">
        <v>117</v>
      </c>
      <c r="C277" s="276" t="s">
        <v>151</v>
      </c>
      <c r="D277" s="373" t="s">
        <v>992</v>
      </c>
      <c r="E277" s="373" t="s">
        <v>1058</v>
      </c>
      <c r="F277" s="276" t="str" cm="1">
        <f t="array" ref="F277">_xlfn.XLOOKUP(1,($D$293:$D$314=B277)*($E$293:$E$314=C277),$B$293:$B$314,"Not found",0,1)</f>
        <v>2-10</v>
      </c>
      <c r="G277" s="348">
        <f t="shared" si="4"/>
        <v>76.05646174627779</v>
      </c>
      <c r="H277" s="1121"/>
      <c r="I277" s="1149"/>
      <c r="J277" s="1149"/>
    </row>
    <row r="278" spans="2:10">
      <c r="B278" s="276" t="s">
        <v>118</v>
      </c>
      <c r="C278" s="276" t="s">
        <v>151</v>
      </c>
      <c r="D278" s="373" t="s">
        <v>992</v>
      </c>
      <c r="E278" s="373" t="s">
        <v>1058</v>
      </c>
      <c r="F278" s="276" t="str" cm="1">
        <f t="array" ref="F278">_xlfn.XLOOKUP(1,($D$293:$D$314=B278)*($E$293:$E$314=C278),$B$293:$B$314,"Not found",0,1)</f>
        <v>2-11</v>
      </c>
      <c r="G278" s="348">
        <f t="shared" si="4"/>
        <v>76.05646174627779</v>
      </c>
      <c r="H278" s="1121"/>
      <c r="I278" s="1149"/>
      <c r="J278" s="1149"/>
    </row>
    <row r="279" spans="2:10">
      <c r="B279" s="276" t="s">
        <v>106</v>
      </c>
      <c r="C279" s="276" t="s">
        <v>462</v>
      </c>
      <c r="D279" s="373" t="s">
        <v>910</v>
      </c>
      <c r="E279" s="373" t="s">
        <v>1058</v>
      </c>
      <c r="F279" s="276" t="str" cm="1">
        <f t="array" ref="F279">_xlfn.XLOOKUP(1,($D$293:$D$314=B279)*($E$293:$E$314=C279),$B$293:$B$314,"Not found",0,1)</f>
        <v>2-12</v>
      </c>
      <c r="G279" s="348">
        <f t="shared" si="4"/>
        <v>4705.8596683295546</v>
      </c>
      <c r="H279" s="1121"/>
      <c r="I279" s="1149"/>
      <c r="J279" s="1149"/>
    </row>
    <row r="280" spans="2:10">
      <c r="B280" s="276" t="s">
        <v>109</v>
      </c>
      <c r="C280" s="276" t="s">
        <v>462</v>
      </c>
      <c r="D280" s="373" t="s">
        <v>910</v>
      </c>
      <c r="E280" s="373" t="s">
        <v>1058</v>
      </c>
      <c r="F280" s="276" t="str" cm="1">
        <f t="array" ref="F280">_xlfn.XLOOKUP(1,($D$293:$D$314=B280)*($E$293:$E$314=C280),$B$293:$B$314,"Not found",0,1)</f>
        <v>2-13</v>
      </c>
      <c r="G280" s="348">
        <f t="shared" si="4"/>
        <v>4705.8596683295546</v>
      </c>
      <c r="H280" s="1121"/>
      <c r="I280" s="1149"/>
      <c r="J280" s="1149"/>
    </row>
    <row r="281" spans="2:10">
      <c r="B281" s="276" t="s">
        <v>110</v>
      </c>
      <c r="C281" s="276" t="s">
        <v>462</v>
      </c>
      <c r="D281" s="373" t="s">
        <v>910</v>
      </c>
      <c r="E281" s="373" t="s">
        <v>1058</v>
      </c>
      <c r="F281" s="276" t="str" cm="1">
        <f t="array" ref="F281">_xlfn.XLOOKUP(1,($D$293:$D$314=B281)*($E$293:$E$314=C281),$B$293:$B$314,"Not found",0,1)</f>
        <v>2-14</v>
      </c>
      <c r="G281" s="348">
        <f t="shared" si="4"/>
        <v>4705.8596683295546</v>
      </c>
      <c r="H281" s="1121"/>
      <c r="I281" s="1149"/>
      <c r="J281" s="1149"/>
    </row>
    <row r="282" spans="2:10">
      <c r="B282" s="276" t="s">
        <v>111</v>
      </c>
      <c r="C282" s="276" t="s">
        <v>462</v>
      </c>
      <c r="D282" s="373" t="s">
        <v>910</v>
      </c>
      <c r="E282" s="373" t="s">
        <v>1058</v>
      </c>
      <c r="F282" s="276" t="str" cm="1">
        <f t="array" ref="F282">_xlfn.XLOOKUP(1,($D$293:$D$314=B282)*($E$293:$E$314=C282),$B$293:$B$314,"Not found",0,1)</f>
        <v>2-15</v>
      </c>
      <c r="G282" s="348">
        <f t="shared" si="4"/>
        <v>4705.8596683295546</v>
      </c>
      <c r="H282" s="1121"/>
      <c r="I282" s="1149"/>
      <c r="J282" s="1149"/>
    </row>
    <row r="283" spans="2:10">
      <c r="B283" s="276" t="s">
        <v>112</v>
      </c>
      <c r="C283" s="276" t="s">
        <v>462</v>
      </c>
      <c r="D283" s="373" t="s">
        <v>910</v>
      </c>
      <c r="E283" s="373" t="s">
        <v>1058</v>
      </c>
      <c r="F283" s="276" t="str" cm="1">
        <f t="array" ref="F283">_xlfn.XLOOKUP(1,($D$293:$D$314=B283)*($E$293:$E$314=C283),$B$293:$B$314,"Not found",0,1)</f>
        <v>2-16</v>
      </c>
      <c r="G283" s="348">
        <f t="shared" si="4"/>
        <v>5762.0803906088486</v>
      </c>
      <c r="H283" s="1121"/>
      <c r="I283" s="1149"/>
      <c r="J283" s="1149"/>
    </row>
    <row r="284" spans="2:10">
      <c r="B284" s="276" t="s">
        <v>113</v>
      </c>
      <c r="C284" s="276" t="s">
        <v>462</v>
      </c>
      <c r="D284" s="373" t="s">
        <v>910</v>
      </c>
      <c r="E284" s="373" t="s">
        <v>1058</v>
      </c>
      <c r="F284" s="276" t="str" cm="1">
        <f t="array" ref="F284">_xlfn.XLOOKUP(1,($D$293:$D$314=B284)*($E$293:$E$314=C284),$B$293:$B$314,"Not found",0,1)</f>
        <v>2-17</v>
      </c>
      <c r="G284" s="348">
        <f t="shared" si="4"/>
        <v>5762.0803906088486</v>
      </c>
      <c r="H284" s="1121"/>
      <c r="I284" s="1149"/>
      <c r="J284" s="1149"/>
    </row>
    <row r="285" spans="2:10">
      <c r="B285" s="276" t="s">
        <v>114</v>
      </c>
      <c r="C285" s="276" t="s">
        <v>462</v>
      </c>
      <c r="D285" s="373" t="s">
        <v>910</v>
      </c>
      <c r="E285" s="373" t="s">
        <v>1058</v>
      </c>
      <c r="F285" s="276" t="str" cm="1">
        <f t="array" ref="F285">_xlfn.XLOOKUP(1,($D$293:$D$314=B285)*($E$293:$E$314=C285),$B$293:$B$314,"Not found",0,1)</f>
        <v>2-18</v>
      </c>
      <c r="G285" s="348">
        <f t="shared" si="4"/>
        <v>5762.0803906088486</v>
      </c>
      <c r="H285" s="1121"/>
      <c r="I285" s="1149"/>
      <c r="J285" s="1149"/>
    </row>
    <row r="286" spans="2:10">
      <c r="B286" s="276" t="s">
        <v>115</v>
      </c>
      <c r="C286" s="276" t="s">
        <v>462</v>
      </c>
      <c r="D286" s="373" t="s">
        <v>910</v>
      </c>
      <c r="E286" s="373" t="s">
        <v>1058</v>
      </c>
      <c r="F286" s="276" t="str" cm="1">
        <f t="array" ref="F286">_xlfn.XLOOKUP(1,($D$293:$D$314=B286)*($E$293:$E$314=C286),$B$293:$B$314,"Not found",0,1)</f>
        <v>2-19</v>
      </c>
      <c r="G286" s="348">
        <f t="shared" si="4"/>
        <v>5762.0803906088486</v>
      </c>
      <c r="H286" s="1121"/>
      <c r="I286" s="1149"/>
      <c r="J286" s="1149"/>
    </row>
    <row r="287" spans="2:10">
      <c r="B287" s="276" t="s">
        <v>116</v>
      </c>
      <c r="C287" s="276" t="s">
        <v>462</v>
      </c>
      <c r="D287" s="373" t="s">
        <v>910</v>
      </c>
      <c r="E287" s="373" t="s">
        <v>1058</v>
      </c>
      <c r="F287" s="276" t="str" cm="1">
        <f t="array" ref="F287">_xlfn.XLOOKUP(1,($D$293:$D$314=B287)*($E$293:$E$314=C287),$B$293:$B$314,"Not found",0,1)</f>
        <v>2-20</v>
      </c>
      <c r="G287" s="348">
        <f t="shared" si="4"/>
        <v>5762.0803906088486</v>
      </c>
      <c r="H287" s="1121"/>
      <c r="I287" s="1149"/>
      <c r="J287" s="1149"/>
    </row>
    <row r="288" spans="2:10">
      <c r="B288" s="276" t="s">
        <v>117</v>
      </c>
      <c r="C288" s="276" t="s">
        <v>462</v>
      </c>
      <c r="D288" s="373" t="s">
        <v>910</v>
      </c>
      <c r="E288" s="373" t="s">
        <v>1058</v>
      </c>
      <c r="F288" s="276" t="str" cm="1">
        <f t="array" ref="F288">_xlfn.XLOOKUP(1,($D$293:$D$314=B288)*($E$293:$E$314=C288),$B$293:$B$314,"Not found",0,1)</f>
        <v>2-21</v>
      </c>
      <c r="G288" s="348">
        <f t="shared" si="4"/>
        <v>5762.0803906088486</v>
      </c>
      <c r="H288" s="1121"/>
      <c r="I288" s="1149"/>
      <c r="J288" s="1149"/>
    </row>
    <row r="289" spans="1:23">
      <c r="B289" s="276" t="s">
        <v>118</v>
      </c>
      <c r="C289" s="276" t="s">
        <v>462</v>
      </c>
      <c r="D289" s="373" t="s">
        <v>910</v>
      </c>
      <c r="E289" s="373" t="s">
        <v>1058</v>
      </c>
      <c r="F289" s="276" t="str" cm="1">
        <f t="array" ref="F289">_xlfn.XLOOKUP(1,($D$293:$D$314=B289)*($E$293:$E$314=C289),$B$293:$B$314,"Not found",0,1)</f>
        <v>2-22</v>
      </c>
      <c r="G289" s="348">
        <f t="shared" si="4"/>
        <v>5762.0803906088486</v>
      </c>
      <c r="H289" s="1122"/>
      <c r="I289" s="1149"/>
      <c r="J289" s="1149"/>
    </row>
    <row r="290" spans="1:23">
      <c r="B290" s="30"/>
    </row>
    <row r="291" spans="1:23">
      <c r="A291" s="744"/>
      <c r="B291" s="745" t="s">
        <v>962</v>
      </c>
      <c r="C291" s="744"/>
      <c r="D291" s="744"/>
      <c r="E291" s="744"/>
      <c r="F291" s="744"/>
      <c r="G291" s="744"/>
      <c r="H291" s="744"/>
    </row>
    <row r="292" spans="1:23">
      <c r="B292" s="398" t="s">
        <v>904</v>
      </c>
      <c r="C292" s="398" t="s">
        <v>62</v>
      </c>
      <c r="D292" s="398" t="s">
        <v>902</v>
      </c>
      <c r="E292" s="398" t="s">
        <v>898</v>
      </c>
      <c r="F292" s="398" t="s">
        <v>916</v>
      </c>
      <c r="G292" s="398" t="s">
        <v>963</v>
      </c>
      <c r="H292" s="398" t="s">
        <v>964</v>
      </c>
      <c r="I292" s="398" t="s">
        <v>965</v>
      </c>
      <c r="J292" s="398" t="s">
        <v>966</v>
      </c>
      <c r="K292" s="398" t="s">
        <v>967</v>
      </c>
      <c r="L292" s="398" t="s">
        <v>968</v>
      </c>
      <c r="M292" s="398" t="s">
        <v>956</v>
      </c>
      <c r="N292" s="398" t="s">
        <v>969</v>
      </c>
      <c r="O292" s="398" t="s">
        <v>970</v>
      </c>
      <c r="P292" s="398" t="s">
        <v>927</v>
      </c>
      <c r="Q292" s="398" t="s">
        <v>913</v>
      </c>
      <c r="R292" s="398" t="s">
        <v>914</v>
      </c>
      <c r="S292" s="398" t="s">
        <v>915</v>
      </c>
      <c r="T292" s="398" t="s">
        <v>916</v>
      </c>
      <c r="U292" s="398" t="s">
        <v>917</v>
      </c>
      <c r="V292" s="398" t="s">
        <v>918</v>
      </c>
      <c r="W292" s="398" t="s">
        <v>919</v>
      </c>
    </row>
    <row r="293" spans="1:23">
      <c r="B293" s="340" t="s">
        <v>1061</v>
      </c>
      <c r="C293" s="276" t="s">
        <v>357</v>
      </c>
      <c r="D293" s="276" t="s">
        <v>106</v>
      </c>
      <c r="E293" s="276" t="s">
        <v>151</v>
      </c>
      <c r="F293" s="373">
        <f t="shared" ref="F293:F314" si="5">$E$220</f>
        <v>2023</v>
      </c>
      <c r="G293" s="373">
        <v>2022</v>
      </c>
      <c r="H293" s="276">
        <f>'COMPANY INPUT'!$C$16</f>
        <v>2023</v>
      </c>
      <c r="I293" s="276">
        <f>VLOOKUP(G293,'GDP Deflators'!$H$13:$I$86,2,FALSE)</f>
        <v>93.351699999999994</v>
      </c>
      <c r="J293" s="276">
        <f>VLOOKUP(H293,'GDP Deflators'!$H$13:$I$86,2,FALSE)</f>
        <v>100</v>
      </c>
      <c r="K293" s="402">
        <f>$D$261</f>
        <v>71</v>
      </c>
      <c r="L293" s="747">
        <f>K293*(J293/I293)</f>
        <v>76.05646174627779</v>
      </c>
      <c r="M293" s="276" t="str">
        <f t="shared" ref="M293:M314" si="6">$I$268</f>
        <v>Willingness to Accept</v>
      </c>
      <c r="N293" s="326">
        <f t="shared" ref="N293:N314" si="7">$H$268</f>
        <v>2.5</v>
      </c>
      <c r="O293" s="276" t="s">
        <v>718</v>
      </c>
      <c r="P293" s="276" t="str">
        <f t="shared" ref="P293:P314" si="8">$J$268</f>
        <v>Uses industry-wide values</v>
      </c>
      <c r="Q293" s="373">
        <f t="shared" ref="Q293:Q314" si="9">B$220</f>
        <v>16</v>
      </c>
      <c r="R293" s="373" t="str">
        <f t="shared" ref="R293:R314" si="10">C$220</f>
        <v>Ofwat (2023) PR24: Using collaborative customer research to set outcome delivery incentive rates.</v>
      </c>
      <c r="S293" s="373" t="str">
        <f t="shared" ref="S293:S314" si="11">D$220</f>
        <v>/</v>
      </c>
      <c r="T293" s="373">
        <f t="shared" ref="T293:T314" si="12">E$220</f>
        <v>2023</v>
      </c>
      <c r="U293" s="373" t="str">
        <f t="shared" ref="U293:U314" si="13">F$220</f>
        <v>UK</v>
      </c>
      <c r="V293" s="373" t="str">
        <f t="shared" ref="V293:V314" si="14">G$220</f>
        <v>England and Wales</v>
      </c>
      <c r="W293" s="373" t="str">
        <f t="shared" ref="W293:W314" si="15">H$220</f>
        <v>12,567 household interviews, 3,728 non-household interviews</v>
      </c>
    </row>
    <row r="294" spans="1:23">
      <c r="B294" s="340" t="s">
        <v>1062</v>
      </c>
      <c r="C294" s="276" t="s">
        <v>357</v>
      </c>
      <c r="D294" s="276" t="s">
        <v>109</v>
      </c>
      <c r="E294" s="276" t="s">
        <v>151</v>
      </c>
      <c r="F294" s="373">
        <f t="shared" si="5"/>
        <v>2023</v>
      </c>
      <c r="G294" s="373">
        <v>2022</v>
      </c>
      <c r="H294" s="276">
        <f>'COMPANY INPUT'!$C$16</f>
        <v>2023</v>
      </c>
      <c r="I294" s="276">
        <f>VLOOKUP(G294,'GDP Deflators'!$H$13:$I$86,2,FALSE)</f>
        <v>93.351699999999994</v>
      </c>
      <c r="J294" s="276">
        <f>VLOOKUP(H294,'GDP Deflators'!$H$13:$I$86,2,FALSE)</f>
        <v>100</v>
      </c>
      <c r="K294" s="402">
        <f>$D$261</f>
        <v>71</v>
      </c>
      <c r="L294" s="747">
        <f t="shared" ref="L294:L314" si="16">K294*(J294/I294)</f>
        <v>76.05646174627779</v>
      </c>
      <c r="M294" s="276" t="str">
        <f t="shared" si="6"/>
        <v>Willingness to Accept</v>
      </c>
      <c r="N294" s="326">
        <f t="shared" si="7"/>
        <v>2.5</v>
      </c>
      <c r="O294" s="276" t="s">
        <v>718</v>
      </c>
      <c r="P294" s="276" t="str">
        <f t="shared" si="8"/>
        <v>Uses industry-wide values</v>
      </c>
      <c r="Q294" s="373">
        <f t="shared" si="9"/>
        <v>16</v>
      </c>
      <c r="R294" s="373" t="str">
        <f t="shared" si="10"/>
        <v>Ofwat (2023) PR24: Using collaborative customer research to set outcome delivery incentive rates.</v>
      </c>
      <c r="S294" s="373" t="str">
        <f t="shared" si="11"/>
        <v>/</v>
      </c>
      <c r="T294" s="373">
        <f t="shared" si="12"/>
        <v>2023</v>
      </c>
      <c r="U294" s="373" t="str">
        <f t="shared" si="13"/>
        <v>UK</v>
      </c>
      <c r="V294" s="373" t="str">
        <f t="shared" si="14"/>
        <v>England and Wales</v>
      </c>
      <c r="W294" s="373" t="str">
        <f t="shared" si="15"/>
        <v>12,567 household interviews, 3,728 non-household interviews</v>
      </c>
    </row>
    <row r="295" spans="1:23">
      <c r="B295" s="340" t="s">
        <v>1063</v>
      </c>
      <c r="C295" s="276" t="s">
        <v>357</v>
      </c>
      <c r="D295" s="276" t="s">
        <v>110</v>
      </c>
      <c r="E295" s="276" t="s">
        <v>151</v>
      </c>
      <c r="F295" s="373">
        <f t="shared" si="5"/>
        <v>2023</v>
      </c>
      <c r="G295" s="373">
        <v>2022</v>
      </c>
      <c r="H295" s="276">
        <f>'COMPANY INPUT'!$C$16</f>
        <v>2023</v>
      </c>
      <c r="I295" s="276">
        <f>VLOOKUP(G295,'GDP Deflators'!$H$13:$I$86,2,FALSE)</f>
        <v>93.351699999999994</v>
      </c>
      <c r="J295" s="276">
        <f>VLOOKUP(H295,'GDP Deflators'!$H$13:$I$86,2,FALSE)</f>
        <v>100</v>
      </c>
      <c r="K295" s="402">
        <f>$D$261</f>
        <v>71</v>
      </c>
      <c r="L295" s="747">
        <f>K295*(J295/I295)</f>
        <v>76.05646174627779</v>
      </c>
      <c r="M295" s="276" t="str">
        <f t="shared" si="6"/>
        <v>Willingness to Accept</v>
      </c>
      <c r="N295" s="326">
        <f t="shared" si="7"/>
        <v>2.5</v>
      </c>
      <c r="O295" s="276" t="s">
        <v>718</v>
      </c>
      <c r="P295" s="276" t="str">
        <f>$J$268</f>
        <v>Uses industry-wide values</v>
      </c>
      <c r="Q295" s="373">
        <f t="shared" si="9"/>
        <v>16</v>
      </c>
      <c r="R295" s="373" t="str">
        <f t="shared" si="10"/>
        <v>Ofwat (2023) PR24: Using collaborative customer research to set outcome delivery incentive rates.</v>
      </c>
      <c r="S295" s="373" t="str">
        <f t="shared" si="11"/>
        <v>/</v>
      </c>
      <c r="T295" s="373">
        <f t="shared" si="12"/>
        <v>2023</v>
      </c>
      <c r="U295" s="373" t="str">
        <f t="shared" si="13"/>
        <v>UK</v>
      </c>
      <c r="V295" s="373" t="str">
        <f t="shared" si="14"/>
        <v>England and Wales</v>
      </c>
      <c r="W295" s="373" t="str">
        <f t="shared" si="15"/>
        <v>12,567 household interviews, 3,728 non-household interviews</v>
      </c>
    </row>
    <row r="296" spans="1:23">
      <c r="B296" s="340" t="s">
        <v>1064</v>
      </c>
      <c r="C296" s="276" t="s">
        <v>357</v>
      </c>
      <c r="D296" s="276" t="s">
        <v>111</v>
      </c>
      <c r="E296" s="276" t="s">
        <v>151</v>
      </c>
      <c r="F296" s="373">
        <f t="shared" si="5"/>
        <v>2023</v>
      </c>
      <c r="G296" s="373">
        <v>2022</v>
      </c>
      <c r="H296" s="276">
        <f>'COMPANY INPUT'!$C$16</f>
        <v>2023</v>
      </c>
      <c r="I296" s="276">
        <f>VLOOKUP(G296,'GDP Deflators'!$H$13:$I$86,2,FALSE)</f>
        <v>93.351699999999994</v>
      </c>
      <c r="J296" s="276">
        <f>VLOOKUP(H296,'GDP Deflators'!$H$13:$I$86,2,FALSE)</f>
        <v>100</v>
      </c>
      <c r="K296" s="402">
        <f>$D$261</f>
        <v>71</v>
      </c>
      <c r="L296" s="747">
        <f t="shared" si="16"/>
        <v>76.05646174627779</v>
      </c>
      <c r="M296" s="276" t="str">
        <f t="shared" si="6"/>
        <v>Willingness to Accept</v>
      </c>
      <c r="N296" s="326">
        <f t="shared" si="7"/>
        <v>2.5</v>
      </c>
      <c r="O296" s="276" t="s">
        <v>718</v>
      </c>
      <c r="P296" s="276" t="str">
        <f t="shared" si="8"/>
        <v>Uses industry-wide values</v>
      </c>
      <c r="Q296" s="373">
        <f t="shared" si="9"/>
        <v>16</v>
      </c>
      <c r="R296" s="373" t="str">
        <f t="shared" si="10"/>
        <v>Ofwat (2023) PR24: Using collaborative customer research to set outcome delivery incentive rates.</v>
      </c>
      <c r="S296" s="373" t="str">
        <f t="shared" si="11"/>
        <v>/</v>
      </c>
      <c r="T296" s="373">
        <f t="shared" si="12"/>
        <v>2023</v>
      </c>
      <c r="U296" s="373" t="str">
        <f t="shared" si="13"/>
        <v>UK</v>
      </c>
      <c r="V296" s="373" t="str">
        <f t="shared" si="14"/>
        <v>England and Wales</v>
      </c>
      <c r="W296" s="373" t="str">
        <f t="shared" si="15"/>
        <v>12,567 household interviews, 3,728 non-household interviews</v>
      </c>
    </row>
    <row r="297" spans="1:23">
      <c r="B297" s="340" t="s">
        <v>1065</v>
      </c>
      <c r="C297" s="276" t="s">
        <v>357</v>
      </c>
      <c r="D297" s="276" t="s">
        <v>112</v>
      </c>
      <c r="E297" s="276" t="s">
        <v>151</v>
      </c>
      <c r="F297" s="373">
        <f t="shared" si="5"/>
        <v>2023</v>
      </c>
      <c r="G297" s="373">
        <v>2022</v>
      </c>
      <c r="H297" s="276">
        <f>'COMPANY INPUT'!$C$16</f>
        <v>2023</v>
      </c>
      <c r="I297" s="276">
        <f>VLOOKUP(G297,'GDP Deflators'!$H$13:$I$86,2,FALSE)</f>
        <v>93.351699999999994</v>
      </c>
      <c r="J297" s="276">
        <f>VLOOKUP(H297,'GDP Deflators'!$H$13:$I$86,2,FALSE)</f>
        <v>100</v>
      </c>
      <c r="K297" s="402">
        <f t="shared" ref="K297:K303" si="17">$D$262</f>
        <v>71</v>
      </c>
      <c r="L297" s="747">
        <f t="shared" si="16"/>
        <v>76.05646174627779</v>
      </c>
      <c r="M297" s="276" t="str">
        <f t="shared" si="6"/>
        <v>Willingness to Accept</v>
      </c>
      <c r="N297" s="326">
        <f t="shared" si="7"/>
        <v>2.5</v>
      </c>
      <c r="O297" s="276" t="s">
        <v>718</v>
      </c>
      <c r="P297" s="276" t="str">
        <f t="shared" si="8"/>
        <v>Uses industry-wide values</v>
      </c>
      <c r="Q297" s="373">
        <f t="shared" si="9"/>
        <v>16</v>
      </c>
      <c r="R297" s="373" t="str">
        <f t="shared" si="10"/>
        <v>Ofwat (2023) PR24: Using collaborative customer research to set outcome delivery incentive rates.</v>
      </c>
      <c r="S297" s="373" t="str">
        <f t="shared" si="11"/>
        <v>/</v>
      </c>
      <c r="T297" s="373">
        <f t="shared" si="12"/>
        <v>2023</v>
      </c>
      <c r="U297" s="373" t="str">
        <f t="shared" si="13"/>
        <v>UK</v>
      </c>
      <c r="V297" s="373" t="str">
        <f t="shared" si="14"/>
        <v>England and Wales</v>
      </c>
      <c r="W297" s="373" t="str">
        <f t="shared" si="15"/>
        <v>12,567 household interviews, 3,728 non-household interviews</v>
      </c>
    </row>
    <row r="298" spans="1:23">
      <c r="B298" s="340" t="s">
        <v>1066</v>
      </c>
      <c r="C298" s="276" t="s">
        <v>357</v>
      </c>
      <c r="D298" s="276" t="s">
        <v>113</v>
      </c>
      <c r="E298" s="276" t="s">
        <v>151</v>
      </c>
      <c r="F298" s="373">
        <f t="shared" si="5"/>
        <v>2023</v>
      </c>
      <c r="G298" s="373">
        <v>2022</v>
      </c>
      <c r="H298" s="276">
        <f>'COMPANY INPUT'!$C$16</f>
        <v>2023</v>
      </c>
      <c r="I298" s="276">
        <f>VLOOKUP(G298,'GDP Deflators'!$H$13:$I$86,2,FALSE)</f>
        <v>93.351699999999994</v>
      </c>
      <c r="J298" s="276">
        <f>VLOOKUP(H298,'GDP Deflators'!$H$13:$I$86,2,FALSE)</f>
        <v>100</v>
      </c>
      <c r="K298" s="402">
        <f t="shared" si="17"/>
        <v>71</v>
      </c>
      <c r="L298" s="747">
        <f t="shared" si="16"/>
        <v>76.05646174627779</v>
      </c>
      <c r="M298" s="276" t="str">
        <f t="shared" si="6"/>
        <v>Willingness to Accept</v>
      </c>
      <c r="N298" s="326">
        <f t="shared" si="7"/>
        <v>2.5</v>
      </c>
      <c r="O298" s="276" t="s">
        <v>718</v>
      </c>
      <c r="P298" s="276" t="str">
        <f t="shared" si="8"/>
        <v>Uses industry-wide values</v>
      </c>
      <c r="Q298" s="373">
        <f t="shared" si="9"/>
        <v>16</v>
      </c>
      <c r="R298" s="373" t="str">
        <f t="shared" si="10"/>
        <v>Ofwat (2023) PR24: Using collaborative customer research to set outcome delivery incentive rates.</v>
      </c>
      <c r="S298" s="373" t="str">
        <f t="shared" si="11"/>
        <v>/</v>
      </c>
      <c r="T298" s="373">
        <f t="shared" si="12"/>
        <v>2023</v>
      </c>
      <c r="U298" s="373" t="str">
        <f t="shared" si="13"/>
        <v>UK</v>
      </c>
      <c r="V298" s="373" t="str">
        <f t="shared" si="14"/>
        <v>England and Wales</v>
      </c>
      <c r="W298" s="373" t="str">
        <f t="shared" si="15"/>
        <v>12,567 household interviews, 3,728 non-household interviews</v>
      </c>
    </row>
    <row r="299" spans="1:23">
      <c r="B299" s="340" t="s">
        <v>1067</v>
      </c>
      <c r="C299" s="276" t="s">
        <v>357</v>
      </c>
      <c r="D299" s="276" t="s">
        <v>114</v>
      </c>
      <c r="E299" s="276" t="s">
        <v>151</v>
      </c>
      <c r="F299" s="373">
        <f t="shared" si="5"/>
        <v>2023</v>
      </c>
      <c r="G299" s="373">
        <v>2022</v>
      </c>
      <c r="H299" s="276">
        <f>'COMPANY INPUT'!$C$16</f>
        <v>2023</v>
      </c>
      <c r="I299" s="276">
        <f>VLOOKUP(G299,'GDP Deflators'!$H$13:$I$86,2,FALSE)</f>
        <v>93.351699999999994</v>
      </c>
      <c r="J299" s="276">
        <f>VLOOKUP(H299,'GDP Deflators'!$H$13:$I$86,2,FALSE)</f>
        <v>100</v>
      </c>
      <c r="K299" s="402">
        <f t="shared" si="17"/>
        <v>71</v>
      </c>
      <c r="L299" s="747">
        <f t="shared" si="16"/>
        <v>76.05646174627779</v>
      </c>
      <c r="M299" s="276" t="str">
        <f t="shared" si="6"/>
        <v>Willingness to Accept</v>
      </c>
      <c r="N299" s="326">
        <f t="shared" si="7"/>
        <v>2.5</v>
      </c>
      <c r="O299" s="276" t="s">
        <v>718</v>
      </c>
      <c r="P299" s="276" t="str">
        <f t="shared" si="8"/>
        <v>Uses industry-wide values</v>
      </c>
      <c r="Q299" s="373">
        <f t="shared" si="9"/>
        <v>16</v>
      </c>
      <c r="R299" s="373" t="str">
        <f t="shared" si="10"/>
        <v>Ofwat (2023) PR24: Using collaborative customer research to set outcome delivery incentive rates.</v>
      </c>
      <c r="S299" s="373" t="str">
        <f t="shared" si="11"/>
        <v>/</v>
      </c>
      <c r="T299" s="373">
        <f t="shared" si="12"/>
        <v>2023</v>
      </c>
      <c r="U299" s="373" t="str">
        <f t="shared" si="13"/>
        <v>UK</v>
      </c>
      <c r="V299" s="373" t="str">
        <f t="shared" si="14"/>
        <v>England and Wales</v>
      </c>
      <c r="W299" s="373" t="str">
        <f t="shared" si="15"/>
        <v>12,567 household interviews, 3,728 non-household interviews</v>
      </c>
    </row>
    <row r="300" spans="1:23">
      <c r="B300" s="340" t="s">
        <v>1068</v>
      </c>
      <c r="C300" s="276" t="s">
        <v>357</v>
      </c>
      <c r="D300" s="276" t="s">
        <v>115</v>
      </c>
      <c r="E300" s="276" t="s">
        <v>151</v>
      </c>
      <c r="F300" s="373">
        <f t="shared" si="5"/>
        <v>2023</v>
      </c>
      <c r="G300" s="373">
        <v>2022</v>
      </c>
      <c r="H300" s="276">
        <f>'COMPANY INPUT'!$C$16</f>
        <v>2023</v>
      </c>
      <c r="I300" s="276">
        <f>VLOOKUP(G300,'GDP Deflators'!$H$13:$I$86,2,FALSE)</f>
        <v>93.351699999999994</v>
      </c>
      <c r="J300" s="276">
        <f>VLOOKUP(H300,'GDP Deflators'!$H$13:$I$86,2,FALSE)</f>
        <v>100</v>
      </c>
      <c r="K300" s="402">
        <f t="shared" si="17"/>
        <v>71</v>
      </c>
      <c r="L300" s="747">
        <f t="shared" si="16"/>
        <v>76.05646174627779</v>
      </c>
      <c r="M300" s="276" t="str">
        <f t="shared" si="6"/>
        <v>Willingness to Accept</v>
      </c>
      <c r="N300" s="326">
        <f t="shared" si="7"/>
        <v>2.5</v>
      </c>
      <c r="O300" s="276" t="s">
        <v>718</v>
      </c>
      <c r="P300" s="276" t="str">
        <f t="shared" si="8"/>
        <v>Uses industry-wide values</v>
      </c>
      <c r="Q300" s="373">
        <f t="shared" si="9"/>
        <v>16</v>
      </c>
      <c r="R300" s="373" t="str">
        <f t="shared" si="10"/>
        <v>Ofwat (2023) PR24: Using collaborative customer research to set outcome delivery incentive rates.</v>
      </c>
      <c r="S300" s="373" t="str">
        <f t="shared" si="11"/>
        <v>/</v>
      </c>
      <c r="T300" s="373">
        <f t="shared" si="12"/>
        <v>2023</v>
      </c>
      <c r="U300" s="373" t="str">
        <f t="shared" si="13"/>
        <v>UK</v>
      </c>
      <c r="V300" s="373" t="str">
        <f t="shared" si="14"/>
        <v>England and Wales</v>
      </c>
      <c r="W300" s="373" t="str">
        <f t="shared" si="15"/>
        <v>12,567 household interviews, 3,728 non-household interviews</v>
      </c>
    </row>
    <row r="301" spans="1:23">
      <c r="B301" s="340" t="s">
        <v>1069</v>
      </c>
      <c r="C301" s="276" t="s">
        <v>357</v>
      </c>
      <c r="D301" s="276" t="s">
        <v>116</v>
      </c>
      <c r="E301" s="276" t="s">
        <v>151</v>
      </c>
      <c r="F301" s="373">
        <f t="shared" si="5"/>
        <v>2023</v>
      </c>
      <c r="G301" s="373">
        <v>2022</v>
      </c>
      <c r="H301" s="276">
        <f>'COMPANY INPUT'!$C$16</f>
        <v>2023</v>
      </c>
      <c r="I301" s="276">
        <f>VLOOKUP(G301,'GDP Deflators'!$H$13:$I$86,2,FALSE)</f>
        <v>93.351699999999994</v>
      </c>
      <c r="J301" s="276">
        <f>VLOOKUP(H301,'GDP Deflators'!$H$13:$I$86,2,FALSE)</f>
        <v>100</v>
      </c>
      <c r="K301" s="402">
        <f t="shared" si="17"/>
        <v>71</v>
      </c>
      <c r="L301" s="747">
        <f t="shared" si="16"/>
        <v>76.05646174627779</v>
      </c>
      <c r="M301" s="276" t="str">
        <f t="shared" si="6"/>
        <v>Willingness to Accept</v>
      </c>
      <c r="N301" s="326">
        <f t="shared" si="7"/>
        <v>2.5</v>
      </c>
      <c r="O301" s="276" t="s">
        <v>718</v>
      </c>
      <c r="P301" s="276" t="str">
        <f t="shared" si="8"/>
        <v>Uses industry-wide values</v>
      </c>
      <c r="Q301" s="373">
        <f t="shared" si="9"/>
        <v>16</v>
      </c>
      <c r="R301" s="373" t="str">
        <f t="shared" si="10"/>
        <v>Ofwat (2023) PR24: Using collaborative customer research to set outcome delivery incentive rates.</v>
      </c>
      <c r="S301" s="373" t="str">
        <f t="shared" si="11"/>
        <v>/</v>
      </c>
      <c r="T301" s="373">
        <f t="shared" si="12"/>
        <v>2023</v>
      </c>
      <c r="U301" s="373" t="str">
        <f t="shared" si="13"/>
        <v>UK</v>
      </c>
      <c r="V301" s="373" t="str">
        <f t="shared" si="14"/>
        <v>England and Wales</v>
      </c>
      <c r="W301" s="373" t="str">
        <f t="shared" si="15"/>
        <v>12,567 household interviews, 3,728 non-household interviews</v>
      </c>
    </row>
    <row r="302" spans="1:23">
      <c r="B302" s="340" t="s">
        <v>1070</v>
      </c>
      <c r="C302" s="276" t="s">
        <v>357</v>
      </c>
      <c r="D302" s="276" t="s">
        <v>117</v>
      </c>
      <c r="E302" s="276" t="s">
        <v>151</v>
      </c>
      <c r="F302" s="373">
        <f t="shared" si="5"/>
        <v>2023</v>
      </c>
      <c r="G302" s="373">
        <v>2022</v>
      </c>
      <c r="H302" s="276">
        <f>'COMPANY INPUT'!$C$16</f>
        <v>2023</v>
      </c>
      <c r="I302" s="276">
        <f>VLOOKUP(G302,'GDP Deflators'!$H$13:$I$86,2,FALSE)</f>
        <v>93.351699999999994</v>
      </c>
      <c r="J302" s="276">
        <f>VLOOKUP(H302,'GDP Deflators'!$H$13:$I$86,2,FALSE)</f>
        <v>100</v>
      </c>
      <c r="K302" s="402">
        <f t="shared" si="17"/>
        <v>71</v>
      </c>
      <c r="L302" s="747">
        <f t="shared" si="16"/>
        <v>76.05646174627779</v>
      </c>
      <c r="M302" s="276" t="str">
        <f t="shared" si="6"/>
        <v>Willingness to Accept</v>
      </c>
      <c r="N302" s="326">
        <f t="shared" si="7"/>
        <v>2.5</v>
      </c>
      <c r="O302" s="276" t="s">
        <v>718</v>
      </c>
      <c r="P302" s="276" t="str">
        <f t="shared" si="8"/>
        <v>Uses industry-wide values</v>
      </c>
      <c r="Q302" s="373">
        <f t="shared" si="9"/>
        <v>16</v>
      </c>
      <c r="R302" s="373" t="str">
        <f t="shared" si="10"/>
        <v>Ofwat (2023) PR24: Using collaborative customer research to set outcome delivery incentive rates.</v>
      </c>
      <c r="S302" s="373" t="str">
        <f t="shared" si="11"/>
        <v>/</v>
      </c>
      <c r="T302" s="373">
        <f t="shared" si="12"/>
        <v>2023</v>
      </c>
      <c r="U302" s="373" t="str">
        <f t="shared" si="13"/>
        <v>UK</v>
      </c>
      <c r="V302" s="373" t="str">
        <f t="shared" si="14"/>
        <v>England and Wales</v>
      </c>
      <c r="W302" s="373" t="str">
        <f t="shared" si="15"/>
        <v>12,567 household interviews, 3,728 non-household interviews</v>
      </c>
    </row>
    <row r="303" spans="1:23">
      <c r="B303" s="340" t="s">
        <v>1071</v>
      </c>
      <c r="C303" s="276" t="s">
        <v>357</v>
      </c>
      <c r="D303" s="276" t="s">
        <v>118</v>
      </c>
      <c r="E303" s="276" t="s">
        <v>151</v>
      </c>
      <c r="F303" s="373">
        <f t="shared" si="5"/>
        <v>2023</v>
      </c>
      <c r="G303" s="373">
        <v>2022</v>
      </c>
      <c r="H303" s="276">
        <f>'COMPANY INPUT'!$C$16</f>
        <v>2023</v>
      </c>
      <c r="I303" s="276">
        <f>VLOOKUP(G303,'GDP Deflators'!$H$13:$I$86,2,FALSE)</f>
        <v>93.351699999999994</v>
      </c>
      <c r="J303" s="276">
        <f>VLOOKUP(H303,'GDP Deflators'!$H$13:$I$86,2,FALSE)</f>
        <v>100</v>
      </c>
      <c r="K303" s="402">
        <f t="shared" si="17"/>
        <v>71</v>
      </c>
      <c r="L303" s="747">
        <f t="shared" si="16"/>
        <v>76.05646174627779</v>
      </c>
      <c r="M303" s="276" t="str">
        <f t="shared" si="6"/>
        <v>Willingness to Accept</v>
      </c>
      <c r="N303" s="326">
        <f t="shared" si="7"/>
        <v>2.5</v>
      </c>
      <c r="O303" s="276" t="s">
        <v>718</v>
      </c>
      <c r="P303" s="276" t="str">
        <f t="shared" si="8"/>
        <v>Uses industry-wide values</v>
      </c>
      <c r="Q303" s="373">
        <f t="shared" si="9"/>
        <v>16</v>
      </c>
      <c r="R303" s="373" t="str">
        <f t="shared" si="10"/>
        <v>Ofwat (2023) PR24: Using collaborative customer research to set outcome delivery incentive rates.</v>
      </c>
      <c r="S303" s="373" t="str">
        <f t="shared" si="11"/>
        <v>/</v>
      </c>
      <c r="T303" s="373">
        <f t="shared" si="12"/>
        <v>2023</v>
      </c>
      <c r="U303" s="373" t="str">
        <f t="shared" si="13"/>
        <v>UK</v>
      </c>
      <c r="V303" s="373" t="str">
        <f t="shared" si="14"/>
        <v>England and Wales</v>
      </c>
      <c r="W303" s="373" t="str">
        <f t="shared" si="15"/>
        <v>12,567 household interviews, 3,728 non-household interviews</v>
      </c>
    </row>
    <row r="304" spans="1:23">
      <c r="B304" s="340" t="s">
        <v>1072</v>
      </c>
      <c r="C304" s="276" t="s">
        <v>357</v>
      </c>
      <c r="D304" s="276" t="s">
        <v>106</v>
      </c>
      <c r="E304" s="276" t="s">
        <v>462</v>
      </c>
      <c r="F304" s="373">
        <f t="shared" si="5"/>
        <v>2023</v>
      </c>
      <c r="G304" s="373">
        <v>2022</v>
      </c>
      <c r="H304" s="276">
        <f>'COMPANY INPUT'!$C$16</f>
        <v>2023</v>
      </c>
      <c r="I304" s="276">
        <f>VLOOKUP(G304,'GDP Deflators'!$H$13:$I$86,2,FALSE)</f>
        <v>93.351699999999994</v>
      </c>
      <c r="J304" s="276">
        <f>VLOOKUP(H304,'GDP Deflators'!$H$13:$I$86,2,FALSE)</f>
        <v>100</v>
      </c>
      <c r="K304" s="402">
        <f>$D$263</f>
        <v>4393</v>
      </c>
      <c r="L304" s="747">
        <f t="shared" si="16"/>
        <v>4705.8596683295546</v>
      </c>
      <c r="M304" s="276" t="str">
        <f t="shared" si="6"/>
        <v>Willingness to Accept</v>
      </c>
      <c r="N304" s="326">
        <f t="shared" si="7"/>
        <v>2.5</v>
      </c>
      <c r="O304" s="276" t="s">
        <v>718</v>
      </c>
      <c r="P304" s="276" t="str">
        <f t="shared" si="8"/>
        <v>Uses industry-wide values</v>
      </c>
      <c r="Q304" s="373">
        <f t="shared" si="9"/>
        <v>16</v>
      </c>
      <c r="R304" s="373" t="str">
        <f t="shared" si="10"/>
        <v>Ofwat (2023) PR24: Using collaborative customer research to set outcome delivery incentive rates.</v>
      </c>
      <c r="S304" s="373" t="str">
        <f t="shared" si="11"/>
        <v>/</v>
      </c>
      <c r="T304" s="373">
        <f t="shared" si="12"/>
        <v>2023</v>
      </c>
      <c r="U304" s="373" t="str">
        <f t="shared" si="13"/>
        <v>UK</v>
      </c>
      <c r="V304" s="373" t="str">
        <f t="shared" si="14"/>
        <v>England and Wales</v>
      </c>
      <c r="W304" s="373" t="str">
        <f t="shared" si="15"/>
        <v>12,567 household interviews, 3,728 non-household interviews</v>
      </c>
    </row>
    <row r="305" spans="2:23">
      <c r="B305" s="340" t="s">
        <v>1073</v>
      </c>
      <c r="C305" s="276" t="s">
        <v>357</v>
      </c>
      <c r="D305" s="276" t="s">
        <v>109</v>
      </c>
      <c r="E305" s="276" t="s">
        <v>462</v>
      </c>
      <c r="F305" s="373">
        <f t="shared" si="5"/>
        <v>2023</v>
      </c>
      <c r="G305" s="373">
        <v>2022</v>
      </c>
      <c r="H305" s="276">
        <f>'COMPANY INPUT'!$C$16</f>
        <v>2023</v>
      </c>
      <c r="I305" s="276">
        <f>VLOOKUP(G305,'GDP Deflators'!$H$13:$I$86,2,FALSE)</f>
        <v>93.351699999999994</v>
      </c>
      <c r="J305" s="276">
        <f>VLOOKUP(H305,'GDP Deflators'!$H$13:$I$86,2,FALSE)</f>
        <v>100</v>
      </c>
      <c r="K305" s="402">
        <f>$D$263</f>
        <v>4393</v>
      </c>
      <c r="L305" s="747">
        <f t="shared" si="16"/>
        <v>4705.8596683295546</v>
      </c>
      <c r="M305" s="276" t="str">
        <f t="shared" si="6"/>
        <v>Willingness to Accept</v>
      </c>
      <c r="N305" s="326">
        <f t="shared" si="7"/>
        <v>2.5</v>
      </c>
      <c r="O305" s="276" t="s">
        <v>718</v>
      </c>
      <c r="P305" s="276" t="str">
        <f t="shared" si="8"/>
        <v>Uses industry-wide values</v>
      </c>
      <c r="Q305" s="373">
        <f t="shared" si="9"/>
        <v>16</v>
      </c>
      <c r="R305" s="373" t="str">
        <f t="shared" si="10"/>
        <v>Ofwat (2023) PR24: Using collaborative customer research to set outcome delivery incentive rates.</v>
      </c>
      <c r="S305" s="373" t="str">
        <f t="shared" si="11"/>
        <v>/</v>
      </c>
      <c r="T305" s="373">
        <f t="shared" si="12"/>
        <v>2023</v>
      </c>
      <c r="U305" s="373" t="str">
        <f t="shared" si="13"/>
        <v>UK</v>
      </c>
      <c r="V305" s="373" t="str">
        <f t="shared" si="14"/>
        <v>England and Wales</v>
      </c>
      <c r="W305" s="373" t="str">
        <f t="shared" si="15"/>
        <v>12,567 household interviews, 3,728 non-household interviews</v>
      </c>
    </row>
    <row r="306" spans="2:23">
      <c r="B306" s="340" t="s">
        <v>1074</v>
      </c>
      <c r="C306" s="276" t="s">
        <v>357</v>
      </c>
      <c r="D306" s="276" t="s">
        <v>110</v>
      </c>
      <c r="E306" s="276" t="s">
        <v>462</v>
      </c>
      <c r="F306" s="373">
        <f t="shared" si="5"/>
        <v>2023</v>
      </c>
      <c r="G306" s="373">
        <v>2022</v>
      </c>
      <c r="H306" s="276">
        <f>'COMPANY INPUT'!$C$16</f>
        <v>2023</v>
      </c>
      <c r="I306" s="276">
        <f>VLOOKUP(G306,'GDP Deflators'!$H$13:$I$86,2,FALSE)</f>
        <v>93.351699999999994</v>
      </c>
      <c r="J306" s="276">
        <f>VLOOKUP(H306,'GDP Deflators'!$H$13:$I$86,2,FALSE)</f>
        <v>100</v>
      </c>
      <c r="K306" s="402">
        <f>$D$263</f>
        <v>4393</v>
      </c>
      <c r="L306" s="747">
        <f t="shared" si="16"/>
        <v>4705.8596683295546</v>
      </c>
      <c r="M306" s="276" t="str">
        <f t="shared" si="6"/>
        <v>Willingness to Accept</v>
      </c>
      <c r="N306" s="326">
        <f t="shared" si="7"/>
        <v>2.5</v>
      </c>
      <c r="O306" s="276" t="s">
        <v>718</v>
      </c>
      <c r="P306" s="276" t="str">
        <f t="shared" si="8"/>
        <v>Uses industry-wide values</v>
      </c>
      <c r="Q306" s="373">
        <f t="shared" si="9"/>
        <v>16</v>
      </c>
      <c r="R306" s="373" t="str">
        <f t="shared" si="10"/>
        <v>Ofwat (2023) PR24: Using collaborative customer research to set outcome delivery incentive rates.</v>
      </c>
      <c r="S306" s="373" t="str">
        <f t="shared" si="11"/>
        <v>/</v>
      </c>
      <c r="T306" s="373">
        <f t="shared" si="12"/>
        <v>2023</v>
      </c>
      <c r="U306" s="373" t="str">
        <f t="shared" si="13"/>
        <v>UK</v>
      </c>
      <c r="V306" s="373" t="str">
        <f t="shared" si="14"/>
        <v>England and Wales</v>
      </c>
      <c r="W306" s="373" t="str">
        <f t="shared" si="15"/>
        <v>12,567 household interviews, 3,728 non-household interviews</v>
      </c>
    </row>
    <row r="307" spans="2:23">
      <c r="B307" s="340" t="s">
        <v>1075</v>
      </c>
      <c r="C307" s="276" t="s">
        <v>357</v>
      </c>
      <c r="D307" s="276" t="s">
        <v>111</v>
      </c>
      <c r="E307" s="276" t="s">
        <v>462</v>
      </c>
      <c r="F307" s="373">
        <f t="shared" si="5"/>
        <v>2023</v>
      </c>
      <c r="G307" s="373">
        <v>2022</v>
      </c>
      <c r="H307" s="276">
        <f>'COMPANY INPUT'!$C$16</f>
        <v>2023</v>
      </c>
      <c r="I307" s="276">
        <f>VLOOKUP(G307,'GDP Deflators'!$H$13:$I$86,2,FALSE)</f>
        <v>93.351699999999994</v>
      </c>
      <c r="J307" s="276">
        <f>VLOOKUP(H307,'GDP Deflators'!$H$13:$I$86,2,FALSE)</f>
        <v>100</v>
      </c>
      <c r="K307" s="402">
        <f>$D$263</f>
        <v>4393</v>
      </c>
      <c r="L307" s="747">
        <f t="shared" si="16"/>
        <v>4705.8596683295546</v>
      </c>
      <c r="M307" s="276" t="str">
        <f t="shared" si="6"/>
        <v>Willingness to Accept</v>
      </c>
      <c r="N307" s="326">
        <f t="shared" si="7"/>
        <v>2.5</v>
      </c>
      <c r="O307" s="276" t="s">
        <v>718</v>
      </c>
      <c r="P307" s="276" t="str">
        <f t="shared" si="8"/>
        <v>Uses industry-wide values</v>
      </c>
      <c r="Q307" s="373">
        <f t="shared" si="9"/>
        <v>16</v>
      </c>
      <c r="R307" s="373" t="str">
        <f t="shared" si="10"/>
        <v>Ofwat (2023) PR24: Using collaborative customer research to set outcome delivery incentive rates.</v>
      </c>
      <c r="S307" s="373" t="str">
        <f t="shared" si="11"/>
        <v>/</v>
      </c>
      <c r="T307" s="373">
        <f t="shared" si="12"/>
        <v>2023</v>
      </c>
      <c r="U307" s="373" t="str">
        <f t="shared" si="13"/>
        <v>UK</v>
      </c>
      <c r="V307" s="373" t="str">
        <f t="shared" si="14"/>
        <v>England and Wales</v>
      </c>
      <c r="W307" s="373" t="str">
        <f t="shared" si="15"/>
        <v>12,567 household interviews, 3,728 non-household interviews</v>
      </c>
    </row>
    <row r="308" spans="2:23">
      <c r="B308" s="340" t="s">
        <v>1076</v>
      </c>
      <c r="C308" s="276" t="s">
        <v>357</v>
      </c>
      <c r="D308" s="276" t="s">
        <v>112</v>
      </c>
      <c r="E308" s="276" t="s">
        <v>462</v>
      </c>
      <c r="F308" s="373">
        <f t="shared" si="5"/>
        <v>2023</v>
      </c>
      <c r="G308" s="373">
        <v>2022</v>
      </c>
      <c r="H308" s="276">
        <f>'COMPANY INPUT'!$C$16</f>
        <v>2023</v>
      </c>
      <c r="I308" s="276">
        <f>VLOOKUP(G308,'GDP Deflators'!$H$13:$I$86,2,FALSE)</f>
        <v>93.351699999999994</v>
      </c>
      <c r="J308" s="276">
        <f>VLOOKUP(H308,'GDP Deflators'!$H$13:$I$86,2,FALSE)</f>
        <v>100</v>
      </c>
      <c r="K308" s="402">
        <f t="shared" ref="K308:K314" si="18">$D$264</f>
        <v>5379</v>
      </c>
      <c r="L308" s="747">
        <f t="shared" si="16"/>
        <v>5762.0803906088486</v>
      </c>
      <c r="M308" s="276" t="str">
        <f t="shared" si="6"/>
        <v>Willingness to Accept</v>
      </c>
      <c r="N308" s="326">
        <f t="shared" si="7"/>
        <v>2.5</v>
      </c>
      <c r="O308" s="276" t="s">
        <v>718</v>
      </c>
      <c r="P308" s="276" t="str">
        <f t="shared" si="8"/>
        <v>Uses industry-wide values</v>
      </c>
      <c r="Q308" s="373">
        <f t="shared" si="9"/>
        <v>16</v>
      </c>
      <c r="R308" s="373" t="str">
        <f t="shared" si="10"/>
        <v>Ofwat (2023) PR24: Using collaborative customer research to set outcome delivery incentive rates.</v>
      </c>
      <c r="S308" s="373" t="str">
        <f t="shared" si="11"/>
        <v>/</v>
      </c>
      <c r="T308" s="373">
        <f t="shared" si="12"/>
        <v>2023</v>
      </c>
      <c r="U308" s="373" t="str">
        <f t="shared" si="13"/>
        <v>UK</v>
      </c>
      <c r="V308" s="373" t="str">
        <f t="shared" si="14"/>
        <v>England and Wales</v>
      </c>
      <c r="W308" s="373" t="str">
        <f t="shared" si="15"/>
        <v>12,567 household interviews, 3,728 non-household interviews</v>
      </c>
    </row>
    <row r="309" spans="2:23">
      <c r="B309" s="340" t="s">
        <v>1077</v>
      </c>
      <c r="C309" s="276" t="s">
        <v>357</v>
      </c>
      <c r="D309" s="276" t="s">
        <v>113</v>
      </c>
      <c r="E309" s="276" t="s">
        <v>462</v>
      </c>
      <c r="F309" s="373">
        <f t="shared" si="5"/>
        <v>2023</v>
      </c>
      <c r="G309" s="373">
        <v>2022</v>
      </c>
      <c r="H309" s="276">
        <f>'COMPANY INPUT'!$C$16</f>
        <v>2023</v>
      </c>
      <c r="I309" s="276">
        <f>VLOOKUP(G309,'GDP Deflators'!$H$13:$I$86,2,FALSE)</f>
        <v>93.351699999999994</v>
      </c>
      <c r="J309" s="276">
        <f>VLOOKUP(H309,'GDP Deflators'!$H$13:$I$86,2,FALSE)</f>
        <v>100</v>
      </c>
      <c r="K309" s="402">
        <f t="shared" si="18"/>
        <v>5379</v>
      </c>
      <c r="L309" s="747">
        <f t="shared" si="16"/>
        <v>5762.0803906088486</v>
      </c>
      <c r="M309" s="276" t="str">
        <f t="shared" si="6"/>
        <v>Willingness to Accept</v>
      </c>
      <c r="N309" s="326">
        <f t="shared" si="7"/>
        <v>2.5</v>
      </c>
      <c r="O309" s="276" t="s">
        <v>718</v>
      </c>
      <c r="P309" s="276" t="str">
        <f t="shared" si="8"/>
        <v>Uses industry-wide values</v>
      </c>
      <c r="Q309" s="373">
        <f t="shared" si="9"/>
        <v>16</v>
      </c>
      <c r="R309" s="373" t="str">
        <f t="shared" si="10"/>
        <v>Ofwat (2023) PR24: Using collaborative customer research to set outcome delivery incentive rates.</v>
      </c>
      <c r="S309" s="373" t="str">
        <f t="shared" si="11"/>
        <v>/</v>
      </c>
      <c r="T309" s="373">
        <f t="shared" si="12"/>
        <v>2023</v>
      </c>
      <c r="U309" s="373" t="str">
        <f t="shared" si="13"/>
        <v>UK</v>
      </c>
      <c r="V309" s="373" t="str">
        <f t="shared" si="14"/>
        <v>England and Wales</v>
      </c>
      <c r="W309" s="373" t="str">
        <f t="shared" si="15"/>
        <v>12,567 household interviews, 3,728 non-household interviews</v>
      </c>
    </row>
    <row r="310" spans="2:23">
      <c r="B310" s="340" t="s">
        <v>1078</v>
      </c>
      <c r="C310" s="276" t="s">
        <v>357</v>
      </c>
      <c r="D310" s="276" t="s">
        <v>114</v>
      </c>
      <c r="E310" s="276" t="s">
        <v>462</v>
      </c>
      <c r="F310" s="373">
        <f t="shared" si="5"/>
        <v>2023</v>
      </c>
      <c r="G310" s="373">
        <v>2022</v>
      </c>
      <c r="H310" s="276">
        <f>'COMPANY INPUT'!$C$16</f>
        <v>2023</v>
      </c>
      <c r="I310" s="276">
        <f>VLOOKUP(G310,'GDP Deflators'!$H$13:$I$86,2,FALSE)</f>
        <v>93.351699999999994</v>
      </c>
      <c r="J310" s="276">
        <f>VLOOKUP(H310,'GDP Deflators'!$H$13:$I$86,2,FALSE)</f>
        <v>100</v>
      </c>
      <c r="K310" s="402">
        <f t="shared" si="18"/>
        <v>5379</v>
      </c>
      <c r="L310" s="747">
        <f t="shared" si="16"/>
        <v>5762.0803906088486</v>
      </c>
      <c r="M310" s="276" t="str">
        <f t="shared" si="6"/>
        <v>Willingness to Accept</v>
      </c>
      <c r="N310" s="326">
        <f t="shared" si="7"/>
        <v>2.5</v>
      </c>
      <c r="O310" s="276" t="s">
        <v>718</v>
      </c>
      <c r="P310" s="276" t="str">
        <f t="shared" si="8"/>
        <v>Uses industry-wide values</v>
      </c>
      <c r="Q310" s="373">
        <f t="shared" si="9"/>
        <v>16</v>
      </c>
      <c r="R310" s="373" t="str">
        <f t="shared" si="10"/>
        <v>Ofwat (2023) PR24: Using collaborative customer research to set outcome delivery incentive rates.</v>
      </c>
      <c r="S310" s="373" t="str">
        <f t="shared" si="11"/>
        <v>/</v>
      </c>
      <c r="T310" s="373">
        <f t="shared" si="12"/>
        <v>2023</v>
      </c>
      <c r="U310" s="373" t="str">
        <f t="shared" si="13"/>
        <v>UK</v>
      </c>
      <c r="V310" s="373" t="str">
        <f t="shared" si="14"/>
        <v>England and Wales</v>
      </c>
      <c r="W310" s="373" t="str">
        <f t="shared" si="15"/>
        <v>12,567 household interviews, 3,728 non-household interviews</v>
      </c>
    </row>
    <row r="311" spans="2:23">
      <c r="B311" s="340" t="s">
        <v>1079</v>
      </c>
      <c r="C311" s="276" t="s">
        <v>357</v>
      </c>
      <c r="D311" s="276" t="s">
        <v>115</v>
      </c>
      <c r="E311" s="276" t="s">
        <v>462</v>
      </c>
      <c r="F311" s="373">
        <f t="shared" si="5"/>
        <v>2023</v>
      </c>
      <c r="G311" s="373">
        <v>2022</v>
      </c>
      <c r="H311" s="276">
        <f>'COMPANY INPUT'!$C$16</f>
        <v>2023</v>
      </c>
      <c r="I311" s="276">
        <f>VLOOKUP(G311,'GDP Deflators'!$H$13:$I$86,2,FALSE)</f>
        <v>93.351699999999994</v>
      </c>
      <c r="J311" s="276">
        <f>VLOOKUP(H311,'GDP Deflators'!$H$13:$I$86,2,FALSE)</f>
        <v>100</v>
      </c>
      <c r="K311" s="402">
        <f t="shared" si="18"/>
        <v>5379</v>
      </c>
      <c r="L311" s="747">
        <f t="shared" si="16"/>
        <v>5762.0803906088486</v>
      </c>
      <c r="M311" s="276" t="str">
        <f t="shared" si="6"/>
        <v>Willingness to Accept</v>
      </c>
      <c r="N311" s="326">
        <f t="shared" si="7"/>
        <v>2.5</v>
      </c>
      <c r="O311" s="276" t="s">
        <v>718</v>
      </c>
      <c r="P311" s="276" t="str">
        <f t="shared" si="8"/>
        <v>Uses industry-wide values</v>
      </c>
      <c r="Q311" s="373">
        <f t="shared" si="9"/>
        <v>16</v>
      </c>
      <c r="R311" s="373" t="str">
        <f t="shared" si="10"/>
        <v>Ofwat (2023) PR24: Using collaborative customer research to set outcome delivery incentive rates.</v>
      </c>
      <c r="S311" s="373" t="str">
        <f t="shared" si="11"/>
        <v>/</v>
      </c>
      <c r="T311" s="373">
        <f t="shared" si="12"/>
        <v>2023</v>
      </c>
      <c r="U311" s="373" t="str">
        <f t="shared" si="13"/>
        <v>UK</v>
      </c>
      <c r="V311" s="373" t="str">
        <f t="shared" si="14"/>
        <v>England and Wales</v>
      </c>
      <c r="W311" s="373" t="str">
        <f t="shared" si="15"/>
        <v>12,567 household interviews, 3,728 non-household interviews</v>
      </c>
    </row>
    <row r="312" spans="2:23">
      <c r="B312" s="340" t="s">
        <v>1080</v>
      </c>
      <c r="C312" s="276" t="s">
        <v>357</v>
      </c>
      <c r="D312" s="276" t="s">
        <v>116</v>
      </c>
      <c r="E312" s="276" t="s">
        <v>462</v>
      </c>
      <c r="F312" s="373">
        <f t="shared" si="5"/>
        <v>2023</v>
      </c>
      <c r="G312" s="373">
        <v>2022</v>
      </c>
      <c r="H312" s="276">
        <f>'COMPANY INPUT'!$C$16</f>
        <v>2023</v>
      </c>
      <c r="I312" s="276">
        <f>VLOOKUP(G312,'GDP Deflators'!$H$13:$I$86,2,FALSE)</f>
        <v>93.351699999999994</v>
      </c>
      <c r="J312" s="276">
        <f>VLOOKUP(H312,'GDP Deflators'!$H$13:$I$86,2,FALSE)</f>
        <v>100</v>
      </c>
      <c r="K312" s="402">
        <f t="shared" si="18"/>
        <v>5379</v>
      </c>
      <c r="L312" s="747">
        <f t="shared" si="16"/>
        <v>5762.0803906088486</v>
      </c>
      <c r="M312" s="276" t="str">
        <f t="shared" si="6"/>
        <v>Willingness to Accept</v>
      </c>
      <c r="N312" s="326">
        <f t="shared" si="7"/>
        <v>2.5</v>
      </c>
      <c r="O312" s="276" t="s">
        <v>718</v>
      </c>
      <c r="P312" s="276" t="str">
        <f t="shared" si="8"/>
        <v>Uses industry-wide values</v>
      </c>
      <c r="Q312" s="373">
        <f t="shared" si="9"/>
        <v>16</v>
      </c>
      <c r="R312" s="373" t="str">
        <f t="shared" si="10"/>
        <v>Ofwat (2023) PR24: Using collaborative customer research to set outcome delivery incentive rates.</v>
      </c>
      <c r="S312" s="373" t="str">
        <f t="shared" si="11"/>
        <v>/</v>
      </c>
      <c r="T312" s="373">
        <f t="shared" si="12"/>
        <v>2023</v>
      </c>
      <c r="U312" s="373" t="str">
        <f t="shared" si="13"/>
        <v>UK</v>
      </c>
      <c r="V312" s="373" t="str">
        <f t="shared" si="14"/>
        <v>England and Wales</v>
      </c>
      <c r="W312" s="373" t="str">
        <f t="shared" si="15"/>
        <v>12,567 household interviews, 3,728 non-household interviews</v>
      </c>
    </row>
    <row r="313" spans="2:23">
      <c r="B313" s="340" t="s">
        <v>1081</v>
      </c>
      <c r="C313" s="276" t="s">
        <v>357</v>
      </c>
      <c r="D313" s="276" t="s">
        <v>117</v>
      </c>
      <c r="E313" s="276" t="s">
        <v>462</v>
      </c>
      <c r="F313" s="373">
        <f t="shared" si="5"/>
        <v>2023</v>
      </c>
      <c r="G313" s="373">
        <v>2022</v>
      </c>
      <c r="H313" s="276">
        <f>'COMPANY INPUT'!$C$16</f>
        <v>2023</v>
      </c>
      <c r="I313" s="276">
        <f>VLOOKUP(G313,'GDP Deflators'!$H$13:$I$86,2,FALSE)</f>
        <v>93.351699999999994</v>
      </c>
      <c r="J313" s="276">
        <f>VLOOKUP(H313,'GDP Deflators'!$H$13:$I$86,2,FALSE)</f>
        <v>100</v>
      </c>
      <c r="K313" s="402">
        <f t="shared" si="18"/>
        <v>5379</v>
      </c>
      <c r="L313" s="747">
        <f t="shared" si="16"/>
        <v>5762.0803906088486</v>
      </c>
      <c r="M313" s="276" t="str">
        <f t="shared" si="6"/>
        <v>Willingness to Accept</v>
      </c>
      <c r="N313" s="326">
        <f t="shared" si="7"/>
        <v>2.5</v>
      </c>
      <c r="O313" s="276" t="s">
        <v>718</v>
      </c>
      <c r="P313" s="276" t="str">
        <f t="shared" si="8"/>
        <v>Uses industry-wide values</v>
      </c>
      <c r="Q313" s="373">
        <f t="shared" si="9"/>
        <v>16</v>
      </c>
      <c r="R313" s="373" t="str">
        <f t="shared" si="10"/>
        <v>Ofwat (2023) PR24: Using collaborative customer research to set outcome delivery incentive rates.</v>
      </c>
      <c r="S313" s="373" t="str">
        <f t="shared" si="11"/>
        <v>/</v>
      </c>
      <c r="T313" s="373">
        <f t="shared" si="12"/>
        <v>2023</v>
      </c>
      <c r="U313" s="373" t="str">
        <f t="shared" si="13"/>
        <v>UK</v>
      </c>
      <c r="V313" s="373" t="str">
        <f t="shared" si="14"/>
        <v>England and Wales</v>
      </c>
      <c r="W313" s="373" t="str">
        <f t="shared" si="15"/>
        <v>12,567 household interviews, 3,728 non-household interviews</v>
      </c>
    </row>
    <row r="314" spans="2:23">
      <c r="B314" s="340" t="s">
        <v>1082</v>
      </c>
      <c r="C314" s="276" t="s">
        <v>357</v>
      </c>
      <c r="D314" s="276" t="s">
        <v>118</v>
      </c>
      <c r="E314" s="276" t="s">
        <v>462</v>
      </c>
      <c r="F314" s="373">
        <f t="shared" si="5"/>
        <v>2023</v>
      </c>
      <c r="G314" s="373">
        <v>2022</v>
      </c>
      <c r="H314" s="276">
        <f>'COMPANY INPUT'!$C$16</f>
        <v>2023</v>
      </c>
      <c r="I314" s="276">
        <f>VLOOKUP(G314,'GDP Deflators'!$H$13:$I$86,2,FALSE)</f>
        <v>93.351699999999994</v>
      </c>
      <c r="J314" s="276">
        <f>VLOOKUP(H314,'GDP Deflators'!$H$13:$I$86,2,FALSE)</f>
        <v>100</v>
      </c>
      <c r="K314" s="402">
        <f t="shared" si="18"/>
        <v>5379</v>
      </c>
      <c r="L314" s="747">
        <f t="shared" si="16"/>
        <v>5762.0803906088486</v>
      </c>
      <c r="M314" s="276" t="str">
        <f t="shared" si="6"/>
        <v>Willingness to Accept</v>
      </c>
      <c r="N314" s="326">
        <f t="shared" si="7"/>
        <v>2.5</v>
      </c>
      <c r="O314" s="276" t="s">
        <v>718</v>
      </c>
      <c r="P314" s="276" t="str">
        <f t="shared" si="8"/>
        <v>Uses industry-wide values</v>
      </c>
      <c r="Q314" s="373">
        <f t="shared" si="9"/>
        <v>16</v>
      </c>
      <c r="R314" s="373" t="str">
        <f t="shared" si="10"/>
        <v>Ofwat (2023) PR24: Using collaborative customer research to set outcome delivery incentive rates.</v>
      </c>
      <c r="S314" s="373" t="str">
        <f t="shared" si="11"/>
        <v>/</v>
      </c>
      <c r="T314" s="373">
        <f t="shared" si="12"/>
        <v>2023</v>
      </c>
      <c r="U314" s="373" t="str">
        <f t="shared" si="13"/>
        <v>UK</v>
      </c>
      <c r="V314" s="373" t="str">
        <f t="shared" si="14"/>
        <v>England and Wales</v>
      </c>
      <c r="W314" s="373" t="str">
        <f t="shared" si="15"/>
        <v>12,567 household interviews, 3,728 non-household interviews</v>
      </c>
    </row>
  </sheetData>
  <sheetProtection algorithmName="SHA-512" hashValue="LP19SZEv5HgNGO+MM1kSmCb2OBhj/rxLKI2vOrqe8iwlVkiSnovqnCKuxPUs6GLuZcokEK1tolci3KyqkOrHxA==" saltValue="Vwx+8hRyCigKaLKhaJnnJQ==" spinCount="100000" sheet="1" objects="1" scenarios="1"/>
  <dataConsolidate/>
  <mergeCells count="70">
    <mergeCell ref="E227:H227"/>
    <mergeCell ref="E228:H228"/>
    <mergeCell ref="E229:H229"/>
    <mergeCell ref="E188:H188"/>
    <mergeCell ref="E189:H189"/>
    <mergeCell ref="E190:H190"/>
    <mergeCell ref="E191:H191"/>
    <mergeCell ref="E223:H223"/>
    <mergeCell ref="G197:L197"/>
    <mergeCell ref="G198:L198"/>
    <mergeCell ref="G199:L199"/>
    <mergeCell ref="G200:L200"/>
    <mergeCell ref="E224:H224"/>
    <mergeCell ref="E225:H225"/>
    <mergeCell ref="E226:H226"/>
    <mergeCell ref="G196:L196"/>
    <mergeCell ref="E185:H185"/>
    <mergeCell ref="E186:H186"/>
    <mergeCell ref="E187:H187"/>
    <mergeCell ref="G176:L176"/>
    <mergeCell ref="G177:L177"/>
    <mergeCell ref="E106:H106"/>
    <mergeCell ref="E107:H107"/>
    <mergeCell ref="E108:H108"/>
    <mergeCell ref="E109:H109"/>
    <mergeCell ref="E110:H110"/>
    <mergeCell ref="B5:H5"/>
    <mergeCell ref="E55:H55"/>
    <mergeCell ref="E56:H56"/>
    <mergeCell ref="E57:H57"/>
    <mergeCell ref="E58:H58"/>
    <mergeCell ref="D9:G9"/>
    <mergeCell ref="I268:I289"/>
    <mergeCell ref="J268:J289"/>
    <mergeCell ref="H268:H289"/>
    <mergeCell ref="G239:L239"/>
    <mergeCell ref="G234:L234"/>
    <mergeCell ref="G235:L235"/>
    <mergeCell ref="G236:L236"/>
    <mergeCell ref="G237:L237"/>
    <mergeCell ref="G238:L238"/>
    <mergeCell ref="G115:L115"/>
    <mergeCell ref="G116:L116"/>
    <mergeCell ref="G117:L117"/>
    <mergeCell ref="G118:L118"/>
    <mergeCell ref="G119:L119"/>
    <mergeCell ref="G121:L121"/>
    <mergeCell ref="G120:L120"/>
    <mergeCell ref="G123:L123"/>
    <mergeCell ref="G122:L122"/>
    <mergeCell ref="G175:L175"/>
    <mergeCell ref="G174:L174"/>
    <mergeCell ref="G173:L173"/>
    <mergeCell ref="E160:H160"/>
    <mergeCell ref="E161:H161"/>
    <mergeCell ref="E162:H162"/>
    <mergeCell ref="E163:H163"/>
    <mergeCell ref="E164:H164"/>
    <mergeCell ref="E165:H165"/>
    <mergeCell ref="E166:H166"/>
    <mergeCell ref="G172:L172"/>
    <mergeCell ref="G171:L171"/>
    <mergeCell ref="G68:J68"/>
    <mergeCell ref="E104:H104"/>
    <mergeCell ref="E105:H105"/>
    <mergeCell ref="E59:H59"/>
    <mergeCell ref="E60:H60"/>
    <mergeCell ref="E61:H61"/>
    <mergeCell ref="G66:J66"/>
    <mergeCell ref="G67:J67"/>
  </mergeCells>
  <phoneticPr fontId="16" type="noConversion"/>
  <conditionalFormatting sqref="D62:E62">
    <cfRule type="cellIs" dxfId="1205" priority="32" operator="lessThanOrEqual">
      <formula>3</formula>
    </cfRule>
    <cfRule type="cellIs" dxfId="1204" priority="31" operator="lessThanOrEqual">
      <formula>2.57142857142857</formula>
    </cfRule>
    <cfRule type="cellIs" dxfId="1203" priority="30" operator="lessThanOrEqual">
      <formula>2.14285714285714</formula>
    </cfRule>
  </conditionalFormatting>
  <conditionalFormatting sqref="D111:E111">
    <cfRule type="cellIs" dxfId="1202" priority="24" operator="lessThanOrEqual">
      <formula>2.14285714285714</formula>
    </cfRule>
    <cfRule type="cellIs" dxfId="1201" priority="26" operator="lessThanOrEqual">
      <formula>3</formula>
    </cfRule>
    <cfRule type="cellIs" dxfId="1200" priority="25" operator="lessThanOrEqual">
      <formula>2.57142857142857</formula>
    </cfRule>
  </conditionalFormatting>
  <conditionalFormatting sqref="D167:E167">
    <cfRule type="cellIs" dxfId="1199" priority="20" operator="lessThanOrEqual">
      <formula>3</formula>
    </cfRule>
    <cfRule type="cellIs" dxfId="1198" priority="18" operator="lessThanOrEqual">
      <formula>2.14285714285714</formula>
    </cfRule>
    <cfRule type="cellIs" dxfId="1197" priority="19" operator="lessThanOrEqual">
      <formula>2.57142857142857</formula>
    </cfRule>
  </conditionalFormatting>
  <conditionalFormatting sqref="D192:E192">
    <cfRule type="cellIs" dxfId="1196" priority="12" operator="lessThanOrEqual">
      <formula>2.14285714285714</formula>
    </cfRule>
    <cfRule type="cellIs" dxfId="1195" priority="13" operator="lessThanOrEqual">
      <formula>2.57142857142857</formula>
    </cfRule>
    <cfRule type="cellIs" dxfId="1194" priority="14" operator="lessThanOrEqual">
      <formula>3</formula>
    </cfRule>
  </conditionalFormatting>
  <conditionalFormatting sqref="D230:E230">
    <cfRule type="cellIs" dxfId="1193" priority="6" operator="lessThanOrEqual">
      <formula>2.14285714285714</formula>
    </cfRule>
    <cfRule type="cellIs" dxfId="1192" priority="7" operator="lessThanOrEqual">
      <formula>2.57142857142857</formula>
    </cfRule>
    <cfRule type="cellIs" dxfId="1191" priority="8" operator="lessThanOrEqual">
      <formula>3</formula>
    </cfRule>
  </conditionalFormatting>
  <conditionalFormatting sqref="D11:G21">
    <cfRule type="notContainsBlanks" dxfId="1190" priority="1">
      <formula>LEN(TRIM(D11))&gt;0</formula>
    </cfRule>
  </conditionalFormatting>
  <conditionalFormatting sqref="E62">
    <cfRule type="containsText" dxfId="1189" priority="27" operator="containsText" text="Green">
      <formula>NOT(ISERROR(SEARCH("Green",E62)))</formula>
    </cfRule>
    <cfRule type="containsText" dxfId="1188" priority="28" operator="containsText" text="Amber">
      <formula>NOT(ISERROR(SEARCH("Amber",E62)))</formula>
    </cfRule>
    <cfRule type="containsText" dxfId="1187" priority="29" operator="containsText" text="Red">
      <formula>NOT(ISERROR(SEARCH("Red",E62)))</formula>
    </cfRule>
  </conditionalFormatting>
  <conditionalFormatting sqref="E111">
    <cfRule type="containsText" dxfId="1186" priority="21" operator="containsText" text="Green">
      <formula>NOT(ISERROR(SEARCH("Green",E111)))</formula>
    </cfRule>
    <cfRule type="containsText" dxfId="1185" priority="22" operator="containsText" text="Amber">
      <formula>NOT(ISERROR(SEARCH("Amber",E111)))</formula>
    </cfRule>
    <cfRule type="containsText" dxfId="1184" priority="23" operator="containsText" text="Red">
      <formula>NOT(ISERROR(SEARCH("Red",E111)))</formula>
    </cfRule>
  </conditionalFormatting>
  <conditionalFormatting sqref="E167">
    <cfRule type="containsText" dxfId="1183" priority="17" operator="containsText" text="Red">
      <formula>NOT(ISERROR(SEARCH("Red",E167)))</formula>
    </cfRule>
    <cfRule type="containsText" dxfId="1182" priority="16" operator="containsText" text="Amber">
      <formula>NOT(ISERROR(SEARCH("Amber",E167)))</formula>
    </cfRule>
    <cfRule type="containsText" dxfId="1181" priority="15" operator="containsText" text="Green">
      <formula>NOT(ISERROR(SEARCH("Green",E167)))</formula>
    </cfRule>
  </conditionalFormatting>
  <conditionalFormatting sqref="E192">
    <cfRule type="containsText" dxfId="1180" priority="11" operator="containsText" text="Red">
      <formula>NOT(ISERROR(SEARCH("Red",E192)))</formula>
    </cfRule>
    <cfRule type="containsText" dxfId="1179" priority="10" operator="containsText" text="Amber">
      <formula>NOT(ISERROR(SEARCH("Amber",E192)))</formula>
    </cfRule>
    <cfRule type="containsText" dxfId="1178" priority="9" operator="containsText" text="Green">
      <formula>NOT(ISERROR(SEARCH("Green",E192)))</formula>
    </cfRule>
  </conditionalFormatting>
  <conditionalFormatting sqref="E230">
    <cfRule type="containsText" dxfId="1177" priority="3" operator="containsText" text="Green">
      <formula>NOT(ISERROR(SEARCH("Green",E230)))</formula>
    </cfRule>
    <cfRule type="containsText" dxfId="1176" priority="4" operator="containsText" text="Amber">
      <formula>NOT(ISERROR(SEARCH("Amber",E230)))</formula>
    </cfRule>
    <cfRule type="containsText" dxfId="1175" priority="5" operator="containsText" text="Red">
      <formula>NOT(ISERROR(SEARCH("Red",E230)))</formula>
    </cfRule>
  </conditionalFormatting>
  <conditionalFormatting sqref="H268">
    <cfRule type="cellIs" dxfId="1174" priority="33" operator="lessThanOrEqual">
      <formula>2.14285714285714</formula>
    </cfRule>
    <cfRule type="cellIs" dxfId="1173" priority="34" operator="lessThanOrEqual">
      <formula>2.57142857142857</formula>
    </cfRule>
    <cfRule type="cellIs" dxfId="1172" priority="35" operator="lessThanOrEqual">
      <formula>3</formula>
    </cfRule>
  </conditionalFormatting>
  <conditionalFormatting sqref="N293:N314">
    <cfRule type="cellIs" dxfId="1171" priority="36" operator="lessThanOrEqual">
      <formula>2.14285714285714</formula>
    </cfRule>
    <cfRule type="cellIs" dxfId="1170" priority="37" operator="lessThanOrEqual">
      <formula>2.57142857142857</formula>
    </cfRule>
    <cfRule type="cellIs" dxfId="1169" priority="38" operator="lessThanOrEqual">
      <formula>3</formula>
    </cfRule>
  </conditionalFormatting>
  <dataValidations count="1">
    <dataValidation type="list" allowBlank="1" showInputMessage="1" showErrorMessage="1" sqref="C63 C56:C61 C112 C105:C110 C168 C161:C166 C193 C186:C191 C231 C224:C229" xr:uid="{74E3E909-145A-415E-9886-DE66A78E1824}">
      <formula1>"High, Medium, Low"</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D56AB-FA4D-4410-B054-C17D0CA932FB}">
  <sheetPr codeName="Sheet11">
    <tabColor theme="5" tint="0.59999389629810485"/>
  </sheetPr>
  <dimension ref="A1:W152"/>
  <sheetViews>
    <sheetView workbookViewId="0">
      <selection activeCell="C11" sqref="C11"/>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8" ht="15" thickBot="1"/>
    <row r="2" spans="1:8" s="750" customFormat="1" ht="18.95" thickBot="1">
      <c r="A2" s="748"/>
      <c r="B2" s="749" t="s">
        <v>359</v>
      </c>
      <c r="C2" s="749"/>
      <c r="D2" s="749"/>
    </row>
    <row r="4" spans="1:8" s="714" customFormat="1" ht="18.600000000000001">
      <c r="A4" s="715"/>
      <c r="B4" s="713" t="s">
        <v>1083</v>
      </c>
      <c r="C4" s="715"/>
      <c r="D4" s="715"/>
      <c r="E4" s="715"/>
      <c r="F4" s="715"/>
      <c r="G4" s="715"/>
      <c r="H4" s="715"/>
    </row>
    <row r="5" spans="1:8" ht="121.5" customHeight="1">
      <c r="A5" s="716"/>
      <c r="B5" s="1152" t="s">
        <v>1084</v>
      </c>
      <c r="C5" s="1152"/>
      <c r="D5" s="1152"/>
      <c r="E5" s="1152"/>
      <c r="F5" s="1152"/>
      <c r="G5" s="1152"/>
      <c r="H5" s="1152"/>
    </row>
    <row r="7" spans="1:8" s="718" customFormat="1" ht="18.600000000000001">
      <c r="A7" s="751"/>
      <c r="B7" s="724" t="s">
        <v>895</v>
      </c>
      <c r="C7" s="751"/>
      <c r="D7" s="751"/>
      <c r="E7" s="751"/>
      <c r="F7" s="751"/>
      <c r="G7" s="751"/>
      <c r="H7" s="751"/>
    </row>
    <row r="9" spans="1:8">
      <c r="D9" s="414" t="s">
        <v>479</v>
      </c>
      <c r="E9" s="414"/>
      <c r="F9" s="414"/>
      <c r="G9" s="414"/>
      <c r="H9" s="414"/>
    </row>
    <row r="10" spans="1:8">
      <c r="B10" s="277" t="s">
        <v>104</v>
      </c>
      <c r="C10" s="277" t="s">
        <v>711</v>
      </c>
      <c r="D10" s="356" t="s">
        <v>354</v>
      </c>
      <c r="E10" s="356" t="s">
        <v>460</v>
      </c>
      <c r="F10" s="356" t="s">
        <v>151</v>
      </c>
      <c r="G10" s="356" t="s">
        <v>462</v>
      </c>
      <c r="H10" s="356" t="s">
        <v>465</v>
      </c>
    </row>
    <row r="11" spans="1:8">
      <c r="B11" s="278" t="s">
        <v>497</v>
      </c>
      <c r="C11" s="278" t="s">
        <v>360</v>
      </c>
      <c r="D11" s="374" t="str" cm="1">
        <f t="array" ref="D11">_xlfn.XLOOKUP(1,($B11=$B$20:$B$21)*(D$10=$C$20:$C$21),$G$20:$G$21,"Not found",0,1)</f>
        <v>LG(L)</v>
      </c>
      <c r="E11" s="374" t="str" cm="1">
        <f t="array" ref="E11">_xlfn.XLOOKUP(1,($B11=$B$29:$B$30)*(E$10=$C$29:$C$30),$G$29:$G$30,"Not found",0,1)</f>
        <v>LG(H)</v>
      </c>
      <c r="F11" s="374" cm="1">
        <f t="array" ref="F11">ROUND(_xlfn.XLOOKUP(1,($B11=$B$145:$B$148)*(F$10=$C$145:$C$148),$G$145:$G$148,"Not found",0,1), 2)</f>
        <v>5792.41</v>
      </c>
      <c r="G11" s="374" cm="1">
        <f t="array" ref="G11">ROUND(_xlfn.XLOOKUP(1,($B11=$B$145:$B$148)*(G$10=$C$145:$C$148),$G$145:$G$148,"Not found",0,1), 2)</f>
        <v>1355.92</v>
      </c>
      <c r="H11" s="374" t="s">
        <v>473</v>
      </c>
    </row>
    <row r="12" spans="1:8">
      <c r="B12" s="800" t="s">
        <v>896</v>
      </c>
    </row>
    <row r="13" spans="1:8">
      <c r="B13" s="800"/>
    </row>
    <row r="14" spans="1:8">
      <c r="A14" s="721"/>
      <c r="B14" s="722" t="s">
        <v>354</v>
      </c>
      <c r="C14" s="721"/>
      <c r="D14" s="721"/>
      <c r="E14" s="721"/>
      <c r="F14" s="721"/>
      <c r="G14" s="721"/>
      <c r="H14" s="721"/>
    </row>
    <row r="15" spans="1:8">
      <c r="A15" s="727"/>
      <c r="B15" s="729" t="s">
        <v>897</v>
      </c>
      <c r="C15" s="727"/>
      <c r="D15" s="727"/>
      <c r="E15" s="727"/>
      <c r="F15" s="727"/>
      <c r="G15" s="727"/>
      <c r="H15" s="727"/>
    </row>
    <row r="16" spans="1:8">
      <c r="B16" s="277" t="s">
        <v>898</v>
      </c>
      <c r="C16" s="277" t="s">
        <v>899</v>
      </c>
    </row>
    <row r="17" spans="1:10">
      <c r="B17" s="278" t="s">
        <v>354</v>
      </c>
      <c r="C17" s="278" t="s">
        <v>1085</v>
      </c>
    </row>
    <row r="18" spans="1:10">
      <c r="B18" s="16"/>
    </row>
    <row r="19" spans="1:10">
      <c r="A19" s="727"/>
      <c r="B19" s="728" t="s">
        <v>901</v>
      </c>
      <c r="C19" s="727"/>
      <c r="D19" s="727"/>
      <c r="E19" s="727"/>
      <c r="F19" s="727"/>
      <c r="G19" s="727"/>
      <c r="H19" s="727"/>
    </row>
    <row r="20" spans="1:10" ht="30" customHeight="1">
      <c r="B20" s="277" t="s">
        <v>902</v>
      </c>
      <c r="C20" s="277" t="s">
        <v>898</v>
      </c>
      <c r="D20" s="277" t="s">
        <v>899</v>
      </c>
      <c r="E20" s="298" t="s">
        <v>903</v>
      </c>
      <c r="F20" s="277" t="s">
        <v>904</v>
      </c>
      <c r="G20" s="277" t="s">
        <v>905</v>
      </c>
      <c r="H20" s="277" t="s">
        <v>924</v>
      </c>
      <c r="I20" s="277" t="s">
        <v>956</v>
      </c>
      <c r="J20" s="277" t="s">
        <v>927</v>
      </c>
    </row>
    <row r="21" spans="1:10">
      <c r="B21" s="278" t="s">
        <v>497</v>
      </c>
      <c r="C21" s="299" t="s">
        <v>354</v>
      </c>
      <c r="D21" s="278" t="s">
        <v>1085</v>
      </c>
      <c r="E21" s="299" t="s">
        <v>906</v>
      </c>
      <c r="F21" s="279" t="s">
        <v>907</v>
      </c>
      <c r="G21" s="300" t="s">
        <v>961</v>
      </c>
      <c r="H21" s="640" t="s">
        <v>907</v>
      </c>
      <c r="I21" s="640" t="s">
        <v>907</v>
      </c>
      <c r="J21" s="640" t="s">
        <v>907</v>
      </c>
    </row>
    <row r="22" spans="1:10">
      <c r="B22" s="16"/>
    </row>
    <row r="23" spans="1:10">
      <c r="A23" s="721"/>
      <c r="B23" s="722" t="s">
        <v>460</v>
      </c>
      <c r="C23" s="721"/>
      <c r="D23" s="721"/>
      <c r="E23" s="721"/>
      <c r="F23" s="721"/>
      <c r="G23" s="721"/>
      <c r="H23" s="721"/>
    </row>
    <row r="24" spans="1:10">
      <c r="A24" s="727"/>
      <c r="B24" s="729" t="s">
        <v>897</v>
      </c>
      <c r="C24" s="727"/>
      <c r="D24" s="727"/>
      <c r="E24" s="727"/>
      <c r="F24" s="727"/>
      <c r="G24" s="727"/>
      <c r="H24" s="727"/>
    </row>
    <row r="25" spans="1:10">
      <c r="B25" s="277" t="s">
        <v>898</v>
      </c>
      <c r="C25" s="277" t="s">
        <v>899</v>
      </c>
    </row>
    <row r="26" spans="1:10">
      <c r="B26" s="278" t="s">
        <v>460</v>
      </c>
      <c r="C26" s="278" t="s">
        <v>1086</v>
      </c>
    </row>
    <row r="27" spans="1:10">
      <c r="B27" s="16"/>
    </row>
    <row r="28" spans="1:10">
      <c r="A28" s="727"/>
      <c r="B28" s="728" t="s">
        <v>901</v>
      </c>
      <c r="C28" s="727"/>
      <c r="D28" s="727"/>
      <c r="E28" s="727"/>
      <c r="F28" s="727"/>
      <c r="G28" s="727"/>
      <c r="H28" s="727"/>
    </row>
    <row r="29" spans="1:10" ht="30" customHeight="1">
      <c r="B29" s="277" t="s">
        <v>902</v>
      </c>
      <c r="C29" s="277" t="s">
        <v>898</v>
      </c>
      <c r="D29" s="277" t="s">
        <v>899</v>
      </c>
      <c r="E29" s="298" t="s">
        <v>903</v>
      </c>
      <c r="F29" s="277" t="s">
        <v>904</v>
      </c>
      <c r="G29" s="277" t="s">
        <v>905</v>
      </c>
      <c r="H29" s="277" t="s">
        <v>924</v>
      </c>
      <c r="I29" s="277" t="s">
        <v>956</v>
      </c>
      <c r="J29" s="277" t="s">
        <v>927</v>
      </c>
    </row>
    <row r="30" spans="1:10">
      <c r="B30" s="278" t="s">
        <v>497</v>
      </c>
      <c r="C30" s="299" t="s">
        <v>460</v>
      </c>
      <c r="D30" s="278" t="s">
        <v>1086</v>
      </c>
      <c r="E30" s="299" t="s">
        <v>906</v>
      </c>
      <c r="F30" s="279" t="s">
        <v>907</v>
      </c>
      <c r="G30" s="300" t="s">
        <v>477</v>
      </c>
      <c r="H30" s="640" t="s">
        <v>907</v>
      </c>
      <c r="I30" s="640" t="s">
        <v>907</v>
      </c>
      <c r="J30" s="640" t="s">
        <v>907</v>
      </c>
    </row>
    <row r="31" spans="1:10">
      <c r="B31" s="16"/>
    </row>
    <row r="32" spans="1:10">
      <c r="A32" s="721"/>
      <c r="B32" s="722" t="s">
        <v>108</v>
      </c>
      <c r="C32" s="721"/>
      <c r="D32" s="721"/>
      <c r="E32" s="721"/>
      <c r="F32" s="721"/>
      <c r="G32" s="721"/>
      <c r="H32" s="721"/>
    </row>
    <row r="33" spans="1:8">
      <c r="A33" s="727"/>
      <c r="B33" s="729" t="s">
        <v>897</v>
      </c>
      <c r="C33" s="727"/>
      <c r="D33" s="727"/>
      <c r="E33" s="727"/>
      <c r="F33" s="727"/>
      <c r="G33" s="727"/>
      <c r="H33" s="727"/>
    </row>
    <row r="34" spans="1:8">
      <c r="B34" s="277" t="s">
        <v>898</v>
      </c>
      <c r="C34" s="277" t="s">
        <v>899</v>
      </c>
    </row>
    <row r="35" spans="1:8">
      <c r="B35" s="278" t="s">
        <v>151</v>
      </c>
      <c r="C35" s="278" t="s">
        <v>1087</v>
      </c>
    </row>
    <row r="36" spans="1:8">
      <c r="B36" s="278" t="s">
        <v>462</v>
      </c>
      <c r="C36" s="278" t="s">
        <v>1088</v>
      </c>
    </row>
    <row r="37" spans="1:8">
      <c r="B37" s="16"/>
    </row>
    <row r="38" spans="1:8">
      <c r="A38" s="727"/>
      <c r="B38" s="728" t="s">
        <v>911</v>
      </c>
      <c r="C38" s="727"/>
      <c r="D38" s="727"/>
      <c r="E38" s="727"/>
      <c r="F38" s="727"/>
      <c r="G38" s="727"/>
      <c r="H38" s="727"/>
    </row>
    <row r="39" spans="1:8">
      <c r="A39" s="725"/>
      <c r="B39" s="726" t="s">
        <v>912</v>
      </c>
      <c r="C39" s="725"/>
      <c r="D39" s="725"/>
      <c r="E39" s="725"/>
      <c r="F39" s="725"/>
      <c r="G39" s="725"/>
      <c r="H39" s="725"/>
    </row>
    <row r="40" spans="1:8" ht="29.1">
      <c r="B40" s="719" t="s">
        <v>913</v>
      </c>
      <c r="C40" s="719" t="s">
        <v>914</v>
      </c>
      <c r="D40" s="719" t="s">
        <v>915</v>
      </c>
      <c r="E40" s="719" t="s">
        <v>916</v>
      </c>
      <c r="F40" s="719" t="s">
        <v>917</v>
      </c>
      <c r="G40" s="719" t="s">
        <v>918</v>
      </c>
      <c r="H40" s="719" t="s">
        <v>919</v>
      </c>
    </row>
    <row r="41" spans="1:8">
      <c r="B41" s="278">
        <v>136</v>
      </c>
      <c r="C41" s="278" t="s">
        <v>920</v>
      </c>
      <c r="D41" s="279" t="s">
        <v>907</v>
      </c>
      <c r="E41" s="278">
        <v>2018</v>
      </c>
      <c r="F41" s="278" t="s">
        <v>921</v>
      </c>
      <c r="G41" s="278" t="s">
        <v>922</v>
      </c>
      <c r="H41" s="278" t="s">
        <v>923</v>
      </c>
    </row>
    <row r="42" spans="1:8">
      <c r="B42" s="16"/>
    </row>
    <row r="43" spans="1:8">
      <c r="A43" s="725"/>
      <c r="B43" s="726" t="s">
        <v>924</v>
      </c>
      <c r="C43" s="725"/>
      <c r="D43" s="725"/>
      <c r="E43" s="725"/>
      <c r="F43" s="725"/>
      <c r="G43" s="725"/>
      <c r="H43" s="725"/>
    </row>
    <row r="44" spans="1:8">
      <c r="B44" s="277" t="s">
        <v>165</v>
      </c>
      <c r="C44" s="277" t="s">
        <v>925</v>
      </c>
      <c r="D44" s="277" t="s">
        <v>926</v>
      </c>
      <c r="E44" s="1134" t="s">
        <v>927</v>
      </c>
      <c r="F44" s="1134"/>
      <c r="G44" s="1134"/>
      <c r="H44" s="1134"/>
    </row>
    <row r="45" spans="1:8">
      <c r="B45" s="278" t="s">
        <v>169</v>
      </c>
      <c r="C45" s="278" t="s">
        <v>167</v>
      </c>
      <c r="D45" s="278">
        <f>VLOOKUP(C45,METHODOLOGY!$C$175:$D$177,2,FALSE)</f>
        <v>2</v>
      </c>
      <c r="E45" s="1087" t="str">
        <f>_xlfn.XLOOKUP(C45,METHODOLOGY!$E$150:$O$150,METHODOLOGY!$E$151:$O$151,"",0,1)</f>
        <v>The monetary values are recommended / referenced in other, well recognised and accepted guidance / tools relevant to another sector.</v>
      </c>
      <c r="F45" s="1087"/>
      <c r="G45" s="1087"/>
      <c r="H45" s="1087"/>
    </row>
    <row r="46" spans="1:8">
      <c r="B46" s="278" t="s">
        <v>173</v>
      </c>
      <c r="C46" s="278" t="s">
        <v>166</v>
      </c>
      <c r="D46" s="278">
        <f>VLOOKUP(C46,METHODOLOGY!$C$175:$D$177,2,FALSE)</f>
        <v>3</v>
      </c>
      <c r="E46" s="1087" t="str">
        <f>_xlfn.XLOOKUP(C46,METHODOLOGY!$E$150:$O$150,METHODOLOGY!$E$155:$O$155,"",0,1)</f>
        <v>Study has few limitations and is considered robust.</v>
      </c>
      <c r="F46" s="1087"/>
      <c r="G46" s="1087"/>
      <c r="H46" s="1087"/>
    </row>
    <row r="47" spans="1:8">
      <c r="B47" s="278" t="s">
        <v>177</v>
      </c>
      <c r="C47" s="278" t="s">
        <v>167</v>
      </c>
      <c r="D47" s="278">
        <f>VLOOKUP(C47,METHODOLOGY!$C$175:$D$177,2,FALSE)</f>
        <v>2</v>
      </c>
      <c r="E47" s="1087" t="str">
        <f>_xlfn.XLOOKUP(C47,METHODOLOGY!$E$150:$O$150,METHODOLOGY!$E$158:$O$158,"",0,1)</f>
        <v>6-10 years</v>
      </c>
      <c r="F47" s="1087"/>
      <c r="G47" s="1087"/>
      <c r="H47" s="1087"/>
    </row>
    <row r="48" spans="1:8">
      <c r="B48" s="278" t="s">
        <v>181</v>
      </c>
      <c r="C48" s="278" t="s">
        <v>167</v>
      </c>
      <c r="D48" s="278">
        <f>VLOOKUP(C48,METHODOLOGY!$C$175:$D$177,2,FALSE)</f>
        <v>2</v>
      </c>
      <c r="E48" s="1087" t="str">
        <f>_xlfn.XLOOKUP(C48,METHODOLOGY!$E$150:$O$150,METHODOLOGY!$E$160:$O$160,"",0,1)</f>
        <v>Less geographically relevant e.g. Europe or relevant to a specific UK region</v>
      </c>
      <c r="F48" s="1087"/>
      <c r="G48" s="1087"/>
      <c r="H48" s="1087"/>
    </row>
    <row r="49" spans="1:12">
      <c r="B49" s="278" t="s">
        <v>928</v>
      </c>
      <c r="C49" s="278" t="s">
        <v>166</v>
      </c>
      <c r="D49" s="278">
        <f>VLOOKUP(C49,METHODOLOGY!$C$175:$D$177,2,FALSE)</f>
        <v>3</v>
      </c>
      <c r="E49" s="1087" t="str">
        <f>_xlfn.XLOOKUP(C49,METHODOLOGY!$E$150:$O$150,METHODOLOGY!$E$162:$O$162,"",0,1)</f>
        <v>Clear understanding of the valuation method and how the value should be applied.</v>
      </c>
      <c r="F49" s="1087"/>
      <c r="G49" s="1087"/>
      <c r="H49" s="1087"/>
    </row>
    <row r="50" spans="1:12">
      <c r="B50" s="278" t="s">
        <v>189</v>
      </c>
      <c r="C50" s="278" t="s">
        <v>167</v>
      </c>
      <c r="D50" s="278">
        <f>VLOOKUP(C50,METHODOLOGY!$C$175:$D$177,2,FALSE)</f>
        <v>2</v>
      </c>
      <c r="E50" s="1087" t="str">
        <f>_xlfn.XLOOKUP(C50,METHODOLOGY!$E$150:$O$150,METHODOLOGY!$E$164:$O$164,"",0,1)</f>
        <v xml:space="preserve">The original valuation can be used with some modification e.g. applying household numbers. The calculation is simple or introduces low levels of uncertainty. </v>
      </c>
      <c r="F50" s="1087"/>
      <c r="G50" s="1087"/>
      <c r="H50" s="1087"/>
    </row>
    <row r="51" spans="1:12">
      <c r="C51" s="282" t="s">
        <v>924</v>
      </c>
      <c r="D51" s="326">
        <f>IF(AND(D50=1,AVERAGE(D45:D50)&gt;2.14285714285714),2.14285714285714,IF(AND(D50=2,AVERAGE(D45:D50)&gt;2.57142857142857),2.57142857142857,AVERAGE(D45:D50)))</f>
        <v>2.3333333333333335</v>
      </c>
      <c r="E51" s="270" t="str">
        <f>IF(D51&lt;=2.14285714285714,"Red",IF(D51&lt;=2.57142857142857,"Amber",IF(D51&lt;=3,"Green")))</f>
        <v>Amber</v>
      </c>
    </row>
    <row r="54" spans="1:12">
      <c r="A54" s="725"/>
      <c r="B54" s="726" t="s">
        <v>929</v>
      </c>
      <c r="C54" s="725"/>
      <c r="D54" s="725"/>
      <c r="E54" s="725"/>
      <c r="F54" s="725"/>
      <c r="G54" s="725"/>
      <c r="H54" s="725"/>
    </row>
    <row r="55" spans="1:12">
      <c r="B55" s="277" t="s">
        <v>913</v>
      </c>
      <c r="C55" s="277" t="s">
        <v>1089</v>
      </c>
      <c r="D55" s="277" t="s">
        <v>902</v>
      </c>
      <c r="E55" s="277" t="s">
        <v>331</v>
      </c>
      <c r="F55" s="277" t="s">
        <v>226</v>
      </c>
      <c r="G55" s="1157" t="s">
        <v>930</v>
      </c>
      <c r="H55" s="1157"/>
      <c r="I55" s="1157"/>
      <c r="J55" s="1157"/>
      <c r="K55" s="1157"/>
      <c r="L55" s="1157"/>
    </row>
    <row r="56" spans="1:12" ht="31.5" customHeight="1">
      <c r="B56" s="278">
        <v>22</v>
      </c>
      <c r="C56" s="375" t="s">
        <v>108</v>
      </c>
      <c r="D56" s="375" t="s">
        <v>497</v>
      </c>
      <c r="E56" s="415">
        <v>3100000</v>
      </c>
      <c r="F56" s="416" t="s">
        <v>1090</v>
      </c>
      <c r="G56" s="1123" t="s">
        <v>1091</v>
      </c>
      <c r="H56" s="1124"/>
      <c r="I56" s="1124"/>
      <c r="J56" s="1124"/>
      <c r="K56" s="1124"/>
      <c r="L56" s="1125"/>
    </row>
    <row r="57" spans="1:12" ht="31.5" customHeight="1">
      <c r="B57" s="278">
        <v>22</v>
      </c>
      <c r="C57" s="375" t="s">
        <v>151</v>
      </c>
      <c r="D57" s="375" t="s">
        <v>497</v>
      </c>
      <c r="E57" s="415">
        <v>2900000</v>
      </c>
      <c r="F57" s="416" t="s">
        <v>1092</v>
      </c>
      <c r="G57" s="1123" t="s">
        <v>1093</v>
      </c>
      <c r="H57" s="1124"/>
      <c r="I57" s="1124"/>
      <c r="J57" s="1124"/>
      <c r="K57" s="1124"/>
      <c r="L57" s="1125"/>
    </row>
    <row r="58" spans="1:12" ht="31.5" customHeight="1">
      <c r="B58" s="278">
        <v>22</v>
      </c>
      <c r="C58" s="375" t="s">
        <v>151</v>
      </c>
      <c r="D58" s="375" t="s">
        <v>497</v>
      </c>
      <c r="E58" s="417">
        <v>4.87</v>
      </c>
      <c r="F58" s="375" t="s">
        <v>1094</v>
      </c>
      <c r="G58" s="1123" t="s">
        <v>1095</v>
      </c>
      <c r="H58" s="1124"/>
      <c r="I58" s="1124"/>
      <c r="J58" s="1124"/>
      <c r="K58" s="1124"/>
      <c r="L58" s="1125"/>
    </row>
    <row r="59" spans="1:12" ht="31.5" customHeight="1">
      <c r="B59" s="278">
        <v>22</v>
      </c>
      <c r="C59" s="375" t="s">
        <v>462</v>
      </c>
      <c r="D59" s="375" t="s">
        <v>497</v>
      </c>
      <c r="E59" s="417">
        <v>16.53</v>
      </c>
      <c r="F59" s="375" t="s">
        <v>1094</v>
      </c>
      <c r="G59" s="1123" t="s">
        <v>1096</v>
      </c>
      <c r="H59" s="1124"/>
      <c r="I59" s="1124"/>
      <c r="J59" s="1124"/>
      <c r="K59" s="1124"/>
      <c r="L59" s="1125"/>
    </row>
    <row r="85" spans="1:12">
      <c r="A85" s="725"/>
      <c r="B85" s="726" t="s">
        <v>936</v>
      </c>
      <c r="C85" s="725"/>
      <c r="D85" s="725"/>
      <c r="E85" s="725"/>
      <c r="F85" s="725"/>
      <c r="G85" s="725"/>
      <c r="H85" s="725"/>
    </row>
    <row r="86" spans="1:12">
      <c r="B86" s="298" t="s">
        <v>1097</v>
      </c>
      <c r="C86" s="298" t="s">
        <v>1098</v>
      </c>
      <c r="D86" s="298" t="s">
        <v>1099</v>
      </c>
      <c r="E86" s="298" t="s">
        <v>1100</v>
      </c>
    </row>
    <row r="87" spans="1:12">
      <c r="B87" s="334" t="s">
        <v>1101</v>
      </c>
      <c r="C87" s="418">
        <f>E57</f>
        <v>2900000</v>
      </c>
      <c r="D87" s="418">
        <f>E56-E57</f>
        <v>200000</v>
      </c>
      <c r="E87" s="418">
        <f>SUM(C87:D87)</f>
        <v>3100000</v>
      </c>
    </row>
    <row r="89" spans="1:12">
      <c r="B89" s="298" t="s">
        <v>1102</v>
      </c>
      <c r="C89" s="298" t="s">
        <v>1098</v>
      </c>
      <c r="D89" s="298" t="s">
        <v>1099</v>
      </c>
      <c r="E89" s="298" t="s">
        <v>1100</v>
      </c>
      <c r="F89" s="298" t="s">
        <v>711</v>
      </c>
      <c r="G89" s="1157" t="s">
        <v>930</v>
      </c>
      <c r="H89" s="1157"/>
      <c r="I89" s="1157"/>
      <c r="J89" s="1157"/>
      <c r="K89" s="1157"/>
      <c r="L89" s="1157"/>
    </row>
    <row r="90" spans="1:12">
      <c r="B90" s="334" t="s">
        <v>1103</v>
      </c>
      <c r="C90" s="396">
        <f>($E$58*C87/6)/1000</f>
        <v>2353.8333333333335</v>
      </c>
      <c r="D90" s="396">
        <f>($E$59*D87/6)/1000</f>
        <v>551</v>
      </c>
      <c r="E90" s="396">
        <f>ROUND(SUM(C90:D90),0)</f>
        <v>2905</v>
      </c>
      <c r="F90" s="387" t="s">
        <v>1104</v>
      </c>
      <c r="G90" s="1123" t="s">
        <v>1105</v>
      </c>
      <c r="H90" s="1124"/>
      <c r="I90" s="1124"/>
      <c r="J90" s="1124"/>
      <c r="K90" s="1124"/>
      <c r="L90" s="1125"/>
    </row>
    <row r="91" spans="1:12">
      <c r="B91" s="3"/>
      <c r="C91" s="130"/>
      <c r="D91" s="130"/>
      <c r="E91" s="130"/>
      <c r="F91" s="26"/>
      <c r="G91" s="126"/>
      <c r="H91" s="126"/>
      <c r="I91" s="126"/>
      <c r="J91" s="126"/>
      <c r="K91" s="126"/>
      <c r="L91" s="126"/>
    </row>
    <row r="92" spans="1:12">
      <c r="B92" s="298" t="s">
        <v>936</v>
      </c>
      <c r="C92" s="298" t="s">
        <v>331</v>
      </c>
      <c r="D92" s="298" t="s">
        <v>226</v>
      </c>
      <c r="E92" s="1159" t="s">
        <v>930</v>
      </c>
      <c r="F92" s="1160"/>
      <c r="G92" s="1160"/>
      <c r="H92" s="1160"/>
      <c r="I92" s="1160"/>
      <c r="J92" s="1160"/>
      <c r="K92" s="1160"/>
      <c r="L92" s="1161"/>
    </row>
    <row r="93" spans="1:12">
      <c r="B93" s="334" t="s">
        <v>1106</v>
      </c>
      <c r="C93" s="396">
        <f>(E90*1000)/20</f>
        <v>145250</v>
      </c>
      <c r="D93" s="396" t="s">
        <v>1107</v>
      </c>
      <c r="E93" s="1154" t="s">
        <v>1108</v>
      </c>
      <c r="F93" s="1155"/>
      <c r="G93" s="1155"/>
      <c r="H93" s="1155"/>
      <c r="I93" s="1155"/>
      <c r="J93" s="1155"/>
      <c r="K93" s="1155"/>
      <c r="L93" s="1156"/>
    </row>
    <row r="94" spans="1:12">
      <c r="B94" s="334" t="s">
        <v>1109</v>
      </c>
      <c r="C94" s="396">
        <f>C93*2</f>
        <v>290500</v>
      </c>
      <c r="D94" s="396" t="s">
        <v>1107</v>
      </c>
      <c r="E94" s="1154" t="s">
        <v>1110</v>
      </c>
      <c r="F94" s="1155"/>
      <c r="G94" s="1155"/>
      <c r="H94" s="1155"/>
      <c r="I94" s="1155"/>
      <c r="J94" s="1155"/>
      <c r="K94" s="1155"/>
      <c r="L94" s="1156"/>
    </row>
    <row r="95" spans="1:12">
      <c r="B95" s="334" t="s">
        <v>1111</v>
      </c>
      <c r="C95" s="396">
        <f>C94/50</f>
        <v>5810</v>
      </c>
      <c r="D95" s="396" t="s">
        <v>1107</v>
      </c>
      <c r="E95" s="1154" t="s">
        <v>1112</v>
      </c>
      <c r="F95" s="1155"/>
      <c r="G95" s="1155"/>
      <c r="H95" s="1155"/>
      <c r="I95" s="1155"/>
      <c r="J95" s="1155"/>
      <c r="K95" s="1155"/>
      <c r="L95" s="1156"/>
    </row>
    <row r="96" spans="1:12">
      <c r="B96" s="3"/>
      <c r="C96" s="130"/>
      <c r="D96" s="130"/>
      <c r="E96" s="130"/>
      <c r="F96" s="26"/>
      <c r="G96" s="126"/>
      <c r="H96" s="126"/>
      <c r="I96" s="126"/>
      <c r="J96" s="126"/>
      <c r="K96" s="126"/>
      <c r="L96" s="126"/>
    </row>
    <row r="97" spans="1:12">
      <c r="B97" s="298" t="s">
        <v>936</v>
      </c>
      <c r="C97" s="298" t="s">
        <v>1098</v>
      </c>
      <c r="D97" s="298" t="s">
        <v>1099</v>
      </c>
      <c r="E97" s="298" t="s">
        <v>711</v>
      </c>
      <c r="F97" s="1157" t="s">
        <v>930</v>
      </c>
      <c r="G97" s="1157"/>
      <c r="H97" s="1157"/>
      <c r="I97" s="1157"/>
      <c r="J97" s="1157"/>
      <c r="K97" s="1157"/>
      <c r="L97" s="1157"/>
    </row>
    <row r="98" spans="1:12" ht="14.25" customHeight="1">
      <c r="B98" s="334" t="s">
        <v>1113</v>
      </c>
      <c r="C98" s="396">
        <f>ROUND($C$95*(C90/$E$90), 2)</f>
        <v>4707.67</v>
      </c>
      <c r="D98" s="396">
        <f>ROUND($C$95*(D90/$E$90),2)</f>
        <v>1102</v>
      </c>
      <c r="E98" s="396" t="s">
        <v>1032</v>
      </c>
      <c r="F98" s="1158" t="s">
        <v>1114</v>
      </c>
      <c r="G98" s="1158"/>
      <c r="H98" s="1158"/>
      <c r="I98" s="1158"/>
      <c r="J98" s="1158"/>
      <c r="K98" s="1158"/>
      <c r="L98" s="1158"/>
    </row>
    <row r="99" spans="1:12">
      <c r="B99" s="3"/>
      <c r="C99" s="130"/>
      <c r="D99" s="130"/>
      <c r="E99" s="130"/>
      <c r="F99" s="26"/>
      <c r="G99" s="126"/>
      <c r="H99" s="126"/>
      <c r="I99" s="126"/>
      <c r="J99" s="126"/>
      <c r="K99" s="126"/>
      <c r="L99" s="126"/>
    </row>
    <row r="100" spans="1:12">
      <c r="B100" s="3"/>
      <c r="C100" s="130"/>
      <c r="D100" s="130"/>
      <c r="E100" s="130"/>
      <c r="F100" s="26"/>
      <c r="G100" s="126"/>
      <c r="H100" s="126"/>
      <c r="I100" s="126"/>
      <c r="J100" s="126"/>
      <c r="K100" s="126"/>
      <c r="L100" s="126"/>
    </row>
    <row r="101" spans="1:12">
      <c r="A101" s="727"/>
      <c r="B101" s="728" t="s">
        <v>943</v>
      </c>
      <c r="C101" s="727"/>
      <c r="D101" s="727"/>
      <c r="E101" s="727"/>
      <c r="F101" s="727"/>
      <c r="G101" s="727"/>
      <c r="H101" s="727"/>
    </row>
    <row r="102" spans="1:12">
      <c r="A102" s="725"/>
      <c r="B102" s="726" t="s">
        <v>912</v>
      </c>
      <c r="C102" s="725"/>
      <c r="D102" s="725"/>
      <c r="E102" s="725"/>
      <c r="F102" s="725"/>
      <c r="G102" s="725"/>
      <c r="H102" s="725"/>
    </row>
    <row r="103" spans="1:12" ht="29.1">
      <c r="B103" s="719" t="s">
        <v>913</v>
      </c>
      <c r="C103" s="719" t="s">
        <v>914</v>
      </c>
      <c r="D103" s="719" t="s">
        <v>915</v>
      </c>
      <c r="E103" s="719" t="s">
        <v>916</v>
      </c>
      <c r="F103" s="719" t="s">
        <v>917</v>
      </c>
      <c r="G103" s="719" t="s">
        <v>918</v>
      </c>
      <c r="H103" s="719" t="s">
        <v>919</v>
      </c>
    </row>
    <row r="104" spans="1:12">
      <c r="B104" s="278">
        <v>8</v>
      </c>
      <c r="C104" s="278" t="s">
        <v>1001</v>
      </c>
      <c r="D104" s="279" t="s">
        <v>907</v>
      </c>
      <c r="E104" s="278">
        <v>2019</v>
      </c>
      <c r="F104" s="278" t="s">
        <v>1002</v>
      </c>
      <c r="G104" s="278" t="s">
        <v>1003</v>
      </c>
      <c r="H104" s="278">
        <v>505</v>
      </c>
    </row>
    <row r="105" spans="1:12">
      <c r="B105" s="16"/>
    </row>
    <row r="106" spans="1:12">
      <c r="A106" s="725"/>
      <c r="B106" s="726" t="s">
        <v>924</v>
      </c>
      <c r="C106" s="725"/>
      <c r="D106" s="725"/>
      <c r="E106" s="725"/>
      <c r="F106" s="725"/>
      <c r="G106" s="725"/>
      <c r="H106" s="725"/>
    </row>
    <row r="107" spans="1:12">
      <c r="B107" s="277" t="s">
        <v>165</v>
      </c>
      <c r="C107" s="277" t="s">
        <v>925</v>
      </c>
      <c r="D107" s="277" t="s">
        <v>926</v>
      </c>
      <c r="E107" s="1134" t="s">
        <v>927</v>
      </c>
      <c r="F107" s="1134"/>
      <c r="G107" s="1134"/>
      <c r="H107" s="1134"/>
    </row>
    <row r="108" spans="1:12">
      <c r="B108" s="278" t="s">
        <v>169</v>
      </c>
      <c r="C108" s="278" t="s">
        <v>167</v>
      </c>
      <c r="D108" s="278">
        <f>VLOOKUP(C108,METHODOLOGY!$C$175:$D$177,2,FALSE)</f>
        <v>2</v>
      </c>
      <c r="E108" s="1087" t="str">
        <f>_xlfn.XLOOKUP(C108,METHODOLOGY!$E$150:$O$150,METHODOLOGY!$E$151:$O$151,"",0,1)</f>
        <v>The monetary values are recommended / referenced in other, well recognised and accepted guidance / tools relevant to another sector.</v>
      </c>
      <c r="F108" s="1087"/>
      <c r="G108" s="1087"/>
      <c r="H108" s="1087"/>
    </row>
    <row r="109" spans="1:12">
      <c r="B109" s="278" t="s">
        <v>173</v>
      </c>
      <c r="C109" s="278" t="s">
        <v>166</v>
      </c>
      <c r="D109" s="278">
        <f>VLOOKUP(C109,METHODOLOGY!$C$175:$D$177,2,FALSE)</f>
        <v>3</v>
      </c>
      <c r="E109" s="1087" t="str">
        <f>_xlfn.XLOOKUP(C109,METHODOLOGY!$E$150:$O$150,METHODOLOGY!$E$155:$O$155,"",0,1)</f>
        <v>Study has few limitations and is considered robust.</v>
      </c>
      <c r="F109" s="1087"/>
      <c r="G109" s="1087"/>
      <c r="H109" s="1087"/>
    </row>
    <row r="110" spans="1:12">
      <c r="B110" s="278" t="s">
        <v>177</v>
      </c>
      <c r="C110" s="278" t="s">
        <v>166</v>
      </c>
      <c r="D110" s="278">
        <f>VLOOKUP(C110,METHODOLOGY!$C$175:$D$177,2,FALSE)</f>
        <v>3</v>
      </c>
      <c r="E110" s="1087" t="str">
        <f>_xlfn.XLOOKUP(C110,METHODOLOGY!$E$150:$O$150,METHODOLOGY!$E$158:$O$158,"",0,1)</f>
        <v>0 – 5 years</v>
      </c>
      <c r="F110" s="1087"/>
      <c r="G110" s="1087"/>
      <c r="H110" s="1087"/>
    </row>
    <row r="111" spans="1:12">
      <c r="B111" s="278" t="s">
        <v>181</v>
      </c>
      <c r="C111" s="278" t="s">
        <v>167</v>
      </c>
      <c r="D111" s="278">
        <f>VLOOKUP(C111,METHODOLOGY!$C$175:$D$177,2,FALSE)</f>
        <v>2</v>
      </c>
      <c r="E111" s="1087" t="str">
        <f>_xlfn.XLOOKUP(C111,METHODOLOGY!$E$150:$O$150,METHODOLOGY!$E$160:$O$160,"",0,1)</f>
        <v>Less geographically relevant e.g. Europe or relevant to a specific UK region</v>
      </c>
      <c r="F111" s="1087"/>
      <c r="G111" s="1087"/>
      <c r="H111" s="1087"/>
    </row>
    <row r="112" spans="1:12">
      <c r="B112" s="278" t="s">
        <v>928</v>
      </c>
      <c r="C112" s="278" t="s">
        <v>167</v>
      </c>
      <c r="D112" s="278">
        <f>VLOOKUP(C112,METHODOLOGY!$C$175:$D$177,2,FALSE)</f>
        <v>2</v>
      </c>
      <c r="E112" s="1087" t="str">
        <f>_xlfn.XLOOKUP(C112,METHODOLOGY!$E$150:$O$150,METHODOLOGY!$E$162:$O$162,"",0,1)</f>
        <v>Meta-analysis or limited understanding of what the value represents.</v>
      </c>
      <c r="F112" s="1087"/>
      <c r="G112" s="1087"/>
      <c r="H112" s="1087"/>
    </row>
    <row r="113" spans="1:23">
      <c r="B113" s="278" t="s">
        <v>189</v>
      </c>
      <c r="C113" s="278" t="s">
        <v>167</v>
      </c>
      <c r="D113" s="278">
        <f>VLOOKUP(C113,METHODOLOGY!$C$175:$D$177,2,FALSE)</f>
        <v>2</v>
      </c>
      <c r="E113" s="1087" t="str">
        <f>_xlfn.XLOOKUP(C113,METHODOLOGY!$E$150:$O$150,METHODOLOGY!$E$164:$O$164,"",0,1)</f>
        <v xml:space="preserve">The original valuation can be used with some modification e.g. applying household numbers. The calculation is simple or introduces low levels of uncertainty. </v>
      </c>
      <c r="F113" s="1087"/>
      <c r="G113" s="1087"/>
      <c r="H113" s="1087"/>
    </row>
    <row r="114" spans="1:23">
      <c r="C114" s="282" t="s">
        <v>924</v>
      </c>
      <c r="D114" s="326">
        <f>IF(AND(D113=1,AVERAGE(D108:D113)&gt;2.14285714285714),2.14285714285714,IF(AND(D113=2,AVERAGE(D108:D113)&gt;2.57142857142857),2.57142857142857,AVERAGE(D108:D113)))</f>
        <v>2.3333333333333335</v>
      </c>
      <c r="E114" s="270" t="str">
        <f>IF(D114&lt;=2.14285714285714,"Red",IF(D114&lt;=2.57142857142857,"Amber",IF(D114&lt;=3,"Green")))</f>
        <v>Amber</v>
      </c>
    </row>
    <row r="117" spans="1:23">
      <c r="A117" s="725"/>
      <c r="B117" s="726" t="s">
        <v>929</v>
      </c>
      <c r="C117" s="725"/>
      <c r="D117" s="725"/>
      <c r="E117" s="725"/>
      <c r="F117" s="725"/>
      <c r="G117" s="725"/>
      <c r="H117" s="725"/>
    </row>
    <row r="118" spans="1:23">
      <c r="B118" s="277" t="s">
        <v>913</v>
      </c>
      <c r="C118" s="277" t="s">
        <v>1089</v>
      </c>
      <c r="D118" s="277" t="s">
        <v>902</v>
      </c>
      <c r="E118" s="277" t="s">
        <v>331</v>
      </c>
      <c r="F118" s="277" t="s">
        <v>226</v>
      </c>
      <c r="G118" s="1157" t="s">
        <v>930</v>
      </c>
      <c r="H118" s="1157"/>
      <c r="I118" s="1157"/>
      <c r="J118" s="1157"/>
      <c r="K118" s="1157"/>
      <c r="L118" s="1157"/>
    </row>
    <row r="119" spans="1:23">
      <c r="B119" s="305">
        <v>8</v>
      </c>
      <c r="C119" s="278" t="s">
        <v>151</v>
      </c>
      <c r="D119" s="278" t="s">
        <v>497</v>
      </c>
      <c r="E119" s="300">
        <v>0.6</v>
      </c>
      <c r="F119" s="416" t="s">
        <v>1115</v>
      </c>
      <c r="G119" s="1123" t="s">
        <v>1116</v>
      </c>
      <c r="H119" s="1124"/>
      <c r="I119" s="1124"/>
      <c r="J119" s="1124"/>
      <c r="K119" s="1124"/>
      <c r="L119" s="1125"/>
    </row>
    <row r="120" spans="1:23">
      <c r="B120" s="305">
        <v>8</v>
      </c>
      <c r="C120" s="278" t="s">
        <v>151</v>
      </c>
      <c r="D120" s="278" t="s">
        <v>497</v>
      </c>
      <c r="E120" s="300">
        <v>1.78</v>
      </c>
      <c r="F120" s="416" t="s">
        <v>1115</v>
      </c>
      <c r="G120" s="1123" t="s">
        <v>1117</v>
      </c>
      <c r="H120" s="1124"/>
      <c r="I120" s="1124"/>
      <c r="J120" s="1124"/>
      <c r="K120" s="1124"/>
      <c r="L120" s="1125"/>
    </row>
    <row r="121" spans="1:23">
      <c r="B121" s="305">
        <v>8</v>
      </c>
      <c r="C121" s="278" t="s">
        <v>462</v>
      </c>
      <c r="D121" s="278" t="s">
        <v>497</v>
      </c>
      <c r="E121" s="300">
        <v>15.27</v>
      </c>
      <c r="F121" s="416" t="s">
        <v>1115</v>
      </c>
      <c r="G121" s="1123" t="s">
        <v>1118</v>
      </c>
      <c r="H121" s="1124"/>
      <c r="I121" s="1124"/>
      <c r="J121" s="1124"/>
      <c r="K121" s="1124"/>
      <c r="L121" s="1125"/>
    </row>
    <row r="122" spans="1:23">
      <c r="B122" s="305">
        <v>8</v>
      </c>
      <c r="C122" s="278" t="s">
        <v>462</v>
      </c>
      <c r="D122" s="278" t="s">
        <v>497</v>
      </c>
      <c r="E122" s="300">
        <v>7.53</v>
      </c>
      <c r="F122" s="416" t="s">
        <v>1115</v>
      </c>
      <c r="G122" s="1123" t="s">
        <v>1119</v>
      </c>
      <c r="H122" s="1124"/>
      <c r="I122" s="1124"/>
      <c r="J122" s="1124"/>
      <c r="K122" s="1124"/>
      <c r="L122" s="1125"/>
    </row>
    <row r="124" spans="1:23" s="217" customFormat="1">
      <c r="A124" s="727"/>
      <c r="B124" s="728" t="s">
        <v>1028</v>
      </c>
      <c r="C124" s="727"/>
      <c r="D124" s="727"/>
      <c r="E124" s="727"/>
      <c r="F124" s="727"/>
      <c r="G124" s="727"/>
      <c r="H124" s="727"/>
      <c r="I124" s="2"/>
      <c r="J124" s="2"/>
      <c r="K124" s="2"/>
      <c r="L124" s="2"/>
      <c r="M124" s="2"/>
      <c r="N124" s="2"/>
      <c r="O124" s="2"/>
      <c r="P124" s="2"/>
      <c r="Q124" s="2"/>
      <c r="R124" s="2"/>
      <c r="S124" s="2"/>
      <c r="T124" s="2"/>
      <c r="U124" s="2"/>
      <c r="V124" s="2"/>
      <c r="W124" s="2"/>
    </row>
    <row r="125" spans="1:23" s="217" customFormat="1">
      <c r="A125" s="725"/>
      <c r="B125" s="726" t="s">
        <v>912</v>
      </c>
      <c r="C125" s="725"/>
      <c r="D125" s="725"/>
      <c r="E125" s="725"/>
      <c r="F125" s="725"/>
      <c r="G125" s="725"/>
      <c r="H125" s="725"/>
      <c r="I125" s="2"/>
      <c r="J125" s="2"/>
      <c r="K125" s="2"/>
      <c r="L125" s="2"/>
      <c r="M125" s="2"/>
      <c r="N125" s="2"/>
      <c r="O125" s="2"/>
      <c r="P125" s="2"/>
      <c r="Q125" s="2"/>
      <c r="R125" s="2"/>
      <c r="S125" s="2"/>
      <c r="T125" s="2"/>
      <c r="U125" s="2"/>
      <c r="V125" s="2"/>
      <c r="W125" s="2"/>
    </row>
    <row r="126" spans="1:23" ht="29.1">
      <c r="B126" s="719" t="s">
        <v>913</v>
      </c>
      <c r="C126" s="719" t="s">
        <v>914</v>
      </c>
      <c r="D126" s="719" t="s">
        <v>915</v>
      </c>
      <c r="E126" s="719" t="s">
        <v>916</v>
      </c>
      <c r="F126" s="719" t="s">
        <v>917</v>
      </c>
      <c r="G126" s="719" t="s">
        <v>918</v>
      </c>
      <c r="H126" s="719" t="s">
        <v>919</v>
      </c>
    </row>
    <row r="127" spans="1:23">
      <c r="B127" s="281">
        <v>76</v>
      </c>
      <c r="C127" s="278" t="s">
        <v>1120</v>
      </c>
      <c r="D127" s="279" t="s">
        <v>907</v>
      </c>
      <c r="E127" s="278">
        <v>2023</v>
      </c>
      <c r="F127" s="278" t="s">
        <v>1047</v>
      </c>
      <c r="G127" s="278" t="s">
        <v>1121</v>
      </c>
      <c r="H127" s="278">
        <v>50</v>
      </c>
    </row>
    <row r="128" spans="1:23">
      <c r="B128" s="16"/>
    </row>
    <row r="129" spans="1:23" s="217" customFormat="1">
      <c r="A129" s="725"/>
      <c r="B129" s="726" t="s">
        <v>924</v>
      </c>
      <c r="C129" s="725"/>
      <c r="D129" s="725"/>
      <c r="E129" s="725"/>
      <c r="F129" s="725"/>
      <c r="G129" s="725"/>
      <c r="H129" s="725"/>
      <c r="I129" s="2"/>
      <c r="J129" s="2"/>
      <c r="K129" s="2"/>
      <c r="L129" s="2"/>
      <c r="M129" s="2"/>
      <c r="N129" s="2"/>
      <c r="O129" s="2"/>
      <c r="P129" s="2"/>
      <c r="Q129" s="2"/>
      <c r="R129" s="2"/>
      <c r="S129" s="2"/>
      <c r="T129" s="2"/>
      <c r="U129" s="2"/>
      <c r="V129" s="2"/>
      <c r="W129" s="2"/>
    </row>
    <row r="130" spans="1:23">
      <c r="B130" s="277" t="s">
        <v>165</v>
      </c>
      <c r="C130" s="277" t="s">
        <v>925</v>
      </c>
      <c r="D130" s="277" t="s">
        <v>926</v>
      </c>
      <c r="E130" s="1134" t="s">
        <v>927</v>
      </c>
      <c r="F130" s="1134"/>
      <c r="G130" s="1134"/>
      <c r="H130" s="1134"/>
    </row>
    <row r="131" spans="1:23">
      <c r="B131" s="278" t="s">
        <v>169</v>
      </c>
      <c r="C131" s="278" t="s">
        <v>167</v>
      </c>
      <c r="D131" s="278">
        <f>VLOOKUP(C131,METHODOLOGY!$C$175:$D$177,2,FALSE)</f>
        <v>2</v>
      </c>
      <c r="E131" s="1087" t="str">
        <f>_xlfn.XLOOKUP(C131,METHODOLOGY!$E$150:$O$150,METHODOLOGY!$E$151:$O$151,"",0,1)</f>
        <v>The monetary values are recommended / referenced in other, well recognised and accepted guidance / tools relevant to another sector.</v>
      </c>
      <c r="F131" s="1087"/>
      <c r="G131" s="1087"/>
      <c r="H131" s="1087"/>
    </row>
    <row r="132" spans="1:23">
      <c r="B132" s="278" t="s">
        <v>173</v>
      </c>
      <c r="C132" s="278" t="s">
        <v>166</v>
      </c>
      <c r="D132" s="278">
        <f>VLOOKUP(C132,METHODOLOGY!$C$175:$D$177,2,FALSE)</f>
        <v>3</v>
      </c>
      <c r="E132" s="1087" t="str">
        <f>_xlfn.XLOOKUP(C132,METHODOLOGY!$E$150:$O$150,METHODOLOGY!$E$155:$O$155,"",0,1)</f>
        <v>Study has few limitations and is considered robust.</v>
      </c>
      <c r="F132" s="1087"/>
      <c r="G132" s="1087"/>
      <c r="H132" s="1087"/>
    </row>
    <row r="133" spans="1:23">
      <c r="B133" s="278" t="s">
        <v>177</v>
      </c>
      <c r="C133" s="278" t="s">
        <v>166</v>
      </c>
      <c r="D133" s="278">
        <f>VLOOKUP(C133,METHODOLOGY!$C$175:$D$177,2,FALSE)</f>
        <v>3</v>
      </c>
      <c r="E133" s="1087" t="str">
        <f>_xlfn.XLOOKUP(C133,METHODOLOGY!$E$150:$O$150,METHODOLOGY!$E$158:$O$158,"",0,1)</f>
        <v>0 – 5 years</v>
      </c>
      <c r="F133" s="1087"/>
      <c r="G133" s="1087"/>
      <c r="H133" s="1087"/>
    </row>
    <row r="134" spans="1:23">
      <c r="B134" s="278" t="s">
        <v>181</v>
      </c>
      <c r="C134" s="278" t="s">
        <v>167</v>
      </c>
      <c r="D134" s="278">
        <f>VLOOKUP(C134,METHODOLOGY!$C$175:$D$177,2,FALSE)</f>
        <v>2</v>
      </c>
      <c r="E134" s="1087" t="str">
        <f>_xlfn.XLOOKUP(C134,METHODOLOGY!$E$150:$O$150,METHODOLOGY!$E$160:$O$160,"",0,1)</f>
        <v>Less geographically relevant e.g. Europe or relevant to a specific UK region</v>
      </c>
      <c r="F134" s="1087"/>
      <c r="G134" s="1087"/>
      <c r="H134" s="1087"/>
    </row>
    <row r="135" spans="1:23">
      <c r="B135" s="278" t="s">
        <v>928</v>
      </c>
      <c r="C135" s="278" t="s">
        <v>167</v>
      </c>
      <c r="D135" s="278">
        <f>VLOOKUP(C135,METHODOLOGY!$C$175:$D$177,2,FALSE)</f>
        <v>2</v>
      </c>
      <c r="E135" s="1087" t="str">
        <f>_xlfn.XLOOKUP(C135,METHODOLOGY!$E$150:$O$150,METHODOLOGY!$E$162:$O$162,"",0,1)</f>
        <v>Meta-analysis or limited understanding of what the value represents.</v>
      </c>
      <c r="F135" s="1087"/>
      <c r="G135" s="1087"/>
      <c r="H135" s="1087"/>
    </row>
    <row r="136" spans="1:23">
      <c r="B136" s="278" t="s">
        <v>189</v>
      </c>
      <c r="C136" s="278" t="s">
        <v>168</v>
      </c>
      <c r="D136" s="278">
        <f>VLOOKUP(C136,METHODOLOGY!$C$175:$D$177,2,FALSE)</f>
        <v>1</v>
      </c>
      <c r="E136" s="1087" t="str">
        <f>_xlfn.XLOOKUP(C136,METHODOLOGY!$E$150:$O$150,METHODOLOGY!$E$164:$O$164,"",0,1)</f>
        <v xml:space="preserve">The original valuation can be used with significant modification e.g. several additional data inputs are required to use the original source. The calculation is complex or introduces significant uncertainty. </v>
      </c>
      <c r="F136" s="1087"/>
      <c r="G136" s="1087"/>
      <c r="H136" s="1087"/>
    </row>
    <row r="137" spans="1:23">
      <c r="C137" s="282" t="s">
        <v>924</v>
      </c>
      <c r="D137" s="326">
        <f>IF(AND(D136=1,AVERAGE(D131:D136)&gt;2.14285714285714),2.14285714285714,IF(AND(D136=2,AVERAGE(D131:D136)&gt;2.57142857142857),2.57142857142857,AVERAGE(D131:D136)))</f>
        <v>2.1428571428571401</v>
      </c>
      <c r="E137" s="270" t="str">
        <f>IF(D137&lt;=2.14285714285714,"Red",IF(D137&lt;=2.57142857142857,"Amber",IF(D137&lt;=3,"Green")))</f>
        <v>Red</v>
      </c>
    </row>
    <row r="140" spans="1:23" s="217" customFormat="1">
      <c r="A140" s="725"/>
      <c r="B140" s="726" t="s">
        <v>929</v>
      </c>
      <c r="C140" s="725"/>
      <c r="D140" s="725"/>
      <c r="E140" s="725"/>
      <c r="F140" s="725"/>
      <c r="G140" s="725"/>
      <c r="H140" s="725"/>
      <c r="I140" s="2"/>
      <c r="J140" s="2"/>
      <c r="K140" s="2"/>
      <c r="L140" s="2"/>
      <c r="M140" s="2"/>
      <c r="N140" s="2"/>
      <c r="O140" s="2"/>
      <c r="P140" s="2"/>
      <c r="Q140" s="2"/>
      <c r="R140" s="2"/>
      <c r="S140" s="2"/>
      <c r="T140" s="2"/>
      <c r="U140" s="2"/>
      <c r="V140" s="2"/>
      <c r="W140" s="2"/>
    </row>
    <row r="141" spans="1:23">
      <c r="B141" s="277" t="s">
        <v>913</v>
      </c>
      <c r="C141" s="277" t="s">
        <v>1089</v>
      </c>
      <c r="D141" s="277" t="s">
        <v>902</v>
      </c>
      <c r="E141" s="277" t="s">
        <v>331</v>
      </c>
      <c r="F141" s="277" t="s">
        <v>226</v>
      </c>
      <c r="G141" s="1157" t="s">
        <v>930</v>
      </c>
      <c r="H141" s="1157"/>
      <c r="I141" s="1157"/>
      <c r="J141" s="1157"/>
      <c r="K141" s="1157"/>
      <c r="L141" s="1157"/>
    </row>
    <row r="142" spans="1:23" ht="32.450000000000003" customHeight="1">
      <c r="B142" s="305">
        <v>76</v>
      </c>
      <c r="C142" s="278" t="s">
        <v>151</v>
      </c>
      <c r="D142" s="375" t="s">
        <v>497</v>
      </c>
      <c r="E142" s="300">
        <v>1.68</v>
      </c>
      <c r="F142" s="416" t="s">
        <v>1122</v>
      </c>
      <c r="G142" s="1123" t="s">
        <v>1123</v>
      </c>
      <c r="H142" s="1119"/>
      <c r="I142" s="1119"/>
      <c r="J142" s="1119"/>
      <c r="K142" s="1119"/>
      <c r="L142" s="1091"/>
    </row>
    <row r="144" spans="1:23">
      <c r="A144" s="727"/>
      <c r="B144" s="728" t="s">
        <v>901</v>
      </c>
      <c r="C144" s="727"/>
      <c r="D144" s="727"/>
      <c r="E144" s="727"/>
      <c r="F144" s="727"/>
      <c r="G144" s="727"/>
      <c r="H144" s="727"/>
    </row>
    <row r="145" spans="1:23" ht="29.1">
      <c r="B145" s="277" t="s">
        <v>902</v>
      </c>
      <c r="C145" s="277" t="s">
        <v>898</v>
      </c>
      <c r="D145" s="277" t="s">
        <v>899</v>
      </c>
      <c r="E145" s="298" t="s">
        <v>903</v>
      </c>
      <c r="F145" s="277" t="s">
        <v>904</v>
      </c>
      <c r="G145" s="277" t="s">
        <v>905</v>
      </c>
      <c r="H145" s="277" t="s">
        <v>924</v>
      </c>
      <c r="I145" s="277" t="s">
        <v>956</v>
      </c>
      <c r="J145" s="277" t="s">
        <v>927</v>
      </c>
    </row>
    <row r="146" spans="1:23" ht="87.75" customHeight="1">
      <c r="B146" s="278" t="s">
        <v>497</v>
      </c>
      <c r="C146" s="278" t="s">
        <v>151</v>
      </c>
      <c r="D146" s="299" t="s">
        <v>1087</v>
      </c>
      <c r="E146" s="299" t="s">
        <v>957</v>
      </c>
      <c r="F146" s="278" t="str" cm="1">
        <f t="array" ref="F146">_xlfn.XLOOKUP(1,(D151:D152=B146)*(E151:E152=C146),B151:B152,"Not found",0,1)</f>
        <v>3-1</v>
      </c>
      <c r="G146" s="300">
        <f>VLOOKUP(F146,B151:L153,11,FALSE)</f>
        <v>5792.4085583052702</v>
      </c>
      <c r="H146" s="1120">
        <f>$D$51</f>
        <v>2.3333333333333335</v>
      </c>
      <c r="I146" s="1162" t="s">
        <v>1059</v>
      </c>
      <c r="J146" s="1162" t="s">
        <v>1124</v>
      </c>
    </row>
    <row r="147" spans="1:23" ht="87.75" customHeight="1">
      <c r="B147" s="278" t="s">
        <v>497</v>
      </c>
      <c r="C147" s="278" t="s">
        <v>462</v>
      </c>
      <c r="D147" s="299" t="s">
        <v>1088</v>
      </c>
      <c r="E147" s="299" t="s">
        <v>957</v>
      </c>
      <c r="F147" s="278" t="str" cm="1">
        <f t="array" ref="F147">_xlfn.XLOOKUP(1,(D152:D153=B147)*(E152:E153=C147),B152:B153,"Not found",0,1)</f>
        <v>3-2</v>
      </c>
      <c r="G147" s="300">
        <f>VLOOKUP(F147,B152:L154,11,FALSE)</f>
        <v>1355.9221931979955</v>
      </c>
      <c r="H147" s="1122"/>
      <c r="I147" s="1163"/>
      <c r="J147" s="1163"/>
    </row>
    <row r="148" spans="1:23">
      <c r="B148" s="18"/>
    </row>
    <row r="149" spans="1:23">
      <c r="A149" s="725"/>
      <c r="B149" s="726" t="s">
        <v>962</v>
      </c>
      <c r="C149" s="725"/>
      <c r="D149" s="725"/>
      <c r="E149" s="725"/>
      <c r="F149" s="725"/>
      <c r="G149" s="725"/>
      <c r="H149" s="725"/>
    </row>
    <row r="150" spans="1:23">
      <c r="B150" s="277" t="s">
        <v>904</v>
      </c>
      <c r="C150" s="277" t="s">
        <v>62</v>
      </c>
      <c r="D150" s="277" t="s">
        <v>902</v>
      </c>
      <c r="E150" s="277" t="s">
        <v>898</v>
      </c>
      <c r="F150" s="277" t="s">
        <v>916</v>
      </c>
      <c r="G150" s="277" t="s">
        <v>963</v>
      </c>
      <c r="H150" s="277" t="s">
        <v>964</v>
      </c>
      <c r="I150" s="277" t="s">
        <v>965</v>
      </c>
      <c r="J150" s="277" t="s">
        <v>966</v>
      </c>
      <c r="K150" s="277" t="s">
        <v>967</v>
      </c>
      <c r="L150" s="277" t="s">
        <v>968</v>
      </c>
      <c r="M150" s="277" t="s">
        <v>956</v>
      </c>
      <c r="N150" s="277" t="s">
        <v>969</v>
      </c>
      <c r="O150" s="277" t="s">
        <v>970</v>
      </c>
      <c r="P150" s="277" t="s">
        <v>927</v>
      </c>
      <c r="Q150" s="277" t="s">
        <v>913</v>
      </c>
      <c r="R150" s="277" t="s">
        <v>914</v>
      </c>
      <c r="S150" s="277" t="s">
        <v>915</v>
      </c>
      <c r="T150" s="277" t="s">
        <v>916</v>
      </c>
      <c r="U150" s="277" t="s">
        <v>917</v>
      </c>
      <c r="V150" s="277" t="s">
        <v>918</v>
      </c>
      <c r="W150" s="277" t="s">
        <v>919</v>
      </c>
    </row>
    <row r="151" spans="1:23">
      <c r="B151" s="302" t="s">
        <v>1125</v>
      </c>
      <c r="C151" s="279" t="s">
        <v>359</v>
      </c>
      <c r="D151" s="278" t="s">
        <v>497</v>
      </c>
      <c r="E151" s="278" t="s">
        <v>151</v>
      </c>
      <c r="F151" s="299">
        <f>E41</f>
        <v>2018</v>
      </c>
      <c r="G151" s="278">
        <v>2017</v>
      </c>
      <c r="H151" s="278">
        <f>'COMPANY INPUT'!$C$16</f>
        <v>2023</v>
      </c>
      <c r="I151" s="278">
        <f>VLOOKUP(G151,'GDP Deflators'!$H$13:$I$86,2,FALSE)</f>
        <v>81.273099999999999</v>
      </c>
      <c r="J151" s="278">
        <f>VLOOKUP(H151,'GDP Deflators'!$H$13:$I$86,2,FALSE)</f>
        <v>100</v>
      </c>
      <c r="K151" s="387">
        <f>C98</f>
        <v>4707.67</v>
      </c>
      <c r="L151" s="746">
        <f>K151*(J151/I151)</f>
        <v>5792.4085583052702</v>
      </c>
      <c r="M151" s="300" t="str">
        <f>$I$146</f>
        <v>Willingness to Accept</v>
      </c>
      <c r="N151" s="326">
        <f>$H$146</f>
        <v>2.3333333333333335</v>
      </c>
      <c r="O151" s="278" t="s">
        <v>718</v>
      </c>
      <c r="P151" s="300" t="str">
        <f>$J$146</f>
        <v>WTP study that most closely aligns to service measure impact categories. No Ofwat Collaborative Customer Research valuation available.</v>
      </c>
      <c r="Q151" s="299">
        <f>B$41</f>
        <v>136</v>
      </c>
      <c r="R151" s="299" t="str">
        <f t="shared" ref="R151:W151" si="0">C$41</f>
        <v>UU (2018) Customer research triangulation report</v>
      </c>
      <c r="S151" s="299" t="str">
        <f t="shared" si="0"/>
        <v>/</v>
      </c>
      <c r="T151" s="299">
        <f t="shared" si="0"/>
        <v>2018</v>
      </c>
      <c r="U151" s="299" t="str">
        <f t="shared" si="0"/>
        <v>England</v>
      </c>
      <c r="V151" s="299" t="str">
        <f t="shared" si="0"/>
        <v>UU region</v>
      </c>
      <c r="W151" s="299" t="str">
        <f t="shared" si="0"/>
        <v>Unknown</v>
      </c>
    </row>
    <row r="152" spans="1:23">
      <c r="B152" s="302" t="s">
        <v>1126</v>
      </c>
      <c r="C152" s="279" t="s">
        <v>359</v>
      </c>
      <c r="D152" s="278" t="s">
        <v>497</v>
      </c>
      <c r="E152" s="299" t="s">
        <v>462</v>
      </c>
      <c r="F152" s="299">
        <f>E41</f>
        <v>2018</v>
      </c>
      <c r="G152" s="278">
        <v>2017</v>
      </c>
      <c r="H152" s="278">
        <f>'COMPANY INPUT'!$C$16</f>
        <v>2023</v>
      </c>
      <c r="I152" s="278">
        <f>VLOOKUP(G152,'GDP Deflators'!$H$13:$I$86,2,FALSE)</f>
        <v>81.273099999999999</v>
      </c>
      <c r="J152" s="278">
        <f>VLOOKUP(H152,'GDP Deflators'!$H$13:$I$86,2,FALSE)</f>
        <v>100</v>
      </c>
      <c r="K152" s="387">
        <f>D98</f>
        <v>1102</v>
      </c>
      <c r="L152" s="746">
        <f>K152*(J152/I152)</f>
        <v>1355.9221931979955</v>
      </c>
      <c r="M152" s="300" t="str">
        <f>$I$146</f>
        <v>Willingness to Accept</v>
      </c>
      <c r="N152" s="326">
        <f>$H$146</f>
        <v>2.3333333333333335</v>
      </c>
      <c r="O152" s="278" t="s">
        <v>718</v>
      </c>
      <c r="P152" s="300" t="str">
        <f>$J$146</f>
        <v>WTP study that most closely aligns to service measure impact categories. No Ofwat Collaborative Customer Research valuation available.</v>
      </c>
      <c r="Q152" s="299">
        <f>B$41</f>
        <v>136</v>
      </c>
      <c r="R152" s="299" t="str">
        <f t="shared" ref="R152" si="1">C$41</f>
        <v>UU (2018) Customer research triangulation report</v>
      </c>
      <c r="S152" s="299" t="str">
        <f t="shared" ref="S152" si="2">D$41</f>
        <v>/</v>
      </c>
      <c r="T152" s="299">
        <f t="shared" ref="T152" si="3">E$41</f>
        <v>2018</v>
      </c>
      <c r="U152" s="299" t="str">
        <f t="shared" ref="U152" si="4">F$41</f>
        <v>England</v>
      </c>
      <c r="V152" s="299" t="str">
        <f t="shared" ref="V152" si="5">G$41</f>
        <v>UU region</v>
      </c>
      <c r="W152" s="299" t="str">
        <f t="shared" ref="W152" si="6">H$41</f>
        <v>Unknown</v>
      </c>
    </row>
  </sheetData>
  <sheetProtection algorithmName="SHA-512" hashValue="l4fInaQufAfu8OUU14358IFsTdT5N/Enso/MNHfn7O70xLRkVBUxsrIkCeidb66Zbu59f3qbCjAMGoP3/dVP0g==" saltValue="R1YEFzVx7TNESsvl3FVTpw==" spinCount="100000" sheet="1" objects="1" scenarios="1"/>
  <dataConsolidate/>
  <mergeCells count="45">
    <mergeCell ref="E135:H135"/>
    <mergeCell ref="E136:H136"/>
    <mergeCell ref="E130:H130"/>
    <mergeCell ref="E131:H131"/>
    <mergeCell ref="E132:H132"/>
    <mergeCell ref="E133:H133"/>
    <mergeCell ref="E134:H134"/>
    <mergeCell ref="I146:I147"/>
    <mergeCell ref="J146:J147"/>
    <mergeCell ref="H146:H147"/>
    <mergeCell ref="G141:L141"/>
    <mergeCell ref="G142:L142"/>
    <mergeCell ref="B5:H5"/>
    <mergeCell ref="E44:H44"/>
    <mergeCell ref="E45:H45"/>
    <mergeCell ref="E46:H46"/>
    <mergeCell ref="E47:H47"/>
    <mergeCell ref="E48:H48"/>
    <mergeCell ref="E49:H49"/>
    <mergeCell ref="E50:H50"/>
    <mergeCell ref="G89:L89"/>
    <mergeCell ref="G90:L90"/>
    <mergeCell ref="G59:L59"/>
    <mergeCell ref="G55:L55"/>
    <mergeCell ref="G56:L56"/>
    <mergeCell ref="G57:L57"/>
    <mergeCell ref="G58:L58"/>
    <mergeCell ref="E92:L92"/>
    <mergeCell ref="E93:L93"/>
    <mergeCell ref="F97:L97"/>
    <mergeCell ref="G120:L120"/>
    <mergeCell ref="G121:L121"/>
    <mergeCell ref="G122:L122"/>
    <mergeCell ref="E94:L94"/>
    <mergeCell ref="E95:L95"/>
    <mergeCell ref="G118:L118"/>
    <mergeCell ref="G119:L119"/>
    <mergeCell ref="F98:L98"/>
    <mergeCell ref="E107:H107"/>
    <mergeCell ref="E108:H108"/>
    <mergeCell ref="E109:H109"/>
    <mergeCell ref="E110:H110"/>
    <mergeCell ref="E111:H111"/>
    <mergeCell ref="E112:H112"/>
    <mergeCell ref="E113:H113"/>
  </mergeCells>
  <phoneticPr fontId="16" type="noConversion"/>
  <conditionalFormatting sqref="D51:E51">
    <cfRule type="cellIs" dxfId="1168" priority="17" operator="lessThanOrEqual">
      <formula>2.14285714285714</formula>
    </cfRule>
    <cfRule type="cellIs" dxfId="1167" priority="18" operator="lessThanOrEqual">
      <formula>2.57142857142857</formula>
    </cfRule>
    <cfRule type="cellIs" dxfId="1166" priority="19" operator="lessThanOrEqual">
      <formula>3</formula>
    </cfRule>
  </conditionalFormatting>
  <conditionalFormatting sqref="D114:E114">
    <cfRule type="cellIs" dxfId="1165" priority="11" operator="lessThanOrEqual">
      <formula>2.14285714285714</formula>
    </cfRule>
    <cfRule type="cellIs" dxfId="1164" priority="12" operator="lessThanOrEqual">
      <formula>2.57142857142857</formula>
    </cfRule>
    <cfRule type="cellIs" dxfId="1163" priority="13" operator="lessThanOrEqual">
      <formula>3</formula>
    </cfRule>
  </conditionalFormatting>
  <conditionalFormatting sqref="D137:E137">
    <cfRule type="cellIs" dxfId="1162" priority="5" operator="lessThanOrEqual">
      <formula>2.14285714285714</formula>
    </cfRule>
    <cfRule type="cellIs" dxfId="1161" priority="6" operator="lessThanOrEqual">
      <formula>2.57142857142857</formula>
    </cfRule>
    <cfRule type="cellIs" dxfId="1160" priority="7" operator="lessThanOrEqual">
      <formula>3</formula>
    </cfRule>
  </conditionalFormatting>
  <conditionalFormatting sqref="D11:H11">
    <cfRule type="notContainsBlanks" dxfId="1159" priority="1">
      <formula>LEN(TRIM(D11))&gt;0</formula>
    </cfRule>
  </conditionalFormatting>
  <conditionalFormatting sqref="E51">
    <cfRule type="containsText" dxfId="1158" priority="14" operator="containsText" text="Green">
      <formula>NOT(ISERROR(SEARCH("Green",E51)))</formula>
    </cfRule>
    <cfRule type="containsText" dxfId="1157" priority="15" operator="containsText" text="Amber">
      <formula>NOT(ISERROR(SEARCH("Amber",E51)))</formula>
    </cfRule>
    <cfRule type="containsText" dxfId="1156" priority="16" operator="containsText" text="Red">
      <formula>NOT(ISERROR(SEARCH("Red",E51)))</formula>
    </cfRule>
  </conditionalFormatting>
  <conditionalFormatting sqref="E114">
    <cfRule type="containsText" dxfId="1155" priority="8" operator="containsText" text="Green">
      <formula>NOT(ISERROR(SEARCH("Green",E114)))</formula>
    </cfRule>
    <cfRule type="containsText" dxfId="1154" priority="9" operator="containsText" text="Amber">
      <formula>NOT(ISERROR(SEARCH("Amber",E114)))</formula>
    </cfRule>
    <cfRule type="containsText" dxfId="1153" priority="10" operator="containsText" text="Red">
      <formula>NOT(ISERROR(SEARCH("Red",E114)))</formula>
    </cfRule>
  </conditionalFormatting>
  <conditionalFormatting sqref="E137">
    <cfRule type="containsText" dxfId="1152" priority="2" operator="containsText" text="Green">
      <formula>NOT(ISERROR(SEARCH("Green",E137)))</formula>
    </cfRule>
    <cfRule type="containsText" dxfId="1151" priority="3" operator="containsText" text="Amber">
      <formula>NOT(ISERROR(SEARCH("Amber",E137)))</formula>
    </cfRule>
    <cfRule type="containsText" dxfId="1150" priority="4" operator="containsText" text="Red">
      <formula>NOT(ISERROR(SEARCH("Red",E137)))</formula>
    </cfRule>
  </conditionalFormatting>
  <conditionalFormatting sqref="H146">
    <cfRule type="cellIs" dxfId="1149" priority="20" operator="lessThanOrEqual">
      <formula>2.14285714285714</formula>
    </cfRule>
    <cfRule type="cellIs" dxfId="1148" priority="21" operator="lessThanOrEqual">
      <formula>2.57142857142857</formula>
    </cfRule>
    <cfRule type="cellIs" dxfId="1147" priority="22" operator="lessThanOrEqual">
      <formula>3</formula>
    </cfRule>
  </conditionalFormatting>
  <conditionalFormatting sqref="N151:N152">
    <cfRule type="cellIs" dxfId="1146" priority="23" operator="lessThanOrEqual">
      <formula>2.14285714285714</formula>
    </cfRule>
    <cfRule type="cellIs" dxfId="1145" priority="24" operator="lessThanOrEqual">
      <formula>2.57142857142857</formula>
    </cfRule>
    <cfRule type="cellIs" dxfId="1144" priority="25" operator="lessThanOrEqual">
      <formula>3</formula>
    </cfRule>
  </conditionalFormatting>
  <dataValidations count="1">
    <dataValidation type="list" allowBlank="1" showInputMessage="1" showErrorMessage="1" sqref="C153 C52 C45:C50 C115 C108:C113 C138 C131:C136" xr:uid="{6C3EF354-57E1-4050-A7AF-F1A75C559D32}">
      <formula1>"High, Medium, Low"</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BB58-A392-4F3E-8F08-B45F696B5522}">
  <sheetPr codeName="Sheet12">
    <tabColor theme="5" tint="0.59999389629810485"/>
  </sheetPr>
  <dimension ref="A1:W80"/>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8" ht="15" thickBot="1"/>
    <row r="2" spans="1:8" s="750" customFormat="1" ht="18.95" thickBot="1">
      <c r="A2" s="748"/>
      <c r="B2" s="749" t="s">
        <v>363</v>
      </c>
      <c r="C2" s="749"/>
      <c r="D2" s="749"/>
    </row>
    <row r="4" spans="1:8" s="714" customFormat="1" ht="18.600000000000001">
      <c r="A4" s="715"/>
      <c r="B4" s="713" t="s">
        <v>893</v>
      </c>
      <c r="C4" s="715"/>
      <c r="D4" s="715"/>
      <c r="E4" s="715"/>
      <c r="F4" s="715"/>
      <c r="G4" s="715"/>
      <c r="H4" s="715"/>
    </row>
    <row r="5" spans="1:8" s="7" customFormat="1" ht="118.5" customHeight="1">
      <c r="A5" s="737"/>
      <c r="B5" s="1152" t="s">
        <v>991</v>
      </c>
      <c r="C5" s="1152"/>
      <c r="D5" s="1152"/>
      <c r="E5" s="1152"/>
      <c r="F5" s="1152"/>
      <c r="G5" s="1152"/>
      <c r="H5" s="1152"/>
    </row>
    <row r="6" spans="1:8" s="7" customFormat="1"/>
    <row r="7" spans="1:8" s="718" customFormat="1" ht="18.600000000000001">
      <c r="A7" s="751"/>
      <c r="B7" s="724" t="s">
        <v>895</v>
      </c>
      <c r="C7" s="751"/>
      <c r="D7" s="751"/>
      <c r="E7" s="751"/>
      <c r="F7" s="751"/>
      <c r="G7" s="751"/>
      <c r="H7" s="751"/>
    </row>
    <row r="9" spans="1:8">
      <c r="D9" s="1134" t="s">
        <v>479</v>
      </c>
      <c r="E9" s="1134"/>
      <c r="F9" s="1134"/>
      <c r="G9" s="1134"/>
    </row>
    <row r="10" spans="1:8">
      <c r="B10" s="277" t="s">
        <v>104</v>
      </c>
      <c r="C10" s="277" t="s">
        <v>711</v>
      </c>
      <c r="D10" s="386" t="s">
        <v>448</v>
      </c>
      <c r="E10" s="277" t="s">
        <v>460</v>
      </c>
      <c r="F10" s="277" t="s">
        <v>151</v>
      </c>
      <c r="G10" s="277" t="s">
        <v>462</v>
      </c>
    </row>
    <row r="11" spans="1:8">
      <c r="B11" s="278" t="s">
        <v>498</v>
      </c>
      <c r="C11" s="278" t="s">
        <v>364</v>
      </c>
      <c r="D11" s="374" t="s">
        <v>477</v>
      </c>
      <c r="E11" s="374" t="str" cm="1">
        <f t="array" ref="E11">_xlfn.XLOOKUP(1,($B11=$B$22:$B$27)*(E$10=$C$22:$C$27),$G$22:$G$27,"Not found",0,1)</f>
        <v>LG(H)</v>
      </c>
      <c r="F11" s="374"/>
      <c r="G11" s="374"/>
    </row>
    <row r="12" spans="1:8">
      <c r="B12" s="278" t="s">
        <v>120</v>
      </c>
      <c r="C12" s="278" t="s">
        <v>364</v>
      </c>
      <c r="D12" s="374" t="s">
        <v>477</v>
      </c>
      <c r="E12" s="374" t="str" cm="1">
        <f t="array" ref="E12">_xlfn.XLOOKUP(1,($B12=$B$22:$B$27)*(E$10=$C$22:$C$27),$G$22:$G$27,"Not found",0,1)</f>
        <v>LG(H)</v>
      </c>
      <c r="F12" s="374" cm="1">
        <f t="array" ref="F12">_xlfn.XLOOKUP(1,($B12=$B$69:$B$74)*(F$10=$C$69:$C$74),$G$69:$G$74,"Not found",0,1)</f>
        <v>64.273066264460113</v>
      </c>
      <c r="G12" s="374" cm="1">
        <f t="array" ref="G12">_xlfn.XLOOKUP(1,($B12=$B$69:$B$74)*(G$10=$C$69:$C$74),$G$69:$G$74,"Not found",0,1)</f>
        <v>8936.0986463021036</v>
      </c>
    </row>
    <row r="13" spans="1:8">
      <c r="B13" s="278" t="s">
        <v>122</v>
      </c>
      <c r="C13" s="278" t="s">
        <v>364</v>
      </c>
      <c r="D13" s="374" t="s">
        <v>477</v>
      </c>
      <c r="E13" s="374" t="str" cm="1">
        <f t="array" ref="E13">_xlfn.XLOOKUP(1,($B13=$B$22:$B$27)*(E$10=$C$22:$C$27),$G$22:$G$27,"Not found",0,1)</f>
        <v>LG(H)</v>
      </c>
      <c r="F13" s="374" cm="1">
        <f t="array" ref="F13">_xlfn.XLOOKUP(1,($B13=$B$69:$B$74)*(F$10=$C$69:$C$74),$G$69:$G$74,"Not found",0,1)</f>
        <v>86.317134446072473</v>
      </c>
      <c r="G13" s="374" cm="1">
        <f t="array" ref="G13">_xlfn.XLOOKUP(1,($B13=$B$69:$B$74)*(G$10=$C$69:$C$74),$G$69:$G$74,"Not found",0,1)</f>
        <v>10797.211871799136</v>
      </c>
    </row>
    <row r="14" spans="1:8">
      <c r="B14" s="800" t="s">
        <v>896</v>
      </c>
    </row>
    <row r="15" spans="1:8">
      <c r="B15" s="800"/>
    </row>
    <row r="16" spans="1:8">
      <c r="A16" s="721"/>
      <c r="B16" s="722" t="s">
        <v>460</v>
      </c>
      <c r="C16" s="721"/>
      <c r="D16" s="721"/>
      <c r="E16" s="721"/>
      <c r="F16" s="721"/>
      <c r="G16" s="721"/>
      <c r="H16" s="721"/>
    </row>
    <row r="17" spans="1:10">
      <c r="A17" s="727"/>
      <c r="B17" s="729" t="s">
        <v>897</v>
      </c>
      <c r="C17" s="727"/>
      <c r="D17" s="727"/>
      <c r="E17" s="727"/>
      <c r="F17" s="727"/>
      <c r="G17" s="727"/>
      <c r="H17" s="727"/>
    </row>
    <row r="18" spans="1:10">
      <c r="B18" s="277" t="s">
        <v>898</v>
      </c>
      <c r="C18" s="277" t="s">
        <v>899</v>
      </c>
    </row>
    <row r="19" spans="1:10">
      <c r="B19" s="278" t="s">
        <v>460</v>
      </c>
      <c r="C19" s="278" t="s">
        <v>1127</v>
      </c>
    </row>
    <row r="20" spans="1:10">
      <c r="B20" s="16"/>
    </row>
    <row r="21" spans="1:10">
      <c r="A21" s="727"/>
      <c r="B21" s="728" t="s">
        <v>901</v>
      </c>
      <c r="C21" s="727"/>
      <c r="D21" s="727"/>
      <c r="E21" s="727"/>
      <c r="F21" s="727"/>
      <c r="G21" s="727"/>
      <c r="H21" s="727"/>
    </row>
    <row r="22" spans="1:10" ht="30" customHeight="1">
      <c r="B22" s="277" t="s">
        <v>902</v>
      </c>
      <c r="C22" s="277" t="s">
        <v>898</v>
      </c>
      <c r="D22" s="277" t="s">
        <v>899</v>
      </c>
      <c r="E22" s="298" t="s">
        <v>903</v>
      </c>
      <c r="F22" s="277" t="s">
        <v>904</v>
      </c>
      <c r="G22" s="277" t="s">
        <v>905</v>
      </c>
      <c r="H22" s="277" t="s">
        <v>924</v>
      </c>
      <c r="I22" s="277" t="s">
        <v>956</v>
      </c>
      <c r="J22" s="277" t="s">
        <v>927</v>
      </c>
    </row>
    <row r="23" spans="1:10">
      <c r="B23" s="278" t="s">
        <v>498</v>
      </c>
      <c r="C23" s="299" t="s">
        <v>460</v>
      </c>
      <c r="D23" s="278" t="s">
        <v>1127</v>
      </c>
      <c r="E23" s="299" t="s">
        <v>906</v>
      </c>
      <c r="F23" s="279" t="s">
        <v>907</v>
      </c>
      <c r="G23" s="300" t="s">
        <v>477</v>
      </c>
      <c r="H23" s="640" t="s">
        <v>907</v>
      </c>
      <c r="I23" s="640" t="s">
        <v>907</v>
      </c>
      <c r="J23" s="640" t="s">
        <v>907</v>
      </c>
    </row>
    <row r="24" spans="1:10">
      <c r="B24" s="278" t="s">
        <v>120</v>
      </c>
      <c r="C24" s="299" t="s">
        <v>460</v>
      </c>
      <c r="D24" s="278" t="s">
        <v>1127</v>
      </c>
      <c r="E24" s="299" t="s">
        <v>906</v>
      </c>
      <c r="F24" s="279" t="s">
        <v>907</v>
      </c>
      <c r="G24" s="300" t="s">
        <v>477</v>
      </c>
      <c r="H24" s="640" t="s">
        <v>907</v>
      </c>
      <c r="I24" s="640" t="s">
        <v>907</v>
      </c>
      <c r="J24" s="640" t="s">
        <v>907</v>
      </c>
    </row>
    <row r="25" spans="1:10">
      <c r="B25" s="278" t="s">
        <v>122</v>
      </c>
      <c r="C25" s="299" t="s">
        <v>460</v>
      </c>
      <c r="D25" s="278" t="s">
        <v>1127</v>
      </c>
      <c r="E25" s="299" t="s">
        <v>906</v>
      </c>
      <c r="F25" s="279" t="s">
        <v>907</v>
      </c>
      <c r="G25" s="300" t="s">
        <v>477</v>
      </c>
      <c r="H25" s="640" t="s">
        <v>907</v>
      </c>
      <c r="I25" s="640" t="s">
        <v>907</v>
      </c>
      <c r="J25" s="640" t="s">
        <v>907</v>
      </c>
    </row>
    <row r="26" spans="1:10">
      <c r="B26" s="16"/>
    </row>
    <row r="28" spans="1:10">
      <c r="A28" s="721"/>
      <c r="B28" s="722" t="s">
        <v>108</v>
      </c>
      <c r="C28" s="721"/>
      <c r="D28" s="721"/>
      <c r="E28" s="721"/>
      <c r="F28" s="721"/>
      <c r="G28" s="721"/>
      <c r="H28" s="721"/>
    </row>
    <row r="29" spans="1:10">
      <c r="A29" s="727"/>
      <c r="B29" s="729" t="s">
        <v>897</v>
      </c>
      <c r="C29" s="727"/>
      <c r="D29" s="727"/>
      <c r="E29" s="727"/>
      <c r="F29" s="727"/>
      <c r="G29" s="727"/>
      <c r="H29" s="727"/>
    </row>
    <row r="30" spans="1:10">
      <c r="B30" s="277" t="s">
        <v>898</v>
      </c>
      <c r="C30" s="277" t="s">
        <v>899</v>
      </c>
    </row>
    <row r="31" spans="1:10">
      <c r="B31" s="278" t="s">
        <v>151</v>
      </c>
      <c r="C31" s="278" t="s">
        <v>1128</v>
      </c>
    </row>
    <row r="32" spans="1:10">
      <c r="B32" s="278" t="s">
        <v>462</v>
      </c>
      <c r="C32" s="278" t="s">
        <v>1129</v>
      </c>
    </row>
    <row r="33" spans="1:8">
      <c r="B33" s="16"/>
    </row>
    <row r="34" spans="1:8">
      <c r="A34" s="727"/>
      <c r="B34" s="728" t="s">
        <v>911</v>
      </c>
      <c r="C34" s="727"/>
      <c r="D34" s="727"/>
      <c r="E34" s="727"/>
      <c r="F34" s="727"/>
      <c r="G34" s="727"/>
      <c r="H34" s="727"/>
    </row>
    <row r="35" spans="1:8">
      <c r="A35" s="725"/>
      <c r="B35" s="726" t="s">
        <v>912</v>
      </c>
      <c r="C35" s="725"/>
      <c r="D35" s="725"/>
      <c r="E35" s="725"/>
      <c r="F35" s="725"/>
      <c r="G35" s="725"/>
      <c r="H35" s="725"/>
    </row>
    <row r="36" spans="1:8" ht="29.1">
      <c r="B36" s="719" t="s">
        <v>913</v>
      </c>
      <c r="C36" s="719" t="s">
        <v>914</v>
      </c>
      <c r="D36" s="719" t="s">
        <v>915</v>
      </c>
      <c r="E36" s="719" t="s">
        <v>916</v>
      </c>
      <c r="F36" s="719" t="s">
        <v>917</v>
      </c>
      <c r="G36" s="719" t="s">
        <v>918</v>
      </c>
      <c r="H36" s="719" t="s">
        <v>919</v>
      </c>
    </row>
    <row r="37" spans="1:8">
      <c r="B37" s="278">
        <v>16</v>
      </c>
      <c r="C37" s="278" t="s">
        <v>1130</v>
      </c>
      <c r="D37" s="279" t="s">
        <v>907</v>
      </c>
      <c r="E37" s="278">
        <v>2023</v>
      </c>
      <c r="F37" s="278" t="s">
        <v>1047</v>
      </c>
      <c r="G37" s="278" t="s">
        <v>1048</v>
      </c>
      <c r="H37" s="278">
        <f>12567+3728</f>
        <v>16295</v>
      </c>
    </row>
    <row r="38" spans="1:8">
      <c r="B38" s="16"/>
    </row>
    <row r="39" spans="1:8">
      <c r="A39" s="725"/>
      <c r="B39" s="726" t="s">
        <v>924</v>
      </c>
      <c r="C39" s="725"/>
      <c r="D39" s="725"/>
      <c r="E39" s="725"/>
      <c r="F39" s="725"/>
      <c r="G39" s="725"/>
      <c r="H39" s="725"/>
    </row>
    <row r="40" spans="1:8">
      <c r="B40" s="277" t="s">
        <v>165</v>
      </c>
      <c r="C40" s="277" t="s">
        <v>925</v>
      </c>
      <c r="D40" s="277" t="s">
        <v>926</v>
      </c>
      <c r="E40" s="1134" t="s">
        <v>927</v>
      </c>
      <c r="F40" s="1134"/>
      <c r="G40" s="1134"/>
      <c r="H40" s="1134"/>
    </row>
    <row r="41" spans="1:8">
      <c r="B41" s="278" t="s">
        <v>169</v>
      </c>
      <c r="C41" s="278" t="s">
        <v>166</v>
      </c>
      <c r="D41" s="278">
        <f>VLOOKUP(C41,METHODOLOGY!$C$175:$D$177,2,FALSE)</f>
        <v>3</v>
      </c>
      <c r="E41" s="1087" t="str">
        <f>_xlfn.XLOOKUP(C41,METHODOLOGY!$E$150:$O$150,METHODOLOGY!$E$151:$O$151,"",0,1)</f>
        <v>Monetary values have been peer reviewed or are recommended / referenced in other, well recognised and accepted guidance / tools relevant to the water sector.</v>
      </c>
      <c r="F41" s="1087"/>
      <c r="G41" s="1087"/>
      <c r="H41" s="1087"/>
    </row>
    <row r="42" spans="1:8">
      <c r="B42" s="278" t="s">
        <v>173</v>
      </c>
      <c r="C42" s="278" t="s">
        <v>166</v>
      </c>
      <c r="D42" s="278">
        <f>VLOOKUP(C42,METHODOLOGY!$C$175:$D$177,2,FALSE)</f>
        <v>3</v>
      </c>
      <c r="E42" s="1087" t="str">
        <f>_xlfn.XLOOKUP(C42,METHODOLOGY!$E$150:$O$150,METHODOLOGY!$E$155:$O$155,"",0,1)</f>
        <v>Study has few limitations and is considered robust.</v>
      </c>
      <c r="F42" s="1087"/>
      <c r="G42" s="1087"/>
      <c r="H42" s="1087"/>
    </row>
    <row r="43" spans="1:8">
      <c r="B43" s="278" t="s">
        <v>177</v>
      </c>
      <c r="C43" s="278" t="s">
        <v>166</v>
      </c>
      <c r="D43" s="278">
        <f>VLOOKUP(C43,METHODOLOGY!$C$175:$D$177,2,FALSE)</f>
        <v>3</v>
      </c>
      <c r="E43" s="1087" t="str">
        <f>_xlfn.XLOOKUP(C43,METHODOLOGY!$E$150:$O$150,METHODOLOGY!$E$158:$O$158,"",0,1)</f>
        <v>0 – 5 years</v>
      </c>
      <c r="F43" s="1087"/>
      <c r="G43" s="1087"/>
      <c r="H43" s="1087"/>
    </row>
    <row r="44" spans="1:8">
      <c r="B44" s="278" t="s">
        <v>181</v>
      </c>
      <c r="C44" s="278" t="s">
        <v>166</v>
      </c>
      <c r="D44" s="278">
        <f>VLOOKUP(C44,METHODOLOGY!$C$175:$D$177,2,FALSE)</f>
        <v>3</v>
      </c>
      <c r="E44" s="1087" t="str">
        <f>_xlfn.XLOOKUP(C44,METHODOLOGY!$E$150:$O$150,METHODOLOGY!$E$160:$O$160,"",0,1)</f>
        <v>Geographically relevant to UK</v>
      </c>
      <c r="F44" s="1087"/>
      <c r="G44" s="1087"/>
      <c r="H44" s="1087"/>
    </row>
    <row r="45" spans="1:8">
      <c r="B45" s="278" t="s">
        <v>928</v>
      </c>
      <c r="C45" s="278" t="s">
        <v>167</v>
      </c>
      <c r="D45" s="278">
        <f>VLOOKUP(C45,METHODOLOGY!$C$175:$D$177,2,FALSE)</f>
        <v>2</v>
      </c>
      <c r="E45" s="1087" t="str">
        <f>_xlfn.XLOOKUP(C45,METHODOLOGY!$E$150:$O$150,METHODOLOGY!$E$162:$O$162,"",0,1)</f>
        <v>Meta-analysis or limited understanding of what the value represents.</v>
      </c>
      <c r="F45" s="1087"/>
      <c r="G45" s="1087"/>
      <c r="H45" s="1087"/>
    </row>
    <row r="46" spans="1:8">
      <c r="B46" s="278" t="s">
        <v>189</v>
      </c>
      <c r="C46" s="278" t="s">
        <v>167</v>
      </c>
      <c r="D46" s="278">
        <f>VLOOKUP(C46,METHODOLOGY!$C$175:$D$177,2,FALSE)</f>
        <v>2</v>
      </c>
      <c r="E46" s="1087" t="str">
        <f>_xlfn.XLOOKUP(C46,METHODOLOGY!$E$150:$O$150,METHODOLOGY!$E$164:$O$164,"",0,1)</f>
        <v xml:space="preserve">The original valuation can be used with some modification e.g. applying household numbers. The calculation is simple or introduces low levels of uncertainty. </v>
      </c>
      <c r="F46" s="1087"/>
      <c r="G46" s="1087"/>
      <c r="H46" s="1087"/>
    </row>
    <row r="47" spans="1:8">
      <c r="C47" s="282" t="s">
        <v>924</v>
      </c>
      <c r="D47" s="326">
        <f>IF(AND(D46=1,AVERAGE(D41:D46)&gt;2.14285714285714),2.14285714285714,IF(AND(D46=2,AVERAGE(D41:D46)&gt;2.57142857142857),2.57142857142857,AVERAGE(D41:D46)))</f>
        <v>2.5714285714285698</v>
      </c>
      <c r="E47" s="270" t="str">
        <f>IF(D47&lt;=2.14285714285714,"Red",IF(D47&lt;=2.57142857142857,"Amber",IF(D47&lt;=3,"Green")))</f>
        <v>Amber</v>
      </c>
    </row>
    <row r="48" spans="1:8">
      <c r="D48" s="7"/>
      <c r="E48" s="7"/>
    </row>
    <row r="50" spans="1:12">
      <c r="A50" s="725"/>
      <c r="B50" s="726" t="s">
        <v>929</v>
      </c>
      <c r="C50" s="725"/>
      <c r="D50" s="725"/>
      <c r="E50" s="725"/>
      <c r="F50" s="725"/>
      <c r="G50" s="725"/>
      <c r="H50" s="725"/>
    </row>
    <row r="51" spans="1:12">
      <c r="B51" s="277" t="s">
        <v>913</v>
      </c>
      <c r="C51" s="277" t="s">
        <v>1089</v>
      </c>
      <c r="D51" s="277" t="s">
        <v>902</v>
      </c>
      <c r="E51" s="277" t="s">
        <v>331</v>
      </c>
      <c r="F51" s="277" t="s">
        <v>226</v>
      </c>
      <c r="G51" s="1164" t="s">
        <v>930</v>
      </c>
      <c r="H51" s="1165"/>
      <c r="I51" s="1165"/>
      <c r="J51" s="1165"/>
      <c r="K51" s="1165"/>
      <c r="L51" s="1166"/>
    </row>
    <row r="52" spans="1:12">
      <c r="B52" s="278">
        <v>16</v>
      </c>
      <c r="C52" s="278" t="s">
        <v>151</v>
      </c>
      <c r="D52" s="278" t="s">
        <v>120</v>
      </c>
      <c r="E52" s="387">
        <v>60</v>
      </c>
      <c r="F52" s="364" t="s">
        <v>1131</v>
      </c>
      <c r="G52" s="1123" t="s">
        <v>1132</v>
      </c>
      <c r="H52" s="1124"/>
      <c r="I52" s="1124"/>
      <c r="J52" s="1124"/>
      <c r="K52" s="1124"/>
      <c r="L52" s="1125"/>
    </row>
    <row r="53" spans="1:12" ht="31.5" customHeight="1">
      <c r="B53" s="278">
        <v>16</v>
      </c>
      <c r="C53" s="278" t="s">
        <v>462</v>
      </c>
      <c r="D53" s="278" t="s">
        <v>120</v>
      </c>
      <c r="E53" s="387">
        <v>8342</v>
      </c>
      <c r="F53" s="364" t="s">
        <v>1131</v>
      </c>
      <c r="G53" s="1123" t="s">
        <v>1133</v>
      </c>
      <c r="H53" s="1124"/>
      <c r="I53" s="1124"/>
      <c r="J53" s="1124"/>
      <c r="K53" s="1124"/>
      <c r="L53" s="1125"/>
    </row>
    <row r="55" spans="1:12" ht="69.95" customHeight="1"/>
    <row r="63" spans="1:12">
      <c r="A63" s="725"/>
      <c r="B63" s="726" t="s">
        <v>936</v>
      </c>
      <c r="C63" s="725"/>
      <c r="D63" s="725"/>
      <c r="E63" s="725"/>
      <c r="F63" s="725"/>
      <c r="G63" s="725"/>
      <c r="H63" s="725"/>
    </row>
    <row r="64" spans="1:12" ht="29.1">
      <c r="B64" s="298" t="s">
        <v>902</v>
      </c>
      <c r="C64" s="298" t="s">
        <v>1134</v>
      </c>
      <c r="D64" s="298" t="s">
        <v>1135</v>
      </c>
      <c r="E64" s="298" t="s">
        <v>226</v>
      </c>
      <c r="F64" s="1170" t="s">
        <v>930</v>
      </c>
      <c r="G64" s="1170"/>
      <c r="H64" s="1170"/>
      <c r="I64" s="1170"/>
      <c r="J64" s="1170"/>
      <c r="K64" s="1170"/>
      <c r="L64" s="1170"/>
    </row>
    <row r="65" spans="1:23">
      <c r="B65" s="334" t="s">
        <v>120</v>
      </c>
      <c r="C65" s="396">
        <f>E52</f>
        <v>60</v>
      </c>
      <c r="D65" s="396">
        <f>E53</f>
        <v>8342</v>
      </c>
      <c r="E65" s="387" t="s">
        <v>1131</v>
      </c>
      <c r="F65" s="1171"/>
      <c r="G65" s="1171"/>
      <c r="H65" s="1171"/>
      <c r="I65" s="1171"/>
      <c r="J65" s="1171"/>
      <c r="K65" s="1171"/>
      <c r="L65" s="1171"/>
    </row>
    <row r="66" spans="1:23">
      <c r="B66" s="334" t="s">
        <v>122</v>
      </c>
      <c r="C66" s="396">
        <f>C65*('5'!C76/'5'!C75)</f>
        <v>80.578512396694222</v>
      </c>
      <c r="D66" s="396">
        <f>D65*('5'!D76/'5'!D75)</f>
        <v>10079.380834926313</v>
      </c>
      <c r="E66" s="387" t="s">
        <v>1131</v>
      </c>
      <c r="F66" s="1171" t="s">
        <v>1136</v>
      </c>
      <c r="G66" s="1171"/>
      <c r="H66" s="1171"/>
      <c r="I66" s="1171"/>
      <c r="J66" s="1171"/>
      <c r="K66" s="1171"/>
      <c r="L66" s="1171"/>
    </row>
    <row r="68" spans="1:23">
      <c r="A68" s="727"/>
      <c r="B68" s="728" t="s">
        <v>901</v>
      </c>
      <c r="C68" s="727"/>
      <c r="D68" s="727"/>
      <c r="E68" s="727"/>
      <c r="F68" s="727"/>
      <c r="G68" s="727"/>
      <c r="H68" s="727"/>
    </row>
    <row r="69" spans="1:23" ht="29.1">
      <c r="B69" s="277" t="s">
        <v>902</v>
      </c>
      <c r="C69" s="277" t="s">
        <v>898</v>
      </c>
      <c r="D69" s="277" t="s">
        <v>899</v>
      </c>
      <c r="E69" s="298" t="s">
        <v>903</v>
      </c>
      <c r="F69" s="277" t="s">
        <v>904</v>
      </c>
      <c r="G69" s="277" t="s">
        <v>905</v>
      </c>
      <c r="H69" s="277" t="s">
        <v>924</v>
      </c>
      <c r="I69" s="277" t="s">
        <v>956</v>
      </c>
      <c r="J69" s="277" t="s">
        <v>927</v>
      </c>
    </row>
    <row r="70" spans="1:23">
      <c r="B70" s="334" t="s">
        <v>120</v>
      </c>
      <c r="C70" s="278" t="s">
        <v>151</v>
      </c>
      <c r="D70" s="278" t="s">
        <v>1128</v>
      </c>
      <c r="E70" s="299" t="s">
        <v>957</v>
      </c>
      <c r="F70" s="278" t="str" cm="1">
        <f t="array" ref="F70">_xlfn.XLOOKUP(1,(D77:D80=B70)*(E77:E80=C70),B77:B80,"Not found",0,1)</f>
        <v>4-1</v>
      </c>
      <c r="G70" s="300">
        <f>VLOOKUP(F70,$B$76:$L$80,11,FALSE)</f>
        <v>64.273066264460113</v>
      </c>
      <c r="H70" s="1120">
        <f>$D$47</f>
        <v>2.5714285714285698</v>
      </c>
      <c r="I70" s="1167" t="s">
        <v>1137</v>
      </c>
      <c r="J70" s="1167" t="s">
        <v>1138</v>
      </c>
    </row>
    <row r="71" spans="1:23">
      <c r="B71" s="334" t="s">
        <v>122</v>
      </c>
      <c r="C71" s="299" t="s">
        <v>151</v>
      </c>
      <c r="D71" s="278" t="s">
        <v>1128</v>
      </c>
      <c r="E71" s="299" t="s">
        <v>957</v>
      </c>
      <c r="F71" s="278" t="str" cm="1">
        <f t="array" ref="F71">_xlfn.XLOOKUP(1,(D78:D81=B71)*(E78:E81=C71),B78:B81,"Not found",0,1)</f>
        <v>4-2</v>
      </c>
      <c r="G71" s="300">
        <f t="shared" ref="G71:G73" si="0">VLOOKUP(F71,$B$76:$L$80,11,FALSE)</f>
        <v>86.317134446072473</v>
      </c>
      <c r="H71" s="1121"/>
      <c r="I71" s="1168"/>
      <c r="J71" s="1168"/>
    </row>
    <row r="72" spans="1:23">
      <c r="B72" s="334" t="s">
        <v>120</v>
      </c>
      <c r="C72" s="299" t="s">
        <v>462</v>
      </c>
      <c r="D72" s="278" t="s">
        <v>1129</v>
      </c>
      <c r="E72" s="299" t="s">
        <v>957</v>
      </c>
      <c r="F72" s="278" t="str" cm="1">
        <f t="array" ref="F72">_xlfn.XLOOKUP(1,(D79:D82=B72)*(E79:E82=C72),B79:B82,"Not found",0,1)</f>
        <v>4-3</v>
      </c>
      <c r="G72" s="300">
        <f t="shared" si="0"/>
        <v>8936.0986463021036</v>
      </c>
      <c r="H72" s="1121"/>
      <c r="I72" s="1168"/>
      <c r="J72" s="1168"/>
    </row>
    <row r="73" spans="1:23">
      <c r="B73" s="334" t="s">
        <v>122</v>
      </c>
      <c r="C73" s="299" t="s">
        <v>462</v>
      </c>
      <c r="D73" s="278" t="s">
        <v>1129</v>
      </c>
      <c r="E73" s="299" t="s">
        <v>957</v>
      </c>
      <c r="F73" s="278" t="str" cm="1">
        <f t="array" ref="F73">_xlfn.XLOOKUP(1,(D80:D83=B73)*(E80:E83=C73),B80:B83,"Not found",0,1)</f>
        <v>4-4</v>
      </c>
      <c r="G73" s="300">
        <f t="shared" si="0"/>
        <v>10797.211871799136</v>
      </c>
      <c r="H73" s="1122"/>
      <c r="I73" s="1169"/>
      <c r="J73" s="1169"/>
    </row>
    <row r="74" spans="1:23">
      <c r="B74" s="18"/>
    </row>
    <row r="75" spans="1:23">
      <c r="A75" s="725"/>
      <c r="B75" s="726" t="s">
        <v>962</v>
      </c>
      <c r="C75" s="725"/>
      <c r="D75" s="725"/>
      <c r="E75" s="725"/>
      <c r="F75" s="725"/>
      <c r="G75" s="725"/>
      <c r="H75" s="725"/>
    </row>
    <row r="76" spans="1:23">
      <c r="B76" s="277" t="s">
        <v>904</v>
      </c>
      <c r="C76" s="277" t="s">
        <v>62</v>
      </c>
      <c r="D76" s="277" t="s">
        <v>902</v>
      </c>
      <c r="E76" s="277" t="s">
        <v>898</v>
      </c>
      <c r="F76" s="277" t="s">
        <v>916</v>
      </c>
      <c r="G76" s="277" t="s">
        <v>963</v>
      </c>
      <c r="H76" s="277" t="s">
        <v>964</v>
      </c>
      <c r="I76" s="277" t="s">
        <v>965</v>
      </c>
      <c r="J76" s="277" t="s">
        <v>966</v>
      </c>
      <c r="K76" s="277" t="s">
        <v>967</v>
      </c>
      <c r="L76" s="277" t="s">
        <v>968</v>
      </c>
      <c r="M76" s="277" t="s">
        <v>956</v>
      </c>
      <c r="N76" s="277" t="s">
        <v>969</v>
      </c>
      <c r="O76" s="277" t="s">
        <v>970</v>
      </c>
      <c r="P76" s="277" t="s">
        <v>927</v>
      </c>
      <c r="Q76" s="277" t="s">
        <v>913</v>
      </c>
      <c r="R76" s="277" t="s">
        <v>914</v>
      </c>
      <c r="S76" s="277" t="s">
        <v>915</v>
      </c>
      <c r="T76" s="277" t="s">
        <v>916</v>
      </c>
      <c r="U76" s="277" t="s">
        <v>917</v>
      </c>
      <c r="V76" s="277" t="s">
        <v>918</v>
      </c>
      <c r="W76" s="277" t="s">
        <v>919</v>
      </c>
    </row>
    <row r="77" spans="1:23">
      <c r="B77" s="302" t="s">
        <v>1139</v>
      </c>
      <c r="C77" s="279" t="s">
        <v>363</v>
      </c>
      <c r="D77" s="334" t="s">
        <v>120</v>
      </c>
      <c r="E77" s="278" t="s">
        <v>151</v>
      </c>
      <c r="F77" s="299">
        <f>E$37</f>
        <v>2023</v>
      </c>
      <c r="G77" s="278">
        <v>2022</v>
      </c>
      <c r="H77" s="278">
        <f>'COMPANY INPUT'!$C$16</f>
        <v>2023</v>
      </c>
      <c r="I77" s="278">
        <f>VLOOKUP(G77,'GDP Deflators'!$H$13:$I$86,2,FALSE)</f>
        <v>93.351699999999994</v>
      </c>
      <c r="J77" s="278">
        <f>VLOOKUP(H77,'GDP Deflators'!$H$13:$I$86,2,FALSE)</f>
        <v>100</v>
      </c>
      <c r="K77" s="387">
        <f>C65</f>
        <v>60</v>
      </c>
      <c r="L77" s="746">
        <f>K77*(J77/I77)</f>
        <v>64.273066264460113</v>
      </c>
      <c r="M77" s="278" t="str">
        <f>$I$70</f>
        <v>WTA</v>
      </c>
      <c r="N77" s="326">
        <f>$H$70</f>
        <v>2.5714285714285698</v>
      </c>
      <c r="O77" s="278" t="s">
        <v>718</v>
      </c>
      <c r="P77" s="278" t="str">
        <f>$J$70</f>
        <v>Ofwat collaborative customer research source</v>
      </c>
      <c r="Q77" s="299">
        <f>B$37</f>
        <v>16</v>
      </c>
      <c r="R77" s="299" t="str">
        <f t="shared" ref="R77:W77" si="1">C$37</f>
        <v>Ofwat (2023) PR24: Using collaborative customer research to set outcome delivery incentive rates</v>
      </c>
      <c r="S77" s="299" t="str">
        <f t="shared" si="1"/>
        <v>/</v>
      </c>
      <c r="T77" s="299">
        <f t="shared" si="1"/>
        <v>2023</v>
      </c>
      <c r="U77" s="299" t="str">
        <f t="shared" si="1"/>
        <v>UK</v>
      </c>
      <c r="V77" s="299" t="str">
        <f t="shared" si="1"/>
        <v>England and Wales</v>
      </c>
      <c r="W77" s="299">
        <f t="shared" si="1"/>
        <v>16295</v>
      </c>
    </row>
    <row r="78" spans="1:23">
      <c r="B78" s="302" t="s">
        <v>1140</v>
      </c>
      <c r="C78" s="279" t="s">
        <v>363</v>
      </c>
      <c r="D78" s="334" t="s">
        <v>122</v>
      </c>
      <c r="E78" s="299" t="s">
        <v>151</v>
      </c>
      <c r="F78" s="299">
        <f t="shared" ref="F78:F80" si="2">E$37</f>
        <v>2023</v>
      </c>
      <c r="G78" s="278">
        <v>2022</v>
      </c>
      <c r="H78" s="278">
        <f>'COMPANY INPUT'!$C$16</f>
        <v>2023</v>
      </c>
      <c r="I78" s="278">
        <f>VLOOKUP(G78,'GDP Deflators'!$H$13:$I$86,2,FALSE)</f>
        <v>93.351699999999994</v>
      </c>
      <c r="J78" s="278">
        <f>VLOOKUP(H78,'GDP Deflators'!$H$13:$I$86,2,FALSE)</f>
        <v>100</v>
      </c>
      <c r="K78" s="387">
        <f>C66</f>
        <v>80.578512396694222</v>
      </c>
      <c r="L78" s="746">
        <f>K78*(J78/I78)</f>
        <v>86.317134446072473</v>
      </c>
      <c r="M78" s="278" t="str">
        <f>$I$70</f>
        <v>WTA</v>
      </c>
      <c r="N78" s="326">
        <f>$H$70</f>
        <v>2.5714285714285698</v>
      </c>
      <c r="O78" s="278" t="s">
        <v>718</v>
      </c>
      <c r="P78" s="278" t="str">
        <f>$J$70</f>
        <v>Ofwat collaborative customer research source</v>
      </c>
      <c r="Q78" s="299">
        <f t="shared" ref="Q78:Q80" si="3">B$37</f>
        <v>16</v>
      </c>
      <c r="R78" s="299" t="str">
        <f t="shared" ref="R78:R80" si="4">C$37</f>
        <v>Ofwat (2023) PR24: Using collaborative customer research to set outcome delivery incentive rates</v>
      </c>
      <c r="S78" s="299" t="str">
        <f t="shared" ref="S78:S80" si="5">D$37</f>
        <v>/</v>
      </c>
      <c r="T78" s="299">
        <f t="shared" ref="T78:T80" si="6">E$37</f>
        <v>2023</v>
      </c>
      <c r="U78" s="299" t="str">
        <f t="shared" ref="U78:U80" si="7">F$37</f>
        <v>UK</v>
      </c>
      <c r="V78" s="299" t="str">
        <f t="shared" ref="V78:V80" si="8">G$37</f>
        <v>England and Wales</v>
      </c>
      <c r="W78" s="299">
        <f t="shared" ref="W78:W80" si="9">H$37</f>
        <v>16295</v>
      </c>
    </row>
    <row r="79" spans="1:23">
      <c r="B79" s="302" t="s">
        <v>1141</v>
      </c>
      <c r="C79" s="279" t="s">
        <v>363</v>
      </c>
      <c r="D79" s="334" t="s">
        <v>120</v>
      </c>
      <c r="E79" s="299" t="s">
        <v>462</v>
      </c>
      <c r="F79" s="299">
        <f t="shared" si="2"/>
        <v>2023</v>
      </c>
      <c r="G79" s="278">
        <v>2022</v>
      </c>
      <c r="H79" s="278">
        <f>'COMPANY INPUT'!$C$16</f>
        <v>2023</v>
      </c>
      <c r="I79" s="278">
        <f>VLOOKUP(G79,'GDP Deflators'!$H$13:$I$86,2,FALSE)</f>
        <v>93.351699999999994</v>
      </c>
      <c r="J79" s="278">
        <f>VLOOKUP(H79,'GDP Deflators'!$H$13:$I$86,2,FALSE)</f>
        <v>100</v>
      </c>
      <c r="K79" s="387">
        <f>D65</f>
        <v>8342</v>
      </c>
      <c r="L79" s="746">
        <f>K79*(J79/I79)</f>
        <v>8936.0986463021036</v>
      </c>
      <c r="M79" s="278" t="str">
        <f>$I$70</f>
        <v>WTA</v>
      </c>
      <c r="N79" s="326">
        <f>$H$70</f>
        <v>2.5714285714285698</v>
      </c>
      <c r="O79" s="278" t="s">
        <v>718</v>
      </c>
      <c r="P79" s="278" t="str">
        <f>$J$70</f>
        <v>Ofwat collaborative customer research source</v>
      </c>
      <c r="Q79" s="299">
        <f t="shared" si="3"/>
        <v>16</v>
      </c>
      <c r="R79" s="299" t="str">
        <f t="shared" si="4"/>
        <v>Ofwat (2023) PR24: Using collaborative customer research to set outcome delivery incentive rates</v>
      </c>
      <c r="S79" s="299" t="str">
        <f t="shared" si="5"/>
        <v>/</v>
      </c>
      <c r="T79" s="299">
        <f t="shared" si="6"/>
        <v>2023</v>
      </c>
      <c r="U79" s="299" t="str">
        <f t="shared" si="7"/>
        <v>UK</v>
      </c>
      <c r="V79" s="299" t="str">
        <f t="shared" si="8"/>
        <v>England and Wales</v>
      </c>
      <c r="W79" s="299">
        <f t="shared" si="9"/>
        <v>16295</v>
      </c>
    </row>
    <row r="80" spans="1:23">
      <c r="B80" s="302" t="s">
        <v>1142</v>
      </c>
      <c r="C80" s="279" t="s">
        <v>363</v>
      </c>
      <c r="D80" s="334" t="s">
        <v>122</v>
      </c>
      <c r="E80" s="299" t="s">
        <v>462</v>
      </c>
      <c r="F80" s="299">
        <f t="shared" si="2"/>
        <v>2023</v>
      </c>
      <c r="G80" s="278">
        <v>2022</v>
      </c>
      <c r="H80" s="278">
        <f>'COMPANY INPUT'!$C$16</f>
        <v>2023</v>
      </c>
      <c r="I80" s="278">
        <f>VLOOKUP(G80,'GDP Deflators'!$H$13:$I$86,2,FALSE)</f>
        <v>93.351699999999994</v>
      </c>
      <c r="J80" s="278">
        <f>VLOOKUP(H80,'GDP Deflators'!$H$13:$I$86,2,FALSE)</f>
        <v>100</v>
      </c>
      <c r="K80" s="387">
        <f>D66</f>
        <v>10079.380834926313</v>
      </c>
      <c r="L80" s="746">
        <f>K80*(J80/I80)</f>
        <v>10797.211871799136</v>
      </c>
      <c r="M80" s="278" t="str">
        <f>$I$70</f>
        <v>WTA</v>
      </c>
      <c r="N80" s="326">
        <f>$H$70</f>
        <v>2.5714285714285698</v>
      </c>
      <c r="O80" s="278" t="s">
        <v>718</v>
      </c>
      <c r="P80" s="278" t="str">
        <f>$J$70</f>
        <v>Ofwat collaborative customer research source</v>
      </c>
      <c r="Q80" s="299">
        <f t="shared" si="3"/>
        <v>16</v>
      </c>
      <c r="R80" s="299" t="str">
        <f t="shared" si="4"/>
        <v>Ofwat (2023) PR24: Using collaborative customer research to set outcome delivery incentive rates</v>
      </c>
      <c r="S80" s="299" t="str">
        <f t="shared" si="5"/>
        <v>/</v>
      </c>
      <c r="T80" s="299">
        <f t="shared" si="6"/>
        <v>2023</v>
      </c>
      <c r="U80" s="299" t="str">
        <f t="shared" si="7"/>
        <v>UK</v>
      </c>
      <c r="V80" s="299" t="str">
        <f t="shared" si="8"/>
        <v>England and Wales</v>
      </c>
      <c r="W80" s="299">
        <f t="shared" si="9"/>
        <v>16295</v>
      </c>
    </row>
  </sheetData>
  <sheetProtection algorithmName="SHA-512" hashValue="kz8crk4Ax8k3SJAIqVgFIBq3LMFtpvXTSJT+aoLdPJ/yvotM0a5puP8Z6jExxqwvO6gK5QPsLCLCQkR0hVasRg==" saltValue="DUcl2P6vDb6JY83Rgoh2Aw==" spinCount="100000" sheet="1" objects="1" scenarios="1"/>
  <dataConsolidate/>
  <mergeCells count="18">
    <mergeCell ref="J70:J73"/>
    <mergeCell ref="I70:I73"/>
    <mergeCell ref="H70:H73"/>
    <mergeCell ref="F64:L64"/>
    <mergeCell ref="F65:L65"/>
    <mergeCell ref="F66:L66"/>
    <mergeCell ref="G53:L53"/>
    <mergeCell ref="G52:L52"/>
    <mergeCell ref="G51:L51"/>
    <mergeCell ref="D9:G9"/>
    <mergeCell ref="B5:H5"/>
    <mergeCell ref="E40:H40"/>
    <mergeCell ref="E41:H41"/>
    <mergeCell ref="E42:H42"/>
    <mergeCell ref="E43:H43"/>
    <mergeCell ref="E44:H44"/>
    <mergeCell ref="E45:H45"/>
    <mergeCell ref="E46:H46"/>
  </mergeCells>
  <phoneticPr fontId="16" type="noConversion"/>
  <conditionalFormatting sqref="D47:E47">
    <cfRule type="cellIs" dxfId="1143" priority="5" operator="lessThanOrEqual">
      <formula>2.14285714285714</formula>
    </cfRule>
    <cfRule type="cellIs" dxfId="1142" priority="6" operator="lessThanOrEqual">
      <formula>2.57142857142857</formula>
    </cfRule>
    <cfRule type="cellIs" dxfId="1141" priority="7" operator="lessThanOrEqual">
      <formula>3</formula>
    </cfRule>
  </conditionalFormatting>
  <conditionalFormatting sqref="D11:G13">
    <cfRule type="notContainsBlanks" dxfId="1140" priority="1">
      <formula>LEN(TRIM(D11))&gt;0</formula>
    </cfRule>
  </conditionalFormatting>
  <conditionalFormatting sqref="E47">
    <cfRule type="containsText" dxfId="1139" priority="2" operator="containsText" text="Green">
      <formula>NOT(ISERROR(SEARCH("Green",E47)))</formula>
    </cfRule>
    <cfRule type="containsText" dxfId="1138" priority="3" operator="containsText" text="Amber">
      <formula>NOT(ISERROR(SEARCH("Amber",E47)))</formula>
    </cfRule>
    <cfRule type="containsText" dxfId="1137" priority="4" operator="containsText" text="Red">
      <formula>NOT(ISERROR(SEARCH("Red",E47)))</formula>
    </cfRule>
  </conditionalFormatting>
  <conditionalFormatting sqref="H70">
    <cfRule type="cellIs" dxfId="1136" priority="8" operator="lessThanOrEqual">
      <formula>2.14285714285714</formula>
    </cfRule>
    <cfRule type="cellIs" dxfId="1135" priority="9" operator="lessThanOrEqual">
      <formula>2.57142857142857</formula>
    </cfRule>
    <cfRule type="cellIs" dxfId="1134" priority="10" operator="lessThanOrEqual">
      <formula>3</formula>
    </cfRule>
  </conditionalFormatting>
  <conditionalFormatting sqref="N77:N80">
    <cfRule type="cellIs" dxfId="1133" priority="11" operator="lessThanOrEqual">
      <formula>2.14285714285714</formula>
    </cfRule>
    <cfRule type="cellIs" dxfId="1132" priority="12" operator="lessThanOrEqual">
      <formula>2.57142857142857</formula>
    </cfRule>
    <cfRule type="cellIs" dxfId="1131" priority="13" operator="lessThanOrEqual">
      <formula>3</formula>
    </cfRule>
  </conditionalFormatting>
  <dataValidations count="1">
    <dataValidation type="list" allowBlank="1" showInputMessage="1" showErrorMessage="1" sqref="C81 C48 C41:C46" xr:uid="{E91C0FA4-8333-4E9D-A4F3-583D5C546E56}">
      <formula1>"High, Medium, Low"</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58C67-DCBF-4FBE-B0F1-F6622C3427AE}">
  <sheetPr codeName="Sheet13">
    <tabColor theme="5" tint="0.59999389629810485"/>
  </sheetPr>
  <dimension ref="A1:W100"/>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8" ht="15" thickBot="1"/>
    <row r="2" spans="1:8" s="750" customFormat="1" ht="18.95" thickBot="1">
      <c r="A2" s="748"/>
      <c r="B2" s="749" t="s">
        <v>365</v>
      </c>
      <c r="C2" s="749"/>
      <c r="D2" s="749"/>
    </row>
    <row r="4" spans="1:8" s="714" customFormat="1" ht="18.600000000000001">
      <c r="A4" s="715"/>
      <c r="B4" s="713" t="s">
        <v>893</v>
      </c>
      <c r="C4" s="715"/>
      <c r="D4" s="715"/>
      <c r="E4" s="715"/>
      <c r="F4" s="715"/>
      <c r="G4" s="715"/>
      <c r="H4" s="715"/>
    </row>
    <row r="5" spans="1:8" s="7" customFormat="1" ht="121.5" customHeight="1">
      <c r="A5" s="737"/>
      <c r="B5" s="1152" t="s">
        <v>1143</v>
      </c>
      <c r="C5" s="1152"/>
      <c r="D5" s="1152"/>
      <c r="E5" s="1152"/>
      <c r="F5" s="1152"/>
      <c r="G5" s="1152"/>
      <c r="H5" s="1152"/>
    </row>
    <row r="7" spans="1:8" s="718" customFormat="1" ht="18.600000000000001">
      <c r="A7" s="724"/>
      <c r="B7" s="724" t="s">
        <v>895</v>
      </c>
      <c r="C7" s="724"/>
      <c r="D7" s="724"/>
      <c r="E7" s="724"/>
      <c r="F7" s="724"/>
      <c r="G7" s="724"/>
      <c r="H7" s="724"/>
    </row>
    <row r="9" spans="1:8">
      <c r="D9" s="1134" t="s">
        <v>479</v>
      </c>
      <c r="E9" s="1134"/>
      <c r="F9" s="1134"/>
      <c r="G9" s="1134"/>
    </row>
    <row r="10" spans="1:8">
      <c r="B10" s="277" t="s">
        <v>104</v>
      </c>
      <c r="C10" s="277" t="s">
        <v>711</v>
      </c>
      <c r="D10" s="386" t="s">
        <v>448</v>
      </c>
      <c r="E10" s="277" t="s">
        <v>460</v>
      </c>
      <c r="F10" s="277" t="s">
        <v>151</v>
      </c>
      <c r="G10" s="277" t="s">
        <v>462</v>
      </c>
    </row>
    <row r="11" spans="1:8">
      <c r="B11" s="278" t="s">
        <v>498</v>
      </c>
      <c r="C11" s="278" t="s">
        <v>366</v>
      </c>
      <c r="D11" s="374" t="s">
        <v>477</v>
      </c>
      <c r="E11" s="374" t="str" cm="1">
        <f t="array" ref="E11">_xlfn.XLOOKUP(1,($B11=$B$24:$B$29)*(E$10=$C$24:$C$29),$G$24:$G$29,"Not found",0,1)</f>
        <v>LG(H)</v>
      </c>
      <c r="F11" s="374"/>
      <c r="G11" s="374"/>
    </row>
    <row r="12" spans="1:8">
      <c r="B12" s="278" t="s">
        <v>124</v>
      </c>
      <c r="C12" s="278" t="s">
        <v>366</v>
      </c>
      <c r="D12" s="374" t="s">
        <v>477</v>
      </c>
      <c r="E12" s="374" t="str" cm="1">
        <f t="array" ref="E12">_xlfn.XLOOKUP(1,($B12=$B$24:$B$29)*(E$10=$C$24:$C$29),$G$24:$G$29,"Not found",0,1)</f>
        <v>LG(H)</v>
      </c>
      <c r="F12" s="374" cm="1">
        <f t="array" ref="F12">_xlfn.XLOOKUP(1,($B12=$B$81:$B$89)*(F$10=$C$81:$C$89),$G$81:$G$89,"Not found",0,1)</f>
        <v>129.61735029999454</v>
      </c>
      <c r="G12" s="374" cm="1">
        <f t="array" ref="G12">_xlfn.XLOOKUP(1,($B12=$B$81:$B$89)*(G$10=$C$81:$C$89),$G$81:$G$89,"Not found",0,1)</f>
        <v>17371.938593512492</v>
      </c>
    </row>
    <row r="13" spans="1:8">
      <c r="B13" s="278" t="s">
        <v>125</v>
      </c>
      <c r="C13" s="278" t="s">
        <v>366</v>
      </c>
      <c r="D13" s="374" t="s">
        <v>477</v>
      </c>
      <c r="E13" s="374" t="str" cm="1">
        <f t="array" ref="E13">_xlfn.XLOOKUP(1,($B13=$B$24:$B$29)*(E$10=$C$24:$C$29),$G$24:$G$29,"Not found",0,1)</f>
        <v>LG(H)</v>
      </c>
      <c r="F13" s="374" cm="1">
        <f t="array" ref="F13">_xlfn.XLOOKUP(1,($B13=$B$81:$B$89)*(F$10=$C$81:$C$89),$G$81:$G$89,"Not found",0,1)</f>
        <v>174.07288779957946</v>
      </c>
      <c r="G13" s="374" cm="1">
        <f t="array" ref="G13">_xlfn.XLOOKUP(1,($B13=$B$81:$B$89)*(G$10=$C$81:$C$89),$G$81:$G$89,"Not found",0,1)</f>
        <v>20989.97661531606</v>
      </c>
    </row>
    <row r="14" spans="1:8">
      <c r="B14" s="278" t="s">
        <v>126</v>
      </c>
      <c r="C14" s="278" t="s">
        <v>366</v>
      </c>
      <c r="D14" s="374" t="s">
        <v>477</v>
      </c>
      <c r="E14" s="374" t="str" cm="1">
        <f t="array" ref="E14">_xlfn.XLOOKUP(1,($B14=$B$24:$B$29)*(E$10=$C$24:$C$29),$G$24:$G$29,"Not found",0,1)</f>
        <v>LG(H)</v>
      </c>
      <c r="F14" s="374" cm="1">
        <f t="array" ref="F14">_xlfn.XLOOKUP(1,($B14=$B$81:$B$89)*(F$10=$C$81:$C$89),$G$81:$G$89,"Not found",0,1)</f>
        <v>218.52842529916435</v>
      </c>
      <c r="G14" s="374" cm="1">
        <f t="array" ref="G14">_xlfn.XLOOKUP(1,($B14=$B$81:$B$89)*(G$10=$C$81:$C$89),$G$81:$G$89,"Not found",0,1)</f>
        <v>24608.014637119628</v>
      </c>
    </row>
    <row r="15" spans="1:8">
      <c r="B15" s="278" t="s">
        <v>127</v>
      </c>
      <c r="C15" s="278" t="s">
        <v>366</v>
      </c>
      <c r="D15" s="374" t="s">
        <v>477</v>
      </c>
      <c r="E15" s="374" t="str" cm="1">
        <f t="array" ref="E15">_xlfn.XLOOKUP(1,($B15=$B$24:$B$29)*(E$10=$C$24:$C$29),$G$24:$G$29,"Not found",0,1)</f>
        <v>LG(H)</v>
      </c>
      <c r="F15" s="374" cm="1">
        <f t="array" ref="F15">_xlfn.XLOOKUP(1,($B15=$B$81:$B$89)*(F$10=$C$81:$C$89),$G$81:$G$89,"Not found",0,1)</f>
        <v>262.9839627987493</v>
      </c>
      <c r="G15" s="374" cm="1">
        <f t="array" ref="G15">_xlfn.XLOOKUP(1,($B15=$B$81:$B$89)*(G$10=$C$81:$C$89),$G$81:$G$89,"Not found",0,1)</f>
        <v>28226.052658923192</v>
      </c>
    </row>
    <row r="16" spans="1:8">
      <c r="B16" s="800" t="s">
        <v>896</v>
      </c>
    </row>
    <row r="17" spans="1:10">
      <c r="B17" s="800"/>
    </row>
    <row r="18" spans="1:10">
      <c r="A18" s="721"/>
      <c r="B18" s="722" t="s">
        <v>460</v>
      </c>
      <c r="C18" s="721"/>
      <c r="D18" s="721"/>
      <c r="E18" s="721"/>
      <c r="F18" s="721"/>
      <c r="G18" s="721"/>
      <c r="H18" s="721"/>
    </row>
    <row r="19" spans="1:10">
      <c r="A19" s="727"/>
      <c r="B19" s="729" t="s">
        <v>897</v>
      </c>
      <c r="C19" s="727"/>
      <c r="D19" s="727"/>
      <c r="E19" s="727"/>
      <c r="F19" s="727"/>
      <c r="G19" s="727"/>
      <c r="H19" s="727"/>
    </row>
    <row r="20" spans="1:10">
      <c r="B20" s="277" t="s">
        <v>898</v>
      </c>
      <c r="C20" s="277" t="s">
        <v>899</v>
      </c>
    </row>
    <row r="21" spans="1:10">
      <c r="B21" s="278" t="s">
        <v>460</v>
      </c>
      <c r="C21" s="278" t="s">
        <v>1127</v>
      </c>
    </row>
    <row r="22" spans="1:10">
      <c r="B22" s="16"/>
    </row>
    <row r="23" spans="1:10">
      <c r="A23" s="727"/>
      <c r="B23" s="728" t="s">
        <v>901</v>
      </c>
      <c r="C23" s="727"/>
      <c r="D23" s="727"/>
      <c r="E23" s="727"/>
      <c r="F23" s="727"/>
      <c r="G23" s="727"/>
      <c r="H23" s="727"/>
    </row>
    <row r="24" spans="1:10" ht="30" customHeight="1">
      <c r="B24" s="277" t="s">
        <v>902</v>
      </c>
      <c r="C24" s="277" t="s">
        <v>898</v>
      </c>
      <c r="D24" s="277" t="s">
        <v>899</v>
      </c>
      <c r="E24" s="298" t="s">
        <v>903</v>
      </c>
      <c r="F24" s="277" t="s">
        <v>904</v>
      </c>
      <c r="G24" s="277" t="s">
        <v>905</v>
      </c>
      <c r="H24" s="277" t="s">
        <v>924</v>
      </c>
      <c r="I24" s="277" t="s">
        <v>956</v>
      </c>
      <c r="J24" s="277" t="s">
        <v>927</v>
      </c>
    </row>
    <row r="25" spans="1:10">
      <c r="B25" s="278" t="s">
        <v>498</v>
      </c>
      <c r="C25" s="299" t="s">
        <v>460</v>
      </c>
      <c r="D25" s="278" t="s">
        <v>1127</v>
      </c>
      <c r="E25" s="299" t="s">
        <v>906</v>
      </c>
      <c r="F25" s="279" t="s">
        <v>907</v>
      </c>
      <c r="G25" s="300" t="s">
        <v>477</v>
      </c>
      <c r="H25" s="640" t="s">
        <v>907</v>
      </c>
      <c r="I25" s="640" t="s">
        <v>907</v>
      </c>
      <c r="J25" s="640" t="s">
        <v>907</v>
      </c>
    </row>
    <row r="26" spans="1:10">
      <c r="B26" s="278" t="s">
        <v>124</v>
      </c>
      <c r="C26" s="299" t="s">
        <v>460</v>
      </c>
      <c r="D26" s="278" t="s">
        <v>1127</v>
      </c>
      <c r="E26" s="299" t="s">
        <v>906</v>
      </c>
      <c r="F26" s="279" t="s">
        <v>907</v>
      </c>
      <c r="G26" s="300" t="s">
        <v>477</v>
      </c>
      <c r="H26" s="640" t="s">
        <v>907</v>
      </c>
      <c r="I26" s="640" t="s">
        <v>907</v>
      </c>
      <c r="J26" s="640" t="s">
        <v>907</v>
      </c>
    </row>
    <row r="27" spans="1:10">
      <c r="B27" s="278" t="s">
        <v>125</v>
      </c>
      <c r="C27" s="299" t="s">
        <v>460</v>
      </c>
      <c r="D27" s="278" t="s">
        <v>1127</v>
      </c>
      <c r="E27" s="299" t="s">
        <v>906</v>
      </c>
      <c r="F27" s="279" t="s">
        <v>907</v>
      </c>
      <c r="G27" s="300" t="s">
        <v>477</v>
      </c>
      <c r="H27" s="640" t="s">
        <v>907</v>
      </c>
      <c r="I27" s="640" t="s">
        <v>907</v>
      </c>
      <c r="J27" s="640" t="s">
        <v>907</v>
      </c>
    </row>
    <row r="28" spans="1:10">
      <c r="B28" s="278" t="s">
        <v>126</v>
      </c>
      <c r="C28" s="299" t="s">
        <v>460</v>
      </c>
      <c r="D28" s="278" t="s">
        <v>1127</v>
      </c>
      <c r="E28" s="299" t="s">
        <v>906</v>
      </c>
      <c r="F28" s="279" t="s">
        <v>907</v>
      </c>
      <c r="G28" s="300" t="s">
        <v>477</v>
      </c>
      <c r="H28" s="640" t="s">
        <v>907</v>
      </c>
      <c r="I28" s="640" t="s">
        <v>907</v>
      </c>
      <c r="J28" s="640" t="s">
        <v>907</v>
      </c>
    </row>
    <row r="29" spans="1:10">
      <c r="B29" s="278" t="s">
        <v>127</v>
      </c>
      <c r="C29" s="299" t="s">
        <v>460</v>
      </c>
      <c r="D29" s="278" t="s">
        <v>1127</v>
      </c>
      <c r="E29" s="299" t="s">
        <v>906</v>
      </c>
      <c r="F29" s="279" t="s">
        <v>907</v>
      </c>
      <c r="G29" s="300" t="s">
        <v>477</v>
      </c>
      <c r="H29" s="640" t="s">
        <v>907</v>
      </c>
      <c r="I29" s="640" t="s">
        <v>907</v>
      </c>
      <c r="J29" s="640" t="s">
        <v>907</v>
      </c>
    </row>
    <row r="30" spans="1:10">
      <c r="B30" s="16"/>
    </row>
    <row r="32" spans="1:10">
      <c r="A32" s="721"/>
      <c r="B32" s="722" t="s">
        <v>108</v>
      </c>
      <c r="C32" s="721"/>
      <c r="D32" s="721"/>
      <c r="E32" s="721"/>
      <c r="F32" s="721"/>
      <c r="G32" s="721"/>
      <c r="H32" s="721"/>
    </row>
    <row r="33" spans="1:8">
      <c r="A33" s="727"/>
      <c r="B33" s="729" t="s">
        <v>897</v>
      </c>
      <c r="C33" s="727"/>
      <c r="D33" s="727"/>
      <c r="E33" s="727"/>
      <c r="F33" s="727"/>
      <c r="G33" s="727"/>
      <c r="H33" s="727"/>
    </row>
    <row r="34" spans="1:8">
      <c r="B34" s="277" t="s">
        <v>898</v>
      </c>
      <c r="C34" s="277" t="s">
        <v>899</v>
      </c>
    </row>
    <row r="35" spans="1:8">
      <c r="B35" s="278" t="s">
        <v>151</v>
      </c>
      <c r="C35" s="278" t="s">
        <v>1128</v>
      </c>
    </row>
    <row r="36" spans="1:8">
      <c r="B36" s="278" t="s">
        <v>462</v>
      </c>
      <c r="C36" s="278" t="s">
        <v>1129</v>
      </c>
    </row>
    <row r="37" spans="1:8">
      <c r="B37" s="16"/>
    </row>
    <row r="38" spans="1:8">
      <c r="A38" s="727"/>
      <c r="B38" s="728" t="s">
        <v>911</v>
      </c>
      <c r="C38" s="727"/>
      <c r="D38" s="727"/>
      <c r="E38" s="727"/>
      <c r="F38" s="727"/>
      <c r="G38" s="727"/>
      <c r="H38" s="727"/>
    </row>
    <row r="39" spans="1:8">
      <c r="A39" s="725"/>
      <c r="B39" s="726" t="s">
        <v>912</v>
      </c>
      <c r="C39" s="725"/>
      <c r="D39" s="725"/>
      <c r="E39" s="725"/>
      <c r="F39" s="725"/>
      <c r="G39" s="725"/>
      <c r="H39" s="725"/>
    </row>
    <row r="40" spans="1:8" ht="29.1">
      <c r="B40" s="719" t="s">
        <v>913</v>
      </c>
      <c r="C40" s="719" t="s">
        <v>914</v>
      </c>
      <c r="D40" s="719" t="s">
        <v>915</v>
      </c>
      <c r="E40" s="719" t="s">
        <v>916</v>
      </c>
      <c r="F40" s="719" t="s">
        <v>917</v>
      </c>
      <c r="G40" s="719" t="s">
        <v>918</v>
      </c>
      <c r="H40" s="719" t="s">
        <v>919</v>
      </c>
    </row>
    <row r="41" spans="1:8">
      <c r="B41" s="278">
        <v>16</v>
      </c>
      <c r="C41" s="278" t="s">
        <v>1130</v>
      </c>
      <c r="D41" s="279" t="s">
        <v>907</v>
      </c>
      <c r="E41" s="278">
        <v>2023</v>
      </c>
      <c r="F41" s="278" t="s">
        <v>1047</v>
      </c>
      <c r="G41" s="278" t="s">
        <v>1048</v>
      </c>
      <c r="H41" s="278">
        <f>12567+3728</f>
        <v>16295</v>
      </c>
    </row>
    <row r="42" spans="1:8">
      <c r="B42" s="16"/>
    </row>
    <row r="43" spans="1:8">
      <c r="A43" s="725"/>
      <c r="B43" s="726" t="s">
        <v>924</v>
      </c>
      <c r="C43" s="725"/>
      <c r="D43" s="725"/>
      <c r="E43" s="725"/>
      <c r="F43" s="725"/>
      <c r="G43" s="725"/>
      <c r="H43" s="725"/>
    </row>
    <row r="44" spans="1:8">
      <c r="B44" s="277" t="s">
        <v>165</v>
      </c>
      <c r="C44" s="277" t="s">
        <v>925</v>
      </c>
      <c r="D44" s="277" t="s">
        <v>926</v>
      </c>
      <c r="E44" s="1134" t="s">
        <v>927</v>
      </c>
      <c r="F44" s="1134"/>
      <c r="G44" s="1134"/>
      <c r="H44" s="1134"/>
    </row>
    <row r="45" spans="1:8">
      <c r="B45" s="278" t="s">
        <v>169</v>
      </c>
      <c r="C45" s="278" t="s">
        <v>166</v>
      </c>
      <c r="D45" s="278">
        <f>VLOOKUP(C45,METHODOLOGY!$C$175:$D$177,2,FALSE)</f>
        <v>3</v>
      </c>
      <c r="E45" s="1087" t="str">
        <f>_xlfn.XLOOKUP(C45,METHODOLOGY!$E$150:$O$150,METHODOLOGY!$E$151:$O$151,"",0,1)</f>
        <v>Monetary values have been peer reviewed or are recommended / referenced in other, well recognised and accepted guidance / tools relevant to the water sector.</v>
      </c>
      <c r="F45" s="1087"/>
      <c r="G45" s="1087"/>
      <c r="H45" s="1087"/>
    </row>
    <row r="46" spans="1:8">
      <c r="B46" s="278" t="s">
        <v>173</v>
      </c>
      <c r="C46" s="278" t="s">
        <v>166</v>
      </c>
      <c r="D46" s="278">
        <f>VLOOKUP(C46,METHODOLOGY!$C$175:$D$177,2,FALSE)</f>
        <v>3</v>
      </c>
      <c r="E46" s="1087" t="str">
        <f>_xlfn.XLOOKUP(C46,METHODOLOGY!$E$150:$O$150,METHODOLOGY!$E$155:$O$155,"",0,1)</f>
        <v>Study has few limitations and is considered robust.</v>
      </c>
      <c r="F46" s="1087"/>
      <c r="G46" s="1087"/>
      <c r="H46" s="1087"/>
    </row>
    <row r="47" spans="1:8">
      <c r="B47" s="278" t="s">
        <v>177</v>
      </c>
      <c r="C47" s="278" t="s">
        <v>166</v>
      </c>
      <c r="D47" s="278">
        <f>VLOOKUP(C47,METHODOLOGY!$C$175:$D$177,2,FALSE)</f>
        <v>3</v>
      </c>
      <c r="E47" s="1087" t="str">
        <f>_xlfn.XLOOKUP(C47,METHODOLOGY!$E$150:$O$150,METHODOLOGY!$E$158:$O$158,"",0,1)</f>
        <v>0 – 5 years</v>
      </c>
      <c r="F47" s="1087"/>
      <c r="G47" s="1087"/>
      <c r="H47" s="1087"/>
    </row>
    <row r="48" spans="1:8">
      <c r="B48" s="278" t="s">
        <v>181</v>
      </c>
      <c r="C48" s="278" t="s">
        <v>166</v>
      </c>
      <c r="D48" s="278">
        <f>VLOOKUP(C48,METHODOLOGY!$C$175:$D$177,2,FALSE)</f>
        <v>3</v>
      </c>
      <c r="E48" s="1087" t="str">
        <f>_xlfn.XLOOKUP(C48,METHODOLOGY!$E$150:$O$150,METHODOLOGY!$E$160:$O$160,"",0,1)</f>
        <v>Geographically relevant to UK</v>
      </c>
      <c r="F48" s="1087"/>
      <c r="G48" s="1087"/>
      <c r="H48" s="1087"/>
    </row>
    <row r="49" spans="1:12">
      <c r="B49" s="278" t="s">
        <v>928</v>
      </c>
      <c r="C49" s="278" t="s">
        <v>167</v>
      </c>
      <c r="D49" s="278">
        <f>VLOOKUP(C49,METHODOLOGY!$C$175:$D$177,2,FALSE)</f>
        <v>2</v>
      </c>
      <c r="E49" s="1087" t="str">
        <f>_xlfn.XLOOKUP(C49,METHODOLOGY!$E$150:$O$150,METHODOLOGY!$E$162:$O$162,"",0,1)</f>
        <v>Meta-analysis or limited understanding of what the value represents.</v>
      </c>
      <c r="F49" s="1087"/>
      <c r="G49" s="1087"/>
      <c r="H49" s="1087"/>
    </row>
    <row r="50" spans="1:12">
      <c r="B50" s="278" t="s">
        <v>189</v>
      </c>
      <c r="C50" s="278" t="s">
        <v>167</v>
      </c>
      <c r="D50" s="278">
        <f>VLOOKUP(C50,METHODOLOGY!$C$175:$D$177,2,FALSE)</f>
        <v>2</v>
      </c>
      <c r="E50" s="1087" t="str">
        <f>_xlfn.XLOOKUP(C50,METHODOLOGY!$E$150:$O$150,METHODOLOGY!$E$164:$O$164,"",0,1)</f>
        <v xml:space="preserve">The original valuation can be used with some modification e.g. applying household numbers. The calculation is simple or introduces low levels of uncertainty. </v>
      </c>
      <c r="F50" s="1087"/>
      <c r="G50" s="1087"/>
      <c r="H50" s="1087"/>
    </row>
    <row r="51" spans="1:12">
      <c r="C51" s="282" t="s">
        <v>924</v>
      </c>
      <c r="D51" s="326">
        <f>IF(AND(D50=1,AVERAGE(D45:D50)&gt;2.14285714285714),2.14285714285714,IF(AND(D50=2,AVERAGE(D45:D50)&gt;2.57142857142857),2.57142857142857,AVERAGE(D45:D50)))</f>
        <v>2.5714285714285698</v>
      </c>
      <c r="E51" s="270" t="str">
        <f>IF(D51&lt;=2.14285714285714,"Red",IF(D51&lt;=2.57142857142857,"Amber",IF(D51&lt;=3,"Green")))</f>
        <v>Amber</v>
      </c>
    </row>
    <row r="52" spans="1:12">
      <c r="D52" s="7"/>
      <c r="E52" s="7"/>
    </row>
    <row r="54" spans="1:12">
      <c r="A54" s="725"/>
      <c r="B54" s="726" t="s">
        <v>929</v>
      </c>
      <c r="C54" s="725"/>
      <c r="D54" s="725"/>
      <c r="E54" s="725"/>
      <c r="F54" s="725"/>
      <c r="G54" s="725"/>
      <c r="H54" s="725"/>
    </row>
    <row r="55" spans="1:12">
      <c r="B55" s="277" t="s">
        <v>913</v>
      </c>
      <c r="C55" s="277" t="s">
        <v>1089</v>
      </c>
      <c r="D55" s="277" t="s">
        <v>902</v>
      </c>
      <c r="E55" s="277" t="s">
        <v>331</v>
      </c>
      <c r="F55" s="277" t="s">
        <v>226</v>
      </c>
      <c r="G55" s="1164" t="s">
        <v>930</v>
      </c>
      <c r="H55" s="1165"/>
      <c r="I55" s="1165"/>
      <c r="J55" s="1165"/>
      <c r="K55" s="1165"/>
      <c r="L55" s="1166"/>
    </row>
    <row r="56" spans="1:12">
      <c r="B56" s="278">
        <v>16</v>
      </c>
      <c r="C56" s="278" t="s">
        <v>151</v>
      </c>
      <c r="D56" s="278" t="s">
        <v>124</v>
      </c>
      <c r="E56" s="387">
        <v>121</v>
      </c>
      <c r="F56" s="278" t="s">
        <v>1131</v>
      </c>
      <c r="G56" s="1118" t="s">
        <v>1144</v>
      </c>
      <c r="H56" s="1119"/>
      <c r="I56" s="1119"/>
      <c r="J56" s="1119"/>
      <c r="K56" s="1119"/>
      <c r="L56" s="1091"/>
    </row>
    <row r="57" spans="1:12">
      <c r="B57" s="278">
        <v>16</v>
      </c>
      <c r="C57" s="278" t="s">
        <v>151</v>
      </c>
      <c r="D57" s="278" t="s">
        <v>126</v>
      </c>
      <c r="E57" s="387">
        <v>204</v>
      </c>
      <c r="F57" s="364" t="s">
        <v>1131</v>
      </c>
      <c r="G57" s="1123" t="s">
        <v>1145</v>
      </c>
      <c r="H57" s="1124"/>
      <c r="I57" s="1124"/>
      <c r="J57" s="1124"/>
      <c r="K57" s="1124"/>
      <c r="L57" s="1125"/>
    </row>
    <row r="58" spans="1:12" ht="29.25" customHeight="1">
      <c r="B58" s="278">
        <v>16</v>
      </c>
      <c r="C58" s="278" t="s">
        <v>462</v>
      </c>
      <c r="D58" s="278" t="s">
        <v>124</v>
      </c>
      <c r="E58" s="387">
        <v>16217</v>
      </c>
      <c r="F58" s="278" t="s">
        <v>1131</v>
      </c>
      <c r="G58" s="1118" t="s">
        <v>1146</v>
      </c>
      <c r="H58" s="1119"/>
      <c r="I58" s="1119"/>
      <c r="J58" s="1119"/>
      <c r="K58" s="1119"/>
      <c r="L58" s="1091"/>
    </row>
    <row r="59" spans="1:12" ht="29.25" customHeight="1">
      <c r="B59" s="278">
        <v>16</v>
      </c>
      <c r="C59" s="278" t="s">
        <v>462</v>
      </c>
      <c r="D59" s="278" t="s">
        <v>126</v>
      </c>
      <c r="E59" s="387">
        <v>22972</v>
      </c>
      <c r="F59" s="364" t="s">
        <v>1131</v>
      </c>
      <c r="G59" s="1118" t="s">
        <v>1147</v>
      </c>
      <c r="H59" s="1119"/>
      <c r="I59" s="1119"/>
      <c r="J59" s="1119"/>
      <c r="K59" s="1119"/>
      <c r="L59" s="1091"/>
    </row>
    <row r="73" spans="1:12">
      <c r="A73" s="725"/>
      <c r="B73" s="726" t="s">
        <v>936</v>
      </c>
      <c r="C73" s="725"/>
      <c r="D73" s="725"/>
      <c r="E73" s="725"/>
      <c r="F73" s="725"/>
      <c r="G73" s="725"/>
      <c r="H73" s="725"/>
    </row>
    <row r="74" spans="1:12" ht="29.1">
      <c r="B74" s="298" t="s">
        <v>902</v>
      </c>
      <c r="C74" s="298" t="s">
        <v>1134</v>
      </c>
      <c r="D74" s="298" t="s">
        <v>1135</v>
      </c>
      <c r="E74" s="298" t="s">
        <v>226</v>
      </c>
      <c r="F74" s="1170" t="s">
        <v>930</v>
      </c>
      <c r="G74" s="1170"/>
      <c r="H74" s="1170"/>
      <c r="I74" s="1170"/>
      <c r="J74" s="1170"/>
      <c r="K74" s="1170"/>
      <c r="L74" s="1170"/>
    </row>
    <row r="75" spans="1:12">
      <c r="B75" s="334" t="s">
        <v>124</v>
      </c>
      <c r="C75" s="396">
        <f>E56</f>
        <v>121</v>
      </c>
      <c r="D75" s="396">
        <f>E58</f>
        <v>16217</v>
      </c>
      <c r="E75" s="295" t="s">
        <v>1131</v>
      </c>
      <c r="F75" s="1172"/>
      <c r="G75" s="1173"/>
      <c r="H75" s="1173"/>
      <c r="I75" s="1173"/>
      <c r="J75" s="1173"/>
      <c r="K75" s="1173"/>
      <c r="L75" s="1174"/>
    </row>
    <row r="76" spans="1:12">
      <c r="B76" s="334" t="s">
        <v>125</v>
      </c>
      <c r="C76" s="396">
        <f>AVERAGE(C75,C77)</f>
        <v>162.5</v>
      </c>
      <c r="D76" s="396">
        <f>AVERAGE(D75,D77)</f>
        <v>19594.5</v>
      </c>
      <c r="E76" s="295" t="s">
        <v>1131</v>
      </c>
      <c r="F76" s="1172" t="s">
        <v>1148</v>
      </c>
      <c r="G76" s="1173"/>
      <c r="H76" s="1173"/>
      <c r="I76" s="1173"/>
      <c r="J76" s="1173"/>
      <c r="K76" s="1173"/>
      <c r="L76" s="1174"/>
    </row>
    <row r="77" spans="1:12">
      <c r="B77" s="334" t="s">
        <v>126</v>
      </c>
      <c r="C77" s="396">
        <f>E57</f>
        <v>204</v>
      </c>
      <c r="D77" s="396">
        <f>E59</f>
        <v>22972</v>
      </c>
      <c r="E77" s="295" t="s">
        <v>1131</v>
      </c>
      <c r="F77" s="1172"/>
      <c r="G77" s="1173"/>
      <c r="H77" s="1173"/>
      <c r="I77" s="1173"/>
      <c r="J77" s="1173"/>
      <c r="K77" s="1173"/>
      <c r="L77" s="1174"/>
    </row>
    <row r="78" spans="1:12">
      <c r="B78" s="334" t="s">
        <v>127</v>
      </c>
      <c r="C78" s="396">
        <f>C77 + (C77-C76)</f>
        <v>245.5</v>
      </c>
      <c r="D78" s="396">
        <f>D77 + (D77-D76)</f>
        <v>26349.5</v>
      </c>
      <c r="E78" s="295" t="s">
        <v>1131</v>
      </c>
      <c r="F78" s="1172" t="s">
        <v>1149</v>
      </c>
      <c r="G78" s="1173"/>
      <c r="H78" s="1173"/>
      <c r="I78" s="1173"/>
      <c r="J78" s="1173"/>
      <c r="K78" s="1173"/>
      <c r="L78" s="1174"/>
    </row>
    <row r="79" spans="1:12">
      <c r="C79" s="26"/>
    </row>
    <row r="80" spans="1:12">
      <c r="A80" s="727"/>
      <c r="B80" s="728" t="s">
        <v>901</v>
      </c>
      <c r="C80" s="727"/>
      <c r="D80" s="727"/>
      <c r="E80" s="727"/>
      <c r="F80" s="727"/>
      <c r="G80" s="727"/>
      <c r="H80" s="727"/>
    </row>
    <row r="81" spans="1:23" ht="29.1">
      <c r="B81" s="277" t="s">
        <v>902</v>
      </c>
      <c r="C81" s="277" t="s">
        <v>898</v>
      </c>
      <c r="D81" s="277" t="s">
        <v>899</v>
      </c>
      <c r="E81" s="298" t="s">
        <v>903</v>
      </c>
      <c r="F81" s="277" t="s">
        <v>904</v>
      </c>
      <c r="G81" s="277" t="s">
        <v>905</v>
      </c>
      <c r="H81" s="233" t="s">
        <v>924</v>
      </c>
      <c r="I81" s="233" t="s">
        <v>956</v>
      </c>
      <c r="J81" s="233" t="s">
        <v>927</v>
      </c>
    </row>
    <row r="82" spans="1:23">
      <c r="B82" s="278" t="s">
        <v>124</v>
      </c>
      <c r="C82" s="278" t="s">
        <v>151</v>
      </c>
      <c r="D82" s="299" t="s">
        <v>1128</v>
      </c>
      <c r="E82" s="299" t="s">
        <v>957</v>
      </c>
      <c r="F82" s="278" t="str" cm="1">
        <f t="array" ref="F82">_xlfn.XLOOKUP(1,(D93:D100=B82)*(E93:E100=C82),B93:B100,"Not found",0,1)</f>
        <v>5-1</v>
      </c>
      <c r="G82" s="311">
        <f>VLOOKUP(F82,B93:L101,11,FALSE)</f>
        <v>129.61735029999454</v>
      </c>
      <c r="H82" s="1120">
        <f>$D$51</f>
        <v>2.5714285714285698</v>
      </c>
      <c r="I82" s="1149" t="s">
        <v>1059</v>
      </c>
      <c r="J82" s="1149" t="s">
        <v>1150</v>
      </c>
    </row>
    <row r="83" spans="1:23">
      <c r="B83" s="278" t="s">
        <v>125</v>
      </c>
      <c r="C83" s="278" t="s">
        <v>151</v>
      </c>
      <c r="D83" s="299" t="s">
        <v>1128</v>
      </c>
      <c r="E83" s="299" t="s">
        <v>957</v>
      </c>
      <c r="F83" s="278" t="str" cm="1">
        <f t="array" ref="F83">_xlfn.XLOOKUP(1,(D94:D101=B83)*(E94:E101=C83),B94:B101,"Not found",0,1)</f>
        <v>5-2</v>
      </c>
      <c r="G83" s="311">
        <f>VLOOKUP(F83,B94:L102,11,FALSE)</f>
        <v>174.07288779957946</v>
      </c>
      <c r="H83" s="1121"/>
      <c r="I83" s="1149"/>
      <c r="J83" s="1149"/>
    </row>
    <row r="84" spans="1:23">
      <c r="B84" s="278" t="s">
        <v>126</v>
      </c>
      <c r="C84" s="278" t="s">
        <v>151</v>
      </c>
      <c r="D84" s="299" t="s">
        <v>1128</v>
      </c>
      <c r="E84" s="299" t="s">
        <v>957</v>
      </c>
      <c r="F84" s="278" t="str" cm="1">
        <f t="array" ref="F84">_xlfn.XLOOKUP(1,(D95:D102=B84)*(E95:E102=C84),B95:B102,"Not found",0,1)</f>
        <v>5-3</v>
      </c>
      <c r="G84" s="311">
        <f>VLOOKUP(F84,B94:L102,11,FALSE)</f>
        <v>218.52842529916435</v>
      </c>
      <c r="H84" s="1121"/>
      <c r="I84" s="1149"/>
      <c r="J84" s="1149"/>
    </row>
    <row r="85" spans="1:23">
      <c r="B85" s="278" t="s">
        <v>127</v>
      </c>
      <c r="C85" s="278" t="s">
        <v>151</v>
      </c>
      <c r="D85" s="299" t="s">
        <v>1128</v>
      </c>
      <c r="E85" s="299" t="s">
        <v>957</v>
      </c>
      <c r="F85" s="278" t="str" cm="1">
        <f t="array" ref="F85">_xlfn.XLOOKUP(1,(D96:D103=B85)*(E96:E103=C85),B96:B103,"Not found",0,1)</f>
        <v>5-4</v>
      </c>
      <c r="G85" s="311">
        <f>VLOOKUP(F85,B95:L103,11,FALSE)</f>
        <v>262.9839627987493</v>
      </c>
      <c r="H85" s="1121"/>
      <c r="I85" s="1149"/>
      <c r="J85" s="1149"/>
    </row>
    <row r="86" spans="1:23">
      <c r="B86" s="278" t="s">
        <v>124</v>
      </c>
      <c r="C86" s="278" t="s">
        <v>462</v>
      </c>
      <c r="D86" s="299" t="s">
        <v>1129</v>
      </c>
      <c r="E86" s="299" t="s">
        <v>957</v>
      </c>
      <c r="F86" s="278" t="str" cm="1">
        <f t="array" ref="F86">_xlfn.XLOOKUP(1,(D97:D104=B86)*(E97:E104=C86),B97:B104,"Not found",0,1)</f>
        <v>5-5</v>
      </c>
      <c r="G86" s="311">
        <f>VLOOKUP(F86,B97:L105,11,FALSE)</f>
        <v>17371.938593512492</v>
      </c>
      <c r="H86" s="1121"/>
      <c r="I86" s="1149"/>
      <c r="J86" s="1149"/>
    </row>
    <row r="87" spans="1:23">
      <c r="B87" s="278" t="s">
        <v>125</v>
      </c>
      <c r="C87" s="278" t="s">
        <v>462</v>
      </c>
      <c r="D87" s="299" t="s">
        <v>1129</v>
      </c>
      <c r="E87" s="299" t="s">
        <v>957</v>
      </c>
      <c r="F87" s="278" t="str" cm="1">
        <f t="array" ref="F87">_xlfn.XLOOKUP(1,(D98:D105=B87)*(E98:E105=C87),B98:B105,"Not found",0,1)</f>
        <v>5-6</v>
      </c>
      <c r="G87" s="311">
        <f>VLOOKUP(F87,B98:L106,11,FALSE)</f>
        <v>20989.97661531606</v>
      </c>
      <c r="H87" s="1121"/>
      <c r="I87" s="1149"/>
      <c r="J87" s="1149"/>
    </row>
    <row r="88" spans="1:23">
      <c r="B88" s="278" t="s">
        <v>126</v>
      </c>
      <c r="C88" s="278" t="s">
        <v>462</v>
      </c>
      <c r="D88" s="299" t="s">
        <v>1129</v>
      </c>
      <c r="E88" s="299" t="s">
        <v>957</v>
      </c>
      <c r="F88" s="278" t="str" cm="1">
        <f t="array" ref="F88">_xlfn.XLOOKUP(1,(D99:D106=B88)*(E99:E106=C88),B99:B106,"Not found",0,1)</f>
        <v>5-7</v>
      </c>
      <c r="G88" s="311">
        <f>VLOOKUP(F88,B98:L106,11,FALSE)</f>
        <v>24608.014637119628</v>
      </c>
      <c r="H88" s="1121"/>
      <c r="I88" s="1149"/>
      <c r="J88" s="1149"/>
    </row>
    <row r="89" spans="1:23">
      <c r="B89" s="278" t="s">
        <v>127</v>
      </c>
      <c r="C89" s="278" t="s">
        <v>462</v>
      </c>
      <c r="D89" s="299" t="s">
        <v>1129</v>
      </c>
      <c r="E89" s="299" t="s">
        <v>957</v>
      </c>
      <c r="F89" s="278" t="str" cm="1">
        <f t="array" ref="F89">_xlfn.XLOOKUP(1,(D100:D107=B89)*(E100:E107=C89),B100:B107,"Not found",0,1)</f>
        <v>5-8</v>
      </c>
      <c r="G89" s="311">
        <f>VLOOKUP(F89,B99:L107,11,FALSE)</f>
        <v>28226.052658923192</v>
      </c>
      <c r="H89" s="1122"/>
      <c r="I89" s="1149"/>
      <c r="J89" s="1149"/>
    </row>
    <row r="90" spans="1:23">
      <c r="B90" s="18"/>
    </row>
    <row r="91" spans="1:23">
      <c r="A91" s="725"/>
      <c r="B91" s="726" t="s">
        <v>962</v>
      </c>
      <c r="C91" s="725"/>
      <c r="D91" s="725"/>
      <c r="E91" s="725"/>
      <c r="F91" s="725"/>
      <c r="G91" s="725"/>
      <c r="H91" s="725"/>
    </row>
    <row r="92" spans="1:23">
      <c r="B92" s="277" t="s">
        <v>904</v>
      </c>
      <c r="C92" s="277" t="s">
        <v>62</v>
      </c>
      <c r="D92" s="277" t="s">
        <v>902</v>
      </c>
      <c r="E92" s="277" t="s">
        <v>898</v>
      </c>
      <c r="F92" s="277" t="s">
        <v>916</v>
      </c>
      <c r="G92" s="277" t="s">
        <v>963</v>
      </c>
      <c r="H92" s="277" t="s">
        <v>964</v>
      </c>
      <c r="I92" s="277" t="s">
        <v>965</v>
      </c>
      <c r="J92" s="277" t="s">
        <v>966</v>
      </c>
      <c r="K92" s="277" t="s">
        <v>967</v>
      </c>
      <c r="L92" s="277" t="s">
        <v>968</v>
      </c>
      <c r="M92" s="277" t="s">
        <v>956</v>
      </c>
      <c r="N92" s="277" t="s">
        <v>969</v>
      </c>
      <c r="O92" s="277" t="s">
        <v>970</v>
      </c>
      <c r="P92" s="277" t="s">
        <v>927</v>
      </c>
      <c r="Q92" s="277" t="s">
        <v>913</v>
      </c>
      <c r="R92" s="277" t="s">
        <v>914</v>
      </c>
      <c r="S92" s="277" t="s">
        <v>915</v>
      </c>
      <c r="T92" s="277" t="s">
        <v>916</v>
      </c>
      <c r="U92" s="277" t="s">
        <v>917</v>
      </c>
      <c r="V92" s="277" t="s">
        <v>918</v>
      </c>
      <c r="W92" s="277" t="s">
        <v>919</v>
      </c>
    </row>
    <row r="93" spans="1:23">
      <c r="B93" s="302" t="s">
        <v>1151</v>
      </c>
      <c r="C93" s="279" t="s">
        <v>365</v>
      </c>
      <c r="D93" s="278" t="s">
        <v>124</v>
      </c>
      <c r="E93" s="278" t="s">
        <v>151</v>
      </c>
      <c r="F93" s="299">
        <f>E$41</f>
        <v>2023</v>
      </c>
      <c r="G93" s="278">
        <v>2022</v>
      </c>
      <c r="H93" s="278">
        <f>'COMPANY INPUT'!$C$16</f>
        <v>2023</v>
      </c>
      <c r="I93" s="278">
        <f>VLOOKUP(G93,'GDP Deflators'!$H$13:$I$86,2,FALSE)</f>
        <v>93.351699999999994</v>
      </c>
      <c r="J93" s="278">
        <f>VLOOKUP(H93,'GDP Deflators'!$H$13:$I$86,2,FALSE)</f>
        <v>100</v>
      </c>
      <c r="K93" s="387">
        <f>C75</f>
        <v>121</v>
      </c>
      <c r="L93" s="746">
        <f t="shared" ref="L93:L100" si="0">K93*(J93/I93)</f>
        <v>129.61735029999454</v>
      </c>
      <c r="M93" s="278" t="str">
        <f t="shared" ref="M93:M100" si="1">$I$82</f>
        <v>Willingness to Accept</v>
      </c>
      <c r="N93" s="326">
        <f t="shared" ref="N93:N100" si="2">$H$82</f>
        <v>2.5714285714285698</v>
      </c>
      <c r="O93" s="278" t="s">
        <v>718</v>
      </c>
      <c r="P93" s="278" t="str">
        <f t="shared" ref="P93:P100" si="3">$J$82</f>
        <v>Ofwat collaborative research valuations</v>
      </c>
      <c r="Q93" s="299">
        <f>B$41</f>
        <v>16</v>
      </c>
      <c r="R93" s="299" t="str">
        <f t="shared" ref="R93:W93" si="4">C$41</f>
        <v>Ofwat (2023) PR24: Using collaborative customer research to set outcome delivery incentive rates</v>
      </c>
      <c r="S93" s="299" t="str">
        <f t="shared" si="4"/>
        <v>/</v>
      </c>
      <c r="T93" s="299">
        <f t="shared" si="4"/>
        <v>2023</v>
      </c>
      <c r="U93" s="299" t="str">
        <f t="shared" si="4"/>
        <v>UK</v>
      </c>
      <c r="V93" s="299" t="str">
        <f t="shared" si="4"/>
        <v>England and Wales</v>
      </c>
      <c r="W93" s="299">
        <f t="shared" si="4"/>
        <v>16295</v>
      </c>
    </row>
    <row r="94" spans="1:23">
      <c r="B94" s="302" t="s">
        <v>1152</v>
      </c>
      <c r="C94" s="279" t="s">
        <v>365</v>
      </c>
      <c r="D94" s="299" t="s">
        <v>125</v>
      </c>
      <c r="E94" s="278" t="s">
        <v>151</v>
      </c>
      <c r="F94" s="299">
        <f t="shared" ref="F94:F100" si="5">E$41</f>
        <v>2023</v>
      </c>
      <c r="G94" s="278">
        <v>2022</v>
      </c>
      <c r="H94" s="278">
        <f>'COMPANY INPUT'!$C$16</f>
        <v>2023</v>
      </c>
      <c r="I94" s="278">
        <f>VLOOKUP(G94,'GDP Deflators'!$H$13:$I$86,2,FALSE)</f>
        <v>93.351699999999994</v>
      </c>
      <c r="J94" s="278">
        <f>VLOOKUP(H94,'GDP Deflators'!$H$13:$I$86,2,FALSE)</f>
        <v>100</v>
      </c>
      <c r="K94" s="387">
        <f t="shared" ref="K94:K96" si="6">C76</f>
        <v>162.5</v>
      </c>
      <c r="L94" s="746">
        <f t="shared" si="0"/>
        <v>174.07288779957946</v>
      </c>
      <c r="M94" s="278" t="str">
        <f t="shared" si="1"/>
        <v>Willingness to Accept</v>
      </c>
      <c r="N94" s="326">
        <f t="shared" si="2"/>
        <v>2.5714285714285698</v>
      </c>
      <c r="O94" s="278" t="s">
        <v>718</v>
      </c>
      <c r="P94" s="278" t="str">
        <f t="shared" si="3"/>
        <v>Ofwat collaborative research valuations</v>
      </c>
      <c r="Q94" s="299">
        <f t="shared" ref="Q94:Q100" si="7">B$41</f>
        <v>16</v>
      </c>
      <c r="R94" s="299" t="str">
        <f t="shared" ref="R94:R100" si="8">C$41</f>
        <v>Ofwat (2023) PR24: Using collaborative customer research to set outcome delivery incentive rates</v>
      </c>
      <c r="S94" s="299" t="str">
        <f t="shared" ref="S94:S100" si="9">D$41</f>
        <v>/</v>
      </c>
      <c r="T94" s="299">
        <f t="shared" ref="T94:T100" si="10">E$41</f>
        <v>2023</v>
      </c>
      <c r="U94" s="299" t="str">
        <f t="shared" ref="U94:U100" si="11">F$41</f>
        <v>UK</v>
      </c>
      <c r="V94" s="299" t="str">
        <f t="shared" ref="V94:V100" si="12">G$41</f>
        <v>England and Wales</v>
      </c>
      <c r="W94" s="299">
        <f t="shared" ref="W94:W100" si="13">H$41</f>
        <v>16295</v>
      </c>
    </row>
    <row r="95" spans="1:23">
      <c r="B95" s="302" t="s">
        <v>1153</v>
      </c>
      <c r="C95" s="279" t="s">
        <v>365</v>
      </c>
      <c r="D95" s="299" t="s">
        <v>126</v>
      </c>
      <c r="E95" s="278" t="s">
        <v>151</v>
      </c>
      <c r="F95" s="299">
        <f t="shared" si="5"/>
        <v>2023</v>
      </c>
      <c r="G95" s="278">
        <v>2022</v>
      </c>
      <c r="H95" s="278">
        <f>'COMPANY INPUT'!$C$16</f>
        <v>2023</v>
      </c>
      <c r="I95" s="278">
        <f>VLOOKUP(G95,'GDP Deflators'!$H$13:$I$86,2,FALSE)</f>
        <v>93.351699999999994</v>
      </c>
      <c r="J95" s="278">
        <f>VLOOKUP(H95,'GDP Deflators'!$H$13:$I$86,2,FALSE)</f>
        <v>100</v>
      </c>
      <c r="K95" s="387">
        <f t="shared" si="6"/>
        <v>204</v>
      </c>
      <c r="L95" s="746">
        <f t="shared" si="0"/>
        <v>218.52842529916435</v>
      </c>
      <c r="M95" s="278" t="str">
        <f t="shared" si="1"/>
        <v>Willingness to Accept</v>
      </c>
      <c r="N95" s="326">
        <f t="shared" si="2"/>
        <v>2.5714285714285698</v>
      </c>
      <c r="O95" s="278" t="s">
        <v>718</v>
      </c>
      <c r="P95" s="278" t="str">
        <f t="shared" si="3"/>
        <v>Ofwat collaborative research valuations</v>
      </c>
      <c r="Q95" s="299">
        <f t="shared" si="7"/>
        <v>16</v>
      </c>
      <c r="R95" s="299" t="str">
        <f t="shared" si="8"/>
        <v>Ofwat (2023) PR24: Using collaborative customer research to set outcome delivery incentive rates</v>
      </c>
      <c r="S95" s="299" t="str">
        <f t="shared" si="9"/>
        <v>/</v>
      </c>
      <c r="T95" s="299">
        <f t="shared" si="10"/>
        <v>2023</v>
      </c>
      <c r="U95" s="299" t="str">
        <f t="shared" si="11"/>
        <v>UK</v>
      </c>
      <c r="V95" s="299" t="str">
        <f t="shared" si="12"/>
        <v>England and Wales</v>
      </c>
      <c r="W95" s="299">
        <f t="shared" si="13"/>
        <v>16295</v>
      </c>
    </row>
    <row r="96" spans="1:23">
      <c r="B96" s="302" t="s">
        <v>1154</v>
      </c>
      <c r="C96" s="279" t="s">
        <v>365</v>
      </c>
      <c r="D96" s="299" t="s">
        <v>127</v>
      </c>
      <c r="E96" s="278" t="s">
        <v>151</v>
      </c>
      <c r="F96" s="299">
        <f t="shared" si="5"/>
        <v>2023</v>
      </c>
      <c r="G96" s="278">
        <v>2022</v>
      </c>
      <c r="H96" s="278">
        <f>'COMPANY INPUT'!$C$16</f>
        <v>2023</v>
      </c>
      <c r="I96" s="278">
        <f>VLOOKUP(G96,'GDP Deflators'!$H$13:$I$86,2,FALSE)</f>
        <v>93.351699999999994</v>
      </c>
      <c r="J96" s="278">
        <f>VLOOKUP(H96,'GDP Deflators'!$H$13:$I$86,2,FALSE)</f>
        <v>100</v>
      </c>
      <c r="K96" s="387">
        <f t="shared" si="6"/>
        <v>245.5</v>
      </c>
      <c r="L96" s="746">
        <f t="shared" si="0"/>
        <v>262.9839627987493</v>
      </c>
      <c r="M96" s="278" t="str">
        <f t="shared" si="1"/>
        <v>Willingness to Accept</v>
      </c>
      <c r="N96" s="326">
        <f t="shared" si="2"/>
        <v>2.5714285714285698</v>
      </c>
      <c r="O96" s="278" t="s">
        <v>718</v>
      </c>
      <c r="P96" s="278" t="str">
        <f t="shared" si="3"/>
        <v>Ofwat collaborative research valuations</v>
      </c>
      <c r="Q96" s="299">
        <f t="shared" si="7"/>
        <v>16</v>
      </c>
      <c r="R96" s="299" t="str">
        <f t="shared" si="8"/>
        <v>Ofwat (2023) PR24: Using collaborative customer research to set outcome delivery incentive rates</v>
      </c>
      <c r="S96" s="299" t="str">
        <f t="shared" si="9"/>
        <v>/</v>
      </c>
      <c r="T96" s="299">
        <f t="shared" si="10"/>
        <v>2023</v>
      </c>
      <c r="U96" s="299" t="str">
        <f t="shared" si="11"/>
        <v>UK</v>
      </c>
      <c r="V96" s="299" t="str">
        <f t="shared" si="12"/>
        <v>England and Wales</v>
      </c>
      <c r="W96" s="299">
        <f t="shared" si="13"/>
        <v>16295</v>
      </c>
    </row>
    <row r="97" spans="2:23">
      <c r="B97" s="302" t="s">
        <v>1155</v>
      </c>
      <c r="C97" s="279" t="s">
        <v>365</v>
      </c>
      <c r="D97" s="278" t="s">
        <v>124</v>
      </c>
      <c r="E97" s="278" t="s">
        <v>462</v>
      </c>
      <c r="F97" s="299">
        <f t="shared" si="5"/>
        <v>2023</v>
      </c>
      <c r="G97" s="278">
        <v>2022</v>
      </c>
      <c r="H97" s="278">
        <f>'COMPANY INPUT'!$C$16</f>
        <v>2023</v>
      </c>
      <c r="I97" s="278">
        <f>VLOOKUP(G97,'GDP Deflators'!$H$13:$I$86,2,FALSE)</f>
        <v>93.351699999999994</v>
      </c>
      <c r="J97" s="278">
        <f>VLOOKUP(H97,'GDP Deflators'!$H$13:$I$86,2,FALSE)</f>
        <v>100</v>
      </c>
      <c r="K97" s="387">
        <f>D75</f>
        <v>16217</v>
      </c>
      <c r="L97" s="746">
        <f t="shared" si="0"/>
        <v>17371.938593512492</v>
      </c>
      <c r="M97" s="278" t="str">
        <f t="shared" si="1"/>
        <v>Willingness to Accept</v>
      </c>
      <c r="N97" s="326">
        <f t="shared" si="2"/>
        <v>2.5714285714285698</v>
      </c>
      <c r="O97" s="278" t="s">
        <v>718</v>
      </c>
      <c r="P97" s="278" t="str">
        <f t="shared" si="3"/>
        <v>Ofwat collaborative research valuations</v>
      </c>
      <c r="Q97" s="299">
        <f t="shared" si="7"/>
        <v>16</v>
      </c>
      <c r="R97" s="299" t="str">
        <f t="shared" si="8"/>
        <v>Ofwat (2023) PR24: Using collaborative customer research to set outcome delivery incentive rates</v>
      </c>
      <c r="S97" s="299" t="str">
        <f t="shared" si="9"/>
        <v>/</v>
      </c>
      <c r="T97" s="299">
        <f t="shared" si="10"/>
        <v>2023</v>
      </c>
      <c r="U97" s="299" t="str">
        <f t="shared" si="11"/>
        <v>UK</v>
      </c>
      <c r="V97" s="299" t="str">
        <f t="shared" si="12"/>
        <v>England and Wales</v>
      </c>
      <c r="W97" s="299">
        <f t="shared" si="13"/>
        <v>16295</v>
      </c>
    </row>
    <row r="98" spans="2:23">
      <c r="B98" s="302" t="s">
        <v>1156</v>
      </c>
      <c r="C98" s="279" t="s">
        <v>365</v>
      </c>
      <c r="D98" s="299" t="s">
        <v>125</v>
      </c>
      <c r="E98" s="278" t="s">
        <v>462</v>
      </c>
      <c r="F98" s="299">
        <f t="shared" si="5"/>
        <v>2023</v>
      </c>
      <c r="G98" s="278">
        <v>2022</v>
      </c>
      <c r="H98" s="278">
        <f>'COMPANY INPUT'!$C$16</f>
        <v>2023</v>
      </c>
      <c r="I98" s="278">
        <f>VLOOKUP(G98,'GDP Deflators'!$H$13:$I$86,2,FALSE)</f>
        <v>93.351699999999994</v>
      </c>
      <c r="J98" s="278">
        <f>VLOOKUP(H98,'GDP Deflators'!$H$13:$I$86,2,FALSE)</f>
        <v>100</v>
      </c>
      <c r="K98" s="387">
        <f t="shared" ref="K98:K100" si="14">D76</f>
        <v>19594.5</v>
      </c>
      <c r="L98" s="746">
        <f t="shared" si="0"/>
        <v>20989.97661531606</v>
      </c>
      <c r="M98" s="278" t="str">
        <f t="shared" si="1"/>
        <v>Willingness to Accept</v>
      </c>
      <c r="N98" s="326">
        <f t="shared" si="2"/>
        <v>2.5714285714285698</v>
      </c>
      <c r="O98" s="278" t="s">
        <v>718</v>
      </c>
      <c r="P98" s="278" t="str">
        <f t="shared" si="3"/>
        <v>Ofwat collaborative research valuations</v>
      </c>
      <c r="Q98" s="299">
        <f t="shared" si="7"/>
        <v>16</v>
      </c>
      <c r="R98" s="299" t="str">
        <f t="shared" si="8"/>
        <v>Ofwat (2023) PR24: Using collaborative customer research to set outcome delivery incentive rates</v>
      </c>
      <c r="S98" s="299" t="str">
        <f t="shared" si="9"/>
        <v>/</v>
      </c>
      <c r="T98" s="299">
        <f t="shared" si="10"/>
        <v>2023</v>
      </c>
      <c r="U98" s="299" t="str">
        <f t="shared" si="11"/>
        <v>UK</v>
      </c>
      <c r="V98" s="299" t="str">
        <f t="shared" si="12"/>
        <v>England and Wales</v>
      </c>
      <c r="W98" s="299">
        <f t="shared" si="13"/>
        <v>16295</v>
      </c>
    </row>
    <row r="99" spans="2:23">
      <c r="B99" s="302" t="s">
        <v>1157</v>
      </c>
      <c r="C99" s="279" t="s">
        <v>365</v>
      </c>
      <c r="D99" s="299" t="s">
        <v>126</v>
      </c>
      <c r="E99" s="278" t="s">
        <v>462</v>
      </c>
      <c r="F99" s="299">
        <f t="shared" si="5"/>
        <v>2023</v>
      </c>
      <c r="G99" s="278">
        <v>2022</v>
      </c>
      <c r="H99" s="278">
        <f>'COMPANY INPUT'!$C$16</f>
        <v>2023</v>
      </c>
      <c r="I99" s="278">
        <f>VLOOKUP(G99,'GDP Deflators'!$H$13:$I$86,2,FALSE)</f>
        <v>93.351699999999994</v>
      </c>
      <c r="J99" s="278">
        <f>VLOOKUP(H99,'GDP Deflators'!$H$13:$I$86,2,FALSE)</f>
        <v>100</v>
      </c>
      <c r="K99" s="387">
        <f t="shared" si="14"/>
        <v>22972</v>
      </c>
      <c r="L99" s="746">
        <f t="shared" si="0"/>
        <v>24608.014637119628</v>
      </c>
      <c r="M99" s="278" t="str">
        <f t="shared" si="1"/>
        <v>Willingness to Accept</v>
      </c>
      <c r="N99" s="326">
        <f t="shared" si="2"/>
        <v>2.5714285714285698</v>
      </c>
      <c r="O99" s="278" t="s">
        <v>718</v>
      </c>
      <c r="P99" s="278" t="str">
        <f t="shared" si="3"/>
        <v>Ofwat collaborative research valuations</v>
      </c>
      <c r="Q99" s="299">
        <f t="shared" si="7"/>
        <v>16</v>
      </c>
      <c r="R99" s="299" t="str">
        <f t="shared" si="8"/>
        <v>Ofwat (2023) PR24: Using collaborative customer research to set outcome delivery incentive rates</v>
      </c>
      <c r="S99" s="299" t="str">
        <f t="shared" si="9"/>
        <v>/</v>
      </c>
      <c r="T99" s="299">
        <f t="shared" si="10"/>
        <v>2023</v>
      </c>
      <c r="U99" s="299" t="str">
        <f t="shared" si="11"/>
        <v>UK</v>
      </c>
      <c r="V99" s="299" t="str">
        <f t="shared" si="12"/>
        <v>England and Wales</v>
      </c>
      <c r="W99" s="299">
        <f t="shared" si="13"/>
        <v>16295</v>
      </c>
    </row>
    <row r="100" spans="2:23">
      <c r="B100" s="302" t="s">
        <v>1158</v>
      </c>
      <c r="C100" s="279" t="s">
        <v>365</v>
      </c>
      <c r="D100" s="299" t="s">
        <v>127</v>
      </c>
      <c r="E100" s="278" t="s">
        <v>462</v>
      </c>
      <c r="F100" s="299">
        <f t="shared" si="5"/>
        <v>2023</v>
      </c>
      <c r="G100" s="278">
        <v>2022</v>
      </c>
      <c r="H100" s="278">
        <f>'COMPANY INPUT'!$C$16</f>
        <v>2023</v>
      </c>
      <c r="I100" s="278">
        <f>VLOOKUP(G100,'GDP Deflators'!$H$13:$I$86,2,FALSE)</f>
        <v>93.351699999999994</v>
      </c>
      <c r="J100" s="278">
        <f>VLOOKUP(H100,'GDP Deflators'!$H$13:$I$86,2,FALSE)</f>
        <v>100</v>
      </c>
      <c r="K100" s="387">
        <f t="shared" si="14"/>
        <v>26349.5</v>
      </c>
      <c r="L100" s="746">
        <f t="shared" si="0"/>
        <v>28226.052658923192</v>
      </c>
      <c r="M100" s="278" t="str">
        <f t="shared" si="1"/>
        <v>Willingness to Accept</v>
      </c>
      <c r="N100" s="326">
        <f t="shared" si="2"/>
        <v>2.5714285714285698</v>
      </c>
      <c r="O100" s="278" t="s">
        <v>718</v>
      </c>
      <c r="P100" s="278" t="str">
        <f t="shared" si="3"/>
        <v>Ofwat collaborative research valuations</v>
      </c>
      <c r="Q100" s="299">
        <f t="shared" si="7"/>
        <v>16</v>
      </c>
      <c r="R100" s="299" t="str">
        <f t="shared" si="8"/>
        <v>Ofwat (2023) PR24: Using collaborative customer research to set outcome delivery incentive rates</v>
      </c>
      <c r="S100" s="299" t="str">
        <f t="shared" si="9"/>
        <v>/</v>
      </c>
      <c r="T100" s="299">
        <f t="shared" si="10"/>
        <v>2023</v>
      </c>
      <c r="U100" s="299" t="str">
        <f t="shared" si="11"/>
        <v>UK</v>
      </c>
      <c r="V100" s="299" t="str">
        <f t="shared" si="12"/>
        <v>England and Wales</v>
      </c>
      <c r="W100" s="299">
        <f t="shared" si="13"/>
        <v>16295</v>
      </c>
    </row>
  </sheetData>
  <sheetProtection algorithmName="SHA-512" hashValue="6eUOffVkBxe6SqDrNPO094ocAb9vVKDES1oO0Grd3IA8S2VByH2RbXc/eKVrwcEw/yztEDFba2EoY/hdGHl7DQ==" saltValue="JgF5rs5eIACTE0RnGSELGw==" spinCount="100000" sheet="1" objects="1" scenarios="1"/>
  <dataConsolidate/>
  <mergeCells count="22">
    <mergeCell ref="J82:J89"/>
    <mergeCell ref="I82:I89"/>
    <mergeCell ref="H82:H89"/>
    <mergeCell ref="G55:L55"/>
    <mergeCell ref="G57:L57"/>
    <mergeCell ref="G58:L58"/>
    <mergeCell ref="G59:L59"/>
    <mergeCell ref="G56:L56"/>
    <mergeCell ref="F74:L74"/>
    <mergeCell ref="F75:L75"/>
    <mergeCell ref="F76:L76"/>
    <mergeCell ref="F77:L77"/>
    <mergeCell ref="F78:L78"/>
    <mergeCell ref="E48:H48"/>
    <mergeCell ref="E49:H49"/>
    <mergeCell ref="E50:H50"/>
    <mergeCell ref="D9:G9"/>
    <mergeCell ref="B5:H5"/>
    <mergeCell ref="E44:H44"/>
    <mergeCell ref="E45:H45"/>
    <mergeCell ref="E46:H46"/>
    <mergeCell ref="E47:H47"/>
  </mergeCells>
  <phoneticPr fontId="16" type="noConversion"/>
  <conditionalFormatting sqref="D51:E51">
    <cfRule type="cellIs" dxfId="1130" priority="5" operator="lessThanOrEqual">
      <formula>2.14285714285714</formula>
    </cfRule>
    <cfRule type="cellIs" dxfId="1129" priority="6" operator="lessThanOrEqual">
      <formula>2.57142857142857</formula>
    </cfRule>
    <cfRule type="cellIs" dxfId="1128" priority="7" operator="lessThanOrEqual">
      <formula>3</formula>
    </cfRule>
  </conditionalFormatting>
  <conditionalFormatting sqref="D11:G15">
    <cfRule type="notContainsBlanks" dxfId="1127" priority="1">
      <formula>LEN(TRIM(D11))&gt;0</formula>
    </cfRule>
  </conditionalFormatting>
  <conditionalFormatting sqref="E51">
    <cfRule type="containsText" dxfId="1126" priority="2" operator="containsText" text="Green">
      <formula>NOT(ISERROR(SEARCH("Green",E51)))</formula>
    </cfRule>
    <cfRule type="containsText" dxfId="1125" priority="3" operator="containsText" text="Amber">
      <formula>NOT(ISERROR(SEARCH("Amber",E51)))</formula>
    </cfRule>
    <cfRule type="containsText" dxfId="1124" priority="4" operator="containsText" text="Red">
      <formula>NOT(ISERROR(SEARCH("Red",E51)))</formula>
    </cfRule>
  </conditionalFormatting>
  <conditionalFormatting sqref="H82">
    <cfRule type="cellIs" dxfId="1123" priority="8" operator="lessThanOrEqual">
      <formula>2.14285714285714</formula>
    </cfRule>
    <cfRule type="cellIs" dxfId="1122" priority="9" operator="lessThanOrEqual">
      <formula>2.57142857142857</formula>
    </cfRule>
    <cfRule type="cellIs" dxfId="1121" priority="10" operator="lessThanOrEqual">
      <formula>3</formula>
    </cfRule>
  </conditionalFormatting>
  <conditionalFormatting sqref="N93:N100">
    <cfRule type="cellIs" dxfId="1120" priority="11" operator="lessThanOrEqual">
      <formula>2.14285714285714</formula>
    </cfRule>
    <cfRule type="cellIs" dxfId="1119" priority="12" operator="lessThanOrEqual">
      <formula>2.57142857142857</formula>
    </cfRule>
    <cfRule type="cellIs" dxfId="1118" priority="13" operator="lessThanOrEqual">
      <formula>3</formula>
    </cfRule>
  </conditionalFormatting>
  <dataValidations disablePrompts="1" count="1">
    <dataValidation type="list" allowBlank="1" showInputMessage="1" showErrorMessage="1" sqref="C101 C52 C45:C50" xr:uid="{688B2E66-54A2-4748-9FD6-88425F7D21EB}">
      <formula1>"High, Medium, Low"</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529B9-F1C9-4D52-B902-70CC60E795DC}">
  <sheetPr codeName="Sheet14">
    <tabColor theme="5" tint="0.59999389629810485"/>
  </sheetPr>
  <dimension ref="A1:W80"/>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8" ht="15" thickBot="1"/>
    <row r="2" spans="1:8" s="750" customFormat="1" ht="18.95" thickBot="1">
      <c r="A2" s="748"/>
      <c r="B2" s="749" t="s">
        <v>367</v>
      </c>
      <c r="C2" s="749"/>
      <c r="D2" s="749"/>
    </row>
    <row r="4" spans="1:8" s="714" customFormat="1" ht="18.600000000000001">
      <c r="A4" s="715"/>
      <c r="B4" s="713" t="s">
        <v>893</v>
      </c>
      <c r="C4" s="715"/>
      <c r="D4" s="715"/>
      <c r="E4" s="715"/>
      <c r="F4" s="715"/>
      <c r="G4" s="715"/>
      <c r="H4" s="715"/>
    </row>
    <row r="5" spans="1:8" s="7" customFormat="1" ht="120" customHeight="1">
      <c r="A5" s="737"/>
      <c r="B5" s="1152" t="s">
        <v>991</v>
      </c>
      <c r="C5" s="1152"/>
      <c r="D5" s="1152"/>
      <c r="E5" s="1152"/>
      <c r="F5" s="1152"/>
      <c r="G5" s="1152"/>
      <c r="H5" s="1152"/>
    </row>
    <row r="7" spans="1:8" s="718" customFormat="1" ht="18.600000000000001">
      <c r="A7" s="724"/>
      <c r="B7" s="724" t="s">
        <v>895</v>
      </c>
      <c r="C7" s="724"/>
      <c r="D7" s="724"/>
      <c r="E7" s="724"/>
      <c r="F7" s="724"/>
      <c r="G7" s="724"/>
      <c r="H7" s="724"/>
    </row>
    <row r="9" spans="1:8">
      <c r="D9" s="1134" t="s">
        <v>479</v>
      </c>
      <c r="E9" s="1134"/>
      <c r="F9" s="1134"/>
      <c r="G9" s="1134"/>
    </row>
    <row r="10" spans="1:8">
      <c r="B10" s="277" t="s">
        <v>104</v>
      </c>
      <c r="C10" s="277" t="s">
        <v>711</v>
      </c>
      <c r="D10" s="386" t="s">
        <v>448</v>
      </c>
      <c r="E10" s="277" t="s">
        <v>460</v>
      </c>
      <c r="F10" s="277" t="s">
        <v>151</v>
      </c>
      <c r="G10" s="277" t="s">
        <v>462</v>
      </c>
    </row>
    <row r="11" spans="1:8">
      <c r="B11" s="278" t="s">
        <v>499</v>
      </c>
      <c r="C11" s="278" t="s">
        <v>360</v>
      </c>
      <c r="D11" s="374" t="s">
        <v>477</v>
      </c>
      <c r="E11" s="374" t="str" cm="1">
        <f t="array" ref="E11">_xlfn.XLOOKUP(1,($B11=$B$24:$B$27)*(E$10=$C$24:$C$27),$G$24:$G$27,"Not found",0,1)</f>
        <v>LG(H)</v>
      </c>
      <c r="F11" s="374" cm="1">
        <f t="array" ref="F11">_xlfn.XLOOKUP(1,($B11=$B$70:$B$73)*(F$10=$C$70:$C$73),$G$70:$G$73,"Not found",0,1)</f>
        <v>66.415501806608773</v>
      </c>
      <c r="G11" s="374" cm="1">
        <f t="array" ref="G11">_xlfn.XLOOKUP(1,($B11=$B$70:$B$73)*(G$10=$C$70:$C$73),$G$70:$G$73,"Not found",0,1)</f>
        <v>4940.4563601948339</v>
      </c>
    </row>
    <row r="12" spans="1:8">
      <c r="B12" s="278" t="s">
        <v>500</v>
      </c>
      <c r="C12" s="278" t="s">
        <v>360</v>
      </c>
      <c r="D12" s="374" t="s">
        <v>477</v>
      </c>
      <c r="E12" s="374" t="str" cm="1">
        <f t="array" ref="E12">_xlfn.XLOOKUP(1,($B12=$B$24:$B$27)*(E$10=$C$24:$C$27),$G$24:$G$27,"Not found",0,1)</f>
        <v>LG(H)</v>
      </c>
      <c r="F12" s="374"/>
      <c r="G12" s="374"/>
    </row>
    <row r="13" spans="1:8">
      <c r="B13" s="278" t="s">
        <v>501</v>
      </c>
      <c r="C13" s="278" t="s">
        <v>366</v>
      </c>
      <c r="D13" s="374" t="s">
        <v>477</v>
      </c>
      <c r="E13" s="374" t="str" cm="1">
        <f t="array" ref="E13">_xlfn.XLOOKUP(1,($B13=$B$24:$B$27)*(E$10=$C$24:$C$27),$G$24:$G$27,"Not found",0,1)</f>
        <v>LG(H)</v>
      </c>
      <c r="F13" s="374" cm="1">
        <f t="array" ref="F13">_xlfn.XLOOKUP(1,($B13=$B$70:$B$73)*(F$10=$C$70:$C$73),$G$70:$G$73,"Not found",0,1)</f>
        <v>66.415501806608773</v>
      </c>
      <c r="G13" s="374" cm="1">
        <f t="array" ref="G13">_xlfn.XLOOKUP(1,($B13=$B$70:$B$73)*(G$10=$C$70:$C$73),$G$70:$G$73,"Not found",0,1)</f>
        <v>4940.4563601948339</v>
      </c>
    </row>
    <row r="14" spans="1:8">
      <c r="B14" s="278" t="s">
        <v>502</v>
      </c>
      <c r="C14" s="278" t="s">
        <v>366</v>
      </c>
      <c r="D14" s="374" t="s">
        <v>477</v>
      </c>
      <c r="E14" s="374" t="str" cm="1">
        <f t="array" ref="E14">_xlfn.XLOOKUP(1,($B14=$B$24:$B$27)*(E$10=$C$24:$C$27),$G$24:$G$27,"Not found",0,1)</f>
        <v>LG(H)</v>
      </c>
      <c r="F14" s="374" t="s">
        <v>477</v>
      </c>
      <c r="G14" s="374" t="s">
        <v>477</v>
      </c>
    </row>
    <row r="15" spans="1:8">
      <c r="B15" s="800" t="s">
        <v>896</v>
      </c>
    </row>
    <row r="17" spans="1:10">
      <c r="A17" s="721"/>
      <c r="B17" s="722" t="s">
        <v>460</v>
      </c>
      <c r="C17" s="721"/>
      <c r="D17" s="721"/>
      <c r="E17" s="721"/>
      <c r="F17" s="721"/>
      <c r="G17" s="721"/>
      <c r="H17" s="721"/>
    </row>
    <row r="18" spans="1:10">
      <c r="A18" s="727"/>
      <c r="B18" s="729" t="s">
        <v>897</v>
      </c>
      <c r="C18" s="727"/>
      <c r="D18" s="727"/>
      <c r="E18" s="727"/>
      <c r="F18" s="727"/>
      <c r="G18" s="727"/>
      <c r="H18" s="727"/>
    </row>
    <row r="19" spans="1:10">
      <c r="B19" s="277" t="s">
        <v>898</v>
      </c>
      <c r="C19" s="277" t="s">
        <v>899</v>
      </c>
    </row>
    <row r="20" spans="1:10">
      <c r="B20" s="278" t="s">
        <v>460</v>
      </c>
      <c r="C20" s="278" t="s">
        <v>1159</v>
      </c>
    </row>
    <row r="21" spans="1:10">
      <c r="B21" s="16"/>
    </row>
    <row r="22" spans="1:10">
      <c r="A22" s="727"/>
      <c r="B22" s="728" t="s">
        <v>901</v>
      </c>
      <c r="C22" s="727"/>
      <c r="D22" s="727"/>
      <c r="E22" s="727"/>
      <c r="F22" s="727"/>
      <c r="G22" s="727"/>
      <c r="H22" s="727"/>
    </row>
    <row r="23" spans="1:10" ht="30" customHeight="1">
      <c r="B23" s="277" t="s">
        <v>902</v>
      </c>
      <c r="C23" s="277" t="s">
        <v>898</v>
      </c>
      <c r="D23" s="277" t="s">
        <v>899</v>
      </c>
      <c r="E23" s="298" t="s">
        <v>903</v>
      </c>
      <c r="F23" s="277" t="s">
        <v>904</v>
      </c>
      <c r="G23" s="277" t="s">
        <v>905</v>
      </c>
      <c r="H23" s="277" t="s">
        <v>924</v>
      </c>
      <c r="I23" s="277" t="s">
        <v>956</v>
      </c>
      <c r="J23" s="277" t="s">
        <v>927</v>
      </c>
    </row>
    <row r="24" spans="1:10">
      <c r="B24" s="278" t="s">
        <v>499</v>
      </c>
      <c r="C24" s="299" t="s">
        <v>460</v>
      </c>
      <c r="D24" s="278" t="s">
        <v>1159</v>
      </c>
      <c r="E24" s="299" t="s">
        <v>906</v>
      </c>
      <c r="F24" s="279" t="s">
        <v>907</v>
      </c>
      <c r="G24" s="300" t="s">
        <v>477</v>
      </c>
      <c r="H24" s="640" t="s">
        <v>907</v>
      </c>
      <c r="I24" s="640" t="s">
        <v>907</v>
      </c>
      <c r="J24" s="640" t="s">
        <v>907</v>
      </c>
    </row>
    <row r="25" spans="1:10">
      <c r="B25" s="278" t="s">
        <v>500</v>
      </c>
      <c r="C25" s="299" t="s">
        <v>460</v>
      </c>
      <c r="D25" s="278" t="s">
        <v>1159</v>
      </c>
      <c r="E25" s="299" t="s">
        <v>906</v>
      </c>
      <c r="F25" s="279" t="s">
        <v>907</v>
      </c>
      <c r="G25" s="300" t="s">
        <v>477</v>
      </c>
      <c r="H25" s="640" t="s">
        <v>907</v>
      </c>
      <c r="I25" s="640" t="s">
        <v>907</v>
      </c>
      <c r="J25" s="640" t="s">
        <v>907</v>
      </c>
    </row>
    <row r="26" spans="1:10">
      <c r="B26" s="278" t="s">
        <v>501</v>
      </c>
      <c r="C26" s="299" t="s">
        <v>460</v>
      </c>
      <c r="D26" s="278" t="s">
        <v>1159</v>
      </c>
      <c r="E26" s="299" t="s">
        <v>906</v>
      </c>
      <c r="F26" s="279" t="s">
        <v>907</v>
      </c>
      <c r="G26" s="300" t="s">
        <v>477</v>
      </c>
      <c r="H26" s="640" t="s">
        <v>907</v>
      </c>
      <c r="I26" s="640" t="s">
        <v>907</v>
      </c>
      <c r="J26" s="640" t="s">
        <v>907</v>
      </c>
    </row>
    <row r="27" spans="1:10">
      <c r="B27" s="278" t="s">
        <v>502</v>
      </c>
      <c r="C27" s="299" t="s">
        <v>460</v>
      </c>
      <c r="D27" s="278" t="s">
        <v>1159</v>
      </c>
      <c r="E27" s="299" t="s">
        <v>906</v>
      </c>
      <c r="F27" s="279" t="s">
        <v>907</v>
      </c>
      <c r="G27" s="300" t="s">
        <v>477</v>
      </c>
      <c r="H27" s="640" t="s">
        <v>907</v>
      </c>
      <c r="I27" s="640" t="s">
        <v>907</v>
      </c>
      <c r="J27" s="640" t="s">
        <v>907</v>
      </c>
    </row>
    <row r="28" spans="1:10">
      <c r="B28" s="16"/>
    </row>
    <row r="30" spans="1:10">
      <c r="A30" s="721"/>
      <c r="B30" s="722" t="s">
        <v>108</v>
      </c>
      <c r="C30" s="721"/>
      <c r="D30" s="721"/>
      <c r="E30" s="721"/>
      <c r="F30" s="721"/>
      <c r="G30" s="721"/>
      <c r="H30" s="721"/>
    </row>
    <row r="31" spans="1:10">
      <c r="A31" s="727"/>
      <c r="B31" s="729" t="s">
        <v>897</v>
      </c>
      <c r="C31" s="727"/>
      <c r="D31" s="727"/>
      <c r="E31" s="727"/>
      <c r="F31" s="727"/>
      <c r="G31" s="727"/>
      <c r="H31" s="727"/>
    </row>
    <row r="32" spans="1:10">
      <c r="B32" s="277" t="s">
        <v>898</v>
      </c>
      <c r="C32" s="277" t="s">
        <v>899</v>
      </c>
    </row>
    <row r="33" spans="1:8">
      <c r="B33" s="278" t="s">
        <v>151</v>
      </c>
      <c r="C33" s="278" t="s">
        <v>1160</v>
      </c>
    </row>
    <row r="34" spans="1:8">
      <c r="B34" s="278" t="s">
        <v>462</v>
      </c>
      <c r="C34" s="278" t="s">
        <v>1161</v>
      </c>
    </row>
    <row r="35" spans="1:8">
      <c r="B35" s="16"/>
    </row>
    <row r="36" spans="1:8">
      <c r="A36" s="727"/>
      <c r="B36" s="728" t="s">
        <v>911</v>
      </c>
      <c r="C36" s="727"/>
      <c r="D36" s="727"/>
      <c r="E36" s="727"/>
      <c r="F36" s="727"/>
      <c r="G36" s="727"/>
      <c r="H36" s="727"/>
    </row>
    <row r="37" spans="1:8">
      <c r="A37" s="725"/>
      <c r="B37" s="726" t="s">
        <v>912</v>
      </c>
      <c r="C37" s="725"/>
      <c r="D37" s="725"/>
      <c r="E37" s="725"/>
      <c r="F37" s="725"/>
      <c r="G37" s="725"/>
      <c r="H37" s="725"/>
    </row>
    <row r="38" spans="1:8" ht="29.1">
      <c r="B38" s="719" t="s">
        <v>913</v>
      </c>
      <c r="C38" s="719" t="s">
        <v>914</v>
      </c>
      <c r="D38" s="719" t="s">
        <v>915</v>
      </c>
      <c r="E38" s="719" t="s">
        <v>916</v>
      </c>
      <c r="F38" s="719" t="s">
        <v>917</v>
      </c>
      <c r="G38" s="719" t="s">
        <v>918</v>
      </c>
      <c r="H38" s="719" t="s">
        <v>919</v>
      </c>
    </row>
    <row r="39" spans="1:8">
      <c r="B39" s="278">
        <v>16</v>
      </c>
      <c r="C39" s="278" t="s">
        <v>1130</v>
      </c>
      <c r="D39" s="279" t="s">
        <v>907</v>
      </c>
      <c r="E39" s="278">
        <v>2023</v>
      </c>
      <c r="F39" s="278" t="s">
        <v>1047</v>
      </c>
      <c r="G39" s="278" t="s">
        <v>1048</v>
      </c>
      <c r="H39" s="278">
        <f>12567+3728</f>
        <v>16295</v>
      </c>
    </row>
    <row r="40" spans="1:8">
      <c r="B40" s="16"/>
    </row>
    <row r="41" spans="1:8">
      <c r="A41" s="725"/>
      <c r="B41" s="726" t="s">
        <v>924</v>
      </c>
      <c r="C41" s="725"/>
      <c r="D41" s="725"/>
      <c r="E41" s="725"/>
      <c r="F41" s="725"/>
      <c r="G41" s="725"/>
      <c r="H41" s="725"/>
    </row>
    <row r="42" spans="1:8">
      <c r="B42" s="277" t="s">
        <v>165</v>
      </c>
      <c r="C42" s="277" t="s">
        <v>925</v>
      </c>
      <c r="D42" s="277" t="s">
        <v>926</v>
      </c>
      <c r="E42" s="1134" t="s">
        <v>927</v>
      </c>
      <c r="F42" s="1134"/>
      <c r="G42" s="1134"/>
      <c r="H42" s="1134"/>
    </row>
    <row r="43" spans="1:8">
      <c r="B43" s="278" t="s">
        <v>169</v>
      </c>
      <c r="C43" s="278" t="s">
        <v>166</v>
      </c>
      <c r="D43" s="278">
        <f>VLOOKUP(C43,METHODOLOGY!$C$175:$D$177,2,FALSE)</f>
        <v>3</v>
      </c>
      <c r="E43" s="1087" t="str">
        <f>_xlfn.XLOOKUP(C43,METHODOLOGY!$E$150:$O$150,METHODOLOGY!$E$151:$O$151,"",0,1)</f>
        <v>Monetary values have been peer reviewed or are recommended / referenced in other, well recognised and accepted guidance / tools relevant to the water sector.</v>
      </c>
      <c r="F43" s="1087"/>
      <c r="G43" s="1087"/>
      <c r="H43" s="1087"/>
    </row>
    <row r="44" spans="1:8">
      <c r="B44" s="278" t="s">
        <v>173</v>
      </c>
      <c r="C44" s="278" t="s">
        <v>166</v>
      </c>
      <c r="D44" s="278">
        <f>VLOOKUP(C44,METHODOLOGY!$C$175:$D$177,2,FALSE)</f>
        <v>3</v>
      </c>
      <c r="E44" s="1087" t="str">
        <f>_xlfn.XLOOKUP(C44,METHODOLOGY!$E$150:$O$150,METHODOLOGY!$E$155:$O$155,"",0,1)</f>
        <v>Study has few limitations and is considered robust.</v>
      </c>
      <c r="F44" s="1087"/>
      <c r="G44" s="1087"/>
      <c r="H44" s="1087"/>
    </row>
    <row r="45" spans="1:8">
      <c r="B45" s="278" t="s">
        <v>177</v>
      </c>
      <c r="C45" s="278" t="s">
        <v>166</v>
      </c>
      <c r="D45" s="278">
        <f>VLOOKUP(C45,METHODOLOGY!$C$175:$D$177,2,FALSE)</f>
        <v>3</v>
      </c>
      <c r="E45" s="1087" t="str">
        <f>_xlfn.XLOOKUP(C45,METHODOLOGY!$E$150:$O$150,METHODOLOGY!$E$158:$O$158,"",0,1)</f>
        <v>0 – 5 years</v>
      </c>
      <c r="F45" s="1087"/>
      <c r="G45" s="1087"/>
      <c r="H45" s="1087"/>
    </row>
    <row r="46" spans="1:8">
      <c r="B46" s="278" t="s">
        <v>181</v>
      </c>
      <c r="C46" s="278" t="s">
        <v>166</v>
      </c>
      <c r="D46" s="278">
        <f>VLOOKUP(C46,METHODOLOGY!$C$175:$D$177,2,FALSE)</f>
        <v>3</v>
      </c>
      <c r="E46" s="1087" t="str">
        <f>_xlfn.XLOOKUP(C46,METHODOLOGY!$E$150:$O$150,METHODOLOGY!$E$160:$O$160,"",0,1)</f>
        <v>Geographically relevant to UK</v>
      </c>
      <c r="F46" s="1087"/>
      <c r="G46" s="1087"/>
      <c r="H46" s="1087"/>
    </row>
    <row r="47" spans="1:8">
      <c r="B47" s="278" t="s">
        <v>928</v>
      </c>
      <c r="C47" s="278" t="s">
        <v>167</v>
      </c>
      <c r="D47" s="278">
        <f>VLOOKUP(C47,METHODOLOGY!$C$175:$D$177,2,FALSE)</f>
        <v>2</v>
      </c>
      <c r="E47" s="1087" t="str">
        <f>_xlfn.XLOOKUP(C47,METHODOLOGY!$E$150:$O$150,METHODOLOGY!$E$162:$O$162,"",0,1)</f>
        <v>Meta-analysis or limited understanding of what the value represents.</v>
      </c>
      <c r="F47" s="1087"/>
      <c r="G47" s="1087"/>
      <c r="H47" s="1087"/>
    </row>
    <row r="48" spans="1:8">
      <c r="B48" s="278" t="s">
        <v>189</v>
      </c>
      <c r="C48" s="278" t="s">
        <v>166</v>
      </c>
      <c r="D48" s="278">
        <f>VLOOKUP(C48,METHODOLOGY!$C$175:$D$177,2,FALSE)</f>
        <v>3</v>
      </c>
      <c r="E48" s="1087" t="str">
        <f>_xlfn.XLOOKUP(C48,METHODOLOGY!$E$150:$O$150,METHODOLOGY!$E$164:$O$164,"",0,1)</f>
        <v xml:space="preserve">The original valuation can be used with no or very simple modification e.g. change units from ha to km2, applying inflation. </v>
      </c>
      <c r="F48" s="1087"/>
      <c r="G48" s="1087"/>
      <c r="H48" s="1087"/>
    </row>
    <row r="49" spans="1:12">
      <c r="C49" s="282" t="s">
        <v>924</v>
      </c>
      <c r="D49" s="326">
        <f>IF(AND(D48=1,AVERAGE(D43:D48)&gt;2.14285714285714),2.14285714285714,IF(AND(D48=2,AVERAGE(D43:D48)&gt;2.57142857142857),2.57142857142857,AVERAGE(D43:D48)))</f>
        <v>2.8333333333333335</v>
      </c>
      <c r="E49" s="270" t="str">
        <f>IF(D49&lt;=2.14285714285714,"Red",IF(D49&lt;=2.57142857142857,"Amber",IF(D49&lt;=3,"Green")))</f>
        <v>Green</v>
      </c>
    </row>
    <row r="52" spans="1:12">
      <c r="A52" s="725"/>
      <c r="B52" s="726" t="s">
        <v>929</v>
      </c>
      <c r="C52" s="725"/>
      <c r="D52" s="725"/>
      <c r="E52" s="725"/>
      <c r="F52" s="725"/>
      <c r="G52" s="725"/>
      <c r="H52" s="725"/>
    </row>
    <row r="53" spans="1:12">
      <c r="B53" s="277" t="s">
        <v>913</v>
      </c>
      <c r="C53" s="277" t="s">
        <v>1089</v>
      </c>
      <c r="D53" s="277" t="s">
        <v>902</v>
      </c>
      <c r="E53" s="277" t="s">
        <v>331</v>
      </c>
      <c r="F53" s="277" t="s">
        <v>226</v>
      </c>
      <c r="G53" s="1157" t="s">
        <v>930</v>
      </c>
      <c r="H53" s="1157"/>
      <c r="I53" s="1157"/>
      <c r="J53" s="1157"/>
      <c r="K53" s="1157"/>
      <c r="L53" s="1157"/>
    </row>
    <row r="54" spans="1:12" ht="28.5" customHeight="1">
      <c r="B54" s="278">
        <v>16</v>
      </c>
      <c r="C54" s="278" t="s">
        <v>151</v>
      </c>
      <c r="D54" s="278" t="s">
        <v>1162</v>
      </c>
      <c r="E54" s="387">
        <v>62</v>
      </c>
      <c r="F54" s="364" t="s">
        <v>1131</v>
      </c>
      <c r="G54" s="1158" t="s">
        <v>1163</v>
      </c>
      <c r="H54" s="1095"/>
      <c r="I54" s="1095"/>
      <c r="J54" s="1095"/>
      <c r="K54" s="1095"/>
      <c r="L54" s="1095"/>
    </row>
    <row r="55" spans="1:12" ht="30" customHeight="1">
      <c r="B55" s="278">
        <v>16</v>
      </c>
      <c r="C55" s="278" t="s">
        <v>462</v>
      </c>
      <c r="D55" s="278" t="s">
        <v>1162</v>
      </c>
      <c r="E55" s="387">
        <v>4612</v>
      </c>
      <c r="F55" s="364" t="s">
        <v>1131</v>
      </c>
      <c r="G55" s="1158" t="s">
        <v>1164</v>
      </c>
      <c r="H55" s="1095"/>
      <c r="I55" s="1095"/>
      <c r="J55" s="1095"/>
      <c r="K55" s="1095"/>
      <c r="L55" s="1095"/>
    </row>
    <row r="68" spans="1:23">
      <c r="A68" s="727"/>
      <c r="B68" s="728" t="s">
        <v>901</v>
      </c>
      <c r="C68" s="727"/>
      <c r="D68" s="727"/>
      <c r="E68" s="727"/>
      <c r="F68" s="727"/>
      <c r="G68" s="727"/>
      <c r="H68" s="727"/>
    </row>
    <row r="69" spans="1:23" ht="29.1">
      <c r="B69" s="277" t="s">
        <v>902</v>
      </c>
      <c r="C69" s="277" t="s">
        <v>898</v>
      </c>
      <c r="D69" s="277" t="s">
        <v>899</v>
      </c>
      <c r="E69" s="298" t="s">
        <v>903</v>
      </c>
      <c r="F69" s="277" t="s">
        <v>904</v>
      </c>
      <c r="G69" s="277" t="s">
        <v>905</v>
      </c>
      <c r="H69" s="277" t="s">
        <v>924</v>
      </c>
      <c r="I69" s="277" t="s">
        <v>956</v>
      </c>
      <c r="J69" s="277" t="s">
        <v>927</v>
      </c>
    </row>
    <row r="70" spans="1:23">
      <c r="B70" s="278" t="s">
        <v>499</v>
      </c>
      <c r="C70" s="278" t="s">
        <v>151</v>
      </c>
      <c r="D70" s="278" t="s">
        <v>1160</v>
      </c>
      <c r="E70" s="299" t="s">
        <v>957</v>
      </c>
      <c r="F70" s="278" t="str" cm="1">
        <f t="array" ref="F70">_xlfn.XLOOKUP(1,($D$77:$D$80=$B70)*($E$77:$E$80=$C70),$B$77:$B$80,"Not found",0,1)</f>
        <v>6-1</v>
      </c>
      <c r="G70" s="300">
        <f>VLOOKUP(F70,$B$77:$L$81,11,FALSE)</f>
        <v>66.415501806608773</v>
      </c>
      <c r="H70" s="1120">
        <f>$D$49</f>
        <v>2.8333333333333335</v>
      </c>
      <c r="I70" s="1175" t="s">
        <v>1059</v>
      </c>
      <c r="J70" s="1167" t="s">
        <v>1165</v>
      </c>
    </row>
    <row r="71" spans="1:23">
      <c r="B71" s="299" t="s">
        <v>501</v>
      </c>
      <c r="C71" s="278" t="s">
        <v>151</v>
      </c>
      <c r="D71" s="278" t="s">
        <v>1160</v>
      </c>
      <c r="E71" s="299" t="s">
        <v>957</v>
      </c>
      <c r="F71" s="278" t="str" cm="1">
        <f t="array" ref="F71">_xlfn.XLOOKUP(1,($D$77:$D$80=$B71)*($E$77:$E$80=$C71),$B$77:$B$80,"Not found",0,1)</f>
        <v>6-2</v>
      </c>
      <c r="G71" s="300">
        <f t="shared" ref="G71:G73" si="0">VLOOKUP(F71,$B$77:$L$81,11,FALSE)</f>
        <v>66.415501806608773</v>
      </c>
      <c r="H71" s="1121"/>
      <c r="I71" s="1176"/>
      <c r="J71" s="1168"/>
    </row>
    <row r="72" spans="1:23">
      <c r="B72" s="278" t="s">
        <v>499</v>
      </c>
      <c r="C72" s="299" t="s">
        <v>462</v>
      </c>
      <c r="D72" s="278" t="s">
        <v>1161</v>
      </c>
      <c r="E72" s="299" t="s">
        <v>957</v>
      </c>
      <c r="F72" s="278" t="str" cm="1">
        <f t="array" ref="F72">_xlfn.XLOOKUP(1,($D$77:$D$80=$B72)*($E$77:$E$80=$C72),$B$77:$B$80,"Not found",0,1)</f>
        <v>6-3</v>
      </c>
      <c r="G72" s="300">
        <f t="shared" si="0"/>
        <v>4940.4563601948339</v>
      </c>
      <c r="H72" s="1121"/>
      <c r="I72" s="1176"/>
      <c r="J72" s="1168"/>
    </row>
    <row r="73" spans="1:23">
      <c r="B73" s="299" t="s">
        <v>501</v>
      </c>
      <c r="C73" s="299" t="s">
        <v>462</v>
      </c>
      <c r="D73" s="278" t="s">
        <v>1161</v>
      </c>
      <c r="E73" s="299" t="s">
        <v>957</v>
      </c>
      <c r="F73" s="278" t="str" cm="1">
        <f t="array" ref="F73">_xlfn.XLOOKUP(1,($D$77:$D$80=$B73)*($E$77:$E$80=$C73),$B$77:$B$80,"Not found",0,1)</f>
        <v>6-4</v>
      </c>
      <c r="G73" s="300">
        <f t="shared" si="0"/>
        <v>4940.4563601948339</v>
      </c>
      <c r="H73" s="1122"/>
      <c r="I73" s="1177"/>
      <c r="J73" s="1169"/>
    </row>
    <row r="74" spans="1:23">
      <c r="B74" s="18"/>
    </row>
    <row r="75" spans="1:23">
      <c r="A75" s="725"/>
      <c r="B75" s="726" t="s">
        <v>962</v>
      </c>
      <c r="C75" s="725"/>
      <c r="D75" s="725"/>
      <c r="E75" s="725"/>
      <c r="F75" s="725"/>
      <c r="G75" s="725"/>
      <c r="H75" s="725"/>
    </row>
    <row r="76" spans="1:23">
      <c r="B76" s="277" t="s">
        <v>904</v>
      </c>
      <c r="C76" s="277" t="s">
        <v>62</v>
      </c>
      <c r="D76" s="277" t="s">
        <v>902</v>
      </c>
      <c r="E76" s="277" t="s">
        <v>898</v>
      </c>
      <c r="F76" s="277" t="s">
        <v>916</v>
      </c>
      <c r="G76" s="277" t="s">
        <v>963</v>
      </c>
      <c r="H76" s="277" t="s">
        <v>964</v>
      </c>
      <c r="I76" s="277" t="s">
        <v>965</v>
      </c>
      <c r="J76" s="277" t="s">
        <v>966</v>
      </c>
      <c r="K76" s="277" t="s">
        <v>967</v>
      </c>
      <c r="L76" s="277" t="s">
        <v>968</v>
      </c>
      <c r="M76" s="277" t="s">
        <v>956</v>
      </c>
      <c r="N76" s="277" t="s">
        <v>969</v>
      </c>
      <c r="O76" s="277" t="s">
        <v>970</v>
      </c>
      <c r="P76" s="277" t="s">
        <v>927</v>
      </c>
      <c r="Q76" s="277" t="s">
        <v>913</v>
      </c>
      <c r="R76" s="277" t="s">
        <v>914</v>
      </c>
      <c r="S76" s="277" t="s">
        <v>915</v>
      </c>
      <c r="T76" s="277" t="s">
        <v>916</v>
      </c>
      <c r="U76" s="277" t="s">
        <v>917</v>
      </c>
      <c r="V76" s="277" t="s">
        <v>918</v>
      </c>
      <c r="W76" s="277" t="s">
        <v>919</v>
      </c>
    </row>
    <row r="77" spans="1:23">
      <c r="B77" s="302" t="s">
        <v>1166</v>
      </c>
      <c r="C77" s="279" t="s">
        <v>367</v>
      </c>
      <c r="D77" s="278" t="s">
        <v>499</v>
      </c>
      <c r="E77" s="278" t="s">
        <v>151</v>
      </c>
      <c r="F77" s="299">
        <f>E$39</f>
        <v>2023</v>
      </c>
      <c r="G77" s="278">
        <v>2022</v>
      </c>
      <c r="H77" s="278">
        <f>'COMPANY INPUT'!$C$16</f>
        <v>2023</v>
      </c>
      <c r="I77" s="278">
        <f>VLOOKUP(G77,'GDP Deflators'!$H$13:$I$86,2,FALSE)</f>
        <v>93.351699999999994</v>
      </c>
      <c r="J77" s="278">
        <f>VLOOKUP(H77,'GDP Deflators'!$H$13:$I$86,2,FALSE)</f>
        <v>100</v>
      </c>
      <c r="K77" s="387">
        <f>E54</f>
        <v>62</v>
      </c>
      <c r="L77" s="746">
        <f>K77*(J77/I77)</f>
        <v>66.415501806608773</v>
      </c>
      <c r="M77" s="300" t="str">
        <f>$I$70</f>
        <v>Willingness to Accept</v>
      </c>
      <c r="N77" s="326">
        <f>$H$70</f>
        <v>2.8333333333333335</v>
      </c>
      <c r="O77" s="278" t="s">
        <v>718</v>
      </c>
      <c r="P77" s="278" t="str">
        <f>$J$70</f>
        <v>Ofwat collaborative customer research valuation</v>
      </c>
      <c r="Q77" s="299">
        <f>B$39</f>
        <v>16</v>
      </c>
      <c r="R77" s="299" t="str">
        <f t="shared" ref="R77:W77" si="1">C$39</f>
        <v>Ofwat (2023) PR24: Using collaborative customer research to set outcome delivery incentive rates</v>
      </c>
      <c r="S77" s="299" t="str">
        <f t="shared" si="1"/>
        <v>/</v>
      </c>
      <c r="T77" s="299">
        <f t="shared" si="1"/>
        <v>2023</v>
      </c>
      <c r="U77" s="299" t="str">
        <f t="shared" si="1"/>
        <v>UK</v>
      </c>
      <c r="V77" s="299" t="str">
        <f t="shared" si="1"/>
        <v>England and Wales</v>
      </c>
      <c r="W77" s="299">
        <f t="shared" si="1"/>
        <v>16295</v>
      </c>
    </row>
    <row r="78" spans="1:23">
      <c r="B78" s="302" t="s">
        <v>1167</v>
      </c>
      <c r="C78" s="279" t="s">
        <v>367</v>
      </c>
      <c r="D78" s="299" t="s">
        <v>501</v>
      </c>
      <c r="E78" s="278" t="s">
        <v>151</v>
      </c>
      <c r="F78" s="299">
        <f t="shared" ref="F78:F79" si="2">E$39</f>
        <v>2023</v>
      </c>
      <c r="G78" s="278">
        <v>2022</v>
      </c>
      <c r="H78" s="278">
        <f>'COMPANY INPUT'!$C$16</f>
        <v>2023</v>
      </c>
      <c r="I78" s="278">
        <f>VLOOKUP(G78,'GDP Deflators'!$H$13:$I$86,2,FALSE)</f>
        <v>93.351699999999994</v>
      </c>
      <c r="J78" s="278">
        <f>VLOOKUP(H78,'GDP Deflators'!$H$13:$I$86,2,FALSE)</f>
        <v>100</v>
      </c>
      <c r="K78" s="387">
        <f>E54</f>
        <v>62</v>
      </c>
      <c r="L78" s="746">
        <f>K78*(J78/I78)</f>
        <v>66.415501806608773</v>
      </c>
      <c r="M78" s="300" t="str">
        <f>$I$70</f>
        <v>Willingness to Accept</v>
      </c>
      <c r="N78" s="326">
        <f>$H$70</f>
        <v>2.8333333333333335</v>
      </c>
      <c r="O78" s="278" t="s">
        <v>718</v>
      </c>
      <c r="P78" s="278" t="str">
        <f>$J$70</f>
        <v>Ofwat collaborative customer research valuation</v>
      </c>
      <c r="Q78" s="299">
        <f t="shared" ref="Q78:Q80" si="3">B$39</f>
        <v>16</v>
      </c>
      <c r="R78" s="299" t="str">
        <f t="shared" ref="R78:R80" si="4">C$39</f>
        <v>Ofwat (2023) PR24: Using collaborative customer research to set outcome delivery incentive rates</v>
      </c>
      <c r="S78" s="299" t="str">
        <f t="shared" ref="S78:S80" si="5">D$39</f>
        <v>/</v>
      </c>
      <c r="T78" s="299">
        <f t="shared" ref="T78:T80" si="6">E$39</f>
        <v>2023</v>
      </c>
      <c r="U78" s="299" t="str">
        <f t="shared" ref="U78:U80" si="7">F$39</f>
        <v>UK</v>
      </c>
      <c r="V78" s="299" t="str">
        <f t="shared" ref="V78:V80" si="8">G$39</f>
        <v>England and Wales</v>
      </c>
      <c r="W78" s="299">
        <f t="shared" ref="W78:W80" si="9">H$39</f>
        <v>16295</v>
      </c>
    </row>
    <row r="79" spans="1:23">
      <c r="B79" s="302" t="s">
        <v>1168</v>
      </c>
      <c r="C79" s="279" t="s">
        <v>367</v>
      </c>
      <c r="D79" s="278" t="s">
        <v>499</v>
      </c>
      <c r="E79" s="299" t="s">
        <v>462</v>
      </c>
      <c r="F79" s="299">
        <f t="shared" si="2"/>
        <v>2023</v>
      </c>
      <c r="G79" s="278">
        <v>2022</v>
      </c>
      <c r="H79" s="278">
        <f>'COMPANY INPUT'!$C$16</f>
        <v>2023</v>
      </c>
      <c r="I79" s="278">
        <f>VLOOKUP(G79,'GDP Deflators'!$H$13:$I$86,2,FALSE)</f>
        <v>93.351699999999994</v>
      </c>
      <c r="J79" s="278">
        <f>VLOOKUP(H79,'GDP Deflators'!$H$13:$I$86,2,FALSE)</f>
        <v>100</v>
      </c>
      <c r="K79" s="387">
        <f>E55</f>
        <v>4612</v>
      </c>
      <c r="L79" s="746">
        <f>K79*(J79/I79)</f>
        <v>4940.4563601948339</v>
      </c>
      <c r="M79" s="300" t="str">
        <f>$I$70</f>
        <v>Willingness to Accept</v>
      </c>
      <c r="N79" s="326">
        <f>$H$70</f>
        <v>2.8333333333333335</v>
      </c>
      <c r="O79" s="278" t="s">
        <v>718</v>
      </c>
      <c r="P79" s="278" t="str">
        <f>$J$70</f>
        <v>Ofwat collaborative customer research valuation</v>
      </c>
      <c r="Q79" s="299">
        <f t="shared" si="3"/>
        <v>16</v>
      </c>
      <c r="R79" s="299" t="str">
        <f t="shared" si="4"/>
        <v>Ofwat (2023) PR24: Using collaborative customer research to set outcome delivery incentive rates</v>
      </c>
      <c r="S79" s="299" t="str">
        <f t="shared" si="5"/>
        <v>/</v>
      </c>
      <c r="T79" s="299">
        <f t="shared" si="6"/>
        <v>2023</v>
      </c>
      <c r="U79" s="299" t="str">
        <f t="shared" si="7"/>
        <v>UK</v>
      </c>
      <c r="V79" s="299" t="str">
        <f t="shared" si="8"/>
        <v>England and Wales</v>
      </c>
      <c r="W79" s="299">
        <f t="shared" si="9"/>
        <v>16295</v>
      </c>
    </row>
    <row r="80" spans="1:23">
      <c r="B80" s="302" t="s">
        <v>1169</v>
      </c>
      <c r="C80" s="279" t="s">
        <v>367</v>
      </c>
      <c r="D80" s="299" t="s">
        <v>501</v>
      </c>
      <c r="E80" s="299" t="s">
        <v>462</v>
      </c>
      <c r="F80" s="299">
        <f>E$39</f>
        <v>2023</v>
      </c>
      <c r="G80" s="278">
        <v>2022</v>
      </c>
      <c r="H80" s="278">
        <f>'COMPANY INPUT'!$C$16</f>
        <v>2023</v>
      </c>
      <c r="I80" s="278">
        <f>VLOOKUP(G80,'GDP Deflators'!$H$13:$I$86,2,FALSE)</f>
        <v>93.351699999999994</v>
      </c>
      <c r="J80" s="278">
        <f>VLOOKUP(H80,'GDP Deflators'!$H$13:$I$86,2,FALSE)</f>
        <v>100</v>
      </c>
      <c r="K80" s="387">
        <f>E55</f>
        <v>4612</v>
      </c>
      <c r="L80" s="746">
        <f>K80*(J80/I80)</f>
        <v>4940.4563601948339</v>
      </c>
      <c r="M80" s="300" t="str">
        <f>$I$70</f>
        <v>Willingness to Accept</v>
      </c>
      <c r="N80" s="326">
        <f>$H$70</f>
        <v>2.8333333333333335</v>
      </c>
      <c r="O80" s="278" t="s">
        <v>718</v>
      </c>
      <c r="P80" s="278" t="str">
        <f>$J$70</f>
        <v>Ofwat collaborative customer research valuation</v>
      </c>
      <c r="Q80" s="299">
        <f t="shared" si="3"/>
        <v>16</v>
      </c>
      <c r="R80" s="299" t="str">
        <f t="shared" si="4"/>
        <v>Ofwat (2023) PR24: Using collaborative customer research to set outcome delivery incentive rates</v>
      </c>
      <c r="S80" s="299" t="str">
        <f t="shared" si="5"/>
        <v>/</v>
      </c>
      <c r="T80" s="299">
        <f t="shared" si="6"/>
        <v>2023</v>
      </c>
      <c r="U80" s="299" t="str">
        <f t="shared" si="7"/>
        <v>UK</v>
      </c>
      <c r="V80" s="299" t="str">
        <f t="shared" si="8"/>
        <v>England and Wales</v>
      </c>
      <c r="W80" s="299">
        <f t="shared" si="9"/>
        <v>16295</v>
      </c>
    </row>
  </sheetData>
  <sheetProtection algorithmName="SHA-512" hashValue="DtJ3luJX9AMV8v9h1Gd0aSkDrau62OWNsycqU0xFUCPuyc8UeMeJ8m9PKdZTasYrmVl3+0fc3+yYVs4leODfPQ==" saltValue="eWM/zrN5jrnIsNs1Hppv4Q==" spinCount="100000" sheet="1" objects="1" scenarios="1"/>
  <dataConsolidate/>
  <mergeCells count="15">
    <mergeCell ref="H70:H73"/>
    <mergeCell ref="I70:I73"/>
    <mergeCell ref="J70:J73"/>
    <mergeCell ref="D9:G9"/>
    <mergeCell ref="B5:H5"/>
    <mergeCell ref="E42:H42"/>
    <mergeCell ref="E43:H43"/>
    <mergeCell ref="E44:H44"/>
    <mergeCell ref="E45:H45"/>
    <mergeCell ref="E46:H46"/>
    <mergeCell ref="E47:H47"/>
    <mergeCell ref="E48:H48"/>
    <mergeCell ref="G53:L53"/>
    <mergeCell ref="G54:L54"/>
    <mergeCell ref="G55:L55"/>
  </mergeCells>
  <phoneticPr fontId="16" type="noConversion"/>
  <conditionalFormatting sqref="D49:E49">
    <cfRule type="cellIs" dxfId="1117" priority="5" operator="lessThanOrEqual">
      <formula>2.14285714285714</formula>
    </cfRule>
    <cfRule type="cellIs" dxfId="1116" priority="6" operator="lessThanOrEqual">
      <formula>2.57142857142857</formula>
    </cfRule>
    <cfRule type="cellIs" dxfId="1115" priority="7" operator="lessThanOrEqual">
      <formula>3</formula>
    </cfRule>
  </conditionalFormatting>
  <conditionalFormatting sqref="D11:G14">
    <cfRule type="notContainsBlanks" dxfId="1114" priority="1">
      <formula>LEN(TRIM(D11))&gt;0</formula>
    </cfRule>
  </conditionalFormatting>
  <conditionalFormatting sqref="E49">
    <cfRule type="containsText" dxfId="1113" priority="2" operator="containsText" text="Green">
      <formula>NOT(ISERROR(SEARCH("Green",E49)))</formula>
    </cfRule>
    <cfRule type="containsText" dxfId="1112" priority="3" operator="containsText" text="Amber">
      <formula>NOT(ISERROR(SEARCH("Amber",E49)))</formula>
    </cfRule>
    <cfRule type="containsText" dxfId="1111" priority="4" operator="containsText" text="Red">
      <formula>NOT(ISERROR(SEARCH("Red",E49)))</formula>
    </cfRule>
  </conditionalFormatting>
  <conditionalFormatting sqref="H70">
    <cfRule type="cellIs" dxfId="1110" priority="8" operator="lessThanOrEqual">
      <formula>2.14285714285714</formula>
    </cfRule>
    <cfRule type="cellIs" dxfId="1109" priority="9" operator="lessThanOrEqual">
      <formula>2.57142857142857</formula>
    </cfRule>
    <cfRule type="cellIs" dxfId="1108" priority="10" operator="lessThanOrEqual">
      <formula>3</formula>
    </cfRule>
  </conditionalFormatting>
  <conditionalFormatting sqref="N77:N80">
    <cfRule type="cellIs" dxfId="1107" priority="11" operator="lessThanOrEqual">
      <formula>2.14285714285714</formula>
    </cfRule>
    <cfRule type="cellIs" dxfId="1106" priority="12" operator="lessThanOrEqual">
      <formula>2.57142857142857</formula>
    </cfRule>
    <cfRule type="cellIs" dxfId="1105" priority="13" operator="lessThanOrEqual">
      <formula>3</formula>
    </cfRule>
  </conditionalFormatting>
  <dataValidations count="1">
    <dataValidation type="list" allowBlank="1" showInputMessage="1" showErrorMessage="1" sqref="C81 C43:C48" xr:uid="{2EDF3685-7BB1-422A-BED2-047E8BDC8E8C}">
      <formula1>"High, Medium, Low"</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0AFEB-B398-4113-9C96-24B615F2F272}">
  <sheetPr codeName="Sheet15">
    <tabColor theme="5" tint="0.59999389629810485"/>
  </sheetPr>
  <dimension ref="A1:X128"/>
  <sheetViews>
    <sheetView workbookViewId="0">
      <selection activeCell="B2" sqref="B2"/>
    </sheetView>
  </sheetViews>
  <sheetFormatPr defaultColWidth="9" defaultRowHeight="14.45"/>
  <cols>
    <col min="1" max="1" width="3.5" style="262" customWidth="1"/>
    <col min="2" max="3" width="40.625" style="262" customWidth="1"/>
    <col min="4" max="13" width="15.625" style="262" customWidth="1"/>
    <col min="14" max="16" width="16.125" style="262" customWidth="1"/>
    <col min="17" max="17" width="9" style="262" bestFit="1"/>
    <col min="18" max="18" width="16.625" style="262" customWidth="1"/>
    <col min="19" max="19" width="18.5" style="262" customWidth="1"/>
    <col min="20" max="16384" width="9" style="262"/>
  </cols>
  <sheetData>
    <row r="1" spans="1:8" ht="15" thickBot="1">
      <c r="A1" s="2"/>
      <c r="B1" s="2"/>
      <c r="C1" s="2"/>
      <c r="D1" s="2"/>
      <c r="E1" s="2"/>
      <c r="F1" s="2"/>
      <c r="G1" s="2"/>
      <c r="H1" s="2"/>
    </row>
    <row r="2" spans="1:8" s="710" customFormat="1" ht="18.95" thickBot="1">
      <c r="A2" s="707"/>
      <c r="B2" s="749" t="s">
        <v>368</v>
      </c>
      <c r="C2" s="711"/>
      <c r="D2" s="711"/>
    </row>
    <row r="4" spans="1:8" s="714" customFormat="1" ht="18.600000000000001">
      <c r="A4" s="715"/>
      <c r="B4" s="713" t="s">
        <v>893</v>
      </c>
      <c r="C4" s="715"/>
      <c r="D4" s="715"/>
      <c r="E4" s="715"/>
      <c r="F4" s="715"/>
      <c r="G4" s="715"/>
      <c r="H4" s="715"/>
    </row>
    <row r="5" spans="1:8" s="7" customFormat="1" ht="99.75" customHeight="1">
      <c r="A5" s="737"/>
      <c r="B5" s="1152" t="s">
        <v>1170</v>
      </c>
      <c r="C5" s="1152"/>
      <c r="D5" s="1152"/>
      <c r="E5" s="1152"/>
      <c r="F5" s="1152"/>
      <c r="G5" s="1152"/>
      <c r="H5" s="1152"/>
    </row>
    <row r="6" spans="1:8" s="7" customFormat="1"/>
    <row r="7" spans="1:8" s="718" customFormat="1" ht="18.600000000000001">
      <c r="A7" s="723"/>
      <c r="B7" s="724" t="s">
        <v>895</v>
      </c>
      <c r="C7" s="723"/>
      <c r="D7" s="723"/>
      <c r="E7" s="723"/>
      <c r="F7" s="723"/>
      <c r="G7" s="723"/>
      <c r="H7" s="723"/>
    </row>
    <row r="9" spans="1:8">
      <c r="A9" s="2"/>
      <c r="B9" s="2"/>
      <c r="C9" s="2"/>
      <c r="D9" s="1134" t="s">
        <v>479</v>
      </c>
      <c r="E9" s="1134"/>
      <c r="F9" s="1134"/>
      <c r="G9" s="1134"/>
      <c r="H9" s="2"/>
    </row>
    <row r="10" spans="1:8">
      <c r="A10" s="2"/>
      <c r="B10" s="277" t="s">
        <v>104</v>
      </c>
      <c r="C10" s="277" t="s">
        <v>226</v>
      </c>
      <c r="D10" s="386" t="s">
        <v>448</v>
      </c>
      <c r="E10" s="277" t="s">
        <v>453</v>
      </c>
      <c r="F10" s="277" t="s">
        <v>456</v>
      </c>
      <c r="G10" s="277" t="s">
        <v>460</v>
      </c>
      <c r="H10" s="2"/>
    </row>
    <row r="11" spans="1:8">
      <c r="A11" s="2"/>
      <c r="B11" s="278" t="s">
        <v>503</v>
      </c>
      <c r="C11" s="297" t="s">
        <v>369</v>
      </c>
      <c r="D11" s="374" t="s">
        <v>477</v>
      </c>
      <c r="E11" s="374" cm="1">
        <f t="array" ref="E11">_xlfn.XLOOKUP(1,($B11=$B$72:$B$72)*(E$10=$C$72:$C$72),$G$72:$G$72,"Not found",0,1)</f>
        <v>390550</v>
      </c>
      <c r="F11" s="374" cm="1">
        <f t="array" aca="1" ref="F11" ca="1">_xlfn.XLOOKUP(1,($B11=$B$114:$B$114)*(F$10=$C$114:$C$114),$G$114:$G$114,"Not found",0,1)</f>
        <v>38210.601357306041</v>
      </c>
      <c r="G11" s="374" t="str">
        <f>_xlfn.XLOOKUP(1,($B11=$B$127)*(G$10=$C$127),$G$127,"Not found",0,1)</f>
        <v>LG(M)</v>
      </c>
      <c r="H11" s="2"/>
    </row>
    <row r="12" spans="1:8">
      <c r="A12" s="2"/>
      <c r="B12" s="800" t="s">
        <v>896</v>
      </c>
      <c r="C12" s="2"/>
      <c r="D12" s="2"/>
      <c r="E12" s="2"/>
      <c r="F12" s="2"/>
      <c r="G12" s="2"/>
      <c r="H12" s="2"/>
    </row>
    <row r="13" spans="1:8">
      <c r="A13" s="2"/>
      <c r="B13" s="800"/>
      <c r="C13" s="2"/>
      <c r="D13" s="2"/>
      <c r="E13" s="2"/>
      <c r="F13" s="2"/>
      <c r="G13" s="2"/>
      <c r="H13" s="2"/>
    </row>
    <row r="14" spans="1:8">
      <c r="A14" s="721"/>
      <c r="B14" s="722" t="s">
        <v>453</v>
      </c>
      <c r="C14" s="721"/>
      <c r="D14" s="721"/>
      <c r="E14" s="721"/>
      <c r="F14" s="721"/>
      <c r="G14" s="721"/>
      <c r="H14" s="721"/>
    </row>
    <row r="15" spans="1:8">
      <c r="A15" s="727"/>
      <c r="B15" s="729" t="s">
        <v>897</v>
      </c>
      <c r="C15" s="727"/>
      <c r="D15" s="727"/>
      <c r="E15" s="727"/>
      <c r="F15" s="727"/>
      <c r="G15" s="727"/>
      <c r="H15" s="727"/>
    </row>
    <row r="16" spans="1:8">
      <c r="A16" s="2"/>
      <c r="B16" s="277" t="s">
        <v>898</v>
      </c>
      <c r="C16" s="277" t="s">
        <v>899</v>
      </c>
      <c r="D16" s="2"/>
      <c r="E16" s="2"/>
      <c r="F16" s="2"/>
      <c r="G16" s="2"/>
      <c r="H16" s="2"/>
    </row>
    <row r="17" spans="1:12">
      <c r="A17" s="2"/>
      <c r="B17" s="278" t="s">
        <v>453</v>
      </c>
      <c r="C17" s="278" t="s">
        <v>1171</v>
      </c>
      <c r="D17" s="2"/>
      <c r="E17" s="2"/>
      <c r="F17" s="2"/>
      <c r="G17" s="2"/>
      <c r="H17" s="2"/>
      <c r="I17" s="2"/>
      <c r="J17" s="2"/>
      <c r="K17" s="2"/>
      <c r="L17" s="2"/>
    </row>
    <row r="18" spans="1:12">
      <c r="A18" s="2"/>
      <c r="B18" s="16"/>
      <c r="C18" s="2"/>
      <c r="D18" s="2"/>
      <c r="E18" s="2"/>
      <c r="F18" s="2"/>
      <c r="G18" s="2"/>
      <c r="H18" s="2"/>
      <c r="I18" s="2"/>
      <c r="J18" s="2"/>
      <c r="K18" s="2"/>
      <c r="L18" s="2"/>
    </row>
    <row r="19" spans="1:12">
      <c r="A19" s="727"/>
      <c r="B19" s="728" t="s">
        <v>911</v>
      </c>
      <c r="C19" s="727"/>
      <c r="D19" s="727"/>
      <c r="E19" s="727"/>
      <c r="F19" s="727"/>
      <c r="G19" s="727"/>
      <c r="H19" s="727"/>
      <c r="I19" s="2"/>
      <c r="J19" s="2"/>
      <c r="K19" s="2"/>
      <c r="L19" s="2"/>
    </row>
    <row r="20" spans="1:12">
      <c r="A20" s="725"/>
      <c r="B20" s="726" t="s">
        <v>912</v>
      </c>
      <c r="C20" s="725"/>
      <c r="D20" s="725"/>
      <c r="E20" s="725"/>
      <c r="F20" s="725"/>
      <c r="G20" s="725"/>
      <c r="H20" s="725"/>
      <c r="I20" s="2"/>
      <c r="J20" s="2"/>
      <c r="K20" s="2"/>
      <c r="L20" s="2"/>
    </row>
    <row r="21" spans="1:12" ht="29.1">
      <c r="A21" s="2"/>
      <c r="B21" s="719" t="s">
        <v>913</v>
      </c>
      <c r="C21" s="719" t="s">
        <v>914</v>
      </c>
      <c r="D21" s="719" t="s">
        <v>915</v>
      </c>
      <c r="E21" s="719" t="s">
        <v>916</v>
      </c>
      <c r="F21" s="719" t="s">
        <v>917</v>
      </c>
      <c r="G21" s="719" t="s">
        <v>918</v>
      </c>
      <c r="H21" s="719" t="s">
        <v>919</v>
      </c>
      <c r="I21" s="2"/>
      <c r="J21" s="2"/>
      <c r="K21" s="2"/>
      <c r="L21" s="2"/>
    </row>
    <row r="22" spans="1:12">
      <c r="A22" s="2"/>
      <c r="B22" s="278">
        <v>22</v>
      </c>
      <c r="C22" s="278" t="s">
        <v>1172</v>
      </c>
      <c r="D22" s="278" t="s">
        <v>352</v>
      </c>
      <c r="E22" s="278">
        <v>2018</v>
      </c>
      <c r="F22" s="278" t="s">
        <v>1047</v>
      </c>
      <c r="G22" s="278" t="s">
        <v>1047</v>
      </c>
      <c r="H22" s="279" t="s">
        <v>907</v>
      </c>
      <c r="I22" s="2"/>
      <c r="J22" s="2"/>
      <c r="K22" s="2"/>
      <c r="L22" s="2"/>
    </row>
    <row r="23" spans="1:12">
      <c r="A23" s="2"/>
      <c r="B23" s="16"/>
      <c r="C23" s="2"/>
      <c r="D23" s="2"/>
      <c r="E23" s="2"/>
      <c r="F23" s="2"/>
      <c r="G23" s="2"/>
      <c r="H23" s="2"/>
      <c r="I23" s="2"/>
      <c r="J23" s="2"/>
      <c r="K23" s="2"/>
      <c r="L23" s="2"/>
    </row>
    <row r="24" spans="1:12">
      <c r="A24" s="725"/>
      <c r="B24" s="726" t="s">
        <v>924</v>
      </c>
      <c r="C24" s="725"/>
      <c r="D24" s="725"/>
      <c r="E24" s="725"/>
      <c r="F24" s="725"/>
      <c r="G24" s="725"/>
      <c r="H24" s="725"/>
      <c r="I24" s="2"/>
      <c r="J24" s="2"/>
      <c r="K24" s="2"/>
      <c r="L24" s="2"/>
    </row>
    <row r="25" spans="1:12">
      <c r="A25" s="2"/>
      <c r="B25" s="277" t="s">
        <v>165</v>
      </c>
      <c r="C25" s="277" t="s">
        <v>925</v>
      </c>
      <c r="D25" s="277" t="s">
        <v>926</v>
      </c>
      <c r="E25" s="1134" t="s">
        <v>927</v>
      </c>
      <c r="F25" s="1134"/>
      <c r="G25" s="1134"/>
      <c r="H25" s="1134"/>
      <c r="I25" s="2"/>
      <c r="J25" s="2"/>
      <c r="K25" s="2"/>
      <c r="L25" s="2"/>
    </row>
    <row r="26" spans="1:12">
      <c r="A26" s="2"/>
      <c r="B26" s="278" t="s">
        <v>169</v>
      </c>
      <c r="C26" s="278" t="s">
        <v>166</v>
      </c>
      <c r="D26" s="278">
        <f>VLOOKUP(C26,METHODOLOGY!$C$175:$D$177,2,FALSE)</f>
        <v>3</v>
      </c>
      <c r="E26" s="1087" t="str">
        <f>_xlfn.XLOOKUP(C26,METHODOLOGY!$E$150:$O$150,METHODOLOGY!$E$151:$O$151,"",0,1)</f>
        <v>Monetary values have been peer reviewed or are recommended / referenced in other, well recognised and accepted guidance / tools relevant to the water sector.</v>
      </c>
      <c r="F26" s="1087"/>
      <c r="G26" s="1087"/>
      <c r="H26" s="1087"/>
      <c r="I26" s="2"/>
      <c r="J26" s="2"/>
      <c r="K26" s="2"/>
      <c r="L26" s="2"/>
    </row>
    <row r="27" spans="1:12">
      <c r="A27" s="2"/>
      <c r="B27" s="278" t="s">
        <v>173</v>
      </c>
      <c r="C27" s="278" t="s">
        <v>166</v>
      </c>
      <c r="D27" s="278">
        <f>VLOOKUP(C27,METHODOLOGY!$C$175:$D$177,2,FALSE)</f>
        <v>3</v>
      </c>
      <c r="E27" s="1087" t="str">
        <f>_xlfn.XLOOKUP(C27,METHODOLOGY!$E$150:$O$150,METHODOLOGY!$E$155:$O$155,"",0,1)</f>
        <v>Study has few limitations and is considered robust.</v>
      </c>
      <c r="F27" s="1087"/>
      <c r="G27" s="1087"/>
      <c r="H27" s="1087"/>
      <c r="I27" s="2"/>
      <c r="J27" s="2"/>
      <c r="K27" s="2"/>
      <c r="L27" s="2"/>
    </row>
    <row r="28" spans="1:12">
      <c r="A28" s="2"/>
      <c r="B28" s="278" t="s">
        <v>177</v>
      </c>
      <c r="C28" s="278" t="s">
        <v>167</v>
      </c>
      <c r="D28" s="278">
        <f>VLOOKUP(C28,METHODOLOGY!$C$175:$D$177,2,FALSE)</f>
        <v>2</v>
      </c>
      <c r="E28" s="1087" t="str">
        <f>_xlfn.XLOOKUP(C28,METHODOLOGY!$E$150:$O$150,METHODOLOGY!$E$158:$O$158,"",0,1)</f>
        <v>6-10 years</v>
      </c>
      <c r="F28" s="1087"/>
      <c r="G28" s="1087"/>
      <c r="H28" s="1087"/>
      <c r="I28" s="2"/>
      <c r="J28" s="2"/>
      <c r="K28" s="2"/>
      <c r="L28" s="2"/>
    </row>
    <row r="29" spans="1:12">
      <c r="A29" s="2"/>
      <c r="B29" s="278" t="s">
        <v>181</v>
      </c>
      <c r="C29" s="278" t="s">
        <v>166</v>
      </c>
      <c r="D29" s="278">
        <f>VLOOKUP(C29,METHODOLOGY!$C$175:$D$177,2,FALSE)</f>
        <v>3</v>
      </c>
      <c r="E29" s="1087" t="str">
        <f>_xlfn.XLOOKUP(C29,METHODOLOGY!$E$150:$O$150,METHODOLOGY!$E$160:$O$160,"",0,1)</f>
        <v>Geographically relevant to UK</v>
      </c>
      <c r="F29" s="1087"/>
      <c r="G29" s="1087"/>
      <c r="H29" s="1087"/>
      <c r="I29" s="2"/>
      <c r="J29" s="2"/>
      <c r="K29" s="2"/>
      <c r="L29" s="2"/>
    </row>
    <row r="30" spans="1:12">
      <c r="A30" s="2"/>
      <c r="B30" s="278" t="s">
        <v>928</v>
      </c>
      <c r="C30" s="278" t="s">
        <v>166</v>
      </c>
      <c r="D30" s="278">
        <f>VLOOKUP(C30,METHODOLOGY!$C$175:$D$177,2,FALSE)</f>
        <v>3</v>
      </c>
      <c r="E30" s="1087" t="str">
        <f>_xlfn.XLOOKUP(C30,METHODOLOGY!$E$150:$O$150,METHODOLOGY!$E$162:$O$162,"",0,1)</f>
        <v>Clear understanding of the valuation method and how the value should be applied.</v>
      </c>
      <c r="F30" s="1087"/>
      <c r="G30" s="1087"/>
      <c r="H30" s="1087"/>
      <c r="I30" s="2"/>
      <c r="J30" s="2"/>
      <c r="K30" s="2"/>
      <c r="L30" s="2"/>
    </row>
    <row r="31" spans="1:12">
      <c r="A31" s="2"/>
      <c r="B31" s="278" t="s">
        <v>189</v>
      </c>
      <c r="C31" s="278" t="s">
        <v>166</v>
      </c>
      <c r="D31" s="278">
        <f>VLOOKUP(C31,METHODOLOGY!$C$175:$D$177,2,FALSE)</f>
        <v>3</v>
      </c>
      <c r="E31" s="1087" t="str">
        <f>_xlfn.XLOOKUP(C31,METHODOLOGY!$E$150:$O$150,METHODOLOGY!$E$164:$O$164,"",0,1)</f>
        <v xml:space="preserve">The original valuation can be used with no or very simple modification e.g. change units from ha to km2, applying inflation. </v>
      </c>
      <c r="F31" s="1087"/>
      <c r="G31" s="1087"/>
      <c r="H31" s="1087"/>
      <c r="I31" s="2"/>
      <c r="J31" s="2"/>
      <c r="K31" s="2"/>
      <c r="L31" s="2"/>
    </row>
    <row r="32" spans="1:12">
      <c r="A32" s="2"/>
      <c r="B32" s="2"/>
      <c r="C32" s="282" t="s">
        <v>924</v>
      </c>
      <c r="D32" s="326">
        <f>IF(AND(D31=1,AVERAGE(D26:D31)&gt;2.14285714285714),2.14285714285714,IF(AND(D31=2,AVERAGE(D26:D31)&gt;2.57142857142857),2.57142857142857,AVERAGE(D26:D31)))</f>
        <v>2.8333333333333335</v>
      </c>
      <c r="E32" s="270" t="str">
        <f>IF(D32&lt;=2.14285714285714,"Red",IF(D32&lt;=2.57142857142857,"Amber",IF(D32&lt;=3,"Green")))</f>
        <v>Green</v>
      </c>
      <c r="F32" s="2"/>
      <c r="G32" s="2"/>
      <c r="H32" s="2"/>
      <c r="I32" s="2"/>
      <c r="J32" s="2"/>
      <c r="K32" s="2"/>
      <c r="L32" s="2"/>
    </row>
    <row r="33" spans="1:12">
      <c r="A33" s="2"/>
      <c r="B33" s="2"/>
      <c r="C33" s="2"/>
      <c r="D33" s="7"/>
      <c r="E33" s="7"/>
      <c r="F33" s="2"/>
      <c r="G33" s="2"/>
      <c r="H33" s="2"/>
      <c r="I33" s="2"/>
      <c r="J33" s="2"/>
      <c r="K33" s="2"/>
      <c r="L33" s="2"/>
    </row>
    <row r="35" spans="1:12">
      <c r="A35" s="725"/>
      <c r="B35" s="726" t="s">
        <v>929</v>
      </c>
      <c r="C35" s="725"/>
      <c r="D35" s="725"/>
      <c r="E35" s="725"/>
      <c r="F35" s="725"/>
      <c r="G35" s="725"/>
      <c r="H35" s="725"/>
      <c r="I35" s="2"/>
      <c r="J35" s="2"/>
      <c r="K35" s="2"/>
      <c r="L35" s="2"/>
    </row>
    <row r="36" spans="1:12">
      <c r="A36" s="2"/>
      <c r="B36" s="277" t="s">
        <v>913</v>
      </c>
      <c r="C36" s="277" t="s">
        <v>898</v>
      </c>
      <c r="D36" s="277" t="s">
        <v>902</v>
      </c>
      <c r="E36" s="277" t="s">
        <v>331</v>
      </c>
      <c r="F36" s="277" t="s">
        <v>226</v>
      </c>
      <c r="G36" s="1157" t="s">
        <v>930</v>
      </c>
      <c r="H36" s="1157"/>
      <c r="I36" s="1157"/>
      <c r="J36" s="1157"/>
      <c r="K36" s="1157"/>
      <c r="L36" s="1157"/>
    </row>
    <row r="37" spans="1:12" ht="63" customHeight="1">
      <c r="A37" s="2"/>
      <c r="B37" s="346">
        <v>22</v>
      </c>
      <c r="C37" s="346" t="s">
        <v>453</v>
      </c>
      <c r="D37" s="346" t="s">
        <v>368</v>
      </c>
      <c r="E37" s="672">
        <v>1.07</v>
      </c>
      <c r="F37" s="403" t="s">
        <v>298</v>
      </c>
      <c r="G37" s="1158" t="s">
        <v>1173</v>
      </c>
      <c r="H37" s="1095"/>
      <c r="I37" s="1095"/>
      <c r="J37" s="1095"/>
      <c r="K37" s="1095"/>
      <c r="L37" s="1095"/>
    </row>
    <row r="39" spans="1:12">
      <c r="A39" s="725"/>
      <c r="B39" s="726" t="s">
        <v>936</v>
      </c>
      <c r="C39" s="725"/>
      <c r="D39" s="725"/>
      <c r="E39" s="725"/>
      <c r="F39" s="725"/>
      <c r="G39" s="725"/>
      <c r="H39" s="725"/>
      <c r="I39" s="2"/>
      <c r="J39" s="2"/>
      <c r="K39" s="2"/>
      <c r="L39" s="2"/>
    </row>
    <row r="40" spans="1:12">
      <c r="A40" s="2"/>
      <c r="B40" s="298" t="s">
        <v>936</v>
      </c>
      <c r="C40" s="298" t="s">
        <v>1174</v>
      </c>
      <c r="D40" s="298" t="s">
        <v>226</v>
      </c>
      <c r="E40" s="2"/>
      <c r="F40" s="2"/>
      <c r="G40" s="2"/>
      <c r="H40" s="2"/>
      <c r="I40" s="2"/>
      <c r="J40" s="2"/>
      <c r="K40" s="2"/>
      <c r="L40" s="2"/>
    </row>
    <row r="41" spans="1:12">
      <c r="A41" s="2"/>
      <c r="B41" s="334" t="s">
        <v>1175</v>
      </c>
      <c r="C41" s="421">
        <f>E37</f>
        <v>1.07</v>
      </c>
      <c r="D41" s="295" t="s">
        <v>1176</v>
      </c>
      <c r="E41" s="2"/>
      <c r="F41" s="2"/>
      <c r="G41" s="2"/>
      <c r="H41" s="2"/>
      <c r="I41" s="2"/>
      <c r="J41" s="2"/>
      <c r="K41" s="2"/>
      <c r="L41" s="2"/>
    </row>
    <row r="42" spans="1:12">
      <c r="A42" s="2"/>
      <c r="B42" s="334" t="s">
        <v>1177</v>
      </c>
      <c r="C42" s="396">
        <f>C41*1000</f>
        <v>1070</v>
      </c>
      <c r="D42" s="295" t="s">
        <v>1178</v>
      </c>
      <c r="E42" s="2"/>
      <c r="F42" s="2"/>
      <c r="G42" s="2"/>
      <c r="H42" s="2"/>
      <c r="I42" s="2"/>
      <c r="J42" s="2"/>
      <c r="K42" s="2"/>
      <c r="L42" s="2"/>
    </row>
    <row r="43" spans="1:12">
      <c r="A43" s="2"/>
      <c r="B43" s="334" t="s">
        <v>1179</v>
      </c>
      <c r="C43" s="396">
        <f>C42*365</f>
        <v>390550</v>
      </c>
      <c r="D43" s="295" t="s">
        <v>1180</v>
      </c>
      <c r="E43" s="2"/>
      <c r="F43" s="2"/>
      <c r="G43" s="2"/>
      <c r="H43" s="2"/>
      <c r="I43" s="2"/>
      <c r="J43" s="2"/>
      <c r="K43" s="2"/>
      <c r="L43" s="2"/>
    </row>
    <row r="45" spans="1:12">
      <c r="A45" s="727"/>
      <c r="B45" s="728" t="s">
        <v>943</v>
      </c>
      <c r="C45" s="727"/>
      <c r="D45" s="727"/>
      <c r="E45" s="727"/>
      <c r="F45" s="727"/>
      <c r="G45" s="727"/>
      <c r="H45" s="727"/>
      <c r="I45" s="2"/>
      <c r="J45" s="2"/>
      <c r="K45" s="2"/>
      <c r="L45" s="2"/>
    </row>
    <row r="46" spans="1:12">
      <c r="A46" s="725"/>
      <c r="B46" s="726" t="s">
        <v>912</v>
      </c>
      <c r="C46" s="725"/>
      <c r="D46" s="725"/>
      <c r="E46" s="725"/>
      <c r="F46" s="725"/>
      <c r="G46" s="725"/>
      <c r="H46" s="725"/>
      <c r="I46" s="2"/>
      <c r="J46" s="2"/>
      <c r="K46" s="2"/>
      <c r="L46" s="2"/>
    </row>
    <row r="47" spans="1:12" ht="29.1">
      <c r="A47" s="2"/>
      <c r="B47" s="719" t="s">
        <v>913</v>
      </c>
      <c r="C47" s="719" t="s">
        <v>914</v>
      </c>
      <c r="D47" s="719" t="s">
        <v>915</v>
      </c>
      <c r="E47" s="719" t="s">
        <v>916</v>
      </c>
      <c r="F47" s="719" t="s">
        <v>917</v>
      </c>
      <c r="G47" s="719" t="s">
        <v>918</v>
      </c>
      <c r="H47" s="719" t="s">
        <v>919</v>
      </c>
      <c r="I47" s="2"/>
      <c r="J47" s="2"/>
      <c r="K47" s="2"/>
      <c r="L47" s="2"/>
    </row>
    <row r="48" spans="1:12">
      <c r="A48" s="2"/>
      <c r="B48" s="278">
        <v>29</v>
      </c>
      <c r="C48" s="278" t="s">
        <v>1181</v>
      </c>
      <c r="D48" s="278" t="s">
        <v>1182</v>
      </c>
      <c r="E48" s="278">
        <v>2022</v>
      </c>
      <c r="F48" s="278" t="s">
        <v>1047</v>
      </c>
      <c r="G48" s="278" t="s">
        <v>1047</v>
      </c>
      <c r="H48" s="279" t="s">
        <v>907</v>
      </c>
      <c r="I48" s="2"/>
      <c r="J48" s="2"/>
      <c r="K48" s="2"/>
      <c r="L48" s="2"/>
    </row>
    <row r="49" spans="1:24">
      <c r="A49" s="2"/>
      <c r="B49" s="16"/>
      <c r="C49" s="2"/>
      <c r="D49" s="2"/>
      <c r="E49" s="2"/>
      <c r="F49" s="2"/>
      <c r="G49" s="2"/>
      <c r="H49" s="2"/>
      <c r="I49" s="2"/>
      <c r="J49" s="2"/>
      <c r="K49" s="2"/>
      <c r="L49" s="2"/>
      <c r="M49" s="2"/>
      <c r="N49" s="2"/>
      <c r="O49" s="2"/>
      <c r="P49" s="2"/>
      <c r="Q49" s="2"/>
      <c r="R49" s="2"/>
      <c r="S49" s="2"/>
      <c r="T49" s="2"/>
      <c r="U49" s="2"/>
      <c r="V49" s="2"/>
      <c r="W49" s="2"/>
      <c r="X49" s="2"/>
    </row>
    <row r="50" spans="1:24">
      <c r="A50" s="725"/>
      <c r="B50" s="726" t="s">
        <v>924</v>
      </c>
      <c r="C50" s="725"/>
      <c r="D50" s="725"/>
      <c r="E50" s="725"/>
      <c r="F50" s="725"/>
      <c r="G50" s="725"/>
      <c r="H50" s="725"/>
      <c r="I50" s="2"/>
      <c r="J50" s="2"/>
      <c r="K50" s="2"/>
      <c r="L50" s="2"/>
      <c r="M50" s="2"/>
      <c r="N50" s="2"/>
      <c r="O50" s="2"/>
      <c r="P50" s="2"/>
      <c r="Q50" s="2"/>
      <c r="R50" s="2"/>
      <c r="S50" s="2"/>
      <c r="T50" s="2"/>
      <c r="U50" s="2"/>
      <c r="V50" s="2"/>
      <c r="W50" s="2"/>
      <c r="X50" s="2"/>
    </row>
    <row r="51" spans="1:24">
      <c r="A51" s="2"/>
      <c r="B51" s="277" t="s">
        <v>165</v>
      </c>
      <c r="C51" s="277" t="s">
        <v>925</v>
      </c>
      <c r="D51" s="277" t="s">
        <v>926</v>
      </c>
      <c r="E51" s="1134" t="s">
        <v>927</v>
      </c>
      <c r="F51" s="1134"/>
      <c r="G51" s="1134"/>
      <c r="H51" s="1134"/>
      <c r="I51" s="2"/>
      <c r="J51" s="2"/>
      <c r="K51" s="2"/>
      <c r="L51" s="2"/>
      <c r="M51" s="2"/>
      <c r="N51" s="2"/>
      <c r="O51" s="2"/>
      <c r="P51" s="2"/>
      <c r="Q51" s="2"/>
      <c r="R51" s="2"/>
      <c r="S51" s="2"/>
      <c r="T51" s="2"/>
      <c r="U51" s="2"/>
      <c r="V51" s="2"/>
      <c r="W51" s="2"/>
      <c r="X51" s="2"/>
    </row>
    <row r="52" spans="1:24">
      <c r="A52" s="2"/>
      <c r="B52" s="278" t="s">
        <v>169</v>
      </c>
      <c r="C52" s="278" t="s">
        <v>166</v>
      </c>
      <c r="D52" s="278">
        <f>VLOOKUP(C52,METHODOLOGY!$C$175:$D$177,2,FALSE)</f>
        <v>3</v>
      </c>
      <c r="E52" s="1087" t="str">
        <f>_xlfn.XLOOKUP(C52,METHODOLOGY!$E$150:$O$150,METHODOLOGY!$E$151:$O$151,"",0,1)</f>
        <v>Monetary values have been peer reviewed or are recommended / referenced in other, well recognised and accepted guidance / tools relevant to the water sector.</v>
      </c>
      <c r="F52" s="1087"/>
      <c r="G52" s="1087"/>
      <c r="H52" s="1087"/>
      <c r="I52" s="2"/>
      <c r="J52" s="2"/>
      <c r="K52" s="2"/>
      <c r="L52" s="2"/>
      <c r="M52" s="2"/>
      <c r="N52" s="2"/>
      <c r="O52" s="2"/>
      <c r="P52" s="2"/>
      <c r="Q52" s="2"/>
      <c r="R52" s="2"/>
      <c r="S52" s="2"/>
      <c r="T52" s="2"/>
      <c r="U52" s="2"/>
      <c r="V52" s="2"/>
      <c r="W52" s="2"/>
      <c r="X52" s="2"/>
    </row>
    <row r="53" spans="1:24">
      <c r="A53" s="2"/>
      <c r="B53" s="278" t="s">
        <v>173</v>
      </c>
      <c r="C53" s="278" t="s">
        <v>166</v>
      </c>
      <c r="D53" s="278">
        <f>VLOOKUP(C53,METHODOLOGY!$C$175:$D$177,2,FALSE)</f>
        <v>3</v>
      </c>
      <c r="E53" s="1087" t="str">
        <f>_xlfn.XLOOKUP(C53,METHODOLOGY!$E$150:$O$150,METHODOLOGY!$E$155:$O$155,"",0,1)</f>
        <v>Study has few limitations and is considered robust.</v>
      </c>
      <c r="F53" s="1087"/>
      <c r="G53" s="1087"/>
      <c r="H53" s="1087"/>
      <c r="I53" s="2"/>
      <c r="J53" s="2"/>
      <c r="K53" s="2"/>
      <c r="L53" s="2"/>
      <c r="M53" s="2"/>
      <c r="N53" s="2"/>
      <c r="O53" s="2"/>
      <c r="P53" s="2"/>
      <c r="Q53" s="2"/>
      <c r="R53" s="2"/>
      <c r="S53" s="2"/>
      <c r="T53" s="2"/>
      <c r="U53" s="2"/>
      <c r="V53" s="2"/>
      <c r="W53" s="2"/>
      <c r="X53" s="2"/>
    </row>
    <row r="54" spans="1:24">
      <c r="A54" s="2"/>
      <c r="B54" s="278" t="s">
        <v>177</v>
      </c>
      <c r="C54" s="278" t="s">
        <v>166</v>
      </c>
      <c r="D54" s="278">
        <f>VLOOKUP(C54,METHODOLOGY!$C$175:$D$177,2,FALSE)</f>
        <v>3</v>
      </c>
      <c r="E54" s="1087" t="str">
        <f>_xlfn.XLOOKUP(C54,METHODOLOGY!$E$150:$O$150,METHODOLOGY!$E$158:$O$158,"",0,1)</f>
        <v>0 – 5 years</v>
      </c>
      <c r="F54" s="1087"/>
      <c r="G54" s="1087"/>
      <c r="H54" s="1087"/>
      <c r="I54" s="2"/>
      <c r="J54" s="2"/>
      <c r="K54" s="2"/>
      <c r="L54" s="2"/>
      <c r="M54" s="2"/>
      <c r="N54" s="2"/>
      <c r="O54" s="2"/>
      <c r="P54" s="2"/>
      <c r="Q54" s="2"/>
      <c r="R54" s="2"/>
      <c r="S54" s="2"/>
      <c r="T54" s="2"/>
      <c r="U54" s="2"/>
      <c r="V54" s="2"/>
      <c r="W54" s="2"/>
      <c r="X54" s="2"/>
    </row>
    <row r="55" spans="1:24">
      <c r="A55" s="2"/>
      <c r="B55" s="278" t="s">
        <v>181</v>
      </c>
      <c r="C55" s="278" t="s">
        <v>166</v>
      </c>
      <c r="D55" s="278">
        <f>VLOOKUP(C55,METHODOLOGY!$C$175:$D$177,2,FALSE)</f>
        <v>3</v>
      </c>
      <c r="E55" s="1087" t="str">
        <f>_xlfn.XLOOKUP(C55,METHODOLOGY!$E$150:$O$150,METHODOLOGY!$E$160:$O$160,"",0,1)</f>
        <v>Geographically relevant to UK</v>
      </c>
      <c r="F55" s="1087"/>
      <c r="G55" s="1087"/>
      <c r="H55" s="1087"/>
      <c r="I55" s="2"/>
      <c r="J55" s="2"/>
      <c r="K55" s="2"/>
      <c r="L55" s="2"/>
      <c r="M55" s="2"/>
      <c r="N55" s="2"/>
      <c r="O55" s="2"/>
      <c r="P55" s="2"/>
      <c r="Q55" s="2"/>
      <c r="R55" s="2"/>
      <c r="S55" s="2"/>
      <c r="T55" s="2"/>
      <c r="U55" s="2"/>
      <c r="V55" s="2"/>
      <c r="W55" s="2"/>
      <c r="X55" s="2"/>
    </row>
    <row r="56" spans="1:24">
      <c r="A56" s="2"/>
      <c r="B56" s="278" t="s">
        <v>928</v>
      </c>
      <c r="C56" s="278" t="s">
        <v>166</v>
      </c>
      <c r="D56" s="278">
        <f>VLOOKUP(C56,METHODOLOGY!$C$175:$D$177,2,FALSE)</f>
        <v>3</v>
      </c>
      <c r="E56" s="1087" t="str">
        <f>_xlfn.XLOOKUP(C56,METHODOLOGY!$E$150:$O$150,METHODOLOGY!$E$162:$O$162,"",0,1)</f>
        <v>Clear understanding of the valuation method and how the value should be applied.</v>
      </c>
      <c r="F56" s="1087"/>
      <c r="G56" s="1087"/>
      <c r="H56" s="1087"/>
      <c r="I56" s="2"/>
      <c r="J56" s="2"/>
      <c r="K56" s="2"/>
      <c r="L56" s="2"/>
      <c r="M56" s="2"/>
      <c r="N56" s="2"/>
      <c r="O56" s="2"/>
      <c r="P56" s="2"/>
      <c r="Q56" s="2"/>
      <c r="R56" s="2"/>
      <c r="S56" s="2"/>
      <c r="T56" s="2"/>
      <c r="U56" s="2"/>
      <c r="V56" s="2"/>
      <c r="W56" s="2"/>
      <c r="X56" s="2"/>
    </row>
    <row r="57" spans="1:24">
      <c r="A57" s="2"/>
      <c r="B57" s="278" t="s">
        <v>189</v>
      </c>
      <c r="C57" s="278" t="s">
        <v>166</v>
      </c>
      <c r="D57" s="278">
        <f>VLOOKUP(C57,METHODOLOGY!$C$175:$D$177,2,FALSE)</f>
        <v>3</v>
      </c>
      <c r="E57" s="1087" t="str">
        <f>_xlfn.XLOOKUP(C57,METHODOLOGY!$E$150:$O$150,METHODOLOGY!$E$164:$O$164,"",0,1)</f>
        <v xml:space="preserve">The original valuation can be used with no or very simple modification e.g. change units from ha to km2, applying inflation. </v>
      </c>
      <c r="F57" s="1087"/>
      <c r="G57" s="1087"/>
      <c r="H57" s="1087"/>
      <c r="I57" s="2"/>
      <c r="J57" s="2"/>
      <c r="K57" s="2"/>
      <c r="L57" s="2"/>
      <c r="M57" s="2"/>
      <c r="N57" s="2"/>
      <c r="O57" s="2"/>
      <c r="P57" s="2"/>
      <c r="Q57" s="2"/>
      <c r="R57" s="2"/>
      <c r="S57" s="2"/>
      <c r="T57" s="2"/>
      <c r="U57" s="2"/>
      <c r="V57" s="2"/>
      <c r="W57" s="2"/>
      <c r="X57" s="2"/>
    </row>
    <row r="58" spans="1:24">
      <c r="A58" s="2"/>
      <c r="B58" s="2"/>
      <c r="C58" s="282" t="s">
        <v>924</v>
      </c>
      <c r="D58" s="326">
        <f>IF(AND(D57=1,AVERAGE(D52:D57)&gt;2.14285714285714),2.14285714285714,IF(AND(D57=2,AVERAGE(D52:D57)&gt;2.57142857142857),2.57142857142857,AVERAGE(D52:D57)))</f>
        <v>3</v>
      </c>
      <c r="E58" s="270" t="str">
        <f>IF(D58&lt;=2.14285714285714,"Red",IF(D58&lt;=2.57142857142857,"Amber",IF(D58&lt;=3,"Green")))</f>
        <v>Green</v>
      </c>
      <c r="F58" s="2"/>
      <c r="G58" s="2"/>
      <c r="H58" s="2"/>
      <c r="I58" s="2"/>
      <c r="J58" s="2"/>
      <c r="K58" s="2"/>
      <c r="L58" s="2"/>
      <c r="M58" s="2"/>
      <c r="N58" s="2"/>
      <c r="O58" s="2"/>
      <c r="P58" s="2"/>
      <c r="Q58" s="2"/>
      <c r="R58" s="2"/>
      <c r="S58" s="2"/>
      <c r="T58" s="2"/>
      <c r="U58" s="2"/>
      <c r="V58" s="2"/>
      <c r="W58" s="2"/>
      <c r="X58" s="2"/>
    </row>
    <row r="59" spans="1:24">
      <c r="A59" s="2"/>
      <c r="B59" s="2"/>
      <c r="C59" s="2"/>
      <c r="D59" s="2"/>
      <c r="E59" s="2"/>
      <c r="F59" s="2"/>
      <c r="G59" s="2"/>
      <c r="H59" s="2"/>
      <c r="I59" s="2"/>
      <c r="J59" s="2"/>
      <c r="K59" s="2"/>
      <c r="L59" s="2"/>
      <c r="M59" s="2"/>
      <c r="N59" s="2"/>
      <c r="O59" s="2"/>
      <c r="P59" s="2"/>
      <c r="Q59" s="2"/>
      <c r="R59" s="2"/>
      <c r="S59" s="2"/>
      <c r="T59" s="2"/>
      <c r="U59" s="2"/>
      <c r="V59" s="2"/>
      <c r="W59" s="2"/>
      <c r="X59" s="2"/>
    </row>
    <row r="61" spans="1:24">
      <c r="A61" s="725"/>
      <c r="B61" s="726" t="s">
        <v>929</v>
      </c>
      <c r="C61" s="725"/>
      <c r="D61" s="725"/>
      <c r="E61" s="725"/>
      <c r="F61" s="725"/>
      <c r="G61" s="725"/>
      <c r="H61" s="725"/>
      <c r="I61" s="2"/>
      <c r="J61" s="2"/>
      <c r="K61" s="2"/>
      <c r="L61" s="2"/>
      <c r="M61" s="2"/>
      <c r="N61" s="2"/>
      <c r="O61" s="2"/>
      <c r="P61" s="2"/>
      <c r="Q61" s="2"/>
      <c r="R61" s="2"/>
      <c r="S61" s="2"/>
      <c r="T61" s="2"/>
      <c r="U61" s="2"/>
      <c r="V61" s="2"/>
      <c r="W61" s="2"/>
      <c r="X61" s="2"/>
    </row>
    <row r="62" spans="1:24">
      <c r="A62" s="2"/>
      <c r="B62" s="277" t="s">
        <v>913</v>
      </c>
      <c r="C62" s="277" t="s">
        <v>898</v>
      </c>
      <c r="D62" s="277" t="s">
        <v>902</v>
      </c>
      <c r="E62" s="277" t="s">
        <v>331</v>
      </c>
      <c r="F62" s="277" t="s">
        <v>226</v>
      </c>
      <c r="G62" s="1157" t="s">
        <v>930</v>
      </c>
      <c r="H62" s="1157"/>
      <c r="I62" s="1157"/>
      <c r="J62" s="1157"/>
      <c r="K62" s="1157"/>
      <c r="L62" s="1157"/>
      <c r="M62" s="2"/>
      <c r="N62" s="2"/>
      <c r="O62" s="2"/>
      <c r="P62" s="2"/>
      <c r="Q62" s="2"/>
      <c r="R62" s="2"/>
      <c r="S62" s="2"/>
      <c r="T62" s="2"/>
      <c r="U62" s="2"/>
      <c r="V62" s="2"/>
      <c r="W62" s="2"/>
      <c r="X62" s="2"/>
    </row>
    <row r="63" spans="1:24" ht="80.25" customHeight="1">
      <c r="A63" s="2"/>
      <c r="B63" s="338">
        <v>29</v>
      </c>
      <c r="C63" s="338" t="s">
        <v>453</v>
      </c>
      <c r="D63" s="342" t="s">
        <v>503</v>
      </c>
      <c r="E63" s="422">
        <f>5.7*1000000</f>
        <v>5700000</v>
      </c>
      <c r="F63" s="423" t="s">
        <v>1183</v>
      </c>
      <c r="G63" s="1158" t="s">
        <v>1184</v>
      </c>
      <c r="H63" s="1095"/>
      <c r="I63" s="1095"/>
      <c r="J63" s="1095"/>
      <c r="K63" s="1095"/>
      <c r="L63" s="1095"/>
      <c r="M63" s="2"/>
      <c r="N63" s="2"/>
      <c r="O63" s="2"/>
      <c r="P63" s="2"/>
      <c r="Q63" s="2"/>
      <c r="R63" s="2"/>
      <c r="S63" s="2"/>
      <c r="T63" s="2"/>
      <c r="U63" s="2"/>
      <c r="V63" s="2"/>
      <c r="W63" s="2"/>
      <c r="X63" s="2"/>
    </row>
    <row r="65" spans="1:24">
      <c r="A65" s="725"/>
      <c r="B65" s="726" t="s">
        <v>936</v>
      </c>
      <c r="C65" s="725"/>
      <c r="D65" s="725"/>
      <c r="E65" s="725"/>
      <c r="F65" s="725"/>
      <c r="G65" s="725"/>
      <c r="H65" s="725"/>
      <c r="I65" s="2"/>
      <c r="J65" s="2"/>
      <c r="K65" s="2"/>
      <c r="L65" s="2"/>
      <c r="M65" s="2"/>
      <c r="N65" s="2"/>
      <c r="O65" s="2"/>
      <c r="P65" s="2"/>
      <c r="Q65" s="2"/>
      <c r="R65" s="2"/>
      <c r="S65" s="2"/>
      <c r="T65" s="2"/>
      <c r="U65" s="2"/>
      <c r="V65" s="2"/>
      <c r="W65" s="2"/>
      <c r="X65" s="2"/>
    </row>
    <row r="66" spans="1:24">
      <c r="A66" s="2"/>
      <c r="B66" s="298" t="s">
        <v>936</v>
      </c>
      <c r="C66" s="298" t="s">
        <v>1174</v>
      </c>
      <c r="D66" s="298" t="s">
        <v>226</v>
      </c>
      <c r="E66" s="2"/>
      <c r="F66" s="2"/>
      <c r="G66" s="2"/>
      <c r="H66" s="2"/>
      <c r="I66" s="2"/>
      <c r="J66" s="2"/>
      <c r="K66" s="2"/>
      <c r="L66" s="2"/>
      <c r="M66" s="2"/>
      <c r="N66" s="2"/>
      <c r="O66" s="2"/>
      <c r="P66" s="2"/>
      <c r="Q66" s="2"/>
      <c r="R66" s="2"/>
      <c r="S66" s="2"/>
      <c r="T66" s="2"/>
      <c r="U66" s="2"/>
      <c r="V66" s="2"/>
      <c r="W66" s="2"/>
      <c r="X66" s="2"/>
    </row>
    <row r="67" spans="1:24">
      <c r="A67" s="2"/>
      <c r="B67" s="334" t="s">
        <v>1177</v>
      </c>
      <c r="C67" s="396">
        <f>E63</f>
        <v>5700000</v>
      </c>
      <c r="D67" s="295" t="s">
        <v>1178</v>
      </c>
      <c r="E67" s="2"/>
      <c r="F67" s="2"/>
      <c r="G67" s="2"/>
      <c r="H67" s="2"/>
      <c r="I67" s="2"/>
      <c r="J67" s="2"/>
      <c r="K67" s="2"/>
      <c r="L67" s="2"/>
      <c r="M67" s="2"/>
      <c r="N67" s="2"/>
      <c r="O67" s="2"/>
      <c r="P67" s="2"/>
      <c r="Q67" s="2"/>
      <c r="R67" s="2"/>
      <c r="S67" s="2"/>
      <c r="T67" s="2"/>
      <c r="U67" s="2"/>
      <c r="V67" s="2"/>
      <c r="W67" s="2"/>
      <c r="X67" s="2"/>
    </row>
    <row r="68" spans="1:24">
      <c r="A68" s="2"/>
      <c r="B68" s="334" t="s">
        <v>1179</v>
      </c>
      <c r="C68" s="396">
        <f>C67*365</f>
        <v>2080500000</v>
      </c>
      <c r="D68" s="295" t="s">
        <v>1180</v>
      </c>
      <c r="E68" s="2"/>
      <c r="F68" s="2"/>
      <c r="G68" s="2"/>
      <c r="H68" s="2"/>
      <c r="I68" s="2"/>
      <c r="J68" s="2"/>
      <c r="K68" s="2"/>
      <c r="L68" s="2"/>
      <c r="M68" s="2"/>
      <c r="N68" s="2"/>
      <c r="O68" s="2"/>
      <c r="P68" s="2"/>
      <c r="Q68" s="2"/>
      <c r="R68" s="2"/>
      <c r="S68" s="2"/>
      <c r="T68" s="2"/>
      <c r="U68" s="2"/>
      <c r="V68" s="2"/>
      <c r="W68" s="2"/>
      <c r="X68" s="2"/>
    </row>
    <row r="70" spans="1:24">
      <c r="A70" s="727"/>
      <c r="B70" s="728" t="s">
        <v>901</v>
      </c>
      <c r="C70" s="727"/>
      <c r="D70" s="727"/>
      <c r="E70" s="727"/>
      <c r="F70" s="727"/>
      <c r="G70" s="727"/>
      <c r="H70" s="727"/>
      <c r="I70" s="2"/>
      <c r="J70" s="2"/>
      <c r="K70" s="2"/>
      <c r="L70" s="2"/>
      <c r="M70" s="2"/>
      <c r="N70" s="2"/>
      <c r="O70" s="2"/>
      <c r="P70" s="2"/>
      <c r="Q70" s="2"/>
      <c r="R70" s="2"/>
      <c r="S70" s="2"/>
      <c r="T70" s="2"/>
      <c r="U70" s="2"/>
      <c r="V70" s="2"/>
      <c r="W70" s="2"/>
      <c r="X70" s="2"/>
    </row>
    <row r="71" spans="1:24" ht="29.1">
      <c r="A71" s="2"/>
      <c r="B71" s="522" t="s">
        <v>902</v>
      </c>
      <c r="C71" s="522" t="s">
        <v>898</v>
      </c>
      <c r="D71" s="522" t="s">
        <v>899</v>
      </c>
      <c r="E71" s="719" t="s">
        <v>903</v>
      </c>
      <c r="F71" s="522" t="s">
        <v>904</v>
      </c>
      <c r="G71" s="522" t="s">
        <v>905</v>
      </c>
      <c r="H71" s="522" t="s">
        <v>924</v>
      </c>
      <c r="I71" s="522" t="s">
        <v>956</v>
      </c>
      <c r="J71" s="522" t="s">
        <v>927</v>
      </c>
      <c r="K71" s="2"/>
      <c r="L71" s="2"/>
      <c r="M71" s="2"/>
      <c r="N71" s="2"/>
      <c r="O71" s="2"/>
      <c r="P71" s="2"/>
      <c r="Q71" s="2"/>
      <c r="R71" s="2"/>
      <c r="S71" s="2"/>
      <c r="T71" s="2"/>
      <c r="U71" s="2"/>
      <c r="V71" s="2"/>
      <c r="W71" s="2"/>
      <c r="X71" s="2"/>
    </row>
    <row r="72" spans="1:24" ht="43.5">
      <c r="A72" s="2"/>
      <c r="B72" s="278" t="s">
        <v>503</v>
      </c>
      <c r="C72" s="278" t="s">
        <v>453</v>
      </c>
      <c r="D72" s="278" t="s">
        <v>1171</v>
      </c>
      <c r="E72" s="299" t="s">
        <v>957</v>
      </c>
      <c r="F72" s="278" t="str" cm="1">
        <f t="array" ref="F72">_xlfn.XLOOKUP(1,(D76:D76=B72)*(E76:E76=C72),B76:B76,"Not found",0,1)</f>
        <v>7-1</v>
      </c>
      <c r="G72" s="300">
        <f>VLOOKUP(F72,B76:L77,11,FALSE)</f>
        <v>390550</v>
      </c>
      <c r="H72" s="680">
        <f>$D$32</f>
        <v>2.8333333333333335</v>
      </c>
      <c r="I72" s="683" t="s">
        <v>1185</v>
      </c>
      <c r="J72" s="683" t="s">
        <v>1186</v>
      </c>
      <c r="K72" s="2"/>
      <c r="L72" s="2"/>
      <c r="M72" s="2"/>
      <c r="N72" s="2"/>
      <c r="O72" s="2"/>
      <c r="P72" s="2"/>
      <c r="Q72" s="2"/>
      <c r="R72" s="2"/>
      <c r="S72" s="2"/>
      <c r="T72" s="2"/>
      <c r="U72" s="2"/>
      <c r="V72" s="2"/>
      <c r="W72" s="2"/>
      <c r="X72" s="2"/>
    </row>
    <row r="73" spans="1:24">
      <c r="A73" s="2"/>
      <c r="B73" s="18"/>
      <c r="C73" s="2"/>
      <c r="D73" s="2"/>
      <c r="E73" s="2"/>
      <c r="F73" s="2"/>
      <c r="G73" s="2"/>
      <c r="H73" s="2"/>
      <c r="I73" s="2"/>
      <c r="J73" s="2"/>
      <c r="K73" s="2"/>
      <c r="L73" s="2"/>
      <c r="M73" s="2"/>
      <c r="N73" s="2"/>
      <c r="O73" s="2"/>
      <c r="P73" s="2"/>
      <c r="Q73" s="2"/>
      <c r="R73" s="2"/>
      <c r="S73" s="2"/>
      <c r="T73" s="2"/>
      <c r="U73" s="2"/>
      <c r="V73" s="2"/>
      <c r="W73" s="2"/>
      <c r="X73" s="2"/>
    </row>
    <row r="74" spans="1:24">
      <c r="A74" s="725"/>
      <c r="B74" s="726" t="s">
        <v>962</v>
      </c>
      <c r="C74" s="725"/>
      <c r="D74" s="725"/>
      <c r="E74" s="725"/>
      <c r="F74" s="725"/>
      <c r="G74" s="725"/>
      <c r="H74" s="725"/>
      <c r="I74" s="2"/>
      <c r="J74" s="2"/>
      <c r="K74" s="2"/>
      <c r="L74" s="2"/>
      <c r="M74" s="2"/>
      <c r="N74" s="2"/>
      <c r="O74" s="2"/>
      <c r="P74" s="2"/>
      <c r="Q74" s="2"/>
      <c r="R74" s="2"/>
      <c r="S74" s="2"/>
      <c r="T74" s="2"/>
      <c r="U74" s="2"/>
      <c r="V74" s="2"/>
      <c r="W74" s="2"/>
      <c r="X74" s="2"/>
    </row>
    <row r="75" spans="1:24">
      <c r="A75" s="2"/>
      <c r="B75" s="277" t="s">
        <v>904</v>
      </c>
      <c r="C75" s="277" t="s">
        <v>62</v>
      </c>
      <c r="D75" s="277" t="s">
        <v>902</v>
      </c>
      <c r="E75" s="277" t="s">
        <v>898</v>
      </c>
      <c r="F75" s="277" t="s">
        <v>916</v>
      </c>
      <c r="G75" s="277" t="s">
        <v>963</v>
      </c>
      <c r="H75" s="277" t="s">
        <v>964</v>
      </c>
      <c r="I75" s="277" t="s">
        <v>965</v>
      </c>
      <c r="J75" s="277" t="s">
        <v>966</v>
      </c>
      <c r="K75" s="277" t="s">
        <v>967</v>
      </c>
      <c r="L75" s="277" t="s">
        <v>968</v>
      </c>
      <c r="M75" s="277" t="s">
        <v>956</v>
      </c>
      <c r="N75" s="277" t="s">
        <v>969</v>
      </c>
      <c r="O75" s="277" t="s">
        <v>970</v>
      </c>
      <c r="P75" s="277" t="s">
        <v>927</v>
      </c>
      <c r="Q75" s="277" t="s">
        <v>913</v>
      </c>
      <c r="R75" s="277" t="s">
        <v>914</v>
      </c>
      <c r="S75" s="277" t="s">
        <v>915</v>
      </c>
      <c r="T75" s="277" t="s">
        <v>916</v>
      </c>
      <c r="U75" s="277" t="s">
        <v>917</v>
      </c>
      <c r="V75" s="277" t="s">
        <v>918</v>
      </c>
      <c r="W75" s="277" t="s">
        <v>919</v>
      </c>
      <c r="X75" s="2"/>
    </row>
    <row r="76" spans="1:24">
      <c r="A76" s="2"/>
      <c r="B76" s="302" t="s">
        <v>1187</v>
      </c>
      <c r="C76" s="279" t="s">
        <v>368</v>
      </c>
      <c r="D76" s="278" t="s">
        <v>503</v>
      </c>
      <c r="E76" s="278" t="s">
        <v>453</v>
      </c>
      <c r="F76" s="299">
        <f>E22</f>
        <v>2018</v>
      </c>
      <c r="G76" s="278">
        <v>2023</v>
      </c>
      <c r="H76" s="278">
        <f>'COMPANY INPUT'!$C$16</f>
        <v>2023</v>
      </c>
      <c r="I76" s="278">
        <f>VLOOKUP(G76,'GDP Deflators'!$H$13:$I$86,2,FALSE)</f>
        <v>100</v>
      </c>
      <c r="J76" s="278">
        <f>VLOOKUP(H76,'GDP Deflators'!$H$13:$I$86,2,FALSE)</f>
        <v>100</v>
      </c>
      <c r="K76" s="417">
        <f>C43</f>
        <v>390550</v>
      </c>
      <c r="L76" s="746">
        <f>K76*(J76/I76)</f>
        <v>390550</v>
      </c>
      <c r="M76" s="300" t="str">
        <f>I72</f>
        <v>Social cost of water</v>
      </c>
      <c r="N76" s="326">
        <f>H72</f>
        <v>2.8333333333333335</v>
      </c>
      <c r="O76" s="278" t="s">
        <v>718</v>
      </c>
      <c r="P76" s="300" t="str">
        <f>J72</f>
        <v>Most relevant, aligns with WINEP/NCEM</v>
      </c>
      <c r="Q76" s="299">
        <f t="shared" ref="Q76:W76" si="0">B22</f>
        <v>22</v>
      </c>
      <c r="R76" s="278" t="str">
        <f t="shared" si="0"/>
        <v>NIC (2018) Analysis of the costs of water resource management options to enhance drought resilience</v>
      </c>
      <c r="S76" s="278" t="str">
        <f t="shared" si="0"/>
        <v>NCEM</v>
      </c>
      <c r="T76" s="278">
        <f t="shared" si="0"/>
        <v>2018</v>
      </c>
      <c r="U76" s="278" t="str">
        <f t="shared" si="0"/>
        <v>UK</v>
      </c>
      <c r="V76" s="278" t="str">
        <f t="shared" si="0"/>
        <v>UK</v>
      </c>
      <c r="W76" s="278" t="str">
        <f t="shared" si="0"/>
        <v>/</v>
      </c>
      <c r="X76" s="2"/>
    </row>
    <row r="78" spans="1:24">
      <c r="A78" s="721"/>
      <c r="B78" s="722" t="s">
        <v>456</v>
      </c>
      <c r="C78" s="721"/>
      <c r="D78" s="721"/>
      <c r="E78" s="721"/>
      <c r="F78" s="721"/>
      <c r="G78" s="721"/>
      <c r="H78" s="721"/>
      <c r="I78" s="2"/>
      <c r="J78" s="2"/>
      <c r="K78" s="2"/>
      <c r="L78" s="2"/>
      <c r="M78" s="2"/>
      <c r="N78" s="2"/>
      <c r="O78" s="2"/>
      <c r="P78" s="2"/>
      <c r="Q78" s="2"/>
      <c r="R78" s="2"/>
      <c r="S78" s="2"/>
      <c r="T78" s="2"/>
      <c r="U78" s="2"/>
      <c r="V78" s="2"/>
      <c r="W78" s="2"/>
      <c r="X78" s="2"/>
    </row>
    <row r="79" spans="1:24">
      <c r="A79" s="727"/>
      <c r="B79" s="729" t="s">
        <v>897</v>
      </c>
      <c r="C79" s="727"/>
      <c r="D79" s="727"/>
      <c r="E79" s="727"/>
      <c r="F79" s="727"/>
      <c r="G79" s="727"/>
      <c r="H79" s="727"/>
      <c r="I79" s="2"/>
      <c r="J79" s="2"/>
      <c r="K79" s="2"/>
      <c r="L79" s="2"/>
      <c r="M79" s="2"/>
      <c r="N79" s="2"/>
      <c r="O79" s="2"/>
      <c r="P79" s="2"/>
      <c r="Q79" s="2"/>
      <c r="R79" s="2"/>
      <c r="S79" s="2"/>
      <c r="T79" s="2"/>
      <c r="U79" s="2"/>
      <c r="V79" s="2"/>
      <c r="W79" s="2"/>
      <c r="X79" s="2"/>
    </row>
    <row r="80" spans="1:24">
      <c r="A80" s="2"/>
      <c r="B80" s="277" t="s">
        <v>898</v>
      </c>
      <c r="C80" s="277" t="s">
        <v>899</v>
      </c>
      <c r="D80" s="2"/>
      <c r="E80" s="2"/>
      <c r="F80" s="2"/>
      <c r="G80" s="2"/>
      <c r="H80" s="2"/>
      <c r="I80" s="2"/>
      <c r="J80" s="2"/>
      <c r="K80" s="2"/>
      <c r="L80" s="2"/>
      <c r="M80" s="2"/>
      <c r="N80" s="2"/>
      <c r="O80" s="2"/>
      <c r="P80" s="2"/>
      <c r="Q80" s="2"/>
      <c r="R80" s="2"/>
      <c r="S80" s="2"/>
      <c r="T80" s="2"/>
      <c r="U80" s="2"/>
      <c r="V80" s="2"/>
      <c r="W80" s="2"/>
      <c r="X80" s="2"/>
    </row>
    <row r="81" spans="1:24">
      <c r="A81" s="2"/>
      <c r="B81" s="278" t="s">
        <v>456</v>
      </c>
      <c r="C81" s="278" t="s">
        <v>1188</v>
      </c>
      <c r="D81" s="2"/>
      <c r="E81" s="2"/>
      <c r="F81" s="2"/>
      <c r="G81" s="2"/>
      <c r="H81" s="2"/>
      <c r="I81" s="2"/>
      <c r="J81" s="2"/>
      <c r="K81" s="2"/>
      <c r="L81" s="2"/>
      <c r="M81" s="2"/>
      <c r="N81" s="2"/>
      <c r="O81" s="2"/>
      <c r="P81" s="2"/>
      <c r="Q81" s="2"/>
      <c r="R81" s="2"/>
      <c r="S81" s="2"/>
      <c r="T81" s="2"/>
      <c r="U81" s="2"/>
      <c r="V81" s="2"/>
      <c r="W81" s="2"/>
      <c r="X81" s="2"/>
    </row>
    <row r="82" spans="1:24">
      <c r="A82" s="2"/>
      <c r="B82" s="16"/>
      <c r="C82" s="2"/>
      <c r="D82" s="2"/>
      <c r="E82" s="2"/>
      <c r="F82" s="2"/>
      <c r="G82" s="2"/>
      <c r="H82" s="2"/>
      <c r="I82" s="2"/>
      <c r="J82" s="2"/>
      <c r="K82" s="2"/>
      <c r="L82" s="2"/>
      <c r="M82" s="2"/>
      <c r="N82" s="2"/>
      <c r="O82" s="2"/>
      <c r="P82" s="2"/>
      <c r="Q82" s="2"/>
      <c r="R82" s="2"/>
      <c r="S82" s="2"/>
      <c r="T82" s="2"/>
      <c r="U82" s="2"/>
      <c r="V82" s="2"/>
      <c r="W82" s="2"/>
      <c r="X82" s="2"/>
    </row>
    <row r="83" spans="1:24">
      <c r="A83" s="727"/>
      <c r="B83" s="728" t="s">
        <v>1028</v>
      </c>
      <c r="C83" s="727"/>
      <c r="D83" s="727"/>
      <c r="E83" s="727"/>
      <c r="F83" s="727"/>
      <c r="G83" s="727"/>
      <c r="H83" s="727"/>
      <c r="I83" s="2"/>
      <c r="J83" s="2"/>
      <c r="K83" s="2"/>
      <c r="L83" s="2"/>
      <c r="M83" s="2"/>
      <c r="N83" s="2"/>
      <c r="O83" s="2"/>
      <c r="P83" s="2"/>
      <c r="Q83" s="2"/>
      <c r="R83" s="2"/>
      <c r="S83" s="2"/>
      <c r="T83" s="2"/>
      <c r="U83" s="2"/>
      <c r="V83" s="2"/>
      <c r="W83" s="2"/>
      <c r="X83" s="2"/>
    </row>
    <row r="84" spans="1:24">
      <c r="A84" s="725"/>
      <c r="B84" s="726" t="s">
        <v>912</v>
      </c>
      <c r="C84" s="725"/>
      <c r="D84" s="725"/>
      <c r="E84" s="725"/>
      <c r="F84" s="725"/>
      <c r="G84" s="725"/>
      <c r="H84" s="725"/>
      <c r="I84" s="2"/>
      <c r="J84" s="2"/>
      <c r="K84" s="2"/>
      <c r="L84" s="2"/>
      <c r="M84" s="2"/>
      <c r="N84" s="2"/>
      <c r="O84" s="2"/>
      <c r="P84" s="2"/>
      <c r="Q84" s="2"/>
      <c r="R84" s="2"/>
      <c r="S84" s="2"/>
      <c r="T84" s="2"/>
      <c r="U84" s="2"/>
      <c r="V84" s="2"/>
      <c r="W84" s="2"/>
      <c r="X84" s="2"/>
    </row>
    <row r="85" spans="1:24" ht="29.1">
      <c r="A85" s="2"/>
      <c r="B85" s="752" t="s">
        <v>913</v>
      </c>
      <c r="C85" s="752" t="s">
        <v>914</v>
      </c>
      <c r="D85" s="752" t="s">
        <v>915</v>
      </c>
      <c r="E85" s="752" t="s">
        <v>916</v>
      </c>
      <c r="F85" s="752" t="s">
        <v>917</v>
      </c>
      <c r="G85" s="752" t="s">
        <v>918</v>
      </c>
      <c r="H85" s="752" t="s">
        <v>919</v>
      </c>
      <c r="I85" s="2"/>
      <c r="J85" s="2"/>
      <c r="K85" s="2"/>
      <c r="L85" s="2"/>
      <c r="M85" s="2"/>
      <c r="N85" s="2"/>
      <c r="O85" s="2"/>
      <c r="P85" s="2"/>
      <c r="Q85" s="2"/>
      <c r="R85" s="2"/>
      <c r="S85" s="2"/>
      <c r="T85" s="2"/>
      <c r="U85" s="2"/>
      <c r="V85" s="2"/>
      <c r="W85" s="2"/>
      <c r="X85" s="2"/>
    </row>
    <row r="86" spans="1:24">
      <c r="A86" s="2"/>
      <c r="B86" s="278">
        <v>74</v>
      </c>
      <c r="C86" s="279" t="s">
        <v>1189</v>
      </c>
      <c r="D86" s="278" t="s">
        <v>717</v>
      </c>
      <c r="E86" s="278">
        <v>2024</v>
      </c>
      <c r="F86" s="278" t="s">
        <v>1047</v>
      </c>
      <c r="G86" s="278" t="s">
        <v>1047</v>
      </c>
      <c r="H86" s="279" t="s">
        <v>907</v>
      </c>
      <c r="I86" s="2"/>
      <c r="J86" s="2"/>
      <c r="K86" s="2"/>
      <c r="L86" s="2"/>
      <c r="M86" s="2"/>
      <c r="N86" s="2"/>
      <c r="O86" s="2"/>
      <c r="P86" s="2"/>
      <c r="Q86" s="2"/>
      <c r="R86" s="2"/>
      <c r="S86" s="2"/>
      <c r="T86" s="2"/>
      <c r="U86" s="2"/>
      <c r="V86" s="2"/>
      <c r="W86" s="2"/>
      <c r="X86" s="2"/>
    </row>
    <row r="87" spans="1:24">
      <c r="A87" s="2"/>
      <c r="B87" s="278">
        <v>40</v>
      </c>
      <c r="C87" s="279" t="s">
        <v>1190</v>
      </c>
      <c r="D87" s="278" t="s">
        <v>1182</v>
      </c>
      <c r="E87" s="278">
        <v>2021</v>
      </c>
      <c r="F87" s="278" t="s">
        <v>1047</v>
      </c>
      <c r="G87" s="278" t="s">
        <v>1047</v>
      </c>
      <c r="H87" s="279" t="s">
        <v>907</v>
      </c>
      <c r="I87" s="2"/>
      <c r="J87" s="2"/>
      <c r="K87" s="2"/>
      <c r="L87" s="2"/>
      <c r="M87" s="2"/>
      <c r="N87" s="2"/>
      <c r="O87" s="2"/>
      <c r="P87" s="2"/>
      <c r="Q87" s="2"/>
      <c r="R87" s="2"/>
      <c r="S87" s="2"/>
      <c r="T87" s="2"/>
      <c r="U87" s="2"/>
      <c r="V87" s="2"/>
      <c r="W87" s="2"/>
      <c r="X87" s="2"/>
    </row>
    <row r="88" spans="1:24">
      <c r="A88" s="2"/>
      <c r="B88" s="16"/>
      <c r="C88" s="2"/>
      <c r="D88" s="2"/>
      <c r="E88" s="2"/>
      <c r="F88" s="2"/>
      <c r="G88" s="2"/>
      <c r="H88" s="2"/>
      <c r="I88" s="2"/>
      <c r="J88" s="2"/>
      <c r="K88" s="2"/>
      <c r="L88" s="2"/>
      <c r="M88" s="2"/>
      <c r="N88" s="2"/>
      <c r="O88" s="2"/>
      <c r="P88" s="2"/>
      <c r="Q88" s="2"/>
      <c r="R88" s="2"/>
      <c r="S88" s="2"/>
      <c r="T88" s="2"/>
      <c r="U88" s="2"/>
      <c r="V88" s="2"/>
      <c r="W88" s="2"/>
      <c r="X88" s="2"/>
    </row>
    <row r="89" spans="1:24">
      <c r="A89" s="725"/>
      <c r="B89" s="726" t="s">
        <v>924</v>
      </c>
      <c r="C89" s="725"/>
      <c r="D89" s="725"/>
      <c r="E89" s="725"/>
      <c r="F89" s="725"/>
      <c r="G89" s="725"/>
      <c r="H89" s="725"/>
      <c r="I89" s="2"/>
      <c r="J89" s="2"/>
      <c r="K89" s="2"/>
      <c r="L89" s="2"/>
      <c r="M89" s="2"/>
      <c r="N89" s="2"/>
      <c r="O89" s="2"/>
      <c r="P89" s="2"/>
      <c r="Q89" s="2"/>
      <c r="R89" s="2"/>
      <c r="S89" s="2"/>
      <c r="T89" s="2"/>
      <c r="U89" s="2"/>
      <c r="V89" s="2"/>
      <c r="W89" s="2"/>
      <c r="X89" s="2"/>
    </row>
    <row r="90" spans="1:24">
      <c r="A90" s="2"/>
      <c r="B90" s="277" t="s">
        <v>165</v>
      </c>
      <c r="C90" s="277" t="s">
        <v>925</v>
      </c>
      <c r="D90" s="277" t="s">
        <v>926</v>
      </c>
      <c r="E90" s="1134" t="s">
        <v>927</v>
      </c>
      <c r="F90" s="1134"/>
      <c r="G90" s="1134"/>
      <c r="H90" s="1134"/>
      <c r="I90" s="2"/>
      <c r="J90" s="2"/>
      <c r="K90" s="2"/>
      <c r="L90" s="2"/>
      <c r="M90" s="2"/>
      <c r="N90" s="2"/>
      <c r="O90" s="2"/>
      <c r="P90" s="2"/>
      <c r="Q90" s="2"/>
      <c r="R90" s="2"/>
      <c r="S90" s="2"/>
      <c r="T90" s="2"/>
      <c r="U90" s="2"/>
      <c r="V90" s="2"/>
      <c r="W90" s="2"/>
      <c r="X90" s="2"/>
    </row>
    <row r="91" spans="1:24">
      <c r="A91" s="2"/>
      <c r="B91" s="278" t="s">
        <v>169</v>
      </c>
      <c r="C91" s="278" t="s">
        <v>166</v>
      </c>
      <c r="D91" s="278">
        <f>VLOOKUP(C91,METHODOLOGY!$C$175:$D$177,2,FALSE)</f>
        <v>3</v>
      </c>
      <c r="E91" s="1087" t="str">
        <f>_xlfn.XLOOKUP(C91,METHODOLOGY!$E$150:$O$150,METHODOLOGY!$E$151:$O$151,"",0,1)</f>
        <v>Monetary values have been peer reviewed or are recommended / referenced in other, well recognised and accepted guidance / tools relevant to the water sector.</v>
      </c>
      <c r="F91" s="1087"/>
      <c r="G91" s="1087"/>
      <c r="H91" s="1087"/>
      <c r="I91" s="2"/>
      <c r="J91" s="2"/>
      <c r="K91" s="2"/>
      <c r="L91" s="2"/>
      <c r="M91" s="2"/>
      <c r="N91" s="2"/>
      <c r="O91" s="2"/>
      <c r="P91" s="2"/>
      <c r="Q91" s="2"/>
      <c r="R91" s="2"/>
      <c r="S91" s="2"/>
      <c r="T91" s="2"/>
      <c r="U91" s="2"/>
      <c r="V91" s="2"/>
      <c r="W91" s="2"/>
      <c r="X91" s="2"/>
    </row>
    <row r="92" spans="1:24">
      <c r="A92" s="2"/>
      <c r="B92" s="278" t="s">
        <v>173</v>
      </c>
      <c r="C92" s="278" t="s">
        <v>166</v>
      </c>
      <c r="D92" s="278">
        <f>VLOOKUP(C92,METHODOLOGY!$C$175:$D$177,2,FALSE)</f>
        <v>3</v>
      </c>
      <c r="E92" s="1087" t="str">
        <f>_xlfn.XLOOKUP(C92,METHODOLOGY!$E$150:$O$150,METHODOLOGY!$E$155:$O$155,"",0,1)</f>
        <v>Study has few limitations and is considered robust.</v>
      </c>
      <c r="F92" s="1087"/>
      <c r="G92" s="1087"/>
      <c r="H92" s="1087"/>
      <c r="I92" s="2"/>
      <c r="J92" s="2"/>
      <c r="K92" s="2"/>
      <c r="L92" s="2"/>
      <c r="M92" s="2"/>
      <c r="N92" s="2"/>
      <c r="O92" s="2"/>
      <c r="P92" s="2"/>
      <c r="Q92" s="2"/>
      <c r="R92" s="2"/>
      <c r="S92" s="2"/>
      <c r="T92" s="2"/>
      <c r="U92" s="2"/>
      <c r="V92" s="2"/>
      <c r="W92" s="2"/>
      <c r="X92" s="2"/>
    </row>
    <row r="93" spans="1:24">
      <c r="A93" s="2"/>
      <c r="B93" s="278" t="s">
        <v>177</v>
      </c>
      <c r="C93" s="278" t="s">
        <v>166</v>
      </c>
      <c r="D93" s="278">
        <f>VLOOKUP(C93,METHODOLOGY!$C$175:$D$177,2,FALSE)</f>
        <v>3</v>
      </c>
      <c r="E93" s="1087" t="str">
        <f>_xlfn.XLOOKUP(C93,METHODOLOGY!$E$150:$O$150,METHODOLOGY!$E$158:$O$158,"",0,1)</f>
        <v>0 – 5 years</v>
      </c>
      <c r="F93" s="1087"/>
      <c r="G93" s="1087"/>
      <c r="H93" s="1087"/>
      <c r="I93" s="2"/>
      <c r="J93" s="2"/>
      <c r="K93" s="2"/>
      <c r="L93" s="2"/>
      <c r="M93" s="2"/>
      <c r="N93" s="2"/>
      <c r="O93" s="2"/>
      <c r="P93" s="2"/>
      <c r="Q93" s="2"/>
      <c r="R93" s="2"/>
      <c r="S93" s="2"/>
      <c r="T93" s="2"/>
      <c r="U93" s="2"/>
      <c r="V93" s="2"/>
      <c r="W93" s="2"/>
      <c r="X93" s="2"/>
    </row>
    <row r="94" spans="1:24">
      <c r="A94" s="2"/>
      <c r="B94" s="278" t="s">
        <v>181</v>
      </c>
      <c r="C94" s="278" t="s">
        <v>166</v>
      </c>
      <c r="D94" s="278">
        <f>VLOOKUP(C94,METHODOLOGY!$C$175:$D$177,2,FALSE)</f>
        <v>3</v>
      </c>
      <c r="E94" s="1087" t="str">
        <f>_xlfn.XLOOKUP(C94,METHODOLOGY!$E$150:$O$150,METHODOLOGY!$E$160:$O$160,"",0,1)</f>
        <v>Geographically relevant to UK</v>
      </c>
      <c r="F94" s="1087"/>
      <c r="G94" s="1087"/>
      <c r="H94" s="1087"/>
      <c r="I94" s="2"/>
      <c r="J94" s="2"/>
      <c r="K94" s="2"/>
      <c r="L94" s="2"/>
      <c r="M94" s="2"/>
      <c r="N94" s="2"/>
      <c r="O94" s="2"/>
      <c r="P94" s="2"/>
      <c r="Q94" s="2"/>
      <c r="R94" s="2"/>
      <c r="S94" s="2"/>
      <c r="T94" s="2"/>
      <c r="U94" s="2"/>
      <c r="V94" s="2"/>
      <c r="W94" s="2"/>
      <c r="X94" s="2"/>
    </row>
    <row r="95" spans="1:24">
      <c r="A95" s="2"/>
      <c r="B95" s="278" t="s">
        <v>928</v>
      </c>
      <c r="C95" s="278" t="s">
        <v>166</v>
      </c>
      <c r="D95" s="278">
        <f>VLOOKUP(C95,METHODOLOGY!$C$175:$D$177,2,FALSE)</f>
        <v>3</v>
      </c>
      <c r="E95" s="1087" t="str">
        <f>_xlfn.XLOOKUP(C95,METHODOLOGY!$E$150:$O$150,METHODOLOGY!$E$162:$O$162,"",0,1)</f>
        <v>Clear understanding of the valuation method and how the value should be applied.</v>
      </c>
      <c r="F95" s="1087"/>
      <c r="G95" s="1087"/>
      <c r="H95" s="1087"/>
      <c r="I95" s="2"/>
      <c r="J95" s="2"/>
      <c r="K95" s="2"/>
      <c r="L95" s="2"/>
      <c r="M95" s="2"/>
      <c r="N95" s="2"/>
      <c r="O95" s="2"/>
      <c r="P95" s="2"/>
      <c r="Q95" s="2"/>
      <c r="R95" s="2"/>
      <c r="S95" s="2"/>
      <c r="T95" s="2"/>
      <c r="U95" s="2"/>
      <c r="V95" s="2"/>
      <c r="W95" s="2"/>
      <c r="X95" s="2"/>
    </row>
    <row r="96" spans="1:24">
      <c r="A96" s="2"/>
      <c r="B96" s="278" t="s">
        <v>189</v>
      </c>
      <c r="C96" s="278" t="s">
        <v>167</v>
      </c>
      <c r="D96" s="278">
        <f>VLOOKUP(C96,METHODOLOGY!$C$175:$D$177,2,FALSE)</f>
        <v>2</v>
      </c>
      <c r="E96" s="1087" t="str">
        <f>_xlfn.XLOOKUP(C96,METHODOLOGY!$E$150:$O$150,METHODOLOGY!$E$164:$O$164,"",0,1)</f>
        <v xml:space="preserve">The original valuation can be used with some modification e.g. applying household numbers. The calculation is simple or introduces low levels of uncertainty. </v>
      </c>
      <c r="F96" s="1087"/>
      <c r="G96" s="1087"/>
      <c r="H96" s="1087"/>
      <c r="I96" s="2"/>
      <c r="J96" s="2"/>
      <c r="K96" s="2"/>
      <c r="L96" s="2"/>
      <c r="M96" s="2"/>
      <c r="N96" s="2"/>
      <c r="O96" s="2"/>
      <c r="P96" s="2"/>
      <c r="Q96" s="2"/>
      <c r="R96" s="2"/>
      <c r="S96" s="2"/>
      <c r="T96" s="2"/>
      <c r="U96" s="2"/>
      <c r="V96" s="2"/>
      <c r="W96" s="2"/>
      <c r="X96" s="2"/>
    </row>
    <row r="97" spans="1:24">
      <c r="A97" s="2"/>
      <c r="B97" s="2"/>
      <c r="C97" s="282" t="s">
        <v>924</v>
      </c>
      <c r="D97" s="326">
        <f>IF(AND(D96=1,AVERAGE(D91:D96)&gt;2.14285714285714),2.14285714285714,IF(AND(D96=2,AVERAGE(D91:D96)&gt;2.57142857142857),2.57142857142857,AVERAGE(D91:D96)))</f>
        <v>2.5714285714285698</v>
      </c>
      <c r="E97" s="270" t="str">
        <f>IF(D97&lt;=2.14285714285714,"Red",IF(D97&lt;=2.57142857142857,"Amber",IF(D97&lt;=3,"Green")))</f>
        <v>Amber</v>
      </c>
      <c r="F97" s="2"/>
      <c r="G97" s="2"/>
      <c r="H97" s="2"/>
      <c r="I97" s="2"/>
      <c r="J97" s="2"/>
      <c r="K97" s="2"/>
      <c r="L97" s="2"/>
      <c r="M97" s="2"/>
      <c r="N97" s="2"/>
      <c r="O97" s="2"/>
      <c r="P97" s="2"/>
      <c r="Q97" s="2"/>
      <c r="R97" s="2"/>
      <c r="S97" s="2"/>
      <c r="T97" s="2"/>
      <c r="U97" s="2"/>
      <c r="V97" s="2"/>
      <c r="W97" s="2"/>
      <c r="X97" s="2"/>
    </row>
    <row r="98" spans="1:24">
      <c r="A98" s="2"/>
      <c r="B98" s="2"/>
      <c r="C98" s="2"/>
      <c r="D98" s="2"/>
      <c r="E98" s="2"/>
      <c r="F98" s="2"/>
      <c r="G98" s="2"/>
      <c r="H98" s="2"/>
      <c r="I98" s="2"/>
      <c r="J98" s="2"/>
      <c r="K98" s="2"/>
      <c r="L98" s="2"/>
      <c r="M98" s="2"/>
      <c r="N98" s="2"/>
      <c r="O98" s="2"/>
      <c r="P98" s="2"/>
      <c r="Q98" s="2"/>
      <c r="R98" s="2"/>
      <c r="S98" s="2"/>
      <c r="T98" s="2"/>
      <c r="U98" s="2"/>
      <c r="V98" s="2"/>
      <c r="W98" s="2"/>
      <c r="X98" s="2"/>
    </row>
    <row r="100" spans="1:24">
      <c r="A100" s="725"/>
      <c r="B100" s="726" t="s">
        <v>929</v>
      </c>
      <c r="C100" s="725"/>
      <c r="D100" s="725"/>
      <c r="E100" s="725"/>
      <c r="F100" s="725"/>
      <c r="G100" s="725"/>
      <c r="H100" s="725"/>
      <c r="I100" s="2"/>
      <c r="J100" s="2"/>
      <c r="K100" s="2"/>
      <c r="L100" s="2"/>
      <c r="M100" s="2"/>
      <c r="N100" s="2"/>
      <c r="O100" s="2"/>
      <c r="P100" s="2"/>
      <c r="Q100" s="2"/>
      <c r="R100" s="2"/>
      <c r="S100" s="2"/>
      <c r="T100" s="2"/>
      <c r="U100" s="2"/>
      <c r="V100" s="2"/>
      <c r="W100" s="2"/>
      <c r="X100" s="2"/>
    </row>
    <row r="101" spans="1:24">
      <c r="A101" s="2"/>
      <c r="B101" s="277" t="s">
        <v>913</v>
      </c>
      <c r="C101" s="277" t="s">
        <v>898</v>
      </c>
      <c r="D101" s="277" t="s">
        <v>902</v>
      </c>
      <c r="E101" s="277" t="s">
        <v>331</v>
      </c>
      <c r="F101" s="277" t="s">
        <v>226</v>
      </c>
      <c r="G101" s="1157" t="s">
        <v>930</v>
      </c>
      <c r="H101" s="1157"/>
      <c r="I101" s="1157"/>
      <c r="J101" s="1157"/>
      <c r="K101" s="1157"/>
      <c r="L101" s="1157"/>
      <c r="M101" s="2"/>
      <c r="N101" s="2"/>
      <c r="O101" s="2"/>
      <c r="P101" s="2"/>
      <c r="Q101" s="2"/>
      <c r="R101" s="2"/>
      <c r="S101" s="2"/>
      <c r="T101" s="2"/>
      <c r="U101" s="2"/>
      <c r="V101" s="2"/>
      <c r="W101" s="2"/>
      <c r="X101" s="2"/>
    </row>
    <row r="102" spans="1:24">
      <c r="A102" s="2"/>
      <c r="B102" s="346">
        <v>74</v>
      </c>
      <c r="C102" s="1141" t="s">
        <v>456</v>
      </c>
      <c r="D102" s="1141" t="s">
        <v>503</v>
      </c>
      <c r="E102" s="424">
        <f>'COMPANY INPUT'!C7</f>
        <v>248</v>
      </c>
      <c r="F102" s="364" t="s">
        <v>1191</v>
      </c>
      <c r="G102" s="1158" t="s">
        <v>1192</v>
      </c>
      <c r="H102" s="1095"/>
      <c r="I102" s="1095"/>
      <c r="J102" s="1095"/>
      <c r="K102" s="1095"/>
      <c r="L102" s="1095"/>
      <c r="M102" s="2"/>
      <c r="N102" s="2"/>
      <c r="O102" s="2"/>
      <c r="P102" s="2"/>
      <c r="Q102" s="2"/>
      <c r="R102" s="2"/>
      <c r="S102" s="2"/>
      <c r="T102" s="2"/>
      <c r="U102" s="2"/>
      <c r="V102" s="2"/>
      <c r="W102" s="2"/>
      <c r="X102" s="2"/>
    </row>
    <row r="103" spans="1:24" ht="30" customHeight="1">
      <c r="A103" s="2"/>
      <c r="B103" s="346">
        <v>40</v>
      </c>
      <c r="C103" s="1141"/>
      <c r="D103" s="1141"/>
      <c r="E103" s="424">
        <f ca="1">'Carbon values'!$H$16</f>
        <v>376</v>
      </c>
      <c r="F103" s="364" t="s">
        <v>1193</v>
      </c>
      <c r="G103" s="1123" t="s">
        <v>1194</v>
      </c>
      <c r="H103" s="1119"/>
      <c r="I103" s="1119"/>
      <c r="J103" s="1119"/>
      <c r="K103" s="1119"/>
      <c r="L103" s="1091"/>
      <c r="M103" s="2"/>
      <c r="N103" s="2"/>
      <c r="O103" s="2"/>
      <c r="P103" s="2"/>
      <c r="Q103" s="2"/>
      <c r="R103" s="2"/>
      <c r="S103" s="2"/>
      <c r="T103" s="2"/>
      <c r="U103" s="2"/>
      <c r="V103" s="2"/>
      <c r="W103" s="2"/>
      <c r="X103" s="2"/>
    </row>
    <row r="105" spans="1:24">
      <c r="A105" s="725"/>
      <c r="B105" s="726" t="s">
        <v>936</v>
      </c>
      <c r="C105" s="725"/>
      <c r="D105" s="725"/>
      <c r="E105" s="725"/>
      <c r="F105" s="725"/>
      <c r="G105" s="725"/>
      <c r="H105" s="725"/>
      <c r="I105" s="2"/>
      <c r="J105" s="2"/>
      <c r="K105" s="2"/>
      <c r="L105" s="2"/>
      <c r="M105" s="2"/>
      <c r="N105" s="2"/>
      <c r="O105" s="2"/>
      <c r="P105" s="2"/>
      <c r="Q105" s="2"/>
      <c r="R105" s="2"/>
      <c r="S105" s="2"/>
      <c r="T105" s="2"/>
      <c r="U105" s="2"/>
      <c r="V105" s="2"/>
      <c r="W105" s="2"/>
      <c r="X105" s="2"/>
    </row>
    <row r="106" spans="1:24">
      <c r="A106" s="2"/>
      <c r="B106" s="222" t="s">
        <v>936</v>
      </c>
      <c r="C106" s="222" t="s">
        <v>1174</v>
      </c>
      <c r="D106" s="222" t="s">
        <v>226</v>
      </c>
      <c r="E106" s="2"/>
      <c r="F106" s="2"/>
      <c r="G106" s="2"/>
      <c r="H106" s="2"/>
      <c r="I106" s="2"/>
      <c r="J106" s="2"/>
      <c r="K106" s="2"/>
      <c r="L106" s="2"/>
      <c r="M106" s="2"/>
      <c r="N106" s="2"/>
      <c r="O106" s="2"/>
      <c r="P106" s="2"/>
      <c r="Q106" s="2"/>
      <c r="R106" s="2"/>
      <c r="S106" s="2"/>
      <c r="T106" s="2"/>
      <c r="U106" s="2"/>
      <c r="V106" s="2"/>
      <c r="W106" s="2"/>
      <c r="X106" s="2"/>
    </row>
    <row r="107" spans="1:24">
      <c r="A107" s="2"/>
      <c r="B107" s="334" t="s">
        <v>1195</v>
      </c>
      <c r="C107" s="295">
        <f>E102</f>
        <v>248</v>
      </c>
      <c r="D107" s="295" t="s">
        <v>1196</v>
      </c>
      <c r="E107" s="2"/>
      <c r="F107" s="2"/>
      <c r="G107" s="2"/>
      <c r="H107" s="2"/>
      <c r="I107" s="2"/>
      <c r="J107" s="2"/>
      <c r="K107" s="2"/>
      <c r="L107" s="2"/>
      <c r="M107" s="2"/>
      <c r="N107" s="2"/>
      <c r="O107" s="2"/>
      <c r="P107" s="2"/>
      <c r="Q107" s="2"/>
      <c r="R107" s="2"/>
      <c r="S107" s="2"/>
      <c r="T107" s="2"/>
      <c r="U107" s="2"/>
      <c r="V107" s="2"/>
      <c r="W107" s="2"/>
      <c r="X107" s="2"/>
    </row>
    <row r="108" spans="1:24">
      <c r="A108" s="2"/>
      <c r="B108" s="334" t="s">
        <v>1197</v>
      </c>
      <c r="C108" s="425">
        <f>C107/1000</f>
        <v>0.248</v>
      </c>
      <c r="D108" s="278" t="s">
        <v>1198</v>
      </c>
      <c r="E108" s="2"/>
      <c r="F108" s="2"/>
      <c r="G108" s="2"/>
      <c r="H108" s="2"/>
      <c r="I108" s="2"/>
      <c r="J108" s="2"/>
      <c r="K108" s="2"/>
      <c r="L108" s="2"/>
      <c r="M108" s="2"/>
      <c r="N108" s="2"/>
      <c r="O108" s="2"/>
      <c r="P108" s="2"/>
      <c r="Q108" s="2"/>
      <c r="R108" s="2"/>
      <c r="S108" s="2"/>
      <c r="T108" s="2"/>
      <c r="U108" s="2"/>
      <c r="V108" s="2"/>
      <c r="W108" s="2"/>
      <c r="X108" s="2"/>
    </row>
    <row r="109" spans="1:24">
      <c r="A109" s="2"/>
      <c r="B109" s="334" t="s">
        <v>1199</v>
      </c>
      <c r="C109" s="426">
        <f>C108*365</f>
        <v>90.52</v>
      </c>
      <c r="D109" s="278" t="s">
        <v>1198</v>
      </c>
      <c r="E109" s="2"/>
      <c r="F109" s="2"/>
      <c r="G109" s="2"/>
      <c r="H109" s="2"/>
      <c r="I109" s="2"/>
      <c r="J109" s="2"/>
      <c r="K109" s="2"/>
      <c r="L109" s="2"/>
      <c r="M109" s="2"/>
      <c r="N109" s="2"/>
      <c r="O109" s="2"/>
      <c r="P109" s="2"/>
      <c r="Q109" s="2"/>
      <c r="R109" s="2"/>
      <c r="S109" s="2"/>
      <c r="T109" s="2"/>
      <c r="U109" s="2"/>
      <c r="V109" s="2"/>
      <c r="W109" s="2"/>
      <c r="X109" s="2"/>
    </row>
    <row r="110" spans="1:24">
      <c r="A110" s="2"/>
      <c r="B110" s="278" t="s">
        <v>1200</v>
      </c>
      <c r="C110" s="427">
        <f ca="1">C109*E103</f>
        <v>34035.519999999997</v>
      </c>
      <c r="D110" s="278" t="s">
        <v>1201</v>
      </c>
      <c r="E110" s="2"/>
      <c r="F110" s="2"/>
      <c r="G110" s="2"/>
      <c r="H110" s="2"/>
      <c r="I110" s="2"/>
      <c r="J110" s="2"/>
      <c r="K110" s="2"/>
      <c r="L110" s="2"/>
      <c r="M110" s="2"/>
      <c r="N110" s="2"/>
      <c r="O110" s="2"/>
      <c r="P110" s="2"/>
      <c r="Q110" s="2"/>
      <c r="R110" s="2"/>
      <c r="S110" s="2"/>
      <c r="T110" s="2"/>
      <c r="U110" s="2"/>
      <c r="V110" s="2"/>
      <c r="W110" s="2"/>
      <c r="X110" s="2"/>
    </row>
    <row r="112" spans="1:24">
      <c r="A112" s="727"/>
      <c r="B112" s="728" t="s">
        <v>901</v>
      </c>
      <c r="C112" s="727"/>
      <c r="D112" s="727"/>
      <c r="E112" s="727"/>
      <c r="F112" s="727"/>
      <c r="G112" s="727"/>
      <c r="H112" s="727"/>
      <c r="I112" s="2"/>
      <c r="J112" s="2"/>
      <c r="K112" s="2"/>
      <c r="L112" s="2"/>
      <c r="M112" s="2"/>
      <c r="N112" s="2"/>
      <c r="O112" s="2"/>
      <c r="P112" s="2"/>
      <c r="Q112" s="2"/>
      <c r="R112" s="2"/>
      <c r="S112" s="2"/>
      <c r="T112" s="2"/>
      <c r="U112" s="2"/>
      <c r="V112" s="2"/>
      <c r="W112" s="2"/>
      <c r="X112" s="2"/>
    </row>
    <row r="113" spans="1:24" ht="29.1">
      <c r="A113" s="2"/>
      <c r="B113" s="522" t="s">
        <v>902</v>
      </c>
      <c r="C113" s="522" t="s">
        <v>898</v>
      </c>
      <c r="D113" s="522" t="s">
        <v>899</v>
      </c>
      <c r="E113" s="719" t="s">
        <v>903</v>
      </c>
      <c r="F113" s="522" t="s">
        <v>904</v>
      </c>
      <c r="G113" s="522" t="s">
        <v>905</v>
      </c>
      <c r="H113" s="522" t="s">
        <v>924</v>
      </c>
      <c r="I113" s="522" t="s">
        <v>956</v>
      </c>
      <c r="J113" s="522" t="s">
        <v>927</v>
      </c>
      <c r="K113" s="2"/>
      <c r="L113" s="2"/>
      <c r="M113" s="2"/>
      <c r="N113" s="2"/>
      <c r="O113" s="2"/>
      <c r="P113" s="2"/>
      <c r="Q113" s="2"/>
      <c r="R113" s="2"/>
      <c r="S113" s="2"/>
      <c r="T113" s="2"/>
      <c r="U113" s="2"/>
      <c r="V113" s="2"/>
      <c r="W113" s="2"/>
      <c r="X113" s="2"/>
    </row>
    <row r="114" spans="1:24" ht="72.599999999999994">
      <c r="A114" s="2"/>
      <c r="B114" s="338" t="s">
        <v>503</v>
      </c>
      <c r="C114" s="338" t="s">
        <v>456</v>
      </c>
      <c r="D114" s="338" t="s">
        <v>1188</v>
      </c>
      <c r="E114" s="647" t="s">
        <v>1202</v>
      </c>
      <c r="F114" s="338" t="str" cm="1">
        <f t="array" ref="F114">_xlfn.XLOOKUP(1,(D118:D118=B114)*(E118:E118=C114),B118:B118,"Not found",0,1)</f>
        <v>7-2</v>
      </c>
      <c r="G114" s="467">
        <f ca="1">VLOOKUP(F114,B118:L119,11,FALSE)</f>
        <v>38210.601357306041</v>
      </c>
      <c r="H114" s="680">
        <f>D97</f>
        <v>2.5714285714285698</v>
      </c>
      <c r="I114" s="682" t="s">
        <v>1203</v>
      </c>
      <c r="J114" s="683" t="s">
        <v>1204</v>
      </c>
      <c r="K114" s="2"/>
      <c r="L114" s="2"/>
      <c r="M114" s="2"/>
      <c r="N114" s="2"/>
      <c r="O114" s="2"/>
      <c r="P114" s="2"/>
      <c r="Q114" s="2"/>
      <c r="R114" s="2"/>
      <c r="S114" s="2"/>
      <c r="T114" s="2"/>
      <c r="U114" s="2"/>
      <c r="V114" s="2"/>
      <c r="W114" s="2"/>
      <c r="X114" s="2"/>
    </row>
    <row r="115" spans="1:24">
      <c r="A115" s="2"/>
      <c r="B115" s="18"/>
      <c r="C115" s="2"/>
      <c r="D115" s="2"/>
      <c r="E115" s="2"/>
      <c r="F115" s="2"/>
      <c r="G115" s="2"/>
      <c r="H115" s="2"/>
      <c r="I115" s="2"/>
      <c r="J115" s="2"/>
      <c r="K115" s="2"/>
      <c r="L115" s="2"/>
      <c r="M115" s="2"/>
      <c r="N115" s="2"/>
      <c r="O115" s="2"/>
      <c r="P115" s="2"/>
      <c r="Q115" s="2"/>
      <c r="R115" s="2"/>
      <c r="S115" s="2"/>
      <c r="T115" s="2"/>
      <c r="U115" s="2"/>
      <c r="V115" s="2"/>
      <c r="W115" s="2"/>
      <c r="X115" s="2"/>
    </row>
    <row r="116" spans="1:24">
      <c r="A116" s="725"/>
      <c r="B116" s="726" t="s">
        <v>962</v>
      </c>
      <c r="C116" s="725"/>
      <c r="D116" s="725"/>
      <c r="E116" s="725"/>
      <c r="F116" s="725"/>
      <c r="G116" s="725"/>
      <c r="H116" s="725"/>
      <c r="I116" s="2"/>
      <c r="J116" s="2"/>
      <c r="K116" s="2"/>
      <c r="L116" s="2"/>
      <c r="M116" s="2"/>
      <c r="N116" s="2"/>
      <c r="O116" s="2"/>
      <c r="P116" s="2"/>
      <c r="Q116" s="2"/>
      <c r="R116" s="2"/>
      <c r="S116" s="2"/>
      <c r="T116" s="2"/>
      <c r="U116" s="2"/>
      <c r="V116" s="2"/>
      <c r="W116" s="2"/>
      <c r="X116" s="2"/>
    </row>
    <row r="117" spans="1:24">
      <c r="A117" s="2"/>
      <c r="B117" s="277" t="s">
        <v>904</v>
      </c>
      <c r="C117" s="277" t="s">
        <v>62</v>
      </c>
      <c r="D117" s="277" t="s">
        <v>902</v>
      </c>
      <c r="E117" s="277" t="s">
        <v>898</v>
      </c>
      <c r="F117" s="277" t="s">
        <v>916</v>
      </c>
      <c r="G117" s="277" t="s">
        <v>963</v>
      </c>
      <c r="H117" s="277" t="s">
        <v>964</v>
      </c>
      <c r="I117" s="277" t="s">
        <v>965</v>
      </c>
      <c r="J117" s="277" t="s">
        <v>966</v>
      </c>
      <c r="K117" s="277" t="s">
        <v>967</v>
      </c>
      <c r="L117" s="277" t="s">
        <v>968</v>
      </c>
      <c r="M117" s="277" t="s">
        <v>956</v>
      </c>
      <c r="N117" s="277" t="s">
        <v>969</v>
      </c>
      <c r="O117" s="277" t="s">
        <v>970</v>
      </c>
      <c r="P117" s="277" t="s">
        <v>927</v>
      </c>
      <c r="Q117" s="277" t="s">
        <v>913</v>
      </c>
      <c r="R117" s="277" t="s">
        <v>914</v>
      </c>
      <c r="S117" s="277" t="s">
        <v>915</v>
      </c>
      <c r="T117" s="277" t="s">
        <v>916</v>
      </c>
      <c r="U117" s="277" t="s">
        <v>917</v>
      </c>
      <c r="V117" s="277" t="s">
        <v>918</v>
      </c>
      <c r="W117" s="277" t="s">
        <v>919</v>
      </c>
      <c r="X117" s="2"/>
    </row>
    <row r="118" spans="1:24">
      <c r="A118" s="2"/>
      <c r="B118" s="302" t="s">
        <v>1205</v>
      </c>
      <c r="C118" s="279" t="s">
        <v>368</v>
      </c>
      <c r="D118" s="278" t="s">
        <v>503</v>
      </c>
      <c r="E118" s="278" t="s">
        <v>456</v>
      </c>
      <c r="F118" s="299">
        <f>E86</f>
        <v>2024</v>
      </c>
      <c r="G118" s="278">
        <v>2020</v>
      </c>
      <c r="H118" s="278">
        <f>'COMPANY INPUT'!$C$16</f>
        <v>2023</v>
      </c>
      <c r="I118" s="278">
        <f>VLOOKUP(G118,'GDP Deflators'!$H$13:$I$86,2,FALSE)</f>
        <v>89.073499999999996</v>
      </c>
      <c r="J118" s="278">
        <f>VLOOKUP(H118,'GDP Deflators'!$H$13:$I$86,2,FALSE)</f>
        <v>100</v>
      </c>
      <c r="K118" s="417">
        <f ca="1">C110</f>
        <v>34035.519999999997</v>
      </c>
      <c r="L118" s="746">
        <f ca="1">K118*(J118/I118)</f>
        <v>38210.601357306041</v>
      </c>
      <c r="M118" s="300" t="str">
        <f>I114</f>
        <v xml:space="preserve">Financial </v>
      </c>
      <c r="N118" s="326">
        <f>H114</f>
        <v>2.5714285714285698</v>
      </c>
      <c r="O118" s="278" t="s">
        <v>718</v>
      </c>
      <c r="P118" s="300" t="str">
        <f>J114</f>
        <v>Company-specific carbon intensity data, also uses UK gov values for carbon</v>
      </c>
      <c r="Q118" s="299">
        <f t="shared" ref="Q118:W118" si="1">B86</f>
        <v>74</v>
      </c>
      <c r="R118" s="299" t="str">
        <f t="shared" si="1"/>
        <v>Discover Water (2024) Energy and emissions: Greenhouse gas emissions from English and Welsh water companies</v>
      </c>
      <c r="S118" s="299" t="str">
        <f t="shared" si="1"/>
        <v>No</v>
      </c>
      <c r="T118" s="299">
        <f t="shared" si="1"/>
        <v>2024</v>
      </c>
      <c r="U118" s="299" t="str">
        <f t="shared" si="1"/>
        <v>UK</v>
      </c>
      <c r="V118" s="299" t="str">
        <f t="shared" si="1"/>
        <v>UK</v>
      </c>
      <c r="W118" s="299" t="str">
        <f t="shared" si="1"/>
        <v>/</v>
      </c>
      <c r="X118" s="2"/>
    </row>
    <row r="120" spans="1:24" s="263" customFormat="1">
      <c r="A120" s="739"/>
      <c r="B120" s="740" t="s">
        <v>460</v>
      </c>
      <c r="C120" s="739"/>
      <c r="D120" s="739"/>
      <c r="E120" s="739"/>
      <c r="F120" s="739"/>
      <c r="G120" s="739"/>
      <c r="H120" s="739"/>
      <c r="I120" s="7"/>
      <c r="J120" s="7"/>
      <c r="K120" s="7"/>
      <c r="L120" s="7"/>
      <c r="M120" s="7"/>
      <c r="N120" s="7"/>
      <c r="O120" s="7"/>
      <c r="P120" s="7"/>
      <c r="Q120" s="7"/>
      <c r="R120" s="7"/>
      <c r="S120" s="7"/>
      <c r="T120" s="7"/>
      <c r="U120" s="7"/>
      <c r="V120" s="7"/>
      <c r="W120" s="7"/>
      <c r="X120" s="7"/>
    </row>
    <row r="121" spans="1:24" s="263" customFormat="1">
      <c r="A121" s="741"/>
      <c r="B121" s="742" t="s">
        <v>897</v>
      </c>
      <c r="C121" s="741"/>
      <c r="D121" s="741"/>
      <c r="E121" s="741"/>
      <c r="F121" s="741"/>
      <c r="G121" s="741"/>
      <c r="H121" s="741"/>
      <c r="I121" s="7"/>
      <c r="J121" s="7"/>
      <c r="K121" s="7"/>
      <c r="L121" s="7"/>
      <c r="M121" s="7"/>
      <c r="N121" s="7"/>
      <c r="O121" s="7"/>
      <c r="P121" s="7"/>
      <c r="Q121" s="7"/>
      <c r="R121" s="7"/>
      <c r="S121" s="7"/>
      <c r="T121" s="7"/>
      <c r="U121" s="7"/>
      <c r="V121" s="7"/>
      <c r="W121" s="7"/>
      <c r="X121" s="7"/>
    </row>
    <row r="122" spans="1:24" s="263" customFormat="1">
      <c r="A122" s="7"/>
      <c r="B122" s="398" t="s">
        <v>898</v>
      </c>
      <c r="C122" s="398" t="s">
        <v>899</v>
      </c>
      <c r="D122" s="7"/>
      <c r="E122" s="7"/>
      <c r="F122" s="7"/>
      <c r="G122" s="7"/>
      <c r="H122" s="7"/>
      <c r="I122" s="7"/>
      <c r="J122" s="7"/>
      <c r="K122" s="7"/>
      <c r="L122" s="7"/>
      <c r="M122" s="7"/>
      <c r="N122" s="7"/>
      <c r="O122" s="7"/>
      <c r="P122" s="7"/>
      <c r="Q122" s="7"/>
      <c r="R122" s="7"/>
      <c r="S122" s="7"/>
      <c r="T122" s="7"/>
      <c r="U122" s="7"/>
      <c r="V122" s="7"/>
      <c r="W122" s="7"/>
      <c r="X122" s="7"/>
    </row>
    <row r="123" spans="1:24" s="263" customFormat="1">
      <c r="A123" s="7"/>
      <c r="B123" s="276" t="s">
        <v>460</v>
      </c>
      <c r="C123" s="276" t="s">
        <v>1206</v>
      </c>
      <c r="D123" s="7"/>
      <c r="E123" s="7"/>
      <c r="F123" s="7"/>
      <c r="G123" s="7"/>
      <c r="H123" s="7"/>
      <c r="I123" s="7"/>
      <c r="J123" s="7"/>
      <c r="K123" s="7"/>
      <c r="L123" s="7"/>
      <c r="M123" s="7"/>
      <c r="N123" s="7"/>
      <c r="O123" s="7"/>
      <c r="P123" s="7"/>
      <c r="Q123" s="7"/>
      <c r="R123" s="7"/>
      <c r="S123" s="7"/>
      <c r="T123" s="7"/>
      <c r="U123" s="7"/>
      <c r="V123" s="7"/>
      <c r="W123" s="7"/>
      <c r="X123" s="7"/>
    </row>
    <row r="124" spans="1:24" s="263" customFormat="1">
      <c r="A124" s="7"/>
      <c r="B124" s="29"/>
      <c r="C124" s="7"/>
      <c r="D124" s="7"/>
      <c r="E124" s="7"/>
      <c r="F124" s="7"/>
      <c r="G124" s="7"/>
      <c r="H124" s="7"/>
      <c r="I124" s="7"/>
      <c r="J124" s="7"/>
      <c r="K124" s="7"/>
      <c r="L124" s="7"/>
      <c r="M124" s="7"/>
      <c r="N124" s="7"/>
      <c r="O124" s="7"/>
      <c r="P124" s="7"/>
      <c r="Q124" s="7"/>
      <c r="R124" s="7"/>
      <c r="S124" s="7"/>
      <c r="T124" s="7"/>
      <c r="U124" s="7"/>
      <c r="V124" s="7"/>
      <c r="W124" s="7"/>
      <c r="X124" s="7"/>
    </row>
    <row r="125" spans="1:24" s="263" customFormat="1">
      <c r="A125" s="741"/>
      <c r="B125" s="743" t="s">
        <v>901</v>
      </c>
      <c r="C125" s="741"/>
      <c r="D125" s="741"/>
      <c r="E125" s="741"/>
      <c r="F125" s="741"/>
      <c r="G125" s="741"/>
      <c r="H125" s="741"/>
      <c r="I125" s="7"/>
      <c r="J125" s="7"/>
      <c r="K125" s="7"/>
      <c r="L125" s="7"/>
      <c r="M125" s="7"/>
      <c r="N125" s="7"/>
      <c r="O125" s="7"/>
      <c r="P125" s="7"/>
      <c r="Q125" s="7"/>
      <c r="R125" s="7"/>
      <c r="S125" s="7"/>
      <c r="T125" s="7"/>
      <c r="U125" s="7"/>
      <c r="V125" s="7"/>
      <c r="W125" s="7"/>
      <c r="X125" s="7"/>
    </row>
    <row r="126" spans="1:24" s="263" customFormat="1" ht="29.1">
      <c r="A126" s="7"/>
      <c r="B126" s="522" t="s">
        <v>902</v>
      </c>
      <c r="C126" s="522" t="s">
        <v>898</v>
      </c>
      <c r="D126" s="522" t="s">
        <v>899</v>
      </c>
      <c r="E126" s="719" t="s">
        <v>903</v>
      </c>
      <c r="F126" s="522" t="s">
        <v>904</v>
      </c>
      <c r="G126" s="522" t="s">
        <v>905</v>
      </c>
      <c r="H126" s="522" t="s">
        <v>924</v>
      </c>
      <c r="I126" s="522" t="s">
        <v>956</v>
      </c>
      <c r="J126" s="522" t="s">
        <v>927</v>
      </c>
      <c r="K126" s="7"/>
      <c r="L126" s="7"/>
      <c r="M126" s="7"/>
      <c r="N126" s="7"/>
      <c r="O126" s="7"/>
      <c r="P126" s="7"/>
      <c r="Q126" s="7"/>
      <c r="R126" s="7"/>
      <c r="S126" s="7"/>
      <c r="T126" s="7"/>
      <c r="U126" s="7"/>
      <c r="V126" s="7"/>
      <c r="W126" s="7"/>
      <c r="X126" s="7"/>
    </row>
    <row r="127" spans="1:24" s="263" customFormat="1">
      <c r="A127" s="7"/>
      <c r="B127" s="278" t="s">
        <v>503</v>
      </c>
      <c r="C127" s="373" t="s">
        <v>460</v>
      </c>
      <c r="D127" s="276" t="s">
        <v>1206</v>
      </c>
      <c r="E127" s="373" t="s">
        <v>906</v>
      </c>
      <c r="F127" s="340" t="s">
        <v>907</v>
      </c>
      <c r="G127" s="343" t="s">
        <v>990</v>
      </c>
      <c r="H127" s="630" t="s">
        <v>907</v>
      </c>
      <c r="I127" s="630" t="s">
        <v>907</v>
      </c>
      <c r="J127" s="630" t="s">
        <v>907</v>
      </c>
      <c r="K127" s="7"/>
      <c r="L127" s="7"/>
      <c r="M127" s="7"/>
      <c r="N127" s="7"/>
      <c r="O127" s="7"/>
      <c r="P127" s="7"/>
      <c r="Q127" s="7"/>
      <c r="R127" s="7"/>
      <c r="S127" s="7"/>
      <c r="T127" s="7"/>
      <c r="U127" s="7"/>
      <c r="V127" s="7"/>
      <c r="W127" s="7"/>
      <c r="X127" s="7"/>
    </row>
    <row r="128" spans="1:24" s="263" customFormat="1">
      <c r="A128" s="7"/>
      <c r="B128" s="29"/>
      <c r="C128" s="7"/>
      <c r="D128" s="7"/>
      <c r="E128" s="7"/>
      <c r="F128" s="7"/>
      <c r="G128" s="7"/>
      <c r="H128" s="7"/>
      <c r="I128" s="7"/>
      <c r="J128" s="7"/>
      <c r="K128" s="7"/>
      <c r="L128" s="7"/>
      <c r="M128" s="7"/>
      <c r="N128" s="7"/>
      <c r="O128" s="7"/>
      <c r="P128" s="7"/>
      <c r="Q128" s="7"/>
      <c r="R128" s="7"/>
      <c r="S128" s="7"/>
      <c r="T128" s="7"/>
      <c r="U128" s="7"/>
      <c r="V128" s="7"/>
      <c r="W128" s="7"/>
      <c r="X128" s="7"/>
    </row>
  </sheetData>
  <sheetProtection algorithmName="SHA-512" hashValue="HRpKn01o0clxQbJTQ0eczmgwT/yEVrCttU/MviXmZXL5Mqp1P3h/MTjzEXmP2b97adJAKrObavEOugvNN49M3A==" saltValue="GcnXZkZX3PWXF+rAUwmmKQ==" spinCount="100000" sheet="1" objects="1" scenarios="1"/>
  <dataConsolidate/>
  <mergeCells count="32">
    <mergeCell ref="E93:H93"/>
    <mergeCell ref="E94:H94"/>
    <mergeCell ref="E95:H95"/>
    <mergeCell ref="E96:H96"/>
    <mergeCell ref="E56:H56"/>
    <mergeCell ref="E57:H57"/>
    <mergeCell ref="E90:H90"/>
    <mergeCell ref="E91:H91"/>
    <mergeCell ref="E92:H92"/>
    <mergeCell ref="G36:L36"/>
    <mergeCell ref="G37:L37"/>
    <mergeCell ref="G62:L62"/>
    <mergeCell ref="G63:L63"/>
    <mergeCell ref="D9:G9"/>
    <mergeCell ref="E29:H29"/>
    <mergeCell ref="E30:H30"/>
    <mergeCell ref="E31:H31"/>
    <mergeCell ref="E51:H51"/>
    <mergeCell ref="E52:H52"/>
    <mergeCell ref="E53:H53"/>
    <mergeCell ref="E54:H54"/>
    <mergeCell ref="E55:H55"/>
    <mergeCell ref="B5:H5"/>
    <mergeCell ref="E25:H25"/>
    <mergeCell ref="E26:H26"/>
    <mergeCell ref="E27:H27"/>
    <mergeCell ref="E28:H28"/>
    <mergeCell ref="D102:D103"/>
    <mergeCell ref="C102:C103"/>
    <mergeCell ref="G103:L103"/>
    <mergeCell ref="G101:L101"/>
    <mergeCell ref="G102:L102"/>
  </mergeCells>
  <conditionalFormatting sqref="D32:E32">
    <cfRule type="cellIs" dxfId="1104" priority="17" operator="lessThanOrEqual">
      <formula>2.14285714285714</formula>
    </cfRule>
    <cfRule type="cellIs" dxfId="1103" priority="18" operator="lessThanOrEqual">
      <formula>2.57142857142857</formula>
    </cfRule>
    <cfRule type="cellIs" dxfId="1102" priority="19" operator="lessThanOrEqual">
      <formula>3</formula>
    </cfRule>
  </conditionalFormatting>
  <conditionalFormatting sqref="D58:E58">
    <cfRule type="cellIs" dxfId="1101" priority="11" operator="lessThanOrEqual">
      <formula>2.14285714285714</formula>
    </cfRule>
    <cfRule type="cellIs" dxfId="1100" priority="12" operator="lessThanOrEqual">
      <formula>2.57142857142857</formula>
    </cfRule>
    <cfRule type="cellIs" dxfId="1099" priority="13" operator="lessThanOrEqual">
      <formula>3</formula>
    </cfRule>
  </conditionalFormatting>
  <conditionalFormatting sqref="D97:E97">
    <cfRule type="cellIs" dxfId="1098" priority="5" operator="lessThanOrEqual">
      <formula>2.14285714285714</formula>
    </cfRule>
    <cfRule type="cellIs" dxfId="1097" priority="6" operator="lessThanOrEqual">
      <formula>2.57142857142857</formula>
    </cfRule>
    <cfRule type="cellIs" dxfId="1096" priority="7" operator="lessThanOrEqual">
      <formula>3</formula>
    </cfRule>
  </conditionalFormatting>
  <conditionalFormatting sqref="D11:G11">
    <cfRule type="notContainsBlanks" dxfId="1095" priority="1">
      <formula>LEN(TRIM(D11))&gt;0</formula>
    </cfRule>
  </conditionalFormatting>
  <conditionalFormatting sqref="E32">
    <cfRule type="containsText" dxfId="1094" priority="14" operator="containsText" text="Green">
      <formula>NOT(ISERROR(SEARCH("Green",E32)))</formula>
    </cfRule>
    <cfRule type="containsText" dxfId="1093" priority="15" operator="containsText" text="Amber">
      <formula>NOT(ISERROR(SEARCH("Amber",E32)))</formula>
    </cfRule>
    <cfRule type="containsText" dxfId="1092" priority="16" operator="containsText" text="Red">
      <formula>NOT(ISERROR(SEARCH("Red",E32)))</formula>
    </cfRule>
  </conditionalFormatting>
  <conditionalFormatting sqref="E58">
    <cfRule type="containsText" dxfId="1091" priority="8" operator="containsText" text="Green">
      <formula>NOT(ISERROR(SEARCH("Green",E58)))</formula>
    </cfRule>
    <cfRule type="containsText" dxfId="1090" priority="9" operator="containsText" text="Amber">
      <formula>NOT(ISERROR(SEARCH("Amber",E58)))</formula>
    </cfRule>
    <cfRule type="containsText" dxfId="1089" priority="10" operator="containsText" text="Red">
      <formula>NOT(ISERROR(SEARCH("Red",E58)))</formula>
    </cfRule>
  </conditionalFormatting>
  <conditionalFormatting sqref="E97">
    <cfRule type="containsText" dxfId="1088" priority="2" operator="containsText" text="Green">
      <formula>NOT(ISERROR(SEARCH("Green",E97)))</formula>
    </cfRule>
    <cfRule type="containsText" dxfId="1087" priority="3" operator="containsText" text="Amber">
      <formula>NOT(ISERROR(SEARCH("Amber",E97)))</formula>
    </cfRule>
    <cfRule type="containsText" dxfId="1086" priority="4" operator="containsText" text="Red">
      <formula>NOT(ISERROR(SEARCH("Red",E97)))</formula>
    </cfRule>
  </conditionalFormatting>
  <conditionalFormatting sqref="H72">
    <cfRule type="cellIs" dxfId="1085" priority="35" operator="lessThanOrEqual">
      <formula>2.14285714285714</formula>
    </cfRule>
    <cfRule type="cellIs" dxfId="1084" priority="36" operator="lessThanOrEqual">
      <formula>2.57142857142857</formula>
    </cfRule>
    <cfRule type="cellIs" dxfId="1083" priority="37" operator="lessThanOrEqual">
      <formula>3</formula>
    </cfRule>
  </conditionalFormatting>
  <conditionalFormatting sqref="H114">
    <cfRule type="cellIs" dxfId="1082" priority="23" operator="lessThanOrEqual">
      <formula>2.14285714285714</formula>
    </cfRule>
    <cfRule type="cellIs" dxfId="1081" priority="24" operator="lessThanOrEqual">
      <formula>2.57142857142857</formula>
    </cfRule>
    <cfRule type="cellIs" dxfId="1080" priority="25" operator="lessThanOrEqual">
      <formula>3</formula>
    </cfRule>
  </conditionalFormatting>
  <conditionalFormatting sqref="N76">
    <cfRule type="cellIs" dxfId="1079" priority="32" operator="lessThanOrEqual">
      <formula>2.14285714285714</formula>
    </cfRule>
    <cfRule type="cellIs" dxfId="1078" priority="33" operator="lessThanOrEqual">
      <formula>2.57142857142857</formula>
    </cfRule>
    <cfRule type="cellIs" dxfId="1077" priority="34" operator="lessThanOrEqual">
      <formula>3</formula>
    </cfRule>
  </conditionalFormatting>
  <conditionalFormatting sqref="N118">
    <cfRule type="cellIs" dxfId="1076" priority="20" operator="lessThanOrEqual">
      <formula>2.14285714285714</formula>
    </cfRule>
    <cfRule type="cellIs" dxfId="1075" priority="21" operator="lessThanOrEqual">
      <formula>2.57142857142857</formula>
    </cfRule>
    <cfRule type="cellIs" dxfId="1074" priority="22" operator="lessThanOrEqual">
      <formula>3</formula>
    </cfRule>
  </conditionalFormatting>
  <dataValidations count="1">
    <dataValidation type="list" allowBlank="1" showInputMessage="1" showErrorMessage="1" sqref="C52:C57 C33 C26:C31 C91:C96" xr:uid="{9EA91485-60C1-43F7-B5F0-A539ED6E141C}">
      <formula1>"High, Medium, Low"</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E66BD-C0DF-4A86-94B1-59C77BE84800}">
  <sheetPr codeName="Sheet16">
    <tabColor theme="5" tint="0.59999389629810485"/>
  </sheetPr>
  <dimension ref="A1:W117"/>
  <sheetViews>
    <sheetView workbookViewId="0">
      <selection activeCell="B2" sqref="B2"/>
    </sheetView>
  </sheetViews>
  <sheetFormatPr defaultColWidth="9" defaultRowHeight="14.45"/>
  <cols>
    <col min="1" max="1" width="3.5" style="7" customWidth="1"/>
    <col min="2" max="3" width="40.625" style="7" customWidth="1"/>
    <col min="4" max="13" width="15.625" style="7" customWidth="1"/>
    <col min="14" max="16" width="16.125" style="7" customWidth="1"/>
    <col min="17" max="17" width="9" style="7" bestFit="1"/>
    <col min="18" max="18" width="16.625" style="7" customWidth="1"/>
    <col min="19" max="19" width="18.5" style="7" customWidth="1"/>
    <col min="20" max="16384" width="9" style="7"/>
  </cols>
  <sheetData>
    <row r="1" spans="1:9" ht="15" thickBot="1"/>
    <row r="2" spans="1:9" s="732" customFormat="1" ht="18.95" thickBot="1">
      <c r="A2" s="730"/>
      <c r="B2" s="753" t="s">
        <v>1207</v>
      </c>
      <c r="C2" s="733"/>
      <c r="D2" s="733"/>
    </row>
    <row r="4" spans="1:9" s="734" customFormat="1" ht="18.600000000000001">
      <c r="A4" s="735"/>
      <c r="B4" s="736" t="s">
        <v>893</v>
      </c>
      <c r="C4" s="735"/>
      <c r="D4" s="735"/>
      <c r="E4" s="735"/>
      <c r="F4" s="735"/>
      <c r="G4" s="735"/>
      <c r="H4" s="735"/>
    </row>
    <row r="5" spans="1:9" ht="242.25" customHeight="1">
      <c r="A5" s="737"/>
      <c r="B5" s="1152" t="s">
        <v>1208</v>
      </c>
      <c r="C5" s="1152"/>
      <c r="D5" s="1152"/>
      <c r="E5" s="1152"/>
      <c r="F5" s="1152"/>
      <c r="G5" s="1152"/>
      <c r="H5" s="1152"/>
    </row>
    <row r="7" spans="1:9" s="754" customFormat="1" ht="18.600000000000001">
      <c r="A7" s="755"/>
      <c r="B7" s="755" t="s">
        <v>895</v>
      </c>
      <c r="C7" s="755"/>
      <c r="D7" s="755"/>
      <c r="E7" s="755"/>
      <c r="F7" s="755"/>
      <c r="G7" s="755"/>
      <c r="H7" s="755"/>
    </row>
    <row r="9" spans="1:9">
      <c r="D9" s="1139" t="s">
        <v>479</v>
      </c>
      <c r="E9" s="1139"/>
      <c r="F9" s="1139"/>
      <c r="G9" s="1139"/>
      <c r="H9" s="1139"/>
      <c r="I9" s="1139"/>
    </row>
    <row r="10" spans="1:9" ht="29.1">
      <c r="B10" s="521" t="s">
        <v>104</v>
      </c>
      <c r="C10" s="521" t="s">
        <v>711</v>
      </c>
      <c r="D10" s="719" t="s">
        <v>448</v>
      </c>
      <c r="E10" s="719" t="s">
        <v>453</v>
      </c>
      <c r="F10" s="719" t="s">
        <v>460</v>
      </c>
      <c r="G10" s="719" t="s">
        <v>151</v>
      </c>
      <c r="H10" s="719" t="s">
        <v>462</v>
      </c>
      <c r="I10" s="719" t="s">
        <v>465</v>
      </c>
    </row>
    <row r="11" spans="1:9">
      <c r="B11" s="276" t="s">
        <v>505</v>
      </c>
      <c r="C11" s="276" t="s">
        <v>374</v>
      </c>
      <c r="D11" s="374" t="s">
        <v>477</v>
      </c>
      <c r="E11" s="374"/>
      <c r="F11" s="374" t="str" cm="1">
        <f t="array" ref="F11">_xlfn.XLOOKUP(1,($B11=$B$35:$B$39)*(F$10=$C$35:$C$39),$G$35:$G$39,"Not found",0,1)</f>
        <v>LG(H)</v>
      </c>
      <c r="G11" s="374"/>
      <c r="H11" s="374"/>
      <c r="I11" s="374"/>
    </row>
    <row r="12" spans="1:9">
      <c r="B12" s="276" t="s">
        <v>506</v>
      </c>
      <c r="C12" s="276" t="s">
        <v>507</v>
      </c>
      <c r="D12" s="374" t="s">
        <v>477</v>
      </c>
      <c r="E12" s="374"/>
      <c r="F12" s="374" t="str" cm="1">
        <f t="array" ref="F12">_xlfn.XLOOKUP(1,($B12=$B$35:$B$39)*(F$10=$C$35:$C$39),$G$35:$G$39,"Not found",0,1)</f>
        <v>LG(H)</v>
      </c>
      <c r="G12" s="374"/>
      <c r="H12" s="374"/>
      <c r="I12" s="374"/>
    </row>
    <row r="13" spans="1:9">
      <c r="B13" s="276" t="s">
        <v>129</v>
      </c>
      <c r="C13" s="276" t="s">
        <v>507</v>
      </c>
      <c r="D13" s="374" t="s">
        <v>477</v>
      </c>
      <c r="E13" s="374"/>
      <c r="F13" s="374" t="str" cm="1">
        <f t="array" ref="F13">_xlfn.XLOOKUP(1,($B13=$B$35:$B$39)*(F$10=$C$35:$C$39),$G$35:$G$39,"Not found",0,1)</f>
        <v>LG(H)</v>
      </c>
      <c r="G13" s="374" cm="1">
        <f t="array" ref="G13">_xlfn.XLOOKUP(1,($B13=$B$92:$B$97)*(G$10=$C$92:$C$97),$G$92:$G$97,"Not found",0,1)</f>
        <v>42.848710842973404</v>
      </c>
      <c r="H13" s="374" cm="1">
        <f t="array" ref="H13">_xlfn.XLOOKUP(1,($B13=$B$92:$B$97)*(H$10=$C$92:$C$97),$G$92:$G$97,"Not found",0,1)</f>
        <v>1436.5030310106833</v>
      </c>
      <c r="I13" s="374" t="str" cm="1">
        <f t="array" ref="I13">_xlfn.XLOOKUP(1,($B13=$B$115:$B$117)*(I$10=$C$115:$C$117),$G$115:$G$117,"Not found",0,1)</f>
        <v>&lt;/&gt;</v>
      </c>
    </row>
    <row r="14" spans="1:9">
      <c r="B14" s="276" t="s">
        <v>131</v>
      </c>
      <c r="C14" s="276" t="s">
        <v>507</v>
      </c>
      <c r="D14" s="374" t="s">
        <v>477</v>
      </c>
      <c r="E14" s="374" t="str" cm="1">
        <f t="array" ref="E14">_xlfn.XLOOKUP(1,($B14=$B$25:$B$26)*(E$10=$C$25:$C$26),$G$25:$G$26,"Not found",0,1)</f>
        <v>AC</v>
      </c>
      <c r="F14" s="374" t="str" cm="1">
        <f t="array" ref="F14">_xlfn.XLOOKUP(1,($B14=$B$35:$B$39)*(F$10=$C$35:$C$39),$G$35:$G$39,"Not found",0,1)</f>
        <v>LG(H)</v>
      </c>
      <c r="G14" s="374" cm="1">
        <f t="array" ref="G14">_xlfn.XLOOKUP(1,($B14=$B$92:$B$97)*(G$10=$C$92:$C$97),$G$92:$G$97,"Not found",0,1)</f>
        <v>147.82805240825826</v>
      </c>
      <c r="H14" s="374" cm="1">
        <f t="array" ref="H14">_xlfn.XLOOKUP(1,($B14=$B$92:$B$97)*(H$10=$C$92:$C$97),$G$92:$G$97,"Not found",0,1)</f>
        <v>11566.473883175133</v>
      </c>
      <c r="I14" s="374" t="str" cm="1">
        <f t="array" ref="I14">_xlfn.XLOOKUP(1,($B14=$B$115:$B$117)*(I$10=$C$115:$C$117),$G$115:$G$117,"Not found",0,1)</f>
        <v>&lt;/&gt;</v>
      </c>
    </row>
    <row r="15" spans="1:9">
      <c r="B15" s="276" t="s">
        <v>132</v>
      </c>
      <c r="C15" s="276" t="s">
        <v>507</v>
      </c>
      <c r="D15" s="374" t="s">
        <v>477</v>
      </c>
      <c r="E15" s="374" t="str" cm="1">
        <f t="array" ref="E15">_xlfn.XLOOKUP(1,($B15=$B$25:$B$26)*(E$10=$C$25:$C$26),$G$25:$G$26,"Not found",0,1)</f>
        <v>AC</v>
      </c>
      <c r="F15" s="374" t="str" cm="1">
        <f t="array" ref="F15">_xlfn.XLOOKUP(1,($B15=$B$35:$B$39)*(F$10=$C$35:$C$39),$G$35:$G$39,"Not found",0,1)</f>
        <v>LG(H)</v>
      </c>
      <c r="G15" s="374" cm="1">
        <f t="array" ref="G15">_xlfn.XLOOKUP(1,($B15=$B$92:$B$97)*(G$10=$C$92:$C$97),$G$92:$G$97,"Not found",0,1)</f>
        <v>252.8073939735431</v>
      </c>
      <c r="H15" s="374" cm="1">
        <f t="array" ref="H15">_xlfn.XLOOKUP(1,($B15=$B$92:$B$97)*(H$10=$C$92:$C$97),$G$92:$G$97,"Not found",0,1)</f>
        <v>21696.444735339584</v>
      </c>
      <c r="I15" s="374" t="str" cm="1">
        <f t="array" ref="I15">_xlfn.XLOOKUP(1,($B15=$B$115:$B$117)*(I$10=$C$115:$C$117),$G$115:$G$117,"Not found",0,1)</f>
        <v>&lt;/&gt;</v>
      </c>
    </row>
    <row r="16" spans="1:9">
      <c r="B16" s="800" t="s">
        <v>896</v>
      </c>
      <c r="C16" s="93"/>
      <c r="D16" s="93"/>
      <c r="E16" s="93"/>
      <c r="F16" s="93"/>
      <c r="G16" s="93"/>
    </row>
    <row r="17" spans="1:10">
      <c r="B17" s="800"/>
      <c r="C17" s="93"/>
      <c r="D17" s="93"/>
      <c r="E17" s="93"/>
      <c r="F17" s="93"/>
      <c r="G17" s="93"/>
    </row>
    <row r="18" spans="1:10">
      <c r="A18" s="739"/>
      <c r="B18" s="740" t="s">
        <v>453</v>
      </c>
      <c r="C18" s="739"/>
      <c r="D18" s="739"/>
      <c r="E18" s="739"/>
      <c r="F18" s="739"/>
      <c r="G18" s="739"/>
      <c r="H18" s="739"/>
    </row>
    <row r="19" spans="1:10">
      <c r="A19" s="741"/>
      <c r="B19" s="742" t="s">
        <v>897</v>
      </c>
      <c r="C19" s="741"/>
      <c r="D19" s="741"/>
      <c r="E19" s="741"/>
      <c r="F19" s="741"/>
      <c r="G19" s="741"/>
      <c r="H19" s="741"/>
    </row>
    <row r="20" spans="1:10">
      <c r="B20" s="398" t="s">
        <v>898</v>
      </c>
      <c r="C20" s="398" t="s">
        <v>899</v>
      </c>
    </row>
    <row r="21" spans="1:10">
      <c r="B21" s="276" t="s">
        <v>453</v>
      </c>
      <c r="C21" s="276" t="s">
        <v>1209</v>
      </c>
    </row>
    <row r="22" spans="1:10">
      <c r="B22" s="29"/>
    </row>
    <row r="23" spans="1:10">
      <c r="A23" s="741"/>
      <c r="B23" s="743" t="s">
        <v>901</v>
      </c>
      <c r="C23" s="741"/>
      <c r="D23" s="741"/>
      <c r="E23" s="741"/>
      <c r="F23" s="741"/>
      <c r="G23" s="741"/>
      <c r="H23" s="741"/>
    </row>
    <row r="24" spans="1:10" ht="29.1">
      <c r="B24" s="522" t="s">
        <v>902</v>
      </c>
      <c r="C24" s="522" t="s">
        <v>898</v>
      </c>
      <c r="D24" s="522" t="s">
        <v>899</v>
      </c>
      <c r="E24" s="719" t="s">
        <v>903</v>
      </c>
      <c r="F24" s="522" t="s">
        <v>904</v>
      </c>
      <c r="G24" s="522" t="s">
        <v>905</v>
      </c>
      <c r="H24" s="522" t="s">
        <v>924</v>
      </c>
      <c r="I24" s="522" t="s">
        <v>956</v>
      </c>
      <c r="J24" s="522" t="s">
        <v>927</v>
      </c>
    </row>
    <row r="25" spans="1:10">
      <c r="B25" s="276" t="s">
        <v>131</v>
      </c>
      <c r="C25" s="276" t="s">
        <v>453</v>
      </c>
      <c r="D25" s="373" t="s">
        <v>1210</v>
      </c>
      <c r="E25" s="373" t="s">
        <v>906</v>
      </c>
      <c r="F25" s="276" t="s">
        <v>907</v>
      </c>
      <c r="G25" s="343" t="s">
        <v>475</v>
      </c>
      <c r="H25" s="630" t="s">
        <v>907</v>
      </c>
      <c r="I25" s="630" t="s">
        <v>907</v>
      </c>
      <c r="J25" s="630" t="s">
        <v>907</v>
      </c>
    </row>
    <row r="26" spans="1:10">
      <c r="B26" s="276" t="s">
        <v>132</v>
      </c>
      <c r="C26" s="276" t="s">
        <v>453</v>
      </c>
      <c r="D26" s="373" t="s">
        <v>1210</v>
      </c>
      <c r="E26" s="373" t="s">
        <v>906</v>
      </c>
      <c r="F26" s="276" t="s">
        <v>907</v>
      </c>
      <c r="G26" s="343" t="s">
        <v>475</v>
      </c>
      <c r="H26" s="630" t="s">
        <v>907</v>
      </c>
      <c r="I26" s="630" t="s">
        <v>907</v>
      </c>
      <c r="J26" s="630" t="s">
        <v>907</v>
      </c>
    </row>
    <row r="28" spans="1:10">
      <c r="A28" s="739"/>
      <c r="B28" s="740" t="s">
        <v>460</v>
      </c>
      <c r="C28" s="739"/>
      <c r="D28" s="739"/>
      <c r="E28" s="739"/>
      <c r="F28" s="739"/>
      <c r="G28" s="739"/>
      <c r="H28" s="739"/>
    </row>
    <row r="29" spans="1:10">
      <c r="A29" s="741"/>
      <c r="B29" s="742" t="s">
        <v>897</v>
      </c>
      <c r="C29" s="741"/>
      <c r="D29" s="741"/>
      <c r="E29" s="741"/>
      <c r="F29" s="741"/>
      <c r="G29" s="741"/>
      <c r="H29" s="741"/>
    </row>
    <row r="30" spans="1:10">
      <c r="B30" s="398" t="s">
        <v>898</v>
      </c>
      <c r="C30" s="398" t="s">
        <v>899</v>
      </c>
    </row>
    <row r="31" spans="1:10">
      <c r="B31" s="276" t="s">
        <v>460</v>
      </c>
      <c r="C31" s="276" t="s">
        <v>900</v>
      </c>
    </row>
    <row r="32" spans="1:10">
      <c r="B32" s="29"/>
    </row>
    <row r="33" spans="1:10">
      <c r="A33" s="741"/>
      <c r="B33" s="743" t="s">
        <v>901</v>
      </c>
      <c r="C33" s="741"/>
      <c r="D33" s="741"/>
      <c r="E33" s="741"/>
      <c r="F33" s="741"/>
      <c r="G33" s="741"/>
      <c r="H33" s="741"/>
    </row>
    <row r="34" spans="1:10" ht="29.1">
      <c r="B34" s="756" t="s">
        <v>902</v>
      </c>
      <c r="C34" s="756" t="s">
        <v>898</v>
      </c>
      <c r="D34" s="756" t="s">
        <v>899</v>
      </c>
      <c r="E34" s="752" t="s">
        <v>903</v>
      </c>
      <c r="F34" s="756" t="s">
        <v>904</v>
      </c>
      <c r="G34" s="756" t="s">
        <v>905</v>
      </c>
      <c r="H34" s="522" t="s">
        <v>924</v>
      </c>
      <c r="I34" s="522" t="s">
        <v>956</v>
      </c>
      <c r="J34" s="522" t="s">
        <v>927</v>
      </c>
    </row>
    <row r="35" spans="1:10">
      <c r="B35" s="276" t="s">
        <v>505</v>
      </c>
      <c r="C35" s="276" t="s">
        <v>460</v>
      </c>
      <c r="D35" s="373" t="s">
        <v>1210</v>
      </c>
      <c r="E35" s="373" t="s">
        <v>906</v>
      </c>
      <c r="F35" s="276" t="s">
        <v>907</v>
      </c>
      <c r="G35" s="343" t="s">
        <v>477</v>
      </c>
      <c r="H35" s="630" t="s">
        <v>907</v>
      </c>
      <c r="I35" s="630" t="s">
        <v>907</v>
      </c>
      <c r="J35" s="630" t="s">
        <v>907</v>
      </c>
    </row>
    <row r="36" spans="1:10">
      <c r="B36" s="276" t="s">
        <v>506</v>
      </c>
      <c r="C36" s="276" t="s">
        <v>460</v>
      </c>
      <c r="D36" s="373" t="s">
        <v>1210</v>
      </c>
      <c r="E36" s="373" t="s">
        <v>906</v>
      </c>
      <c r="F36" s="276" t="s">
        <v>907</v>
      </c>
      <c r="G36" s="343" t="s">
        <v>477</v>
      </c>
      <c r="H36" s="630" t="s">
        <v>907</v>
      </c>
      <c r="I36" s="630" t="s">
        <v>907</v>
      </c>
      <c r="J36" s="630" t="s">
        <v>907</v>
      </c>
    </row>
    <row r="37" spans="1:10">
      <c r="B37" s="276" t="s">
        <v>129</v>
      </c>
      <c r="C37" s="276" t="s">
        <v>460</v>
      </c>
      <c r="D37" s="373" t="s">
        <v>1210</v>
      </c>
      <c r="E37" s="373" t="s">
        <v>906</v>
      </c>
      <c r="F37" s="276" t="s">
        <v>907</v>
      </c>
      <c r="G37" s="343" t="s">
        <v>477</v>
      </c>
      <c r="H37" s="630" t="s">
        <v>907</v>
      </c>
      <c r="I37" s="630" t="s">
        <v>907</v>
      </c>
      <c r="J37" s="630" t="s">
        <v>907</v>
      </c>
    </row>
    <row r="38" spans="1:10">
      <c r="B38" s="276" t="s">
        <v>131</v>
      </c>
      <c r="C38" s="276" t="s">
        <v>460</v>
      </c>
      <c r="D38" s="373" t="s">
        <v>1210</v>
      </c>
      <c r="E38" s="373" t="s">
        <v>906</v>
      </c>
      <c r="F38" s="276" t="s">
        <v>907</v>
      </c>
      <c r="G38" s="343" t="s">
        <v>477</v>
      </c>
      <c r="H38" s="630" t="s">
        <v>907</v>
      </c>
      <c r="I38" s="630" t="s">
        <v>907</v>
      </c>
      <c r="J38" s="630" t="s">
        <v>907</v>
      </c>
    </row>
    <row r="39" spans="1:10">
      <c r="B39" s="276" t="s">
        <v>132</v>
      </c>
      <c r="C39" s="276" t="s">
        <v>460</v>
      </c>
      <c r="D39" s="373" t="s">
        <v>1210</v>
      </c>
      <c r="E39" s="373" t="s">
        <v>906</v>
      </c>
      <c r="F39" s="276" t="s">
        <v>907</v>
      </c>
      <c r="G39" s="343" t="s">
        <v>477</v>
      </c>
      <c r="H39" s="630" t="s">
        <v>907</v>
      </c>
      <c r="I39" s="630" t="s">
        <v>907</v>
      </c>
      <c r="J39" s="630" t="s">
        <v>907</v>
      </c>
    </row>
    <row r="40" spans="1:10">
      <c r="B40" s="29"/>
    </row>
    <row r="41" spans="1:10">
      <c r="A41" s="739"/>
      <c r="B41" s="740" t="s">
        <v>908</v>
      </c>
      <c r="C41" s="739"/>
      <c r="D41" s="739"/>
      <c r="E41" s="739"/>
      <c r="F41" s="739"/>
      <c r="G41" s="739"/>
      <c r="H41" s="739"/>
    </row>
    <row r="42" spans="1:10">
      <c r="A42" s="741"/>
      <c r="B42" s="742" t="s">
        <v>897</v>
      </c>
      <c r="C42" s="741"/>
      <c r="D42" s="741"/>
      <c r="E42" s="741"/>
      <c r="F42" s="741"/>
      <c r="G42" s="741"/>
      <c r="H42" s="741"/>
    </row>
    <row r="43" spans="1:10">
      <c r="B43" s="398" t="s">
        <v>898</v>
      </c>
      <c r="C43" s="398" t="s">
        <v>899</v>
      </c>
    </row>
    <row r="44" spans="1:10">
      <c r="B44" s="276" t="s">
        <v>151</v>
      </c>
      <c r="C44" s="276" t="s">
        <v>909</v>
      </c>
    </row>
    <row r="45" spans="1:10">
      <c r="B45" s="276" t="s">
        <v>1211</v>
      </c>
      <c r="C45" s="276" t="s">
        <v>910</v>
      </c>
    </row>
    <row r="46" spans="1:10">
      <c r="B46" s="29"/>
    </row>
    <row r="47" spans="1:10">
      <c r="B47" s="29"/>
    </row>
    <row r="48" spans="1:10" s="2" customFormat="1">
      <c r="A48" s="727"/>
      <c r="B48" s="728" t="s">
        <v>911</v>
      </c>
      <c r="C48" s="727"/>
      <c r="D48" s="727"/>
      <c r="E48" s="727"/>
      <c r="F48" s="727"/>
      <c r="G48" s="727"/>
      <c r="H48" s="727"/>
    </row>
    <row r="49" spans="1:8" s="2" customFormat="1">
      <c r="A49" s="725"/>
      <c r="B49" s="726" t="s">
        <v>912</v>
      </c>
      <c r="C49" s="725"/>
      <c r="D49" s="725"/>
      <c r="E49" s="725"/>
      <c r="F49" s="725"/>
      <c r="G49" s="725"/>
      <c r="H49" s="725"/>
    </row>
    <row r="50" spans="1:8" s="2" customFormat="1" ht="29.1">
      <c r="B50" s="719" t="s">
        <v>913</v>
      </c>
      <c r="C50" s="719" t="s">
        <v>914</v>
      </c>
      <c r="D50" s="719" t="s">
        <v>915</v>
      </c>
      <c r="E50" s="719" t="s">
        <v>916</v>
      </c>
      <c r="F50" s="719" t="s">
        <v>917</v>
      </c>
      <c r="G50" s="719" t="s">
        <v>918</v>
      </c>
      <c r="H50" s="719" t="s">
        <v>919</v>
      </c>
    </row>
    <row r="51" spans="1:8" s="2" customFormat="1">
      <c r="B51" s="278">
        <v>16</v>
      </c>
      <c r="C51" s="278" t="s">
        <v>1130</v>
      </c>
      <c r="D51" s="278" t="s">
        <v>717</v>
      </c>
      <c r="E51" s="278">
        <v>2023</v>
      </c>
      <c r="F51" s="278" t="s">
        <v>1048</v>
      </c>
      <c r="G51" s="278" t="s">
        <v>1048</v>
      </c>
      <c r="H51" s="278" t="s">
        <v>1049</v>
      </c>
    </row>
    <row r="52" spans="1:8" s="2" customFormat="1">
      <c r="B52" s="16"/>
    </row>
    <row r="53" spans="1:8" s="2" customFormat="1">
      <c r="A53" s="725"/>
      <c r="B53" s="726" t="s">
        <v>924</v>
      </c>
      <c r="C53" s="725"/>
      <c r="D53" s="725"/>
      <c r="E53" s="725"/>
      <c r="F53" s="725"/>
      <c r="G53" s="725"/>
      <c r="H53" s="725"/>
    </row>
    <row r="54" spans="1:8" s="2" customFormat="1">
      <c r="B54" s="277" t="s">
        <v>165</v>
      </c>
      <c r="C54" s="277" t="s">
        <v>925</v>
      </c>
      <c r="D54" s="277" t="s">
        <v>926</v>
      </c>
      <c r="E54" s="1179" t="s">
        <v>927</v>
      </c>
      <c r="F54" s="1179"/>
      <c r="G54" s="1179"/>
      <c r="H54" s="1179"/>
    </row>
    <row r="55" spans="1:8" s="2" customFormat="1">
      <c r="B55" s="278" t="s">
        <v>169</v>
      </c>
      <c r="C55" s="278" t="s">
        <v>166</v>
      </c>
      <c r="D55" s="278">
        <f>VLOOKUP(C55,METHODOLOGY!$C$175:$D$177,2,FALSE)</f>
        <v>3</v>
      </c>
      <c r="E55" s="1087" t="str">
        <f>_xlfn.XLOOKUP(C55,METHODOLOGY!$E$150:$O$150,METHODOLOGY!$E$151:$O$151,"",0,1)</f>
        <v>Monetary values have been peer reviewed or are recommended / referenced in other, well recognised and accepted guidance / tools relevant to the water sector.</v>
      </c>
      <c r="F55" s="1087"/>
      <c r="G55" s="1087"/>
      <c r="H55" s="1087"/>
    </row>
    <row r="56" spans="1:8" s="2" customFormat="1">
      <c r="B56" s="278" t="s">
        <v>173</v>
      </c>
      <c r="C56" s="278" t="s">
        <v>166</v>
      </c>
      <c r="D56" s="278">
        <f>VLOOKUP(C56,METHODOLOGY!$C$175:$D$177,2,FALSE)</f>
        <v>3</v>
      </c>
      <c r="E56" s="1087" t="str">
        <f>_xlfn.XLOOKUP(C56,METHODOLOGY!$E$150:$O$150,METHODOLOGY!$E$155:$O$155,"",0,1)</f>
        <v>Study has few limitations and is considered robust.</v>
      </c>
      <c r="F56" s="1087"/>
      <c r="G56" s="1087"/>
      <c r="H56" s="1087"/>
    </row>
    <row r="57" spans="1:8" s="2" customFormat="1">
      <c r="B57" s="278" t="s">
        <v>177</v>
      </c>
      <c r="C57" s="278" t="s">
        <v>166</v>
      </c>
      <c r="D57" s="278">
        <f>VLOOKUP(C57,METHODOLOGY!$C$175:$D$177,2,FALSE)</f>
        <v>3</v>
      </c>
      <c r="E57" s="1087" t="str">
        <f>_xlfn.XLOOKUP(C57,METHODOLOGY!$E$150:$O$150,METHODOLOGY!$E$158:$O$158,"",0,1)</f>
        <v>0 – 5 years</v>
      </c>
      <c r="F57" s="1087"/>
      <c r="G57" s="1087"/>
      <c r="H57" s="1087"/>
    </row>
    <row r="58" spans="1:8" s="2" customFormat="1">
      <c r="B58" s="278" t="s">
        <v>181</v>
      </c>
      <c r="C58" s="278" t="s">
        <v>166</v>
      </c>
      <c r="D58" s="278">
        <f>VLOOKUP(C58,METHODOLOGY!$C$175:$D$177,2,FALSE)</f>
        <v>3</v>
      </c>
      <c r="E58" s="1087" t="str">
        <f>_xlfn.XLOOKUP(C58,METHODOLOGY!$E$150:$O$150,METHODOLOGY!$E$160:$O$160,"",0,1)</f>
        <v>Geographically relevant to UK</v>
      </c>
      <c r="F58" s="1087"/>
      <c r="G58" s="1087"/>
      <c r="H58" s="1087"/>
    </row>
    <row r="59" spans="1:8" s="2" customFormat="1">
      <c r="B59" s="278" t="s">
        <v>928</v>
      </c>
      <c r="C59" s="278" t="s">
        <v>166</v>
      </c>
      <c r="D59" s="278">
        <f>VLOOKUP(C59,METHODOLOGY!$C$175:$D$177,2,FALSE)</f>
        <v>3</v>
      </c>
      <c r="E59" s="1087" t="str">
        <f>_xlfn.XLOOKUP(C59,METHODOLOGY!$E$150:$O$150,METHODOLOGY!$E$162:$O$162,"",0,1)</f>
        <v>Clear understanding of the valuation method and how the value should be applied.</v>
      </c>
      <c r="F59" s="1087"/>
      <c r="G59" s="1087"/>
      <c r="H59" s="1087"/>
    </row>
    <row r="60" spans="1:8" s="2" customFormat="1">
      <c r="B60" s="278" t="s">
        <v>189</v>
      </c>
      <c r="C60" s="278" t="s">
        <v>167</v>
      </c>
      <c r="D60" s="278">
        <f>VLOOKUP(C60,METHODOLOGY!$C$175:$D$177,2,FALSE)</f>
        <v>2</v>
      </c>
      <c r="E60" s="1087" t="str">
        <f>_xlfn.XLOOKUP(C60,METHODOLOGY!$E$150:$O$150,METHODOLOGY!$E$164:$O$164,"",0,1)</f>
        <v xml:space="preserve">The original valuation can be used with some modification e.g. applying household numbers. The calculation is simple or introduces low levels of uncertainty. </v>
      </c>
      <c r="F60" s="1087"/>
      <c r="G60" s="1087"/>
      <c r="H60" s="1087"/>
    </row>
    <row r="61" spans="1:8" s="2" customFormat="1">
      <c r="C61" s="282" t="s">
        <v>924</v>
      </c>
      <c r="D61" s="326">
        <f>IF(AND(D60=1,AVERAGE(D55:D60)&gt;2.14285714285714),2.14285714285714,IF(AND(D60=2,AVERAGE(D55:D60)&gt;2.57142857142857),2.57142857142857,AVERAGE(D55:D60)))</f>
        <v>2.5714285714285698</v>
      </c>
      <c r="E61" s="270" t="str">
        <f>IF(D61&lt;=2.14285714285714,"Red",IF(D61&lt;=2.57142857142857,"Amber",IF(D61&lt;=3,"Green")))</f>
        <v>Amber</v>
      </c>
    </row>
    <row r="62" spans="1:8" s="2" customFormat="1"/>
    <row r="63" spans="1:8" s="2" customFormat="1">
      <c r="C63" s="141"/>
      <c r="D63" s="141"/>
      <c r="E63" s="141"/>
    </row>
    <row r="64" spans="1:8" s="2" customFormat="1">
      <c r="A64" s="725"/>
      <c r="B64" s="726" t="s">
        <v>929</v>
      </c>
      <c r="C64" s="725"/>
      <c r="D64" s="725"/>
      <c r="E64" s="725"/>
      <c r="F64" s="725"/>
      <c r="G64" s="725"/>
      <c r="H64" s="725"/>
    </row>
    <row r="65" spans="2:12" s="2" customFormat="1">
      <c r="B65" s="277" t="s">
        <v>913</v>
      </c>
      <c r="C65" s="277" t="s">
        <v>898</v>
      </c>
      <c r="D65" s="277" t="s">
        <v>902</v>
      </c>
      <c r="E65" s="277" t="s">
        <v>331</v>
      </c>
      <c r="F65" s="277" t="s">
        <v>226</v>
      </c>
      <c r="G65" s="1157" t="s">
        <v>930</v>
      </c>
      <c r="H65" s="1157"/>
      <c r="I65" s="1157"/>
      <c r="J65" s="1157"/>
      <c r="K65" s="1157"/>
      <c r="L65" s="1157"/>
    </row>
    <row r="66" spans="2:12" s="2" customFormat="1">
      <c r="B66" s="278">
        <v>16</v>
      </c>
      <c r="C66" s="278" t="s">
        <v>151</v>
      </c>
      <c r="D66" s="276" t="s">
        <v>129</v>
      </c>
      <c r="E66" s="297">
        <v>40</v>
      </c>
      <c r="F66" s="278" t="s">
        <v>1050</v>
      </c>
      <c r="G66" s="1180" t="s">
        <v>1212</v>
      </c>
      <c r="H66" s="1181"/>
      <c r="I66" s="1181"/>
      <c r="J66" s="1181"/>
      <c r="K66" s="1181"/>
      <c r="L66" s="1182"/>
    </row>
    <row r="67" spans="2:12" s="2" customFormat="1" ht="15" customHeight="1">
      <c r="B67" s="278">
        <v>16</v>
      </c>
      <c r="C67" s="278" t="s">
        <v>151</v>
      </c>
      <c r="D67" s="276" t="s">
        <v>132</v>
      </c>
      <c r="E67" s="297">
        <v>236</v>
      </c>
      <c r="F67" s="278" t="s">
        <v>1050</v>
      </c>
      <c r="G67" s="1183"/>
      <c r="H67" s="1184"/>
      <c r="I67" s="1184"/>
      <c r="J67" s="1184"/>
      <c r="K67" s="1184"/>
      <c r="L67" s="1185"/>
    </row>
    <row r="68" spans="2:12" s="2" customFormat="1">
      <c r="B68" s="278">
        <v>16</v>
      </c>
      <c r="C68" s="278" t="s">
        <v>462</v>
      </c>
      <c r="D68" s="276" t="s">
        <v>129</v>
      </c>
      <c r="E68" s="300">
        <v>1341</v>
      </c>
      <c r="F68" s="278" t="s">
        <v>1050</v>
      </c>
      <c r="G68" s="1180" t="s">
        <v>1213</v>
      </c>
      <c r="H68" s="1181"/>
      <c r="I68" s="1181"/>
      <c r="J68" s="1181"/>
      <c r="K68" s="1181"/>
      <c r="L68" s="1182"/>
    </row>
    <row r="69" spans="2:12" s="2" customFormat="1">
      <c r="B69" s="278">
        <v>16</v>
      </c>
      <c r="C69" s="278" t="s">
        <v>462</v>
      </c>
      <c r="D69" s="276" t="s">
        <v>132</v>
      </c>
      <c r="E69" s="300">
        <v>20254</v>
      </c>
      <c r="F69" s="278" t="s">
        <v>1050</v>
      </c>
      <c r="G69" s="1183"/>
      <c r="H69" s="1184"/>
      <c r="I69" s="1184"/>
      <c r="J69" s="1184"/>
      <c r="K69" s="1184"/>
      <c r="L69" s="1185"/>
    </row>
    <row r="70" spans="2:12" s="2" customFormat="1"/>
    <row r="71" spans="2:12" s="2" customFormat="1"/>
    <row r="72" spans="2:12" s="2" customFormat="1"/>
    <row r="73" spans="2:12" s="2" customFormat="1"/>
    <row r="74" spans="2:12" s="2" customFormat="1"/>
    <row r="75" spans="2:12" s="2" customFormat="1"/>
    <row r="76" spans="2:12" s="2" customFormat="1"/>
    <row r="77" spans="2:12" s="2" customFormat="1"/>
    <row r="78" spans="2:12" s="2" customFormat="1"/>
    <row r="79" spans="2:12" s="2" customFormat="1"/>
    <row r="80" spans="2:12" s="2" customFormat="1"/>
    <row r="81" spans="1:10" s="2" customFormat="1">
      <c r="A81" s="725"/>
      <c r="B81" s="726" t="s">
        <v>936</v>
      </c>
      <c r="C81" s="725"/>
      <c r="D81" s="725"/>
      <c r="E81" s="725"/>
      <c r="F81" s="725"/>
      <c r="G81" s="725"/>
      <c r="H81" s="725"/>
    </row>
    <row r="82" spans="1:10" s="2" customFormat="1">
      <c r="B82" s="298" t="s">
        <v>902</v>
      </c>
      <c r="C82" s="298" t="s">
        <v>898</v>
      </c>
      <c r="D82" s="298" t="s">
        <v>1214</v>
      </c>
      <c r="E82" s="298" t="s">
        <v>930</v>
      </c>
    </row>
    <row r="83" spans="1:10" s="2" customFormat="1">
      <c r="B83" s="276" t="s">
        <v>129</v>
      </c>
      <c r="C83" s="278" t="s">
        <v>151</v>
      </c>
      <c r="D83" s="384">
        <f>E66</f>
        <v>40</v>
      </c>
      <c r="E83" s="383" t="s">
        <v>1215</v>
      </c>
    </row>
    <row r="84" spans="1:10" s="2" customFormat="1">
      <c r="B84" s="276" t="s">
        <v>132</v>
      </c>
      <c r="C84" s="278" t="s">
        <v>151</v>
      </c>
      <c r="D84" s="384">
        <f>E67</f>
        <v>236</v>
      </c>
      <c r="E84" s="383" t="s">
        <v>1215</v>
      </c>
    </row>
    <row r="85" spans="1:10" s="2" customFormat="1">
      <c r="B85" s="428" t="s">
        <v>131</v>
      </c>
      <c r="C85" s="429" t="s">
        <v>151</v>
      </c>
      <c r="D85" s="430">
        <f>AVERAGE(D83:D84)</f>
        <v>138</v>
      </c>
      <c r="E85" s="431" t="s">
        <v>1216</v>
      </c>
    </row>
    <row r="86" spans="1:10" s="2" customFormat="1">
      <c r="B86" s="428" t="s">
        <v>129</v>
      </c>
      <c r="C86" s="429" t="s">
        <v>462</v>
      </c>
      <c r="D86" s="430">
        <f>E68</f>
        <v>1341</v>
      </c>
      <c r="E86" s="432" t="s">
        <v>1215</v>
      </c>
    </row>
    <row r="87" spans="1:10" s="2" customFormat="1">
      <c r="B87" s="428" t="s">
        <v>132</v>
      </c>
      <c r="C87" s="429" t="s">
        <v>462</v>
      </c>
      <c r="D87" s="430">
        <f>E69</f>
        <v>20254</v>
      </c>
      <c r="E87" s="432" t="s">
        <v>1215</v>
      </c>
    </row>
    <row r="88" spans="1:10" s="2" customFormat="1">
      <c r="B88" s="428" t="s">
        <v>131</v>
      </c>
      <c r="C88" s="429" t="s">
        <v>462</v>
      </c>
      <c r="D88" s="430">
        <f>AVERAGE(D86:D87)</f>
        <v>10797.5</v>
      </c>
      <c r="E88" s="431" t="s">
        <v>1216</v>
      </c>
    </row>
    <row r="89" spans="1:10" s="2" customFormat="1"/>
    <row r="90" spans="1:10" s="2" customFormat="1">
      <c r="A90" s="727"/>
      <c r="B90" s="728" t="s">
        <v>901</v>
      </c>
      <c r="C90" s="727"/>
      <c r="D90" s="727"/>
      <c r="E90" s="727"/>
      <c r="F90" s="727"/>
      <c r="G90" s="727"/>
      <c r="H90" s="727"/>
    </row>
    <row r="91" spans="1:10" s="2" customFormat="1" ht="29.1">
      <c r="B91" s="522" t="s">
        <v>902</v>
      </c>
      <c r="C91" s="522" t="s">
        <v>898</v>
      </c>
      <c r="D91" s="522" t="s">
        <v>899</v>
      </c>
      <c r="E91" s="719" t="s">
        <v>903</v>
      </c>
      <c r="F91" s="522" t="s">
        <v>904</v>
      </c>
      <c r="G91" s="522" t="s">
        <v>905</v>
      </c>
      <c r="H91" s="522" t="s">
        <v>924</v>
      </c>
      <c r="I91" s="522" t="s">
        <v>956</v>
      </c>
      <c r="J91" s="522" t="s">
        <v>927</v>
      </c>
    </row>
    <row r="92" spans="1:10" s="2" customFormat="1">
      <c r="B92" s="278" t="s">
        <v>129</v>
      </c>
      <c r="C92" s="278" t="s">
        <v>151</v>
      </c>
      <c r="D92" s="276" t="s">
        <v>909</v>
      </c>
      <c r="E92" s="299" t="s">
        <v>957</v>
      </c>
      <c r="F92" s="278" t="str" cm="1">
        <f t="array" ref="F92">_xlfn.XLOOKUP(1,($D$101:$D$106=B92)*($E$101:$E$106=C92),$B$101:$B$106,"Not found",0,1)</f>
        <v>9-1</v>
      </c>
      <c r="G92" s="311">
        <f t="shared" ref="G92:G97" si="0">VLOOKUP(F92,$B$101:$L$106,11,FALSE)</f>
        <v>42.848710842973404</v>
      </c>
      <c r="H92" s="1120">
        <f>$D$61</f>
        <v>2.5714285714285698</v>
      </c>
      <c r="I92" s="1178" t="s">
        <v>1059</v>
      </c>
      <c r="J92" s="1149" t="s">
        <v>1217</v>
      </c>
    </row>
    <row r="93" spans="1:10" s="2" customFormat="1">
      <c r="B93" s="278" t="s">
        <v>132</v>
      </c>
      <c r="C93" s="278" t="s">
        <v>151</v>
      </c>
      <c r="D93" s="276" t="s">
        <v>909</v>
      </c>
      <c r="E93" s="299" t="s">
        <v>957</v>
      </c>
      <c r="F93" s="278" t="str" cm="1">
        <f t="array" ref="F93">_xlfn.XLOOKUP(1,($D$101:$D$106=B93)*($E$101:$E$106=C93),$B$101:$B$106,"Not found",0,1)</f>
        <v>9-3</v>
      </c>
      <c r="G93" s="311">
        <f t="shared" si="0"/>
        <v>252.8073939735431</v>
      </c>
      <c r="H93" s="1121"/>
      <c r="I93" s="1178"/>
      <c r="J93" s="1149"/>
    </row>
    <row r="94" spans="1:10" s="2" customFormat="1">
      <c r="B94" s="278" t="s">
        <v>131</v>
      </c>
      <c r="C94" s="278" t="s">
        <v>151</v>
      </c>
      <c r="D94" s="276" t="s">
        <v>909</v>
      </c>
      <c r="E94" s="299" t="s">
        <v>957</v>
      </c>
      <c r="F94" s="278" t="str" cm="1">
        <f t="array" ref="F94">_xlfn.XLOOKUP(1,($D$101:$D$106=B94)*($E$101:$E$106=C94),$B$101:$B$106,"Not found",0,1)</f>
        <v>9-2</v>
      </c>
      <c r="G94" s="311">
        <f t="shared" si="0"/>
        <v>147.82805240825826</v>
      </c>
      <c r="H94" s="1121"/>
      <c r="I94" s="1178"/>
      <c r="J94" s="1149"/>
    </row>
    <row r="95" spans="1:10" s="2" customFormat="1">
      <c r="B95" s="278" t="s">
        <v>129</v>
      </c>
      <c r="C95" s="278" t="s">
        <v>462</v>
      </c>
      <c r="D95" s="276" t="s">
        <v>910</v>
      </c>
      <c r="E95" s="299" t="s">
        <v>957</v>
      </c>
      <c r="F95" s="278" t="str" cm="1">
        <f t="array" ref="F95">_xlfn.XLOOKUP(1,($D$101:$D$106=B95)*($E$101:$E$106=C95),$B$101:$B$106,"Not found",0,1)</f>
        <v>9-4</v>
      </c>
      <c r="G95" s="311">
        <f t="shared" si="0"/>
        <v>1436.5030310106833</v>
      </c>
      <c r="H95" s="1121"/>
      <c r="I95" s="1178"/>
      <c r="J95" s="1149"/>
    </row>
    <row r="96" spans="1:10" s="2" customFormat="1">
      <c r="B96" s="278" t="s">
        <v>132</v>
      </c>
      <c r="C96" s="278" t="s">
        <v>462</v>
      </c>
      <c r="D96" s="276" t="s">
        <v>910</v>
      </c>
      <c r="E96" s="299" t="s">
        <v>957</v>
      </c>
      <c r="F96" s="278" t="str" cm="1">
        <f t="array" ref="F96">_xlfn.XLOOKUP(1,($D$101:$D$106=B96)*($E$101:$E$106=C96),$B$101:$B$106,"Not found",0,1)</f>
        <v>9-6</v>
      </c>
      <c r="G96" s="311">
        <f t="shared" si="0"/>
        <v>21696.444735339584</v>
      </c>
      <c r="H96" s="1121"/>
      <c r="I96" s="1178"/>
      <c r="J96" s="1149"/>
    </row>
    <row r="97" spans="1:23" s="2" customFormat="1">
      <c r="B97" s="278" t="s">
        <v>131</v>
      </c>
      <c r="C97" s="278" t="s">
        <v>462</v>
      </c>
      <c r="D97" s="276" t="s">
        <v>910</v>
      </c>
      <c r="E97" s="299" t="s">
        <v>957</v>
      </c>
      <c r="F97" s="278" t="str" cm="1">
        <f t="array" ref="F97">_xlfn.XLOOKUP(1,($D$101:$D$106=B97)*($E$101:$E$106=C97),$B$101:$B$106,"Not found",0,1)</f>
        <v>9-5</v>
      </c>
      <c r="G97" s="311">
        <f t="shared" si="0"/>
        <v>11566.473883175133</v>
      </c>
      <c r="H97" s="1122"/>
      <c r="I97" s="1178"/>
      <c r="J97" s="1149"/>
    </row>
    <row r="98" spans="1:23" s="2" customFormat="1">
      <c r="B98" s="18"/>
    </row>
    <row r="99" spans="1:23" s="2" customFormat="1">
      <c r="A99" s="725"/>
      <c r="B99" s="726" t="s">
        <v>962</v>
      </c>
      <c r="C99" s="725"/>
      <c r="D99" s="725"/>
      <c r="E99" s="725"/>
      <c r="F99" s="725"/>
      <c r="G99" s="725"/>
      <c r="H99" s="725"/>
    </row>
    <row r="100" spans="1:23" s="2" customFormat="1">
      <c r="B100" s="277" t="s">
        <v>904</v>
      </c>
      <c r="C100" s="277" t="s">
        <v>62</v>
      </c>
      <c r="D100" s="277" t="s">
        <v>902</v>
      </c>
      <c r="E100" s="277" t="s">
        <v>898</v>
      </c>
      <c r="F100" s="277" t="s">
        <v>916</v>
      </c>
      <c r="G100" s="277" t="s">
        <v>963</v>
      </c>
      <c r="H100" s="277" t="s">
        <v>964</v>
      </c>
      <c r="I100" s="277" t="s">
        <v>965</v>
      </c>
      <c r="J100" s="277" t="s">
        <v>966</v>
      </c>
      <c r="K100" s="277" t="s">
        <v>967</v>
      </c>
      <c r="L100" s="277" t="s">
        <v>968</v>
      </c>
      <c r="M100" s="277" t="s">
        <v>956</v>
      </c>
      <c r="N100" s="277" t="s">
        <v>969</v>
      </c>
      <c r="O100" s="277" t="s">
        <v>970</v>
      </c>
      <c r="P100" s="277" t="s">
        <v>927</v>
      </c>
      <c r="Q100" s="277" t="s">
        <v>913</v>
      </c>
      <c r="R100" s="277" t="s">
        <v>914</v>
      </c>
      <c r="S100" s="277" t="s">
        <v>915</v>
      </c>
      <c r="T100" s="277" t="s">
        <v>916</v>
      </c>
      <c r="U100" s="277" t="s">
        <v>917</v>
      </c>
      <c r="V100" s="277" t="s">
        <v>918</v>
      </c>
      <c r="W100" s="277" t="s">
        <v>919</v>
      </c>
    </row>
    <row r="101" spans="1:23" s="2" customFormat="1">
      <c r="B101" s="302" t="s">
        <v>1218</v>
      </c>
      <c r="C101" s="279" t="s">
        <v>1219</v>
      </c>
      <c r="D101" s="276" t="s">
        <v>129</v>
      </c>
      <c r="E101" s="278" t="s">
        <v>151</v>
      </c>
      <c r="F101" s="299">
        <f t="shared" ref="F101:F106" si="1">$E$51</f>
        <v>2023</v>
      </c>
      <c r="G101" s="278">
        <v>2022</v>
      </c>
      <c r="H101" s="278">
        <f>'COMPANY INPUT'!$C$16</f>
        <v>2023</v>
      </c>
      <c r="I101" s="278">
        <f>VLOOKUP(G101,'GDP Deflators'!$H$13:$I$86,2,FALSE)</f>
        <v>93.351699999999994</v>
      </c>
      <c r="J101" s="278">
        <f>VLOOKUP(H101,'GDP Deflators'!$H$13:$I$86,2,FALSE)</f>
        <v>100</v>
      </c>
      <c r="K101" s="297">
        <f>D83</f>
        <v>40</v>
      </c>
      <c r="L101" s="746">
        <f t="shared" ref="L101:L106" si="2">K101*(J101/I101)</f>
        <v>42.848710842973404</v>
      </c>
      <c r="M101" s="278" t="str">
        <f t="shared" ref="M101:M106" si="3">$I$92</f>
        <v>Willingness to Accept</v>
      </c>
      <c r="N101" s="326">
        <f t="shared" ref="N101:N106" si="4">$H$92</f>
        <v>2.5714285714285698</v>
      </c>
      <c r="O101" s="278" t="s">
        <v>718</v>
      </c>
      <c r="P101" s="278" t="str">
        <f t="shared" ref="P101:P106" si="5">$J$92</f>
        <v>Ofwat collaborative research brings together WTA across all companies</v>
      </c>
      <c r="Q101" s="299">
        <f t="shared" ref="Q101:Q106" si="6">$B$51</f>
        <v>16</v>
      </c>
      <c r="R101" s="278" t="str">
        <f t="shared" ref="R101:R106" si="7">$C$51</f>
        <v>Ofwat (2023) PR24: Using collaborative customer research to set outcome delivery incentive rates</v>
      </c>
      <c r="S101" s="278" t="str">
        <f t="shared" ref="S101:S106" si="8">$D$51</f>
        <v>No</v>
      </c>
      <c r="T101" s="278">
        <f t="shared" ref="T101:T106" si="9">$E$51</f>
        <v>2023</v>
      </c>
      <c r="U101" s="278" t="str">
        <f t="shared" ref="U101:U106" si="10">$F$51</f>
        <v>England and Wales</v>
      </c>
      <c r="V101" s="278" t="str">
        <f t="shared" ref="V101:V106" si="11">$G$51</f>
        <v>England and Wales</v>
      </c>
      <c r="W101" s="278" t="str">
        <f t="shared" ref="W101:W106" si="12">$H$51</f>
        <v>12,567 household interviews, 3,728 non-household interviews</v>
      </c>
    </row>
    <row r="102" spans="1:23" s="2" customFormat="1">
      <c r="B102" s="302" t="s">
        <v>1220</v>
      </c>
      <c r="C102" s="279" t="s">
        <v>1219</v>
      </c>
      <c r="D102" s="276" t="s">
        <v>131</v>
      </c>
      <c r="E102" s="278" t="s">
        <v>151</v>
      </c>
      <c r="F102" s="299">
        <f t="shared" si="1"/>
        <v>2023</v>
      </c>
      <c r="G102" s="278">
        <v>2022</v>
      </c>
      <c r="H102" s="278">
        <f>'COMPANY INPUT'!$C$16</f>
        <v>2023</v>
      </c>
      <c r="I102" s="278">
        <f>VLOOKUP(G102,'GDP Deflators'!$H$13:$I$86,2,FALSE)</f>
        <v>93.351699999999994</v>
      </c>
      <c r="J102" s="278">
        <f>VLOOKUP(H102,'GDP Deflators'!$H$13:$I$86,2,FALSE)</f>
        <v>100</v>
      </c>
      <c r="K102" s="297">
        <f>D85</f>
        <v>138</v>
      </c>
      <c r="L102" s="746">
        <f t="shared" si="2"/>
        <v>147.82805240825826</v>
      </c>
      <c r="M102" s="278" t="str">
        <f t="shared" si="3"/>
        <v>Willingness to Accept</v>
      </c>
      <c r="N102" s="326">
        <f t="shared" si="4"/>
        <v>2.5714285714285698</v>
      </c>
      <c r="O102" s="278" t="s">
        <v>718</v>
      </c>
      <c r="P102" s="278" t="str">
        <f t="shared" si="5"/>
        <v>Ofwat collaborative research brings together WTA across all companies</v>
      </c>
      <c r="Q102" s="299">
        <f t="shared" si="6"/>
        <v>16</v>
      </c>
      <c r="R102" s="278" t="str">
        <f t="shared" si="7"/>
        <v>Ofwat (2023) PR24: Using collaborative customer research to set outcome delivery incentive rates</v>
      </c>
      <c r="S102" s="278" t="str">
        <f t="shared" si="8"/>
        <v>No</v>
      </c>
      <c r="T102" s="278">
        <f t="shared" si="9"/>
        <v>2023</v>
      </c>
      <c r="U102" s="278" t="str">
        <f t="shared" si="10"/>
        <v>England and Wales</v>
      </c>
      <c r="V102" s="278" t="str">
        <f t="shared" si="11"/>
        <v>England and Wales</v>
      </c>
      <c r="W102" s="278" t="str">
        <f t="shared" si="12"/>
        <v>12,567 household interviews, 3,728 non-household interviews</v>
      </c>
    </row>
    <row r="103" spans="1:23" s="2" customFormat="1">
      <c r="B103" s="302" t="s">
        <v>1221</v>
      </c>
      <c r="C103" s="279" t="s">
        <v>1219</v>
      </c>
      <c r="D103" s="276" t="s">
        <v>132</v>
      </c>
      <c r="E103" s="278" t="s">
        <v>151</v>
      </c>
      <c r="F103" s="299">
        <f t="shared" si="1"/>
        <v>2023</v>
      </c>
      <c r="G103" s="278">
        <v>2022</v>
      </c>
      <c r="H103" s="278">
        <f>'COMPANY INPUT'!$C$16</f>
        <v>2023</v>
      </c>
      <c r="I103" s="278">
        <f>VLOOKUP(G103,'GDP Deflators'!$H$13:$I$86,2,FALSE)</f>
        <v>93.351699999999994</v>
      </c>
      <c r="J103" s="278">
        <f>VLOOKUP(H103,'GDP Deflators'!$H$13:$I$86,2,FALSE)</f>
        <v>100</v>
      </c>
      <c r="K103" s="297">
        <f>D84</f>
        <v>236</v>
      </c>
      <c r="L103" s="746">
        <f t="shared" si="2"/>
        <v>252.8073939735431</v>
      </c>
      <c r="M103" s="278" t="str">
        <f t="shared" si="3"/>
        <v>Willingness to Accept</v>
      </c>
      <c r="N103" s="326">
        <f t="shared" si="4"/>
        <v>2.5714285714285698</v>
      </c>
      <c r="O103" s="278" t="s">
        <v>718</v>
      </c>
      <c r="P103" s="278" t="str">
        <f t="shared" si="5"/>
        <v>Ofwat collaborative research brings together WTA across all companies</v>
      </c>
      <c r="Q103" s="299">
        <f t="shared" si="6"/>
        <v>16</v>
      </c>
      <c r="R103" s="278" t="str">
        <f t="shared" si="7"/>
        <v>Ofwat (2023) PR24: Using collaborative customer research to set outcome delivery incentive rates</v>
      </c>
      <c r="S103" s="278" t="str">
        <f t="shared" si="8"/>
        <v>No</v>
      </c>
      <c r="T103" s="278">
        <f t="shared" si="9"/>
        <v>2023</v>
      </c>
      <c r="U103" s="278" t="str">
        <f t="shared" si="10"/>
        <v>England and Wales</v>
      </c>
      <c r="V103" s="278" t="str">
        <f t="shared" si="11"/>
        <v>England and Wales</v>
      </c>
      <c r="W103" s="278" t="str">
        <f t="shared" si="12"/>
        <v>12,567 household interviews, 3,728 non-household interviews</v>
      </c>
    </row>
    <row r="104" spans="1:23" s="2" customFormat="1">
      <c r="B104" s="302" t="s">
        <v>1222</v>
      </c>
      <c r="C104" s="279" t="s">
        <v>1219</v>
      </c>
      <c r="D104" s="276" t="s">
        <v>129</v>
      </c>
      <c r="E104" s="278" t="s">
        <v>462</v>
      </c>
      <c r="F104" s="299">
        <f t="shared" si="1"/>
        <v>2023</v>
      </c>
      <c r="G104" s="278">
        <v>2022</v>
      </c>
      <c r="H104" s="278">
        <f>'COMPANY INPUT'!$C$16</f>
        <v>2023</v>
      </c>
      <c r="I104" s="278">
        <f>VLOOKUP(G104,'GDP Deflators'!$H$13:$I$86,2,FALSE)</f>
        <v>93.351699999999994</v>
      </c>
      <c r="J104" s="278">
        <f>VLOOKUP(H104,'GDP Deflators'!$H$13:$I$86,2,FALSE)</f>
        <v>100</v>
      </c>
      <c r="K104" s="297">
        <f>D86</f>
        <v>1341</v>
      </c>
      <c r="L104" s="746">
        <f t="shared" si="2"/>
        <v>1436.5030310106833</v>
      </c>
      <c r="M104" s="278" t="str">
        <f t="shared" si="3"/>
        <v>Willingness to Accept</v>
      </c>
      <c r="N104" s="326">
        <f t="shared" si="4"/>
        <v>2.5714285714285698</v>
      </c>
      <c r="O104" s="278" t="s">
        <v>718</v>
      </c>
      <c r="P104" s="278" t="str">
        <f t="shared" si="5"/>
        <v>Ofwat collaborative research brings together WTA across all companies</v>
      </c>
      <c r="Q104" s="299">
        <f t="shared" si="6"/>
        <v>16</v>
      </c>
      <c r="R104" s="278" t="str">
        <f t="shared" si="7"/>
        <v>Ofwat (2023) PR24: Using collaborative customer research to set outcome delivery incentive rates</v>
      </c>
      <c r="S104" s="278" t="str">
        <f t="shared" si="8"/>
        <v>No</v>
      </c>
      <c r="T104" s="278">
        <f t="shared" si="9"/>
        <v>2023</v>
      </c>
      <c r="U104" s="278" t="str">
        <f t="shared" si="10"/>
        <v>England and Wales</v>
      </c>
      <c r="V104" s="278" t="str">
        <f t="shared" si="11"/>
        <v>England and Wales</v>
      </c>
      <c r="W104" s="278" t="str">
        <f t="shared" si="12"/>
        <v>12,567 household interviews, 3,728 non-household interviews</v>
      </c>
    </row>
    <row r="105" spans="1:23" s="2" customFormat="1">
      <c r="B105" s="302" t="s">
        <v>1223</v>
      </c>
      <c r="C105" s="279" t="s">
        <v>1219</v>
      </c>
      <c r="D105" s="276" t="s">
        <v>131</v>
      </c>
      <c r="E105" s="278" t="s">
        <v>462</v>
      </c>
      <c r="F105" s="299">
        <f t="shared" si="1"/>
        <v>2023</v>
      </c>
      <c r="G105" s="278">
        <v>2022</v>
      </c>
      <c r="H105" s="278">
        <f>'COMPANY INPUT'!$C$16</f>
        <v>2023</v>
      </c>
      <c r="I105" s="278">
        <f>VLOOKUP(G105,'GDP Deflators'!$H$13:$I$86,2,FALSE)</f>
        <v>93.351699999999994</v>
      </c>
      <c r="J105" s="278">
        <f>VLOOKUP(H105,'GDP Deflators'!$H$13:$I$86,2,FALSE)</f>
        <v>100</v>
      </c>
      <c r="K105" s="297">
        <f>D88</f>
        <v>10797.5</v>
      </c>
      <c r="L105" s="746">
        <f t="shared" si="2"/>
        <v>11566.473883175133</v>
      </c>
      <c r="M105" s="278" t="str">
        <f t="shared" si="3"/>
        <v>Willingness to Accept</v>
      </c>
      <c r="N105" s="326">
        <f t="shared" si="4"/>
        <v>2.5714285714285698</v>
      </c>
      <c r="O105" s="278" t="s">
        <v>718</v>
      </c>
      <c r="P105" s="278" t="str">
        <f t="shared" si="5"/>
        <v>Ofwat collaborative research brings together WTA across all companies</v>
      </c>
      <c r="Q105" s="299">
        <f t="shared" si="6"/>
        <v>16</v>
      </c>
      <c r="R105" s="278" t="str">
        <f t="shared" si="7"/>
        <v>Ofwat (2023) PR24: Using collaborative customer research to set outcome delivery incentive rates</v>
      </c>
      <c r="S105" s="278" t="str">
        <f t="shared" si="8"/>
        <v>No</v>
      </c>
      <c r="T105" s="278">
        <f t="shared" si="9"/>
        <v>2023</v>
      </c>
      <c r="U105" s="278" t="str">
        <f t="shared" si="10"/>
        <v>England and Wales</v>
      </c>
      <c r="V105" s="278" t="str">
        <f t="shared" si="11"/>
        <v>England and Wales</v>
      </c>
      <c r="W105" s="278" t="str">
        <f t="shared" si="12"/>
        <v>12,567 household interviews, 3,728 non-household interviews</v>
      </c>
    </row>
    <row r="106" spans="1:23">
      <c r="B106" s="302" t="s">
        <v>1224</v>
      </c>
      <c r="C106" s="279" t="s">
        <v>1219</v>
      </c>
      <c r="D106" s="276" t="s">
        <v>132</v>
      </c>
      <c r="E106" s="278" t="s">
        <v>462</v>
      </c>
      <c r="F106" s="299">
        <f t="shared" si="1"/>
        <v>2023</v>
      </c>
      <c r="G106" s="278">
        <v>2022</v>
      </c>
      <c r="H106" s="278">
        <f>'COMPANY INPUT'!$C$16</f>
        <v>2023</v>
      </c>
      <c r="I106" s="278">
        <f>VLOOKUP(G106,'GDP Deflators'!$H$13:$I$86,2,FALSE)</f>
        <v>93.351699999999994</v>
      </c>
      <c r="J106" s="278">
        <f>VLOOKUP(H106,'GDP Deflators'!$H$13:$I$86,2,FALSE)</f>
        <v>100</v>
      </c>
      <c r="K106" s="297">
        <f>D87</f>
        <v>20254</v>
      </c>
      <c r="L106" s="746">
        <f t="shared" si="2"/>
        <v>21696.444735339584</v>
      </c>
      <c r="M106" s="278" t="str">
        <f t="shared" si="3"/>
        <v>Willingness to Accept</v>
      </c>
      <c r="N106" s="326">
        <f t="shared" si="4"/>
        <v>2.5714285714285698</v>
      </c>
      <c r="O106" s="278" t="s">
        <v>718</v>
      </c>
      <c r="P106" s="278" t="str">
        <f t="shared" si="5"/>
        <v>Ofwat collaborative research brings together WTA across all companies</v>
      </c>
      <c r="Q106" s="299">
        <f t="shared" si="6"/>
        <v>16</v>
      </c>
      <c r="R106" s="278" t="str">
        <f t="shared" si="7"/>
        <v>Ofwat (2023) PR24: Using collaborative customer research to set outcome delivery incentive rates</v>
      </c>
      <c r="S106" s="278" t="str">
        <f t="shared" si="8"/>
        <v>No</v>
      </c>
      <c r="T106" s="278">
        <f t="shared" si="9"/>
        <v>2023</v>
      </c>
      <c r="U106" s="278" t="str">
        <f t="shared" si="10"/>
        <v>England and Wales</v>
      </c>
      <c r="V106" s="278" t="str">
        <f t="shared" si="11"/>
        <v>England and Wales</v>
      </c>
      <c r="W106" s="278" t="str">
        <f t="shared" si="12"/>
        <v>12,567 household interviews, 3,728 non-household interviews</v>
      </c>
    </row>
    <row r="108" spans="1:23">
      <c r="A108" s="739"/>
      <c r="B108" s="740" t="s">
        <v>465</v>
      </c>
      <c r="C108" s="739"/>
      <c r="D108" s="739"/>
      <c r="E108" s="739"/>
      <c r="F108" s="739"/>
      <c r="G108" s="739"/>
      <c r="H108" s="739"/>
    </row>
    <row r="109" spans="1:23">
      <c r="A109" s="741"/>
      <c r="B109" s="742" t="s">
        <v>897</v>
      </c>
      <c r="C109" s="741"/>
      <c r="D109" s="741"/>
      <c r="E109" s="741"/>
      <c r="F109" s="741"/>
      <c r="G109" s="741"/>
      <c r="H109" s="741"/>
    </row>
    <row r="110" spans="1:23">
      <c r="B110" s="398" t="s">
        <v>898</v>
      </c>
      <c r="C110" s="398" t="s">
        <v>899</v>
      </c>
    </row>
    <row r="111" spans="1:23">
      <c r="B111" s="276" t="s">
        <v>465</v>
      </c>
      <c r="C111" s="276" t="s">
        <v>1225</v>
      </c>
    </row>
    <row r="112" spans="1:23">
      <c r="B112" s="29"/>
    </row>
    <row r="113" spans="1:10">
      <c r="A113" s="741"/>
      <c r="B113" s="743" t="s">
        <v>901</v>
      </c>
      <c r="C113" s="741"/>
      <c r="D113" s="741"/>
      <c r="E113" s="741"/>
      <c r="F113" s="741"/>
      <c r="G113" s="741"/>
      <c r="H113" s="741"/>
    </row>
    <row r="114" spans="1:10" ht="29.1">
      <c r="B114" s="522" t="s">
        <v>902</v>
      </c>
      <c r="C114" s="522" t="s">
        <v>898</v>
      </c>
      <c r="D114" s="522" t="s">
        <v>899</v>
      </c>
      <c r="E114" s="719" t="s">
        <v>903</v>
      </c>
      <c r="F114" s="756" t="s">
        <v>904</v>
      </c>
      <c r="G114" s="756" t="s">
        <v>905</v>
      </c>
      <c r="H114" s="522" t="s">
        <v>924</v>
      </c>
      <c r="I114" s="522" t="s">
        <v>956</v>
      </c>
      <c r="J114" s="522" t="s">
        <v>927</v>
      </c>
    </row>
    <row r="115" spans="1:10">
      <c r="B115" s="276" t="s">
        <v>129</v>
      </c>
      <c r="C115" s="276" t="s">
        <v>465</v>
      </c>
      <c r="D115" s="276" t="s">
        <v>1225</v>
      </c>
      <c r="E115" s="433" t="s">
        <v>906</v>
      </c>
      <c r="F115" s="276" t="s">
        <v>907</v>
      </c>
      <c r="G115" s="343" t="s">
        <v>473</v>
      </c>
      <c r="H115" s="630" t="s">
        <v>907</v>
      </c>
      <c r="I115" s="630" t="s">
        <v>907</v>
      </c>
      <c r="J115" s="630" t="s">
        <v>907</v>
      </c>
    </row>
    <row r="116" spans="1:10">
      <c r="B116" s="276" t="s">
        <v>131</v>
      </c>
      <c r="C116" s="276" t="s">
        <v>465</v>
      </c>
      <c r="D116" s="276" t="s">
        <v>1225</v>
      </c>
      <c r="E116" s="433" t="s">
        <v>906</v>
      </c>
      <c r="F116" s="276" t="s">
        <v>907</v>
      </c>
      <c r="G116" s="343" t="s">
        <v>473</v>
      </c>
      <c r="H116" s="630" t="s">
        <v>907</v>
      </c>
      <c r="I116" s="630" t="s">
        <v>907</v>
      </c>
      <c r="J116" s="630" t="s">
        <v>907</v>
      </c>
    </row>
    <row r="117" spans="1:10">
      <c r="B117" s="276" t="s">
        <v>132</v>
      </c>
      <c r="C117" s="276" t="s">
        <v>465</v>
      </c>
      <c r="D117" s="276" t="s">
        <v>1225</v>
      </c>
      <c r="E117" s="433" t="s">
        <v>906</v>
      </c>
      <c r="F117" s="276" t="s">
        <v>907</v>
      </c>
      <c r="G117" s="343" t="s">
        <v>473</v>
      </c>
      <c r="H117" s="630" t="s">
        <v>907</v>
      </c>
      <c r="I117" s="630" t="s">
        <v>907</v>
      </c>
      <c r="J117" s="630" t="s">
        <v>907</v>
      </c>
    </row>
  </sheetData>
  <sheetProtection algorithmName="SHA-512" hashValue="ycdNx1u0Var7QvJYE4srKv5OlBIGleM2z7pPUNF37AZ2WccJo+7Wk5cY6lIn3CBVsoTbu2WXOQrzXq98cP16Zw==" saltValue="x5q5wnMDKvKg07KYMtKBJw==" spinCount="100000" sheet="1" objects="1" scenarios="1"/>
  <dataConsolidate/>
  <mergeCells count="15">
    <mergeCell ref="J92:J97"/>
    <mergeCell ref="I92:I97"/>
    <mergeCell ref="H92:H97"/>
    <mergeCell ref="D9:I9"/>
    <mergeCell ref="B5:H5"/>
    <mergeCell ref="E54:H54"/>
    <mergeCell ref="E55:H55"/>
    <mergeCell ref="E56:H56"/>
    <mergeCell ref="E57:H57"/>
    <mergeCell ref="E58:H58"/>
    <mergeCell ref="E59:H59"/>
    <mergeCell ref="E60:H60"/>
    <mergeCell ref="G66:L67"/>
    <mergeCell ref="G68:L69"/>
    <mergeCell ref="G65:L65"/>
  </mergeCells>
  <conditionalFormatting sqref="D61:E61">
    <cfRule type="cellIs" dxfId="1073" priority="5" operator="lessThanOrEqual">
      <formula>2.14285714285714</formula>
    </cfRule>
    <cfRule type="cellIs" dxfId="1072" priority="6" operator="lessThanOrEqual">
      <formula>2.57142857142857</formula>
    </cfRule>
    <cfRule type="cellIs" dxfId="1071" priority="7" operator="lessThanOrEqual">
      <formula>3</formula>
    </cfRule>
  </conditionalFormatting>
  <conditionalFormatting sqref="D11:I15">
    <cfRule type="notContainsBlanks" dxfId="1070" priority="1">
      <formula>LEN(TRIM(D11))&gt;0</formula>
    </cfRule>
  </conditionalFormatting>
  <conditionalFormatting sqref="E61">
    <cfRule type="containsText" dxfId="1069" priority="2" operator="containsText" text="Green">
      <formula>NOT(ISERROR(SEARCH("Green",E61)))</formula>
    </cfRule>
    <cfRule type="containsText" dxfId="1068" priority="3" operator="containsText" text="Amber">
      <formula>NOT(ISERROR(SEARCH("Amber",E61)))</formula>
    </cfRule>
    <cfRule type="containsText" dxfId="1067" priority="4" operator="containsText" text="Red">
      <formula>NOT(ISERROR(SEARCH("Red",E61)))</formula>
    </cfRule>
  </conditionalFormatting>
  <conditionalFormatting sqref="H92">
    <cfRule type="cellIs" dxfId="1066" priority="8" operator="lessThanOrEqual">
      <formula>2.14285714285714</formula>
    </cfRule>
    <cfRule type="cellIs" dxfId="1065" priority="9" operator="lessThanOrEqual">
      <formula>2.57142857142857</formula>
    </cfRule>
    <cfRule type="cellIs" dxfId="1064" priority="10" operator="lessThanOrEqual">
      <formula>3</formula>
    </cfRule>
  </conditionalFormatting>
  <conditionalFormatting sqref="N101:N106">
    <cfRule type="cellIs" dxfId="1063" priority="11" operator="lessThanOrEqual">
      <formula>2.14285714285714</formula>
    </cfRule>
    <cfRule type="cellIs" dxfId="1062" priority="12" operator="lessThanOrEqual">
      <formula>2.57142857142857</formula>
    </cfRule>
    <cfRule type="cellIs" dxfId="1061" priority="13" operator="lessThanOrEqual">
      <formula>3</formula>
    </cfRule>
  </conditionalFormatting>
  <dataValidations disablePrompts="1" count="1">
    <dataValidation type="list" allowBlank="1" showInputMessage="1" showErrorMessage="1" sqref="C55:C60" xr:uid="{3836ED6A-B8BF-4C91-8129-B5DE8BDD66D8}">
      <formula1>"High, Medium, Low"</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10E3-FFBB-48B8-A85F-2A14DC473F15}">
  <sheetPr codeName="Sheet17">
    <tabColor theme="5" tint="0.59999389629810485"/>
  </sheetPr>
  <dimension ref="A1:W200"/>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5" width="16.125" style="2" customWidth="1"/>
    <col min="16" max="16" width="9" style="2"/>
    <col min="17" max="17" width="16.625" style="2" customWidth="1"/>
    <col min="18" max="18" width="18.5" style="2" customWidth="1"/>
    <col min="19" max="16384" width="9" style="2"/>
  </cols>
  <sheetData>
    <row r="1" spans="1:8" ht="15" thickBot="1"/>
    <row r="2" spans="1:8" s="710" customFormat="1" ht="18.95" thickBot="1">
      <c r="A2" s="707"/>
      <c r="B2" s="749" t="s">
        <v>375</v>
      </c>
      <c r="C2" s="711"/>
      <c r="D2" s="711"/>
    </row>
    <row r="4" spans="1:8" s="714" customFormat="1" ht="18.600000000000001">
      <c r="A4" s="715"/>
      <c r="B4" s="713" t="s">
        <v>893</v>
      </c>
      <c r="C4" s="715"/>
      <c r="D4" s="715"/>
      <c r="E4" s="715"/>
      <c r="F4" s="715"/>
      <c r="G4" s="715"/>
      <c r="H4" s="715"/>
    </row>
    <row r="5" spans="1:8" s="7" customFormat="1" ht="162" customHeight="1">
      <c r="A5" s="737"/>
      <c r="B5" s="1152" t="s">
        <v>1226</v>
      </c>
      <c r="C5" s="1152"/>
      <c r="D5" s="1152"/>
      <c r="E5" s="1152"/>
      <c r="F5" s="1152"/>
      <c r="G5" s="1152"/>
      <c r="H5" s="1152"/>
    </row>
    <row r="6" spans="1:8" s="7" customFormat="1"/>
    <row r="7" spans="1:8" s="718" customFormat="1" ht="18.600000000000001">
      <c r="A7" s="724"/>
      <c r="B7" s="724" t="s">
        <v>895</v>
      </c>
      <c r="C7" s="724"/>
      <c r="D7" s="724"/>
      <c r="E7" s="724"/>
      <c r="F7" s="724"/>
      <c r="G7" s="724"/>
      <c r="H7" s="724"/>
    </row>
    <row r="9" spans="1:8">
      <c r="D9" s="1134" t="s">
        <v>479</v>
      </c>
      <c r="E9" s="1134"/>
      <c r="F9" s="1134"/>
      <c r="G9" s="1134"/>
    </row>
    <row r="10" spans="1:8">
      <c r="B10" s="277" t="s">
        <v>104</v>
      </c>
      <c r="C10" s="356" t="s">
        <v>711</v>
      </c>
      <c r="D10" s="277" t="s">
        <v>1227</v>
      </c>
      <c r="E10" s="356" t="s">
        <v>453</v>
      </c>
      <c r="F10" s="356" t="s">
        <v>1228</v>
      </c>
      <c r="G10" s="356" t="s">
        <v>460</v>
      </c>
    </row>
    <row r="11" spans="1:8">
      <c r="B11" s="278" t="s">
        <v>508</v>
      </c>
      <c r="C11" s="392" t="s">
        <v>376</v>
      </c>
      <c r="D11" s="374" t="s">
        <v>475</v>
      </c>
      <c r="E11" s="374" cm="1">
        <f t="array" ref="E11">_xlfn.XLOOKUP(1,($B11=$B$109:$B$113)*(E$10=$C$109:$C$113),$G$109:$G$113,"Not found",0,1)</f>
        <v>-1119778.708636265</v>
      </c>
      <c r="F11" s="374" cm="1">
        <f t="array" aca="1" ref="F11" ca="1">_xlfn.XLOOKUP(1,($B11=$B$181:$B$183)*(F$10=$C$181:$C$183),$G$181:$G$183,"Not found",0,1)</f>
        <v>-102273.15822191785</v>
      </c>
      <c r="G11" s="374" t="s">
        <v>477</v>
      </c>
    </row>
    <row r="12" spans="1:8">
      <c r="B12" s="278" t="s">
        <v>509</v>
      </c>
      <c r="C12" s="392" t="s">
        <v>65</v>
      </c>
      <c r="D12" s="374" t="s">
        <v>475</v>
      </c>
      <c r="E12" s="374" cm="1">
        <f t="array" ref="E12">_xlfn.XLOOKUP(1,($B12=$B$109:$B$113)*(E$10=$C$109:$C$113),$G$109:$G$113,"Not found",0,1)</f>
        <v>-1146.2030150495386</v>
      </c>
      <c r="F12" s="374" cm="1">
        <f t="array" aca="1" ref="F12" ca="1">_xlfn.XLOOKUP(1,($B12=$B$181:$B$183)*(F$10=$C$181:$C$183),$G$181:$G$183,"Not found",0,1)</f>
        <v>-104.68657906111245</v>
      </c>
      <c r="G12" s="374" t="s">
        <v>477</v>
      </c>
    </row>
    <row r="13" spans="1:8">
      <c r="B13" s="214" t="s">
        <v>510</v>
      </c>
      <c r="C13" s="220" t="s">
        <v>65</v>
      </c>
      <c r="D13" s="374" t="s">
        <v>475</v>
      </c>
      <c r="E13" s="374" cm="1">
        <f t="array" ref="E13">_xlfn.XLOOKUP(1,($B13=$B$109:$B$113)*(E$10=$C$109:$C$113),$G$109:$G$113,"Not found",0,1)</f>
        <v>-1146.2030150495386</v>
      </c>
      <c r="F13" s="374" cm="1">
        <f t="array" aca="1" ref="F13" ca="1">_xlfn.XLOOKUP(1,($B13=$B$181:$B$183)*(F$10=$C$181:$C$183),$G$181:$G$183,"Not found",0,1)</f>
        <v>-104.68657906111245</v>
      </c>
      <c r="G13" s="374" t="s">
        <v>477</v>
      </c>
    </row>
    <row r="14" spans="1:8">
      <c r="B14" s="299" t="s">
        <v>511</v>
      </c>
      <c r="C14" s="392" t="s">
        <v>369</v>
      </c>
      <c r="D14" s="374"/>
      <c r="E14" s="374" cm="1">
        <f t="array" ref="E14">_xlfn.XLOOKUP(1,($B14=$B$109:$B$113)*(E$10=$C$109:$C$113),$G$109:$G$113,"Not found",0,1)</f>
        <v>-305596.84373153135</v>
      </c>
      <c r="F14" s="374"/>
      <c r="G14" s="374" t="s">
        <v>477</v>
      </c>
    </row>
    <row r="15" spans="1:8">
      <c r="B15" s="299" t="s">
        <v>513</v>
      </c>
      <c r="C15" s="392" t="s">
        <v>369</v>
      </c>
      <c r="D15" s="374"/>
      <c r="E15" s="374" cm="1">
        <f t="array" ref="E15">_xlfn.XLOOKUP(1,($B15=$B$109:$B$113)*(E$10=$C$109:$C$113),$G$109:$G$113,"Not found",0,1)</f>
        <v>-121228.49999267321</v>
      </c>
      <c r="F15" s="374"/>
      <c r="G15" s="374" t="s">
        <v>477</v>
      </c>
    </row>
    <row r="16" spans="1:8">
      <c r="B16" s="800" t="s">
        <v>896</v>
      </c>
    </row>
    <row r="17" spans="1:8">
      <c r="B17" s="800"/>
    </row>
    <row r="18" spans="1:8">
      <c r="A18" s="721"/>
      <c r="B18" s="722" t="s">
        <v>453</v>
      </c>
      <c r="C18" s="721"/>
      <c r="D18" s="721"/>
      <c r="E18" s="721"/>
      <c r="F18" s="721"/>
      <c r="G18" s="721"/>
      <c r="H18" s="721"/>
    </row>
    <row r="19" spans="1:8">
      <c r="A19" s="727"/>
      <c r="B19" s="729" t="s">
        <v>897</v>
      </c>
      <c r="C19" s="727"/>
      <c r="D19" s="727"/>
      <c r="E19" s="727"/>
      <c r="F19" s="727"/>
      <c r="G19" s="727"/>
      <c r="H19" s="727"/>
    </row>
    <row r="20" spans="1:8">
      <c r="B20" s="277" t="s">
        <v>898</v>
      </c>
      <c r="C20" s="277" t="s">
        <v>899</v>
      </c>
    </row>
    <row r="21" spans="1:8">
      <c r="B21" s="278" t="s">
        <v>453</v>
      </c>
      <c r="C21" s="278" t="s">
        <v>1229</v>
      </c>
    </row>
    <row r="22" spans="1:8">
      <c r="B22" s="16"/>
    </row>
    <row r="23" spans="1:8">
      <c r="A23" s="727"/>
      <c r="B23" s="728" t="s">
        <v>911</v>
      </c>
      <c r="C23" s="727"/>
      <c r="D23" s="727"/>
      <c r="E23" s="727"/>
      <c r="F23" s="727"/>
      <c r="G23" s="727"/>
      <c r="H23" s="727"/>
    </row>
    <row r="24" spans="1:8">
      <c r="A24" s="725"/>
      <c r="B24" s="726" t="s">
        <v>912</v>
      </c>
      <c r="C24" s="725"/>
      <c r="D24" s="725"/>
      <c r="E24" s="725"/>
      <c r="F24" s="725"/>
      <c r="G24" s="725"/>
      <c r="H24" s="725"/>
    </row>
    <row r="25" spans="1:8" ht="29.1">
      <c r="B25" s="719" t="s">
        <v>913</v>
      </c>
      <c r="C25" s="719" t="s">
        <v>914</v>
      </c>
      <c r="D25" s="719" t="s">
        <v>915</v>
      </c>
      <c r="E25" s="719" t="s">
        <v>916</v>
      </c>
      <c r="F25" s="719" t="s">
        <v>1230</v>
      </c>
      <c r="G25" s="719" t="s">
        <v>918</v>
      </c>
      <c r="H25" s="719" t="s">
        <v>919</v>
      </c>
    </row>
    <row r="26" spans="1:8">
      <c r="B26" s="278">
        <v>22</v>
      </c>
      <c r="C26" s="278" t="s">
        <v>1172</v>
      </c>
      <c r="D26" s="278" t="s">
        <v>352</v>
      </c>
      <c r="E26" s="278">
        <v>2018</v>
      </c>
      <c r="F26" s="278" t="s">
        <v>1047</v>
      </c>
      <c r="G26" s="278" t="s">
        <v>1047</v>
      </c>
      <c r="H26" s="279" t="s">
        <v>907</v>
      </c>
    </row>
    <row r="27" spans="1:8">
      <c r="B27" s="16"/>
    </row>
    <row r="28" spans="1:8">
      <c r="A28" s="725"/>
      <c r="B28" s="726" t="s">
        <v>924</v>
      </c>
      <c r="C28" s="725"/>
      <c r="D28" s="725"/>
      <c r="E28" s="725"/>
      <c r="F28" s="725"/>
      <c r="G28" s="725"/>
      <c r="H28" s="725"/>
    </row>
    <row r="29" spans="1:8">
      <c r="B29" s="277" t="s">
        <v>165</v>
      </c>
      <c r="C29" s="277" t="s">
        <v>925</v>
      </c>
      <c r="D29" s="277" t="s">
        <v>926</v>
      </c>
      <c r="E29" s="1134" t="s">
        <v>927</v>
      </c>
      <c r="F29" s="1134"/>
      <c r="G29" s="1134"/>
      <c r="H29" s="1134"/>
    </row>
    <row r="30" spans="1:8">
      <c r="B30" s="278" t="s">
        <v>169</v>
      </c>
      <c r="C30" s="278" t="s">
        <v>166</v>
      </c>
      <c r="D30" s="278">
        <f>VLOOKUP(C30,METHODOLOGY!$C$175:$D$177,2,FALSE)</f>
        <v>3</v>
      </c>
      <c r="E30" s="1087" t="str">
        <f>_xlfn.XLOOKUP(C30,METHODOLOGY!$E$150:$O$150,METHODOLOGY!$E$151:$O$151,"",0,1)</f>
        <v>Monetary values have been peer reviewed or are recommended / referenced in other, well recognised and accepted guidance / tools relevant to the water sector.</v>
      </c>
      <c r="F30" s="1087"/>
      <c r="G30" s="1087"/>
      <c r="H30" s="1087"/>
    </row>
    <row r="31" spans="1:8">
      <c r="B31" s="278" t="s">
        <v>173</v>
      </c>
      <c r="C31" s="278" t="s">
        <v>166</v>
      </c>
      <c r="D31" s="278">
        <f>VLOOKUP(C31,METHODOLOGY!$C$175:$D$177,2,FALSE)</f>
        <v>3</v>
      </c>
      <c r="E31" s="1087" t="str">
        <f>_xlfn.XLOOKUP(C31,METHODOLOGY!$E$150:$O$150,METHODOLOGY!$E$155:$O$155,"",0,1)</f>
        <v>Study has few limitations and is considered robust.</v>
      </c>
      <c r="F31" s="1087"/>
      <c r="G31" s="1087"/>
      <c r="H31" s="1087"/>
    </row>
    <row r="32" spans="1:8">
      <c r="B32" s="278" t="s">
        <v>177</v>
      </c>
      <c r="C32" s="278" t="s">
        <v>167</v>
      </c>
      <c r="D32" s="278">
        <f>VLOOKUP(C32,METHODOLOGY!$C$175:$D$177,2,FALSE)</f>
        <v>2</v>
      </c>
      <c r="E32" s="1087" t="str">
        <f>_xlfn.XLOOKUP(C32,METHODOLOGY!$E$150:$O$150,METHODOLOGY!$E$158:$O$158,"",0,1)</f>
        <v>6-10 years</v>
      </c>
      <c r="F32" s="1087"/>
      <c r="G32" s="1087"/>
      <c r="H32" s="1087"/>
    </row>
    <row r="33" spans="1:12">
      <c r="B33" s="278" t="s">
        <v>181</v>
      </c>
      <c r="C33" s="278" t="s">
        <v>166</v>
      </c>
      <c r="D33" s="278">
        <f>VLOOKUP(C33,METHODOLOGY!$C$175:$D$177,2,FALSE)</f>
        <v>3</v>
      </c>
      <c r="E33" s="1087" t="str">
        <f>_xlfn.XLOOKUP(C33,METHODOLOGY!$E$150:$O$150,METHODOLOGY!$E$160:$O$160,"",0,1)</f>
        <v>Geographically relevant to UK</v>
      </c>
      <c r="F33" s="1087"/>
      <c r="G33" s="1087"/>
      <c r="H33" s="1087"/>
    </row>
    <row r="34" spans="1:12">
      <c r="B34" s="278" t="s">
        <v>928</v>
      </c>
      <c r="C34" s="278" t="s">
        <v>166</v>
      </c>
      <c r="D34" s="278">
        <f>VLOOKUP(C34,METHODOLOGY!$C$175:$D$177,2,FALSE)</f>
        <v>3</v>
      </c>
      <c r="E34" s="1087" t="str">
        <f>_xlfn.XLOOKUP(C34,METHODOLOGY!$E$150:$O$150,METHODOLOGY!$E$162:$O$162,"",0,1)</f>
        <v>Clear understanding of the valuation method and how the value should be applied.</v>
      </c>
      <c r="F34" s="1087"/>
      <c r="G34" s="1087"/>
      <c r="H34" s="1087"/>
    </row>
    <row r="35" spans="1:12">
      <c r="B35" s="278" t="s">
        <v>189</v>
      </c>
      <c r="C35" s="278" t="s">
        <v>166</v>
      </c>
      <c r="D35" s="278">
        <f>VLOOKUP(C35,METHODOLOGY!$C$175:$D$177,2,FALSE)</f>
        <v>3</v>
      </c>
      <c r="E35" s="1087" t="str">
        <f>_xlfn.XLOOKUP(C35,METHODOLOGY!$E$150:$O$150,METHODOLOGY!$E$164:$O$164,"",0,1)</f>
        <v xml:space="preserve">The original valuation can be used with no or very simple modification e.g. change units from ha to km2, applying inflation. </v>
      </c>
      <c r="F35" s="1087"/>
      <c r="G35" s="1087"/>
      <c r="H35" s="1087"/>
    </row>
    <row r="36" spans="1:12">
      <c r="C36" s="282" t="s">
        <v>924</v>
      </c>
      <c r="D36" s="326">
        <f>IF(AND(D35=1,AVERAGE(D30:D35)&gt;2.14285714285714),2.14285714285714,IF(AND(D35=2,AVERAGE(D30:D35)&gt;2.57142857142857),2.57142857142857,AVERAGE(D30:D35)))</f>
        <v>2.8333333333333335</v>
      </c>
      <c r="E36" s="270" t="str">
        <f>IF(D36&lt;=2.14285714285714,"Red",IF(D36&lt;=2.57142857142857,"Amber",IF(D36&lt;=3,"Green")))</f>
        <v>Green</v>
      </c>
    </row>
    <row r="38" spans="1:12">
      <c r="D38" s="7"/>
      <c r="E38" s="7"/>
    </row>
    <row r="39" spans="1:12">
      <c r="A39" s="725"/>
      <c r="B39" s="726" t="s">
        <v>929</v>
      </c>
      <c r="C39" s="725"/>
      <c r="D39" s="725"/>
      <c r="E39" s="725"/>
      <c r="F39" s="725"/>
      <c r="G39" s="725"/>
      <c r="H39" s="725"/>
    </row>
    <row r="40" spans="1:12">
      <c r="B40" s="277" t="s">
        <v>898</v>
      </c>
      <c r="C40" s="277" t="s">
        <v>902</v>
      </c>
      <c r="D40" s="277" t="s">
        <v>331</v>
      </c>
      <c r="E40" s="1157" t="s">
        <v>226</v>
      </c>
      <c r="F40" s="1157"/>
      <c r="G40" s="356" t="s">
        <v>913</v>
      </c>
      <c r="H40" s="277" t="s">
        <v>930</v>
      </c>
    </row>
    <row r="41" spans="1:12">
      <c r="B41" s="1135" t="s">
        <v>453</v>
      </c>
      <c r="C41" s="1135" t="s">
        <v>508</v>
      </c>
      <c r="D41" s="435">
        <v>1.07</v>
      </c>
      <c r="E41" s="1189" t="s">
        <v>1231</v>
      </c>
      <c r="F41" s="1189"/>
      <c r="G41" s="362">
        <v>22</v>
      </c>
      <c r="H41" s="637" t="s">
        <v>1232</v>
      </c>
      <c r="J41" s="19"/>
      <c r="K41" s="19"/>
      <c r="L41" s="19"/>
    </row>
    <row r="42" spans="1:12">
      <c r="B42" s="1136"/>
      <c r="C42" s="1136"/>
      <c r="D42" s="281">
        <v>2.38</v>
      </c>
      <c r="E42" s="1188" t="s">
        <v>1233</v>
      </c>
      <c r="F42" s="1188"/>
      <c r="G42" s="362">
        <v>49</v>
      </c>
      <c r="H42" s="637" t="s">
        <v>1234</v>
      </c>
      <c r="J42" s="19"/>
      <c r="K42" s="19"/>
      <c r="L42" s="19"/>
    </row>
    <row r="43" spans="1:12">
      <c r="B43" s="1136"/>
      <c r="C43" s="1136"/>
      <c r="D43" s="278">
        <v>2.38</v>
      </c>
      <c r="E43" s="1087" t="s">
        <v>1235</v>
      </c>
      <c r="F43" s="1087"/>
      <c r="G43" s="1178">
        <v>60</v>
      </c>
      <c r="H43" s="1210" t="s">
        <v>1236</v>
      </c>
      <c r="K43" s="19"/>
      <c r="L43" s="19"/>
    </row>
    <row r="44" spans="1:12">
      <c r="B44" s="1136"/>
      <c r="C44" s="1136"/>
      <c r="D44" s="278">
        <v>2.15</v>
      </c>
      <c r="E44" s="1087" t="s">
        <v>1237</v>
      </c>
      <c r="F44" s="1087"/>
      <c r="G44" s="1178"/>
      <c r="H44" s="1211"/>
      <c r="K44" s="19"/>
      <c r="L44" s="19"/>
    </row>
    <row r="45" spans="1:12">
      <c r="B45" s="1136"/>
      <c r="C45" s="1136"/>
      <c r="D45" s="278">
        <v>2.3199999999999998</v>
      </c>
      <c r="E45" s="1087" t="s">
        <v>1238</v>
      </c>
      <c r="F45" s="1087"/>
      <c r="G45" s="1178"/>
      <c r="H45" s="1211"/>
      <c r="K45" s="19"/>
      <c r="L45" s="19"/>
    </row>
    <row r="46" spans="1:12">
      <c r="B46" s="1136"/>
      <c r="C46" s="1136"/>
      <c r="D46" s="304">
        <v>23487000</v>
      </c>
      <c r="E46" s="1087" t="s">
        <v>1239</v>
      </c>
      <c r="F46" s="1087"/>
      <c r="G46" s="1178"/>
      <c r="H46" s="1211"/>
      <c r="K46" s="19"/>
      <c r="L46" s="19"/>
    </row>
    <row r="47" spans="1:12">
      <c r="B47" s="1136"/>
      <c r="C47" s="1136"/>
      <c r="D47" s="304">
        <v>2509000</v>
      </c>
      <c r="E47" s="1087" t="s">
        <v>1240</v>
      </c>
      <c r="F47" s="1087"/>
      <c r="G47" s="1178"/>
      <c r="H47" s="1211"/>
      <c r="K47" s="19"/>
      <c r="L47" s="19"/>
    </row>
    <row r="48" spans="1:12">
      <c r="B48" s="1136"/>
      <c r="C48" s="1136"/>
      <c r="D48" s="304">
        <v>1344000</v>
      </c>
      <c r="E48" s="1087" t="s">
        <v>1241</v>
      </c>
      <c r="F48" s="1087"/>
      <c r="G48" s="1178"/>
      <c r="H48" s="1212"/>
      <c r="K48" s="19"/>
      <c r="L48" s="19"/>
    </row>
    <row r="49" spans="1:12" ht="30.75" customHeight="1">
      <c r="B49" s="1137"/>
      <c r="C49" s="1137"/>
      <c r="D49" s="304">
        <f>'COMPANY INPUT'!C6</f>
        <v>2676565</v>
      </c>
      <c r="E49" s="1095" t="s">
        <v>1242</v>
      </c>
      <c r="F49" s="1095"/>
      <c r="G49" s="362">
        <v>52</v>
      </c>
      <c r="H49" s="636" t="s">
        <v>1243</v>
      </c>
      <c r="K49" s="19"/>
      <c r="L49" s="19"/>
    </row>
    <row r="50" spans="1:12">
      <c r="F50" s="218"/>
      <c r="G50" s="126"/>
      <c r="K50" s="19"/>
      <c r="L50" s="19"/>
    </row>
    <row r="51" spans="1:12">
      <c r="A51" s="725"/>
      <c r="B51" s="726" t="s">
        <v>936</v>
      </c>
      <c r="C51" s="725"/>
      <c r="D51" s="725"/>
      <c r="E51" s="725"/>
      <c r="F51" s="725"/>
      <c r="G51" s="725"/>
      <c r="H51" s="725"/>
    </row>
    <row r="52" spans="1:12">
      <c r="B52" s="298" t="s">
        <v>1244</v>
      </c>
      <c r="C52" s="298" t="s">
        <v>331</v>
      </c>
      <c r="D52" s="298" t="s">
        <v>226</v>
      </c>
      <c r="E52" s="1170" t="s">
        <v>930</v>
      </c>
      <c r="F52" s="1170"/>
      <c r="G52" s="1170"/>
    </row>
    <row r="53" spans="1:12">
      <c r="B53" s="281" t="s">
        <v>1245</v>
      </c>
      <c r="C53" s="438">
        <f>D41</f>
        <v>1.07</v>
      </c>
      <c r="D53" s="281" t="s">
        <v>1231</v>
      </c>
      <c r="E53" s="1188"/>
      <c r="F53" s="1188"/>
      <c r="G53" s="1188"/>
    </row>
    <row r="54" spans="1:12">
      <c r="B54" s="281" t="s">
        <v>1246</v>
      </c>
      <c r="C54" s="438">
        <f>C53</f>
        <v>1.07</v>
      </c>
      <c r="D54" s="281" t="s">
        <v>1247</v>
      </c>
      <c r="E54" s="1087"/>
      <c r="F54" s="1087"/>
      <c r="G54" s="1087"/>
    </row>
    <row r="55" spans="1:12">
      <c r="B55" s="281" t="s">
        <v>1248</v>
      </c>
      <c r="C55" s="438">
        <f>C54/1000</f>
        <v>1.07E-3</v>
      </c>
      <c r="D55" s="281" t="s">
        <v>1249</v>
      </c>
      <c r="E55" s="1087"/>
      <c r="F55" s="1087"/>
      <c r="G55" s="1087"/>
    </row>
    <row r="56" spans="1:12">
      <c r="B56" s="439" t="s">
        <v>1250</v>
      </c>
      <c r="C56" s="440">
        <f>D49</f>
        <v>2676565</v>
      </c>
      <c r="D56" s="281" t="s">
        <v>1251</v>
      </c>
      <c r="E56" s="1087"/>
      <c r="F56" s="1087"/>
      <c r="G56" s="1087"/>
    </row>
    <row r="57" spans="1:12">
      <c r="B57" s="1186" t="s">
        <v>1252</v>
      </c>
      <c r="C57" s="441">
        <f>C55*C56*365</f>
        <v>1045332.4607500001</v>
      </c>
      <c r="D57" s="281" t="s">
        <v>1253</v>
      </c>
      <c r="E57" s="1087"/>
      <c r="F57" s="1087"/>
      <c r="G57" s="1087"/>
    </row>
    <row r="58" spans="1:12">
      <c r="B58" s="1187"/>
      <c r="C58" s="441">
        <f>-C57</f>
        <v>-1045332.4607500001</v>
      </c>
      <c r="D58" s="281" t="s">
        <v>1254</v>
      </c>
      <c r="E58" s="1087" t="s">
        <v>1255</v>
      </c>
      <c r="F58" s="1087"/>
      <c r="G58" s="1087"/>
    </row>
    <row r="60" spans="1:12">
      <c r="B60" s="294" t="s">
        <v>902</v>
      </c>
      <c r="C60" s="294" t="s">
        <v>331</v>
      </c>
      <c r="D60" s="294" t="s">
        <v>226</v>
      </c>
      <c r="E60" s="1224" t="s">
        <v>930</v>
      </c>
      <c r="F60" s="1224"/>
      <c r="G60" s="1224"/>
    </row>
    <row r="61" spans="1:12">
      <c r="B61" s="439" t="s">
        <v>1256</v>
      </c>
      <c r="C61" s="438">
        <f>C55*1000000</f>
        <v>1070</v>
      </c>
      <c r="D61" s="278" t="s">
        <v>1257</v>
      </c>
      <c r="E61" s="1188" t="s">
        <v>1258</v>
      </c>
      <c r="F61" s="1188"/>
      <c r="G61" s="1188"/>
    </row>
    <row r="62" spans="1:12">
      <c r="B62" s="278" t="s">
        <v>509</v>
      </c>
      <c r="C62" s="300">
        <f>-C61</f>
        <v>-1070</v>
      </c>
      <c r="D62" s="278" t="s">
        <v>1257</v>
      </c>
      <c r="E62" s="1095" t="s">
        <v>1259</v>
      </c>
      <c r="F62" s="1095"/>
      <c r="G62" s="1095"/>
    </row>
    <row r="63" spans="1:12">
      <c r="B63" s="278" t="s">
        <v>510</v>
      </c>
      <c r="C63" s="300">
        <f>-C61</f>
        <v>-1070</v>
      </c>
      <c r="D63" s="278" t="s">
        <v>1257</v>
      </c>
      <c r="E63" s="1095"/>
      <c r="F63" s="1095"/>
      <c r="G63" s="1095"/>
    </row>
    <row r="64" spans="1:12">
      <c r="B64" s="219"/>
      <c r="E64" s="156"/>
    </row>
    <row r="65" spans="1:8">
      <c r="B65" s="294" t="s">
        <v>902</v>
      </c>
      <c r="C65" s="294" t="s">
        <v>331</v>
      </c>
      <c r="D65" s="294" t="s">
        <v>226</v>
      </c>
      <c r="E65" s="156"/>
    </row>
    <row r="66" spans="1:8">
      <c r="B66" s="278" t="s">
        <v>508</v>
      </c>
      <c r="C66" s="297">
        <f>C58</f>
        <v>-1045332.4607500001</v>
      </c>
      <c r="D66" s="281" t="s">
        <v>376</v>
      </c>
      <c r="E66" s="156"/>
    </row>
    <row r="67" spans="1:8">
      <c r="B67" s="278" t="s">
        <v>509</v>
      </c>
      <c r="C67" s="278">
        <f>C62</f>
        <v>-1070</v>
      </c>
      <c r="D67" s="278" t="s">
        <v>65</v>
      </c>
      <c r="E67" s="156"/>
    </row>
    <row r="68" spans="1:8">
      <c r="B68" s="278" t="s">
        <v>510</v>
      </c>
      <c r="C68" s="278">
        <f>C63</f>
        <v>-1070</v>
      </c>
      <c r="D68" s="278" t="s">
        <v>65</v>
      </c>
      <c r="E68" s="156"/>
    </row>
    <row r="69" spans="1:8">
      <c r="F69" s="156"/>
    </row>
    <row r="70" spans="1:8">
      <c r="A70" s="727"/>
      <c r="B70" s="728" t="s">
        <v>943</v>
      </c>
      <c r="C70" s="727"/>
      <c r="D70" s="727"/>
      <c r="E70" s="727"/>
      <c r="F70" s="727"/>
      <c r="G70" s="727"/>
      <c r="H70" s="727"/>
    </row>
    <row r="71" spans="1:8">
      <c r="A71" s="725"/>
      <c r="B71" s="726" t="s">
        <v>912</v>
      </c>
      <c r="C71" s="725"/>
      <c r="D71" s="725"/>
      <c r="E71" s="725"/>
      <c r="F71" s="725"/>
      <c r="G71" s="725"/>
      <c r="H71" s="725"/>
    </row>
    <row r="72" spans="1:8" ht="29.1">
      <c r="B72" s="719" t="s">
        <v>913</v>
      </c>
      <c r="C72" s="719" t="s">
        <v>914</v>
      </c>
      <c r="D72" s="719" t="s">
        <v>915</v>
      </c>
      <c r="E72" s="719" t="s">
        <v>916</v>
      </c>
      <c r="F72" s="719" t="s">
        <v>917</v>
      </c>
      <c r="G72" s="719" t="s">
        <v>918</v>
      </c>
      <c r="H72" s="719" t="s">
        <v>919</v>
      </c>
    </row>
    <row r="73" spans="1:8">
      <c r="B73" s="278">
        <v>3</v>
      </c>
      <c r="C73" s="278" t="s">
        <v>1260</v>
      </c>
      <c r="D73" s="278" t="s">
        <v>1261</v>
      </c>
      <c r="E73" s="278">
        <v>2019</v>
      </c>
      <c r="F73" s="278" t="s">
        <v>1047</v>
      </c>
      <c r="G73" s="278" t="s">
        <v>1262</v>
      </c>
      <c r="H73" s="279" t="s">
        <v>907</v>
      </c>
    </row>
    <row r="74" spans="1:8">
      <c r="B74" s="16"/>
    </row>
    <row r="75" spans="1:8">
      <c r="A75" s="725"/>
      <c r="B75" s="726" t="s">
        <v>924</v>
      </c>
      <c r="C75" s="725"/>
      <c r="D75" s="725"/>
      <c r="E75" s="725"/>
      <c r="F75" s="725"/>
      <c r="G75" s="725"/>
      <c r="H75" s="725"/>
    </row>
    <row r="76" spans="1:8">
      <c r="B76" s="277" t="s">
        <v>165</v>
      </c>
      <c r="C76" s="277" t="s">
        <v>925</v>
      </c>
      <c r="D76" s="277" t="s">
        <v>926</v>
      </c>
      <c r="E76" s="1134" t="s">
        <v>927</v>
      </c>
      <c r="F76" s="1134"/>
      <c r="G76" s="1134"/>
      <c r="H76" s="1134"/>
    </row>
    <row r="77" spans="1:8">
      <c r="B77" s="278" t="s">
        <v>169</v>
      </c>
      <c r="C77" s="278" t="s">
        <v>166</v>
      </c>
      <c r="D77" s="278">
        <f>VLOOKUP(C77,METHODOLOGY!$C$175:$D$177,2,FALSE)</f>
        <v>3</v>
      </c>
      <c r="E77" s="1087" t="str">
        <f>_xlfn.XLOOKUP(C77,METHODOLOGY!$E$150:$O$150,METHODOLOGY!$E$151:$O$151,"",0,1)</f>
        <v>Monetary values have been peer reviewed or are recommended / referenced in other, well recognised and accepted guidance / tools relevant to the water sector.</v>
      </c>
      <c r="F77" s="1087"/>
      <c r="G77" s="1087"/>
      <c r="H77" s="1087"/>
    </row>
    <row r="78" spans="1:8">
      <c r="B78" s="278" t="s">
        <v>173</v>
      </c>
      <c r="C78" s="278" t="s">
        <v>166</v>
      </c>
      <c r="D78" s="278">
        <f>VLOOKUP(C78,METHODOLOGY!$C$175:$D$177,2,FALSE)</f>
        <v>3</v>
      </c>
      <c r="E78" s="1087" t="str">
        <f>_xlfn.XLOOKUP(C78,METHODOLOGY!$E$150:$O$150,METHODOLOGY!$E$155:$O$155,"",0,1)</f>
        <v>Study has few limitations and is considered robust.</v>
      </c>
      <c r="F78" s="1087"/>
      <c r="G78" s="1087"/>
      <c r="H78" s="1087"/>
    </row>
    <row r="79" spans="1:8">
      <c r="B79" s="278" t="s">
        <v>177</v>
      </c>
      <c r="C79" s="278" t="s">
        <v>167</v>
      </c>
      <c r="D79" s="278">
        <f>VLOOKUP(C79,METHODOLOGY!$C$175:$D$177,2,FALSE)</f>
        <v>2</v>
      </c>
      <c r="E79" s="1087" t="str">
        <f>_xlfn.XLOOKUP(C79,METHODOLOGY!$E$150:$O$150,METHODOLOGY!$E$158:$O$158,"",0,1)</f>
        <v>6-10 years</v>
      </c>
      <c r="F79" s="1087"/>
      <c r="G79" s="1087"/>
      <c r="H79" s="1087"/>
    </row>
    <row r="80" spans="1:8">
      <c r="B80" s="278" t="s">
        <v>181</v>
      </c>
      <c r="C80" s="278" t="s">
        <v>166</v>
      </c>
      <c r="D80" s="278">
        <f>VLOOKUP(C80,METHODOLOGY!$C$175:$D$177,2,FALSE)</f>
        <v>3</v>
      </c>
      <c r="E80" s="1087" t="str">
        <f>_xlfn.XLOOKUP(C80,METHODOLOGY!$E$150:$O$150,METHODOLOGY!$E$160:$O$160,"",0,1)</f>
        <v>Geographically relevant to UK</v>
      </c>
      <c r="F80" s="1087"/>
      <c r="G80" s="1087"/>
      <c r="H80" s="1087"/>
    </row>
    <row r="81" spans="1:12">
      <c r="B81" s="278" t="s">
        <v>928</v>
      </c>
      <c r="C81" s="278" t="s">
        <v>167</v>
      </c>
      <c r="D81" s="278">
        <f>VLOOKUP(C81,METHODOLOGY!$C$175:$D$177,2,FALSE)</f>
        <v>2</v>
      </c>
      <c r="E81" s="1087" t="str">
        <f>_xlfn.XLOOKUP(C81,METHODOLOGY!$E$150:$O$150,METHODOLOGY!$E$162:$O$162,"",0,1)</f>
        <v>Meta-analysis or limited understanding of what the value represents.</v>
      </c>
      <c r="F81" s="1087"/>
      <c r="G81" s="1087"/>
      <c r="H81" s="1087"/>
    </row>
    <row r="82" spans="1:12">
      <c r="B82" s="278" t="s">
        <v>189</v>
      </c>
      <c r="C82" s="278" t="s">
        <v>168</v>
      </c>
      <c r="D82" s="278">
        <f>VLOOKUP(C82,METHODOLOGY!$C$175:$D$177,2,FALSE)</f>
        <v>1</v>
      </c>
      <c r="E82" s="1087" t="str">
        <f>_xlfn.XLOOKUP(C82,METHODOLOGY!$E$150:$O$150,METHODOLOGY!$E$164:$O$164,"",0,1)</f>
        <v xml:space="preserve">The original valuation can be used with significant modification e.g. several additional data inputs are required to use the original source. The calculation is complex or introduces significant uncertainty. </v>
      </c>
      <c r="F82" s="1087"/>
      <c r="G82" s="1087"/>
      <c r="H82" s="1087"/>
    </row>
    <row r="83" spans="1:12">
      <c r="C83" s="282" t="s">
        <v>924</v>
      </c>
      <c r="D83" s="326">
        <f>IF(AND(D82=1,AVERAGE(D77:D82)&gt;2.14285714285714),2.14285714285714,IF(AND(D82=2,AVERAGE(D77:D82)&gt;2.57142857142857),2.57142857142857,AVERAGE(D77:D82)))</f>
        <v>2.1428571428571401</v>
      </c>
      <c r="E83" s="270" t="str">
        <f>IF(D83&lt;=2.14285714285714,"Red",IF(D83&lt;=2.57142857142857,"Amber",IF(D83&lt;=3,"Green")))</f>
        <v>Red</v>
      </c>
    </row>
    <row r="86" spans="1:12">
      <c r="A86" s="725"/>
      <c r="B86" s="726" t="s">
        <v>929</v>
      </c>
      <c r="C86" s="725"/>
      <c r="D86" s="725"/>
      <c r="E86" s="725"/>
      <c r="F86" s="725"/>
      <c r="G86" s="725"/>
      <c r="H86" s="725"/>
    </row>
    <row r="87" spans="1:12">
      <c r="B87" s="277" t="s">
        <v>898</v>
      </c>
      <c r="C87" s="277" t="s">
        <v>902</v>
      </c>
      <c r="D87" s="277"/>
      <c r="E87" s="277"/>
      <c r="F87" s="277" t="s">
        <v>331</v>
      </c>
      <c r="G87" s="277" t="s">
        <v>226</v>
      </c>
      <c r="H87" s="1164" t="s">
        <v>930</v>
      </c>
      <c r="I87" s="1165"/>
      <c r="J87" s="1166"/>
      <c r="K87" s="277" t="s">
        <v>913</v>
      </c>
      <c r="L87" s="277" t="s">
        <v>169</v>
      </c>
    </row>
    <row r="88" spans="1:12" ht="30" customHeight="1">
      <c r="B88" s="1135" t="s">
        <v>453</v>
      </c>
      <c r="C88" s="1135" t="s">
        <v>1263</v>
      </c>
      <c r="D88" s="375" t="s">
        <v>1264</v>
      </c>
      <c r="E88" s="278" t="s">
        <v>1048</v>
      </c>
      <c r="F88" s="435">
        <v>0.49</v>
      </c>
      <c r="G88" s="394" t="s">
        <v>1265</v>
      </c>
      <c r="H88" s="1180" t="s">
        <v>1266</v>
      </c>
      <c r="I88" s="1196"/>
      <c r="J88" s="1197"/>
      <c r="K88" s="1191">
        <v>3</v>
      </c>
      <c r="L88" s="1109" t="s">
        <v>1267</v>
      </c>
    </row>
    <row r="89" spans="1:12" ht="29.1">
      <c r="B89" s="1136"/>
      <c r="C89" s="1136"/>
      <c r="D89" s="375" t="s">
        <v>1264</v>
      </c>
      <c r="E89" s="278" t="s">
        <v>1268</v>
      </c>
      <c r="F89" s="435">
        <v>0.73</v>
      </c>
      <c r="G89" s="394" t="s">
        <v>1265</v>
      </c>
      <c r="H89" s="1198"/>
      <c r="I89" s="1199"/>
      <c r="J89" s="1200"/>
      <c r="K89" s="1192"/>
      <c r="L89" s="1110"/>
    </row>
    <row r="90" spans="1:12" ht="29.1">
      <c r="B90" s="1136"/>
      <c r="C90" s="1136"/>
      <c r="D90" s="375" t="s">
        <v>1264</v>
      </c>
      <c r="E90" s="278" t="s">
        <v>1269</v>
      </c>
      <c r="F90" s="435">
        <v>0.6</v>
      </c>
      <c r="G90" s="394" t="s">
        <v>1265</v>
      </c>
      <c r="H90" s="1198"/>
      <c r="I90" s="1199"/>
      <c r="J90" s="1200"/>
      <c r="K90" s="1192"/>
      <c r="L90" s="1110"/>
    </row>
    <row r="91" spans="1:12" ht="29.1">
      <c r="B91" s="1136"/>
      <c r="C91" s="1136"/>
      <c r="D91" s="375" t="s">
        <v>1264</v>
      </c>
      <c r="E91" s="278" t="s">
        <v>1270</v>
      </c>
      <c r="F91" s="435">
        <v>0.62</v>
      </c>
      <c r="G91" s="394" t="s">
        <v>1265</v>
      </c>
      <c r="H91" s="1201"/>
      <c r="I91" s="1202"/>
      <c r="J91" s="1203"/>
      <c r="K91" s="1192"/>
      <c r="L91" s="1110"/>
    </row>
    <row r="92" spans="1:12" ht="75" customHeight="1">
      <c r="B92" s="1136"/>
      <c r="C92" s="1136"/>
      <c r="D92" s="375" t="s">
        <v>1271</v>
      </c>
      <c r="E92" s="278" t="s">
        <v>168</v>
      </c>
      <c r="F92" s="435">
        <v>-0.49013114319777501</v>
      </c>
      <c r="G92" s="394" t="s">
        <v>298</v>
      </c>
      <c r="H92" s="1204" t="s">
        <v>1272</v>
      </c>
      <c r="I92" s="1205"/>
      <c r="J92" s="1206"/>
      <c r="K92" s="1192"/>
      <c r="L92" s="1110"/>
    </row>
    <row r="93" spans="1:12" ht="72.599999999999994">
      <c r="B93" s="1136"/>
      <c r="C93" s="1136"/>
      <c r="D93" s="389" t="s">
        <v>1271</v>
      </c>
      <c r="E93" s="280" t="s">
        <v>1273</v>
      </c>
      <c r="F93" s="443">
        <f>1.23297023548713*-1</f>
        <v>-1.2329702354871299</v>
      </c>
      <c r="G93" s="444" t="s">
        <v>298</v>
      </c>
      <c r="H93" s="1198"/>
      <c r="I93" s="1199"/>
      <c r="J93" s="1200"/>
      <c r="K93" s="1192"/>
      <c r="L93" s="1110"/>
    </row>
    <row r="94" spans="1:12" ht="72.599999999999994">
      <c r="B94" s="1136"/>
      <c r="C94" s="1136"/>
      <c r="D94" s="375" t="s">
        <v>1271</v>
      </c>
      <c r="E94" s="278" t="s">
        <v>166</v>
      </c>
      <c r="F94" s="435">
        <v>-1.9768283114421701</v>
      </c>
      <c r="G94" s="394" t="s">
        <v>298</v>
      </c>
      <c r="H94" s="1201"/>
      <c r="I94" s="1202"/>
      <c r="J94" s="1203"/>
      <c r="K94" s="1192"/>
      <c r="L94" s="1110"/>
    </row>
    <row r="95" spans="1:12" ht="72.599999999999994">
      <c r="B95" s="1136"/>
      <c r="C95" s="1136"/>
      <c r="D95" s="375" t="s">
        <v>1271</v>
      </c>
      <c r="E95" s="278" t="s">
        <v>168</v>
      </c>
      <c r="F95" s="435">
        <v>-0.40759346627673598</v>
      </c>
      <c r="G95" s="394" t="s">
        <v>298</v>
      </c>
      <c r="H95" s="1204" t="s">
        <v>1274</v>
      </c>
      <c r="I95" s="1205"/>
      <c r="J95" s="1206"/>
      <c r="K95" s="1192"/>
      <c r="L95" s="1110"/>
    </row>
    <row r="96" spans="1:12" ht="72.599999999999994">
      <c r="B96" s="1136"/>
      <c r="C96" s="1136"/>
      <c r="D96" s="389" t="s">
        <v>1271</v>
      </c>
      <c r="E96" s="280" t="s">
        <v>1273</v>
      </c>
      <c r="F96" s="435">
        <f>0.489112159532083*-1</f>
        <v>-0.48911215953208298</v>
      </c>
      <c r="G96" s="444" t="s">
        <v>298</v>
      </c>
      <c r="H96" s="1198"/>
      <c r="I96" s="1199"/>
      <c r="J96" s="1200"/>
      <c r="K96" s="1192"/>
      <c r="L96" s="1110"/>
    </row>
    <row r="97" spans="1:14" ht="72.599999999999994">
      <c r="B97" s="1136"/>
      <c r="C97" s="1136"/>
      <c r="D97" s="375" t="s">
        <v>1271</v>
      </c>
      <c r="E97" s="278" t="s">
        <v>166</v>
      </c>
      <c r="F97" s="435">
        <v>-0.57063085278742998</v>
      </c>
      <c r="G97" s="394" t="s">
        <v>298</v>
      </c>
      <c r="H97" s="1213"/>
      <c r="I97" s="1214"/>
      <c r="J97" s="1215"/>
      <c r="K97" s="1193"/>
      <c r="L97" s="1111"/>
    </row>
    <row r="98" spans="1:14" ht="29.1">
      <c r="B98" s="1137"/>
      <c r="C98" s="1137"/>
      <c r="D98" s="375" t="s">
        <v>1275</v>
      </c>
      <c r="E98" s="278"/>
      <c r="F98" s="445">
        <v>3.5000000000000003E-2</v>
      </c>
      <c r="G98" s="394"/>
      <c r="H98" s="1207" t="s">
        <v>1276</v>
      </c>
      <c r="I98" s="1208"/>
      <c r="J98" s="1209"/>
      <c r="K98" s="392">
        <v>29</v>
      </c>
      <c r="L98" s="392" t="s">
        <v>1277</v>
      </c>
    </row>
    <row r="99" spans="1:14">
      <c r="B99" s="5"/>
      <c r="C99" s="5"/>
      <c r="D99" s="5"/>
      <c r="E99" s="6"/>
      <c r="G99" s="146"/>
      <c r="H99" s="147"/>
      <c r="I99" s="24"/>
      <c r="J99" s="24"/>
      <c r="K99" s="24"/>
      <c r="L99" s="24"/>
      <c r="N99" s="24"/>
    </row>
    <row r="100" spans="1:14">
      <c r="A100" s="725"/>
      <c r="B100" s="726" t="s">
        <v>936</v>
      </c>
      <c r="C100" s="725"/>
      <c r="D100" s="725"/>
      <c r="E100" s="725"/>
      <c r="F100" s="725"/>
      <c r="G100" s="725"/>
      <c r="H100" s="725"/>
    </row>
    <row r="101" spans="1:14" ht="57.95">
      <c r="C101" s="752" t="s">
        <v>1278</v>
      </c>
      <c r="D101" s="752" t="s">
        <v>1279</v>
      </c>
      <c r="E101" s="752" t="s">
        <v>1280</v>
      </c>
      <c r="F101" s="752" t="s">
        <v>1281</v>
      </c>
      <c r="G101" s="752" t="s">
        <v>1282</v>
      </c>
      <c r="H101" s="719" t="s">
        <v>1283</v>
      </c>
      <c r="I101" s="719" t="s">
        <v>1284</v>
      </c>
    </row>
    <row r="102" spans="1:14" ht="36" customHeight="1">
      <c r="B102" s="375" t="s">
        <v>1285</v>
      </c>
      <c r="C102" s="392">
        <v>1</v>
      </c>
      <c r="D102" s="306">
        <f>F93</f>
        <v>-1.2329702354871299</v>
      </c>
      <c r="E102" s="306">
        <f>C102*D102</f>
        <v>-1.2329702354871299</v>
      </c>
      <c r="F102" s="446">
        <v>0.75</v>
      </c>
      <c r="G102" s="446">
        <v>0.75</v>
      </c>
      <c r="H102" s="306">
        <f>E102*F102*G102</f>
        <v>-0.69354575746151048</v>
      </c>
      <c r="I102" s="374">
        <f>H102*365*1000</f>
        <v>-253144.20147345131</v>
      </c>
      <c r="L102" s="27"/>
    </row>
    <row r="103" spans="1:14" ht="29.1">
      <c r="B103" s="391" t="s">
        <v>1286</v>
      </c>
      <c r="C103" s="392">
        <v>1</v>
      </c>
      <c r="D103" s="306">
        <f>F96</f>
        <v>-0.48911215953208298</v>
      </c>
      <c r="E103" s="306">
        <f>C103*D103</f>
        <v>-0.48911215953208298</v>
      </c>
      <c r="F103" s="446">
        <v>0.75</v>
      </c>
      <c r="G103" s="446">
        <v>0.75</v>
      </c>
      <c r="H103" s="306">
        <f>E103*F103*G103</f>
        <v>-0.27512558973679668</v>
      </c>
      <c r="I103" s="374">
        <f>H103*365*1000</f>
        <v>-100420.84025393079</v>
      </c>
      <c r="K103" s="26"/>
      <c r="L103" s="27"/>
    </row>
    <row r="104" spans="1:14">
      <c r="B104" s="19" t="s">
        <v>1287</v>
      </c>
      <c r="C104" s="5"/>
      <c r="D104" s="223"/>
      <c r="E104" s="223"/>
      <c r="F104" s="224"/>
      <c r="G104" s="224"/>
      <c r="H104" s="225"/>
      <c r="I104" s="221"/>
      <c r="J104" s="225"/>
      <c r="K104" s="26"/>
      <c r="L104" s="27"/>
    </row>
    <row r="105" spans="1:14">
      <c r="B105" s="19" t="s">
        <v>1288</v>
      </c>
      <c r="C105" s="226"/>
      <c r="D105" s="226"/>
      <c r="E105" s="226"/>
      <c r="F105" s="226"/>
      <c r="G105" s="226"/>
      <c r="K105" s="26"/>
      <c r="L105" s="27"/>
    </row>
    <row r="107" spans="1:14">
      <c r="A107" s="727"/>
      <c r="B107" s="728" t="s">
        <v>901</v>
      </c>
      <c r="C107" s="727"/>
      <c r="D107" s="727"/>
      <c r="E107" s="727"/>
      <c r="F107" s="727"/>
      <c r="G107" s="727"/>
      <c r="H107" s="727"/>
    </row>
    <row r="108" spans="1:14" ht="29.1">
      <c r="B108" s="522" t="s">
        <v>902</v>
      </c>
      <c r="C108" s="522" t="s">
        <v>898</v>
      </c>
      <c r="D108" s="522" t="s">
        <v>899</v>
      </c>
      <c r="E108" s="719" t="s">
        <v>903</v>
      </c>
      <c r="F108" s="522" t="s">
        <v>904</v>
      </c>
      <c r="G108" s="522" t="s">
        <v>905</v>
      </c>
      <c r="H108" s="756" t="s">
        <v>924</v>
      </c>
      <c r="I108" s="756" t="s">
        <v>956</v>
      </c>
      <c r="J108" s="756" t="s">
        <v>927</v>
      </c>
    </row>
    <row r="109" spans="1:14">
      <c r="B109" s="278" t="s">
        <v>508</v>
      </c>
      <c r="C109" s="278" t="s">
        <v>453</v>
      </c>
      <c r="D109" s="278" t="str">
        <f>C21</f>
        <v>Avoided abstraction of water</v>
      </c>
      <c r="E109" s="299" t="s">
        <v>957</v>
      </c>
      <c r="F109" s="278" t="str" cm="1">
        <f t="array" ref="F109">_xlfn.XLOOKUP(1,(D117:D118=B109)*(E117:E118=C109),B117:B118,"Not found",0,1)</f>
        <v>10-1</v>
      </c>
      <c r="G109" s="311">
        <f>VLOOKUP(F109,B117:L119,11,FALSE)</f>
        <v>-1119778.708636265</v>
      </c>
      <c r="H109" s="1120">
        <f>D83</f>
        <v>2.1428571428571401</v>
      </c>
      <c r="I109" s="1167" t="s">
        <v>1289</v>
      </c>
      <c r="J109" s="1167" t="s">
        <v>1290</v>
      </c>
    </row>
    <row r="110" spans="1:14">
      <c r="B110" s="278" t="s">
        <v>509</v>
      </c>
      <c r="C110" s="278" t="s">
        <v>453</v>
      </c>
      <c r="D110" s="278" t="str">
        <f>C21</f>
        <v>Avoided abstraction of water</v>
      </c>
      <c r="E110" s="299" t="s">
        <v>957</v>
      </c>
      <c r="F110" s="278" t="str" cm="1">
        <f t="array" ref="F110">_xlfn.XLOOKUP(1,(D118:D119=B110)*(E118:E119=C110),B118:B119,"Not found",0,1)</f>
        <v>10-2</v>
      </c>
      <c r="G110" s="311">
        <f>VLOOKUP(F110,B118:L119,11,FALSE)</f>
        <v>-1146.2030150495386</v>
      </c>
      <c r="H110" s="1121"/>
      <c r="I110" s="1168"/>
      <c r="J110" s="1168"/>
    </row>
    <row r="111" spans="1:14">
      <c r="B111" s="214" t="s">
        <v>510</v>
      </c>
      <c r="C111" s="214" t="s">
        <v>453</v>
      </c>
      <c r="D111" s="214" t="str">
        <f>C21</f>
        <v>Avoided abstraction of water</v>
      </c>
      <c r="E111" s="227" t="s">
        <v>957</v>
      </c>
      <c r="F111" s="214" t="str" cm="1">
        <f t="array" ref="F111">_xlfn.XLOOKUP(1,(D119:D122=B111)*(E119:E122=C111),B119:B122,"Not found",0,1)</f>
        <v>10-3</v>
      </c>
      <c r="G111" s="634">
        <f>VLOOKUP(F111,B119:L119,11,FALSE)</f>
        <v>-1146.2030150495386</v>
      </c>
      <c r="H111" s="1122"/>
      <c r="I111" s="1169"/>
      <c r="J111" s="1169"/>
    </row>
    <row r="112" spans="1:14">
      <c r="B112" s="390" t="s">
        <v>511</v>
      </c>
      <c r="C112" s="278" t="s">
        <v>453</v>
      </c>
      <c r="D112" s="278" t="str">
        <f>C21</f>
        <v>Avoided abstraction of water</v>
      </c>
      <c r="E112" s="299" t="s">
        <v>960</v>
      </c>
      <c r="F112" s="388" t="str" cm="1">
        <f t="array" ref="F112">_xlfn.XLOOKUP(1,(D120:D123=B112)*(E120:E123=C112),B120:B123,"Not found",0,1)</f>
        <v>10-4</v>
      </c>
      <c r="G112" s="311">
        <f>VLOOKUP(F112,B120:L120,11,FALSE)</f>
        <v>-305596.84373153135</v>
      </c>
      <c r="H112" s="1120">
        <f>$D$83</f>
        <v>2.1428571428571401</v>
      </c>
      <c r="I112" s="1149" t="s">
        <v>1289</v>
      </c>
      <c r="J112" s="1149" t="s">
        <v>1290</v>
      </c>
    </row>
    <row r="113" spans="1:23">
      <c r="B113" s="390" t="s">
        <v>513</v>
      </c>
      <c r="C113" s="278" t="s">
        <v>453</v>
      </c>
      <c r="D113" s="278" t="str">
        <f>C21</f>
        <v>Avoided abstraction of water</v>
      </c>
      <c r="E113" s="299" t="s">
        <v>960</v>
      </c>
      <c r="F113" s="388" t="str" cm="1">
        <f t="array" ref="F113">_xlfn.XLOOKUP(1,(D121:D124=B113)*(E121:E124=C113),B121:B124,"Not found",0,1)</f>
        <v>10-5</v>
      </c>
      <c r="G113" s="311">
        <f>VLOOKUP(F113,B121:L121,11,FALSE)</f>
        <v>-121228.49999267321</v>
      </c>
      <c r="H113" s="1122"/>
      <c r="I113" s="1149"/>
      <c r="J113" s="1149"/>
    </row>
    <row r="114" spans="1:23">
      <c r="B114" s="18"/>
    </row>
    <row r="115" spans="1:23">
      <c r="A115" s="725"/>
      <c r="B115" s="726" t="s">
        <v>962</v>
      </c>
      <c r="C115" s="725"/>
      <c r="D115" s="725"/>
      <c r="E115" s="725"/>
      <c r="F115" s="725"/>
      <c r="G115" s="725"/>
      <c r="H115" s="725"/>
    </row>
    <row r="116" spans="1:23">
      <c r="B116" s="277" t="s">
        <v>904</v>
      </c>
      <c r="C116" s="277" t="s">
        <v>62</v>
      </c>
      <c r="D116" s="277" t="s">
        <v>902</v>
      </c>
      <c r="E116" s="277" t="s">
        <v>898</v>
      </c>
      <c r="F116" s="277" t="s">
        <v>916</v>
      </c>
      <c r="G116" s="277" t="s">
        <v>963</v>
      </c>
      <c r="H116" s="277" t="s">
        <v>964</v>
      </c>
      <c r="I116" s="277" t="s">
        <v>965</v>
      </c>
      <c r="J116" s="277" t="s">
        <v>966</v>
      </c>
      <c r="K116" s="277" t="s">
        <v>967</v>
      </c>
      <c r="L116" s="277" t="s">
        <v>968</v>
      </c>
      <c r="M116" s="277" t="s">
        <v>956</v>
      </c>
      <c r="N116" s="277" t="s">
        <v>969</v>
      </c>
      <c r="O116" s="277" t="s">
        <v>970</v>
      </c>
      <c r="P116" s="277" t="s">
        <v>927</v>
      </c>
      <c r="Q116" s="277" t="s">
        <v>913</v>
      </c>
      <c r="R116" s="277" t="s">
        <v>914</v>
      </c>
      <c r="S116" s="277" t="s">
        <v>915</v>
      </c>
      <c r="T116" s="277" t="s">
        <v>916</v>
      </c>
      <c r="U116" s="277" t="s">
        <v>1291</v>
      </c>
      <c r="V116" s="277" t="s">
        <v>918</v>
      </c>
      <c r="W116" s="277" t="s">
        <v>919</v>
      </c>
    </row>
    <row r="117" spans="1:23">
      <c r="B117" s="302" t="s">
        <v>1292</v>
      </c>
      <c r="C117" s="279" t="s">
        <v>375</v>
      </c>
      <c r="D117" s="278" t="s">
        <v>508</v>
      </c>
      <c r="E117" s="278" t="s">
        <v>453</v>
      </c>
      <c r="F117" s="299">
        <f>E26</f>
        <v>2018</v>
      </c>
      <c r="G117" s="281">
        <v>2022</v>
      </c>
      <c r="H117" s="278">
        <f>'COMPANY INPUT'!$C$16</f>
        <v>2023</v>
      </c>
      <c r="I117" s="278">
        <f>VLOOKUP(G117,'GDP Deflators'!$H$13:$I$86,2,FALSE)</f>
        <v>93.351699999999994</v>
      </c>
      <c r="J117" s="278">
        <f>VLOOKUP(H117,'GDP Deflators'!$H$13:$I$86,2,FALSE)</f>
        <v>100</v>
      </c>
      <c r="K117" s="385">
        <f>C66</f>
        <v>-1045332.4607500001</v>
      </c>
      <c r="L117" s="757">
        <f>K117*(J117/I117)</f>
        <v>-1119778.708636265</v>
      </c>
      <c r="M117" s="278" t="str">
        <f>$I$109</f>
        <v>Financial</v>
      </c>
      <c r="N117" s="326">
        <f>$H$109</f>
        <v>2.1428571428571401</v>
      </c>
      <c r="O117" s="278" t="s">
        <v>718</v>
      </c>
      <c r="P117" s="278" t="str">
        <f>$J$109</f>
        <v>Reliable source and logical application</v>
      </c>
      <c r="Q117" s="447">
        <f>G41</f>
        <v>22</v>
      </c>
      <c r="R117" s="278" t="str">
        <f t="shared" ref="R117:W117" si="0">C$26</f>
        <v>NIC (2018) Analysis of the costs of water resource management options to enhance drought resilience</v>
      </c>
      <c r="S117" s="278" t="str">
        <f t="shared" si="0"/>
        <v>NCEM</v>
      </c>
      <c r="T117" s="278">
        <f t="shared" si="0"/>
        <v>2018</v>
      </c>
      <c r="U117" s="278" t="str">
        <f t="shared" si="0"/>
        <v>UK</v>
      </c>
      <c r="V117" s="278" t="str">
        <f t="shared" si="0"/>
        <v>UK</v>
      </c>
      <c r="W117" s="278" t="str">
        <f t="shared" si="0"/>
        <v>/</v>
      </c>
    </row>
    <row r="118" spans="1:23">
      <c r="B118" s="302" t="s">
        <v>1293</v>
      </c>
      <c r="C118" s="279" t="s">
        <v>375</v>
      </c>
      <c r="D118" s="278" t="s">
        <v>509</v>
      </c>
      <c r="E118" s="278" t="s">
        <v>453</v>
      </c>
      <c r="F118" s="299">
        <f>E26</f>
        <v>2018</v>
      </c>
      <c r="G118" s="281">
        <v>2022</v>
      </c>
      <c r="H118" s="278">
        <f>'COMPANY INPUT'!$C$16</f>
        <v>2023</v>
      </c>
      <c r="I118" s="278">
        <f>VLOOKUP(G118,'GDP Deflators'!$H$13:$I$86,2,FALSE)</f>
        <v>93.351699999999994</v>
      </c>
      <c r="J118" s="278">
        <f>VLOOKUP(H118,'GDP Deflators'!$H$13:$I$86,2,FALSE)</f>
        <v>100</v>
      </c>
      <c r="K118" s="385">
        <f>C67</f>
        <v>-1070</v>
      </c>
      <c r="L118" s="757">
        <f>K118*(J118/I118)</f>
        <v>-1146.2030150495386</v>
      </c>
      <c r="M118" s="278" t="str">
        <f>$I$109</f>
        <v>Financial</v>
      </c>
      <c r="N118" s="326">
        <f>$H$109</f>
        <v>2.1428571428571401</v>
      </c>
      <c r="O118" s="278" t="s">
        <v>718</v>
      </c>
      <c r="P118" s="278" t="str">
        <f>$J$109</f>
        <v>Reliable source and logical application</v>
      </c>
      <c r="Q118" s="299">
        <f>G41</f>
        <v>22</v>
      </c>
      <c r="R118" s="278" t="str">
        <f t="shared" ref="R118:R119" si="1">C$26</f>
        <v>NIC (2018) Analysis of the costs of water resource management options to enhance drought resilience</v>
      </c>
      <c r="S118" s="278" t="str">
        <f t="shared" ref="S118:S119" si="2">D$26</f>
        <v>NCEM</v>
      </c>
      <c r="T118" s="278">
        <f t="shared" ref="T118:T119" si="3">E$26</f>
        <v>2018</v>
      </c>
      <c r="U118" s="278" t="str">
        <f t="shared" ref="U118:U119" si="4">F$26</f>
        <v>UK</v>
      </c>
      <c r="V118" s="278" t="str">
        <f t="shared" ref="V118:V119" si="5">G$26</f>
        <v>UK</v>
      </c>
      <c r="W118" s="278" t="str">
        <f t="shared" ref="W118:W119" si="6">H$26</f>
        <v>/</v>
      </c>
    </row>
    <row r="119" spans="1:23">
      <c r="B119" s="229" t="s">
        <v>1294</v>
      </c>
      <c r="C119" s="230" t="s">
        <v>375</v>
      </c>
      <c r="D119" s="214" t="s">
        <v>510</v>
      </c>
      <c r="E119" s="214" t="s">
        <v>453</v>
      </c>
      <c r="F119" s="227">
        <v>2023</v>
      </c>
      <c r="G119" s="231">
        <v>2022</v>
      </c>
      <c r="H119" s="214">
        <f>'COMPANY INPUT'!$C$16</f>
        <v>2023</v>
      </c>
      <c r="I119" s="214">
        <f>VLOOKUP(G119,'GDP Deflators'!$H$13:$I$86,2,FALSE)</f>
        <v>93.351699999999994</v>
      </c>
      <c r="J119" s="214">
        <f>VLOOKUP(H119,'GDP Deflators'!$H$13:$I$86,2,FALSE)</f>
        <v>100</v>
      </c>
      <c r="K119" s="232">
        <f>C68</f>
        <v>-1070</v>
      </c>
      <c r="L119" s="758">
        <f>K119*(J119/I119)</f>
        <v>-1146.2030150495386</v>
      </c>
      <c r="M119" s="278" t="str">
        <f>$I$109</f>
        <v>Financial</v>
      </c>
      <c r="N119" s="326">
        <f>$H$109</f>
        <v>2.1428571428571401</v>
      </c>
      <c r="O119" s="214" t="s">
        <v>718</v>
      </c>
      <c r="P119" s="278" t="str">
        <f>$J$109</f>
        <v>Reliable source and logical application</v>
      </c>
      <c r="Q119" s="227">
        <f>G41</f>
        <v>22</v>
      </c>
      <c r="R119" s="214" t="str">
        <f t="shared" si="1"/>
        <v>NIC (2018) Analysis of the costs of water resource management options to enhance drought resilience</v>
      </c>
      <c r="S119" s="214" t="str">
        <f t="shared" si="2"/>
        <v>NCEM</v>
      </c>
      <c r="T119" s="214">
        <f t="shared" si="3"/>
        <v>2018</v>
      </c>
      <c r="U119" s="214" t="str">
        <f t="shared" si="4"/>
        <v>UK</v>
      </c>
      <c r="V119" s="214" t="str">
        <f t="shared" si="5"/>
        <v>UK</v>
      </c>
      <c r="W119" s="214" t="str">
        <f t="shared" si="6"/>
        <v>/</v>
      </c>
    </row>
    <row r="120" spans="1:23">
      <c r="B120" s="302" t="s">
        <v>1295</v>
      </c>
      <c r="C120" s="279" t="s">
        <v>375</v>
      </c>
      <c r="D120" s="278" t="s">
        <v>511</v>
      </c>
      <c r="E120" s="278" t="s">
        <v>453</v>
      </c>
      <c r="F120" s="299">
        <f>E73</f>
        <v>2019</v>
      </c>
      <c r="G120" s="281">
        <v>2018</v>
      </c>
      <c r="H120" s="278">
        <f>'COMPANY INPUT'!$C$16</f>
        <v>2023</v>
      </c>
      <c r="I120" s="278">
        <f>VLOOKUP(G120,'GDP Deflators'!$H$13:$I$86,2,FALSE)</f>
        <v>82.835999999999999</v>
      </c>
      <c r="J120" s="278">
        <f>VLOOKUP(H120,'GDP Deflators'!$H$13:$I$86,2,FALSE)</f>
        <v>100</v>
      </c>
      <c r="K120" s="232">
        <f>I102</f>
        <v>-253144.20147345131</v>
      </c>
      <c r="L120" s="757">
        <f>K120*(J120/I120)</f>
        <v>-305596.84373153135</v>
      </c>
      <c r="M120" s="278" t="str">
        <f>$I$112</f>
        <v>Financial</v>
      </c>
      <c r="N120" s="326">
        <f>$H$112</f>
        <v>2.1428571428571401</v>
      </c>
      <c r="O120" s="278" t="s">
        <v>718</v>
      </c>
      <c r="P120" s="278" t="str">
        <f>$J$112</f>
        <v>Reliable source and logical application</v>
      </c>
      <c r="Q120" s="299">
        <v>3</v>
      </c>
      <c r="R120" s="278" t="str">
        <f t="shared" ref="R120:W121" si="7">C$73</f>
        <v>CIRIA (2019) B£ST W047b B£ST Guidance - Guidance to assess the benefits of blue and green infrastructure using B£ST Release Version 5</v>
      </c>
      <c r="S120" s="278" t="str">
        <f t="shared" si="7"/>
        <v>B£ST</v>
      </c>
      <c r="T120" s="278">
        <f t="shared" si="7"/>
        <v>2019</v>
      </c>
      <c r="U120" s="278" t="str">
        <f t="shared" si="7"/>
        <v>UK</v>
      </c>
      <c r="V120" s="278" t="str">
        <f t="shared" si="7"/>
        <v>UK Wide</v>
      </c>
      <c r="W120" s="278" t="str">
        <f t="shared" si="7"/>
        <v>/</v>
      </c>
    </row>
    <row r="121" spans="1:23">
      <c r="B121" s="302" t="s">
        <v>1296</v>
      </c>
      <c r="C121" s="279" t="s">
        <v>375</v>
      </c>
      <c r="D121" s="278" t="s">
        <v>513</v>
      </c>
      <c r="E121" s="278" t="s">
        <v>453</v>
      </c>
      <c r="F121" s="299">
        <f>E73</f>
        <v>2019</v>
      </c>
      <c r="G121" s="281">
        <v>2018</v>
      </c>
      <c r="H121" s="278">
        <f>'COMPANY INPUT'!$C$16</f>
        <v>2023</v>
      </c>
      <c r="I121" s="278">
        <f>VLOOKUP(G121,'GDP Deflators'!$H$13:$I$86,2,FALSE)</f>
        <v>82.835999999999999</v>
      </c>
      <c r="J121" s="278">
        <f>VLOOKUP(H121,'GDP Deflators'!$H$13:$I$86,2,FALSE)</f>
        <v>100</v>
      </c>
      <c r="K121" s="385">
        <f>I103</f>
        <v>-100420.84025393079</v>
      </c>
      <c r="L121" s="757">
        <f>K121*(J121/I121)</f>
        <v>-121228.49999267321</v>
      </c>
      <c r="M121" s="278" t="str">
        <f>$I$112</f>
        <v>Financial</v>
      </c>
      <c r="N121" s="326">
        <f>$H$112</f>
        <v>2.1428571428571401</v>
      </c>
      <c r="O121" s="278" t="s">
        <v>718</v>
      </c>
      <c r="P121" s="278" t="str">
        <f>$J$112</f>
        <v>Reliable source and logical application</v>
      </c>
      <c r="Q121" s="299">
        <v>3</v>
      </c>
      <c r="R121" s="278" t="str">
        <f t="shared" si="7"/>
        <v>CIRIA (2019) B£ST W047b B£ST Guidance - Guidance to assess the benefits of blue and green infrastructure using B£ST Release Version 5</v>
      </c>
      <c r="S121" s="278" t="str">
        <f t="shared" si="7"/>
        <v>B£ST</v>
      </c>
      <c r="T121" s="278">
        <f t="shared" si="7"/>
        <v>2019</v>
      </c>
      <c r="U121" s="278" t="str">
        <f t="shared" si="7"/>
        <v>UK</v>
      </c>
      <c r="V121" s="278" t="str">
        <f t="shared" si="7"/>
        <v>UK Wide</v>
      </c>
      <c r="W121" s="278" t="str">
        <f t="shared" si="7"/>
        <v>/</v>
      </c>
    </row>
    <row r="123" spans="1:23">
      <c r="A123" s="721"/>
      <c r="B123" s="722" t="s">
        <v>1297</v>
      </c>
      <c r="C123" s="721"/>
      <c r="D123" s="721"/>
      <c r="E123" s="721"/>
      <c r="F123" s="721"/>
      <c r="G123" s="721"/>
      <c r="H123" s="721"/>
    </row>
    <row r="124" spans="1:23">
      <c r="A124" s="727"/>
      <c r="B124" s="729" t="s">
        <v>897</v>
      </c>
      <c r="C124" s="727"/>
      <c r="D124" s="727"/>
      <c r="E124" s="727"/>
      <c r="F124" s="727"/>
      <c r="G124" s="727"/>
      <c r="H124" s="727"/>
    </row>
    <row r="125" spans="1:23">
      <c r="B125" s="277" t="s">
        <v>898</v>
      </c>
      <c r="C125" s="277" t="s">
        <v>899</v>
      </c>
    </row>
    <row r="126" spans="1:23">
      <c r="B126" s="278" t="s">
        <v>1298</v>
      </c>
      <c r="C126" s="278" t="s">
        <v>1299</v>
      </c>
    </row>
    <row r="127" spans="1:23">
      <c r="B127" s="16"/>
    </row>
    <row r="128" spans="1:23">
      <c r="A128" s="727"/>
      <c r="B128" s="728" t="s">
        <v>1028</v>
      </c>
      <c r="C128" s="727"/>
      <c r="D128" s="727"/>
      <c r="E128" s="727"/>
      <c r="F128" s="727"/>
      <c r="G128" s="727"/>
      <c r="H128" s="727"/>
    </row>
    <row r="129" spans="1:8">
      <c r="A129" s="725"/>
      <c r="B129" s="726" t="s">
        <v>912</v>
      </c>
      <c r="C129" s="725"/>
      <c r="D129" s="725"/>
      <c r="E129" s="725"/>
      <c r="F129" s="725"/>
      <c r="G129" s="725"/>
      <c r="H129" s="725"/>
    </row>
    <row r="130" spans="1:8" ht="29.1">
      <c r="B130" s="719" t="s">
        <v>913</v>
      </c>
      <c r="C130" s="719" t="s">
        <v>914</v>
      </c>
      <c r="D130" s="752" t="s">
        <v>915</v>
      </c>
      <c r="E130" s="752" t="s">
        <v>916</v>
      </c>
      <c r="F130" s="719" t="s">
        <v>917</v>
      </c>
      <c r="G130" s="719" t="s">
        <v>918</v>
      </c>
      <c r="H130" s="719" t="s">
        <v>919</v>
      </c>
    </row>
    <row r="131" spans="1:8" ht="43.5">
      <c r="B131" s="278">
        <v>74</v>
      </c>
      <c r="C131" s="448" t="s">
        <v>1300</v>
      </c>
      <c r="D131" s="449" t="s">
        <v>717</v>
      </c>
      <c r="E131" s="278">
        <v>2024</v>
      </c>
      <c r="F131" s="388" t="s">
        <v>1047</v>
      </c>
      <c r="G131" s="278" t="s">
        <v>1047</v>
      </c>
      <c r="H131" s="434" t="s">
        <v>907</v>
      </c>
    </row>
    <row r="132" spans="1:8">
      <c r="B132" s="16"/>
    </row>
    <row r="133" spans="1:8">
      <c r="A133" s="725"/>
      <c r="B133" s="726" t="s">
        <v>924</v>
      </c>
      <c r="C133" s="725"/>
      <c r="D133" s="725"/>
      <c r="E133" s="725"/>
      <c r="F133" s="725"/>
      <c r="G133" s="725"/>
      <c r="H133" s="725"/>
    </row>
    <row r="134" spans="1:8">
      <c r="B134" s="277" t="s">
        <v>165</v>
      </c>
      <c r="C134" s="277" t="s">
        <v>925</v>
      </c>
      <c r="D134" s="277" t="s">
        <v>926</v>
      </c>
      <c r="E134" s="1134" t="s">
        <v>927</v>
      </c>
      <c r="F134" s="1134"/>
      <c r="G134" s="1134"/>
      <c r="H134" s="1134"/>
    </row>
    <row r="135" spans="1:8">
      <c r="B135" s="278" t="s">
        <v>169</v>
      </c>
      <c r="C135" s="278" t="s">
        <v>166</v>
      </c>
      <c r="D135" s="278">
        <f>VLOOKUP(C135,METHODOLOGY!$C$175:$D$177,2,FALSE)</f>
        <v>3</v>
      </c>
      <c r="E135" s="1087" t="str">
        <f>_xlfn.XLOOKUP(C135,METHODOLOGY!$E$150:$O$150,METHODOLOGY!$E$151:$O$151,"",0,1)</f>
        <v>Monetary values have been peer reviewed or are recommended / referenced in other, well recognised and accepted guidance / tools relevant to the water sector.</v>
      </c>
      <c r="F135" s="1087"/>
      <c r="G135" s="1087"/>
      <c r="H135" s="1087"/>
    </row>
    <row r="136" spans="1:8">
      <c r="B136" s="278" t="s">
        <v>173</v>
      </c>
      <c r="C136" s="278" t="s">
        <v>166</v>
      </c>
      <c r="D136" s="278">
        <f>VLOOKUP(C136,METHODOLOGY!$C$175:$D$177,2,FALSE)</f>
        <v>3</v>
      </c>
      <c r="E136" s="1087" t="str">
        <f>_xlfn.XLOOKUP(C136,METHODOLOGY!$E$150:$O$150,METHODOLOGY!$E$155:$O$155,"",0,1)</f>
        <v>Study has few limitations and is considered robust.</v>
      </c>
      <c r="F136" s="1087"/>
      <c r="G136" s="1087"/>
      <c r="H136" s="1087"/>
    </row>
    <row r="137" spans="1:8">
      <c r="B137" s="278" t="s">
        <v>177</v>
      </c>
      <c r="C137" s="278" t="s">
        <v>166</v>
      </c>
      <c r="D137" s="278">
        <f>VLOOKUP(C137,METHODOLOGY!$C$175:$D$177,2,FALSE)</f>
        <v>3</v>
      </c>
      <c r="E137" s="1087" t="str">
        <f>_xlfn.XLOOKUP(C137,METHODOLOGY!$E$150:$O$150,METHODOLOGY!$E$158:$O$158,"",0,1)</f>
        <v>0 – 5 years</v>
      </c>
      <c r="F137" s="1087"/>
      <c r="G137" s="1087"/>
      <c r="H137" s="1087"/>
    </row>
    <row r="138" spans="1:8">
      <c r="B138" s="278" t="s">
        <v>181</v>
      </c>
      <c r="C138" s="278" t="s">
        <v>166</v>
      </c>
      <c r="D138" s="278">
        <f>VLOOKUP(C138,METHODOLOGY!$C$175:$D$177,2,FALSE)</f>
        <v>3</v>
      </c>
      <c r="E138" s="1087" t="str">
        <f>_xlfn.XLOOKUP(C138,METHODOLOGY!$E$150:$O$150,METHODOLOGY!$E$160:$O$160,"",0,1)</f>
        <v>Geographically relevant to UK</v>
      </c>
      <c r="F138" s="1087"/>
      <c r="G138" s="1087"/>
      <c r="H138" s="1087"/>
    </row>
    <row r="139" spans="1:8">
      <c r="B139" s="278" t="s">
        <v>928</v>
      </c>
      <c r="C139" s="278" t="s">
        <v>166</v>
      </c>
      <c r="D139" s="278">
        <f>VLOOKUP(C139,METHODOLOGY!$C$175:$D$177,2,FALSE)</f>
        <v>3</v>
      </c>
      <c r="E139" s="1087" t="str">
        <f>_xlfn.XLOOKUP(C139,METHODOLOGY!$E$150:$O$150,METHODOLOGY!$E$162:$O$162,"",0,1)</f>
        <v>Clear understanding of the valuation method and how the value should be applied.</v>
      </c>
      <c r="F139" s="1087"/>
      <c r="G139" s="1087"/>
      <c r="H139" s="1087"/>
    </row>
    <row r="140" spans="1:8">
      <c r="B140" s="278" t="s">
        <v>189</v>
      </c>
      <c r="C140" s="278" t="s">
        <v>168</v>
      </c>
      <c r="D140" s="278">
        <f>VLOOKUP(C140,METHODOLOGY!$C$175:$D$177,2,FALSE)</f>
        <v>1</v>
      </c>
      <c r="E140" s="1087" t="str">
        <f>_xlfn.XLOOKUP(C140,METHODOLOGY!$E$150:$O$150,METHODOLOGY!$E$164:$O$164,"",0,1)</f>
        <v xml:space="preserve">The original valuation can be used with significant modification e.g. several additional data inputs are required to use the original source. The calculation is complex or introduces significant uncertainty. </v>
      </c>
      <c r="F140" s="1087"/>
      <c r="G140" s="1087"/>
      <c r="H140" s="1087"/>
    </row>
    <row r="141" spans="1:8">
      <c r="C141" s="282" t="s">
        <v>924</v>
      </c>
      <c r="D141" s="326">
        <f>IF(AND(D140=1,AVERAGE(D135:D140)&gt;2.14285714285714),2.14285714285714,IF(AND(D140=2,AVERAGE(D135:D140)&gt;2.57142857142857),2.57142857142857,AVERAGE(D135:D140)))</f>
        <v>2.1428571428571401</v>
      </c>
      <c r="E141" s="270" t="str">
        <f>IF(D141&lt;=2.14285714285714,"Red",IF(D141&lt;=2.57142857142857,"Amber",IF(D141&lt;=3,"Green")))</f>
        <v>Red</v>
      </c>
    </row>
    <row r="144" spans="1:8">
      <c r="A144" s="725"/>
      <c r="B144" s="726" t="s">
        <v>929</v>
      </c>
      <c r="C144" s="725"/>
      <c r="D144" s="725"/>
      <c r="E144" s="725"/>
      <c r="F144" s="725"/>
      <c r="G144" s="725"/>
      <c r="H144" s="725"/>
    </row>
    <row r="145" spans="1:13">
      <c r="B145" s="233" t="s">
        <v>898</v>
      </c>
      <c r="C145" s="277" t="s">
        <v>902</v>
      </c>
      <c r="D145" s="277" t="s">
        <v>331</v>
      </c>
      <c r="E145" s="277" t="s">
        <v>226</v>
      </c>
      <c r="F145" s="1157" t="s">
        <v>930</v>
      </c>
      <c r="G145" s="1157"/>
      <c r="H145" s="1157"/>
      <c r="I145" s="1157"/>
      <c r="J145" s="1157"/>
      <c r="K145" s="1157"/>
      <c r="L145" s="277" t="s">
        <v>913</v>
      </c>
      <c r="M145" s="277" t="s">
        <v>169</v>
      </c>
    </row>
    <row r="146" spans="1:13" ht="39.75" customHeight="1">
      <c r="B146" s="1087" t="s">
        <v>1297</v>
      </c>
      <c r="C146" s="1095" t="s">
        <v>1301</v>
      </c>
      <c r="D146" s="281">
        <f ca="1">'Carbon values'!$H$16</f>
        <v>376</v>
      </c>
      <c r="E146" s="281" t="s">
        <v>1302</v>
      </c>
      <c r="F146" s="1194" t="s">
        <v>1194</v>
      </c>
      <c r="G146" s="1195"/>
      <c r="H146" s="1195"/>
      <c r="I146" s="1195"/>
      <c r="J146" s="1195"/>
      <c r="K146" s="1195"/>
      <c r="L146" s="392">
        <v>40</v>
      </c>
      <c r="M146" s="278" t="s">
        <v>1303</v>
      </c>
    </row>
    <row r="147" spans="1:13" ht="15" customHeight="1">
      <c r="B147" s="1087"/>
      <c r="C147" s="1095"/>
      <c r="D147" s="304">
        <f>'COMPANY INPUT'!C6</f>
        <v>2676565</v>
      </c>
      <c r="E147" s="278" t="s">
        <v>1251</v>
      </c>
      <c r="F147" s="1095" t="s">
        <v>1304</v>
      </c>
      <c r="G147" s="1095"/>
      <c r="H147" s="1095"/>
      <c r="I147" s="1095"/>
      <c r="J147" s="1095"/>
      <c r="K147" s="1095"/>
      <c r="L147" s="392">
        <v>49</v>
      </c>
      <c r="M147" s="278" t="s">
        <v>1234</v>
      </c>
    </row>
    <row r="148" spans="1:13">
      <c r="B148" s="1087"/>
      <c r="C148" s="1095"/>
      <c r="D148" s="278">
        <f>'COMPANY INPUT'!C7</f>
        <v>248</v>
      </c>
      <c r="E148" s="278" t="s">
        <v>1305</v>
      </c>
      <c r="F148" s="1087" t="s">
        <v>1306</v>
      </c>
      <c r="G148" s="1087"/>
      <c r="H148" s="1087"/>
      <c r="I148" s="1087"/>
      <c r="J148" s="1087"/>
      <c r="K148" s="1087"/>
      <c r="L148" s="1190">
        <v>74</v>
      </c>
      <c r="M148" s="1095" t="s">
        <v>1307</v>
      </c>
    </row>
    <row r="149" spans="1:13">
      <c r="B149" s="1087"/>
      <c r="C149" s="1095"/>
      <c r="D149" s="278">
        <f>'COMPANY INPUT'!C8</f>
        <v>320</v>
      </c>
      <c r="E149" s="278" t="s">
        <v>1308</v>
      </c>
      <c r="F149" s="1087" t="s">
        <v>1309</v>
      </c>
      <c r="G149" s="1087"/>
      <c r="H149" s="1087"/>
      <c r="I149" s="1087"/>
      <c r="J149" s="1087"/>
      <c r="K149" s="1087"/>
      <c r="L149" s="1190"/>
      <c r="M149" s="1095"/>
    </row>
    <row r="150" spans="1:13">
      <c r="B150" s="1087"/>
      <c r="C150" s="1095"/>
      <c r="D150" s="278">
        <f>D148/1000</f>
        <v>0.248</v>
      </c>
      <c r="E150" s="278" t="s">
        <v>1310</v>
      </c>
      <c r="F150" s="1087" t="s">
        <v>1306</v>
      </c>
      <c r="G150" s="1087"/>
      <c r="H150" s="1087"/>
      <c r="I150" s="1087"/>
      <c r="J150" s="1087"/>
      <c r="K150" s="1087"/>
      <c r="L150" s="1190"/>
      <c r="M150" s="1095"/>
    </row>
    <row r="151" spans="1:13">
      <c r="B151" s="1087"/>
      <c r="C151" s="1095"/>
      <c r="D151" s="278">
        <f>D149/1000</f>
        <v>0.32</v>
      </c>
      <c r="E151" s="278" t="s">
        <v>1311</v>
      </c>
      <c r="F151" s="1087" t="s">
        <v>1309</v>
      </c>
      <c r="G151" s="1087"/>
      <c r="H151" s="1087"/>
      <c r="I151" s="1087"/>
      <c r="J151" s="1087"/>
      <c r="K151" s="1087"/>
      <c r="L151" s="1190"/>
      <c r="M151" s="1095"/>
    </row>
    <row r="153" spans="1:13">
      <c r="A153" s="725"/>
      <c r="B153" s="726" t="s">
        <v>936</v>
      </c>
      <c r="C153" s="725"/>
      <c r="D153" s="725"/>
      <c r="E153" s="725"/>
      <c r="F153" s="725"/>
      <c r="G153" s="725"/>
      <c r="H153" s="725"/>
    </row>
    <row r="154" spans="1:13">
      <c r="B154" s="285" t="s">
        <v>898</v>
      </c>
      <c r="C154" s="285" t="s">
        <v>902</v>
      </c>
      <c r="D154" s="294" t="s">
        <v>331</v>
      </c>
      <c r="E154" s="294" t="s">
        <v>226</v>
      </c>
      <c r="F154" s="1224" t="s">
        <v>930</v>
      </c>
      <c r="G154" s="1224"/>
      <c r="H154" s="1224"/>
    </row>
    <row r="155" spans="1:13">
      <c r="B155" s="1216" t="s">
        <v>1297</v>
      </c>
      <c r="C155" s="1216" t="s">
        <v>508</v>
      </c>
      <c r="D155" s="278">
        <f>D150</f>
        <v>0.248</v>
      </c>
      <c r="E155" s="281" t="s">
        <v>1312</v>
      </c>
      <c r="F155" s="1087" t="s">
        <v>1313</v>
      </c>
      <c r="G155" s="1087"/>
      <c r="H155" s="1087"/>
    </row>
    <row r="156" spans="1:13">
      <c r="B156" s="1217"/>
      <c r="C156" s="1217"/>
      <c r="D156" s="281">
        <f>D155/1000000</f>
        <v>2.48E-7</v>
      </c>
      <c r="E156" s="281" t="s">
        <v>1314</v>
      </c>
      <c r="F156" s="1219" t="s">
        <v>1315</v>
      </c>
      <c r="G156" s="1220"/>
      <c r="H156" s="1221"/>
    </row>
    <row r="157" spans="1:13">
      <c r="B157" s="1217"/>
      <c r="C157" s="1217"/>
      <c r="D157" s="278">
        <f ca="1">D146</f>
        <v>376</v>
      </c>
      <c r="E157" s="278" t="s">
        <v>1302</v>
      </c>
      <c r="F157" s="1207" t="s">
        <v>1194</v>
      </c>
      <c r="G157" s="1220"/>
      <c r="H157" s="1221"/>
    </row>
    <row r="158" spans="1:13">
      <c r="B158" s="1217"/>
      <c r="C158" s="1217"/>
      <c r="D158" s="281">
        <f ca="1">D156*D157</f>
        <v>9.3247999999999999E-5</v>
      </c>
      <c r="E158" s="278" t="s">
        <v>1316</v>
      </c>
      <c r="F158" s="1219" t="s">
        <v>1317</v>
      </c>
      <c r="G158" s="1220"/>
      <c r="H158" s="1221"/>
    </row>
    <row r="159" spans="1:13">
      <c r="B159" s="1217"/>
      <c r="C159" s="1217"/>
      <c r="D159" s="440">
        <f>'COMPANY INPUT'!C6</f>
        <v>2676565</v>
      </c>
      <c r="E159" s="281" t="s">
        <v>1251</v>
      </c>
      <c r="F159" s="1219" t="s">
        <v>1250</v>
      </c>
      <c r="G159" s="1220"/>
      <c r="H159" s="1221"/>
    </row>
    <row r="160" spans="1:13">
      <c r="B160" s="1217"/>
      <c r="C160" s="1217"/>
      <c r="D160" s="281">
        <v>365</v>
      </c>
      <c r="E160" s="281" t="s">
        <v>1318</v>
      </c>
      <c r="F160" s="1219" t="s">
        <v>1319</v>
      </c>
      <c r="G160" s="1220"/>
      <c r="H160" s="1221"/>
    </row>
    <row r="161" spans="2:8">
      <c r="B161" s="1217"/>
      <c r="C161" s="1217"/>
      <c r="D161" s="441">
        <f ca="1">D160*D159*D158</f>
        <v>91098.281588800004</v>
      </c>
      <c r="E161" s="281" t="s">
        <v>1253</v>
      </c>
      <c r="F161" s="1087" t="s">
        <v>1320</v>
      </c>
      <c r="G161" s="1087"/>
      <c r="H161" s="1087"/>
    </row>
    <row r="162" spans="2:8">
      <c r="B162" s="1218"/>
      <c r="C162" s="1218"/>
      <c r="D162" s="441">
        <f ca="1">-D158*D160*D159</f>
        <v>-91098.281588800004</v>
      </c>
      <c r="E162" s="281" t="s">
        <v>1253</v>
      </c>
      <c r="F162" s="1087" t="s">
        <v>1321</v>
      </c>
      <c r="G162" s="1087"/>
      <c r="H162" s="1087"/>
    </row>
    <row r="164" spans="2:8">
      <c r="B164" s="234" t="s">
        <v>898</v>
      </c>
      <c r="C164" s="234" t="s">
        <v>902</v>
      </c>
      <c r="D164" s="235" t="s">
        <v>331</v>
      </c>
      <c r="E164" s="235" t="s">
        <v>226</v>
      </c>
      <c r="F164" s="1222" t="s">
        <v>930</v>
      </c>
      <c r="G164" s="1222"/>
      <c r="H164" s="1222"/>
    </row>
    <row r="165" spans="2:8">
      <c r="B165" s="1087" t="s">
        <v>1297</v>
      </c>
      <c r="C165" s="1195" t="s">
        <v>509</v>
      </c>
      <c r="D165" s="278">
        <f ca="1">D146</f>
        <v>376</v>
      </c>
      <c r="E165" s="278" t="s">
        <v>1322</v>
      </c>
      <c r="F165" s="1223" t="s">
        <v>1194</v>
      </c>
      <c r="G165" s="1087"/>
      <c r="H165" s="1087"/>
    </row>
    <row r="166" spans="2:8" ht="15" customHeight="1">
      <c r="B166" s="1087"/>
      <c r="C166" s="1195"/>
      <c r="D166" s="278">
        <f>D150</f>
        <v>0.248</v>
      </c>
      <c r="E166" s="281" t="s">
        <v>1312</v>
      </c>
      <c r="F166" s="1095" t="s">
        <v>1323</v>
      </c>
      <c r="G166" s="1095"/>
      <c r="H166" s="1095"/>
    </row>
    <row r="167" spans="2:8">
      <c r="B167" s="1087"/>
      <c r="C167" s="1195"/>
      <c r="D167" s="278">
        <f ca="1">-D165*D166</f>
        <v>-93.248000000000005</v>
      </c>
      <c r="E167" s="278" t="s">
        <v>1324</v>
      </c>
      <c r="F167" s="1195" t="s">
        <v>1325</v>
      </c>
      <c r="G167" s="1195"/>
      <c r="H167" s="1195"/>
    </row>
    <row r="168" spans="2:8">
      <c r="C168" s="211"/>
      <c r="D168" s="22"/>
      <c r="G168" s="22"/>
    </row>
    <row r="169" spans="2:8">
      <c r="B169" s="285" t="s">
        <v>898</v>
      </c>
      <c r="C169" s="285" t="s">
        <v>902</v>
      </c>
      <c r="D169" s="294" t="s">
        <v>331</v>
      </c>
      <c r="E169" s="294" t="s">
        <v>226</v>
      </c>
      <c r="F169" s="1224" t="s">
        <v>930</v>
      </c>
      <c r="G169" s="1224"/>
      <c r="H169" s="1224"/>
    </row>
    <row r="170" spans="2:8">
      <c r="B170" s="1087" t="s">
        <v>1297</v>
      </c>
      <c r="C170" s="1095" t="s">
        <v>510</v>
      </c>
      <c r="D170" s="375">
        <f ca="1">D146</f>
        <v>376</v>
      </c>
      <c r="E170" s="278" t="s">
        <v>255</v>
      </c>
      <c r="F170" s="1223" t="s">
        <v>1194</v>
      </c>
      <c r="G170" s="1087"/>
      <c r="H170" s="1087"/>
    </row>
    <row r="171" spans="2:8">
      <c r="B171" s="1087" t="s">
        <v>453</v>
      </c>
      <c r="C171" s="1095"/>
      <c r="D171" s="278">
        <f>D150</f>
        <v>0.248</v>
      </c>
      <c r="E171" s="281" t="s">
        <v>1312</v>
      </c>
      <c r="F171" s="1087" t="s">
        <v>1326</v>
      </c>
      <c r="G171" s="1087"/>
      <c r="H171" s="1087"/>
    </row>
    <row r="172" spans="2:8">
      <c r="B172" s="1087" t="s">
        <v>453</v>
      </c>
      <c r="C172" s="1095"/>
      <c r="D172" s="278">
        <f ca="1">-D165*D171</f>
        <v>-93.248000000000005</v>
      </c>
      <c r="E172" s="278" t="s">
        <v>1324</v>
      </c>
      <c r="F172" s="1188" t="s">
        <v>1325</v>
      </c>
      <c r="G172" s="1188"/>
      <c r="H172" s="1188"/>
    </row>
    <row r="174" spans="2:8">
      <c r="B174" s="285" t="s">
        <v>898</v>
      </c>
      <c r="C174" s="294" t="s">
        <v>902</v>
      </c>
      <c r="D174" s="294" t="s">
        <v>331</v>
      </c>
      <c r="E174" s="294" t="s">
        <v>226</v>
      </c>
    </row>
    <row r="175" spans="2:8">
      <c r="B175" s="278" t="s">
        <v>453</v>
      </c>
      <c r="C175" s="278" t="s">
        <v>508</v>
      </c>
      <c r="D175" s="297">
        <f ca="1">D162</f>
        <v>-91098.281588800004</v>
      </c>
      <c r="E175" s="281" t="s">
        <v>1253</v>
      </c>
    </row>
    <row r="176" spans="2:8">
      <c r="B176" s="278" t="s">
        <v>453</v>
      </c>
      <c r="C176" s="278" t="s">
        <v>509</v>
      </c>
      <c r="D176" s="300">
        <f ca="1">D167</f>
        <v>-93.248000000000005</v>
      </c>
      <c r="E176" s="278" t="s">
        <v>1327</v>
      </c>
    </row>
    <row r="177" spans="1:23">
      <c r="B177" s="278" t="s">
        <v>453</v>
      </c>
      <c r="C177" s="278" t="s">
        <v>510</v>
      </c>
      <c r="D177" s="300">
        <f ca="1">D172</f>
        <v>-93.248000000000005</v>
      </c>
      <c r="E177" s="278" t="s">
        <v>1327</v>
      </c>
    </row>
    <row r="179" spans="1:23">
      <c r="A179" s="727"/>
      <c r="B179" s="728" t="s">
        <v>901</v>
      </c>
      <c r="C179" s="727"/>
      <c r="D179" s="727"/>
      <c r="E179" s="727"/>
      <c r="F179" s="727"/>
      <c r="G179" s="727"/>
      <c r="H179" s="727"/>
    </row>
    <row r="180" spans="1:23" ht="29.1">
      <c r="B180" s="522" t="s">
        <v>902</v>
      </c>
      <c r="C180" s="522" t="s">
        <v>898</v>
      </c>
      <c r="D180" s="522" t="s">
        <v>899</v>
      </c>
      <c r="E180" s="719" t="s">
        <v>903</v>
      </c>
      <c r="F180" s="522" t="s">
        <v>904</v>
      </c>
      <c r="G180" s="522" t="s">
        <v>905</v>
      </c>
      <c r="H180" s="756" t="s">
        <v>924</v>
      </c>
      <c r="I180" s="756" t="s">
        <v>956</v>
      </c>
      <c r="J180" s="756" t="s">
        <v>927</v>
      </c>
    </row>
    <row r="181" spans="1:23">
      <c r="B181" s="278" t="s">
        <v>508</v>
      </c>
      <c r="C181" s="278" t="s">
        <v>1228</v>
      </c>
      <c r="D181" s="299" t="str">
        <f>$C$126</f>
        <v>Avoided GHG emissions as a result of reduced consumption</v>
      </c>
      <c r="E181" s="299" t="s">
        <v>1202</v>
      </c>
      <c r="F181" s="278" t="str" cm="1">
        <f t="array" ref="F181">_xlfn.XLOOKUP(1,(D187:D189=B181)*(E187:E189=C181),B187:B189,"Not found",0,1)</f>
        <v>10-6</v>
      </c>
      <c r="G181" s="311">
        <f ca="1">VLOOKUP(F181,B187:L189,11,FALSE)</f>
        <v>-102273.15822191785</v>
      </c>
      <c r="H181" s="1120">
        <f>D141</f>
        <v>2.1428571428571401</v>
      </c>
      <c r="I181" s="1149" t="s">
        <v>1328</v>
      </c>
      <c r="J181" s="1149" t="s">
        <v>1329</v>
      </c>
    </row>
    <row r="182" spans="1:23">
      <c r="B182" s="278" t="s">
        <v>509</v>
      </c>
      <c r="C182" s="278" t="s">
        <v>1228</v>
      </c>
      <c r="D182" s="299" t="str">
        <f>$C$126</f>
        <v>Avoided GHG emissions as a result of reduced consumption</v>
      </c>
      <c r="E182" s="299" t="s">
        <v>1202</v>
      </c>
      <c r="F182" s="278" t="str" cm="1">
        <f t="array" ref="F182">_xlfn.XLOOKUP(1,(D188:D190=B182)*(E188:E190=C182),B188:B190,"Not found",0,1)</f>
        <v>10-7</v>
      </c>
      <c r="G182" s="311">
        <f ca="1">VLOOKUP(F182,B188:L189,11,FALSE)</f>
        <v>-104.68657906111245</v>
      </c>
      <c r="H182" s="1121"/>
      <c r="I182" s="1149"/>
      <c r="J182" s="1149"/>
    </row>
    <row r="183" spans="1:23">
      <c r="B183" s="278" t="s">
        <v>510</v>
      </c>
      <c r="C183" s="278" t="s">
        <v>1228</v>
      </c>
      <c r="D183" s="299" t="str">
        <f>$C$126</f>
        <v>Avoided GHG emissions as a result of reduced consumption</v>
      </c>
      <c r="E183" s="299" t="s">
        <v>1202</v>
      </c>
      <c r="F183" s="278" t="str" cm="1">
        <f t="array" ref="F183">_xlfn.XLOOKUP(1,(D189:D308=B183)*(E189:E308=C183),B189:B308,"Not found",0,1)</f>
        <v>10-8</v>
      </c>
      <c r="G183" s="311">
        <f ca="1">VLOOKUP(F183,B189:L189,11,FALSE)</f>
        <v>-104.68657906111245</v>
      </c>
      <c r="H183" s="1122"/>
      <c r="I183" s="1149"/>
      <c r="J183" s="1149"/>
    </row>
    <row r="184" spans="1:23">
      <c r="B184" s="18"/>
    </row>
    <row r="185" spans="1:23">
      <c r="A185" s="725"/>
      <c r="B185" s="726" t="s">
        <v>962</v>
      </c>
      <c r="C185" s="725"/>
      <c r="D185" s="725"/>
      <c r="E185" s="725"/>
      <c r="F185" s="725"/>
      <c r="G185" s="725"/>
      <c r="H185" s="725"/>
    </row>
    <row r="186" spans="1:23">
      <c r="B186" s="277" t="s">
        <v>904</v>
      </c>
      <c r="C186" s="277" t="s">
        <v>62</v>
      </c>
      <c r="D186" s="277" t="s">
        <v>902</v>
      </c>
      <c r="E186" s="277" t="s">
        <v>898</v>
      </c>
      <c r="F186" s="277" t="s">
        <v>916</v>
      </c>
      <c r="G186" s="277" t="s">
        <v>963</v>
      </c>
      <c r="H186" s="277" t="s">
        <v>964</v>
      </c>
      <c r="I186" s="277" t="s">
        <v>965</v>
      </c>
      <c r="J186" s="277" t="s">
        <v>966</v>
      </c>
      <c r="K186" s="277" t="s">
        <v>967</v>
      </c>
      <c r="L186" s="277" t="s">
        <v>968</v>
      </c>
      <c r="M186" s="277" t="s">
        <v>956</v>
      </c>
      <c r="N186" s="277" t="s">
        <v>969</v>
      </c>
      <c r="O186" s="277" t="s">
        <v>970</v>
      </c>
      <c r="P186" s="277" t="s">
        <v>927</v>
      </c>
      <c r="Q186" s="277" t="s">
        <v>913</v>
      </c>
      <c r="R186" s="277" t="s">
        <v>914</v>
      </c>
      <c r="S186" s="277" t="s">
        <v>915</v>
      </c>
      <c r="T186" s="277" t="s">
        <v>916</v>
      </c>
      <c r="U186" s="277" t="s">
        <v>1291</v>
      </c>
      <c r="V186" s="277" t="s">
        <v>918</v>
      </c>
      <c r="W186" s="277" t="s">
        <v>919</v>
      </c>
    </row>
    <row r="187" spans="1:23">
      <c r="B187" s="302" t="s">
        <v>1330</v>
      </c>
      <c r="C187" s="279" t="s">
        <v>375</v>
      </c>
      <c r="D187" s="278" t="s">
        <v>508</v>
      </c>
      <c r="E187" s="278" t="s">
        <v>1228</v>
      </c>
      <c r="F187" s="299">
        <f>E131</f>
        <v>2024</v>
      </c>
      <c r="G187" s="278">
        <v>2020</v>
      </c>
      <c r="H187" s="278">
        <f>'COMPANY INPUT'!$C$16</f>
        <v>2023</v>
      </c>
      <c r="I187" s="278">
        <f>VLOOKUP(G187,'GDP Deflators'!$H$13:$I$86,2,FALSE)</f>
        <v>89.073499999999996</v>
      </c>
      <c r="J187" s="278">
        <f>VLOOKUP(H187,'GDP Deflators'!$H$13:$I$86,2,FALSE)</f>
        <v>100</v>
      </c>
      <c r="K187" s="385">
        <f ca="1">D175</f>
        <v>-91098.281588800004</v>
      </c>
      <c r="L187" s="746">
        <f ca="1">K187*(J187/I187)</f>
        <v>-102273.15822191785</v>
      </c>
      <c r="M187" s="278" t="str">
        <f>$I$181</f>
        <v>Carbon price</v>
      </c>
      <c r="N187" s="326">
        <f>$H$181</f>
        <v>2.1428571428571401</v>
      </c>
      <c r="O187" s="278" t="s">
        <v>718</v>
      </c>
      <c r="P187" s="278" t="str">
        <f>$J$181</f>
        <v>UK government carbon prices and sector-specific carbon emissions</v>
      </c>
      <c r="Q187" s="299">
        <f t="shared" ref="Q187:W189" si="8">B$131</f>
        <v>74</v>
      </c>
      <c r="R187" s="299" t="str">
        <f t="shared" si="8"/>
        <v xml:space="preserve">Discover Water (2024) Energy and emissions: Greenhouse gas emissions from English and Welsh water companies. </v>
      </c>
      <c r="S187" s="299" t="str">
        <f t="shared" si="8"/>
        <v>No</v>
      </c>
      <c r="T187" s="299">
        <f t="shared" si="8"/>
        <v>2024</v>
      </c>
      <c r="U187" s="299" t="str">
        <f t="shared" si="8"/>
        <v>UK</v>
      </c>
      <c r="V187" s="299" t="str">
        <f t="shared" si="8"/>
        <v>UK</v>
      </c>
      <c r="W187" s="299" t="str">
        <f t="shared" si="8"/>
        <v>/</v>
      </c>
    </row>
    <row r="188" spans="1:23">
      <c r="B188" s="302" t="s">
        <v>1331</v>
      </c>
      <c r="C188" s="279" t="s">
        <v>375</v>
      </c>
      <c r="D188" s="278" t="s">
        <v>509</v>
      </c>
      <c r="E188" s="278" t="s">
        <v>1228</v>
      </c>
      <c r="F188" s="299">
        <f>E131</f>
        <v>2024</v>
      </c>
      <c r="G188" s="278">
        <v>2020</v>
      </c>
      <c r="H188" s="278">
        <f>'COMPANY INPUT'!$C$16</f>
        <v>2023</v>
      </c>
      <c r="I188" s="278">
        <f>VLOOKUP(G188,'GDP Deflators'!$H$13:$I$86,2,FALSE)</f>
        <v>89.073499999999996</v>
      </c>
      <c r="J188" s="278">
        <f>VLOOKUP(H188,'GDP Deflators'!$H$13:$I$86,2,FALSE)</f>
        <v>100</v>
      </c>
      <c r="K188" s="385">
        <f ca="1">D176</f>
        <v>-93.248000000000005</v>
      </c>
      <c r="L188" s="746">
        <f ca="1">K188*(J188/I188)</f>
        <v>-104.68657906111245</v>
      </c>
      <c r="M188" s="278" t="str">
        <f>$I$181</f>
        <v>Carbon price</v>
      </c>
      <c r="N188" s="326">
        <f>$H$181</f>
        <v>2.1428571428571401</v>
      </c>
      <c r="O188" s="278" t="s">
        <v>718</v>
      </c>
      <c r="P188" s="278" t="str">
        <f>$J$181</f>
        <v>UK government carbon prices and sector-specific carbon emissions</v>
      </c>
      <c r="Q188" s="299">
        <f t="shared" si="8"/>
        <v>74</v>
      </c>
      <c r="R188" s="299" t="str">
        <f t="shared" si="8"/>
        <v xml:space="preserve">Discover Water (2024) Energy and emissions: Greenhouse gas emissions from English and Welsh water companies. </v>
      </c>
      <c r="S188" s="299" t="str">
        <f t="shared" si="8"/>
        <v>No</v>
      </c>
      <c r="T188" s="299">
        <f t="shared" si="8"/>
        <v>2024</v>
      </c>
      <c r="U188" s="299" t="str">
        <f t="shared" si="8"/>
        <v>UK</v>
      </c>
      <c r="V188" s="299" t="str">
        <f t="shared" si="8"/>
        <v>UK</v>
      </c>
      <c r="W188" s="299" t="str">
        <f t="shared" si="8"/>
        <v>/</v>
      </c>
    </row>
    <row r="189" spans="1:23">
      <c r="B189" s="302" t="s">
        <v>1332</v>
      </c>
      <c r="C189" s="279" t="s">
        <v>375</v>
      </c>
      <c r="D189" s="278" t="s">
        <v>510</v>
      </c>
      <c r="E189" s="278" t="s">
        <v>1228</v>
      </c>
      <c r="F189" s="299">
        <f>E131</f>
        <v>2024</v>
      </c>
      <c r="G189" s="278">
        <v>2020</v>
      </c>
      <c r="H189" s="278">
        <f>'COMPANY INPUT'!$C$16</f>
        <v>2023</v>
      </c>
      <c r="I189" s="278">
        <f>VLOOKUP(G189,'GDP Deflators'!$H$13:$I$86,2,FALSE)</f>
        <v>89.073499999999996</v>
      </c>
      <c r="J189" s="278">
        <f>VLOOKUP(H189,'GDP Deflators'!$H$13:$I$86,2,FALSE)</f>
        <v>100</v>
      </c>
      <c r="K189" s="385">
        <f ca="1">D177</f>
        <v>-93.248000000000005</v>
      </c>
      <c r="L189" s="746">
        <f ca="1">K189*(J189/I189)</f>
        <v>-104.68657906111245</v>
      </c>
      <c r="M189" s="278" t="str">
        <f>$I$181</f>
        <v>Carbon price</v>
      </c>
      <c r="N189" s="326">
        <f>$H$181</f>
        <v>2.1428571428571401</v>
      </c>
      <c r="O189" s="278" t="s">
        <v>718</v>
      </c>
      <c r="P189" s="278" t="str">
        <f>$J$181</f>
        <v>UK government carbon prices and sector-specific carbon emissions</v>
      </c>
      <c r="Q189" s="299">
        <f t="shared" si="8"/>
        <v>74</v>
      </c>
      <c r="R189" s="299" t="str">
        <f t="shared" si="8"/>
        <v xml:space="preserve">Discover Water (2024) Energy and emissions: Greenhouse gas emissions from English and Welsh water companies. </v>
      </c>
      <c r="S189" s="299" t="str">
        <f t="shared" si="8"/>
        <v>No</v>
      </c>
      <c r="T189" s="299">
        <f t="shared" si="8"/>
        <v>2024</v>
      </c>
      <c r="U189" s="299" t="str">
        <f t="shared" si="8"/>
        <v>UK</v>
      </c>
      <c r="V189" s="299" t="str">
        <f t="shared" si="8"/>
        <v>UK</v>
      </c>
      <c r="W189" s="299" t="str">
        <f t="shared" si="8"/>
        <v>/</v>
      </c>
    </row>
    <row r="191" spans="1:23">
      <c r="A191" s="721"/>
      <c r="B191" s="722" t="s">
        <v>460</v>
      </c>
      <c r="C191" s="721"/>
      <c r="D191" s="721"/>
      <c r="E191" s="721"/>
      <c r="F191" s="721"/>
      <c r="G191" s="721"/>
      <c r="H191" s="721"/>
    </row>
    <row r="192" spans="1:23">
      <c r="A192" s="727"/>
      <c r="B192" s="729" t="s">
        <v>897</v>
      </c>
      <c r="C192" s="727"/>
      <c r="D192" s="727"/>
      <c r="E192" s="727"/>
      <c r="F192" s="727"/>
      <c r="G192" s="727"/>
      <c r="H192" s="727"/>
    </row>
    <row r="193" spans="1:10">
      <c r="B193" s="332" t="s">
        <v>898</v>
      </c>
      <c r="C193" s="277" t="s">
        <v>899</v>
      </c>
    </row>
    <row r="194" spans="1:10">
      <c r="B194" s="390" t="s">
        <v>460</v>
      </c>
      <c r="C194" s="278" t="s">
        <v>1333</v>
      </c>
    </row>
    <row r="195" spans="1:10">
      <c r="B195" s="390" t="s">
        <v>460</v>
      </c>
      <c r="C195" s="278" t="s">
        <v>1334</v>
      </c>
    </row>
    <row r="196" spans="1:10">
      <c r="B196" s="16"/>
    </row>
    <row r="197" spans="1:10">
      <c r="A197" s="727"/>
      <c r="B197" s="728" t="s">
        <v>901</v>
      </c>
      <c r="C197" s="727"/>
      <c r="D197" s="727"/>
      <c r="E197" s="727"/>
      <c r="F197" s="727"/>
      <c r="G197" s="727"/>
      <c r="H197" s="727"/>
    </row>
    <row r="198" spans="1:10" ht="29.1">
      <c r="B198" s="522" t="s">
        <v>902</v>
      </c>
      <c r="C198" s="522" t="s">
        <v>898</v>
      </c>
      <c r="D198" s="522" t="s">
        <v>899</v>
      </c>
      <c r="E198" s="719" t="s">
        <v>903</v>
      </c>
      <c r="F198" s="522" t="s">
        <v>904</v>
      </c>
      <c r="G198" s="705" t="s">
        <v>905</v>
      </c>
      <c r="H198" s="522" t="s">
        <v>924</v>
      </c>
      <c r="I198" s="522" t="s">
        <v>956</v>
      </c>
      <c r="J198" s="522" t="s">
        <v>927</v>
      </c>
    </row>
    <row r="199" spans="1:10">
      <c r="B199" s="214" t="s">
        <v>510</v>
      </c>
      <c r="C199" s="214" t="str">
        <f>B194</f>
        <v>Trust</v>
      </c>
      <c r="D199" s="227" t="str">
        <f>C194</f>
        <v>Reduced trust as a result of using recycled grey water as a substitute to water abstraction</v>
      </c>
      <c r="E199" s="227" t="s">
        <v>906</v>
      </c>
      <c r="F199" s="230" t="s">
        <v>907</v>
      </c>
      <c r="G199" s="634" t="s">
        <v>477</v>
      </c>
      <c r="H199" s="640" t="s">
        <v>907</v>
      </c>
      <c r="I199" s="640" t="s">
        <v>907</v>
      </c>
      <c r="J199" s="640" t="s">
        <v>907</v>
      </c>
    </row>
    <row r="200" spans="1:10">
      <c r="B200" s="207"/>
      <c r="C200" s="207"/>
      <c r="D200" s="236"/>
      <c r="E200" s="236"/>
      <c r="F200" s="207"/>
      <c r="G200" s="237"/>
      <c r="H200" s="23"/>
    </row>
  </sheetData>
  <sheetProtection algorithmName="SHA-512" hashValue="EFPoADRxKLV9VfdQA84C54lq7VQUf6ZxxUxHDAzJerA6wl125RFdLPDKok7GULSLnFEjKPQLelOaG1JBazTXXA==" saltValue="0vzacFgkTYcf8oARim0xcw==" spinCount="100000" sheet="1" objects="1" scenarios="1"/>
  <dataConsolidate/>
  <mergeCells count="100">
    <mergeCell ref="E134:H134"/>
    <mergeCell ref="E135:H135"/>
    <mergeCell ref="E136:H136"/>
    <mergeCell ref="E137:H137"/>
    <mergeCell ref="E78:H78"/>
    <mergeCell ref="E79:H79"/>
    <mergeCell ref="E80:H80"/>
    <mergeCell ref="E81:H81"/>
    <mergeCell ref="E82:H82"/>
    <mergeCell ref="E32:H32"/>
    <mergeCell ref="E33:H33"/>
    <mergeCell ref="E34:H34"/>
    <mergeCell ref="E35:H35"/>
    <mergeCell ref="E76:H76"/>
    <mergeCell ref="E60:G60"/>
    <mergeCell ref="E40:F40"/>
    <mergeCell ref="D9:G9"/>
    <mergeCell ref="B5:H5"/>
    <mergeCell ref="E29:H29"/>
    <mergeCell ref="E30:H30"/>
    <mergeCell ref="E31:H31"/>
    <mergeCell ref="J181:J183"/>
    <mergeCell ref="I181:I183"/>
    <mergeCell ref="H181:H183"/>
    <mergeCell ref="H109:H111"/>
    <mergeCell ref="I109:I111"/>
    <mergeCell ref="J109:J111"/>
    <mergeCell ref="H112:H113"/>
    <mergeCell ref="J112:J113"/>
    <mergeCell ref="I112:I113"/>
    <mergeCell ref="F157:H157"/>
    <mergeCell ref="F156:H156"/>
    <mergeCell ref="F155:H155"/>
    <mergeCell ref="F154:H154"/>
    <mergeCell ref="E138:H138"/>
    <mergeCell ref="E139:H139"/>
    <mergeCell ref="E140:H140"/>
    <mergeCell ref="C165:C167"/>
    <mergeCell ref="B165:B167"/>
    <mergeCell ref="B170:B172"/>
    <mergeCell ref="C170:C172"/>
    <mergeCell ref="F164:H164"/>
    <mergeCell ref="F172:H172"/>
    <mergeCell ref="F171:H171"/>
    <mergeCell ref="F170:H170"/>
    <mergeCell ref="F169:H169"/>
    <mergeCell ref="F165:H165"/>
    <mergeCell ref="F167:H167"/>
    <mergeCell ref="F166:H166"/>
    <mergeCell ref="B155:B162"/>
    <mergeCell ref="C155:C162"/>
    <mergeCell ref="F162:H162"/>
    <mergeCell ref="F161:H161"/>
    <mergeCell ref="F160:H160"/>
    <mergeCell ref="F159:H159"/>
    <mergeCell ref="F158:H158"/>
    <mergeCell ref="F145:K145"/>
    <mergeCell ref="G43:G48"/>
    <mergeCell ref="C41:C49"/>
    <mergeCell ref="E58:G58"/>
    <mergeCell ref="E57:G57"/>
    <mergeCell ref="E56:G56"/>
    <mergeCell ref="E55:G55"/>
    <mergeCell ref="H98:J98"/>
    <mergeCell ref="H87:J87"/>
    <mergeCell ref="E49:F49"/>
    <mergeCell ref="E62:G63"/>
    <mergeCell ref="E61:G61"/>
    <mergeCell ref="H43:H48"/>
    <mergeCell ref="E48:F48"/>
    <mergeCell ref="H95:J97"/>
    <mergeCell ref="E77:H77"/>
    <mergeCell ref="M148:M151"/>
    <mergeCell ref="L148:L151"/>
    <mergeCell ref="B146:B151"/>
    <mergeCell ref="C146:C151"/>
    <mergeCell ref="K88:K97"/>
    <mergeCell ref="F146:K146"/>
    <mergeCell ref="F147:K147"/>
    <mergeCell ref="F151:K151"/>
    <mergeCell ref="F150:K150"/>
    <mergeCell ref="F148:K148"/>
    <mergeCell ref="F149:K149"/>
    <mergeCell ref="B88:B98"/>
    <mergeCell ref="C88:C98"/>
    <mergeCell ref="L88:L97"/>
    <mergeCell ref="H88:J91"/>
    <mergeCell ref="H92:J94"/>
    <mergeCell ref="B57:B58"/>
    <mergeCell ref="B41:B49"/>
    <mergeCell ref="E53:G53"/>
    <mergeCell ref="E52:G52"/>
    <mergeCell ref="E54:G54"/>
    <mergeCell ref="E41:F41"/>
    <mergeCell ref="E42:F42"/>
    <mergeCell ref="E43:F43"/>
    <mergeCell ref="E44:F44"/>
    <mergeCell ref="E45:F45"/>
    <mergeCell ref="E46:F46"/>
    <mergeCell ref="E47:F47"/>
  </mergeCells>
  <phoneticPr fontId="16" type="noConversion"/>
  <conditionalFormatting sqref="D36:E36">
    <cfRule type="cellIs" dxfId="1060" priority="17" operator="lessThanOrEqual">
      <formula>2.14285714285714</formula>
    </cfRule>
    <cfRule type="cellIs" dxfId="1059" priority="18" operator="lessThanOrEqual">
      <formula>2.57142857142857</formula>
    </cfRule>
    <cfRule type="cellIs" dxfId="1058" priority="19" operator="lessThanOrEqual">
      <formula>3</formula>
    </cfRule>
  </conditionalFormatting>
  <conditionalFormatting sqref="D83:E83">
    <cfRule type="cellIs" dxfId="1057" priority="11" operator="lessThanOrEqual">
      <formula>2.14285714285714</formula>
    </cfRule>
    <cfRule type="cellIs" dxfId="1056" priority="12" operator="lessThanOrEqual">
      <formula>2.57142857142857</formula>
    </cfRule>
    <cfRule type="cellIs" dxfId="1055" priority="13" operator="lessThanOrEqual">
      <formula>3</formula>
    </cfRule>
  </conditionalFormatting>
  <conditionalFormatting sqref="D141:E141">
    <cfRule type="cellIs" dxfId="1054" priority="5" operator="lessThanOrEqual">
      <formula>2.14285714285714</formula>
    </cfRule>
    <cfRule type="cellIs" dxfId="1053" priority="6" operator="lessThanOrEqual">
      <formula>2.57142857142857</formula>
    </cfRule>
    <cfRule type="cellIs" dxfId="1052" priority="7" operator="lessThanOrEqual">
      <formula>3</formula>
    </cfRule>
  </conditionalFormatting>
  <conditionalFormatting sqref="D11:G15">
    <cfRule type="notContainsBlanks" dxfId="1051" priority="1">
      <formula>LEN(TRIM(D11))&gt;0</formula>
    </cfRule>
  </conditionalFormatting>
  <conditionalFormatting sqref="E36">
    <cfRule type="containsText" dxfId="1050" priority="14" operator="containsText" text="Green">
      <formula>NOT(ISERROR(SEARCH("Green",E36)))</formula>
    </cfRule>
    <cfRule type="containsText" dxfId="1049" priority="15" operator="containsText" text="Amber">
      <formula>NOT(ISERROR(SEARCH("Amber",E36)))</formula>
    </cfRule>
    <cfRule type="containsText" dxfId="1048" priority="16" operator="containsText" text="Red">
      <formula>NOT(ISERROR(SEARCH("Red",E36)))</formula>
    </cfRule>
  </conditionalFormatting>
  <conditionalFormatting sqref="E83">
    <cfRule type="containsText" dxfId="1047" priority="8" operator="containsText" text="Green">
      <formula>NOT(ISERROR(SEARCH("Green",E83)))</formula>
    </cfRule>
    <cfRule type="containsText" dxfId="1046" priority="9" operator="containsText" text="Amber">
      <formula>NOT(ISERROR(SEARCH("Amber",E83)))</formula>
    </cfRule>
    <cfRule type="containsText" dxfId="1045" priority="10" operator="containsText" text="Red">
      <formula>NOT(ISERROR(SEARCH("Red",E83)))</formula>
    </cfRule>
  </conditionalFormatting>
  <conditionalFormatting sqref="E141">
    <cfRule type="containsText" dxfId="1044" priority="2" operator="containsText" text="Green">
      <formula>NOT(ISERROR(SEARCH("Green",E141)))</formula>
    </cfRule>
    <cfRule type="containsText" dxfId="1043" priority="3" operator="containsText" text="Amber">
      <formula>NOT(ISERROR(SEARCH("Amber",E141)))</formula>
    </cfRule>
    <cfRule type="containsText" dxfId="1042" priority="4" operator="containsText" text="Red">
      <formula>NOT(ISERROR(SEARCH("Red",E141)))</formula>
    </cfRule>
  </conditionalFormatting>
  <conditionalFormatting sqref="H109 H112">
    <cfRule type="cellIs" dxfId="1041" priority="32" operator="lessThanOrEqual">
      <formula>2.14285714285714</formula>
    </cfRule>
    <cfRule type="cellIs" dxfId="1040" priority="33" operator="lessThanOrEqual">
      <formula>2.57142857142857</formula>
    </cfRule>
    <cfRule type="cellIs" dxfId="1039" priority="34" operator="lessThanOrEqual">
      <formula>3</formula>
    </cfRule>
  </conditionalFormatting>
  <conditionalFormatting sqref="H181">
    <cfRule type="cellIs" dxfId="1038" priority="20" operator="lessThanOrEqual">
      <formula>2.14285714285714</formula>
    </cfRule>
    <cfRule type="cellIs" dxfId="1037" priority="21" operator="lessThanOrEqual">
      <formula>2.57142857142857</formula>
    </cfRule>
    <cfRule type="cellIs" dxfId="1036" priority="22" operator="lessThanOrEqual">
      <formula>3</formula>
    </cfRule>
  </conditionalFormatting>
  <conditionalFormatting sqref="N117:N121">
    <cfRule type="cellIs" dxfId="1035" priority="35" operator="lessThanOrEqual">
      <formula>2.14285714285714</formula>
    </cfRule>
    <cfRule type="cellIs" dxfId="1034" priority="36" operator="lessThanOrEqual">
      <formula>2.57142857142857</formula>
    </cfRule>
    <cfRule type="cellIs" dxfId="1033" priority="37" operator="lessThanOrEqual">
      <formula>3</formula>
    </cfRule>
  </conditionalFormatting>
  <conditionalFormatting sqref="N187:N189">
    <cfRule type="cellIs" dxfId="1032" priority="23" operator="lessThanOrEqual">
      <formula>2.14285714285714</formula>
    </cfRule>
    <cfRule type="cellIs" dxfId="1031" priority="24" operator="lessThanOrEqual">
      <formula>2.57142857142857</formula>
    </cfRule>
    <cfRule type="cellIs" dxfId="1030" priority="25" operator="lessThanOrEqual">
      <formula>3</formula>
    </cfRule>
  </conditionalFormatting>
  <dataValidations count="1">
    <dataValidation type="list" allowBlank="1" showInputMessage="1" showErrorMessage="1" sqref="C122 C77:C82 C135:C140 C30:C35" xr:uid="{B7083C52-8A7D-4E8B-99FC-5F71EE31FD86}">
      <formula1>"High, Medium, Low"</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06133-A978-449F-A26F-FACC58716856}">
  <sheetPr>
    <tabColor rgb="FF002060"/>
  </sheetPr>
  <dimension ref="B1:X120"/>
  <sheetViews>
    <sheetView zoomScaleNormal="100" workbookViewId="0">
      <selection activeCell="I96" sqref="I96:K96"/>
    </sheetView>
  </sheetViews>
  <sheetFormatPr defaultColWidth="8.625" defaultRowHeight="14.45"/>
  <cols>
    <col min="1" max="1" width="2.625" style="2" customWidth="1"/>
    <col min="2" max="14" width="8.625" style="2"/>
    <col min="15" max="15" width="8.625" style="2" customWidth="1"/>
    <col min="16" max="16" width="8.625" style="2"/>
    <col min="17" max="17" width="5" style="2" customWidth="1"/>
    <col min="18" max="16384" width="8.625" style="2"/>
  </cols>
  <sheetData>
    <row r="1" spans="2:24" s="3" customFormat="1" ht="30.95">
      <c r="B1" s="658" t="s">
        <v>12</v>
      </c>
      <c r="D1" s="24"/>
    </row>
    <row r="2" spans="2:24" s="3" customFormat="1" ht="15" thickBot="1"/>
    <row r="3" spans="2:24" s="3" customFormat="1" ht="18.600000000000001">
      <c r="B3" s="822" t="s">
        <v>21</v>
      </c>
      <c r="C3" s="842"/>
      <c r="D3" s="842"/>
      <c r="E3" s="842"/>
      <c r="F3" s="842"/>
      <c r="G3" s="842"/>
      <c r="H3" s="842"/>
      <c r="I3" s="842"/>
      <c r="J3" s="842"/>
      <c r="K3" s="842"/>
      <c r="L3" s="842"/>
      <c r="M3" s="842"/>
      <c r="N3" s="842"/>
      <c r="O3" s="842"/>
      <c r="P3" s="841"/>
      <c r="R3" s="874" t="s">
        <v>22</v>
      </c>
      <c r="S3" s="851"/>
      <c r="T3" s="851"/>
      <c r="U3" s="851"/>
      <c r="V3" s="851"/>
      <c r="W3" s="851"/>
      <c r="X3" s="852"/>
    </row>
    <row r="4" spans="2:24" s="3" customFormat="1" ht="15.95" customHeight="1">
      <c r="B4" s="1021" t="s">
        <v>23</v>
      </c>
      <c r="C4" s="1022"/>
      <c r="D4" s="1022"/>
      <c r="E4" s="1022"/>
      <c r="F4" s="1022"/>
      <c r="G4" s="1022"/>
      <c r="H4" s="1022"/>
      <c r="I4" s="1022"/>
      <c r="J4" s="1022"/>
      <c r="K4" s="1022"/>
      <c r="L4" s="1022"/>
      <c r="M4" s="1022"/>
      <c r="N4" s="1022"/>
      <c r="O4" s="1022"/>
      <c r="P4" s="1023"/>
      <c r="R4" s="1007" t="s">
        <v>24</v>
      </c>
      <c r="S4" s="1008"/>
      <c r="T4" s="1008"/>
      <c r="U4" s="1008"/>
      <c r="V4" s="1008"/>
      <c r="W4" s="1008"/>
      <c r="X4" s="1009"/>
    </row>
    <row r="5" spans="2:24" s="3" customFormat="1" ht="15.95" customHeight="1">
      <c r="B5" s="1021"/>
      <c r="C5" s="1022"/>
      <c r="D5" s="1022"/>
      <c r="E5" s="1022"/>
      <c r="F5" s="1022"/>
      <c r="G5" s="1022"/>
      <c r="H5" s="1022"/>
      <c r="I5" s="1022"/>
      <c r="J5" s="1022"/>
      <c r="K5" s="1022"/>
      <c r="L5" s="1022"/>
      <c r="M5" s="1022"/>
      <c r="N5" s="1022"/>
      <c r="O5" s="1022"/>
      <c r="P5" s="1023"/>
      <c r="R5" s="1007"/>
      <c r="S5" s="1008"/>
      <c r="T5" s="1008"/>
      <c r="U5" s="1008"/>
      <c r="V5" s="1008"/>
      <c r="W5" s="1008"/>
      <c r="X5" s="1009"/>
    </row>
    <row r="6" spans="2:24" s="3" customFormat="1" ht="15.95" customHeight="1">
      <c r="B6" s="1021"/>
      <c r="C6" s="1022"/>
      <c r="D6" s="1022"/>
      <c r="E6" s="1022"/>
      <c r="F6" s="1022"/>
      <c r="G6" s="1022"/>
      <c r="H6" s="1022"/>
      <c r="I6" s="1022"/>
      <c r="J6" s="1022"/>
      <c r="K6" s="1022"/>
      <c r="L6" s="1022"/>
      <c r="M6" s="1022"/>
      <c r="N6" s="1022"/>
      <c r="O6" s="1022"/>
      <c r="P6" s="1023"/>
      <c r="R6" s="1007"/>
      <c r="S6" s="1008"/>
      <c r="T6" s="1008"/>
      <c r="U6" s="1008"/>
      <c r="V6" s="1008"/>
      <c r="W6" s="1008"/>
      <c r="X6" s="1009"/>
    </row>
    <row r="7" spans="2:24" s="3" customFormat="1" ht="15.95" customHeight="1">
      <c r="B7" s="984"/>
      <c r="C7" s="992"/>
      <c r="D7" s="992"/>
      <c r="E7" s="992"/>
      <c r="F7" s="992"/>
      <c r="G7" s="992"/>
      <c r="H7" s="992"/>
      <c r="I7" s="992"/>
      <c r="J7" s="992"/>
      <c r="K7" s="992"/>
      <c r="L7" s="992"/>
      <c r="M7" s="992"/>
      <c r="N7" s="992"/>
      <c r="O7" s="992"/>
      <c r="P7" s="985"/>
      <c r="R7" s="1007"/>
      <c r="S7" s="1008"/>
      <c r="T7" s="1008"/>
      <c r="U7" s="1008"/>
      <c r="V7" s="1008"/>
      <c r="W7" s="1008"/>
      <c r="X7" s="1009"/>
    </row>
    <row r="8" spans="2:24" s="3" customFormat="1" ht="15.95" customHeight="1">
      <c r="B8" s="984"/>
      <c r="C8" s="992"/>
      <c r="D8" s="992"/>
      <c r="E8" s="992"/>
      <c r="F8" s="992"/>
      <c r="G8" s="992"/>
      <c r="H8" s="992"/>
      <c r="I8" s="992"/>
      <c r="J8" s="992"/>
      <c r="K8" s="992"/>
      <c r="L8" s="992"/>
      <c r="M8" s="992"/>
      <c r="N8" s="992"/>
      <c r="O8" s="992"/>
      <c r="P8" s="985"/>
      <c r="R8" s="1007"/>
      <c r="S8" s="1008"/>
      <c r="T8" s="1008"/>
      <c r="U8" s="1008"/>
      <c r="V8" s="1008"/>
      <c r="W8" s="1008"/>
      <c r="X8" s="1009"/>
    </row>
    <row r="9" spans="2:24" s="3" customFormat="1" ht="15.95" customHeight="1">
      <c r="B9" s="984"/>
      <c r="C9" s="992"/>
      <c r="D9" s="992"/>
      <c r="E9" s="992"/>
      <c r="F9" s="992"/>
      <c r="G9" s="992"/>
      <c r="H9" s="992"/>
      <c r="I9" s="992"/>
      <c r="J9" s="992"/>
      <c r="K9" s="992"/>
      <c r="L9" s="992"/>
      <c r="M9" s="992"/>
      <c r="N9" s="992"/>
      <c r="O9" s="992"/>
      <c r="P9" s="985"/>
      <c r="R9" s="1007"/>
      <c r="S9" s="1008"/>
      <c r="T9" s="1008"/>
      <c r="U9" s="1008"/>
      <c r="V9" s="1008"/>
      <c r="W9" s="1008"/>
      <c r="X9" s="1009"/>
    </row>
    <row r="10" spans="2:24" s="3" customFormat="1" ht="15.95" customHeight="1">
      <c r="B10" s="984"/>
      <c r="C10" s="992"/>
      <c r="D10" s="992"/>
      <c r="E10" s="992"/>
      <c r="F10" s="992"/>
      <c r="G10" s="992"/>
      <c r="H10" s="992"/>
      <c r="I10" s="992"/>
      <c r="J10" s="992"/>
      <c r="K10" s="992"/>
      <c r="L10" s="992"/>
      <c r="M10" s="992"/>
      <c r="N10" s="992"/>
      <c r="O10" s="992"/>
      <c r="P10" s="985"/>
      <c r="R10" s="1007"/>
      <c r="S10" s="1008"/>
      <c r="T10" s="1008"/>
      <c r="U10" s="1008"/>
      <c r="V10" s="1008"/>
      <c r="W10" s="1008"/>
      <c r="X10" s="1009"/>
    </row>
    <row r="11" spans="2:24" s="3" customFormat="1" ht="15.95" customHeight="1">
      <c r="B11" s="984"/>
      <c r="C11" s="992"/>
      <c r="D11" s="992"/>
      <c r="E11" s="992"/>
      <c r="F11" s="992"/>
      <c r="G11" s="992"/>
      <c r="H11" s="992"/>
      <c r="I11" s="992"/>
      <c r="J11" s="992"/>
      <c r="K11" s="992"/>
      <c r="L11" s="992"/>
      <c r="M11" s="992"/>
      <c r="N11" s="992"/>
      <c r="O11" s="992"/>
      <c r="P11" s="985"/>
      <c r="R11" s="1007"/>
      <c r="S11" s="1008"/>
      <c r="T11" s="1008"/>
      <c r="U11" s="1008"/>
      <c r="V11" s="1008"/>
      <c r="W11" s="1008"/>
      <c r="X11" s="1009"/>
    </row>
    <row r="12" spans="2:24" s="3" customFormat="1" ht="15.95" customHeight="1">
      <c r="B12" s="984"/>
      <c r="C12" s="992"/>
      <c r="D12" s="992"/>
      <c r="E12" s="992"/>
      <c r="F12" s="992"/>
      <c r="G12" s="992"/>
      <c r="H12" s="992"/>
      <c r="I12" s="992"/>
      <c r="J12" s="992"/>
      <c r="K12" s="992"/>
      <c r="L12" s="992"/>
      <c r="M12" s="992"/>
      <c r="N12" s="992"/>
      <c r="O12" s="992"/>
      <c r="P12" s="985"/>
      <c r="R12" s="1007"/>
      <c r="S12" s="1008"/>
      <c r="T12" s="1008"/>
      <c r="U12" s="1008"/>
      <c r="V12" s="1008"/>
      <c r="W12" s="1008"/>
      <c r="X12" s="1009"/>
    </row>
    <row r="13" spans="2:24" s="3" customFormat="1" ht="16.5" thickBot="1">
      <c r="B13" s="827"/>
      <c r="P13" s="845"/>
      <c r="R13" s="1010"/>
      <c r="S13" s="1011"/>
      <c r="T13" s="1011"/>
      <c r="U13" s="1011"/>
      <c r="V13" s="1011"/>
      <c r="W13" s="1011"/>
      <c r="X13" s="1012"/>
    </row>
    <row r="14" spans="2:24" s="3" customFormat="1" ht="16.5" thickBot="1">
      <c r="B14" s="827"/>
      <c r="P14" s="845"/>
    </row>
    <row r="15" spans="2:24" s="3" customFormat="1" ht="18.95" thickBot="1">
      <c r="B15" s="828"/>
      <c r="C15" s="847"/>
      <c r="D15" s="847"/>
      <c r="E15" s="847"/>
      <c r="F15" s="847"/>
      <c r="G15" s="847"/>
      <c r="H15" s="847"/>
      <c r="I15" s="847"/>
      <c r="J15" s="847"/>
      <c r="K15" s="847"/>
      <c r="L15" s="847"/>
      <c r="M15" s="847"/>
      <c r="N15" s="847"/>
      <c r="O15" s="847"/>
      <c r="P15" s="849"/>
      <c r="R15" s="822" t="s">
        <v>25</v>
      </c>
      <c r="S15" s="842"/>
      <c r="T15" s="842"/>
      <c r="U15" s="842"/>
      <c r="V15" s="842"/>
      <c r="W15" s="842"/>
      <c r="X15" s="852"/>
    </row>
    <row r="16" spans="2:24" s="3" customFormat="1" ht="15" thickBot="1">
      <c r="R16" s="1007" t="s">
        <v>26</v>
      </c>
      <c r="S16" s="1008"/>
      <c r="T16" s="1008"/>
      <c r="U16" s="1008"/>
      <c r="V16" s="1008"/>
      <c r="W16" s="1008"/>
      <c r="X16" s="1009"/>
    </row>
    <row r="17" spans="2:24" s="3" customFormat="1" ht="18.600000000000001">
      <c r="B17" s="822" t="s">
        <v>27</v>
      </c>
      <c r="C17" s="842"/>
      <c r="D17" s="842"/>
      <c r="E17" s="842"/>
      <c r="F17" s="842"/>
      <c r="G17" s="842"/>
      <c r="H17" s="842"/>
      <c r="I17" s="842"/>
      <c r="J17" s="842"/>
      <c r="K17" s="842"/>
      <c r="L17" s="842"/>
      <c r="M17" s="842"/>
      <c r="N17" s="842"/>
      <c r="O17" s="842"/>
      <c r="P17" s="841"/>
      <c r="R17" s="1007"/>
      <c r="S17" s="1008"/>
      <c r="T17" s="1008"/>
      <c r="U17" s="1008"/>
      <c r="V17" s="1008"/>
      <c r="W17" s="1008"/>
      <c r="X17" s="1009"/>
    </row>
    <row r="18" spans="2:24" s="3" customFormat="1" ht="15.75" customHeight="1">
      <c r="B18" s="1007" t="s">
        <v>28</v>
      </c>
      <c r="C18" s="1008"/>
      <c r="D18" s="1008"/>
      <c r="E18" s="1008"/>
      <c r="F18" s="1008"/>
      <c r="G18" s="1008"/>
      <c r="H18" s="1008"/>
      <c r="I18" s="1008"/>
      <c r="J18" s="1008"/>
      <c r="K18" s="1008"/>
      <c r="L18" s="1008"/>
      <c r="M18" s="1008"/>
      <c r="N18" s="1008"/>
      <c r="O18" s="1008"/>
      <c r="P18" s="1009"/>
      <c r="Q18" s="837"/>
      <c r="R18" s="1007"/>
      <c r="S18" s="1008"/>
      <c r="T18" s="1008"/>
      <c r="U18" s="1008"/>
      <c r="V18" s="1008"/>
      <c r="W18" s="1008"/>
      <c r="X18" s="1009"/>
    </row>
    <row r="19" spans="2:24" s="3" customFormat="1" ht="16.5" customHeight="1">
      <c r="B19" s="824"/>
      <c r="C19" s="835"/>
      <c r="D19" s="835"/>
      <c r="E19" s="835"/>
      <c r="F19" s="835"/>
      <c r="G19" s="835"/>
      <c r="H19" s="835"/>
      <c r="I19" s="835"/>
      <c r="J19" s="835"/>
      <c r="P19" s="845"/>
      <c r="R19" s="1007"/>
      <c r="S19" s="1008"/>
      <c r="T19" s="1008"/>
      <c r="U19" s="1008"/>
      <c r="V19" s="1008"/>
      <c r="W19" s="1008"/>
      <c r="X19" s="1009"/>
    </row>
    <row r="20" spans="2:24" s="3" customFormat="1" ht="15" customHeight="1">
      <c r="B20" s="858"/>
      <c r="C20" s="857" t="s">
        <v>29</v>
      </c>
      <c r="I20" s="857" t="s">
        <v>30</v>
      </c>
      <c r="P20" s="845"/>
      <c r="R20" s="1007"/>
      <c r="S20" s="1008"/>
      <c r="T20" s="1008"/>
      <c r="U20" s="1008"/>
      <c r="V20" s="1008"/>
      <c r="W20" s="1008"/>
      <c r="X20" s="1009"/>
    </row>
    <row r="21" spans="2:24" s="3" customFormat="1" ht="15" customHeight="1">
      <c r="B21" s="858"/>
      <c r="P21" s="845"/>
      <c r="R21" s="1007"/>
      <c r="S21" s="1008"/>
      <c r="T21" s="1008"/>
      <c r="U21" s="1008"/>
      <c r="V21" s="1008"/>
      <c r="W21" s="1008"/>
      <c r="X21" s="1009"/>
    </row>
    <row r="22" spans="2:24" s="3" customFormat="1" ht="15.75" customHeight="1">
      <c r="B22" s="858"/>
      <c r="P22" s="845"/>
      <c r="R22" s="1007"/>
      <c r="S22" s="1008"/>
      <c r="T22" s="1008"/>
      <c r="U22" s="1008"/>
      <c r="V22" s="1008"/>
      <c r="W22" s="1008"/>
      <c r="X22" s="1009"/>
    </row>
    <row r="23" spans="2:24" s="3" customFormat="1" ht="15" customHeight="1">
      <c r="B23" s="858"/>
      <c r="P23" s="845"/>
      <c r="R23" s="1007"/>
      <c r="S23" s="1008"/>
      <c r="T23" s="1008"/>
      <c r="U23" s="1008"/>
      <c r="V23" s="1008"/>
      <c r="W23" s="1008"/>
      <c r="X23" s="1009"/>
    </row>
    <row r="24" spans="2:24" ht="15" customHeight="1">
      <c r="B24" s="859"/>
      <c r="C24" s="24"/>
      <c r="D24" s="24"/>
      <c r="P24" s="854"/>
      <c r="R24" s="1007"/>
      <c r="S24" s="1008"/>
      <c r="T24" s="1008"/>
      <c r="U24" s="1008"/>
      <c r="V24" s="1008"/>
      <c r="W24" s="1008"/>
      <c r="X24" s="1009"/>
    </row>
    <row r="25" spans="2:24" ht="15" customHeight="1">
      <c r="B25" s="860"/>
      <c r="C25" s="24"/>
      <c r="D25" s="24"/>
      <c r="P25" s="854"/>
      <c r="R25" s="1007"/>
      <c r="S25" s="1008"/>
      <c r="T25" s="1008"/>
      <c r="U25" s="1008"/>
      <c r="V25" s="1008"/>
      <c r="W25" s="1008"/>
      <c r="X25" s="1009"/>
    </row>
    <row r="26" spans="2:24" ht="15" customHeight="1">
      <c r="B26" s="860"/>
      <c r="C26" s="24"/>
      <c r="D26" s="24"/>
      <c r="P26" s="854"/>
      <c r="R26" s="1007"/>
      <c r="S26" s="1008"/>
      <c r="T26" s="1008"/>
      <c r="U26" s="1008"/>
      <c r="V26" s="1008"/>
      <c r="W26" s="1008"/>
      <c r="X26" s="1009"/>
    </row>
    <row r="27" spans="2:24" ht="15.75" customHeight="1" thickBot="1">
      <c r="B27" s="860"/>
      <c r="C27" s="24"/>
      <c r="D27" s="24"/>
      <c r="P27" s="854"/>
      <c r="R27" s="1010"/>
      <c r="S27" s="1011"/>
      <c r="T27" s="1011"/>
      <c r="U27" s="1011"/>
      <c r="V27" s="1011"/>
      <c r="W27" s="1011"/>
      <c r="X27" s="1012"/>
    </row>
    <row r="28" spans="2:24" ht="15.75" customHeight="1" thickBot="1">
      <c r="B28" s="860"/>
      <c r="C28" s="24"/>
      <c r="D28" s="24"/>
      <c r="P28" s="854"/>
      <c r="R28" s="837"/>
      <c r="S28" s="837"/>
      <c r="T28" s="837"/>
      <c r="U28" s="837"/>
      <c r="V28" s="837"/>
      <c r="W28" s="837"/>
      <c r="X28" s="837"/>
    </row>
    <row r="29" spans="2:24" ht="18.95" thickBot="1">
      <c r="B29" s="859"/>
      <c r="C29" s="24"/>
      <c r="D29" s="24"/>
      <c r="P29" s="854"/>
      <c r="R29" s="822" t="s">
        <v>31</v>
      </c>
      <c r="S29" s="842"/>
      <c r="T29" s="842"/>
      <c r="U29" s="842"/>
      <c r="V29" s="842"/>
      <c r="W29" s="842"/>
      <c r="X29" s="852"/>
    </row>
    <row r="30" spans="2:24" ht="15" customHeight="1">
      <c r="B30" s="860"/>
      <c r="C30" s="24"/>
      <c r="D30" s="24"/>
      <c r="P30" s="854"/>
      <c r="R30" s="1027" t="s">
        <v>32</v>
      </c>
      <c r="S30" s="1028"/>
      <c r="T30" s="1028"/>
      <c r="U30" s="1028"/>
      <c r="V30" s="1028"/>
      <c r="W30" s="1028"/>
      <c r="X30" s="1029"/>
    </row>
    <row r="31" spans="2:24" ht="15" customHeight="1">
      <c r="B31" s="860"/>
      <c r="C31" s="24"/>
      <c r="D31" s="24"/>
      <c r="P31" s="854"/>
      <c r="R31" s="1021"/>
      <c r="S31" s="1022"/>
      <c r="T31" s="1022"/>
      <c r="U31" s="1022"/>
      <c r="V31" s="1022"/>
      <c r="W31" s="1022"/>
      <c r="X31" s="1023"/>
    </row>
    <row r="32" spans="2:24" ht="15" customHeight="1">
      <c r="B32" s="860"/>
      <c r="C32" s="24"/>
      <c r="D32" s="24"/>
      <c r="P32" s="854"/>
      <c r="R32" s="1021"/>
      <c r="S32" s="1022"/>
      <c r="T32" s="1022"/>
      <c r="U32" s="1022"/>
      <c r="V32" s="1022"/>
      <c r="W32" s="1022"/>
      <c r="X32" s="1023"/>
    </row>
    <row r="33" spans="2:24" ht="15" customHeight="1">
      <c r="B33" s="860"/>
      <c r="C33" s="24"/>
      <c r="D33" s="24"/>
      <c r="P33" s="854"/>
      <c r="R33" s="1021"/>
      <c r="S33" s="1022"/>
      <c r="T33" s="1022"/>
      <c r="U33" s="1022"/>
      <c r="V33" s="1022"/>
      <c r="W33" s="1022"/>
      <c r="X33" s="1023"/>
    </row>
    <row r="34" spans="2:24" ht="15" customHeight="1">
      <c r="B34" s="861"/>
      <c r="C34" s="24"/>
      <c r="D34" s="24"/>
      <c r="P34" s="854"/>
      <c r="R34" s="1021"/>
      <c r="S34" s="1022"/>
      <c r="T34" s="1022"/>
      <c r="U34" s="1022"/>
      <c r="V34" s="1022"/>
      <c r="W34" s="1022"/>
      <c r="X34" s="1023"/>
    </row>
    <row r="35" spans="2:24" ht="15" customHeight="1">
      <c r="B35" s="859"/>
      <c r="C35" s="24"/>
      <c r="D35" s="24"/>
      <c r="P35" s="854"/>
      <c r="R35" s="1021"/>
      <c r="S35" s="1022"/>
      <c r="T35" s="1022"/>
      <c r="U35" s="1022"/>
      <c r="V35" s="1022"/>
      <c r="W35" s="1022"/>
      <c r="X35" s="1023"/>
    </row>
    <row r="36" spans="2:24" ht="15" customHeight="1">
      <c r="B36" s="858"/>
      <c r="C36" s="24"/>
      <c r="D36" s="24"/>
      <c r="P36" s="854"/>
      <c r="R36" s="1021"/>
      <c r="S36" s="1022"/>
      <c r="T36" s="1022"/>
      <c r="U36" s="1022"/>
      <c r="V36" s="1022"/>
      <c r="W36" s="1022"/>
      <c r="X36" s="1023"/>
    </row>
    <row r="37" spans="2:24" ht="15" customHeight="1">
      <c r="B37" s="858"/>
      <c r="C37" s="24"/>
      <c r="D37" s="24"/>
      <c r="P37" s="854"/>
      <c r="R37" s="1021"/>
      <c r="S37" s="1022"/>
      <c r="T37" s="1022"/>
      <c r="U37" s="1022"/>
      <c r="V37" s="1022"/>
      <c r="W37" s="1022"/>
      <c r="X37" s="1023"/>
    </row>
    <row r="38" spans="2:24" ht="15" customHeight="1">
      <c r="B38" s="858"/>
      <c r="C38" s="24"/>
      <c r="D38" s="24"/>
      <c r="P38" s="854"/>
      <c r="R38" s="1021"/>
      <c r="S38" s="1022"/>
      <c r="T38" s="1022"/>
      <c r="U38" s="1022"/>
      <c r="V38" s="1022"/>
      <c r="W38" s="1022"/>
      <c r="X38" s="1023"/>
    </row>
    <row r="39" spans="2:24" ht="15" customHeight="1">
      <c r="B39" s="858"/>
      <c r="C39" s="3"/>
      <c r="D39" s="24"/>
      <c r="P39" s="854"/>
      <c r="R39" s="1021"/>
      <c r="S39" s="1022"/>
      <c r="T39" s="1022"/>
      <c r="U39" s="1022"/>
      <c r="V39" s="1022"/>
      <c r="W39" s="1022"/>
      <c r="X39" s="1023"/>
    </row>
    <row r="40" spans="2:24" ht="18.600000000000001">
      <c r="B40" s="862"/>
      <c r="C40" s="3"/>
      <c r="D40" s="24"/>
      <c r="P40" s="854"/>
      <c r="R40" s="1021"/>
      <c r="S40" s="1022"/>
      <c r="T40" s="1022"/>
      <c r="U40" s="1022"/>
      <c r="V40" s="1022"/>
      <c r="W40" s="1022"/>
      <c r="X40" s="1023"/>
    </row>
    <row r="41" spans="2:24" ht="15.75" customHeight="1" thickBot="1">
      <c r="B41" s="863"/>
      <c r="C41" s="848"/>
      <c r="D41" s="848"/>
      <c r="E41" s="855"/>
      <c r="F41" s="855"/>
      <c r="G41" s="855"/>
      <c r="H41" s="855"/>
      <c r="I41" s="855"/>
      <c r="J41" s="855"/>
      <c r="K41" s="855"/>
      <c r="L41" s="855"/>
      <c r="M41" s="855"/>
      <c r="N41" s="855"/>
      <c r="O41" s="855"/>
      <c r="P41" s="856"/>
      <c r="R41" s="1021"/>
      <c r="S41" s="1022"/>
      <c r="T41" s="1022"/>
      <c r="U41" s="1022"/>
      <c r="V41" s="1022"/>
      <c r="W41" s="1022"/>
      <c r="X41" s="1023"/>
    </row>
    <row r="42" spans="2:24" ht="15.75" customHeight="1" thickBot="1">
      <c r="B42" s="1013"/>
      <c r="C42" s="1013"/>
      <c r="D42" s="1013"/>
      <c r="R42" s="1021"/>
      <c r="S42" s="1022"/>
      <c r="T42" s="1022"/>
      <c r="U42" s="1022"/>
      <c r="V42" s="1022"/>
      <c r="W42" s="1022"/>
      <c r="X42" s="1023"/>
    </row>
    <row r="43" spans="2:24" ht="18.600000000000001">
      <c r="B43" s="822" t="s">
        <v>33</v>
      </c>
      <c r="C43" s="842"/>
      <c r="D43" s="842"/>
      <c r="E43" s="842"/>
      <c r="F43" s="842"/>
      <c r="G43" s="842"/>
      <c r="H43" s="842"/>
      <c r="I43" s="842"/>
      <c r="J43" s="842"/>
      <c r="K43" s="842"/>
      <c r="L43" s="842"/>
      <c r="M43" s="842"/>
      <c r="N43" s="842"/>
      <c r="O43" s="842"/>
      <c r="P43" s="841"/>
      <c r="R43" s="1021"/>
      <c r="S43" s="1022"/>
      <c r="T43" s="1022"/>
      <c r="U43" s="1022"/>
      <c r="V43" s="1022"/>
      <c r="W43" s="1022"/>
      <c r="X43" s="1023"/>
    </row>
    <row r="44" spans="2:24" ht="15.75" customHeight="1">
      <c r="B44" s="1007" t="s">
        <v>34</v>
      </c>
      <c r="C44" s="1008"/>
      <c r="D44" s="1008"/>
      <c r="E44" s="1008"/>
      <c r="F44" s="1008"/>
      <c r="G44" s="1008"/>
      <c r="H44" s="1008"/>
      <c r="I44" s="1008"/>
      <c r="J44" s="1008"/>
      <c r="K44" s="1008"/>
      <c r="L44" s="1008"/>
      <c r="M44" s="1008"/>
      <c r="N44" s="1008"/>
      <c r="O44" s="1008"/>
      <c r="P44" s="1009"/>
      <c r="R44" s="1021"/>
      <c r="S44" s="1022"/>
      <c r="T44" s="1022"/>
      <c r="U44" s="1022"/>
      <c r="V44" s="1022"/>
      <c r="W44" s="1022"/>
      <c r="X44" s="1023"/>
    </row>
    <row r="45" spans="2:24" ht="15" customHeight="1">
      <c r="B45" s="868"/>
      <c r="C45" s="24"/>
      <c r="D45" s="24"/>
      <c r="E45" s="24"/>
      <c r="F45" s="24"/>
      <c r="G45" s="24"/>
      <c r="H45" s="24"/>
      <c r="I45" s="24"/>
      <c r="J45" s="24"/>
      <c r="K45" s="24"/>
      <c r="L45" s="24"/>
      <c r="M45" s="24"/>
      <c r="N45" s="24"/>
      <c r="O45" s="24"/>
      <c r="P45" s="869"/>
      <c r="R45" s="1021"/>
      <c r="S45" s="1022"/>
      <c r="T45" s="1022"/>
      <c r="U45" s="1022"/>
      <c r="V45" s="1022"/>
      <c r="W45" s="1022"/>
      <c r="X45" s="1023"/>
    </row>
    <row r="46" spans="2:24" ht="15.95">
      <c r="B46" s="853"/>
      <c r="D46" s="870" t="s">
        <v>35</v>
      </c>
      <c r="E46" s="825"/>
      <c r="F46" s="835"/>
      <c r="G46" s="832"/>
      <c r="H46" s="832"/>
      <c r="I46" s="832"/>
      <c r="J46" s="832"/>
      <c r="K46" s="832"/>
      <c r="L46" s="832"/>
      <c r="M46" s="832"/>
      <c r="N46" s="832"/>
      <c r="O46" s="832"/>
      <c r="P46" s="833"/>
      <c r="R46" s="1021"/>
      <c r="S46" s="1022"/>
      <c r="T46" s="1022"/>
      <c r="U46" s="1022"/>
      <c r="V46" s="1022"/>
      <c r="W46" s="1022"/>
      <c r="X46" s="1023"/>
    </row>
    <row r="47" spans="2:24" ht="15" customHeight="1">
      <c r="B47" s="853"/>
      <c r="D47" s="1008" t="s">
        <v>36</v>
      </c>
      <c r="E47" s="1008"/>
      <c r="F47" s="1008"/>
      <c r="G47" s="1008"/>
      <c r="H47" s="1008"/>
      <c r="I47" s="1008"/>
      <c r="J47" s="1008"/>
      <c r="K47" s="1008"/>
      <c r="L47" s="1008"/>
      <c r="M47" s="1008"/>
      <c r="N47" s="1008"/>
      <c r="O47" s="1008"/>
      <c r="P47" s="1009"/>
      <c r="R47" s="1021"/>
      <c r="S47" s="1022"/>
      <c r="T47" s="1022"/>
      <c r="U47" s="1022"/>
      <c r="V47" s="1022"/>
      <c r="W47" s="1022"/>
      <c r="X47" s="1023"/>
    </row>
    <row r="48" spans="2:24" ht="15" customHeight="1">
      <c r="B48" s="853"/>
      <c r="D48" s="1008"/>
      <c r="E48" s="1008"/>
      <c r="F48" s="1008"/>
      <c r="G48" s="1008"/>
      <c r="H48" s="1008"/>
      <c r="I48" s="1008"/>
      <c r="J48" s="1008"/>
      <c r="K48" s="1008"/>
      <c r="L48" s="1008"/>
      <c r="M48" s="1008"/>
      <c r="N48" s="1008"/>
      <c r="O48" s="1008"/>
      <c r="P48" s="1009"/>
      <c r="R48" s="1021"/>
      <c r="S48" s="1022"/>
      <c r="T48" s="1022"/>
      <c r="U48" s="1022"/>
      <c r="V48" s="1022"/>
      <c r="W48" s="1022"/>
      <c r="X48" s="1023"/>
    </row>
    <row r="49" spans="2:24" ht="15" customHeight="1">
      <c r="B49" s="853"/>
      <c r="D49" s="1008"/>
      <c r="E49" s="1008"/>
      <c r="F49" s="1008"/>
      <c r="G49" s="1008"/>
      <c r="H49" s="1008"/>
      <c r="I49" s="1008"/>
      <c r="J49" s="1008"/>
      <c r="K49" s="1008"/>
      <c r="L49" s="1008"/>
      <c r="M49" s="1008"/>
      <c r="N49" s="1008"/>
      <c r="O49" s="1008"/>
      <c r="P49" s="1009"/>
      <c r="R49" s="1021"/>
      <c r="S49" s="1022"/>
      <c r="T49" s="1022"/>
      <c r="U49" s="1022"/>
      <c r="V49" s="1022"/>
      <c r="W49" s="1022"/>
      <c r="X49" s="1023"/>
    </row>
    <row r="50" spans="2:24" ht="15" customHeight="1">
      <c r="B50" s="853"/>
      <c r="D50" s="1008"/>
      <c r="E50" s="1008"/>
      <c r="F50" s="1008"/>
      <c r="G50" s="1008"/>
      <c r="H50" s="1008"/>
      <c r="I50" s="1008"/>
      <c r="J50" s="1008"/>
      <c r="K50" s="1008"/>
      <c r="L50" s="1008"/>
      <c r="M50" s="1008"/>
      <c r="N50" s="1008"/>
      <c r="O50" s="1008"/>
      <c r="P50" s="1009"/>
      <c r="R50" s="1021"/>
      <c r="S50" s="1022"/>
      <c r="T50" s="1022"/>
      <c r="U50" s="1022"/>
      <c r="V50" s="1022"/>
      <c r="W50" s="1022"/>
      <c r="X50" s="1023"/>
    </row>
    <row r="51" spans="2:24" ht="15" customHeight="1">
      <c r="B51" s="853"/>
      <c r="D51" s="1008"/>
      <c r="E51" s="1008"/>
      <c r="F51" s="1008"/>
      <c r="G51" s="1008"/>
      <c r="H51" s="1008"/>
      <c r="I51" s="1008"/>
      <c r="J51" s="1008"/>
      <c r="K51" s="1008"/>
      <c r="L51" s="1008"/>
      <c r="M51" s="1008"/>
      <c r="N51" s="1008"/>
      <c r="O51" s="1008"/>
      <c r="P51" s="1009"/>
      <c r="R51" s="1021"/>
      <c r="S51" s="1022"/>
      <c r="T51" s="1022"/>
      <c r="U51" s="1022"/>
      <c r="V51" s="1022"/>
      <c r="W51" s="1022"/>
      <c r="X51" s="1023"/>
    </row>
    <row r="52" spans="2:24" ht="15" customHeight="1">
      <c r="B52" s="853"/>
      <c r="D52" s="1008"/>
      <c r="E52" s="1008"/>
      <c r="F52" s="1008"/>
      <c r="G52" s="1008"/>
      <c r="H52" s="1008"/>
      <c r="I52" s="1008"/>
      <c r="J52" s="1008"/>
      <c r="K52" s="1008"/>
      <c r="L52" s="1008"/>
      <c r="M52" s="1008"/>
      <c r="N52" s="1008"/>
      <c r="O52" s="1008"/>
      <c r="P52" s="1009"/>
      <c r="R52" s="1021"/>
      <c r="S52" s="1022"/>
      <c r="T52" s="1022"/>
      <c r="U52" s="1022"/>
      <c r="V52" s="1022"/>
      <c r="W52" s="1022"/>
      <c r="X52" s="1023"/>
    </row>
    <row r="53" spans="2:24" ht="15" customHeight="1">
      <c r="B53" s="853"/>
      <c r="D53" s="1008"/>
      <c r="E53" s="1008"/>
      <c r="F53" s="1008"/>
      <c r="G53" s="1008"/>
      <c r="H53" s="1008"/>
      <c r="I53" s="1008"/>
      <c r="J53" s="1008"/>
      <c r="K53" s="1008"/>
      <c r="L53" s="1008"/>
      <c r="M53" s="1008"/>
      <c r="N53" s="1008"/>
      <c r="O53" s="1008"/>
      <c r="P53" s="1009"/>
      <c r="R53" s="1021"/>
      <c r="S53" s="1022"/>
      <c r="T53" s="1022"/>
      <c r="U53" s="1022"/>
      <c r="V53" s="1022"/>
      <c r="W53" s="1022"/>
      <c r="X53" s="1023"/>
    </row>
    <row r="54" spans="2:24" ht="15" customHeight="1">
      <c r="B54" s="853"/>
      <c r="D54" s="1008"/>
      <c r="E54" s="1008"/>
      <c r="F54" s="1008"/>
      <c r="G54" s="1008"/>
      <c r="H54" s="1008"/>
      <c r="I54" s="1008"/>
      <c r="J54" s="1008"/>
      <c r="K54" s="1008"/>
      <c r="L54" s="1008"/>
      <c r="M54" s="1008"/>
      <c r="N54" s="1008"/>
      <c r="O54" s="1008"/>
      <c r="P54" s="1009"/>
      <c r="R54" s="1021"/>
      <c r="S54" s="1022"/>
      <c r="T54" s="1022"/>
      <c r="U54" s="1022"/>
      <c r="V54" s="1022"/>
      <c r="W54" s="1022"/>
      <c r="X54" s="1023"/>
    </row>
    <row r="55" spans="2:24" ht="15.75" customHeight="1">
      <c r="B55" s="853"/>
      <c r="D55" s="1008"/>
      <c r="E55" s="1008"/>
      <c r="F55" s="1008"/>
      <c r="G55" s="1008"/>
      <c r="H55" s="1008"/>
      <c r="I55" s="1008"/>
      <c r="J55" s="1008"/>
      <c r="K55" s="1008"/>
      <c r="L55" s="1008"/>
      <c r="M55" s="1008"/>
      <c r="N55" s="1008"/>
      <c r="O55" s="1008"/>
      <c r="P55" s="1009"/>
      <c r="R55" s="1021"/>
      <c r="S55" s="1022"/>
      <c r="T55" s="1022"/>
      <c r="U55" s="1022"/>
      <c r="V55" s="1022"/>
      <c r="W55" s="1022"/>
      <c r="X55" s="1023"/>
    </row>
    <row r="56" spans="2:24" ht="16.5" thickBot="1">
      <c r="B56" s="853"/>
      <c r="D56" s="1031" t="s">
        <v>37</v>
      </c>
      <c r="E56" s="1031"/>
      <c r="F56" s="1031"/>
      <c r="G56" s="1031"/>
      <c r="H56" s="1031" t="s">
        <v>38</v>
      </c>
      <c r="I56" s="1031"/>
      <c r="J56" s="1031"/>
      <c r="K56" s="1031"/>
      <c r="L56" s="1031"/>
      <c r="M56" s="1031"/>
      <c r="N56" s="1031"/>
      <c r="O56" s="832"/>
      <c r="P56" s="833"/>
      <c r="R56" s="1024"/>
      <c r="S56" s="1025"/>
      <c r="T56" s="1025"/>
      <c r="U56" s="1025"/>
      <c r="V56" s="1025"/>
      <c r="W56" s="1025"/>
      <c r="X56" s="1026"/>
    </row>
    <row r="57" spans="2:24" s="6" customFormat="1" ht="15.75" customHeight="1">
      <c r="B57" s="871"/>
      <c r="D57" s="1031"/>
      <c r="E57" s="1031"/>
      <c r="F57" s="1031"/>
      <c r="G57" s="1031"/>
      <c r="H57" s="1031"/>
      <c r="I57" s="1031"/>
      <c r="J57" s="1031"/>
      <c r="K57" s="1031"/>
      <c r="L57" s="1031"/>
      <c r="M57" s="1031"/>
      <c r="N57" s="1031"/>
      <c r="O57" s="837"/>
      <c r="P57" s="838"/>
    </row>
    <row r="58" spans="2:24" s="6" customFormat="1" ht="15.75" customHeight="1">
      <c r="B58" s="871"/>
      <c r="D58" s="1033" t="s">
        <v>39</v>
      </c>
      <c r="E58" s="1033"/>
      <c r="F58" s="1033"/>
      <c r="G58" s="1033"/>
      <c r="H58" s="1032" t="s">
        <v>40</v>
      </c>
      <c r="I58" s="1032"/>
      <c r="J58" s="1032"/>
      <c r="K58" s="1032"/>
      <c r="L58" s="1032"/>
      <c r="M58" s="1032"/>
      <c r="N58" s="1032"/>
      <c r="O58" s="837"/>
      <c r="P58" s="838"/>
    </row>
    <row r="59" spans="2:24" s="6" customFormat="1" ht="15" customHeight="1">
      <c r="B59" s="871"/>
      <c r="D59" s="1033" t="s">
        <v>41</v>
      </c>
      <c r="E59" s="1033"/>
      <c r="F59" s="1033"/>
      <c r="G59" s="1033"/>
      <c r="H59" s="1032" t="s">
        <v>42</v>
      </c>
      <c r="I59" s="1032"/>
      <c r="J59" s="1032"/>
      <c r="K59" s="1032"/>
      <c r="L59" s="1032"/>
      <c r="M59" s="1032"/>
      <c r="N59" s="1032"/>
      <c r="O59" s="837"/>
      <c r="P59" s="838"/>
    </row>
    <row r="60" spans="2:24" s="6" customFormat="1" ht="15" customHeight="1">
      <c r="B60" s="871"/>
      <c r="D60" s="1033" t="s">
        <v>43</v>
      </c>
      <c r="E60" s="1033"/>
      <c r="F60" s="1033"/>
      <c r="G60" s="1033"/>
      <c r="H60" s="1032" t="s">
        <v>44</v>
      </c>
      <c r="I60" s="1032"/>
      <c r="J60" s="1032"/>
      <c r="K60" s="1032"/>
      <c r="L60" s="1032"/>
      <c r="M60" s="1032"/>
      <c r="N60" s="1032"/>
      <c r="O60" s="837"/>
      <c r="P60" s="838"/>
    </row>
    <row r="61" spans="2:24" s="6" customFormat="1" ht="15" customHeight="1">
      <c r="B61" s="871"/>
      <c r="D61" s="1033" t="s">
        <v>45</v>
      </c>
      <c r="E61" s="1033"/>
      <c r="F61" s="1033"/>
      <c r="G61" s="1033"/>
      <c r="H61" s="1032" t="s">
        <v>46</v>
      </c>
      <c r="I61" s="1032"/>
      <c r="J61" s="1032"/>
      <c r="K61" s="1032"/>
      <c r="L61" s="1032"/>
      <c r="M61" s="1032"/>
      <c r="N61" s="1032"/>
      <c r="O61" s="837"/>
      <c r="P61" s="838"/>
    </row>
    <row r="62" spans="2:24" s="6" customFormat="1" ht="15.95">
      <c r="B62" s="871"/>
      <c r="D62" s="1033" t="s">
        <v>47</v>
      </c>
      <c r="E62" s="1033"/>
      <c r="F62" s="1033"/>
      <c r="G62" s="1033"/>
      <c r="H62" s="1032" t="s">
        <v>48</v>
      </c>
      <c r="I62" s="1032"/>
      <c r="J62" s="1032"/>
      <c r="K62" s="1032"/>
      <c r="L62" s="1032"/>
      <c r="M62" s="1032"/>
      <c r="N62" s="1032"/>
      <c r="O62" s="837"/>
      <c r="P62" s="838"/>
    </row>
    <row r="63" spans="2:24" s="6" customFormat="1" ht="65.45" customHeight="1">
      <c r="B63" s="871"/>
      <c r="D63" s="1033" t="s">
        <v>49</v>
      </c>
      <c r="E63" s="1033"/>
      <c r="F63" s="1033"/>
      <c r="G63" s="1033"/>
      <c r="H63" s="1032" t="s">
        <v>50</v>
      </c>
      <c r="I63" s="1032"/>
      <c r="J63" s="1032"/>
      <c r="K63" s="1032"/>
      <c r="L63" s="1032"/>
      <c r="M63" s="1032"/>
      <c r="N63" s="1032"/>
      <c r="O63" s="837"/>
      <c r="P63" s="838"/>
    </row>
    <row r="64" spans="2:24" s="6" customFormat="1" ht="15.95">
      <c r="B64" s="871"/>
      <c r="D64" s="1033" t="s">
        <v>51</v>
      </c>
      <c r="E64" s="1033"/>
      <c r="F64" s="1033"/>
      <c r="G64" s="1033"/>
      <c r="H64" s="1032" t="s">
        <v>52</v>
      </c>
      <c r="I64" s="1032"/>
      <c r="J64" s="1032"/>
      <c r="K64" s="1032"/>
      <c r="L64" s="1032"/>
      <c r="M64" s="1032"/>
      <c r="N64" s="1032"/>
      <c r="O64" s="837"/>
      <c r="P64" s="838"/>
    </row>
    <row r="65" spans="2:24" s="6" customFormat="1" ht="63" customHeight="1">
      <c r="B65" s="871"/>
      <c r="D65" s="1033"/>
      <c r="E65" s="1033"/>
      <c r="F65" s="1033"/>
      <c r="G65" s="1033"/>
      <c r="H65" s="1032"/>
      <c r="I65" s="1032"/>
      <c r="J65" s="1032"/>
      <c r="K65" s="1032"/>
      <c r="L65" s="1032"/>
      <c r="M65" s="1032"/>
      <c r="N65" s="1032"/>
      <c r="O65" s="837"/>
      <c r="P65" s="838"/>
    </row>
    <row r="66" spans="2:24" s="6" customFormat="1" ht="15.95">
      <c r="B66" s="871"/>
      <c r="D66" s="1033" t="s">
        <v>53</v>
      </c>
      <c r="E66" s="1033"/>
      <c r="F66" s="1033"/>
      <c r="G66" s="1033"/>
      <c r="H66" s="1032" t="s">
        <v>40</v>
      </c>
      <c r="I66" s="1032"/>
      <c r="J66" s="1032"/>
      <c r="K66" s="1032"/>
      <c r="L66" s="1032"/>
      <c r="M66" s="1032"/>
      <c r="N66" s="1032"/>
      <c r="O66" s="837"/>
      <c r="P66" s="838"/>
    </row>
    <row r="67" spans="2:24" s="6" customFormat="1" ht="15.95">
      <c r="B67" s="871"/>
      <c r="D67" s="1033" t="s">
        <v>54</v>
      </c>
      <c r="E67" s="1033"/>
      <c r="F67" s="1033"/>
      <c r="G67" s="1033"/>
      <c r="H67" s="1032" t="s">
        <v>55</v>
      </c>
      <c r="I67" s="1032"/>
      <c r="J67" s="1032"/>
      <c r="K67" s="1032"/>
      <c r="L67" s="1032"/>
      <c r="M67" s="1032"/>
      <c r="N67" s="1032"/>
      <c r="O67" s="837"/>
      <c r="P67" s="838"/>
    </row>
    <row r="68" spans="2:24" s="6" customFormat="1" ht="15.95">
      <c r="B68" s="871"/>
      <c r="D68" s="1033" t="s">
        <v>56</v>
      </c>
      <c r="E68" s="1033"/>
      <c r="F68" s="1033"/>
      <c r="G68" s="1033"/>
      <c r="H68" s="1032" t="s">
        <v>55</v>
      </c>
      <c r="I68" s="1032"/>
      <c r="J68" s="1032"/>
      <c r="K68" s="1032"/>
      <c r="L68" s="1032"/>
      <c r="M68" s="1032"/>
      <c r="N68" s="1032"/>
      <c r="O68" s="837"/>
      <c r="P68" s="838"/>
    </row>
    <row r="69" spans="2:24" s="6" customFormat="1" ht="15.95">
      <c r="B69" s="871"/>
      <c r="D69" s="1033"/>
      <c r="E69" s="1033"/>
      <c r="F69" s="1033"/>
      <c r="G69" s="1033"/>
      <c r="H69" s="1032"/>
      <c r="I69" s="1032"/>
      <c r="J69" s="1032"/>
      <c r="K69" s="1032"/>
      <c r="L69" s="1032"/>
      <c r="M69" s="1032"/>
      <c r="N69" s="1032"/>
      <c r="O69" s="837"/>
      <c r="P69" s="838"/>
      <c r="R69" s="837"/>
      <c r="S69" s="837"/>
      <c r="T69" s="837"/>
      <c r="U69" s="837"/>
      <c r="V69" s="837"/>
      <c r="W69" s="837"/>
      <c r="X69" s="837"/>
    </row>
    <row r="70" spans="2:24" s="6" customFormat="1" ht="15.95">
      <c r="B70" s="871"/>
      <c r="D70" s="1033" t="s">
        <v>57</v>
      </c>
      <c r="E70" s="1033"/>
      <c r="F70" s="1033"/>
      <c r="G70" s="1033"/>
      <c r="H70" s="1032" t="s">
        <v>55</v>
      </c>
      <c r="I70" s="1032"/>
      <c r="J70" s="1032"/>
      <c r="K70" s="1032"/>
      <c r="L70" s="1032"/>
      <c r="M70" s="1032"/>
      <c r="N70" s="1032"/>
      <c r="O70" s="837"/>
      <c r="P70" s="838"/>
      <c r="R70" s="837"/>
      <c r="S70" s="837"/>
      <c r="T70" s="837"/>
      <c r="U70" s="837"/>
      <c r="V70" s="837"/>
      <c r="W70" s="837"/>
      <c r="X70" s="837"/>
    </row>
    <row r="71" spans="2:24" ht="15.95">
      <c r="B71" s="853"/>
      <c r="D71" s="1033"/>
      <c r="E71" s="1033"/>
      <c r="F71" s="1033"/>
      <c r="G71" s="1033"/>
      <c r="H71" s="1032"/>
      <c r="I71" s="1032"/>
      <c r="J71" s="1032"/>
      <c r="K71" s="1032"/>
      <c r="L71" s="1032"/>
      <c r="M71" s="1032"/>
      <c r="N71" s="1032"/>
      <c r="O71" s="832"/>
      <c r="P71" s="833"/>
    </row>
    <row r="72" spans="2:24" ht="15.95">
      <c r="B72" s="853"/>
      <c r="D72" s="1033" t="s">
        <v>58</v>
      </c>
      <c r="E72" s="1033"/>
      <c r="F72" s="1033"/>
      <c r="G72" s="1033"/>
      <c r="H72" s="1032" t="s">
        <v>59</v>
      </c>
      <c r="I72" s="1032"/>
      <c r="J72" s="1032"/>
      <c r="K72" s="1032"/>
      <c r="L72" s="1032"/>
      <c r="M72" s="1032"/>
      <c r="N72" s="1032"/>
      <c r="O72" s="832"/>
      <c r="P72" s="833"/>
    </row>
    <row r="73" spans="2:24" ht="15.95">
      <c r="B73" s="853"/>
      <c r="D73" s="1033"/>
      <c r="E73" s="1033"/>
      <c r="F73" s="1033"/>
      <c r="G73" s="1033"/>
      <c r="H73" s="1032"/>
      <c r="I73" s="1032"/>
      <c r="J73" s="1032"/>
      <c r="K73" s="1032"/>
      <c r="L73" s="1032"/>
      <c r="M73" s="1032"/>
      <c r="N73" s="1032"/>
      <c r="O73" s="832"/>
      <c r="P73" s="833"/>
    </row>
    <row r="74" spans="2:24" ht="15.95">
      <c r="B74" s="853"/>
      <c r="D74" s="832"/>
      <c r="E74" s="832"/>
      <c r="F74" s="832"/>
      <c r="G74" s="832"/>
      <c r="H74" s="832"/>
      <c r="I74" s="832"/>
      <c r="J74" s="832"/>
      <c r="K74" s="832"/>
      <c r="L74" s="832"/>
      <c r="M74" s="832"/>
      <c r="N74" s="832"/>
      <c r="O74" s="832"/>
      <c r="P74" s="833"/>
    </row>
    <row r="75" spans="2:24" ht="15.95">
      <c r="B75" s="853"/>
      <c r="D75" s="870" t="s">
        <v>60</v>
      </c>
      <c r="E75" s="825"/>
      <c r="F75" s="835"/>
      <c r="G75" s="832"/>
      <c r="H75" s="832"/>
      <c r="I75" s="832"/>
      <c r="J75" s="832"/>
      <c r="K75" s="832"/>
      <c r="L75" s="832"/>
      <c r="M75" s="832"/>
      <c r="N75" s="832"/>
      <c r="O75" s="832"/>
      <c r="P75" s="833"/>
    </row>
    <row r="76" spans="2:24" ht="15" customHeight="1">
      <c r="B76" s="853"/>
      <c r="D76" s="1008" t="s">
        <v>61</v>
      </c>
      <c r="E76" s="1008"/>
      <c r="F76" s="1008"/>
      <c r="G76" s="1008"/>
      <c r="H76" s="1008"/>
      <c r="I76" s="1008"/>
      <c r="J76" s="1008"/>
      <c r="K76" s="1008"/>
      <c r="L76" s="1008"/>
      <c r="M76" s="1008"/>
      <c r="N76" s="1008"/>
      <c r="O76" s="1008"/>
      <c r="P76" s="1009"/>
    </row>
    <row r="77" spans="2:24" ht="15.75" customHeight="1">
      <c r="B77" s="853"/>
      <c r="D77" s="1008"/>
      <c r="E77" s="1008"/>
      <c r="F77" s="1008"/>
      <c r="G77" s="1008"/>
      <c r="H77" s="1008"/>
      <c r="I77" s="1008"/>
      <c r="J77" s="1008"/>
      <c r="K77" s="1008"/>
      <c r="L77" s="1008"/>
      <c r="M77" s="1008"/>
      <c r="N77" s="1008"/>
      <c r="O77" s="1008"/>
      <c r="P77" s="1009"/>
    </row>
    <row r="78" spans="2:24" ht="15.75" customHeight="1">
      <c r="B78" s="853"/>
      <c r="D78" s="1008"/>
      <c r="E78" s="1008"/>
      <c r="F78" s="1008"/>
      <c r="G78" s="1008"/>
      <c r="H78" s="1008"/>
      <c r="I78" s="1008"/>
      <c r="J78" s="1008"/>
      <c r="K78" s="1008"/>
      <c r="L78" s="1008"/>
      <c r="M78" s="1008"/>
      <c r="N78" s="1008"/>
      <c r="O78" s="1008"/>
      <c r="P78" s="1009"/>
    </row>
    <row r="79" spans="2:24" ht="15.75" customHeight="1">
      <c r="B79" s="853"/>
      <c r="D79" s="1008"/>
      <c r="E79" s="1008"/>
      <c r="F79" s="1008"/>
      <c r="G79" s="1008"/>
      <c r="H79" s="1008"/>
      <c r="I79" s="1008"/>
      <c r="J79" s="1008"/>
      <c r="K79" s="1008"/>
      <c r="L79" s="1008"/>
      <c r="M79" s="1008"/>
      <c r="N79" s="1008"/>
      <c r="O79" s="1008"/>
      <c r="P79" s="1009"/>
    </row>
    <row r="80" spans="2:24" ht="15.75" customHeight="1">
      <c r="B80" s="853"/>
      <c r="D80" s="1008"/>
      <c r="E80" s="1008"/>
      <c r="F80" s="1008"/>
      <c r="G80" s="1008"/>
      <c r="H80" s="1008"/>
      <c r="I80" s="1008"/>
      <c r="J80" s="1008"/>
      <c r="K80" s="1008"/>
      <c r="L80" s="1008"/>
      <c r="M80" s="1008"/>
      <c r="N80" s="1008"/>
      <c r="O80" s="1008"/>
      <c r="P80" s="1009"/>
    </row>
    <row r="81" spans="2:16" ht="15.75" customHeight="1">
      <c r="B81" s="853"/>
      <c r="D81" s="1008"/>
      <c r="E81" s="1008"/>
      <c r="F81" s="1008"/>
      <c r="G81" s="1008"/>
      <c r="H81" s="1008"/>
      <c r="I81" s="1008"/>
      <c r="J81" s="1008"/>
      <c r="K81" s="1008"/>
      <c r="L81" s="1008"/>
      <c r="M81" s="1008"/>
      <c r="N81" s="1008"/>
      <c r="O81" s="1008"/>
      <c r="P81" s="1009"/>
    </row>
    <row r="82" spans="2:16" ht="15.75" customHeight="1">
      <c r="B82" s="853"/>
      <c r="D82" s="1008"/>
      <c r="E82" s="1008"/>
      <c r="F82" s="1008"/>
      <c r="G82" s="1008"/>
      <c r="H82" s="1008"/>
      <c r="I82" s="1008"/>
      <c r="J82" s="1008"/>
      <c r="K82" s="1008"/>
      <c r="L82" s="1008"/>
      <c r="M82" s="1008"/>
      <c r="N82" s="1008"/>
      <c r="O82" s="1008"/>
      <c r="P82" s="1009"/>
    </row>
    <row r="83" spans="2:16" s="3" customFormat="1" ht="15.75" customHeight="1">
      <c r="B83" s="871"/>
      <c r="C83" s="6"/>
      <c r="D83" s="1037" t="s">
        <v>62</v>
      </c>
      <c r="E83" s="1037"/>
      <c r="F83" s="1037"/>
      <c r="G83" s="1037"/>
      <c r="H83" s="1037"/>
      <c r="I83" s="1037" t="s">
        <v>63</v>
      </c>
      <c r="J83" s="1037"/>
      <c r="K83" s="1037"/>
      <c r="L83" s="825"/>
      <c r="M83" s="825"/>
      <c r="N83" s="825"/>
      <c r="O83" s="825"/>
      <c r="P83" s="826"/>
    </row>
    <row r="84" spans="2:16" s="3" customFormat="1" ht="15.95">
      <c r="B84" s="858"/>
      <c r="D84" s="1030" t="s">
        <v>64</v>
      </c>
      <c r="E84" s="1030"/>
      <c r="F84" s="1030"/>
      <c r="G84" s="1030"/>
      <c r="H84" s="1030"/>
      <c r="I84" s="1030" t="s">
        <v>65</v>
      </c>
      <c r="J84" s="1030"/>
      <c r="K84" s="1030"/>
      <c r="L84" s="825"/>
      <c r="M84" s="825"/>
      <c r="N84" s="825"/>
      <c r="O84" s="825"/>
      <c r="P84" s="826"/>
    </row>
    <row r="85" spans="2:16" s="3" customFormat="1" ht="15.75" customHeight="1">
      <c r="B85" s="858"/>
      <c r="D85" s="1030" t="s">
        <v>66</v>
      </c>
      <c r="E85" s="1030"/>
      <c r="F85" s="1030"/>
      <c r="G85" s="1030"/>
      <c r="H85" s="1030"/>
      <c r="I85" s="1030" t="s">
        <v>67</v>
      </c>
      <c r="J85" s="1030"/>
      <c r="K85" s="1030"/>
      <c r="L85" s="825"/>
      <c r="M85" s="825"/>
      <c r="N85" s="825"/>
      <c r="O85" s="825"/>
      <c r="P85" s="826"/>
    </row>
    <row r="86" spans="2:16" s="3" customFormat="1" ht="15.75" customHeight="1">
      <c r="B86" s="858"/>
      <c r="D86" s="1034" t="s">
        <v>68</v>
      </c>
      <c r="E86" s="1035"/>
      <c r="F86" s="1035"/>
      <c r="G86" s="1035"/>
      <c r="H86" s="1036"/>
      <c r="I86" s="1030" t="s">
        <v>69</v>
      </c>
      <c r="J86" s="1030"/>
      <c r="K86" s="1030"/>
      <c r="L86" s="825"/>
      <c r="M86" s="825"/>
      <c r="N86" s="825"/>
      <c r="O86" s="825"/>
      <c r="P86" s="826"/>
    </row>
    <row r="87" spans="2:16" s="3" customFormat="1" ht="15.95">
      <c r="B87" s="858"/>
      <c r="D87" s="1030" t="s">
        <v>70</v>
      </c>
      <c r="E87" s="1030"/>
      <c r="F87" s="1030"/>
      <c r="G87" s="1030"/>
      <c r="H87" s="1030"/>
      <c r="I87" s="1030" t="s">
        <v>71</v>
      </c>
      <c r="J87" s="1030"/>
      <c r="K87" s="1030"/>
      <c r="L87" s="825"/>
      <c r="M87" s="825"/>
      <c r="N87" s="825"/>
      <c r="O87" s="825"/>
      <c r="P87" s="826"/>
    </row>
    <row r="88" spans="2:16" s="3" customFormat="1" ht="15.95">
      <c r="B88" s="858"/>
      <c r="D88" s="825"/>
      <c r="E88" s="825"/>
      <c r="F88" s="825"/>
      <c r="G88" s="825"/>
      <c r="H88" s="825"/>
      <c r="I88" s="825"/>
      <c r="J88" s="825"/>
      <c r="K88" s="825"/>
      <c r="L88" s="825"/>
      <c r="M88" s="825"/>
      <c r="N88" s="825"/>
      <c r="O88" s="825"/>
      <c r="P88" s="826"/>
    </row>
    <row r="89" spans="2:16" s="3" customFormat="1" ht="15.95">
      <c r="B89" s="858"/>
      <c r="D89" s="870" t="s">
        <v>72</v>
      </c>
      <c r="E89" s="825"/>
      <c r="F89" s="835"/>
      <c r="G89" s="825"/>
      <c r="H89" s="825"/>
      <c r="I89" s="825"/>
      <c r="J89" s="825"/>
      <c r="K89" s="825"/>
      <c r="L89" s="825"/>
      <c r="M89" s="825"/>
      <c r="N89" s="825"/>
      <c r="O89" s="825"/>
      <c r="P89" s="826"/>
    </row>
    <row r="90" spans="2:16" s="3" customFormat="1" ht="15" customHeight="1">
      <c r="B90" s="858"/>
      <c r="D90" s="1008" t="s">
        <v>73</v>
      </c>
      <c r="E90" s="1008"/>
      <c r="F90" s="1008"/>
      <c r="G90" s="1008"/>
      <c r="H90" s="1008"/>
      <c r="I90" s="1008"/>
      <c r="J90" s="1008"/>
      <c r="K90" s="1008"/>
      <c r="L90" s="1008"/>
      <c r="M90" s="1008"/>
      <c r="N90" s="1008"/>
      <c r="O90" s="1008"/>
      <c r="P90" s="1009"/>
    </row>
    <row r="91" spans="2:16" s="3" customFormat="1">
      <c r="B91" s="858"/>
      <c r="D91" s="1008"/>
      <c r="E91" s="1008"/>
      <c r="F91" s="1008"/>
      <c r="G91" s="1008"/>
      <c r="H91" s="1008"/>
      <c r="I91" s="1008"/>
      <c r="J91" s="1008"/>
      <c r="K91" s="1008"/>
      <c r="L91" s="1008"/>
      <c r="M91" s="1008"/>
      <c r="N91" s="1008"/>
      <c r="O91" s="1008"/>
      <c r="P91" s="1009"/>
    </row>
    <row r="92" spans="2:16" s="3" customFormat="1">
      <c r="B92" s="858"/>
      <c r="D92" s="1008"/>
      <c r="E92" s="1008"/>
      <c r="F92" s="1008"/>
      <c r="G92" s="1008"/>
      <c r="H92" s="1008"/>
      <c r="I92" s="1008"/>
      <c r="J92" s="1008"/>
      <c r="K92" s="1008"/>
      <c r="L92" s="1008"/>
      <c r="M92" s="1008"/>
      <c r="N92" s="1008"/>
      <c r="O92" s="1008"/>
      <c r="P92" s="1009"/>
    </row>
    <row r="93" spans="2:16" s="3" customFormat="1" ht="15.95">
      <c r="B93" s="858"/>
      <c r="D93" s="1037" t="s">
        <v>62</v>
      </c>
      <c r="E93" s="1037"/>
      <c r="F93" s="1037"/>
      <c r="G93" s="1037"/>
      <c r="H93" s="1037"/>
      <c r="I93" s="1037" t="s">
        <v>63</v>
      </c>
      <c r="J93" s="1037"/>
      <c r="K93" s="1037"/>
      <c r="L93" s="825"/>
      <c r="M93" s="825"/>
      <c r="N93" s="825"/>
      <c r="O93" s="825"/>
      <c r="P93" s="826"/>
    </row>
    <row r="94" spans="2:16" s="3" customFormat="1" ht="15.95">
      <c r="B94" s="858"/>
      <c r="D94" s="1030" t="s">
        <v>74</v>
      </c>
      <c r="E94" s="1030"/>
      <c r="F94" s="1030"/>
      <c r="G94" s="1030"/>
      <c r="H94" s="1030"/>
      <c r="I94" s="1030" t="s">
        <v>75</v>
      </c>
      <c r="J94" s="1030"/>
      <c r="K94" s="1030"/>
      <c r="L94" s="825"/>
      <c r="M94" s="825"/>
      <c r="N94" s="825"/>
      <c r="O94" s="825"/>
      <c r="P94" s="826"/>
    </row>
    <row r="95" spans="2:16" s="3" customFormat="1" ht="15.95">
      <c r="B95" s="858"/>
      <c r="D95" s="1030" t="s">
        <v>76</v>
      </c>
      <c r="E95" s="1030"/>
      <c r="F95" s="1030"/>
      <c r="G95" s="1030"/>
      <c r="H95" s="1030"/>
      <c r="I95" s="1030" t="s">
        <v>77</v>
      </c>
      <c r="J95" s="1030"/>
      <c r="K95" s="1030"/>
      <c r="L95" s="825"/>
      <c r="M95" s="825"/>
      <c r="N95" s="825"/>
      <c r="O95" s="825"/>
      <c r="P95" s="826"/>
    </row>
    <row r="96" spans="2:16" s="3" customFormat="1" ht="15.95">
      <c r="B96" s="858"/>
      <c r="D96" s="1030" t="s">
        <v>78</v>
      </c>
      <c r="E96" s="1030"/>
      <c r="F96" s="1030"/>
      <c r="G96" s="1030"/>
      <c r="H96" s="1030"/>
      <c r="I96" s="1030" t="s">
        <v>79</v>
      </c>
      <c r="J96" s="1030"/>
      <c r="K96" s="1030"/>
      <c r="L96" s="825"/>
      <c r="M96" s="825"/>
      <c r="N96" s="825"/>
      <c r="O96" s="825"/>
      <c r="P96" s="826"/>
    </row>
    <row r="97" spans="2:16" s="3" customFormat="1" ht="15.95">
      <c r="B97" s="858"/>
      <c r="D97" s="1030" t="s">
        <v>80</v>
      </c>
      <c r="E97" s="1030"/>
      <c r="F97" s="1030"/>
      <c r="G97" s="1030"/>
      <c r="H97" s="1030"/>
      <c r="I97" s="1030" t="s">
        <v>81</v>
      </c>
      <c r="J97" s="1030"/>
      <c r="K97" s="1030"/>
      <c r="L97" s="825"/>
      <c r="M97" s="825"/>
      <c r="N97" s="825"/>
      <c r="O97" s="825"/>
      <c r="P97" s="826"/>
    </row>
    <row r="98" spans="2:16" s="3" customFormat="1" ht="15.95">
      <c r="B98" s="858"/>
      <c r="D98" s="1030" t="s">
        <v>82</v>
      </c>
      <c r="E98" s="1030"/>
      <c r="F98" s="1030"/>
      <c r="G98" s="1030"/>
      <c r="H98" s="1030"/>
      <c r="I98" s="1030" t="s">
        <v>83</v>
      </c>
      <c r="J98" s="1030"/>
      <c r="K98" s="1030"/>
      <c r="L98" s="825"/>
      <c r="M98" s="825"/>
      <c r="N98" s="825"/>
      <c r="O98" s="825"/>
      <c r="P98" s="826"/>
    </row>
    <row r="99" spans="2:16" s="3" customFormat="1" ht="16.5" thickBot="1">
      <c r="B99" s="872"/>
      <c r="C99" s="847"/>
      <c r="D99" s="873"/>
      <c r="E99" s="829"/>
      <c r="F99" s="829"/>
      <c r="G99" s="829"/>
      <c r="H99" s="829"/>
      <c r="I99" s="829"/>
      <c r="J99" s="829"/>
      <c r="K99" s="829"/>
      <c r="L99" s="829"/>
      <c r="M99" s="829"/>
      <c r="N99" s="829"/>
      <c r="O99" s="829"/>
      <c r="P99" s="830"/>
    </row>
    <row r="100" spans="2:16" s="3" customFormat="1" ht="15.95">
      <c r="D100" s="835"/>
      <c r="E100" s="825"/>
      <c r="F100" s="825"/>
      <c r="G100" s="825"/>
      <c r="H100" s="825"/>
      <c r="I100" s="825"/>
      <c r="J100" s="825"/>
      <c r="K100" s="825"/>
      <c r="L100" s="825"/>
      <c r="M100" s="825"/>
      <c r="N100" s="825"/>
      <c r="O100" s="825"/>
      <c r="P100" s="825"/>
    </row>
    <row r="101" spans="2:16" s="3" customFormat="1" ht="15.95">
      <c r="D101" s="835"/>
      <c r="E101" s="825"/>
      <c r="F101" s="825"/>
      <c r="G101" s="825"/>
      <c r="H101" s="825"/>
      <c r="I101" s="825"/>
      <c r="J101" s="825"/>
      <c r="K101" s="825"/>
      <c r="L101" s="825"/>
      <c r="M101" s="825"/>
      <c r="N101" s="825"/>
      <c r="O101" s="825"/>
      <c r="P101" s="825"/>
    </row>
    <row r="102" spans="2:16" s="3" customFormat="1">
      <c r="D102" s="24"/>
    </row>
    <row r="103" spans="2:16" s="3" customFormat="1">
      <c r="D103" s="24"/>
    </row>
    <row r="104" spans="2:16" s="3" customFormat="1"/>
    <row r="105" spans="2:16" s="3" customFormat="1" ht="66.95" customHeight="1"/>
    <row r="106" spans="2:16" s="3" customFormat="1">
      <c r="D106" s="24"/>
    </row>
    <row r="107" spans="2:16" s="3" customFormat="1">
      <c r="D107" s="24"/>
    </row>
    <row r="108" spans="2:16" s="3" customFormat="1">
      <c r="D108" s="24"/>
    </row>
    <row r="109" spans="2:16" s="3" customFormat="1">
      <c r="D109" s="24"/>
    </row>
    <row r="110" spans="2:16" s="3" customFormat="1">
      <c r="D110" s="24"/>
    </row>
    <row r="111" spans="2:16" s="3" customFormat="1"/>
    <row r="112" spans="2:16" s="3" customFormat="1"/>
    <row r="113" spans="2:5" s="3" customFormat="1">
      <c r="D113" s="24"/>
    </row>
    <row r="114" spans="2:5" s="3" customFormat="1">
      <c r="D114" s="24"/>
    </row>
    <row r="115" spans="2:5" s="3" customFormat="1">
      <c r="D115" s="24"/>
    </row>
    <row r="116" spans="2:5" s="3" customFormat="1">
      <c r="D116" s="24"/>
    </row>
    <row r="117" spans="2:5" s="3" customFormat="1">
      <c r="D117" s="24"/>
    </row>
    <row r="118" spans="2:5" s="3" customFormat="1">
      <c r="D118" s="24"/>
    </row>
    <row r="119" spans="2:5" s="3" customFormat="1">
      <c r="B119" s="1013"/>
      <c r="C119" s="1013"/>
      <c r="D119" s="1013"/>
      <c r="E119" s="1013"/>
    </row>
    <row r="120" spans="2:5" s="3" customFormat="1">
      <c r="D120" s="24"/>
    </row>
  </sheetData>
  <sheetProtection algorithmName="SHA-512" hashValue="xVAnwKOoJ+aT/MbxCcmv3/4UQHjYafpIoagSNYE2Rc94ujF2qYVJnIAhJ//4SeWwVK9oGnJP8fzPkGn+bEPrAg==" saltValue="pvPISnjYKTWgJXGZ/DWHeQ==" spinCount="100000" sheet="1" objects="1" scenarios="1"/>
  <mergeCells count="59">
    <mergeCell ref="B119:E119"/>
    <mergeCell ref="B44:P44"/>
    <mergeCell ref="D47:P55"/>
    <mergeCell ref="B18:P18"/>
    <mergeCell ref="B42:D42"/>
    <mergeCell ref="D66:G66"/>
    <mergeCell ref="D67:G67"/>
    <mergeCell ref="H64:N65"/>
    <mergeCell ref="H66:N66"/>
    <mergeCell ref="H67:N67"/>
    <mergeCell ref="D64:G65"/>
    <mergeCell ref="D58:G58"/>
    <mergeCell ref="D59:G59"/>
    <mergeCell ref="D60:G60"/>
    <mergeCell ref="D61:G61"/>
    <mergeCell ref="D98:H98"/>
    <mergeCell ref="I98:K98"/>
    <mergeCell ref="I83:K83"/>
    <mergeCell ref="I84:K84"/>
    <mergeCell ref="I85:K85"/>
    <mergeCell ref="I86:K86"/>
    <mergeCell ref="I87:K87"/>
    <mergeCell ref="I94:K94"/>
    <mergeCell ref="I93:K93"/>
    <mergeCell ref="I95:K95"/>
    <mergeCell ref="I97:K97"/>
    <mergeCell ref="H58:N58"/>
    <mergeCell ref="H59:N59"/>
    <mergeCell ref="H60:N60"/>
    <mergeCell ref="H61:N61"/>
    <mergeCell ref="H62:N62"/>
    <mergeCell ref="H63:N63"/>
    <mergeCell ref="D94:H94"/>
    <mergeCell ref="D95:H95"/>
    <mergeCell ref="D96:H96"/>
    <mergeCell ref="D97:H97"/>
    <mergeCell ref="D63:G63"/>
    <mergeCell ref="D93:H93"/>
    <mergeCell ref="D76:P82"/>
    <mergeCell ref="D83:H83"/>
    <mergeCell ref="D84:H84"/>
    <mergeCell ref="D85:H85"/>
    <mergeCell ref="D87:H87"/>
    <mergeCell ref="R30:X56"/>
    <mergeCell ref="R4:X13"/>
    <mergeCell ref="R16:X27"/>
    <mergeCell ref="I96:K96"/>
    <mergeCell ref="D56:G57"/>
    <mergeCell ref="H56:N57"/>
    <mergeCell ref="H68:N69"/>
    <mergeCell ref="D70:G71"/>
    <mergeCell ref="H70:N71"/>
    <mergeCell ref="D72:G73"/>
    <mergeCell ref="H72:N73"/>
    <mergeCell ref="D62:G62"/>
    <mergeCell ref="D86:H86"/>
    <mergeCell ref="D90:P92"/>
    <mergeCell ref="D68:G69"/>
    <mergeCell ref="B4:P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2F2A4-7212-41A6-9CEA-B6BD1592EF78}">
  <sheetPr codeName="Sheet18">
    <tabColor theme="5" tint="0.59999389629810485"/>
  </sheetPr>
  <dimension ref="A1:X114"/>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bestFit="1"/>
    <col min="18" max="18" width="16.625" style="2" customWidth="1"/>
    <col min="19" max="19" width="18.5" style="2" customWidth="1"/>
    <col min="20" max="16384" width="9" style="2"/>
  </cols>
  <sheetData>
    <row r="1" spans="1:8" ht="15" thickBot="1"/>
    <row r="2" spans="1:8" s="750" customFormat="1" ht="18.95" thickBot="1">
      <c r="A2" s="748"/>
      <c r="B2" s="708" t="s">
        <v>377</v>
      </c>
      <c r="C2" s="749"/>
      <c r="D2" s="749"/>
    </row>
    <row r="4" spans="1:8" s="714" customFormat="1" ht="18.600000000000001">
      <c r="A4" s="715"/>
      <c r="B4" s="713" t="s">
        <v>893</v>
      </c>
      <c r="C4" s="715"/>
      <c r="D4" s="715"/>
      <c r="E4" s="715"/>
      <c r="F4" s="715"/>
      <c r="G4" s="715"/>
      <c r="H4" s="715"/>
    </row>
    <row r="5" spans="1:8" s="7" customFormat="1" ht="184.5" customHeight="1">
      <c r="A5" s="737"/>
      <c r="B5" s="1152" t="s">
        <v>1335</v>
      </c>
      <c r="C5" s="1152"/>
      <c r="D5" s="1152"/>
      <c r="E5" s="1152"/>
      <c r="F5" s="1152"/>
      <c r="G5" s="1152"/>
      <c r="H5" s="1152"/>
    </row>
    <row r="6" spans="1:8" s="7" customFormat="1"/>
    <row r="7" spans="1:8" s="718" customFormat="1" ht="18.600000000000001">
      <c r="A7" s="724"/>
      <c r="B7" s="724" t="s">
        <v>895</v>
      </c>
      <c r="C7" s="724"/>
      <c r="D7" s="724"/>
      <c r="E7" s="724"/>
      <c r="F7" s="724"/>
      <c r="G7" s="724"/>
      <c r="H7" s="724"/>
    </row>
    <row r="9" spans="1:8">
      <c r="D9" s="1134" t="s">
        <v>479</v>
      </c>
      <c r="E9" s="1134"/>
      <c r="F9" s="1134"/>
      <c r="G9" s="1134"/>
    </row>
    <row r="10" spans="1:8">
      <c r="B10" s="277" t="s">
        <v>104</v>
      </c>
      <c r="C10" s="277" t="s">
        <v>711</v>
      </c>
      <c r="D10" s="277" t="s">
        <v>1227</v>
      </c>
      <c r="E10" s="277" t="s">
        <v>1336</v>
      </c>
      <c r="F10" s="277" t="s">
        <v>1298</v>
      </c>
      <c r="G10" s="277" t="s">
        <v>460</v>
      </c>
    </row>
    <row r="11" spans="1:8">
      <c r="B11" s="278" t="str">
        <f>VALUATION!C60</f>
        <v>Surface water separated from combined</v>
      </c>
      <c r="C11" s="278" t="str">
        <f>VALUATION!D60</f>
        <v>Ml/yr</v>
      </c>
      <c r="D11" s="374" t="s">
        <v>475</v>
      </c>
      <c r="E11" s="374"/>
      <c r="F11" s="374" cm="1">
        <f t="array" aca="1" ref="F11" ca="1">_xlfn.XLOOKUP(1,($B11=$B$96:$B$98)*(F$10=$C$96:$C$98),$G$96:$G$98,"Not found",0,1)</f>
        <v>-135.07945685304833</v>
      </c>
      <c r="G11" s="374" t="str">
        <f>G$113</f>
        <v>LG(H)</v>
      </c>
    </row>
    <row r="12" spans="1:8">
      <c r="B12" s="278" t="str">
        <f>VALUATION!C61</f>
        <v>Surface water intercepted/harvested</v>
      </c>
      <c r="C12" s="278" t="str">
        <f>VALUATION!D61</f>
        <v>Ml/yr</v>
      </c>
      <c r="D12" s="374" t="s">
        <v>475</v>
      </c>
      <c r="E12" s="374" cm="1">
        <f t="array" ref="E12">_xlfn.XLOOKUP(1,($B12=$B$47:$B$48)*(E$10=$C$47:$C$48),$G$47:$G$48,"Not found",0,1)</f>
        <v>-1030</v>
      </c>
      <c r="F12" s="374" cm="1">
        <f t="array" aca="1" ref="F12" ca="1">_xlfn.XLOOKUP(1,($B12=$B$96:$B$98)*(F$10=$C$96:$C$98),$G$96:$G$98,"Not found",0,1)</f>
        <v>-104.68657906111245</v>
      </c>
      <c r="G12" s="374" t="str">
        <f>G$113</f>
        <v>LG(H)</v>
      </c>
    </row>
    <row r="13" spans="1:8">
      <c r="B13" s="800" t="s">
        <v>896</v>
      </c>
    </row>
    <row r="15" spans="1:8">
      <c r="A15" s="721"/>
      <c r="B15" s="722" t="s">
        <v>453</v>
      </c>
      <c r="C15" s="721"/>
      <c r="D15" s="721"/>
      <c r="E15" s="721"/>
      <c r="F15" s="721"/>
      <c r="G15" s="721"/>
      <c r="H15" s="721"/>
    </row>
    <row r="16" spans="1:8">
      <c r="A16" s="727"/>
      <c r="B16" s="729" t="s">
        <v>897</v>
      </c>
      <c r="C16" s="727"/>
      <c r="D16" s="727"/>
      <c r="E16" s="727"/>
      <c r="F16" s="727"/>
      <c r="G16" s="727"/>
      <c r="H16" s="727"/>
    </row>
    <row r="17" spans="1:8">
      <c r="B17" s="277" t="s">
        <v>898</v>
      </c>
      <c r="C17" s="277" t="s">
        <v>899</v>
      </c>
    </row>
    <row r="18" spans="1:8">
      <c r="B18" s="278" t="s">
        <v>453</v>
      </c>
      <c r="C18" s="375" t="s">
        <v>1337</v>
      </c>
    </row>
    <row r="19" spans="1:8">
      <c r="B19" s="16"/>
    </row>
    <row r="20" spans="1:8">
      <c r="A20" s="727"/>
      <c r="B20" s="728" t="s">
        <v>911</v>
      </c>
      <c r="C20" s="727"/>
      <c r="D20" s="727"/>
      <c r="E20" s="727"/>
      <c r="F20" s="727"/>
      <c r="G20" s="727"/>
      <c r="H20" s="727"/>
    </row>
    <row r="21" spans="1:8">
      <c r="A21" s="725"/>
      <c r="B21" s="726" t="s">
        <v>912</v>
      </c>
      <c r="C21" s="725"/>
      <c r="D21" s="725"/>
      <c r="E21" s="725"/>
      <c r="F21" s="725"/>
      <c r="G21" s="725"/>
      <c r="H21" s="725"/>
    </row>
    <row r="22" spans="1:8" ht="29.1">
      <c r="B22" s="719" t="s">
        <v>913</v>
      </c>
      <c r="C22" s="719" t="s">
        <v>914</v>
      </c>
      <c r="D22" s="719" t="s">
        <v>915</v>
      </c>
      <c r="E22" s="719" t="s">
        <v>916</v>
      </c>
      <c r="F22" s="719" t="s">
        <v>917</v>
      </c>
      <c r="G22" s="719" t="s">
        <v>918</v>
      </c>
      <c r="H22" s="719" t="s">
        <v>919</v>
      </c>
    </row>
    <row r="23" spans="1:8">
      <c r="B23" s="278">
        <v>22</v>
      </c>
      <c r="C23" s="278" t="s">
        <v>1172</v>
      </c>
      <c r="D23" s="278" t="s">
        <v>352</v>
      </c>
      <c r="E23" s="278">
        <v>2018</v>
      </c>
      <c r="F23" s="278" t="s">
        <v>1047</v>
      </c>
      <c r="G23" s="278" t="s">
        <v>1047</v>
      </c>
      <c r="H23" s="279" t="s">
        <v>907</v>
      </c>
    </row>
    <row r="24" spans="1:8">
      <c r="B24" s="16"/>
    </row>
    <row r="25" spans="1:8">
      <c r="A25" s="725"/>
      <c r="B25" s="726" t="s">
        <v>924</v>
      </c>
      <c r="C25" s="725"/>
      <c r="D25" s="725"/>
      <c r="E25" s="725"/>
      <c r="F25" s="725"/>
      <c r="G25" s="725"/>
      <c r="H25" s="725"/>
    </row>
    <row r="26" spans="1:8">
      <c r="B26" s="277" t="s">
        <v>165</v>
      </c>
      <c r="C26" s="277" t="s">
        <v>925</v>
      </c>
      <c r="D26" s="277" t="s">
        <v>926</v>
      </c>
      <c r="E26" s="1134" t="s">
        <v>927</v>
      </c>
      <c r="F26" s="1134"/>
      <c r="G26" s="1134"/>
      <c r="H26" s="1134"/>
    </row>
    <row r="27" spans="1:8">
      <c r="B27" s="278" t="s">
        <v>169</v>
      </c>
      <c r="C27" s="278" t="s">
        <v>166</v>
      </c>
      <c r="D27" s="278">
        <f>VLOOKUP(C27,METHODOLOGY!$C$175:$D$177,2,FALSE)</f>
        <v>3</v>
      </c>
      <c r="E27" s="1087" t="str">
        <f>_xlfn.XLOOKUP(C27,METHODOLOGY!$E$150:$O$150,METHODOLOGY!$E$151:$O$151,"",0,1)</f>
        <v>Monetary values have been peer reviewed or are recommended / referenced in other, well recognised and accepted guidance / tools relevant to the water sector.</v>
      </c>
      <c r="F27" s="1087"/>
      <c r="G27" s="1087"/>
      <c r="H27" s="1087"/>
    </row>
    <row r="28" spans="1:8">
      <c r="B28" s="278" t="s">
        <v>173</v>
      </c>
      <c r="C28" s="278" t="s">
        <v>166</v>
      </c>
      <c r="D28" s="278">
        <f>VLOOKUP(C28,METHODOLOGY!$C$175:$D$177,2,FALSE)</f>
        <v>3</v>
      </c>
      <c r="E28" s="1087" t="str">
        <f>_xlfn.XLOOKUP(C28,METHODOLOGY!$E$150:$O$150,METHODOLOGY!$E$155:$O$155,"",0,1)</f>
        <v>Study has few limitations and is considered robust.</v>
      </c>
      <c r="F28" s="1087"/>
      <c r="G28" s="1087"/>
      <c r="H28" s="1087"/>
    </row>
    <row r="29" spans="1:8">
      <c r="B29" s="278" t="s">
        <v>177</v>
      </c>
      <c r="C29" s="278" t="s">
        <v>167</v>
      </c>
      <c r="D29" s="278">
        <f>VLOOKUP(C29,METHODOLOGY!$C$175:$D$177,2,FALSE)</f>
        <v>2</v>
      </c>
      <c r="E29" s="1087" t="str">
        <f>_xlfn.XLOOKUP(C29,METHODOLOGY!$E$150:$O$150,METHODOLOGY!$E$158:$O$158,"",0,1)</f>
        <v>6-10 years</v>
      </c>
      <c r="F29" s="1087"/>
      <c r="G29" s="1087"/>
      <c r="H29" s="1087"/>
    </row>
    <row r="30" spans="1:8">
      <c r="B30" s="278" t="s">
        <v>181</v>
      </c>
      <c r="C30" s="278" t="s">
        <v>166</v>
      </c>
      <c r="D30" s="278">
        <f>VLOOKUP(C30,METHODOLOGY!$C$175:$D$177,2,FALSE)</f>
        <v>3</v>
      </c>
      <c r="E30" s="1087" t="str">
        <f>_xlfn.XLOOKUP(C30,METHODOLOGY!$E$150:$O$150,METHODOLOGY!$E$160:$O$160,"",0,1)</f>
        <v>Geographically relevant to UK</v>
      </c>
      <c r="F30" s="1087"/>
      <c r="G30" s="1087"/>
      <c r="H30" s="1087"/>
    </row>
    <row r="31" spans="1:8">
      <c r="B31" s="278" t="s">
        <v>928</v>
      </c>
      <c r="C31" s="278" t="s">
        <v>166</v>
      </c>
      <c r="D31" s="278">
        <f>VLOOKUP(C31,METHODOLOGY!$C$175:$D$177,2,FALSE)</f>
        <v>3</v>
      </c>
      <c r="E31" s="1087" t="str">
        <f>_xlfn.XLOOKUP(C31,METHODOLOGY!$E$150:$O$150,METHODOLOGY!$E$162:$O$162,"",0,1)</f>
        <v>Clear understanding of the valuation method and how the value should be applied.</v>
      </c>
      <c r="F31" s="1087"/>
      <c r="G31" s="1087"/>
      <c r="H31" s="1087"/>
    </row>
    <row r="32" spans="1:8">
      <c r="B32" s="278" t="s">
        <v>189</v>
      </c>
      <c r="C32" s="278" t="s">
        <v>166</v>
      </c>
      <c r="D32" s="278">
        <f>VLOOKUP(C32,METHODOLOGY!$C$175:$D$177,2,FALSE)</f>
        <v>3</v>
      </c>
      <c r="E32" s="1087" t="str">
        <f>_xlfn.XLOOKUP(C32,METHODOLOGY!$E$150:$O$150,METHODOLOGY!$E$164:$O$164,"",0,1)</f>
        <v xml:space="preserve">The original valuation can be used with no or very simple modification e.g. change units from ha to km2, applying inflation. </v>
      </c>
      <c r="F32" s="1087"/>
      <c r="G32" s="1087"/>
      <c r="H32" s="1087"/>
    </row>
    <row r="33" spans="1:12">
      <c r="C33" s="282" t="s">
        <v>924</v>
      </c>
      <c r="D33" s="326">
        <f>IF(AND(D32=1,AVERAGE(D27:D32)&gt;2.14285714285714),2.14285714285714,IF(AND(D32=2,AVERAGE(D27:D32)&gt;2.57142857142857),2.57142857142857,AVERAGE(D27:D32)))</f>
        <v>2.8333333333333335</v>
      </c>
      <c r="E33" s="270" t="str">
        <f>IF(D33&lt;=2.14285714285714,"Red",IF(D33&lt;=2.57142857142857,"Amber",IF(D33&lt;=3,"Green")))</f>
        <v>Green</v>
      </c>
    </row>
    <row r="34" spans="1:12">
      <c r="D34" s="7"/>
      <c r="E34" s="7"/>
    </row>
    <row r="36" spans="1:12">
      <c r="A36" s="725"/>
      <c r="B36" s="726" t="s">
        <v>929</v>
      </c>
      <c r="C36" s="725"/>
      <c r="D36" s="725"/>
      <c r="E36" s="725"/>
      <c r="F36" s="725"/>
      <c r="G36" s="725"/>
      <c r="H36" s="725"/>
    </row>
    <row r="37" spans="1:12">
      <c r="B37" s="277" t="s">
        <v>913</v>
      </c>
      <c r="C37" s="277" t="s">
        <v>1089</v>
      </c>
      <c r="D37" s="277" t="s">
        <v>902</v>
      </c>
      <c r="E37" s="277" t="s">
        <v>331</v>
      </c>
      <c r="F37" s="277" t="s">
        <v>226</v>
      </c>
      <c r="G37" s="1157" t="s">
        <v>930</v>
      </c>
      <c r="H37" s="1157"/>
      <c r="I37" s="1157"/>
      <c r="J37" s="1157"/>
      <c r="K37" s="1157"/>
      <c r="L37" s="1157"/>
    </row>
    <row r="38" spans="1:12" ht="57" customHeight="1">
      <c r="B38" s="278">
        <v>22</v>
      </c>
      <c r="C38" s="278" t="s">
        <v>453</v>
      </c>
      <c r="D38" s="375" t="s">
        <v>515</v>
      </c>
      <c r="E38" s="435">
        <v>1.03</v>
      </c>
      <c r="F38" s="278" t="s">
        <v>1338</v>
      </c>
      <c r="G38" s="1123" t="s">
        <v>1173</v>
      </c>
      <c r="H38" s="1119"/>
      <c r="I38" s="1119"/>
      <c r="J38" s="1119"/>
      <c r="K38" s="1119"/>
      <c r="L38" s="1091"/>
    </row>
    <row r="40" spans="1:12">
      <c r="A40" s="725"/>
      <c r="B40" s="726" t="s">
        <v>936</v>
      </c>
      <c r="C40" s="725"/>
      <c r="D40" s="725"/>
      <c r="E40" s="725"/>
      <c r="F40" s="725"/>
      <c r="G40" s="725"/>
      <c r="H40" s="725"/>
    </row>
    <row r="41" spans="1:12">
      <c r="B41" s="298" t="s">
        <v>1339</v>
      </c>
      <c r="C41" s="298" t="s">
        <v>331</v>
      </c>
      <c r="D41" s="298" t="s">
        <v>1340</v>
      </c>
    </row>
    <row r="42" spans="1:12">
      <c r="B42" s="334" t="s">
        <v>1341</v>
      </c>
      <c r="C42" s="450">
        <f>E38</f>
        <v>1.03</v>
      </c>
      <c r="D42" s="295" t="str">
        <f>F38</f>
        <v>£ / cubic metre</v>
      </c>
    </row>
    <row r="43" spans="1:12">
      <c r="B43" s="334" t="s">
        <v>1342</v>
      </c>
      <c r="C43" s="450">
        <f>C42/1000</f>
        <v>1.0300000000000001E-3</v>
      </c>
      <c r="D43" s="295" t="s">
        <v>1316</v>
      </c>
    </row>
    <row r="44" spans="1:12">
      <c r="B44" s="334" t="s">
        <v>1177</v>
      </c>
      <c r="C44" s="450">
        <f>C43*1000000</f>
        <v>1030</v>
      </c>
      <c r="D44" s="295" t="s">
        <v>1324</v>
      </c>
    </row>
    <row r="46" spans="1:12">
      <c r="A46" s="727"/>
      <c r="B46" s="728" t="s">
        <v>901</v>
      </c>
      <c r="C46" s="727"/>
      <c r="D46" s="727"/>
      <c r="E46" s="727"/>
      <c r="F46" s="727"/>
      <c r="G46" s="727"/>
      <c r="H46" s="727"/>
    </row>
    <row r="47" spans="1:12" ht="29.1">
      <c r="B47" s="522" t="s">
        <v>902</v>
      </c>
      <c r="C47" s="522" t="s">
        <v>898</v>
      </c>
      <c r="D47" s="522" t="s">
        <v>899</v>
      </c>
      <c r="E47" s="719" t="s">
        <v>903</v>
      </c>
      <c r="F47" s="522" t="s">
        <v>904</v>
      </c>
      <c r="G47" s="522" t="s">
        <v>905</v>
      </c>
      <c r="H47" s="522" t="s">
        <v>924</v>
      </c>
      <c r="I47" s="522" t="s">
        <v>956</v>
      </c>
      <c r="J47" s="522" t="s">
        <v>927</v>
      </c>
    </row>
    <row r="48" spans="1:12">
      <c r="B48" s="278" t="str">
        <f>B12</f>
        <v>Surface water intercepted/harvested</v>
      </c>
      <c r="C48" s="278" t="s">
        <v>453</v>
      </c>
      <c r="D48" s="299" t="s">
        <v>1337</v>
      </c>
      <c r="E48" s="299">
        <v>1</v>
      </c>
      <c r="F48" s="278" t="str" cm="1">
        <f t="array" ref="F48">_xlfn.XLOOKUP(1,(D52:D52=B48)*(E52:E52=C48),B52:B52,"Not found",0,1)</f>
        <v>11-01</v>
      </c>
      <c r="G48" s="300">
        <f>VLOOKUP(F48,B52:L53,11,FALSE)</f>
        <v>-1030</v>
      </c>
      <c r="H48" s="326">
        <f>$D$33</f>
        <v>2.8333333333333335</v>
      </c>
      <c r="I48" s="300" t="s">
        <v>1343</v>
      </c>
      <c r="J48" s="300"/>
    </row>
    <row r="49" spans="1:24">
      <c r="B49" s="18"/>
    </row>
    <row r="50" spans="1:24">
      <c r="A50" s="725"/>
      <c r="B50" s="726" t="s">
        <v>962</v>
      </c>
      <c r="C50" s="725"/>
      <c r="D50" s="725"/>
      <c r="E50" s="725"/>
      <c r="F50" s="725"/>
      <c r="G50" s="725"/>
      <c r="H50" s="725"/>
    </row>
    <row r="51" spans="1:24">
      <c r="B51" s="277" t="s">
        <v>904</v>
      </c>
      <c r="C51" s="277" t="s">
        <v>62</v>
      </c>
      <c r="D51" s="277" t="s">
        <v>902</v>
      </c>
      <c r="E51" s="277" t="s">
        <v>898</v>
      </c>
      <c r="F51" s="277" t="s">
        <v>916</v>
      </c>
      <c r="G51" s="277" t="s">
        <v>963</v>
      </c>
      <c r="H51" s="277" t="s">
        <v>964</v>
      </c>
      <c r="I51" s="277" t="s">
        <v>965</v>
      </c>
      <c r="J51" s="277" t="s">
        <v>966</v>
      </c>
      <c r="K51" s="277" t="s">
        <v>967</v>
      </c>
      <c r="L51" s="277" t="s">
        <v>968</v>
      </c>
      <c r="M51" s="277" t="s">
        <v>956</v>
      </c>
      <c r="N51" s="277" t="s">
        <v>969</v>
      </c>
      <c r="O51" s="277" t="s">
        <v>970</v>
      </c>
      <c r="P51" s="277" t="s">
        <v>927</v>
      </c>
      <c r="Q51" s="277" t="s">
        <v>913</v>
      </c>
      <c r="R51" s="277" t="s">
        <v>914</v>
      </c>
      <c r="S51" s="277" t="s">
        <v>915</v>
      </c>
      <c r="T51" s="277" t="s">
        <v>916</v>
      </c>
      <c r="U51" s="277" t="s">
        <v>917</v>
      </c>
      <c r="V51" s="277" t="s">
        <v>918</v>
      </c>
      <c r="W51" s="277" t="s">
        <v>919</v>
      </c>
    </row>
    <row r="52" spans="1:24">
      <c r="B52" s="302" t="s">
        <v>1344</v>
      </c>
      <c r="C52" s="279" t="s">
        <v>743</v>
      </c>
      <c r="D52" s="278" t="s">
        <v>515</v>
      </c>
      <c r="E52" s="278" t="s">
        <v>453</v>
      </c>
      <c r="F52" s="299">
        <f>E23</f>
        <v>2018</v>
      </c>
      <c r="G52" s="278">
        <v>2023</v>
      </c>
      <c r="H52" s="278">
        <f>'COMPANY INPUT'!$C$16</f>
        <v>2023</v>
      </c>
      <c r="I52" s="278">
        <f>VLOOKUP(G52,'GDP Deflators'!$H$13:$I$86,2,FALSE)</f>
        <v>100</v>
      </c>
      <c r="J52" s="278">
        <f>VLOOKUP(H52,'GDP Deflators'!$H$13:$I$86,2,FALSE)</f>
        <v>100</v>
      </c>
      <c r="K52" s="385">
        <f>-C44</f>
        <v>-1030</v>
      </c>
      <c r="L52" s="746">
        <f>K52*(J52/I52)</f>
        <v>-1030</v>
      </c>
      <c r="M52" s="300" t="str">
        <f>I48</f>
        <v>Avoided cost</v>
      </c>
      <c r="N52" s="326">
        <f>H48</f>
        <v>2.8333333333333335</v>
      </c>
      <c r="O52" s="278" t="s">
        <v>718</v>
      </c>
      <c r="P52" s="278">
        <f>J48</f>
        <v>0</v>
      </c>
      <c r="Q52" s="299">
        <f t="shared" ref="Q52:W52" si="0">B23</f>
        <v>22</v>
      </c>
      <c r="R52" s="278" t="str">
        <f t="shared" si="0"/>
        <v>NIC (2018) Analysis of the costs of water resource management options to enhance drought resilience</v>
      </c>
      <c r="S52" s="278" t="str">
        <f t="shared" si="0"/>
        <v>NCEM</v>
      </c>
      <c r="T52" s="278">
        <f t="shared" si="0"/>
        <v>2018</v>
      </c>
      <c r="U52" s="278" t="str">
        <f t="shared" si="0"/>
        <v>UK</v>
      </c>
      <c r="V52" s="278" t="str">
        <f t="shared" si="0"/>
        <v>UK</v>
      </c>
      <c r="W52" s="278" t="str">
        <f t="shared" si="0"/>
        <v>/</v>
      </c>
    </row>
    <row r="53" spans="1:24">
      <c r="B53" s="20"/>
      <c r="C53" s="19"/>
      <c r="F53" s="4"/>
      <c r="K53" s="21"/>
      <c r="L53" s="21"/>
      <c r="M53" s="21"/>
      <c r="N53" s="21"/>
      <c r="O53" s="21"/>
      <c r="P53" s="21"/>
      <c r="Q53" s="21"/>
      <c r="R53" s="4"/>
    </row>
    <row r="54" spans="1:24" s="217" customFormat="1">
      <c r="A54" s="721"/>
      <c r="B54" s="722" t="s">
        <v>1345</v>
      </c>
      <c r="C54" s="721"/>
      <c r="D54" s="721"/>
      <c r="E54" s="721"/>
      <c r="F54" s="721"/>
      <c r="G54" s="721"/>
      <c r="H54" s="721"/>
      <c r="I54" s="2"/>
      <c r="J54" s="2"/>
      <c r="K54" s="2"/>
      <c r="L54" s="2"/>
      <c r="M54" s="2"/>
      <c r="N54" s="2"/>
      <c r="O54" s="2"/>
      <c r="P54" s="2"/>
      <c r="Q54" s="2"/>
      <c r="R54" s="2"/>
      <c r="S54" s="2"/>
      <c r="T54" s="2"/>
      <c r="U54" s="2"/>
      <c r="V54" s="2"/>
      <c r="W54" s="2"/>
      <c r="X54" s="2"/>
    </row>
    <row r="55" spans="1:24" s="217" customFormat="1">
      <c r="A55" s="727"/>
      <c r="B55" s="729" t="s">
        <v>897</v>
      </c>
      <c r="C55" s="727"/>
      <c r="D55" s="727"/>
      <c r="E55" s="727"/>
      <c r="F55" s="727"/>
      <c r="G55" s="727"/>
      <c r="H55" s="727"/>
      <c r="I55" s="2"/>
      <c r="J55" s="2"/>
      <c r="K55" s="2"/>
      <c r="L55" s="2"/>
      <c r="M55" s="2"/>
      <c r="N55" s="2"/>
      <c r="O55" s="2"/>
      <c r="P55" s="2"/>
      <c r="Q55" s="2"/>
      <c r="R55" s="2"/>
      <c r="S55" s="2"/>
      <c r="T55" s="2"/>
      <c r="U55" s="2"/>
      <c r="V55" s="2"/>
      <c r="W55" s="2"/>
      <c r="X55" s="2"/>
    </row>
    <row r="56" spans="1:24">
      <c r="B56" s="277" t="s">
        <v>898</v>
      </c>
      <c r="C56" s="277" t="s">
        <v>899</v>
      </c>
    </row>
    <row r="57" spans="1:24">
      <c r="B57" s="278" t="s">
        <v>891</v>
      </c>
      <c r="C57" s="375" t="s">
        <v>1346</v>
      </c>
    </row>
    <row r="58" spans="1:24">
      <c r="B58" s="16"/>
    </row>
    <row r="59" spans="1:24" s="217" customFormat="1">
      <c r="A59" s="727"/>
      <c r="B59" s="728" t="s">
        <v>911</v>
      </c>
      <c r="C59" s="727"/>
      <c r="D59" s="727"/>
      <c r="E59" s="727"/>
      <c r="F59" s="727"/>
      <c r="G59" s="727"/>
      <c r="H59" s="727"/>
      <c r="I59" s="2"/>
      <c r="J59" s="2"/>
      <c r="K59" s="2"/>
      <c r="L59" s="2"/>
      <c r="M59" s="2"/>
      <c r="N59" s="2"/>
      <c r="O59" s="2"/>
      <c r="P59" s="2"/>
      <c r="Q59" s="2"/>
      <c r="R59" s="2"/>
      <c r="S59" s="2"/>
      <c r="T59" s="2"/>
      <c r="U59" s="2"/>
      <c r="V59" s="2"/>
      <c r="W59" s="2"/>
      <c r="X59" s="2"/>
    </row>
    <row r="60" spans="1:24" s="217" customFormat="1">
      <c r="A60" s="725"/>
      <c r="B60" s="726" t="s">
        <v>912</v>
      </c>
      <c r="C60" s="725"/>
      <c r="D60" s="725"/>
      <c r="E60" s="725"/>
      <c r="F60" s="725"/>
      <c r="G60" s="725"/>
      <c r="H60" s="725"/>
      <c r="I60" s="2"/>
      <c r="J60" s="2"/>
      <c r="K60" s="2"/>
      <c r="L60" s="2"/>
      <c r="M60" s="2"/>
      <c r="N60" s="2"/>
      <c r="O60" s="2"/>
      <c r="P60" s="2"/>
      <c r="Q60" s="2"/>
      <c r="R60" s="2"/>
      <c r="S60" s="2"/>
      <c r="T60" s="2"/>
      <c r="U60" s="2"/>
      <c r="V60" s="2"/>
      <c r="W60" s="2"/>
      <c r="X60" s="2"/>
    </row>
    <row r="61" spans="1:24" ht="29.1">
      <c r="B61" s="759" t="s">
        <v>913</v>
      </c>
      <c r="C61" s="759" t="s">
        <v>914</v>
      </c>
      <c r="D61" s="759" t="s">
        <v>915</v>
      </c>
      <c r="E61" s="759" t="s">
        <v>916</v>
      </c>
      <c r="F61" s="759" t="s">
        <v>917</v>
      </c>
      <c r="G61" s="759" t="s">
        <v>918</v>
      </c>
      <c r="H61" s="759" t="s">
        <v>919</v>
      </c>
    </row>
    <row r="62" spans="1:24">
      <c r="B62" s="278">
        <v>74</v>
      </c>
      <c r="C62" s="276" t="s">
        <v>1347</v>
      </c>
      <c r="D62" s="278" t="s">
        <v>1348</v>
      </c>
      <c r="E62" s="278">
        <v>2024</v>
      </c>
      <c r="F62" s="278" t="s">
        <v>1047</v>
      </c>
      <c r="G62" s="278" t="s">
        <v>1047</v>
      </c>
      <c r="H62" s="278" t="s">
        <v>907</v>
      </c>
    </row>
    <row r="63" spans="1:24">
      <c r="B63" s="16"/>
    </row>
    <row r="64" spans="1:24" s="217" customFormat="1">
      <c r="A64" s="725"/>
      <c r="B64" s="726" t="s">
        <v>924</v>
      </c>
      <c r="C64" s="725"/>
      <c r="D64" s="725"/>
      <c r="E64" s="725"/>
      <c r="F64" s="725"/>
      <c r="G64" s="725"/>
      <c r="H64" s="725"/>
      <c r="I64" s="2"/>
      <c r="J64" s="2"/>
      <c r="K64" s="2"/>
      <c r="L64" s="2"/>
      <c r="M64" s="2"/>
      <c r="N64" s="2"/>
      <c r="O64" s="2"/>
      <c r="P64" s="2"/>
      <c r="Q64" s="2"/>
      <c r="R64" s="2"/>
      <c r="S64" s="2"/>
      <c r="T64" s="2"/>
      <c r="U64" s="2"/>
      <c r="V64" s="2"/>
      <c r="W64" s="2"/>
      <c r="X64" s="2"/>
    </row>
    <row r="65" spans="1:24">
      <c r="B65" s="277" t="s">
        <v>165</v>
      </c>
      <c r="C65" s="277" t="s">
        <v>925</v>
      </c>
      <c r="D65" s="277" t="s">
        <v>926</v>
      </c>
      <c r="E65" s="1134" t="s">
        <v>927</v>
      </c>
      <c r="F65" s="1134"/>
      <c r="G65" s="1134"/>
      <c r="H65" s="1134"/>
    </row>
    <row r="66" spans="1:24">
      <c r="B66" s="278" t="s">
        <v>169</v>
      </c>
      <c r="C66" s="278" t="s">
        <v>166</v>
      </c>
      <c r="D66" s="278">
        <f>VLOOKUP(C66,METHODOLOGY!$C$175:$D$177,2,FALSE)</f>
        <v>3</v>
      </c>
      <c r="E66" s="1087" t="str">
        <f>_xlfn.XLOOKUP(C66,METHODOLOGY!$E$150:$O$150,METHODOLOGY!$E$151:$O$151,"",0,1)</f>
        <v>Monetary values have been peer reviewed or are recommended / referenced in other, well recognised and accepted guidance / tools relevant to the water sector.</v>
      </c>
      <c r="F66" s="1087"/>
      <c r="G66" s="1087"/>
      <c r="H66" s="1087"/>
    </row>
    <row r="67" spans="1:24">
      <c r="B67" s="278" t="s">
        <v>173</v>
      </c>
      <c r="C67" s="278" t="s">
        <v>166</v>
      </c>
      <c r="D67" s="278">
        <f>VLOOKUP(C67,METHODOLOGY!$C$175:$D$177,2,FALSE)</f>
        <v>3</v>
      </c>
      <c r="E67" s="1087" t="str">
        <f>_xlfn.XLOOKUP(C67,METHODOLOGY!$E$150:$O$150,METHODOLOGY!$E$155:$O$155,"",0,1)</f>
        <v>Study has few limitations and is considered robust.</v>
      </c>
      <c r="F67" s="1087"/>
      <c r="G67" s="1087"/>
      <c r="H67" s="1087"/>
    </row>
    <row r="68" spans="1:24">
      <c r="B68" s="278" t="s">
        <v>177</v>
      </c>
      <c r="C68" s="278" t="s">
        <v>166</v>
      </c>
      <c r="D68" s="278">
        <f>VLOOKUP(C68,METHODOLOGY!$C$175:$D$177,2,FALSE)</f>
        <v>3</v>
      </c>
      <c r="E68" s="1087" t="str">
        <f>_xlfn.XLOOKUP(C68,METHODOLOGY!$E$150:$O$150,METHODOLOGY!$E$158:$O$158,"",0,1)</f>
        <v>0 – 5 years</v>
      </c>
      <c r="F68" s="1087"/>
      <c r="G68" s="1087"/>
      <c r="H68" s="1087"/>
    </row>
    <row r="69" spans="1:24">
      <c r="B69" s="278" t="s">
        <v>181</v>
      </c>
      <c r="C69" s="278" t="s">
        <v>166</v>
      </c>
      <c r="D69" s="278">
        <f>VLOOKUP(C69,METHODOLOGY!$C$175:$D$177,2,FALSE)</f>
        <v>3</v>
      </c>
      <c r="E69" s="1087" t="str">
        <f>_xlfn.XLOOKUP(C69,METHODOLOGY!$E$150:$O$150,METHODOLOGY!$E$160:$O$160,"",0,1)</f>
        <v>Geographically relevant to UK</v>
      </c>
      <c r="F69" s="1087"/>
      <c r="G69" s="1087"/>
      <c r="H69" s="1087"/>
    </row>
    <row r="70" spans="1:24">
      <c r="B70" s="278" t="s">
        <v>928</v>
      </c>
      <c r="C70" s="278" t="s">
        <v>166</v>
      </c>
      <c r="D70" s="278">
        <f>VLOOKUP(C70,METHODOLOGY!$C$175:$D$177,2,FALSE)</f>
        <v>3</v>
      </c>
      <c r="E70" s="1087" t="str">
        <f>_xlfn.XLOOKUP(C70,METHODOLOGY!$E$150:$O$150,METHODOLOGY!$E$162:$O$162,"",0,1)</f>
        <v>Clear understanding of the valuation method and how the value should be applied.</v>
      </c>
      <c r="F70" s="1087"/>
      <c r="G70" s="1087"/>
      <c r="H70" s="1087"/>
    </row>
    <row r="71" spans="1:24">
      <c r="B71" s="278" t="s">
        <v>189</v>
      </c>
      <c r="C71" s="278" t="s">
        <v>166</v>
      </c>
      <c r="D71" s="278">
        <f>VLOOKUP(C71,METHODOLOGY!$C$175:$D$177,2,FALSE)</f>
        <v>3</v>
      </c>
      <c r="E71" s="1087" t="str">
        <f>_xlfn.XLOOKUP(C71,METHODOLOGY!$E$150:$O$150,METHODOLOGY!$E$164:$O$164,"",0,1)</f>
        <v xml:space="preserve">The original valuation can be used with no or very simple modification e.g. change units from ha to km2, applying inflation. </v>
      </c>
      <c r="F71" s="1087"/>
      <c r="G71" s="1087"/>
      <c r="H71" s="1087"/>
    </row>
    <row r="72" spans="1:24">
      <c r="C72" s="282" t="s">
        <v>924</v>
      </c>
      <c r="D72" s="326">
        <f>IF(AND(D71=1,AVERAGE(D66:D71)&gt;2.14285714285714),2.14285714285714,IF(AND(D71=2,AVERAGE(D66:D71)&gt;2.57142857142857),2.57142857142857,AVERAGE(D66:D71)))</f>
        <v>3</v>
      </c>
      <c r="E72" s="270" t="str">
        <f>IF(D72&lt;=2.14285714285714,"Red",IF(D72&lt;=2.57142857142857,"Amber",IF(D72&lt;=3,"Green")))</f>
        <v>Green</v>
      </c>
    </row>
    <row r="73" spans="1:24">
      <c r="D73" s="7"/>
      <c r="E73" s="7"/>
    </row>
    <row r="75" spans="1:24" s="217" customFormat="1">
      <c r="A75" s="725"/>
      <c r="B75" s="726" t="s">
        <v>929</v>
      </c>
      <c r="C75" s="725"/>
      <c r="D75" s="725"/>
      <c r="E75" s="725"/>
      <c r="F75" s="725"/>
      <c r="G75" s="725"/>
      <c r="H75" s="725"/>
      <c r="I75" s="2"/>
      <c r="J75" s="2"/>
      <c r="K75" s="2"/>
      <c r="L75" s="2"/>
      <c r="M75" s="2"/>
      <c r="N75" s="2"/>
      <c r="O75" s="2"/>
      <c r="P75" s="2"/>
      <c r="Q75" s="2"/>
      <c r="R75" s="2"/>
      <c r="S75" s="2"/>
      <c r="T75" s="2"/>
      <c r="U75" s="2"/>
      <c r="V75" s="2"/>
      <c r="W75" s="2"/>
      <c r="X75" s="2"/>
    </row>
    <row r="76" spans="1:24">
      <c r="B76" s="277" t="s">
        <v>1089</v>
      </c>
      <c r="C76" s="277" t="s">
        <v>902</v>
      </c>
      <c r="D76" s="277" t="s">
        <v>331</v>
      </c>
      <c r="E76" s="277" t="s">
        <v>226</v>
      </c>
      <c r="F76" s="1128" t="s">
        <v>930</v>
      </c>
      <c r="G76" s="1129"/>
      <c r="H76" s="1129"/>
      <c r="I76" s="1129"/>
      <c r="J76" s="1129"/>
      <c r="K76" s="1130"/>
      <c r="L76" s="277" t="s">
        <v>913</v>
      </c>
      <c r="M76" s="277" t="s">
        <v>169</v>
      </c>
    </row>
    <row r="77" spans="1:24" ht="16.5" customHeight="1">
      <c r="B77" s="1191" t="s">
        <v>1298</v>
      </c>
      <c r="C77" s="1095" t="s">
        <v>1349</v>
      </c>
      <c r="D77" s="415">
        <f>'COMPANY INPUT'!C7</f>
        <v>248</v>
      </c>
      <c r="E77" s="278" t="s">
        <v>1305</v>
      </c>
      <c r="F77" s="1225" t="s">
        <v>1306</v>
      </c>
      <c r="G77" s="1226"/>
      <c r="H77" s="1226"/>
      <c r="I77" s="1226"/>
      <c r="J77" s="1226"/>
      <c r="K77" s="1227"/>
      <c r="L77" s="1191">
        <v>74</v>
      </c>
      <c r="M77" s="1109" t="s">
        <v>1307</v>
      </c>
    </row>
    <row r="78" spans="1:24">
      <c r="B78" s="1192"/>
      <c r="C78" s="1095"/>
      <c r="D78" s="415">
        <f>'COMPANY INPUT'!C8</f>
        <v>320</v>
      </c>
      <c r="E78" s="278" t="s">
        <v>1308</v>
      </c>
      <c r="F78" s="1225" t="s">
        <v>1309</v>
      </c>
      <c r="G78" s="1226"/>
      <c r="H78" s="1226"/>
      <c r="I78" s="1226"/>
      <c r="J78" s="1226"/>
      <c r="K78" s="1227"/>
      <c r="L78" s="1192"/>
      <c r="M78" s="1110"/>
    </row>
    <row r="79" spans="1:24">
      <c r="B79" s="1192"/>
      <c r="C79" s="1095"/>
      <c r="D79" s="451">
        <f>D77/1000</f>
        <v>0.248</v>
      </c>
      <c r="E79" s="278" t="s">
        <v>1310</v>
      </c>
      <c r="F79" s="1225" t="s">
        <v>1306</v>
      </c>
      <c r="G79" s="1226"/>
      <c r="H79" s="1226"/>
      <c r="I79" s="1226"/>
      <c r="J79" s="1226"/>
      <c r="K79" s="1227"/>
      <c r="L79" s="1192"/>
      <c r="M79" s="1110"/>
    </row>
    <row r="80" spans="1:24">
      <c r="B80" s="1192"/>
      <c r="C80" s="1095"/>
      <c r="D80" s="451">
        <f>D78/1000</f>
        <v>0.32</v>
      </c>
      <c r="E80" s="278" t="s">
        <v>1311</v>
      </c>
      <c r="F80" s="1225" t="s">
        <v>1309</v>
      </c>
      <c r="G80" s="1226"/>
      <c r="H80" s="1226"/>
      <c r="I80" s="1226"/>
      <c r="J80" s="1226"/>
      <c r="K80" s="1227"/>
      <c r="L80" s="1193"/>
      <c r="M80" s="1111"/>
    </row>
    <row r="81" spans="1:24">
      <c r="B81" s="1193"/>
      <c r="C81" s="1095"/>
      <c r="D81" s="281">
        <f ca="1">'Carbon values'!$H$16</f>
        <v>376</v>
      </c>
      <c r="E81" s="281" t="s">
        <v>1302</v>
      </c>
      <c r="F81" s="1194" t="s">
        <v>1194</v>
      </c>
      <c r="G81" s="1195"/>
      <c r="H81" s="1195"/>
      <c r="I81" s="1195"/>
      <c r="J81" s="1195"/>
      <c r="K81" s="1195"/>
      <c r="L81" s="392">
        <v>40</v>
      </c>
      <c r="M81" s="278" t="s">
        <v>1303</v>
      </c>
    </row>
    <row r="82" spans="1:24">
      <c r="F82" s="19"/>
    </row>
    <row r="83" spans="1:24" s="217" customFormat="1">
      <c r="A83" s="725"/>
      <c r="B83" s="726" t="s">
        <v>936</v>
      </c>
      <c r="C83" s="725"/>
      <c r="D83" s="725"/>
      <c r="E83" s="725"/>
      <c r="F83" s="725"/>
      <c r="G83" s="725"/>
      <c r="H83" s="725"/>
      <c r="I83" s="2"/>
      <c r="J83" s="2"/>
      <c r="K83" s="2"/>
      <c r="L83" s="2"/>
      <c r="M83" s="2"/>
      <c r="N83" s="2"/>
      <c r="O83" s="2"/>
      <c r="P83" s="2"/>
      <c r="Q83" s="2"/>
      <c r="R83" s="2"/>
      <c r="S83" s="2"/>
      <c r="T83" s="2"/>
      <c r="U83" s="2"/>
      <c r="V83" s="2"/>
      <c r="W83" s="2"/>
      <c r="X83" s="2"/>
    </row>
    <row r="84" spans="1:24">
      <c r="B84" s="285" t="s">
        <v>898</v>
      </c>
      <c r="C84" s="285" t="s">
        <v>902</v>
      </c>
      <c r="D84" s="294" t="s">
        <v>331</v>
      </c>
      <c r="E84" s="294" t="s">
        <v>226</v>
      </c>
      <c r="F84" s="1224" t="s">
        <v>930</v>
      </c>
      <c r="G84" s="1224"/>
      <c r="H84" s="1224"/>
    </row>
    <row r="85" spans="1:24" ht="15" customHeight="1">
      <c r="B85" s="1228" t="s">
        <v>1297</v>
      </c>
      <c r="C85" s="1229" t="s">
        <v>514</v>
      </c>
      <c r="D85" s="451">
        <f>D80</f>
        <v>0.32</v>
      </c>
      <c r="E85" s="281" t="s">
        <v>1312</v>
      </c>
      <c r="F85" s="1087" t="s">
        <v>1350</v>
      </c>
      <c r="G85" s="1087"/>
      <c r="H85" s="1087"/>
    </row>
    <row r="86" spans="1:24">
      <c r="B86" s="1228"/>
      <c r="C86" s="1229"/>
      <c r="D86" s="278">
        <f ca="1">D81</f>
        <v>376</v>
      </c>
      <c r="E86" s="278" t="s">
        <v>1302</v>
      </c>
      <c r="F86" s="1087" t="s">
        <v>1194</v>
      </c>
      <c r="G86" s="1087"/>
      <c r="H86" s="1087"/>
    </row>
    <row r="87" spans="1:24">
      <c r="B87" s="1228"/>
      <c r="C87" s="1229"/>
      <c r="D87" s="435">
        <f ca="1">D85*D86</f>
        <v>120.32000000000001</v>
      </c>
      <c r="E87" s="278" t="s">
        <v>1324</v>
      </c>
      <c r="F87" s="1087" t="s">
        <v>1325</v>
      </c>
      <c r="G87" s="1087"/>
      <c r="H87" s="1087"/>
    </row>
    <row r="90" spans="1:24">
      <c r="B90" s="234" t="s">
        <v>898</v>
      </c>
      <c r="C90" s="234" t="s">
        <v>902</v>
      </c>
      <c r="D90" s="235" t="s">
        <v>331</v>
      </c>
      <c r="E90" s="235" t="s">
        <v>226</v>
      </c>
      <c r="F90" s="1222" t="s">
        <v>930</v>
      </c>
      <c r="G90" s="1222"/>
      <c r="H90" s="1222"/>
    </row>
    <row r="91" spans="1:24" ht="14.45" customHeight="1">
      <c r="B91" s="1230" t="s">
        <v>1297</v>
      </c>
      <c r="C91" s="1233" t="s">
        <v>515</v>
      </c>
      <c r="D91" s="451">
        <f>D79</f>
        <v>0.248</v>
      </c>
      <c r="E91" s="281" t="s">
        <v>1312</v>
      </c>
      <c r="F91" s="1087" t="s">
        <v>1351</v>
      </c>
      <c r="G91" s="1087"/>
      <c r="H91" s="1087"/>
    </row>
    <row r="92" spans="1:24">
      <c r="B92" s="1231"/>
      <c r="C92" s="1234"/>
      <c r="D92" s="278">
        <f ca="1">D86</f>
        <v>376</v>
      </c>
      <c r="E92" s="278" t="s">
        <v>1302</v>
      </c>
      <c r="F92" s="1087" t="s">
        <v>1194</v>
      </c>
      <c r="G92" s="1087"/>
      <c r="H92" s="1087"/>
    </row>
    <row r="93" spans="1:24">
      <c r="B93" s="1232"/>
      <c r="C93" s="1235"/>
      <c r="D93" s="435">
        <f ca="1">D91*D92</f>
        <v>93.248000000000005</v>
      </c>
      <c r="E93" s="278" t="s">
        <v>1324</v>
      </c>
      <c r="F93" s="1087" t="s">
        <v>1325</v>
      </c>
      <c r="G93" s="1087"/>
      <c r="H93" s="1087"/>
    </row>
    <row r="95" spans="1:24" s="217" customFormat="1">
      <c r="A95" s="727"/>
      <c r="B95" s="728" t="s">
        <v>901</v>
      </c>
      <c r="C95" s="727"/>
      <c r="D95" s="727"/>
      <c r="E95" s="727"/>
      <c r="F95" s="727"/>
      <c r="G95" s="727"/>
      <c r="H95" s="727"/>
      <c r="I95" s="2"/>
      <c r="J95" s="2"/>
      <c r="K95" s="2"/>
      <c r="L95" s="2"/>
      <c r="M95" s="2"/>
      <c r="N95" s="2"/>
      <c r="O95" s="2"/>
      <c r="P95" s="2"/>
      <c r="Q95" s="2"/>
      <c r="R95" s="2"/>
      <c r="S95" s="2"/>
      <c r="T95" s="2"/>
      <c r="U95" s="2"/>
      <c r="V95" s="2"/>
      <c r="W95" s="2"/>
      <c r="X95" s="2"/>
    </row>
    <row r="96" spans="1:24" ht="29.1">
      <c r="B96" s="522" t="s">
        <v>902</v>
      </c>
      <c r="C96" s="522" t="s">
        <v>898</v>
      </c>
      <c r="D96" s="522" t="s">
        <v>899</v>
      </c>
      <c r="E96" s="719" t="s">
        <v>903</v>
      </c>
      <c r="F96" s="522" t="s">
        <v>904</v>
      </c>
      <c r="G96" s="522" t="s">
        <v>905</v>
      </c>
      <c r="H96" s="756" t="s">
        <v>924</v>
      </c>
      <c r="I96" s="756" t="s">
        <v>956</v>
      </c>
      <c r="J96" s="756" t="s">
        <v>927</v>
      </c>
    </row>
    <row r="97" spans="1:24" ht="43.5">
      <c r="B97" s="278" t="str">
        <f>C85</f>
        <v>Surface water separated from combined</v>
      </c>
      <c r="C97" s="278" t="s">
        <v>1298</v>
      </c>
      <c r="D97" s="383" t="s">
        <v>1346</v>
      </c>
      <c r="E97" s="299">
        <v>1</v>
      </c>
      <c r="F97" s="278" t="str" cm="1">
        <f t="array" ref="F97">_xlfn.XLOOKUP(1,(D103:D103=B97)*(E103:E103=C97),B103:B103,"Not found",0,1)</f>
        <v>11-02</v>
      </c>
      <c r="G97" s="311">
        <f ca="1">VLOOKUP(F97,B103:L170,11,FALSE)</f>
        <v>-135.07945685304833</v>
      </c>
      <c r="H97" s="1120">
        <f>$D$72</f>
        <v>3</v>
      </c>
      <c r="I97" s="1178" t="s">
        <v>1343</v>
      </c>
      <c r="J97" s="1149" t="s">
        <v>1352</v>
      </c>
    </row>
    <row r="98" spans="1:24" ht="43.5">
      <c r="B98" s="278" t="str">
        <f>C91</f>
        <v>Surface water intercepted/harvested</v>
      </c>
      <c r="C98" s="278" t="s">
        <v>1298</v>
      </c>
      <c r="D98" s="383" t="s">
        <v>1346</v>
      </c>
      <c r="E98" s="299">
        <v>1</v>
      </c>
      <c r="F98" s="278" t="str">
        <f>_xlfn.XLOOKUP(1,(D104=B98)*(E104=C98),B104,"Not found",0,1)</f>
        <v>11-03</v>
      </c>
      <c r="G98" s="311">
        <f ca="1">VLOOKUP(F98,B103:L170,11,FALSE)</f>
        <v>-104.68657906111245</v>
      </c>
      <c r="H98" s="1122"/>
      <c r="I98" s="1178"/>
      <c r="J98" s="1149"/>
    </row>
    <row r="99" spans="1:24">
      <c r="D99" s="4"/>
      <c r="E99" s="4"/>
      <c r="G99" s="23"/>
      <c r="H99" s="23"/>
    </row>
    <row r="100" spans="1:24">
      <c r="B100" s="18"/>
    </row>
    <row r="101" spans="1:24" s="217" customFormat="1">
      <c r="A101" s="725"/>
      <c r="B101" s="726" t="s">
        <v>962</v>
      </c>
      <c r="C101" s="725"/>
      <c r="D101" s="725"/>
      <c r="E101" s="725"/>
      <c r="F101" s="725"/>
      <c r="G101" s="725"/>
      <c r="H101" s="725"/>
      <c r="I101" s="2"/>
      <c r="J101" s="2"/>
      <c r="K101" s="2"/>
      <c r="L101" s="2"/>
      <c r="M101" s="2"/>
      <c r="N101" s="2"/>
      <c r="O101" s="2"/>
      <c r="P101" s="2"/>
      <c r="Q101" s="2"/>
      <c r="R101" s="2"/>
      <c r="S101" s="2"/>
      <c r="T101" s="2"/>
      <c r="U101" s="2"/>
      <c r="V101" s="2"/>
      <c r="W101" s="2"/>
      <c r="X101" s="2"/>
    </row>
    <row r="102" spans="1:24">
      <c r="B102" s="277" t="s">
        <v>904</v>
      </c>
      <c r="C102" s="277" t="s">
        <v>62</v>
      </c>
      <c r="D102" s="277" t="s">
        <v>902</v>
      </c>
      <c r="E102" s="277" t="s">
        <v>898</v>
      </c>
      <c r="F102" s="277" t="s">
        <v>916</v>
      </c>
      <c r="G102" s="277" t="s">
        <v>963</v>
      </c>
      <c r="H102" s="277" t="s">
        <v>964</v>
      </c>
      <c r="I102" s="277" t="s">
        <v>965</v>
      </c>
      <c r="J102" s="277" t="s">
        <v>966</v>
      </c>
      <c r="K102" s="277" t="s">
        <v>967</v>
      </c>
      <c r="L102" s="277" t="s">
        <v>968</v>
      </c>
      <c r="M102" s="277" t="s">
        <v>956</v>
      </c>
      <c r="N102" s="277" t="s">
        <v>969</v>
      </c>
      <c r="O102" s="277" t="s">
        <v>970</v>
      </c>
      <c r="P102" s="277" t="s">
        <v>927</v>
      </c>
      <c r="Q102" s="277" t="s">
        <v>913</v>
      </c>
      <c r="R102" s="277" t="s">
        <v>914</v>
      </c>
      <c r="S102" s="277" t="s">
        <v>915</v>
      </c>
      <c r="T102" s="277" t="s">
        <v>916</v>
      </c>
      <c r="U102" s="277" t="s">
        <v>917</v>
      </c>
      <c r="V102" s="277" t="s">
        <v>918</v>
      </c>
      <c r="W102" s="277" t="s">
        <v>919</v>
      </c>
    </row>
    <row r="103" spans="1:24" ht="43.5">
      <c r="B103" s="302" t="s">
        <v>1353</v>
      </c>
      <c r="C103" s="279" t="s">
        <v>743</v>
      </c>
      <c r="D103" s="375" t="s">
        <v>514</v>
      </c>
      <c r="E103" s="278" t="s">
        <v>1298</v>
      </c>
      <c r="F103" s="299">
        <f>E62</f>
        <v>2024</v>
      </c>
      <c r="G103" s="278">
        <v>2020</v>
      </c>
      <c r="H103" s="278">
        <f>'COMPANY INPUT'!$C$16</f>
        <v>2023</v>
      </c>
      <c r="I103" s="278">
        <f>VLOOKUP(G103,'GDP Deflators'!$H$13:$I$86,2,FALSE)</f>
        <v>89.073499999999996</v>
      </c>
      <c r="J103" s="278">
        <f>VLOOKUP(H103,'GDP Deflators'!$H$13:$I$86,2,FALSE)</f>
        <v>100</v>
      </c>
      <c r="K103" s="385">
        <f ca="1">-D87</f>
        <v>-120.32000000000001</v>
      </c>
      <c r="L103" s="746">
        <f ca="1">K103*(J103/I103)</f>
        <v>-135.07945685304833</v>
      </c>
      <c r="M103" s="278" t="str">
        <f>$I$97</f>
        <v>Avoided cost</v>
      </c>
      <c r="N103" s="326">
        <f>$H$97</f>
        <v>3</v>
      </c>
      <c r="O103" s="278" t="s">
        <v>718</v>
      </c>
      <c r="P103" s="278" t="str">
        <f>$J$97</f>
        <v>UK government values</v>
      </c>
      <c r="Q103" s="299">
        <f>B62</f>
        <v>74</v>
      </c>
      <c r="R103" s="278" t="str">
        <f>C62</f>
        <v>Discover Water (2024) Energy and emissions: Greenhouse gas emissions from English and Welsh water companies. Available online: https://www.discoverwater.co.uk/energy-emissions (Accessed 27 Feb 25)</v>
      </c>
      <c r="S103" s="278" t="s">
        <v>1182</v>
      </c>
      <c r="T103" s="278">
        <f>E62</f>
        <v>2024</v>
      </c>
      <c r="U103" s="278" t="str">
        <f>F62</f>
        <v>UK</v>
      </c>
      <c r="V103" s="278" t="str">
        <f>G62</f>
        <v>UK</v>
      </c>
      <c r="W103" s="278" t="str">
        <f>H62</f>
        <v>/</v>
      </c>
    </row>
    <row r="104" spans="1:24" ht="43.5">
      <c r="B104" s="302" t="s">
        <v>1354</v>
      </c>
      <c r="C104" s="279" t="s">
        <v>743</v>
      </c>
      <c r="D104" s="375" t="s">
        <v>515</v>
      </c>
      <c r="E104" s="278" t="s">
        <v>1298</v>
      </c>
      <c r="F104" s="299">
        <f>E62</f>
        <v>2024</v>
      </c>
      <c r="G104" s="278">
        <v>2020</v>
      </c>
      <c r="H104" s="278">
        <f>'COMPANY INPUT'!$C$16</f>
        <v>2023</v>
      </c>
      <c r="I104" s="278">
        <f>VLOOKUP(G104,'GDP Deflators'!$H$13:$I$86,2,FALSE)</f>
        <v>89.073499999999996</v>
      </c>
      <c r="J104" s="278">
        <f>VLOOKUP(H104,'GDP Deflators'!$H$13:$I$86,2,FALSE)</f>
        <v>100</v>
      </c>
      <c r="K104" s="385">
        <f ca="1">-D93</f>
        <v>-93.248000000000005</v>
      </c>
      <c r="L104" s="746">
        <f ca="1">K104*(J104/I104)</f>
        <v>-104.68657906111245</v>
      </c>
      <c r="M104" s="278" t="str">
        <f>$I$97</f>
        <v>Avoided cost</v>
      </c>
      <c r="N104" s="326">
        <f>$H$97</f>
        <v>3</v>
      </c>
      <c r="O104" s="278" t="s">
        <v>718</v>
      </c>
      <c r="P104" s="278" t="str">
        <f>$J$97</f>
        <v>UK government values</v>
      </c>
      <c r="Q104" s="299">
        <f>B62</f>
        <v>74</v>
      </c>
      <c r="R104" s="278" t="str">
        <f>C62</f>
        <v>Discover Water (2024) Energy and emissions: Greenhouse gas emissions from English and Welsh water companies. Available online: https://www.discoverwater.co.uk/energy-emissions (Accessed 27 Feb 25)</v>
      </c>
      <c r="S104" s="278" t="s">
        <v>1182</v>
      </c>
      <c r="T104" s="278">
        <f>E62</f>
        <v>2024</v>
      </c>
      <c r="U104" s="278" t="str">
        <f>F62</f>
        <v>UK</v>
      </c>
      <c r="V104" s="278" t="str">
        <f>G62</f>
        <v>UK</v>
      </c>
      <c r="W104" s="278" t="str">
        <f>H62</f>
        <v>/</v>
      </c>
    </row>
    <row r="106" spans="1:24">
      <c r="A106" s="721"/>
      <c r="B106" s="722" t="s">
        <v>460</v>
      </c>
      <c r="C106" s="721"/>
      <c r="D106" s="721"/>
      <c r="E106" s="721"/>
      <c r="F106" s="721"/>
      <c r="G106" s="721"/>
      <c r="H106" s="721"/>
    </row>
    <row r="107" spans="1:24">
      <c r="A107" s="727"/>
      <c r="B107" s="729" t="s">
        <v>897</v>
      </c>
      <c r="C107" s="727"/>
      <c r="D107" s="727"/>
      <c r="E107" s="727"/>
      <c r="F107" s="727"/>
      <c r="G107" s="727"/>
      <c r="H107" s="727"/>
    </row>
    <row r="108" spans="1:24">
      <c r="B108" s="332" t="s">
        <v>898</v>
      </c>
      <c r="C108" s="277" t="s">
        <v>899</v>
      </c>
    </row>
    <row r="109" spans="1:24">
      <c r="B109" s="390" t="s">
        <v>460</v>
      </c>
      <c r="C109" s="278" t="s">
        <v>1355</v>
      </c>
    </row>
    <row r="110" spans="1:24">
      <c r="B110" s="16"/>
    </row>
    <row r="111" spans="1:24">
      <c r="A111" s="727"/>
      <c r="B111" s="728" t="s">
        <v>901</v>
      </c>
      <c r="C111" s="727"/>
      <c r="D111" s="727"/>
      <c r="E111" s="727"/>
      <c r="F111" s="727"/>
      <c r="G111" s="727"/>
      <c r="H111" s="727"/>
    </row>
    <row r="112" spans="1:24" ht="29.1">
      <c r="B112" s="522" t="s">
        <v>902</v>
      </c>
      <c r="C112" s="522" t="s">
        <v>898</v>
      </c>
      <c r="D112" s="522" t="s">
        <v>899</v>
      </c>
      <c r="E112" s="719" t="s">
        <v>903</v>
      </c>
      <c r="F112" s="522" t="s">
        <v>904</v>
      </c>
      <c r="G112" s="705" t="s">
        <v>905</v>
      </c>
      <c r="H112" s="522" t="s">
        <v>924</v>
      </c>
      <c r="I112" s="522" t="s">
        <v>956</v>
      </c>
      <c r="J112" s="522" t="s">
        <v>927</v>
      </c>
    </row>
    <row r="113" spans="2:10">
      <c r="B113" s="214" t="s">
        <v>510</v>
      </c>
      <c r="C113" s="214" t="str">
        <f>B109</f>
        <v>Trust</v>
      </c>
      <c r="D113" s="227" t="str">
        <f>C109</f>
        <v>Increased trust as a result of managing rainwater for customers</v>
      </c>
      <c r="E113" s="227" t="s">
        <v>906</v>
      </c>
      <c r="F113" s="230" t="s">
        <v>907</v>
      </c>
      <c r="G113" s="634" t="s">
        <v>477</v>
      </c>
      <c r="H113" s="640" t="s">
        <v>907</v>
      </c>
      <c r="I113" s="640" t="s">
        <v>907</v>
      </c>
      <c r="J113" s="640" t="s">
        <v>907</v>
      </c>
    </row>
    <row r="114" spans="2:10">
      <c r="B114" s="207"/>
      <c r="C114" s="207"/>
      <c r="D114" s="236"/>
      <c r="E114" s="236"/>
      <c r="F114" s="207"/>
      <c r="G114" s="237"/>
      <c r="H114" s="23"/>
    </row>
  </sheetData>
  <sheetProtection algorithmName="SHA-512" hashValue="TZUumWfCjWrcNZit1and4/QEELYSas7jK/Ev2RAQdZEImFU1vdfsMsOrdlhwqLIGnKAXzajSyFOp/IUumzXNRw==" saltValue="xseyihYCZz5gnsmCiPTGng==" spinCount="100000" sheet="1" objects="1" scenarios="1"/>
  <dataConsolidate/>
  <mergeCells count="43">
    <mergeCell ref="J97:J98"/>
    <mergeCell ref="I97:I98"/>
    <mergeCell ref="H97:H98"/>
    <mergeCell ref="B77:B81"/>
    <mergeCell ref="B85:B87"/>
    <mergeCell ref="C85:C87"/>
    <mergeCell ref="F92:H92"/>
    <mergeCell ref="F93:H93"/>
    <mergeCell ref="F85:H85"/>
    <mergeCell ref="F86:H86"/>
    <mergeCell ref="F90:H90"/>
    <mergeCell ref="F91:H91"/>
    <mergeCell ref="F87:H87"/>
    <mergeCell ref="B91:B93"/>
    <mergeCell ref="C91:C93"/>
    <mergeCell ref="M77:M80"/>
    <mergeCell ref="F81:K81"/>
    <mergeCell ref="C77:C81"/>
    <mergeCell ref="F84:H84"/>
    <mergeCell ref="F79:K79"/>
    <mergeCell ref="F80:K80"/>
    <mergeCell ref="L77:L80"/>
    <mergeCell ref="F77:K77"/>
    <mergeCell ref="F78:K78"/>
    <mergeCell ref="F76:K76"/>
    <mergeCell ref="G37:L37"/>
    <mergeCell ref="G38:L38"/>
    <mergeCell ref="D9:G9"/>
    <mergeCell ref="E30:H30"/>
    <mergeCell ref="E31:H31"/>
    <mergeCell ref="E69:H69"/>
    <mergeCell ref="E70:H70"/>
    <mergeCell ref="E71:H71"/>
    <mergeCell ref="E32:H32"/>
    <mergeCell ref="E65:H65"/>
    <mergeCell ref="E66:H66"/>
    <mergeCell ref="E67:H67"/>
    <mergeCell ref="E68:H68"/>
    <mergeCell ref="B5:H5"/>
    <mergeCell ref="E26:H26"/>
    <mergeCell ref="E27:H27"/>
    <mergeCell ref="E28:H28"/>
    <mergeCell ref="E29:H29"/>
  </mergeCells>
  <conditionalFormatting sqref="D33:E33">
    <cfRule type="cellIs" dxfId="1029" priority="11" operator="lessThanOrEqual">
      <formula>2.14285714285714</formula>
    </cfRule>
    <cfRule type="cellIs" dxfId="1028" priority="12" operator="lessThanOrEqual">
      <formula>2.57142857142857</formula>
    </cfRule>
    <cfRule type="cellIs" dxfId="1027" priority="13" operator="lessThanOrEqual">
      <formula>3</formula>
    </cfRule>
  </conditionalFormatting>
  <conditionalFormatting sqref="D72:E72">
    <cfRule type="cellIs" dxfId="1026" priority="5" operator="lessThanOrEqual">
      <formula>2.14285714285714</formula>
    </cfRule>
    <cfRule type="cellIs" dxfId="1025" priority="6" operator="lessThanOrEqual">
      <formula>2.57142857142857</formula>
    </cfRule>
    <cfRule type="cellIs" dxfId="1024" priority="7" operator="lessThanOrEqual">
      <formula>3</formula>
    </cfRule>
  </conditionalFormatting>
  <conditionalFormatting sqref="D11:G12">
    <cfRule type="notContainsBlanks" dxfId="1023" priority="1">
      <formula>LEN(TRIM(D11))&gt;0</formula>
    </cfRule>
  </conditionalFormatting>
  <conditionalFormatting sqref="E33">
    <cfRule type="containsText" dxfId="1022" priority="8" operator="containsText" text="Green">
      <formula>NOT(ISERROR(SEARCH("Green",E33)))</formula>
    </cfRule>
    <cfRule type="containsText" dxfId="1021" priority="9" operator="containsText" text="Amber">
      <formula>NOT(ISERROR(SEARCH("Amber",E33)))</formula>
    </cfRule>
    <cfRule type="containsText" dxfId="1020" priority="10" operator="containsText" text="Red">
      <formula>NOT(ISERROR(SEARCH("Red",E33)))</formula>
    </cfRule>
  </conditionalFormatting>
  <conditionalFormatting sqref="E72">
    <cfRule type="containsText" dxfId="1019" priority="2" operator="containsText" text="Green">
      <formula>NOT(ISERROR(SEARCH("Green",E72)))</formula>
    </cfRule>
    <cfRule type="containsText" dxfId="1018" priority="3" operator="containsText" text="Amber">
      <formula>NOT(ISERROR(SEARCH("Amber",E72)))</formula>
    </cfRule>
    <cfRule type="containsText" dxfId="1017" priority="4" operator="containsText" text="Red">
      <formula>NOT(ISERROR(SEARCH("Red",E72)))</formula>
    </cfRule>
  </conditionalFormatting>
  <conditionalFormatting sqref="H48">
    <cfRule type="cellIs" dxfId="1016" priority="29" operator="lessThanOrEqual">
      <formula>2.14285714285714</formula>
    </cfRule>
    <cfRule type="cellIs" dxfId="1015" priority="30" operator="lessThanOrEqual">
      <formula>2.57142857142857</formula>
    </cfRule>
    <cfRule type="cellIs" dxfId="1014" priority="31" operator="lessThanOrEqual">
      <formula>3</formula>
    </cfRule>
  </conditionalFormatting>
  <conditionalFormatting sqref="H97">
    <cfRule type="cellIs" dxfId="1013" priority="14" operator="lessThanOrEqual">
      <formula>2.14285714285714</formula>
    </cfRule>
    <cfRule type="cellIs" dxfId="1012" priority="15" operator="lessThanOrEqual">
      <formula>2.57142857142857</formula>
    </cfRule>
    <cfRule type="cellIs" dxfId="1011" priority="16" operator="lessThanOrEqual">
      <formula>3</formula>
    </cfRule>
  </conditionalFormatting>
  <conditionalFormatting sqref="N52">
    <cfRule type="cellIs" dxfId="1010" priority="26" operator="lessThanOrEqual">
      <formula>2.14285714285714</formula>
    </cfRule>
    <cfRule type="cellIs" dxfId="1009" priority="27" operator="lessThanOrEqual">
      <formula>2.57142857142857</formula>
    </cfRule>
    <cfRule type="cellIs" dxfId="1008" priority="28" operator="lessThanOrEqual">
      <formula>3</formula>
    </cfRule>
  </conditionalFormatting>
  <conditionalFormatting sqref="N103:N104">
    <cfRule type="cellIs" dxfId="1007" priority="17" operator="lessThanOrEqual">
      <formula>2.14285714285714</formula>
    </cfRule>
    <cfRule type="cellIs" dxfId="1006" priority="18" operator="lessThanOrEqual">
      <formula>2.57142857142857</formula>
    </cfRule>
    <cfRule type="cellIs" dxfId="1005" priority="19" operator="lessThanOrEqual">
      <formula>3</formula>
    </cfRule>
  </conditionalFormatting>
  <dataValidations count="1">
    <dataValidation type="list" allowBlank="1" showInputMessage="1" showErrorMessage="1" sqref="C34 C73 C66:C71 C27:C32" xr:uid="{89987FF0-F1EF-4550-A20C-0E8D7BF1E36C}">
      <formula1>"High, Medium, Low"</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7FA1D-C449-4820-AFFF-23287710448D}">
  <sheetPr codeName="Sheet19">
    <tabColor theme="5" tint="0.59999389629810485"/>
  </sheetPr>
  <dimension ref="A1:X105"/>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9" ht="15" thickBot="1"/>
    <row r="2" spans="1:9" s="750" customFormat="1" ht="18.95" thickBot="1">
      <c r="A2" s="748"/>
      <c r="B2" s="749" t="s">
        <v>1356</v>
      </c>
      <c r="C2" s="749"/>
      <c r="D2" s="749"/>
    </row>
    <row r="4" spans="1:9" s="714" customFormat="1" ht="18.600000000000001">
      <c r="A4" s="715"/>
      <c r="B4" s="713" t="s">
        <v>893</v>
      </c>
      <c r="C4" s="715"/>
      <c r="D4" s="715"/>
      <c r="E4" s="715"/>
      <c r="F4" s="715"/>
      <c r="G4" s="715"/>
      <c r="H4" s="715"/>
    </row>
    <row r="5" spans="1:9" s="7" customFormat="1" ht="185.25" customHeight="1">
      <c r="A5" s="737"/>
      <c r="B5" s="1152" t="s">
        <v>1357</v>
      </c>
      <c r="C5" s="1152"/>
      <c r="D5" s="1152"/>
      <c r="E5" s="1152"/>
      <c r="F5" s="1152"/>
      <c r="G5" s="1152"/>
      <c r="H5" s="1152"/>
    </row>
    <row r="6" spans="1:9" s="7" customFormat="1"/>
    <row r="7" spans="1:9" s="718" customFormat="1" ht="18.600000000000001">
      <c r="A7" s="724"/>
      <c r="B7" s="724" t="s">
        <v>895</v>
      </c>
      <c r="C7" s="724"/>
      <c r="D7" s="724"/>
      <c r="E7" s="724"/>
      <c r="F7" s="724"/>
      <c r="G7" s="724"/>
      <c r="H7" s="724"/>
    </row>
    <row r="9" spans="1:9">
      <c r="D9" s="1134" t="s">
        <v>479</v>
      </c>
      <c r="E9" s="1134"/>
      <c r="F9" s="1134"/>
      <c r="G9" s="1134"/>
      <c r="H9" s="1134"/>
      <c r="I9" s="1134"/>
    </row>
    <row r="10" spans="1:9">
      <c r="B10" s="277" t="s">
        <v>104</v>
      </c>
      <c r="C10" s="277" t="s">
        <v>711</v>
      </c>
      <c r="D10" s="386" t="s">
        <v>448</v>
      </c>
      <c r="E10" s="356" t="s">
        <v>1336</v>
      </c>
      <c r="F10" s="356" t="s">
        <v>1358</v>
      </c>
      <c r="G10" s="356" t="s">
        <v>230</v>
      </c>
      <c r="H10" s="356" t="s">
        <v>460</v>
      </c>
      <c r="I10" s="356" t="s">
        <v>1359</v>
      </c>
    </row>
    <row r="11" spans="1:9">
      <c r="B11" s="278" t="str">
        <f>VALUATION!C62</f>
        <v>Abstraction consent compliance failure</v>
      </c>
      <c r="C11" s="278" t="s">
        <v>382</v>
      </c>
      <c r="D11" s="374" t="s">
        <v>477</v>
      </c>
      <c r="E11" s="374"/>
      <c r="F11" s="374"/>
      <c r="G11" s="374"/>
      <c r="H11" s="374" t="str" cm="1">
        <f t="array" ref="H11">_xlfn.XLOOKUP(1,($B11=$B$94:$B$96)*(H$10=$C$94:$C$96),$G$94:$G$96,"Not found",0,1)</f>
        <v>LG(H)</v>
      </c>
      <c r="I11" s="374" t="str" cm="1">
        <f t="array" ref="I11">_xlfn.XLOOKUP(1,($B11=$B$104:$B$106)*(I$10=$C$104:$C$106),$G$104:$G$106,"Not found",0,1)</f>
        <v>LG(H)</v>
      </c>
    </row>
    <row r="12" spans="1:9">
      <c r="B12" s="278" t="str">
        <f>VALUATION!C63</f>
        <v>Volume of over-abstraction</v>
      </c>
      <c r="C12" s="278" t="s">
        <v>518</v>
      </c>
      <c r="D12" s="374" t="s">
        <v>477</v>
      </c>
      <c r="E12" s="306" cm="1">
        <f t="array" ref="E12">_xlfn.XLOOKUP(1,($B12=$B$62:$B$64)*(E$10=$C$62:$C$64),$G$62:$G$64,"Not found",0,1)</f>
        <v>1.07</v>
      </c>
      <c r="F12" s="374" t="str" cm="1">
        <f t="array" ref="F12">_xlfn.XLOOKUP(1,($B12=$B$76:$B$77)*(F$10=$C$76:$C$77),$G$76:$G$77,"Not found",0,1)</f>
        <v>&lt;/&gt;</v>
      </c>
      <c r="G12" s="374" t="str" cm="1">
        <f t="array" ref="G12">_xlfn.XLOOKUP(1,($B12=$B$85:$B$87)*(G$10=$C$85:$C$87),$G$85:$G$87,"Not found",0,1)</f>
        <v>&lt;/&gt;</v>
      </c>
      <c r="H12" s="374" t="str" cm="1">
        <f t="array" ref="H12">_xlfn.XLOOKUP(1,($B12=$B$94:$B$96)*(H$10=$C$94:$C$96),$G$94:$G$96,"Not found",0,1)</f>
        <v>LG(H)</v>
      </c>
      <c r="I12" s="374"/>
    </row>
    <row r="13" spans="1:9">
      <c r="B13" s="800" t="s">
        <v>896</v>
      </c>
    </row>
    <row r="14" spans="1:9">
      <c r="B14" s="800"/>
    </row>
    <row r="15" spans="1:9">
      <c r="A15" s="721"/>
      <c r="B15" s="722" t="s">
        <v>1336</v>
      </c>
      <c r="C15" s="721"/>
      <c r="D15" s="721"/>
      <c r="E15" s="721"/>
      <c r="F15" s="721"/>
      <c r="G15" s="721"/>
      <c r="H15" s="721"/>
    </row>
    <row r="16" spans="1:9">
      <c r="A16" s="727"/>
      <c r="B16" s="729" t="s">
        <v>897</v>
      </c>
      <c r="C16" s="727"/>
      <c r="D16" s="727"/>
      <c r="E16" s="727"/>
      <c r="F16" s="727"/>
      <c r="G16" s="727"/>
      <c r="H16" s="727"/>
    </row>
    <row r="17" spans="1:8">
      <c r="B17" s="277" t="s">
        <v>898</v>
      </c>
      <c r="C17" s="277" t="s">
        <v>899</v>
      </c>
    </row>
    <row r="18" spans="1:8">
      <c r="B18" s="278" t="s">
        <v>1336</v>
      </c>
      <c r="C18" s="278" t="s">
        <v>1360</v>
      </c>
    </row>
    <row r="19" spans="1:8">
      <c r="B19" s="16"/>
    </row>
    <row r="20" spans="1:8">
      <c r="A20" s="727"/>
      <c r="B20" s="728" t="s">
        <v>911</v>
      </c>
      <c r="C20" s="727"/>
      <c r="D20" s="727"/>
      <c r="E20" s="727"/>
      <c r="F20" s="727"/>
      <c r="G20" s="727"/>
      <c r="H20" s="727"/>
    </row>
    <row r="21" spans="1:8">
      <c r="A21" s="725"/>
      <c r="B21" s="726" t="s">
        <v>912</v>
      </c>
      <c r="C21" s="725"/>
      <c r="D21" s="725"/>
      <c r="E21" s="725"/>
      <c r="F21" s="725"/>
      <c r="G21" s="725"/>
      <c r="H21" s="725"/>
    </row>
    <row r="22" spans="1:8" ht="29.1">
      <c r="B22" s="719" t="s">
        <v>913</v>
      </c>
      <c r="C22" s="719" t="s">
        <v>914</v>
      </c>
      <c r="D22" s="719" t="s">
        <v>915</v>
      </c>
      <c r="E22" s="719" t="s">
        <v>916</v>
      </c>
      <c r="F22" s="719" t="s">
        <v>917</v>
      </c>
      <c r="G22" s="719" t="s">
        <v>918</v>
      </c>
      <c r="H22" s="719" t="s">
        <v>919</v>
      </c>
    </row>
    <row r="23" spans="1:8">
      <c r="B23" s="278">
        <v>22</v>
      </c>
      <c r="C23" s="278" t="s">
        <v>1172</v>
      </c>
      <c r="D23" s="278" t="s">
        <v>352</v>
      </c>
      <c r="E23" s="278">
        <v>2018</v>
      </c>
      <c r="F23" s="278" t="s">
        <v>1047</v>
      </c>
      <c r="G23" s="278" t="s">
        <v>1047</v>
      </c>
      <c r="H23" s="279" t="s">
        <v>907</v>
      </c>
    </row>
    <row r="24" spans="1:8">
      <c r="B24" s="16"/>
    </row>
    <row r="25" spans="1:8">
      <c r="A25" s="725"/>
      <c r="B25" s="726" t="s">
        <v>924</v>
      </c>
      <c r="C25" s="725"/>
      <c r="D25" s="725"/>
      <c r="E25" s="725"/>
      <c r="F25" s="725"/>
      <c r="G25" s="725"/>
      <c r="H25" s="725"/>
    </row>
    <row r="26" spans="1:8">
      <c r="B26" s="277" t="s">
        <v>165</v>
      </c>
      <c r="C26" s="277" t="s">
        <v>925</v>
      </c>
      <c r="D26" s="277" t="s">
        <v>926</v>
      </c>
      <c r="E26" s="1134" t="s">
        <v>927</v>
      </c>
      <c r="F26" s="1134"/>
      <c r="G26" s="1134"/>
      <c r="H26" s="1134"/>
    </row>
    <row r="27" spans="1:8">
      <c r="B27" s="278" t="s">
        <v>169</v>
      </c>
      <c r="C27" s="278" t="s">
        <v>166</v>
      </c>
      <c r="D27" s="278">
        <f>VLOOKUP(C27,METHODOLOGY!$C$175:$D$177,2,FALSE)</f>
        <v>3</v>
      </c>
      <c r="E27" s="1087" t="str">
        <f>_xlfn.XLOOKUP(C27,METHODOLOGY!$E$150:$O$150,METHODOLOGY!$E$151:$O$151,"",0,1)</f>
        <v>Monetary values have been peer reviewed or are recommended / referenced in other, well recognised and accepted guidance / tools relevant to the water sector.</v>
      </c>
      <c r="F27" s="1087"/>
      <c r="G27" s="1087"/>
      <c r="H27" s="1087"/>
    </row>
    <row r="28" spans="1:8">
      <c r="B28" s="278" t="s">
        <v>173</v>
      </c>
      <c r="C28" s="278" t="s">
        <v>166</v>
      </c>
      <c r="D28" s="278">
        <f>VLOOKUP(C28,METHODOLOGY!$C$175:$D$177,2,FALSE)</f>
        <v>3</v>
      </c>
      <c r="E28" s="1087" t="str">
        <f>_xlfn.XLOOKUP(C28,METHODOLOGY!$E$150:$O$150,METHODOLOGY!$E$155:$O$155,"",0,1)</f>
        <v>Study has few limitations and is considered robust.</v>
      </c>
      <c r="F28" s="1087"/>
      <c r="G28" s="1087"/>
      <c r="H28" s="1087"/>
    </row>
    <row r="29" spans="1:8">
      <c r="B29" s="278" t="s">
        <v>177</v>
      </c>
      <c r="C29" s="278" t="s">
        <v>167</v>
      </c>
      <c r="D29" s="278">
        <f>VLOOKUP(C29,METHODOLOGY!$C$175:$D$177,2,FALSE)</f>
        <v>2</v>
      </c>
      <c r="E29" s="1087" t="str">
        <f>_xlfn.XLOOKUP(C29,METHODOLOGY!$E$150:$O$150,METHODOLOGY!$E$158:$O$158,"",0,1)</f>
        <v>6-10 years</v>
      </c>
      <c r="F29" s="1087"/>
      <c r="G29" s="1087"/>
      <c r="H29" s="1087"/>
    </row>
    <row r="30" spans="1:8">
      <c r="B30" s="278" t="s">
        <v>181</v>
      </c>
      <c r="C30" s="278" t="s">
        <v>166</v>
      </c>
      <c r="D30" s="278">
        <f>VLOOKUP(C30,METHODOLOGY!$C$175:$D$177,2,FALSE)</f>
        <v>3</v>
      </c>
      <c r="E30" s="1087" t="str">
        <f>_xlfn.XLOOKUP(C30,METHODOLOGY!$E$150:$O$150,METHODOLOGY!$E$160:$O$160,"",0,1)</f>
        <v>Geographically relevant to UK</v>
      </c>
      <c r="F30" s="1087"/>
      <c r="G30" s="1087"/>
      <c r="H30" s="1087"/>
    </row>
    <row r="31" spans="1:8">
      <c r="B31" s="278" t="s">
        <v>928</v>
      </c>
      <c r="C31" s="278" t="s">
        <v>166</v>
      </c>
      <c r="D31" s="278">
        <f>VLOOKUP(C31,METHODOLOGY!$C$175:$D$177,2,FALSE)</f>
        <v>3</v>
      </c>
      <c r="E31" s="1087" t="str">
        <f>_xlfn.XLOOKUP(C31,METHODOLOGY!$E$150:$O$150,METHODOLOGY!$E$162:$O$162,"",0,1)</f>
        <v>Clear understanding of the valuation method and how the value should be applied.</v>
      </c>
      <c r="F31" s="1087"/>
      <c r="G31" s="1087"/>
      <c r="H31" s="1087"/>
    </row>
    <row r="32" spans="1:8">
      <c r="B32" s="278" t="s">
        <v>189</v>
      </c>
      <c r="C32" s="278" t="s">
        <v>166</v>
      </c>
      <c r="D32" s="278">
        <f>VLOOKUP(C32,METHODOLOGY!$C$175:$D$177,2,FALSE)</f>
        <v>3</v>
      </c>
      <c r="E32" s="1087" t="str">
        <f>_xlfn.XLOOKUP(C32,METHODOLOGY!$E$150:$O$150,METHODOLOGY!$E$164:$O$164,"",0,1)</f>
        <v xml:space="preserve">The original valuation can be used with no or very simple modification e.g. change units from ha to km2, applying inflation. </v>
      </c>
      <c r="F32" s="1087"/>
      <c r="G32" s="1087"/>
      <c r="H32" s="1087"/>
    </row>
    <row r="33" spans="1:24">
      <c r="C33" s="282" t="s">
        <v>924</v>
      </c>
      <c r="D33" s="326">
        <f>IF(AND(D32=1,AVERAGE(D27:D32)&gt;2.14285714285714),2.14285714285714,IF(AND(D32=2,AVERAGE(D27:D32)&gt;2.57142857142857),2.57142857142857,AVERAGE(D27:D32)))</f>
        <v>2.8333333333333335</v>
      </c>
      <c r="E33" s="270" t="str">
        <f>IF(D33&lt;=2.14285714285714,"Red",IF(D33&lt;=2.57142857142857,"Amber",IF(D33&lt;=3,"Green")))</f>
        <v>Green</v>
      </c>
    </row>
    <row r="34" spans="1:24">
      <c r="D34" s="7"/>
      <c r="E34" s="7"/>
    </row>
    <row r="35" spans="1:24">
      <c r="A35" s="725"/>
      <c r="B35" s="726" t="s">
        <v>929</v>
      </c>
      <c r="C35" s="725"/>
      <c r="D35" s="725"/>
      <c r="E35" s="725"/>
      <c r="F35" s="725"/>
      <c r="G35" s="725"/>
      <c r="H35" s="725"/>
    </row>
    <row r="36" spans="1:24">
      <c r="B36" s="277" t="s">
        <v>913</v>
      </c>
      <c r="C36" s="277" t="s">
        <v>1089</v>
      </c>
      <c r="D36" s="277" t="s">
        <v>902</v>
      </c>
      <c r="E36" s="277" t="s">
        <v>331</v>
      </c>
      <c r="F36" s="277" t="s">
        <v>226</v>
      </c>
      <c r="G36" s="1157" t="s">
        <v>930</v>
      </c>
      <c r="H36" s="1157"/>
      <c r="I36" s="1157"/>
      <c r="J36" s="1157"/>
      <c r="K36" s="1157"/>
      <c r="L36" s="1157"/>
    </row>
    <row r="37" spans="1:24" ht="61.5" customHeight="1">
      <c r="B37" s="278">
        <v>22</v>
      </c>
      <c r="C37" s="278" t="s">
        <v>453</v>
      </c>
      <c r="D37" s="375" t="str">
        <f>B12</f>
        <v>Volume of over-abstraction</v>
      </c>
      <c r="E37" s="300">
        <v>1.07</v>
      </c>
      <c r="F37" s="278" t="s">
        <v>1338</v>
      </c>
      <c r="G37" s="1123" t="s">
        <v>1173</v>
      </c>
      <c r="H37" s="1119"/>
      <c r="I37" s="1119"/>
      <c r="J37" s="1119"/>
      <c r="K37" s="1119"/>
      <c r="L37" s="1091"/>
    </row>
    <row r="40" spans="1:24" s="217" customFormat="1">
      <c r="A40" s="727"/>
      <c r="B40" s="728" t="s">
        <v>943</v>
      </c>
      <c r="C40" s="727"/>
      <c r="D40" s="727"/>
      <c r="E40" s="727"/>
      <c r="F40" s="727"/>
      <c r="G40" s="727"/>
      <c r="H40" s="727"/>
      <c r="I40" s="2"/>
      <c r="J40" s="2"/>
      <c r="K40" s="2"/>
      <c r="L40" s="2"/>
      <c r="M40" s="2"/>
      <c r="N40" s="2"/>
      <c r="O40" s="2"/>
      <c r="P40" s="2"/>
      <c r="Q40" s="2"/>
      <c r="R40" s="2"/>
      <c r="S40" s="2"/>
      <c r="T40" s="2"/>
      <c r="U40" s="2"/>
      <c r="V40" s="2"/>
      <c r="W40" s="2"/>
      <c r="X40" s="2"/>
    </row>
    <row r="41" spans="1:24" s="217" customFormat="1">
      <c r="A41" s="725"/>
      <c r="B41" s="726" t="s">
        <v>912</v>
      </c>
      <c r="C41" s="725"/>
      <c r="D41" s="725"/>
      <c r="E41" s="725"/>
      <c r="F41" s="725"/>
      <c r="G41" s="725"/>
      <c r="H41" s="725"/>
      <c r="I41" s="2"/>
      <c r="J41" s="2"/>
      <c r="K41" s="2"/>
      <c r="L41" s="2"/>
      <c r="M41" s="2"/>
      <c r="N41" s="2"/>
      <c r="O41" s="2"/>
      <c r="P41" s="2"/>
      <c r="Q41" s="2"/>
      <c r="R41" s="2"/>
      <c r="S41" s="2"/>
      <c r="T41" s="2"/>
      <c r="U41" s="2"/>
      <c r="V41" s="2"/>
      <c r="W41" s="2"/>
      <c r="X41" s="2"/>
    </row>
    <row r="42" spans="1:24" s="217" customFormat="1" ht="29.1">
      <c r="A42" s="2"/>
      <c r="B42" s="719" t="s">
        <v>913</v>
      </c>
      <c r="C42" s="719" t="s">
        <v>914</v>
      </c>
      <c r="D42" s="719" t="s">
        <v>915</v>
      </c>
      <c r="E42" s="719" t="s">
        <v>916</v>
      </c>
      <c r="F42" s="719" t="s">
        <v>917</v>
      </c>
      <c r="G42" s="719" t="s">
        <v>918</v>
      </c>
      <c r="H42" s="719" t="s">
        <v>919</v>
      </c>
      <c r="I42" s="2"/>
      <c r="J42" s="2"/>
      <c r="K42" s="2"/>
      <c r="L42" s="2"/>
      <c r="M42" s="2"/>
      <c r="N42" s="2"/>
      <c r="O42" s="2"/>
      <c r="P42" s="2"/>
      <c r="Q42" s="2"/>
      <c r="R42" s="2"/>
      <c r="S42" s="2"/>
      <c r="T42" s="2"/>
      <c r="U42" s="2"/>
      <c r="V42" s="2"/>
      <c r="W42" s="2"/>
      <c r="X42" s="2"/>
    </row>
    <row r="43" spans="1:24" s="217" customFormat="1">
      <c r="A43" s="2"/>
      <c r="B43" s="278">
        <v>57</v>
      </c>
      <c r="C43" s="278" t="s">
        <v>1361</v>
      </c>
      <c r="D43" s="278" t="s">
        <v>1362</v>
      </c>
      <c r="E43" s="278">
        <v>2020</v>
      </c>
      <c r="F43" s="278" t="s">
        <v>1047</v>
      </c>
      <c r="G43" s="278" t="s">
        <v>1047</v>
      </c>
      <c r="H43" s="278"/>
      <c r="I43" s="2"/>
      <c r="J43" s="2"/>
      <c r="K43" s="2"/>
      <c r="L43" s="2"/>
      <c r="M43" s="2"/>
      <c r="N43" s="2"/>
      <c r="O43" s="2"/>
      <c r="P43" s="2"/>
      <c r="Q43" s="2"/>
      <c r="R43" s="2"/>
      <c r="S43" s="2"/>
      <c r="T43" s="2"/>
      <c r="U43" s="2"/>
      <c r="V43" s="2"/>
      <c r="W43" s="2"/>
      <c r="X43" s="2"/>
    </row>
    <row r="44" spans="1:24" s="217" customFormat="1">
      <c r="A44" s="2"/>
      <c r="B44" s="16"/>
      <c r="C44" s="2"/>
      <c r="D44" s="2"/>
      <c r="E44" s="2"/>
      <c r="F44" s="2"/>
      <c r="G44" s="2"/>
      <c r="H44" s="2"/>
      <c r="I44" s="2"/>
      <c r="J44" s="2"/>
      <c r="K44" s="2"/>
      <c r="L44" s="2"/>
      <c r="M44" s="2"/>
      <c r="N44" s="2"/>
      <c r="O44" s="2"/>
      <c r="P44" s="2"/>
      <c r="Q44" s="2"/>
      <c r="R44" s="2"/>
      <c r="S44" s="2"/>
      <c r="T44" s="2"/>
      <c r="U44" s="2"/>
      <c r="V44" s="2"/>
      <c r="W44" s="2"/>
      <c r="X44" s="2"/>
    </row>
    <row r="45" spans="1:24" s="217" customFormat="1">
      <c r="A45" s="725"/>
      <c r="B45" s="726" t="s">
        <v>924</v>
      </c>
      <c r="C45" s="725"/>
      <c r="D45" s="725"/>
      <c r="E45" s="725"/>
      <c r="F45" s="725"/>
      <c r="G45" s="725"/>
      <c r="H45" s="725"/>
      <c r="I45" s="2"/>
      <c r="J45" s="2"/>
      <c r="K45" s="2"/>
      <c r="L45" s="2"/>
      <c r="M45" s="2"/>
      <c r="N45" s="2"/>
      <c r="O45" s="2"/>
      <c r="P45" s="2"/>
      <c r="Q45" s="2"/>
      <c r="R45" s="2"/>
      <c r="S45" s="2"/>
      <c r="T45" s="2"/>
      <c r="U45" s="2"/>
      <c r="V45" s="2"/>
      <c r="W45" s="2"/>
      <c r="X45" s="2"/>
    </row>
    <row r="46" spans="1:24" s="217" customFormat="1">
      <c r="A46" s="2"/>
      <c r="B46" s="277" t="s">
        <v>165</v>
      </c>
      <c r="C46" s="277" t="s">
        <v>925</v>
      </c>
      <c r="D46" s="277" t="s">
        <v>926</v>
      </c>
      <c r="E46" s="1134" t="s">
        <v>927</v>
      </c>
      <c r="F46" s="1134"/>
      <c r="G46" s="1134"/>
      <c r="H46" s="1134"/>
      <c r="I46" s="2"/>
      <c r="J46" s="2"/>
      <c r="K46" s="2"/>
      <c r="L46" s="2"/>
      <c r="M46" s="2"/>
      <c r="N46" s="2"/>
      <c r="O46" s="2"/>
      <c r="P46" s="2"/>
      <c r="Q46" s="2"/>
      <c r="R46" s="2"/>
      <c r="S46" s="2"/>
      <c r="T46" s="2"/>
      <c r="U46" s="2"/>
      <c r="V46" s="2"/>
      <c r="W46" s="2"/>
      <c r="X46" s="2"/>
    </row>
    <row r="47" spans="1:24" s="217" customFormat="1">
      <c r="A47" s="2"/>
      <c r="B47" s="278" t="s">
        <v>169</v>
      </c>
      <c r="C47" s="278" t="s">
        <v>166</v>
      </c>
      <c r="D47" s="278">
        <f>VLOOKUP(C47,METHODOLOGY!$C$175:$D$177,2,FALSE)</f>
        <v>3</v>
      </c>
      <c r="E47" s="1087" t="str">
        <f>_xlfn.XLOOKUP(C47,METHODOLOGY!$E$150:$O$150,METHODOLOGY!$E$151:$O$151,"",0,1)</f>
        <v>Monetary values have been peer reviewed or are recommended / referenced in other, well recognised and accepted guidance / tools relevant to the water sector.</v>
      </c>
      <c r="F47" s="1087"/>
      <c r="G47" s="1087"/>
      <c r="H47" s="1087"/>
      <c r="I47" s="2"/>
      <c r="J47" s="2"/>
      <c r="K47" s="2"/>
      <c r="L47" s="2"/>
      <c r="M47" s="2"/>
      <c r="N47" s="2"/>
      <c r="O47" s="2"/>
      <c r="P47" s="2"/>
      <c r="Q47" s="2"/>
      <c r="R47" s="2"/>
      <c r="S47" s="2"/>
      <c r="T47" s="2"/>
      <c r="U47" s="2"/>
      <c r="V47" s="2"/>
      <c r="W47" s="2"/>
      <c r="X47" s="2"/>
    </row>
    <row r="48" spans="1:24" s="217" customFormat="1">
      <c r="A48" s="2"/>
      <c r="B48" s="278" t="s">
        <v>173</v>
      </c>
      <c r="C48" s="278" t="s">
        <v>166</v>
      </c>
      <c r="D48" s="278">
        <f>VLOOKUP(C48,METHODOLOGY!$C$175:$D$177,2,FALSE)</f>
        <v>3</v>
      </c>
      <c r="E48" s="1087" t="str">
        <f>_xlfn.XLOOKUP(C48,METHODOLOGY!$E$150:$O$150,METHODOLOGY!$E$155:$O$155,"",0,1)</f>
        <v>Study has few limitations and is considered robust.</v>
      </c>
      <c r="F48" s="1087"/>
      <c r="G48" s="1087"/>
      <c r="H48" s="1087"/>
      <c r="I48" s="2"/>
      <c r="J48" s="2"/>
      <c r="K48" s="2"/>
      <c r="L48" s="2"/>
      <c r="M48" s="2"/>
      <c r="N48" s="2"/>
      <c r="O48" s="2"/>
      <c r="P48" s="2"/>
      <c r="Q48" s="2"/>
      <c r="R48" s="2"/>
      <c r="S48" s="2"/>
      <c r="T48" s="2"/>
      <c r="U48" s="2"/>
      <c r="V48" s="2"/>
      <c r="W48" s="2"/>
      <c r="X48" s="2"/>
    </row>
    <row r="49" spans="1:24" s="217" customFormat="1">
      <c r="A49" s="2"/>
      <c r="B49" s="278" t="s">
        <v>177</v>
      </c>
      <c r="C49" s="278" t="s">
        <v>166</v>
      </c>
      <c r="D49" s="278">
        <f>VLOOKUP(C49,METHODOLOGY!$C$175:$D$177,2,FALSE)</f>
        <v>3</v>
      </c>
      <c r="E49" s="1087" t="str">
        <f>_xlfn.XLOOKUP(C49,METHODOLOGY!$E$150:$O$150,METHODOLOGY!$E$158:$O$158,"",0,1)</f>
        <v>0 – 5 years</v>
      </c>
      <c r="F49" s="1087"/>
      <c r="G49" s="1087"/>
      <c r="H49" s="1087"/>
      <c r="I49" s="2"/>
      <c r="J49" s="2"/>
      <c r="K49" s="2"/>
      <c r="L49" s="2"/>
      <c r="M49" s="2"/>
      <c r="N49" s="2"/>
      <c r="O49" s="2"/>
      <c r="P49" s="2"/>
      <c r="Q49" s="2"/>
      <c r="R49" s="2"/>
      <c r="S49" s="2"/>
      <c r="T49" s="2"/>
      <c r="U49" s="2"/>
      <c r="V49" s="2"/>
      <c r="W49" s="2"/>
      <c r="X49" s="2"/>
    </row>
    <row r="50" spans="1:24" s="217" customFormat="1">
      <c r="A50" s="2"/>
      <c r="B50" s="278" t="s">
        <v>181</v>
      </c>
      <c r="C50" s="278" t="s">
        <v>166</v>
      </c>
      <c r="D50" s="278">
        <f>VLOOKUP(C50,METHODOLOGY!$C$175:$D$177,2,FALSE)</f>
        <v>3</v>
      </c>
      <c r="E50" s="1087" t="str">
        <f>_xlfn.XLOOKUP(C50,METHODOLOGY!$E$150:$O$150,METHODOLOGY!$E$160:$O$160,"",0,1)</f>
        <v>Geographically relevant to UK</v>
      </c>
      <c r="F50" s="1087"/>
      <c r="G50" s="1087"/>
      <c r="H50" s="1087"/>
      <c r="I50" s="2"/>
      <c r="J50" s="2"/>
      <c r="K50" s="2"/>
      <c r="L50" s="2"/>
      <c r="M50" s="2"/>
      <c r="N50" s="2"/>
      <c r="O50" s="2"/>
      <c r="P50" s="2"/>
      <c r="Q50" s="2"/>
      <c r="R50" s="2"/>
      <c r="S50" s="2"/>
      <c r="T50" s="2"/>
      <c r="U50" s="2"/>
      <c r="V50" s="2"/>
      <c r="W50" s="2"/>
      <c r="X50" s="2"/>
    </row>
    <row r="51" spans="1:24" s="217" customFormat="1">
      <c r="A51" s="2"/>
      <c r="B51" s="278" t="s">
        <v>928</v>
      </c>
      <c r="C51" s="278" t="s">
        <v>166</v>
      </c>
      <c r="D51" s="278">
        <f>VLOOKUP(C51,METHODOLOGY!$C$175:$D$177,2,FALSE)</f>
        <v>3</v>
      </c>
      <c r="E51" s="1087" t="str">
        <f>_xlfn.XLOOKUP(C51,METHODOLOGY!$E$150:$O$150,METHODOLOGY!$E$162:$O$162,"",0,1)</f>
        <v>Clear understanding of the valuation method and how the value should be applied.</v>
      </c>
      <c r="F51" s="1087"/>
      <c r="G51" s="1087"/>
      <c r="H51" s="1087"/>
      <c r="I51" s="2"/>
      <c r="J51" s="2"/>
      <c r="K51" s="2"/>
      <c r="L51" s="2"/>
      <c r="M51" s="2"/>
      <c r="N51" s="2"/>
      <c r="O51" s="2"/>
      <c r="P51" s="2"/>
      <c r="Q51" s="2"/>
      <c r="R51" s="2"/>
      <c r="S51" s="2"/>
      <c r="T51" s="2"/>
      <c r="U51" s="2"/>
      <c r="V51" s="2"/>
      <c r="W51" s="2"/>
      <c r="X51" s="2"/>
    </row>
    <row r="52" spans="1:24" s="217" customFormat="1">
      <c r="A52" s="2"/>
      <c r="B52" s="278" t="s">
        <v>189</v>
      </c>
      <c r="C52" s="278" t="s">
        <v>166</v>
      </c>
      <c r="D52" s="278">
        <f>VLOOKUP(C52,METHODOLOGY!$C$175:$D$177,2,FALSE)</f>
        <v>3</v>
      </c>
      <c r="E52" s="1087" t="str">
        <f>_xlfn.XLOOKUP(C52,METHODOLOGY!$E$150:$O$150,METHODOLOGY!$E$164:$O$164,"",0,1)</f>
        <v xml:space="preserve">The original valuation can be used with no or very simple modification e.g. change units from ha to km2, applying inflation. </v>
      </c>
      <c r="F52" s="1087"/>
      <c r="G52" s="1087"/>
      <c r="H52" s="1087"/>
      <c r="I52" s="2"/>
      <c r="J52" s="2"/>
      <c r="K52" s="2"/>
      <c r="L52" s="2"/>
      <c r="M52" s="2"/>
      <c r="N52" s="2"/>
      <c r="O52" s="2"/>
      <c r="P52" s="2"/>
      <c r="Q52" s="2"/>
      <c r="R52" s="2"/>
      <c r="S52" s="2"/>
      <c r="T52" s="2"/>
      <c r="U52" s="2"/>
      <c r="V52" s="2"/>
      <c r="W52" s="2"/>
      <c r="X52" s="2"/>
    </row>
    <row r="53" spans="1:24" s="217" customFormat="1">
      <c r="A53" s="2"/>
      <c r="B53" s="2"/>
      <c r="C53" s="282" t="s">
        <v>924</v>
      </c>
      <c r="D53" s="326">
        <f>IF(AND(D52=1,AVERAGE(D47:D52)&gt;2.14285714285714),2.14285714285714,IF(AND(D52=2,AVERAGE(D47:D52)&gt;2.57142857142857),2.57142857142857,AVERAGE(D47:D52)))</f>
        <v>3</v>
      </c>
      <c r="E53" s="270" t="str">
        <f>IF(D53&lt;=2.14285714285714,"Red",IF(D53&lt;=2.57142857142857,"Amber",IF(D53&lt;=3,"Green")))</f>
        <v>Green</v>
      </c>
      <c r="F53" s="2"/>
      <c r="G53" s="2"/>
      <c r="H53" s="2"/>
      <c r="I53" s="2"/>
      <c r="J53" s="2"/>
      <c r="K53" s="2"/>
      <c r="L53" s="2"/>
      <c r="M53" s="2"/>
      <c r="N53" s="2"/>
      <c r="O53" s="2"/>
      <c r="P53" s="2"/>
      <c r="Q53" s="2"/>
      <c r="R53" s="2"/>
      <c r="S53" s="2"/>
      <c r="T53" s="2"/>
      <c r="U53" s="2"/>
      <c r="V53" s="2"/>
      <c r="W53" s="2"/>
      <c r="X53" s="2"/>
    </row>
    <row r="54" spans="1:24" s="217" customFormat="1">
      <c r="A54" s="2"/>
      <c r="B54" s="2"/>
      <c r="C54" s="2"/>
      <c r="D54" s="7"/>
      <c r="E54" s="7"/>
      <c r="F54" s="2"/>
      <c r="G54" s="2"/>
      <c r="H54" s="2"/>
      <c r="I54" s="2"/>
      <c r="J54" s="2"/>
      <c r="K54" s="2"/>
      <c r="L54" s="2"/>
      <c r="M54" s="2"/>
      <c r="N54" s="2"/>
      <c r="O54" s="2"/>
      <c r="P54" s="2"/>
      <c r="Q54" s="2"/>
      <c r="R54" s="2"/>
      <c r="S54" s="2"/>
      <c r="T54" s="2"/>
      <c r="U54" s="2"/>
      <c r="V54" s="2"/>
      <c r="W54" s="2"/>
      <c r="X54" s="2"/>
    </row>
    <row r="55" spans="1:24" s="217" customFormat="1">
      <c r="A55" s="2"/>
      <c r="B55" s="2"/>
      <c r="C55" s="2"/>
      <c r="D55" s="2"/>
      <c r="E55" s="2"/>
      <c r="F55" s="2"/>
      <c r="G55" s="2"/>
      <c r="H55" s="2"/>
      <c r="I55" s="2"/>
      <c r="J55" s="2"/>
      <c r="K55" s="2"/>
      <c r="L55" s="2"/>
      <c r="M55" s="2"/>
      <c r="N55" s="2"/>
      <c r="O55" s="2"/>
      <c r="P55" s="2"/>
      <c r="Q55" s="2"/>
      <c r="R55" s="2"/>
      <c r="S55" s="2"/>
      <c r="T55" s="2"/>
      <c r="U55" s="2"/>
      <c r="V55" s="2"/>
      <c r="W55" s="2"/>
      <c r="X55" s="2"/>
    </row>
    <row r="56" spans="1:24" s="217" customFormat="1">
      <c r="A56" s="725"/>
      <c r="B56" s="726" t="s">
        <v>929</v>
      </c>
      <c r="C56" s="725"/>
      <c r="D56" s="725"/>
      <c r="E56" s="725"/>
      <c r="F56" s="725"/>
      <c r="G56" s="725"/>
      <c r="H56" s="725"/>
      <c r="I56" s="2"/>
      <c r="J56" s="2"/>
      <c r="K56" s="2"/>
      <c r="L56" s="2"/>
      <c r="M56" s="2"/>
      <c r="N56" s="2"/>
      <c r="O56" s="2"/>
      <c r="P56" s="2"/>
      <c r="Q56" s="2"/>
      <c r="R56" s="2"/>
      <c r="S56" s="2"/>
      <c r="T56" s="2"/>
      <c r="U56" s="2"/>
      <c r="V56" s="2"/>
      <c r="W56" s="2"/>
      <c r="X56" s="2"/>
    </row>
    <row r="57" spans="1:24" s="217" customFormat="1">
      <c r="A57" s="2"/>
      <c r="B57" s="277" t="s">
        <v>913</v>
      </c>
      <c r="C57" s="277" t="s">
        <v>1089</v>
      </c>
      <c r="D57" s="277" t="s">
        <v>902</v>
      </c>
      <c r="E57" s="277" t="s">
        <v>331</v>
      </c>
      <c r="F57" s="277" t="s">
        <v>226</v>
      </c>
      <c r="G57" s="1157" t="s">
        <v>930</v>
      </c>
      <c r="H57" s="1157"/>
      <c r="I57" s="1157"/>
      <c r="J57" s="1157"/>
      <c r="K57" s="1157"/>
      <c r="L57" s="1157"/>
      <c r="M57" s="2"/>
      <c r="N57" s="2"/>
      <c r="O57" s="2"/>
      <c r="P57" s="2"/>
      <c r="Q57" s="2"/>
      <c r="R57" s="2"/>
      <c r="S57" s="2"/>
      <c r="T57" s="2"/>
      <c r="U57" s="2"/>
      <c r="V57" s="2"/>
      <c r="W57" s="2"/>
      <c r="X57" s="2"/>
    </row>
    <row r="58" spans="1:24" s="217" customFormat="1" ht="77.25" customHeight="1">
      <c r="A58" s="2"/>
      <c r="B58" s="278">
        <v>54</v>
      </c>
      <c r="C58" s="278" t="s">
        <v>453</v>
      </c>
      <c r="D58" s="375" t="str">
        <f>B12</f>
        <v>Volume of over-abstraction</v>
      </c>
      <c r="E58" s="304">
        <v>57000000</v>
      </c>
      <c r="F58" s="394" t="s">
        <v>1115</v>
      </c>
      <c r="G58" s="1158" t="s">
        <v>1363</v>
      </c>
      <c r="H58" s="1095"/>
      <c r="I58" s="1095"/>
      <c r="J58" s="1095"/>
      <c r="K58" s="1095"/>
      <c r="L58" s="1095"/>
      <c r="M58" s="2"/>
      <c r="N58" s="2"/>
      <c r="O58" s="2"/>
      <c r="P58" s="2"/>
      <c r="Q58" s="2"/>
      <c r="R58" s="2"/>
      <c r="S58" s="2"/>
      <c r="T58" s="2"/>
      <c r="U58" s="2"/>
      <c r="V58" s="2"/>
      <c r="W58" s="2"/>
      <c r="X58" s="2"/>
    </row>
    <row r="61" spans="1:24">
      <c r="A61" s="727"/>
      <c r="B61" s="728" t="s">
        <v>901</v>
      </c>
      <c r="C61" s="727"/>
      <c r="D61" s="727"/>
      <c r="E61" s="727"/>
      <c r="F61" s="727"/>
      <c r="G61" s="727"/>
      <c r="H61" s="727"/>
    </row>
    <row r="62" spans="1:24" ht="29.1">
      <c r="B62" s="522" t="s">
        <v>902</v>
      </c>
      <c r="C62" s="522" t="s">
        <v>898</v>
      </c>
      <c r="D62" s="522" t="s">
        <v>899</v>
      </c>
      <c r="E62" s="719" t="s">
        <v>903</v>
      </c>
      <c r="F62" s="522" t="s">
        <v>904</v>
      </c>
      <c r="G62" s="522" t="s">
        <v>905</v>
      </c>
      <c r="H62" s="522" t="s">
        <v>924</v>
      </c>
      <c r="I62" s="522" t="s">
        <v>956</v>
      </c>
      <c r="J62" s="522" t="s">
        <v>927</v>
      </c>
    </row>
    <row r="63" spans="1:24" ht="87">
      <c r="B63" s="278" t="str">
        <f>B12</f>
        <v>Volume of over-abstraction</v>
      </c>
      <c r="C63" s="278" t="str">
        <f>B18</f>
        <v>Water Resources</v>
      </c>
      <c r="D63" s="278" t="str">
        <f>C18</f>
        <v>Water resource depletion</v>
      </c>
      <c r="E63" s="299" t="s">
        <v>957</v>
      </c>
      <c r="F63" s="278" t="str" cm="1">
        <f t="array" ref="F63">_xlfn.XLOOKUP(1,(D67:D67=B63)*(E67:E67=C63),B67:B67,"Not found",0,1)</f>
        <v>12-01</v>
      </c>
      <c r="G63" s="300">
        <f>VLOOKUP(F63,B67:L68,11,FALSE)</f>
        <v>1.07</v>
      </c>
      <c r="H63" s="680">
        <f>$D$33</f>
        <v>2.8333333333333335</v>
      </c>
      <c r="I63" s="683" t="s">
        <v>1364</v>
      </c>
      <c r="J63" s="683" t="s">
        <v>1365</v>
      </c>
    </row>
    <row r="64" spans="1:24">
      <c r="B64" s="18"/>
    </row>
    <row r="65" spans="1:23">
      <c r="A65" s="725"/>
      <c r="B65" s="726" t="s">
        <v>962</v>
      </c>
      <c r="C65" s="725"/>
      <c r="D65" s="725"/>
      <c r="E65" s="725"/>
      <c r="F65" s="725"/>
      <c r="G65" s="725"/>
      <c r="H65" s="725"/>
    </row>
    <row r="66" spans="1:23">
      <c r="B66" s="277" t="s">
        <v>904</v>
      </c>
      <c r="C66" s="277" t="s">
        <v>62</v>
      </c>
      <c r="D66" s="277" t="s">
        <v>902</v>
      </c>
      <c r="E66" s="277" t="s">
        <v>898</v>
      </c>
      <c r="F66" s="277" t="s">
        <v>916</v>
      </c>
      <c r="G66" s="277" t="s">
        <v>963</v>
      </c>
      <c r="H66" s="277" t="s">
        <v>964</v>
      </c>
      <c r="I66" s="277" t="s">
        <v>965</v>
      </c>
      <c r="J66" s="277" t="s">
        <v>966</v>
      </c>
      <c r="K66" s="277" t="s">
        <v>967</v>
      </c>
      <c r="L66" s="277" t="s">
        <v>968</v>
      </c>
      <c r="M66" s="277" t="s">
        <v>956</v>
      </c>
      <c r="N66" s="277" t="s">
        <v>969</v>
      </c>
      <c r="O66" s="277" t="s">
        <v>970</v>
      </c>
      <c r="P66" s="277" t="s">
        <v>927</v>
      </c>
      <c r="Q66" s="277" t="s">
        <v>913</v>
      </c>
      <c r="R66" s="277" t="s">
        <v>914</v>
      </c>
      <c r="S66" s="277" t="s">
        <v>915</v>
      </c>
      <c r="T66" s="277" t="s">
        <v>916</v>
      </c>
      <c r="U66" s="277" t="s">
        <v>917</v>
      </c>
      <c r="V66" s="277" t="s">
        <v>918</v>
      </c>
      <c r="W66" s="277" t="s">
        <v>919</v>
      </c>
    </row>
    <row r="67" spans="1:23">
      <c r="B67" s="302" t="s">
        <v>1366</v>
      </c>
      <c r="C67" s="279" t="s">
        <v>1367</v>
      </c>
      <c r="D67" s="278" t="str">
        <f>B63</f>
        <v>Volume of over-abstraction</v>
      </c>
      <c r="E67" s="278" t="str">
        <f>C63</f>
        <v>Water Resources</v>
      </c>
      <c r="F67" s="299">
        <f>E23</f>
        <v>2018</v>
      </c>
      <c r="G67" s="278">
        <v>2023</v>
      </c>
      <c r="H67" s="278">
        <f>'COMPANY INPUT'!$C$16</f>
        <v>2023</v>
      </c>
      <c r="I67" s="278">
        <f>VLOOKUP(G67,'GDP Deflators'!$H$13:$I$86,2,FALSE)</f>
        <v>100</v>
      </c>
      <c r="J67" s="278">
        <f>VLOOKUP(H67,'GDP Deflators'!$H$13:$I$86,2,FALSE)</f>
        <v>100</v>
      </c>
      <c r="K67" s="300">
        <f>E37</f>
        <v>1.07</v>
      </c>
      <c r="L67" s="746">
        <f>K67*(J67/I67)</f>
        <v>1.07</v>
      </c>
      <c r="M67" s="300" t="str">
        <f>I63</f>
        <v>Resource rent</v>
      </c>
      <c r="N67" s="684">
        <f>H63</f>
        <v>2.8333333333333335</v>
      </c>
      <c r="O67" s="278" t="s">
        <v>718</v>
      </c>
      <c r="P67" s="300" t="str">
        <f>J63</f>
        <v xml:space="preserve">Most appropriate of the two sources available as the valuation method is more directly applicable </v>
      </c>
      <c r="Q67" s="299">
        <f t="shared" ref="Q67:W67" si="0">B23</f>
        <v>22</v>
      </c>
      <c r="R67" s="278" t="str">
        <f t="shared" si="0"/>
        <v>NIC (2018) Analysis of the costs of water resource management options to enhance drought resilience</v>
      </c>
      <c r="S67" s="278" t="str">
        <f t="shared" si="0"/>
        <v>NCEM</v>
      </c>
      <c r="T67" s="278">
        <f t="shared" si="0"/>
        <v>2018</v>
      </c>
      <c r="U67" s="278" t="str">
        <f t="shared" si="0"/>
        <v>UK</v>
      </c>
      <c r="V67" s="278" t="str">
        <f t="shared" si="0"/>
        <v>UK</v>
      </c>
      <c r="W67" s="278" t="str">
        <f t="shared" si="0"/>
        <v>/</v>
      </c>
    </row>
    <row r="70" spans="1:23">
      <c r="A70" s="721"/>
      <c r="B70" s="722" t="s">
        <v>1358</v>
      </c>
      <c r="C70" s="721"/>
      <c r="D70" s="721"/>
      <c r="E70" s="721"/>
      <c r="F70" s="721"/>
      <c r="G70" s="721"/>
      <c r="H70" s="721"/>
    </row>
    <row r="71" spans="1:23">
      <c r="A71" s="727"/>
      <c r="B71" s="729" t="s">
        <v>897</v>
      </c>
      <c r="C71" s="727"/>
      <c r="D71" s="727"/>
      <c r="E71" s="727"/>
      <c r="F71" s="727"/>
      <c r="G71" s="727"/>
      <c r="H71" s="727"/>
    </row>
    <row r="72" spans="1:23">
      <c r="B72" s="277" t="s">
        <v>898</v>
      </c>
      <c r="C72" s="277" t="s">
        <v>899</v>
      </c>
    </row>
    <row r="73" spans="1:23">
      <c r="B73" s="278" t="s">
        <v>454</v>
      </c>
      <c r="C73" s="278" t="s">
        <v>1368</v>
      </c>
    </row>
    <row r="75" spans="1:23">
      <c r="A75" s="727"/>
      <c r="B75" s="728" t="s">
        <v>901</v>
      </c>
      <c r="C75" s="727"/>
      <c r="D75" s="727"/>
      <c r="E75" s="727"/>
      <c r="F75" s="727"/>
      <c r="G75" s="727"/>
      <c r="H75" s="727"/>
    </row>
    <row r="76" spans="1:23" ht="29.1">
      <c r="B76" s="522" t="s">
        <v>902</v>
      </c>
      <c r="C76" s="522" t="s">
        <v>898</v>
      </c>
      <c r="D76" s="522" t="s">
        <v>899</v>
      </c>
      <c r="E76" s="719" t="s">
        <v>903</v>
      </c>
      <c r="F76" s="522" t="s">
        <v>904</v>
      </c>
      <c r="G76" s="522" t="s">
        <v>905</v>
      </c>
      <c r="H76" s="522" t="s">
        <v>924</v>
      </c>
      <c r="I76" s="522" t="s">
        <v>956</v>
      </c>
      <c r="J76" s="522" t="s">
        <v>927</v>
      </c>
    </row>
    <row r="77" spans="1:23" ht="29.1">
      <c r="B77" s="278" t="s">
        <v>517</v>
      </c>
      <c r="C77" s="278" t="s">
        <v>454</v>
      </c>
      <c r="D77" s="375" t="s">
        <v>1368</v>
      </c>
      <c r="E77" s="299" t="s">
        <v>906</v>
      </c>
      <c r="F77" s="278" t="s">
        <v>907</v>
      </c>
      <c r="G77" s="300" t="s">
        <v>473</v>
      </c>
      <c r="H77" s="278" t="s">
        <v>907</v>
      </c>
      <c r="I77" s="278" t="s">
        <v>907</v>
      </c>
      <c r="J77" s="278" t="s">
        <v>907</v>
      </c>
    </row>
    <row r="79" spans="1:23">
      <c r="A79" s="721"/>
      <c r="B79" s="722" t="s">
        <v>230</v>
      </c>
      <c r="C79" s="721"/>
      <c r="D79" s="721"/>
      <c r="E79" s="721"/>
      <c r="F79" s="721"/>
      <c r="G79" s="721"/>
      <c r="H79" s="721"/>
    </row>
    <row r="80" spans="1:23">
      <c r="A80" s="727"/>
      <c r="B80" s="729" t="s">
        <v>897</v>
      </c>
      <c r="C80" s="727"/>
      <c r="D80" s="727"/>
      <c r="E80" s="727"/>
      <c r="F80" s="727"/>
      <c r="G80" s="727"/>
      <c r="H80" s="727"/>
    </row>
    <row r="81" spans="1:10">
      <c r="B81" s="277" t="s">
        <v>898</v>
      </c>
      <c r="C81" s="277" t="s">
        <v>899</v>
      </c>
    </row>
    <row r="82" spans="1:10">
      <c r="B82" s="278" t="s">
        <v>230</v>
      </c>
      <c r="C82" s="278" t="s">
        <v>1369</v>
      </c>
    </row>
    <row r="84" spans="1:10">
      <c r="A84" s="727"/>
      <c r="B84" s="728" t="s">
        <v>901</v>
      </c>
      <c r="C84" s="727"/>
      <c r="D84" s="727"/>
      <c r="E84" s="727"/>
      <c r="F84" s="727"/>
      <c r="G84" s="727"/>
      <c r="H84" s="727"/>
    </row>
    <row r="85" spans="1:10" ht="29.1">
      <c r="B85" s="522" t="s">
        <v>902</v>
      </c>
      <c r="C85" s="522" t="s">
        <v>898</v>
      </c>
      <c r="D85" s="522" t="s">
        <v>899</v>
      </c>
      <c r="E85" s="719" t="s">
        <v>903</v>
      </c>
      <c r="F85" s="522" t="s">
        <v>904</v>
      </c>
      <c r="G85" s="522" t="s">
        <v>905</v>
      </c>
      <c r="H85" s="522" t="s">
        <v>924</v>
      </c>
      <c r="I85" s="522" t="s">
        <v>956</v>
      </c>
      <c r="J85" s="522" t="s">
        <v>927</v>
      </c>
    </row>
    <row r="86" spans="1:10">
      <c r="B86" s="278" t="s">
        <v>517</v>
      </c>
      <c r="C86" s="278" t="str">
        <f>B82</f>
        <v>Biodiversity</v>
      </c>
      <c r="D86" s="278" t="str">
        <f>C82</f>
        <v>Negative impact surrounding wildlife</v>
      </c>
      <c r="E86" s="299" t="s">
        <v>906</v>
      </c>
      <c r="F86" s="278" t="s">
        <v>907</v>
      </c>
      <c r="G86" s="300" t="s">
        <v>473</v>
      </c>
      <c r="H86" s="278" t="s">
        <v>907</v>
      </c>
      <c r="I86" s="278" t="s">
        <v>907</v>
      </c>
      <c r="J86" s="278" t="s">
        <v>907</v>
      </c>
    </row>
    <row r="87" spans="1:10">
      <c r="E87" s="4"/>
      <c r="G87" s="23"/>
      <c r="H87" s="23"/>
    </row>
    <row r="88" spans="1:10">
      <c r="A88" s="721"/>
      <c r="B88" s="722" t="s">
        <v>460</v>
      </c>
      <c r="C88" s="721"/>
      <c r="D88" s="721"/>
      <c r="E88" s="721"/>
      <c r="F88" s="721"/>
      <c r="G88" s="721"/>
      <c r="H88" s="721"/>
    </row>
    <row r="89" spans="1:10">
      <c r="A89" s="727"/>
      <c r="B89" s="729" t="s">
        <v>897</v>
      </c>
      <c r="C89" s="727"/>
      <c r="D89" s="727"/>
      <c r="E89" s="727"/>
      <c r="F89" s="727"/>
      <c r="G89" s="727"/>
      <c r="H89" s="727"/>
    </row>
    <row r="90" spans="1:10">
      <c r="B90" s="277" t="s">
        <v>898</v>
      </c>
      <c r="C90" s="277" t="s">
        <v>899</v>
      </c>
    </row>
    <row r="91" spans="1:10">
      <c r="B91" s="278" t="s">
        <v>460</v>
      </c>
      <c r="C91" s="278" t="s">
        <v>1370</v>
      </c>
    </row>
    <row r="93" spans="1:10">
      <c r="A93" s="727"/>
      <c r="B93" s="728" t="s">
        <v>901</v>
      </c>
      <c r="C93" s="727"/>
      <c r="D93" s="727"/>
      <c r="E93" s="727"/>
      <c r="F93" s="727"/>
      <c r="G93" s="727"/>
      <c r="H93" s="727"/>
    </row>
    <row r="94" spans="1:10" ht="29.1">
      <c r="B94" s="756" t="s">
        <v>902</v>
      </c>
      <c r="C94" s="756" t="s">
        <v>898</v>
      </c>
      <c r="D94" s="756" t="s">
        <v>899</v>
      </c>
      <c r="E94" s="752" t="s">
        <v>903</v>
      </c>
      <c r="F94" s="756" t="s">
        <v>904</v>
      </c>
      <c r="G94" s="756" t="s">
        <v>905</v>
      </c>
      <c r="H94" s="522" t="s">
        <v>924</v>
      </c>
      <c r="I94" s="522" t="s">
        <v>956</v>
      </c>
      <c r="J94" s="522" t="s">
        <v>927</v>
      </c>
    </row>
    <row r="95" spans="1:10">
      <c r="B95" s="278" t="s">
        <v>516</v>
      </c>
      <c r="C95" s="278" t="str">
        <f>B91</f>
        <v>Trust</v>
      </c>
      <c r="D95" s="278" t="str">
        <f>C91</f>
        <v>Negative public perception</v>
      </c>
      <c r="E95" s="299" t="s">
        <v>906</v>
      </c>
      <c r="F95" s="278" t="s">
        <v>907</v>
      </c>
      <c r="G95" s="300" t="s">
        <v>477</v>
      </c>
      <c r="H95" s="278" t="s">
        <v>907</v>
      </c>
      <c r="I95" s="278" t="s">
        <v>907</v>
      </c>
      <c r="J95" s="278" t="s">
        <v>907</v>
      </c>
    </row>
    <row r="96" spans="1:10">
      <c r="B96" s="278" t="s">
        <v>517</v>
      </c>
      <c r="C96" s="278" t="s">
        <v>460</v>
      </c>
      <c r="D96" s="278" t="s">
        <v>1370</v>
      </c>
      <c r="E96" s="299" t="s">
        <v>906</v>
      </c>
      <c r="F96" s="278"/>
      <c r="G96" s="300" t="s">
        <v>477</v>
      </c>
      <c r="H96" s="278" t="s">
        <v>907</v>
      </c>
      <c r="I96" s="278" t="s">
        <v>907</v>
      </c>
      <c r="J96" s="278" t="s">
        <v>907</v>
      </c>
    </row>
    <row r="98" spans="1:10">
      <c r="A98" s="721"/>
      <c r="B98" s="722" t="s">
        <v>151</v>
      </c>
      <c r="C98" s="721"/>
      <c r="D98" s="721"/>
      <c r="E98" s="721"/>
      <c r="F98" s="721"/>
      <c r="G98" s="721"/>
      <c r="H98" s="721"/>
    </row>
    <row r="99" spans="1:10">
      <c r="A99" s="727"/>
      <c r="B99" s="729" t="s">
        <v>897</v>
      </c>
      <c r="C99" s="727"/>
      <c r="D99" s="727"/>
      <c r="E99" s="727"/>
      <c r="F99" s="727"/>
      <c r="G99" s="727"/>
      <c r="H99" s="727"/>
    </row>
    <row r="100" spans="1:10">
      <c r="B100" s="277" t="s">
        <v>898</v>
      </c>
      <c r="C100" s="277" t="s">
        <v>899</v>
      </c>
    </row>
    <row r="101" spans="1:10">
      <c r="B101" s="278" t="s">
        <v>151</v>
      </c>
      <c r="C101" s="278" t="s">
        <v>1371</v>
      </c>
    </row>
    <row r="103" spans="1:10">
      <c r="A103" s="727"/>
      <c r="B103" s="728" t="s">
        <v>901</v>
      </c>
      <c r="C103" s="727"/>
      <c r="D103" s="727"/>
      <c r="E103" s="727"/>
      <c r="F103" s="727"/>
      <c r="G103" s="727"/>
      <c r="H103" s="727"/>
    </row>
    <row r="104" spans="1:10" ht="29.1">
      <c r="B104" s="522" t="s">
        <v>902</v>
      </c>
      <c r="C104" s="522" t="s">
        <v>898</v>
      </c>
      <c r="D104" s="522" t="s">
        <v>899</v>
      </c>
      <c r="E104" s="719" t="s">
        <v>903</v>
      </c>
      <c r="F104" s="522" t="s">
        <v>904</v>
      </c>
      <c r="G104" s="522" t="s">
        <v>905</v>
      </c>
      <c r="H104" s="522" t="s">
        <v>924</v>
      </c>
      <c r="I104" s="522" t="s">
        <v>956</v>
      </c>
      <c r="J104" s="522" t="s">
        <v>927</v>
      </c>
    </row>
    <row r="105" spans="1:10">
      <c r="B105" s="278" t="s">
        <v>516</v>
      </c>
      <c r="C105" s="278" t="str">
        <f>B101</f>
        <v>Quality of place</v>
      </c>
      <c r="D105" s="278" t="str">
        <f>C101</f>
        <v>Reduced quality of place for local population</v>
      </c>
      <c r="E105" s="299" t="s">
        <v>906</v>
      </c>
      <c r="F105" s="278" t="s">
        <v>907</v>
      </c>
      <c r="G105" s="300" t="s">
        <v>477</v>
      </c>
      <c r="H105" s="278" t="s">
        <v>907</v>
      </c>
      <c r="I105" s="278" t="s">
        <v>907</v>
      </c>
      <c r="J105" s="278" t="s">
        <v>907</v>
      </c>
    </row>
  </sheetData>
  <sheetProtection algorithmName="SHA-512" hashValue="pmykTIaewjfYUznGRCzGiPzagO9oF2iTUgE1eobdQZCaKeQJusBZQ8HW25rPYm78+27wYqmvBYu4wZY1uWythw==" saltValue="N5AIBxWoql9MmZ28cou/lg==" spinCount="100000" sheet="1" objects="1" scenarios="1"/>
  <dataConsolidate/>
  <mergeCells count="20">
    <mergeCell ref="E32:H32"/>
    <mergeCell ref="E46:H46"/>
    <mergeCell ref="E47:H47"/>
    <mergeCell ref="E48:H48"/>
    <mergeCell ref="E49:H49"/>
    <mergeCell ref="G57:L57"/>
    <mergeCell ref="G58:L58"/>
    <mergeCell ref="G36:L36"/>
    <mergeCell ref="G37:L37"/>
    <mergeCell ref="E50:H50"/>
    <mergeCell ref="E51:H51"/>
    <mergeCell ref="E52:H52"/>
    <mergeCell ref="E29:H29"/>
    <mergeCell ref="E30:H30"/>
    <mergeCell ref="E31:H31"/>
    <mergeCell ref="D9:I9"/>
    <mergeCell ref="B5:H5"/>
    <mergeCell ref="E26:H26"/>
    <mergeCell ref="E27:H27"/>
    <mergeCell ref="E28:H28"/>
  </mergeCells>
  <conditionalFormatting sqref="D33:E33">
    <cfRule type="cellIs" dxfId="1004" priority="11" operator="lessThanOrEqual">
      <formula>2.14285714285714</formula>
    </cfRule>
    <cfRule type="cellIs" dxfId="1003" priority="12" operator="lessThanOrEqual">
      <formula>2.57142857142857</formula>
    </cfRule>
    <cfRule type="cellIs" dxfId="1002" priority="13" operator="lessThanOrEqual">
      <formula>3</formula>
    </cfRule>
  </conditionalFormatting>
  <conditionalFormatting sqref="D53:E53">
    <cfRule type="cellIs" dxfId="1001" priority="5" operator="lessThanOrEqual">
      <formula>2.14285714285714</formula>
    </cfRule>
    <cfRule type="cellIs" dxfId="1000" priority="6" operator="lessThanOrEqual">
      <formula>2.57142857142857</formula>
    </cfRule>
    <cfRule type="cellIs" dxfId="999" priority="7" operator="lessThanOrEqual">
      <formula>3</formula>
    </cfRule>
  </conditionalFormatting>
  <conditionalFormatting sqref="D11:I12">
    <cfRule type="notContainsBlanks" dxfId="998" priority="1">
      <formula>LEN(TRIM(D11))&gt;0</formula>
    </cfRule>
  </conditionalFormatting>
  <conditionalFormatting sqref="E33">
    <cfRule type="containsText" dxfId="997" priority="8" operator="containsText" text="Green">
      <formula>NOT(ISERROR(SEARCH("Green",E33)))</formula>
    </cfRule>
    <cfRule type="containsText" dxfId="996" priority="9" operator="containsText" text="Amber">
      <formula>NOT(ISERROR(SEARCH("Amber",E33)))</formula>
    </cfRule>
    <cfRule type="containsText" dxfId="995" priority="10" operator="containsText" text="Red">
      <formula>NOT(ISERROR(SEARCH("Red",E33)))</formula>
    </cfRule>
  </conditionalFormatting>
  <conditionalFormatting sqref="E53">
    <cfRule type="containsText" dxfId="994" priority="2" operator="containsText" text="Green">
      <formula>NOT(ISERROR(SEARCH("Green",E53)))</formula>
    </cfRule>
    <cfRule type="containsText" dxfId="993" priority="3" operator="containsText" text="Amber">
      <formula>NOT(ISERROR(SEARCH("Amber",E53)))</formula>
    </cfRule>
    <cfRule type="containsText" dxfId="992" priority="4" operator="containsText" text="Red">
      <formula>NOT(ISERROR(SEARCH("Red",E53)))</formula>
    </cfRule>
  </conditionalFormatting>
  <conditionalFormatting sqref="H63">
    <cfRule type="cellIs" dxfId="991" priority="17" operator="lessThanOrEqual">
      <formula>2.14285714285714</formula>
    </cfRule>
    <cfRule type="cellIs" dxfId="990" priority="18" operator="lessThanOrEqual">
      <formula>2.57142857142857</formula>
    </cfRule>
    <cfRule type="cellIs" dxfId="989" priority="19" operator="lessThanOrEqual">
      <formula>3</formula>
    </cfRule>
  </conditionalFormatting>
  <conditionalFormatting sqref="N67">
    <cfRule type="cellIs" dxfId="988" priority="14" operator="lessThanOrEqual">
      <formula>2.14285714285714</formula>
    </cfRule>
    <cfRule type="cellIs" dxfId="987" priority="15" operator="lessThanOrEqual">
      <formula>2.57142857142857</formula>
    </cfRule>
    <cfRule type="cellIs" dxfId="986" priority="16" operator="lessThanOrEqual">
      <formula>3</formula>
    </cfRule>
  </conditionalFormatting>
  <dataValidations count="1">
    <dataValidation type="list" allowBlank="1" showInputMessage="1" showErrorMessage="1" sqref="C68 C34 C47:C52 C54 C27:C32" xr:uid="{DDECFD8E-869A-4812-B198-ED96359F9C73}">
      <formula1>"High, Medium, Low"</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F435-56F6-4216-A6CE-A70011EF7615}">
  <sheetPr codeName="Sheet20">
    <tabColor theme="5" tint="0.59999389629810485"/>
  </sheetPr>
  <dimension ref="A1:J40"/>
  <sheetViews>
    <sheetView workbookViewId="0">
      <selection activeCell="B2" sqref="B2"/>
    </sheetView>
  </sheetViews>
  <sheetFormatPr defaultColWidth="9" defaultRowHeight="14.45"/>
  <cols>
    <col min="1" max="1" width="3.5" style="217" customWidth="1"/>
    <col min="2" max="3" width="40.625" style="217" customWidth="1"/>
    <col min="4" max="14" width="15.625" style="217" customWidth="1"/>
    <col min="15" max="16" width="16.125" style="217" customWidth="1"/>
    <col min="17" max="17" width="9" style="217" bestFit="1"/>
    <col min="18" max="18" width="16.625" style="217" customWidth="1"/>
    <col min="19" max="19" width="18.5" style="217" customWidth="1"/>
    <col min="20" max="16384" width="9" style="217"/>
  </cols>
  <sheetData>
    <row r="1" spans="1:10" ht="15" thickBot="1">
      <c r="A1" s="2"/>
      <c r="B1" s="2"/>
      <c r="C1" s="2"/>
      <c r="D1" s="2"/>
      <c r="E1" s="2"/>
      <c r="F1" s="2"/>
      <c r="G1" s="2"/>
      <c r="H1" s="2"/>
      <c r="I1" s="2"/>
      <c r="J1" s="2"/>
    </row>
    <row r="2" spans="1:10" s="750" customFormat="1" ht="18.95" thickBot="1">
      <c r="A2" s="748"/>
      <c r="B2" s="749" t="s">
        <v>381</v>
      </c>
      <c r="C2" s="749"/>
      <c r="D2" s="749"/>
    </row>
    <row r="4" spans="1:10" s="714" customFormat="1" ht="18.600000000000001">
      <c r="A4" s="715"/>
      <c r="B4" s="713" t="s">
        <v>893</v>
      </c>
      <c r="C4" s="715"/>
      <c r="D4" s="715"/>
      <c r="E4" s="715"/>
      <c r="F4" s="715"/>
      <c r="G4" s="715"/>
      <c r="H4" s="715"/>
    </row>
    <row r="5" spans="1:10" ht="95.25" customHeight="1">
      <c r="A5" s="716"/>
      <c r="B5" s="1152" t="s">
        <v>1372</v>
      </c>
      <c r="C5" s="1152"/>
      <c r="D5" s="1152"/>
      <c r="E5" s="1152"/>
      <c r="F5" s="1152"/>
      <c r="G5" s="1152"/>
      <c r="H5" s="1152"/>
      <c r="I5" s="2"/>
      <c r="J5" s="2"/>
    </row>
    <row r="7" spans="1:10" s="718" customFormat="1" ht="18.600000000000001">
      <c r="A7" s="724"/>
      <c r="B7" s="724" t="s">
        <v>895</v>
      </c>
      <c r="C7" s="724"/>
      <c r="D7" s="724"/>
      <c r="E7" s="724"/>
      <c r="F7" s="724"/>
      <c r="G7" s="724"/>
      <c r="H7" s="724"/>
    </row>
    <row r="9" spans="1:10">
      <c r="A9" s="2"/>
      <c r="B9" s="2"/>
      <c r="C9" s="2"/>
      <c r="D9" s="1134" t="s">
        <v>479</v>
      </c>
      <c r="E9" s="1134"/>
      <c r="F9" s="1134"/>
      <c r="G9" s="1134"/>
      <c r="H9" s="2"/>
      <c r="I9" s="2"/>
      <c r="J9" s="2"/>
    </row>
    <row r="10" spans="1:10" ht="29.1">
      <c r="A10" s="2"/>
      <c r="B10" s="522" t="s">
        <v>104</v>
      </c>
      <c r="C10" s="522" t="s">
        <v>711</v>
      </c>
      <c r="D10" s="719" t="s">
        <v>448</v>
      </c>
      <c r="E10" s="719" t="s">
        <v>460</v>
      </c>
      <c r="F10" s="719" t="s">
        <v>465</v>
      </c>
      <c r="G10" s="719" t="s">
        <v>466</v>
      </c>
      <c r="H10" s="2"/>
      <c r="I10" s="2"/>
      <c r="J10" s="2"/>
    </row>
    <row r="11" spans="1:10">
      <c r="A11" s="2"/>
      <c r="B11" s="278" t="s">
        <v>519</v>
      </c>
      <c r="C11" s="278" t="s">
        <v>382</v>
      </c>
      <c r="D11" s="306" t="s">
        <v>477</v>
      </c>
      <c r="E11" s="306" t="str" cm="1">
        <f t="array" ref="E11">_xlfn.XLOOKUP(1,($B11=$B$20:$B$22)*(E$10=$C$20:$C$22),$G$20:$G$22,"Not found",0,1)</f>
        <v>LG(H)</v>
      </c>
      <c r="F11" s="306" t="str" cm="1">
        <f t="array" ref="F11">_xlfn.XLOOKUP(1,($B11=$B$29:$B$31)*(F$10=$C$29:$C$31),$G$29:$G$31,"Not found",0,1)</f>
        <v>&lt;/&gt;</v>
      </c>
      <c r="G11" s="306" t="str" cm="1">
        <f t="array" ref="G11">_xlfn.XLOOKUP(1,($B11=$B$38:$B$40)*(G$10=$C$38:$C$40),$G$38:$G$40,"Not found",0,1)</f>
        <v>&lt;/&gt;</v>
      </c>
      <c r="H11" s="2"/>
      <c r="I11" s="2"/>
      <c r="J11" s="2"/>
    </row>
    <row r="12" spans="1:10">
      <c r="A12" s="2"/>
      <c r="B12" s="800" t="s">
        <v>896</v>
      </c>
      <c r="C12" s="2"/>
      <c r="D12" s="2"/>
      <c r="E12" s="2"/>
      <c r="F12" s="2"/>
      <c r="G12" s="2"/>
      <c r="H12" s="2"/>
      <c r="I12" s="2"/>
      <c r="J12" s="2"/>
    </row>
    <row r="14" spans="1:10">
      <c r="A14" s="721"/>
      <c r="B14" s="722" t="s">
        <v>460</v>
      </c>
      <c r="C14" s="721"/>
      <c r="D14" s="721"/>
      <c r="E14" s="721"/>
      <c r="F14" s="721"/>
      <c r="G14" s="721"/>
      <c r="H14" s="721"/>
      <c r="I14" s="2"/>
      <c r="J14" s="2"/>
    </row>
    <row r="15" spans="1:10">
      <c r="A15" s="727"/>
      <c r="B15" s="729" t="s">
        <v>897</v>
      </c>
      <c r="C15" s="727"/>
      <c r="D15" s="727"/>
      <c r="E15" s="727"/>
      <c r="F15" s="727"/>
      <c r="G15" s="727"/>
      <c r="H15" s="727"/>
      <c r="I15" s="2"/>
      <c r="J15" s="2"/>
    </row>
    <row r="16" spans="1:10">
      <c r="A16" s="2"/>
      <c r="B16" s="277" t="s">
        <v>898</v>
      </c>
      <c r="C16" s="277" t="s">
        <v>899</v>
      </c>
      <c r="D16" s="2"/>
      <c r="E16" s="2"/>
      <c r="F16" s="2"/>
      <c r="G16" s="2"/>
      <c r="H16" s="2"/>
      <c r="I16" s="2"/>
      <c r="J16" s="2"/>
    </row>
    <row r="17" spans="1:10">
      <c r="A17" s="2"/>
      <c r="B17" s="278" t="s">
        <v>460</v>
      </c>
      <c r="C17" s="278" t="s">
        <v>1370</v>
      </c>
      <c r="D17" s="2"/>
      <c r="E17" s="2"/>
      <c r="F17" s="2"/>
      <c r="G17" s="2"/>
      <c r="H17" s="2"/>
      <c r="I17" s="2"/>
      <c r="J17" s="2"/>
    </row>
    <row r="19" spans="1:10">
      <c r="A19" s="727"/>
      <c r="B19" s="728" t="s">
        <v>901</v>
      </c>
      <c r="C19" s="727"/>
      <c r="D19" s="727"/>
      <c r="E19" s="727"/>
      <c r="F19" s="727"/>
      <c r="G19" s="727"/>
      <c r="H19" s="727"/>
      <c r="I19" s="2"/>
      <c r="J19" s="2"/>
    </row>
    <row r="20" spans="1:10" ht="29.1">
      <c r="A20" s="2"/>
      <c r="B20" s="719" t="s">
        <v>902</v>
      </c>
      <c r="C20" s="719" t="s">
        <v>898</v>
      </c>
      <c r="D20" s="719" t="s">
        <v>899</v>
      </c>
      <c r="E20" s="719" t="s">
        <v>903</v>
      </c>
      <c r="F20" s="719" t="s">
        <v>904</v>
      </c>
      <c r="G20" s="719" t="s">
        <v>905</v>
      </c>
      <c r="H20" s="719" t="s">
        <v>924</v>
      </c>
      <c r="I20" s="719" t="s">
        <v>956</v>
      </c>
      <c r="J20" s="719" t="s">
        <v>927</v>
      </c>
    </row>
    <row r="21" spans="1:10" ht="29.1">
      <c r="A21" s="2"/>
      <c r="B21" s="278" t="s">
        <v>519</v>
      </c>
      <c r="C21" s="278" t="str">
        <f>B17</f>
        <v>Trust</v>
      </c>
      <c r="D21" s="375" t="str">
        <f>C17</f>
        <v>Negative public perception</v>
      </c>
      <c r="E21" s="299"/>
      <c r="F21" s="278" t="s">
        <v>907</v>
      </c>
      <c r="G21" s="300" t="s">
        <v>477</v>
      </c>
      <c r="H21" s="278" t="s">
        <v>907</v>
      </c>
      <c r="I21" s="278" t="s">
        <v>907</v>
      </c>
      <c r="J21" s="278" t="s">
        <v>907</v>
      </c>
    </row>
    <row r="23" spans="1:10">
      <c r="A23" s="721"/>
      <c r="B23" s="722" t="s">
        <v>1373</v>
      </c>
      <c r="C23" s="721"/>
      <c r="D23" s="721"/>
      <c r="E23" s="721"/>
      <c r="F23" s="721"/>
      <c r="G23" s="721"/>
      <c r="H23" s="721"/>
      <c r="I23" s="2"/>
      <c r="J23" s="2"/>
    </row>
    <row r="24" spans="1:10">
      <c r="A24" s="727"/>
      <c r="B24" s="729" t="s">
        <v>897</v>
      </c>
      <c r="C24" s="727"/>
      <c r="D24" s="727"/>
      <c r="E24" s="727"/>
      <c r="F24" s="727"/>
      <c r="G24" s="727"/>
      <c r="H24" s="727"/>
      <c r="I24" s="2"/>
      <c r="J24" s="2"/>
    </row>
    <row r="25" spans="1:10">
      <c r="A25" s="2"/>
      <c r="B25" s="277" t="s">
        <v>898</v>
      </c>
      <c r="C25" s="277" t="s">
        <v>899</v>
      </c>
      <c r="D25" s="2"/>
      <c r="E25" s="2"/>
      <c r="F25" s="2"/>
      <c r="G25" s="2"/>
      <c r="H25" s="2"/>
      <c r="I25" s="2"/>
      <c r="J25" s="2"/>
    </row>
    <row r="26" spans="1:10">
      <c r="A26" s="2"/>
      <c r="B26" s="278" t="s">
        <v>465</v>
      </c>
      <c r="C26" s="278" t="s">
        <v>1374</v>
      </c>
      <c r="D26" s="2"/>
      <c r="E26" s="2"/>
      <c r="F26" s="2"/>
      <c r="G26" s="2"/>
      <c r="H26" s="2"/>
      <c r="I26" s="2"/>
      <c r="J26" s="2"/>
    </row>
    <row r="28" spans="1:10">
      <c r="A28" s="727"/>
      <c r="B28" s="728" t="s">
        <v>901</v>
      </c>
      <c r="C28" s="727"/>
      <c r="D28" s="727"/>
      <c r="E28" s="727"/>
      <c r="F28" s="727"/>
      <c r="G28" s="727"/>
      <c r="H28" s="727"/>
      <c r="I28" s="2"/>
      <c r="J28" s="2"/>
    </row>
    <row r="29" spans="1:10" ht="29.1">
      <c r="A29" s="2"/>
      <c r="B29" s="522" t="s">
        <v>902</v>
      </c>
      <c r="C29" s="522" t="s">
        <v>898</v>
      </c>
      <c r="D29" s="522" t="s">
        <v>899</v>
      </c>
      <c r="E29" s="719" t="s">
        <v>903</v>
      </c>
      <c r="F29" s="522" t="s">
        <v>904</v>
      </c>
      <c r="G29" s="756" t="s">
        <v>905</v>
      </c>
      <c r="H29" s="522" t="s">
        <v>924</v>
      </c>
      <c r="I29" s="522" t="s">
        <v>956</v>
      </c>
      <c r="J29" s="522" t="s">
        <v>927</v>
      </c>
    </row>
    <row r="30" spans="1:10" ht="57.95">
      <c r="A30" s="2"/>
      <c r="B30" s="278" t="s">
        <v>519</v>
      </c>
      <c r="C30" s="278" t="s">
        <v>465</v>
      </c>
      <c r="D30" s="375" t="s">
        <v>1374</v>
      </c>
      <c r="E30" s="299"/>
      <c r="F30" s="390" t="s">
        <v>907</v>
      </c>
      <c r="G30" s="760" t="s">
        <v>473</v>
      </c>
      <c r="H30" s="278" t="s">
        <v>907</v>
      </c>
      <c r="I30" s="278" t="s">
        <v>907</v>
      </c>
      <c r="J30" s="278" t="s">
        <v>907</v>
      </c>
    </row>
    <row r="31" spans="1:10">
      <c r="A31" s="2"/>
      <c r="B31" s="2"/>
      <c r="C31" s="2"/>
      <c r="D31" s="2"/>
      <c r="E31" s="4"/>
      <c r="F31" s="2"/>
      <c r="G31" s="23"/>
      <c r="H31" s="23"/>
      <c r="I31" s="2"/>
      <c r="J31" s="2"/>
    </row>
    <row r="32" spans="1:10">
      <c r="A32" s="721"/>
      <c r="B32" s="722" t="s">
        <v>466</v>
      </c>
      <c r="C32" s="721"/>
      <c r="D32" s="721"/>
      <c r="E32" s="721"/>
      <c r="F32" s="721"/>
      <c r="G32" s="721"/>
      <c r="H32" s="721"/>
      <c r="I32" s="2"/>
      <c r="J32" s="2"/>
    </row>
    <row r="33" spans="1:10">
      <c r="A33" s="727"/>
      <c r="B33" s="729" t="s">
        <v>897</v>
      </c>
      <c r="C33" s="727"/>
      <c r="D33" s="727"/>
      <c r="E33" s="727"/>
      <c r="F33" s="727"/>
      <c r="G33" s="727"/>
      <c r="H33" s="727"/>
      <c r="I33" s="2"/>
      <c r="J33" s="2"/>
    </row>
    <row r="34" spans="1:10">
      <c r="A34" s="2"/>
      <c r="B34" s="277" t="s">
        <v>898</v>
      </c>
      <c r="C34" s="277" t="s">
        <v>899</v>
      </c>
      <c r="D34" s="2"/>
      <c r="E34" s="2"/>
      <c r="F34" s="2"/>
      <c r="G34" s="2"/>
      <c r="H34" s="2"/>
      <c r="I34" s="2"/>
      <c r="J34" s="2"/>
    </row>
    <row r="35" spans="1:10">
      <c r="A35" s="2"/>
      <c r="B35" s="278" t="s">
        <v>466</v>
      </c>
      <c r="C35" s="278" t="s">
        <v>1375</v>
      </c>
      <c r="D35" s="2"/>
      <c r="E35" s="2"/>
      <c r="F35" s="2"/>
      <c r="G35" s="2"/>
      <c r="H35" s="2"/>
      <c r="I35" s="2"/>
      <c r="J35" s="2"/>
    </row>
    <row r="37" spans="1:10">
      <c r="A37" s="727"/>
      <c r="B37" s="728" t="s">
        <v>901</v>
      </c>
      <c r="C37" s="727"/>
      <c r="D37" s="727"/>
      <c r="E37" s="727"/>
      <c r="F37" s="727"/>
      <c r="G37" s="727"/>
      <c r="H37" s="727"/>
      <c r="I37" s="2"/>
      <c r="J37" s="2"/>
    </row>
    <row r="38" spans="1:10" ht="29.1">
      <c r="A38" s="2"/>
      <c r="B38" s="522" t="s">
        <v>902</v>
      </c>
      <c r="C38" s="522" t="s">
        <v>898</v>
      </c>
      <c r="D38" s="522" t="s">
        <v>899</v>
      </c>
      <c r="E38" s="719" t="s">
        <v>903</v>
      </c>
      <c r="F38" s="522" t="s">
        <v>904</v>
      </c>
      <c r="G38" s="756" t="s">
        <v>905</v>
      </c>
      <c r="H38" s="522" t="s">
        <v>924</v>
      </c>
      <c r="I38" s="522" t="s">
        <v>956</v>
      </c>
      <c r="J38" s="522" t="s">
        <v>927</v>
      </c>
    </row>
    <row r="39" spans="1:10" ht="43.5">
      <c r="A39" s="2"/>
      <c r="B39" s="278" t="s">
        <v>519</v>
      </c>
      <c r="C39" s="278" t="s">
        <v>466</v>
      </c>
      <c r="D39" s="375" t="s">
        <v>1375</v>
      </c>
      <c r="E39" s="299"/>
      <c r="F39" s="390" t="s">
        <v>907</v>
      </c>
      <c r="G39" s="760" t="s">
        <v>473</v>
      </c>
      <c r="H39" s="278" t="s">
        <v>907</v>
      </c>
      <c r="I39" s="278" t="s">
        <v>907</v>
      </c>
      <c r="J39" s="278" t="s">
        <v>907</v>
      </c>
    </row>
    <row r="40" spans="1:10">
      <c r="A40" s="2"/>
      <c r="B40" s="2"/>
      <c r="C40" s="2"/>
      <c r="D40" s="2"/>
      <c r="E40" s="4"/>
      <c r="F40" s="2"/>
      <c r="G40" s="23"/>
      <c r="H40" s="23"/>
      <c r="I40" s="2"/>
      <c r="J40" s="2"/>
    </row>
  </sheetData>
  <sheetProtection algorithmName="SHA-512" hashValue="p0ZM6nEq7gez9a860i4X6tXilIgp/1VIMULhMguQKTRZQITljwClfoEDOS4EUQUwhLz8YrqkEWgppQJprX+DZQ==" saltValue="+WYgfBh+h/TUT0UJOmgYBA==" spinCount="100000" sheet="1" objects="1" scenarios="1"/>
  <dataConsolidate/>
  <mergeCells count="2">
    <mergeCell ref="D9:G9"/>
    <mergeCell ref="B5:H5"/>
  </mergeCells>
  <conditionalFormatting sqref="D11:G11">
    <cfRule type="notContainsBlanks" dxfId="985" priority="1">
      <formula>LEN(TRIM(D11))&gt;0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7EEDD-8F85-4ACD-A111-D3D9344C1910}">
  <sheetPr codeName="Sheet21">
    <tabColor theme="5" tint="0.59999389629810485"/>
  </sheetPr>
  <dimension ref="A1:X292"/>
  <sheetViews>
    <sheetView workbookViewId="0">
      <selection activeCell="B2" sqref="B2"/>
    </sheetView>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9" ht="15" thickBot="1"/>
    <row r="2" spans="1:9" s="750" customFormat="1" ht="18.95" thickBot="1">
      <c r="A2" s="748"/>
      <c r="B2" s="749" t="s">
        <v>1376</v>
      </c>
      <c r="C2" s="749"/>
      <c r="D2" s="749"/>
    </row>
    <row r="4" spans="1:9" s="714" customFormat="1" ht="18.600000000000001">
      <c r="A4" s="715"/>
      <c r="B4" s="713" t="s">
        <v>893</v>
      </c>
      <c r="C4" s="715"/>
      <c r="D4" s="715"/>
      <c r="E4" s="715"/>
      <c r="F4" s="715"/>
      <c r="G4" s="715"/>
      <c r="H4" s="715"/>
    </row>
    <row r="5" spans="1:9" s="7" customFormat="1" ht="201" customHeight="1">
      <c r="A5" s="737"/>
      <c r="B5" s="1236" t="s">
        <v>1377</v>
      </c>
      <c r="C5" s="1236"/>
      <c r="D5" s="1236"/>
      <c r="E5" s="1236"/>
      <c r="F5" s="1236"/>
      <c r="G5" s="1236"/>
      <c r="H5" s="1236"/>
    </row>
    <row r="6" spans="1:9" s="7" customFormat="1"/>
    <row r="7" spans="1:9" s="718" customFormat="1" ht="18.600000000000001">
      <c r="A7" s="724"/>
      <c r="B7" s="724" t="s">
        <v>895</v>
      </c>
      <c r="C7" s="724"/>
      <c r="D7" s="724"/>
      <c r="E7" s="724"/>
      <c r="F7" s="724"/>
      <c r="G7" s="724"/>
      <c r="H7" s="724"/>
    </row>
    <row r="9" spans="1:9">
      <c r="D9" s="1134" t="s">
        <v>479</v>
      </c>
      <c r="E9" s="1134"/>
      <c r="F9" s="1134"/>
      <c r="G9" s="1134"/>
      <c r="H9" s="1134"/>
      <c r="I9" s="1134"/>
    </row>
    <row r="10" spans="1:9" ht="29.1">
      <c r="B10" s="521" t="s">
        <v>104</v>
      </c>
      <c r="C10" s="521" t="s">
        <v>711</v>
      </c>
      <c r="D10" s="719" t="s">
        <v>448</v>
      </c>
      <c r="E10" s="719" t="s">
        <v>456</v>
      </c>
      <c r="F10" s="719" t="s">
        <v>460</v>
      </c>
      <c r="G10" s="719" t="s">
        <v>1359</v>
      </c>
      <c r="H10" s="719" t="s">
        <v>1378</v>
      </c>
      <c r="I10" s="719" t="s">
        <v>1379</v>
      </c>
    </row>
    <row r="11" spans="1:9">
      <c r="B11" s="278" t="str">
        <f>VALUATION!C65</f>
        <v>Hydraulic - Internal flooding of residential living space</v>
      </c>
      <c r="C11" s="278" t="s">
        <v>366</v>
      </c>
      <c r="D11" s="374" t="s">
        <v>477</v>
      </c>
      <c r="E11" s="374" cm="1">
        <f t="array" aca="1" ref="E11" ca="1">_xlfn.XLOOKUP(1,($B11=$B$72:$B$77)*(E$10=$C$72:$C$77),$G$72:$G$77,"Not found",0,1)</f>
        <v>809.21037121029269</v>
      </c>
      <c r="F11" s="374" t="str" cm="1">
        <f t="array" ref="F11">_xlfn.XLOOKUP(1,($B11=$B$91:$B$98)*(F$10=$C$91:$C$98),$G$91:$G$98,"Not found",0,1)</f>
        <v>LG(H)</v>
      </c>
      <c r="G11" s="374" cm="1">
        <f t="array" ref="G11">_xlfn.XLOOKUP(1,($B11=$B$155:$B$158)*(G$10=$C$155:$C$158),$G$155:$G$158,"Not found",0,1)</f>
        <v>1039</v>
      </c>
      <c r="H11" s="374"/>
      <c r="I11" s="374" cm="1">
        <f t="array" ref="I11">_xlfn.XLOOKUP(1,($B11=$B$281:$B$287)*(I$10=$C$281:$C$287),$G$281:$G$287,"Not found",0,1)</f>
        <v>4727.4155625131771</v>
      </c>
    </row>
    <row r="12" spans="1:9">
      <c r="B12" s="278" t="str">
        <f>VALUATION!C66</f>
        <v>Hydraulic - Internal flooding of social infrastructure (e.g. schools, hospitals)</v>
      </c>
      <c r="C12" s="278" t="s">
        <v>366</v>
      </c>
      <c r="D12" s="374" t="s">
        <v>477</v>
      </c>
      <c r="E12" s="374" t="str" cm="1">
        <f t="array" ref="E12">_xlfn.XLOOKUP(1,($B12=$B$72:$B$77)*(E$10=$C$72:$C$77),$G$72:$G$77,"Not found",0,1)</f>
        <v>LG(H)</v>
      </c>
      <c r="F12" s="374" t="str" cm="1">
        <f t="array" ref="F12">_xlfn.XLOOKUP(1,($B12=$B$91:$B$98)*(F$10=$C$91:$C$98),$G$91:$G$98,"Not found",0,1)</f>
        <v>LG(H)</v>
      </c>
      <c r="G12" s="374"/>
      <c r="H12" s="374" cm="1">
        <f t="array" ref="H12">_xlfn.XLOOKUP(1,($B12=$B$217:$B$221)*(H$10=$C$217:$C$221),$G$217:$G$221,"Not found",0,1)</f>
        <v>94264</v>
      </c>
      <c r="I12" s="374" t="str" cm="1">
        <f t="array" ref="I12">_xlfn.XLOOKUP(1,($B12=$B$281:$B$287)*(I$10=$C$281:$C$287),$G$281:$G$287,"Not found",0,1)</f>
        <v>LG(H)</v>
      </c>
    </row>
    <row r="13" spans="1:9">
      <c r="B13" s="278" t="str">
        <f>VALUATION!C67</f>
        <v>Hydraulic - Internal flooding of commercial and industrial properties</v>
      </c>
      <c r="C13" s="278" t="s">
        <v>366</v>
      </c>
      <c r="D13" s="374" t="s">
        <v>477</v>
      </c>
      <c r="E13" s="374" t="str" cm="1">
        <f t="array" ref="E13">_xlfn.XLOOKUP(1,($B13=$B$72:$B$77)*(E$10=$C$72:$C$77),$G$72:$G$77,"Not found",0,1)</f>
        <v>LG(H)</v>
      </c>
      <c r="F13" s="374" t="str" cm="1">
        <f t="array" ref="F13">_xlfn.XLOOKUP(1,($B13=$B$91:$B$98)*(F$10=$C$91:$C$98),$G$91:$G$98,"Not found",0,1)</f>
        <v>LG(H)</v>
      </c>
      <c r="G13" s="374"/>
      <c r="H13" s="374" cm="1">
        <f t="array" ref="H13">_xlfn.XLOOKUP(1,($B13=$B$217:$B$221)*(H$10=$C$217:$C$221),$G$217:$G$221,"Not found",0,1)</f>
        <v>94264</v>
      </c>
      <c r="I13" s="374" t="str" cm="1">
        <f t="array" ref="I13">_xlfn.XLOOKUP(1,($B13=$B$281:$B$287)*(I$10=$C$281:$C$287),$G$281:$G$287,"Not found",0,1)</f>
        <v>LG(H)</v>
      </c>
    </row>
    <row r="14" spans="1:9">
      <c r="B14" s="278" t="s">
        <v>520</v>
      </c>
      <c r="C14" s="278" t="s">
        <v>366</v>
      </c>
      <c r="D14" s="374"/>
      <c r="E14" s="374"/>
      <c r="F14" s="374" t="str" cm="1">
        <f t="array" ref="F14">_xlfn.XLOOKUP(1,($B14=$B$91:$B$98)*(F$10=$C$91:$C$98),$G$91:$G$98,"Not found",0,1)</f>
        <v>LG(H)</v>
      </c>
      <c r="G14" s="374"/>
      <c r="H14" s="374"/>
      <c r="I14" s="374"/>
    </row>
    <row r="15" spans="1:9">
      <c r="B15" s="278" t="str">
        <f>VALUATION!C69</f>
        <v>FOC - Internal flooding of residential living space</v>
      </c>
      <c r="C15" s="278" t="s">
        <v>366</v>
      </c>
      <c r="D15" s="374" t="s">
        <v>477</v>
      </c>
      <c r="E15" s="374" cm="1">
        <f t="array" aca="1" ref="E15" ca="1">_xlfn.XLOOKUP(1,($B15=$B$72:$B$77)*(E$10=$C$72:$C$77),$G$72:$G$77,"Not found",0,1)</f>
        <v>809.21037121029269</v>
      </c>
      <c r="F15" s="374" t="str" cm="1">
        <f t="array" ref="F15">_xlfn.XLOOKUP(1,($B15=$B$91:$B$98)*(F$10=$C$91:$C$98),$G$91:$G$98,"Not found",0,1)</f>
        <v>LG(H)</v>
      </c>
      <c r="G15" s="374" cm="1">
        <f t="array" ref="G15">_xlfn.XLOOKUP(1,($B15=$B$155:$B$158)*(G$10=$C$155:$C$158),$G$155:$G$158,"Not found",0,1)</f>
        <v>860</v>
      </c>
      <c r="H15" s="374"/>
      <c r="I15" s="374" cm="1">
        <f t="array" ref="I15">_xlfn.XLOOKUP(1,($B15=$B$281:$B$287)*(I$10=$C$281:$C$287),$G$281:$G$287,"Not found",0,1)</f>
        <v>3912.9714954392034</v>
      </c>
    </row>
    <row r="16" spans="1:9">
      <c r="B16" s="278" t="str">
        <f>VALUATION!C70</f>
        <v>FOC - Internal flooding of social infrastructure (e.g. schools, hospitals)</v>
      </c>
      <c r="C16" s="278" t="s">
        <v>366</v>
      </c>
      <c r="D16" s="374" t="s">
        <v>477</v>
      </c>
      <c r="E16" s="374" t="str" cm="1">
        <f t="array" ref="E16">_xlfn.XLOOKUP(1,($B16=$B$72:$B$77)*(E$10=$C$72:$C$77),$G$72:$G$77,"Not found",0,1)</f>
        <v>LG(H)</v>
      </c>
      <c r="F16" s="374" t="str" cm="1">
        <f t="array" ref="F16">_xlfn.XLOOKUP(1,($B16=$B$91:$B$98)*(F$10=$C$91:$C$98),$G$91:$G$98,"Not found",0,1)</f>
        <v>LG(H)</v>
      </c>
      <c r="G16" s="374"/>
      <c r="H16" s="374" cm="1">
        <f t="array" ref="H16">_xlfn.XLOOKUP(1,($B16=$B$217:$B$221)*(H$10=$C$217:$C$221),$G$217:$G$221,"Not found",0,1)</f>
        <v>65140</v>
      </c>
      <c r="I16" s="374" t="str" cm="1">
        <f t="array" ref="I16">_xlfn.XLOOKUP(1,($B16=$B$281:$B$287)*(I$10=$C$281:$C$287),$G$281:$G$287,"Not found",0,1)</f>
        <v>LG(H)</v>
      </c>
    </row>
    <row r="17" spans="1:9">
      <c r="B17" s="278" t="str">
        <f>VALUATION!C71</f>
        <v>FOC - Internal flooding of commercial and industrial properties</v>
      </c>
      <c r="C17" s="278" t="s">
        <v>366</v>
      </c>
      <c r="D17" s="374" t="s">
        <v>477</v>
      </c>
      <c r="E17" s="374" t="str" cm="1">
        <f t="array" ref="E17">_xlfn.XLOOKUP(1,($B17=$B$72:$B$77)*(E$10=$C$72:$C$77),$G$72:$G$77,"Not found",0,1)</f>
        <v>LG(H)</v>
      </c>
      <c r="F17" s="374" t="str" cm="1">
        <f t="array" ref="F17">_xlfn.XLOOKUP(1,($B17=$B$91:$B$98)*(F$10=$C$91:$C$98),$G$91:$G$98,"Not found",0,1)</f>
        <v>LG(H)</v>
      </c>
      <c r="G17" s="374"/>
      <c r="H17" s="374" cm="1">
        <f t="array" ref="H17">_xlfn.XLOOKUP(1,($B17=$B$217:$B$221)*(H$10=$C$217:$C$221),$G$217:$G$221,"Not found",0,1)</f>
        <v>65140</v>
      </c>
      <c r="I17" s="374" t="str" cm="1">
        <f t="array" ref="I17">_xlfn.XLOOKUP(1,($B17=$B$281:$B$287)*(I$10=$C$281:$C$287),$G$281:$G$287,"Not found",0,1)</f>
        <v>LG(H)</v>
      </c>
    </row>
    <row r="18" spans="1:9">
      <c r="B18" s="800" t="s">
        <v>896</v>
      </c>
    </row>
    <row r="19" spans="1:9">
      <c r="B19" s="800"/>
    </row>
    <row r="20" spans="1:9">
      <c r="A20" s="721"/>
      <c r="B20" s="722" t="s">
        <v>1345</v>
      </c>
      <c r="C20" s="721"/>
      <c r="D20" s="721"/>
      <c r="E20" s="721"/>
      <c r="F20" s="721"/>
      <c r="G20" s="721"/>
      <c r="H20" s="721"/>
    </row>
    <row r="21" spans="1:9">
      <c r="A21" s="727"/>
      <c r="B21" s="729" t="s">
        <v>897</v>
      </c>
      <c r="C21" s="727"/>
      <c r="D21" s="727"/>
      <c r="E21" s="727"/>
      <c r="F21" s="727"/>
      <c r="G21" s="727"/>
      <c r="H21" s="727"/>
    </row>
    <row r="22" spans="1:9">
      <c r="B22" s="277" t="s">
        <v>898</v>
      </c>
      <c r="C22" s="277" t="s">
        <v>899</v>
      </c>
    </row>
    <row r="23" spans="1:9">
      <c r="B23" s="278" t="s">
        <v>1345</v>
      </c>
      <c r="C23" s="278" t="s">
        <v>1380</v>
      </c>
    </row>
    <row r="24" spans="1:9">
      <c r="B24" s="16"/>
    </row>
    <row r="25" spans="1:9">
      <c r="A25" s="727"/>
      <c r="B25" s="728" t="s">
        <v>911</v>
      </c>
      <c r="C25" s="727"/>
      <c r="D25" s="727"/>
      <c r="E25" s="727"/>
      <c r="F25" s="727"/>
      <c r="G25" s="727"/>
      <c r="H25" s="727"/>
    </row>
    <row r="26" spans="1:9">
      <c r="A26" s="725"/>
      <c r="B26" s="726" t="s">
        <v>912</v>
      </c>
      <c r="C26" s="725"/>
      <c r="D26" s="725"/>
      <c r="E26" s="725"/>
      <c r="F26" s="725"/>
      <c r="G26" s="725"/>
      <c r="H26" s="725"/>
    </row>
    <row r="27" spans="1:9" ht="29.1">
      <c r="B27" s="719" t="s">
        <v>913</v>
      </c>
      <c r="C27" s="719" t="s">
        <v>914</v>
      </c>
      <c r="D27" s="719" t="s">
        <v>915</v>
      </c>
      <c r="E27" s="719" t="s">
        <v>916</v>
      </c>
      <c r="F27" s="719" t="s">
        <v>917</v>
      </c>
      <c r="G27" s="719" t="s">
        <v>918</v>
      </c>
      <c r="H27" s="719" t="s">
        <v>919</v>
      </c>
    </row>
    <row r="28" spans="1:9">
      <c r="B28" s="278">
        <v>63</v>
      </c>
      <c r="C28" s="278" t="s">
        <v>1381</v>
      </c>
      <c r="D28" s="278"/>
      <c r="E28" s="278">
        <v>2020</v>
      </c>
      <c r="F28" s="278" t="s">
        <v>1047</v>
      </c>
      <c r="G28" s="278" t="s">
        <v>1047</v>
      </c>
      <c r="H28" s="278"/>
    </row>
    <row r="29" spans="1:9">
      <c r="B29" s="16"/>
    </row>
    <row r="30" spans="1:9">
      <c r="A30" s="725"/>
      <c r="B30" s="726" t="s">
        <v>924</v>
      </c>
      <c r="C30" s="725"/>
      <c r="D30" s="725"/>
      <c r="E30" s="725"/>
      <c r="F30" s="725"/>
      <c r="G30" s="725"/>
      <c r="H30" s="725"/>
    </row>
    <row r="31" spans="1:9">
      <c r="B31" s="277" t="s">
        <v>165</v>
      </c>
      <c r="C31" s="277" t="s">
        <v>925</v>
      </c>
      <c r="D31" s="277" t="s">
        <v>926</v>
      </c>
      <c r="E31" s="1134" t="s">
        <v>927</v>
      </c>
      <c r="F31" s="1134"/>
      <c r="G31" s="1134"/>
      <c r="H31" s="1134"/>
    </row>
    <row r="32" spans="1:9">
      <c r="B32" s="278" t="s">
        <v>169</v>
      </c>
      <c r="C32" s="278" t="s">
        <v>166</v>
      </c>
      <c r="D32" s="278">
        <f>VLOOKUP(C32,METHODOLOGY!$C$175:$D$177,2,FALSE)</f>
        <v>3</v>
      </c>
      <c r="E32" s="1087" t="str">
        <f>_xlfn.XLOOKUP(C32,METHODOLOGY!$E$150:$O$150,METHODOLOGY!$E$151:$O$151,"",0,1)</f>
        <v>Monetary values have been peer reviewed or are recommended / referenced in other, well recognised and accepted guidance / tools relevant to the water sector.</v>
      </c>
      <c r="F32" s="1087"/>
      <c r="G32" s="1087"/>
      <c r="H32" s="1087"/>
    </row>
    <row r="33" spans="1:12">
      <c r="B33" s="278" t="s">
        <v>173</v>
      </c>
      <c r="C33" s="278" t="s">
        <v>166</v>
      </c>
      <c r="D33" s="278">
        <f>VLOOKUP(C33,METHODOLOGY!$C$175:$D$177,2,FALSE)</f>
        <v>3</v>
      </c>
      <c r="E33" s="1087" t="str">
        <f>_xlfn.XLOOKUP(C33,METHODOLOGY!$E$150:$O$150,METHODOLOGY!$E$155:$O$155,"",0,1)</f>
        <v>Study has few limitations and is considered robust.</v>
      </c>
      <c r="F33" s="1087"/>
      <c r="G33" s="1087"/>
      <c r="H33" s="1087"/>
    </row>
    <row r="34" spans="1:12">
      <c r="B34" s="278" t="s">
        <v>177</v>
      </c>
      <c r="C34" s="278" t="s">
        <v>166</v>
      </c>
      <c r="D34" s="278">
        <f>VLOOKUP(C34,METHODOLOGY!$C$175:$D$177,2,FALSE)</f>
        <v>3</v>
      </c>
      <c r="E34" s="1087" t="str">
        <f>_xlfn.XLOOKUP(C34,METHODOLOGY!$E$150:$O$150,METHODOLOGY!$E$158:$O$158,"",0,1)</f>
        <v>0 – 5 years</v>
      </c>
      <c r="F34" s="1087"/>
      <c r="G34" s="1087"/>
      <c r="H34" s="1087"/>
    </row>
    <row r="35" spans="1:12">
      <c r="B35" s="278" t="s">
        <v>181</v>
      </c>
      <c r="C35" s="278" t="s">
        <v>166</v>
      </c>
      <c r="D35" s="278">
        <f>VLOOKUP(C35,METHODOLOGY!$C$175:$D$177,2,FALSE)</f>
        <v>3</v>
      </c>
      <c r="E35" s="1087" t="str">
        <f>_xlfn.XLOOKUP(C35,METHODOLOGY!$E$150:$O$150,METHODOLOGY!$E$160:$O$160,"",0,1)</f>
        <v>Geographically relevant to UK</v>
      </c>
      <c r="F35" s="1087"/>
      <c r="G35" s="1087"/>
      <c r="H35" s="1087"/>
    </row>
    <row r="36" spans="1:12">
      <c r="B36" s="278" t="s">
        <v>928</v>
      </c>
      <c r="C36" s="278" t="s">
        <v>166</v>
      </c>
      <c r="D36" s="278">
        <f>VLOOKUP(C36,METHODOLOGY!$C$175:$D$177,2,FALSE)</f>
        <v>3</v>
      </c>
      <c r="E36" s="1087" t="str">
        <f>_xlfn.XLOOKUP(C36,METHODOLOGY!$E$150:$O$150,METHODOLOGY!$E$162:$O$162,"",0,1)</f>
        <v>Clear understanding of the valuation method and how the value should be applied.</v>
      </c>
      <c r="F36" s="1087"/>
      <c r="G36" s="1087"/>
      <c r="H36" s="1087"/>
    </row>
    <row r="37" spans="1:12">
      <c r="B37" s="278" t="s">
        <v>189</v>
      </c>
      <c r="C37" s="278" t="s">
        <v>166</v>
      </c>
      <c r="D37" s="278">
        <f>VLOOKUP(C37,METHODOLOGY!$C$175:$D$177,2,FALSE)</f>
        <v>3</v>
      </c>
      <c r="E37" s="1087" t="str">
        <f>_xlfn.XLOOKUP(C37,METHODOLOGY!$E$150:$O$150,METHODOLOGY!$E$164:$O$164,"",0,1)</f>
        <v xml:space="preserve">The original valuation can be used with no or very simple modification e.g. change units from ha to km2, applying inflation. </v>
      </c>
      <c r="F37" s="1087"/>
      <c r="G37" s="1087"/>
      <c r="H37" s="1087"/>
    </row>
    <row r="38" spans="1:12">
      <c r="C38" s="282" t="s">
        <v>924</v>
      </c>
      <c r="D38" s="326">
        <f>IF(AND(D37=1,AVERAGE(D32:D37)&gt;2.14285714285714),2.14285714285714,IF(AND(D37=2,AVERAGE(D32:D37)&gt;2.57142857142857),2.57142857142857,AVERAGE(D32:D37)))</f>
        <v>3</v>
      </c>
      <c r="E38" s="270" t="str">
        <f>IF(D38&lt;=2.14285714285714,"Red",IF(D38&lt;=2.57142857142857,"Amber",IF(D38&lt;=3,"Green")))</f>
        <v>Green</v>
      </c>
    </row>
    <row r="41" spans="1:12">
      <c r="A41" s="725"/>
      <c r="B41" s="726" t="s">
        <v>929</v>
      </c>
      <c r="C41" s="725"/>
      <c r="D41" s="725"/>
      <c r="E41" s="725"/>
      <c r="F41" s="725"/>
      <c r="G41" s="725"/>
      <c r="H41" s="725"/>
    </row>
    <row r="42" spans="1:12">
      <c r="B42" s="233" t="s">
        <v>913</v>
      </c>
      <c r="C42" s="233" t="s">
        <v>1089</v>
      </c>
      <c r="D42" s="233" t="s">
        <v>902</v>
      </c>
      <c r="E42" s="233" t="s">
        <v>331</v>
      </c>
      <c r="F42" s="233" t="s">
        <v>226</v>
      </c>
      <c r="G42" s="1128" t="s">
        <v>930</v>
      </c>
      <c r="H42" s="1129"/>
      <c r="I42" s="1130"/>
    </row>
    <row r="43" spans="1:12" ht="69.75" customHeight="1">
      <c r="B43" s="278">
        <v>63</v>
      </c>
      <c r="C43" s="278" t="s">
        <v>891</v>
      </c>
      <c r="D43" s="375" t="s">
        <v>134</v>
      </c>
      <c r="E43" s="452">
        <v>1917</v>
      </c>
      <c r="F43" s="394" t="s">
        <v>1382</v>
      </c>
      <c r="G43" s="1237" t="s">
        <v>1383</v>
      </c>
      <c r="H43" s="1196"/>
      <c r="I43" s="1238"/>
      <c r="J43" s="19"/>
      <c r="K43" s="19"/>
      <c r="L43" s="19"/>
    </row>
    <row r="44" spans="1:12" ht="69.75" customHeight="1">
      <c r="B44" s="278">
        <v>63</v>
      </c>
      <c r="C44" s="278" t="s">
        <v>891</v>
      </c>
      <c r="D44" s="375" t="s">
        <v>138</v>
      </c>
      <c r="E44" s="415">
        <v>1917</v>
      </c>
      <c r="F44" s="256" t="s">
        <v>1382</v>
      </c>
      <c r="G44" s="1213"/>
      <c r="H44" s="1214"/>
      <c r="I44" s="1239"/>
      <c r="J44" s="19"/>
      <c r="K44" s="19"/>
      <c r="L44" s="19"/>
    </row>
    <row r="45" spans="1:12" ht="57.95">
      <c r="B45" s="278">
        <v>40</v>
      </c>
      <c r="C45" s="278" t="s">
        <v>891</v>
      </c>
      <c r="D45" s="375" t="s">
        <v>1384</v>
      </c>
      <c r="E45" s="415">
        <f ca="1">'Carbon values'!$H$16</f>
        <v>376</v>
      </c>
      <c r="F45" s="394" t="s">
        <v>255</v>
      </c>
      <c r="G45" s="1123" t="s">
        <v>1385</v>
      </c>
      <c r="H45" s="1124"/>
      <c r="I45" s="1125"/>
      <c r="J45" s="19"/>
      <c r="K45" s="19"/>
      <c r="L45" s="19"/>
    </row>
    <row r="46" spans="1:12">
      <c r="F46" s="6"/>
      <c r="G46" s="241"/>
      <c r="H46" s="241"/>
      <c r="I46" s="241"/>
    </row>
    <row r="47" spans="1:12">
      <c r="F47" s="6"/>
      <c r="G47" s="241"/>
      <c r="H47" s="241"/>
      <c r="I47" s="241"/>
    </row>
    <row r="48" spans="1:12">
      <c r="F48" s="6"/>
      <c r="G48" s="241"/>
      <c r="H48" s="241"/>
      <c r="I48" s="241"/>
    </row>
    <row r="49" spans="1:12">
      <c r="F49" s="6"/>
      <c r="G49" s="241"/>
      <c r="H49" s="241"/>
      <c r="I49" s="241"/>
      <c r="J49" s="241"/>
      <c r="K49" s="241"/>
      <c r="L49" s="241"/>
    </row>
    <row r="50" spans="1:12">
      <c r="E50" s="431" t="s">
        <v>1386</v>
      </c>
      <c r="F50" s="453"/>
      <c r="I50" s="241"/>
      <c r="J50" s="241"/>
      <c r="K50" s="241"/>
      <c r="L50" s="241"/>
    </row>
    <row r="51" spans="1:12">
      <c r="E51" s="431" t="s">
        <v>1387</v>
      </c>
      <c r="F51" s="454" t="s">
        <v>1388</v>
      </c>
      <c r="I51" s="241"/>
      <c r="J51" s="241"/>
      <c r="K51" s="241"/>
      <c r="L51" s="241"/>
    </row>
    <row r="52" spans="1:12">
      <c r="E52" s="376">
        <v>100</v>
      </c>
      <c r="F52" s="455" t="s">
        <v>1389</v>
      </c>
      <c r="I52" s="241"/>
      <c r="J52" s="241"/>
      <c r="K52" s="241"/>
      <c r="L52" s="241"/>
    </row>
    <row r="53" spans="1:12">
      <c r="E53" s="376">
        <v>110</v>
      </c>
      <c r="F53" s="455" t="s">
        <v>1390</v>
      </c>
      <c r="I53" s="241"/>
      <c r="J53" s="241"/>
      <c r="K53" s="241"/>
      <c r="L53" s="241"/>
    </row>
    <row r="54" spans="1:12">
      <c r="E54" s="376">
        <v>120</v>
      </c>
      <c r="F54" s="455" t="s">
        <v>1391</v>
      </c>
      <c r="I54" s="241"/>
      <c r="J54" s="241"/>
      <c r="K54" s="241"/>
      <c r="L54" s="241"/>
    </row>
    <row r="55" spans="1:12">
      <c r="E55" s="376">
        <v>130</v>
      </c>
      <c r="F55" s="455" t="s">
        <v>1392</v>
      </c>
      <c r="I55" s="241"/>
      <c r="J55" s="241"/>
      <c r="K55" s="241"/>
      <c r="L55" s="241"/>
    </row>
    <row r="56" spans="1:12">
      <c r="E56" s="376">
        <v>140</v>
      </c>
      <c r="F56" s="455" t="s">
        <v>1393</v>
      </c>
      <c r="I56" s="241"/>
      <c r="J56" s="241"/>
      <c r="K56" s="241"/>
      <c r="L56" s="241"/>
    </row>
    <row r="57" spans="1:12">
      <c r="E57" s="456">
        <v>150</v>
      </c>
      <c r="F57" s="455" t="s">
        <v>1394</v>
      </c>
      <c r="I57" s="241"/>
      <c r="J57" s="241"/>
      <c r="K57" s="241"/>
      <c r="L57" s="241"/>
    </row>
    <row r="58" spans="1:12">
      <c r="F58" s="6"/>
      <c r="G58" s="241"/>
      <c r="H58" s="241"/>
      <c r="I58" s="241"/>
      <c r="J58" s="241"/>
      <c r="K58" s="241"/>
      <c r="L58" s="241"/>
    </row>
    <row r="59" spans="1:12">
      <c r="F59" s="6"/>
      <c r="G59" s="241"/>
      <c r="H59" s="241"/>
      <c r="I59" s="241"/>
      <c r="J59" s="241"/>
      <c r="K59" s="241"/>
      <c r="L59" s="241"/>
    </row>
    <row r="60" spans="1:12">
      <c r="F60" s="6"/>
      <c r="G60" s="241"/>
      <c r="H60" s="241"/>
      <c r="I60" s="241"/>
      <c r="J60" s="241"/>
      <c r="K60" s="241"/>
      <c r="L60" s="241"/>
    </row>
    <row r="61" spans="1:12">
      <c r="F61" s="6"/>
      <c r="G61" s="241"/>
      <c r="H61" s="241"/>
      <c r="I61" s="241"/>
      <c r="J61" s="241"/>
      <c r="K61" s="241"/>
      <c r="L61" s="241"/>
    </row>
    <row r="62" spans="1:12">
      <c r="F62" s="6"/>
      <c r="G62" s="241"/>
      <c r="H62" s="241"/>
      <c r="I62" s="241"/>
      <c r="J62" s="241"/>
      <c r="K62" s="241"/>
      <c r="L62" s="241"/>
    </row>
    <row r="64" spans="1:12">
      <c r="A64" s="725"/>
      <c r="B64" s="726" t="s">
        <v>936</v>
      </c>
      <c r="C64" s="725"/>
      <c r="D64" s="725"/>
      <c r="E64" s="725"/>
      <c r="F64" s="725"/>
      <c r="G64" s="725"/>
      <c r="H64" s="725"/>
    </row>
    <row r="65" spans="1:23">
      <c r="B65" s="298" t="s">
        <v>1339</v>
      </c>
      <c r="C65" s="298" t="s">
        <v>1174</v>
      </c>
    </row>
    <row r="66" spans="1:23">
      <c r="B66" s="334" t="s">
        <v>1382</v>
      </c>
      <c r="C66" s="457">
        <v>1917</v>
      </c>
    </row>
    <row r="67" spans="1:23">
      <c r="B67" s="334" t="s">
        <v>416</v>
      </c>
      <c r="C67" s="458">
        <f>C66/1000</f>
        <v>1.917</v>
      </c>
    </row>
    <row r="68" spans="1:23">
      <c r="B68" s="334" t="s">
        <v>1395</v>
      </c>
      <c r="C68" s="458">
        <f ca="1">C67*E45</f>
        <v>720.79200000000003</v>
      </c>
    </row>
    <row r="70" spans="1:23">
      <c r="A70" s="727"/>
      <c r="B70" s="728" t="s">
        <v>901</v>
      </c>
      <c r="C70" s="727"/>
      <c r="D70" s="727"/>
      <c r="E70" s="727"/>
      <c r="F70" s="727"/>
      <c r="G70" s="727"/>
      <c r="H70" s="727"/>
    </row>
    <row r="71" spans="1:23" ht="29.1">
      <c r="B71" s="522" t="s">
        <v>902</v>
      </c>
      <c r="C71" s="522" t="s">
        <v>898</v>
      </c>
      <c r="D71" s="522" t="s">
        <v>899</v>
      </c>
      <c r="E71" s="719" t="s">
        <v>903</v>
      </c>
      <c r="F71" s="522" t="s">
        <v>904</v>
      </c>
      <c r="G71" s="522" t="s">
        <v>905</v>
      </c>
      <c r="H71" s="522" t="s">
        <v>924</v>
      </c>
      <c r="I71" s="522" t="s">
        <v>956</v>
      </c>
      <c r="J71" s="522" t="s">
        <v>927</v>
      </c>
    </row>
    <row r="72" spans="1:23">
      <c r="B72" s="278" t="s">
        <v>134</v>
      </c>
      <c r="C72" s="278" t="s">
        <v>456</v>
      </c>
      <c r="D72" s="299" t="s">
        <v>1380</v>
      </c>
      <c r="E72" s="299" t="s">
        <v>957</v>
      </c>
      <c r="F72" s="278" t="str" cm="1">
        <f t="array" ref="F72">_xlfn.XLOOKUP(1,(D81:D82=B72)*(E81:E82=C72),B81:B82,"Not found",0,1)</f>
        <v>14-01</v>
      </c>
      <c r="G72" s="306">
        <f ca="1">VLOOKUP(F72,B81:L83,11,FALSE)</f>
        <v>809.21037121029269</v>
      </c>
      <c r="H72" s="326">
        <f>$D$38</f>
        <v>3</v>
      </c>
      <c r="I72" s="306" t="s">
        <v>1396</v>
      </c>
      <c r="J72" s="306"/>
    </row>
    <row r="73" spans="1:23">
      <c r="B73" s="278" t="s">
        <v>136</v>
      </c>
      <c r="C73" s="278" t="s">
        <v>456</v>
      </c>
      <c r="D73" s="299" t="s">
        <v>1380</v>
      </c>
      <c r="E73" s="639" t="s">
        <v>906</v>
      </c>
      <c r="F73" s="279" t="s">
        <v>907</v>
      </c>
      <c r="G73" s="306" t="s">
        <v>477</v>
      </c>
      <c r="H73" s="638" t="s">
        <v>907</v>
      </c>
      <c r="I73" s="638" t="s">
        <v>907</v>
      </c>
      <c r="J73" s="638" t="s">
        <v>907</v>
      </c>
    </row>
    <row r="74" spans="1:23">
      <c r="B74" s="278" t="s">
        <v>137</v>
      </c>
      <c r="C74" s="278" t="s">
        <v>456</v>
      </c>
      <c r="D74" s="299" t="s">
        <v>1380</v>
      </c>
      <c r="E74" s="639" t="s">
        <v>906</v>
      </c>
      <c r="F74" s="279" t="s">
        <v>907</v>
      </c>
      <c r="G74" s="306" t="s">
        <v>477</v>
      </c>
      <c r="H74" s="638" t="s">
        <v>907</v>
      </c>
      <c r="I74" s="638" t="s">
        <v>907</v>
      </c>
      <c r="J74" s="638" t="s">
        <v>907</v>
      </c>
    </row>
    <row r="75" spans="1:23">
      <c r="B75" s="278" t="s">
        <v>138</v>
      </c>
      <c r="C75" s="278" t="s">
        <v>456</v>
      </c>
      <c r="D75" s="299" t="s">
        <v>1380</v>
      </c>
      <c r="E75" s="299" t="s">
        <v>957</v>
      </c>
      <c r="F75" s="278" t="str" cm="1">
        <f t="array" ref="F75">_xlfn.XLOOKUP(1,(D81:D82=B75)*(E81:E82=C75),B81:B82,"Not found",0,1)</f>
        <v>14-02</v>
      </c>
      <c r="G75" s="306">
        <f ca="1">VLOOKUP(F75,B80:L82,11,FALSE)</f>
        <v>809.21037121029269</v>
      </c>
      <c r="H75" s="326">
        <f>$D$38</f>
        <v>3</v>
      </c>
      <c r="I75" s="306" t="s">
        <v>1396</v>
      </c>
      <c r="J75" s="306"/>
    </row>
    <row r="76" spans="1:23">
      <c r="B76" s="278" t="s">
        <v>139</v>
      </c>
      <c r="C76" s="278" t="s">
        <v>456</v>
      </c>
      <c r="D76" s="299" t="s">
        <v>1380</v>
      </c>
      <c r="E76" s="639" t="s">
        <v>906</v>
      </c>
      <c r="F76" s="279" t="s">
        <v>907</v>
      </c>
      <c r="G76" s="306" t="s">
        <v>477</v>
      </c>
      <c r="H76" s="638" t="s">
        <v>907</v>
      </c>
      <c r="I76" s="638" t="s">
        <v>907</v>
      </c>
      <c r="J76" s="638" t="s">
        <v>907</v>
      </c>
    </row>
    <row r="77" spans="1:23">
      <c r="B77" s="278" t="s">
        <v>140</v>
      </c>
      <c r="C77" s="278" t="s">
        <v>456</v>
      </c>
      <c r="D77" s="299" t="s">
        <v>1380</v>
      </c>
      <c r="E77" s="639" t="s">
        <v>906</v>
      </c>
      <c r="F77" s="279" t="s">
        <v>907</v>
      </c>
      <c r="G77" s="306" t="s">
        <v>477</v>
      </c>
      <c r="H77" s="638" t="s">
        <v>907</v>
      </c>
      <c r="I77" s="638" t="s">
        <v>907</v>
      </c>
      <c r="J77" s="638" t="s">
        <v>907</v>
      </c>
    </row>
    <row r="78" spans="1:23">
      <c r="B78" s="18"/>
    </row>
    <row r="79" spans="1:23">
      <c r="A79" s="725"/>
      <c r="B79" s="726" t="s">
        <v>962</v>
      </c>
      <c r="C79" s="725"/>
      <c r="D79" s="725"/>
      <c r="E79" s="725"/>
      <c r="F79" s="725"/>
      <c r="G79" s="725"/>
      <c r="H79" s="725"/>
    </row>
    <row r="80" spans="1:23">
      <c r="B80" s="277" t="s">
        <v>904</v>
      </c>
      <c r="C80" s="277" t="s">
        <v>62</v>
      </c>
      <c r="D80" s="277" t="s">
        <v>902</v>
      </c>
      <c r="E80" s="277" t="s">
        <v>898</v>
      </c>
      <c r="F80" s="277" t="s">
        <v>916</v>
      </c>
      <c r="G80" s="277" t="s">
        <v>963</v>
      </c>
      <c r="H80" s="277" t="s">
        <v>964</v>
      </c>
      <c r="I80" s="277" t="s">
        <v>965</v>
      </c>
      <c r="J80" s="277" t="s">
        <v>966</v>
      </c>
      <c r="K80" s="277" t="s">
        <v>967</v>
      </c>
      <c r="L80" s="277" t="s">
        <v>968</v>
      </c>
      <c r="M80" s="277" t="s">
        <v>956</v>
      </c>
      <c r="N80" s="277" t="s">
        <v>969</v>
      </c>
      <c r="O80" s="277" t="s">
        <v>970</v>
      </c>
      <c r="P80" s="277" t="s">
        <v>927</v>
      </c>
      <c r="Q80" s="277" t="s">
        <v>913</v>
      </c>
      <c r="R80" s="277" t="s">
        <v>914</v>
      </c>
      <c r="S80" s="277" t="s">
        <v>915</v>
      </c>
      <c r="T80" s="277" t="s">
        <v>916</v>
      </c>
      <c r="U80" s="277" t="s">
        <v>917</v>
      </c>
      <c r="V80" s="277" t="s">
        <v>918</v>
      </c>
      <c r="W80" s="277" t="s">
        <v>919</v>
      </c>
    </row>
    <row r="81" spans="1:24">
      <c r="B81" s="302" t="s">
        <v>1397</v>
      </c>
      <c r="C81" s="279" t="s">
        <v>384</v>
      </c>
      <c r="D81" s="278" t="s">
        <v>134</v>
      </c>
      <c r="E81" s="278" t="s">
        <v>456</v>
      </c>
      <c r="F81" s="299">
        <f>E28</f>
        <v>2020</v>
      </c>
      <c r="G81" s="278">
        <v>2020</v>
      </c>
      <c r="H81" s="278">
        <f>'COMPANY INPUT'!$C$16</f>
        <v>2023</v>
      </c>
      <c r="I81" s="278">
        <f>VLOOKUP(G81,'GDP Deflators'!$H$13:$I$86,2,FALSE)</f>
        <v>89.073499999999996</v>
      </c>
      <c r="J81" s="278">
        <f>VLOOKUP(H81,'GDP Deflators'!$H$13:$I$86,2,FALSE)</f>
        <v>100</v>
      </c>
      <c r="K81" s="385">
        <f ca="1">C68</f>
        <v>720.79200000000003</v>
      </c>
      <c r="L81" s="746">
        <f ca="1">K81*(J81/I81)</f>
        <v>809.21037121029269</v>
      </c>
      <c r="M81" s="303" t="str">
        <f>I72</f>
        <v>Abatement cost</v>
      </c>
      <c r="N81" s="326">
        <f>H72</f>
        <v>3</v>
      </c>
      <c r="O81" s="278" t="s">
        <v>718</v>
      </c>
      <c r="P81" s="278">
        <f>J72</f>
        <v>0</v>
      </c>
      <c r="Q81" s="299">
        <f t="shared" ref="Q81:W81" si="0">B28</f>
        <v>63</v>
      </c>
      <c r="R81" s="278" t="str">
        <f t="shared" si="0"/>
        <v>EA (2020) Carbonomics report</v>
      </c>
      <c r="S81" s="278">
        <f t="shared" si="0"/>
        <v>0</v>
      </c>
      <c r="T81" s="278">
        <f t="shared" si="0"/>
        <v>2020</v>
      </c>
      <c r="U81" s="278" t="str">
        <f t="shared" si="0"/>
        <v>UK</v>
      </c>
      <c r="V81" s="278" t="str">
        <f t="shared" si="0"/>
        <v>UK</v>
      </c>
      <c r="W81" s="278">
        <f t="shared" si="0"/>
        <v>0</v>
      </c>
    </row>
    <row r="82" spans="1:24">
      <c r="B82" s="302" t="s">
        <v>1398</v>
      </c>
      <c r="C82" s="279" t="s">
        <v>384</v>
      </c>
      <c r="D82" s="299" t="s">
        <v>138</v>
      </c>
      <c r="E82" s="278" t="s">
        <v>456</v>
      </c>
      <c r="F82" s="299">
        <f>E28</f>
        <v>2020</v>
      </c>
      <c r="G82" s="278">
        <v>2020</v>
      </c>
      <c r="H82" s="278">
        <f>'COMPANY INPUT'!$C$16</f>
        <v>2023</v>
      </c>
      <c r="I82" s="278">
        <f>VLOOKUP(G82,'GDP Deflators'!$H$13:$I$86,2,FALSE)</f>
        <v>89.073499999999996</v>
      </c>
      <c r="J82" s="278">
        <f>VLOOKUP(H82,'GDP Deflators'!$H$13:$I$86,2,FALSE)</f>
        <v>100</v>
      </c>
      <c r="K82" s="385">
        <f ca="1">C68</f>
        <v>720.79200000000003</v>
      </c>
      <c r="L82" s="746">
        <f ca="1">K82*(J82/I82)</f>
        <v>809.21037121029269</v>
      </c>
      <c r="M82" s="303" t="str">
        <f>I75</f>
        <v>Abatement cost</v>
      </c>
      <c r="N82" s="326">
        <f>H75</f>
        <v>3</v>
      </c>
      <c r="O82" s="278" t="s">
        <v>718</v>
      </c>
      <c r="P82" s="278">
        <f>J75</f>
        <v>0</v>
      </c>
      <c r="Q82" s="299">
        <f t="shared" ref="Q82:V82" si="1">B28</f>
        <v>63</v>
      </c>
      <c r="R82" s="278" t="str">
        <f t="shared" si="1"/>
        <v>EA (2020) Carbonomics report</v>
      </c>
      <c r="S82" s="278">
        <f t="shared" si="1"/>
        <v>0</v>
      </c>
      <c r="T82" s="278">
        <f t="shared" si="1"/>
        <v>2020</v>
      </c>
      <c r="U82" s="278" t="str">
        <f t="shared" si="1"/>
        <v>UK</v>
      </c>
      <c r="V82" s="278" t="str">
        <f t="shared" si="1"/>
        <v>UK</v>
      </c>
      <c r="W82" s="278">
        <f>H29</f>
        <v>0</v>
      </c>
    </row>
    <row r="85" spans="1:24" s="217" customFormat="1">
      <c r="A85" s="721"/>
      <c r="B85" s="722" t="s">
        <v>460</v>
      </c>
      <c r="C85" s="721"/>
      <c r="D85" s="721"/>
      <c r="E85" s="721"/>
      <c r="F85" s="721"/>
      <c r="G85" s="721"/>
      <c r="H85" s="721"/>
      <c r="I85" s="2"/>
      <c r="J85" s="2"/>
      <c r="K85" s="2"/>
      <c r="L85" s="2"/>
      <c r="M85" s="2"/>
      <c r="N85" s="2"/>
      <c r="O85" s="2"/>
      <c r="P85" s="2"/>
      <c r="Q85" s="2"/>
      <c r="R85" s="2"/>
      <c r="S85" s="2"/>
      <c r="T85" s="2"/>
      <c r="U85" s="2"/>
      <c r="V85" s="2"/>
      <c r="W85" s="2"/>
      <c r="X85" s="2"/>
    </row>
    <row r="86" spans="1:24" s="217" customFormat="1">
      <c r="A86" s="727"/>
      <c r="B86" s="729" t="s">
        <v>897</v>
      </c>
      <c r="C86" s="727"/>
      <c r="D86" s="727"/>
      <c r="E86" s="727"/>
      <c r="F86" s="727"/>
      <c r="G86" s="727"/>
      <c r="H86" s="727"/>
      <c r="I86" s="2"/>
      <c r="J86" s="2"/>
      <c r="K86" s="2"/>
      <c r="L86" s="2"/>
      <c r="M86" s="2"/>
      <c r="N86" s="2"/>
      <c r="O86" s="2"/>
      <c r="P86" s="2"/>
      <c r="Q86" s="2"/>
      <c r="R86" s="2"/>
      <c r="S86" s="2"/>
      <c r="T86" s="2"/>
      <c r="U86" s="2"/>
      <c r="V86" s="2"/>
      <c r="W86" s="2"/>
      <c r="X86" s="2"/>
    </row>
    <row r="87" spans="1:24">
      <c r="B87" s="277" t="s">
        <v>898</v>
      </c>
      <c r="C87" s="277" t="s">
        <v>899</v>
      </c>
    </row>
    <row r="88" spans="1:24">
      <c r="B88" s="278" t="s">
        <v>460</v>
      </c>
      <c r="C88" s="278" t="s">
        <v>1399</v>
      </c>
    </row>
    <row r="89" spans="1:24">
      <c r="B89" s="16"/>
    </row>
    <row r="90" spans="1:24" s="217" customFormat="1">
      <c r="A90" s="727"/>
      <c r="B90" s="728" t="s">
        <v>901</v>
      </c>
      <c r="C90" s="727"/>
      <c r="D90" s="727"/>
      <c r="E90" s="727"/>
      <c r="F90" s="727"/>
      <c r="G90" s="727"/>
      <c r="H90" s="727"/>
      <c r="I90" s="2"/>
      <c r="J90" s="2"/>
      <c r="K90" s="2"/>
      <c r="L90" s="2"/>
      <c r="M90" s="2"/>
      <c r="N90" s="2"/>
      <c r="O90" s="2"/>
      <c r="P90" s="2"/>
      <c r="Q90" s="2"/>
      <c r="R90" s="2"/>
      <c r="S90" s="2"/>
      <c r="T90" s="2"/>
      <c r="U90" s="2"/>
      <c r="V90" s="2"/>
      <c r="W90" s="2"/>
      <c r="X90" s="2"/>
    </row>
    <row r="91" spans="1:24" ht="29.1">
      <c r="B91" s="522" t="s">
        <v>902</v>
      </c>
      <c r="C91" s="522" t="s">
        <v>898</v>
      </c>
      <c r="D91" s="522" t="s">
        <v>899</v>
      </c>
      <c r="E91" s="719" t="s">
        <v>903</v>
      </c>
      <c r="F91" s="522" t="s">
        <v>904</v>
      </c>
      <c r="G91" s="522" t="s">
        <v>905</v>
      </c>
      <c r="H91" s="522" t="s">
        <v>924</v>
      </c>
      <c r="I91" s="522" t="s">
        <v>956</v>
      </c>
      <c r="J91" s="522" t="s">
        <v>927</v>
      </c>
    </row>
    <row r="92" spans="1:24">
      <c r="B92" s="278" t="s">
        <v>134</v>
      </c>
      <c r="C92" s="278" t="s">
        <v>460</v>
      </c>
      <c r="D92" s="299" t="s">
        <v>1399</v>
      </c>
      <c r="E92" s="299" t="s">
        <v>906</v>
      </c>
      <c r="F92" s="279" t="s">
        <v>907</v>
      </c>
      <c r="G92" s="300" t="s">
        <v>477</v>
      </c>
      <c r="H92" s="279" t="s">
        <v>907</v>
      </c>
      <c r="I92" s="279" t="s">
        <v>907</v>
      </c>
      <c r="J92" s="279" t="s">
        <v>907</v>
      </c>
    </row>
    <row r="93" spans="1:24">
      <c r="B93" s="278" t="s">
        <v>136</v>
      </c>
      <c r="C93" s="278" t="s">
        <v>460</v>
      </c>
      <c r="D93" s="299" t="s">
        <v>1399</v>
      </c>
      <c r="E93" s="299" t="s">
        <v>906</v>
      </c>
      <c r="F93" s="279" t="s">
        <v>907</v>
      </c>
      <c r="G93" s="300" t="s">
        <v>477</v>
      </c>
      <c r="H93" s="279" t="s">
        <v>907</v>
      </c>
      <c r="I93" s="279" t="s">
        <v>907</v>
      </c>
      <c r="J93" s="279" t="s">
        <v>907</v>
      </c>
    </row>
    <row r="94" spans="1:24">
      <c r="B94" s="278" t="s">
        <v>137</v>
      </c>
      <c r="C94" s="278" t="s">
        <v>460</v>
      </c>
      <c r="D94" s="299" t="s">
        <v>1399</v>
      </c>
      <c r="E94" s="299" t="s">
        <v>906</v>
      </c>
      <c r="F94" s="279" t="s">
        <v>907</v>
      </c>
      <c r="G94" s="300" t="s">
        <v>477</v>
      </c>
      <c r="H94" s="279" t="s">
        <v>907</v>
      </c>
      <c r="I94" s="279" t="s">
        <v>907</v>
      </c>
      <c r="J94" s="279" t="s">
        <v>907</v>
      </c>
    </row>
    <row r="95" spans="1:24">
      <c r="B95" s="278" t="s">
        <v>520</v>
      </c>
      <c r="C95" s="278" t="s">
        <v>460</v>
      </c>
      <c r="D95" s="299" t="s">
        <v>1399</v>
      </c>
      <c r="E95" s="299" t="s">
        <v>906</v>
      </c>
      <c r="F95" s="279" t="s">
        <v>907</v>
      </c>
      <c r="G95" s="300" t="s">
        <v>477</v>
      </c>
      <c r="H95" s="279" t="s">
        <v>907</v>
      </c>
      <c r="I95" s="279" t="s">
        <v>907</v>
      </c>
      <c r="J95" s="279" t="s">
        <v>907</v>
      </c>
    </row>
    <row r="96" spans="1:24">
      <c r="B96" s="278" t="s">
        <v>138</v>
      </c>
      <c r="C96" s="278" t="s">
        <v>460</v>
      </c>
      <c r="D96" s="299" t="s">
        <v>1399</v>
      </c>
      <c r="E96" s="299" t="s">
        <v>906</v>
      </c>
      <c r="F96" s="279" t="s">
        <v>907</v>
      </c>
      <c r="G96" s="300" t="s">
        <v>477</v>
      </c>
      <c r="H96" s="279" t="s">
        <v>907</v>
      </c>
      <c r="I96" s="279" t="s">
        <v>907</v>
      </c>
      <c r="J96" s="279" t="s">
        <v>907</v>
      </c>
    </row>
    <row r="97" spans="1:10">
      <c r="B97" s="278" t="s">
        <v>139</v>
      </c>
      <c r="C97" s="278" t="s">
        <v>460</v>
      </c>
      <c r="D97" s="299" t="s">
        <v>1399</v>
      </c>
      <c r="E97" s="299" t="s">
        <v>906</v>
      </c>
      <c r="F97" s="279" t="s">
        <v>907</v>
      </c>
      <c r="G97" s="300" t="s">
        <v>477</v>
      </c>
      <c r="H97" s="279" t="s">
        <v>907</v>
      </c>
      <c r="I97" s="279" t="s">
        <v>907</v>
      </c>
      <c r="J97" s="279" t="s">
        <v>907</v>
      </c>
    </row>
    <row r="98" spans="1:10">
      <c r="B98" s="278" t="s">
        <v>140</v>
      </c>
      <c r="C98" s="278" t="s">
        <v>460</v>
      </c>
      <c r="D98" s="299" t="s">
        <v>1399</v>
      </c>
      <c r="E98" s="299" t="s">
        <v>906</v>
      </c>
      <c r="F98" s="279" t="s">
        <v>907</v>
      </c>
      <c r="G98" s="300" t="s">
        <v>477</v>
      </c>
      <c r="H98" s="279" t="s">
        <v>907</v>
      </c>
      <c r="I98" s="279" t="s">
        <v>907</v>
      </c>
      <c r="J98" s="279" t="s">
        <v>907</v>
      </c>
    </row>
    <row r="100" spans="1:10">
      <c r="A100" s="721"/>
      <c r="B100" s="722" t="s">
        <v>1359</v>
      </c>
      <c r="C100" s="721"/>
      <c r="D100" s="721"/>
      <c r="E100" s="721"/>
      <c r="F100" s="721"/>
      <c r="G100" s="721"/>
      <c r="H100" s="721"/>
    </row>
    <row r="101" spans="1:10">
      <c r="A101" s="727"/>
      <c r="B101" s="729" t="s">
        <v>897</v>
      </c>
      <c r="C101" s="727"/>
      <c r="D101" s="727"/>
      <c r="E101" s="727"/>
      <c r="F101" s="727"/>
      <c r="G101" s="727"/>
      <c r="H101" s="727"/>
    </row>
    <row r="102" spans="1:10">
      <c r="B102" s="277" t="s">
        <v>898</v>
      </c>
      <c r="C102" s="277" t="s">
        <v>899</v>
      </c>
    </row>
    <row r="103" spans="1:10">
      <c r="B103" s="278" t="s">
        <v>151</v>
      </c>
      <c r="C103" s="278" t="s">
        <v>1400</v>
      </c>
    </row>
    <row r="104" spans="1:10">
      <c r="B104" s="16"/>
    </row>
    <row r="105" spans="1:10">
      <c r="A105" s="727"/>
      <c r="B105" s="728" t="s">
        <v>943</v>
      </c>
      <c r="C105" s="727"/>
      <c r="D105" s="727"/>
      <c r="E105" s="727"/>
      <c r="F105" s="727"/>
      <c r="G105" s="727"/>
      <c r="H105" s="727"/>
    </row>
    <row r="106" spans="1:10">
      <c r="A106" s="725"/>
      <c r="B106" s="726" t="s">
        <v>912</v>
      </c>
      <c r="C106" s="725"/>
      <c r="D106" s="725"/>
      <c r="E106" s="725"/>
      <c r="F106" s="725"/>
      <c r="G106" s="725"/>
      <c r="H106" s="725"/>
    </row>
    <row r="107" spans="1:10" ht="29.1">
      <c r="B107" s="719" t="s">
        <v>913</v>
      </c>
      <c r="C107" s="719" t="s">
        <v>914</v>
      </c>
      <c r="D107" s="719" t="s">
        <v>915</v>
      </c>
      <c r="E107" s="719" t="s">
        <v>916</v>
      </c>
      <c r="F107" s="719" t="s">
        <v>917</v>
      </c>
      <c r="G107" s="719" t="s">
        <v>918</v>
      </c>
      <c r="H107" s="719" t="s">
        <v>919</v>
      </c>
    </row>
    <row r="108" spans="1:10">
      <c r="B108" s="278">
        <v>16</v>
      </c>
      <c r="C108" s="278" t="s">
        <v>1130</v>
      </c>
      <c r="D108" s="278"/>
      <c r="E108" s="278">
        <v>2023</v>
      </c>
      <c r="F108" s="278" t="s">
        <v>1048</v>
      </c>
      <c r="G108" s="278" t="s">
        <v>1048</v>
      </c>
      <c r="H108" s="278"/>
    </row>
    <row r="109" spans="1:10">
      <c r="B109" s="278">
        <v>15</v>
      </c>
      <c r="C109" s="278" t="s">
        <v>1401</v>
      </c>
      <c r="D109" s="278"/>
      <c r="E109" s="278">
        <v>2023</v>
      </c>
      <c r="F109" s="278" t="s">
        <v>1048</v>
      </c>
      <c r="G109" s="278" t="s">
        <v>1048</v>
      </c>
      <c r="H109" s="278"/>
    </row>
    <row r="110" spans="1:10">
      <c r="B110" s="16"/>
    </row>
    <row r="111" spans="1:10">
      <c r="A111" s="725"/>
      <c r="B111" s="726" t="s">
        <v>924</v>
      </c>
      <c r="C111" s="725"/>
      <c r="D111" s="725"/>
      <c r="E111" s="725"/>
      <c r="F111" s="725"/>
      <c r="G111" s="725"/>
      <c r="H111" s="725"/>
    </row>
    <row r="112" spans="1:10">
      <c r="B112" s="277" t="s">
        <v>165</v>
      </c>
      <c r="C112" s="277" t="s">
        <v>925</v>
      </c>
      <c r="D112" s="277" t="s">
        <v>926</v>
      </c>
      <c r="E112" s="1179" t="s">
        <v>927</v>
      </c>
      <c r="F112" s="1179"/>
      <c r="G112" s="1179"/>
      <c r="H112" s="1179"/>
    </row>
    <row r="113" spans="1:12">
      <c r="B113" s="278" t="s">
        <v>169</v>
      </c>
      <c r="C113" s="278" t="s">
        <v>166</v>
      </c>
      <c r="D113" s="278">
        <f>VLOOKUP(C113,METHODOLOGY!$C$175:$D$177,2,FALSE)</f>
        <v>3</v>
      </c>
      <c r="E113" s="1087" t="str">
        <f>_xlfn.XLOOKUP(C113,METHODOLOGY!$E$150:$O$150,METHODOLOGY!$E$151:$O$151,"",0,1)</f>
        <v>Monetary values have been peer reviewed or are recommended / referenced in other, well recognised and accepted guidance / tools relevant to the water sector.</v>
      </c>
      <c r="F113" s="1087"/>
      <c r="G113" s="1087"/>
      <c r="H113" s="1087"/>
    </row>
    <row r="114" spans="1:12">
      <c r="B114" s="278" t="s">
        <v>173</v>
      </c>
      <c r="C114" s="278" t="s">
        <v>167</v>
      </c>
      <c r="D114" s="278">
        <f>VLOOKUP(C114,METHODOLOGY!$C$175:$D$177,2,FALSE)</f>
        <v>2</v>
      </c>
      <c r="E114" s="1087" t="str">
        <f>_xlfn.XLOOKUP(C114,METHODOLOGY!$E$150:$O$150,METHODOLOGY!$E$155:$O$155,"",0,1)</f>
        <v>Study has some limitations which may impact on the robustness of the value.</v>
      </c>
      <c r="F114" s="1087"/>
      <c r="G114" s="1087"/>
      <c r="H114" s="1087"/>
    </row>
    <row r="115" spans="1:12">
      <c r="B115" s="278" t="s">
        <v>177</v>
      </c>
      <c r="C115" s="278" t="s">
        <v>166</v>
      </c>
      <c r="D115" s="278">
        <f>VLOOKUP(C115,METHODOLOGY!$C$175:$D$177,2,FALSE)</f>
        <v>3</v>
      </c>
      <c r="E115" s="1087" t="str">
        <f>_xlfn.XLOOKUP(C115,METHODOLOGY!$E$150:$O$150,METHODOLOGY!$E$158:$O$158,"",0,1)</f>
        <v>0 – 5 years</v>
      </c>
      <c r="F115" s="1087"/>
      <c r="G115" s="1087"/>
      <c r="H115" s="1087"/>
    </row>
    <row r="116" spans="1:12">
      <c r="B116" s="278" t="s">
        <v>181</v>
      </c>
      <c r="C116" s="278" t="s">
        <v>166</v>
      </c>
      <c r="D116" s="278">
        <f>VLOOKUP(C116,METHODOLOGY!$C$175:$D$177,2,FALSE)</f>
        <v>3</v>
      </c>
      <c r="E116" s="1087" t="str">
        <f>_xlfn.XLOOKUP(C116,METHODOLOGY!$E$150:$O$150,METHODOLOGY!$E$160:$O$160,"",0,1)</f>
        <v>Geographically relevant to UK</v>
      </c>
      <c r="F116" s="1087"/>
      <c r="G116" s="1087"/>
      <c r="H116" s="1087"/>
    </row>
    <row r="117" spans="1:12">
      <c r="B117" s="278" t="s">
        <v>928</v>
      </c>
      <c r="C117" s="278" t="s">
        <v>167</v>
      </c>
      <c r="D117" s="278">
        <f>VLOOKUP(C117,METHODOLOGY!$C$175:$D$177,2,FALSE)</f>
        <v>2</v>
      </c>
      <c r="E117" s="1087" t="str">
        <f>_xlfn.XLOOKUP(C117,METHODOLOGY!$E$150:$O$150,METHODOLOGY!$E$162:$O$162,"",0,1)</f>
        <v>Meta-analysis or limited understanding of what the value represents.</v>
      </c>
      <c r="F117" s="1087"/>
      <c r="G117" s="1087"/>
      <c r="H117" s="1087"/>
    </row>
    <row r="118" spans="1:12">
      <c r="B118" s="278" t="s">
        <v>189</v>
      </c>
      <c r="C118" s="278" t="s">
        <v>166</v>
      </c>
      <c r="D118" s="278">
        <f>VLOOKUP(C118,METHODOLOGY!$C$175:$D$177,2,FALSE)</f>
        <v>3</v>
      </c>
      <c r="E118" s="1087" t="str">
        <f>_xlfn.XLOOKUP(C118,METHODOLOGY!$E$150:$O$150,METHODOLOGY!$E$164:$O$164,"",0,1)</f>
        <v xml:space="preserve">The original valuation can be used with no or very simple modification e.g. change units from ha to km2, applying inflation. </v>
      </c>
      <c r="F118" s="1087"/>
      <c r="G118" s="1087"/>
      <c r="H118" s="1087"/>
    </row>
    <row r="119" spans="1:12">
      <c r="C119" s="282" t="s">
        <v>924</v>
      </c>
      <c r="D119" s="326">
        <f>IF(AND(D118=1,AVERAGE(D113:D118)&gt;2.14285714285714),2.14285714285714,IF(AND(D118=2,AVERAGE(D113:D118)&gt;2.57142857142857),2.57142857142857,AVERAGE(D113:D118)))</f>
        <v>2.6666666666666665</v>
      </c>
      <c r="E119" s="270" t="str">
        <f>IF(D119&lt;=2.14285714285714,"Red",IF(D119&lt;=2.57142857142857,"Amber",IF(D119&lt;=3,"Green")))</f>
        <v>Green</v>
      </c>
    </row>
    <row r="121" spans="1:12">
      <c r="A121" s="725"/>
      <c r="B121" s="726" t="s">
        <v>929</v>
      </c>
      <c r="C121" s="725"/>
      <c r="D121" s="725"/>
      <c r="E121" s="725"/>
      <c r="F121" s="725"/>
      <c r="G121" s="725"/>
      <c r="H121" s="725"/>
    </row>
    <row r="122" spans="1:12">
      <c r="B122" s="277" t="s">
        <v>913</v>
      </c>
      <c r="C122" s="277" t="s">
        <v>1089</v>
      </c>
      <c r="D122" s="277" t="s">
        <v>902</v>
      </c>
      <c r="E122" s="277" t="s">
        <v>331</v>
      </c>
      <c r="F122" s="277" t="s">
        <v>226</v>
      </c>
      <c r="G122" s="1128" t="s">
        <v>930</v>
      </c>
      <c r="H122" s="1129"/>
      <c r="I122" s="1130"/>
    </row>
    <row r="123" spans="1:12" ht="108.95" customHeight="1">
      <c r="B123" s="278">
        <v>16</v>
      </c>
      <c r="C123" s="278" t="s">
        <v>151</v>
      </c>
      <c r="D123" s="375" t="s">
        <v>134</v>
      </c>
      <c r="E123" s="304">
        <v>1039</v>
      </c>
      <c r="F123" s="459" t="s">
        <v>1402</v>
      </c>
      <c r="G123" s="1158" t="s">
        <v>1403</v>
      </c>
      <c r="H123" s="1158"/>
      <c r="I123" s="1158"/>
      <c r="J123" s="19"/>
      <c r="K123" s="19"/>
      <c r="L123" s="19"/>
    </row>
    <row r="124" spans="1:12" ht="133.5" customHeight="1">
      <c r="B124" s="278">
        <v>15</v>
      </c>
      <c r="C124" s="278" t="s">
        <v>151</v>
      </c>
      <c r="D124" s="375" t="s">
        <v>138</v>
      </c>
      <c r="E124" s="304">
        <v>860</v>
      </c>
      <c r="F124" s="459" t="s">
        <v>1404</v>
      </c>
      <c r="G124" s="1158"/>
      <c r="H124" s="1158"/>
      <c r="I124" s="1158"/>
      <c r="J124" s="19"/>
      <c r="K124" s="19"/>
      <c r="L124" s="19"/>
    </row>
    <row r="125" spans="1:12" ht="15" customHeight="1">
      <c r="G125" s="24"/>
      <c r="H125" s="24"/>
      <c r="I125" s="24"/>
    </row>
    <row r="126" spans="1:12" ht="15" customHeight="1">
      <c r="G126" s="24"/>
      <c r="H126" s="24"/>
      <c r="I126" s="24"/>
      <c r="J126" s="24"/>
      <c r="K126" s="24"/>
      <c r="L126" s="24"/>
    </row>
    <row r="127" spans="1:12" ht="15" customHeight="1">
      <c r="G127" s="24"/>
      <c r="H127" s="24"/>
      <c r="I127" s="24"/>
      <c r="J127" s="24"/>
      <c r="K127" s="24"/>
      <c r="L127" s="24"/>
    </row>
    <row r="129" spans="7:12" ht="15" customHeight="1">
      <c r="G129" s="24"/>
      <c r="H129" s="24"/>
      <c r="I129" s="24"/>
      <c r="J129" s="24"/>
      <c r="K129" s="24"/>
      <c r="L129" s="24"/>
    </row>
    <row r="130" spans="7:12" ht="15" customHeight="1">
      <c r="G130" s="24"/>
      <c r="H130" s="24"/>
      <c r="I130" s="24"/>
      <c r="J130" s="24"/>
      <c r="K130" s="24"/>
      <c r="L130" s="24"/>
    </row>
    <row r="131" spans="7:12" ht="15" customHeight="1">
      <c r="G131" s="24"/>
      <c r="H131" s="24"/>
      <c r="I131" s="24"/>
      <c r="J131" s="24"/>
      <c r="K131" s="24"/>
      <c r="L131" s="24"/>
    </row>
    <row r="133" spans="7:12" ht="15" customHeight="1">
      <c r="G133" s="24"/>
      <c r="H133" s="24"/>
      <c r="I133" s="24"/>
      <c r="J133" s="24"/>
      <c r="K133" s="24"/>
      <c r="L133" s="24"/>
    </row>
    <row r="134" spans="7:12" ht="15" customHeight="1">
      <c r="G134" s="24"/>
      <c r="H134" s="24"/>
      <c r="I134" s="24"/>
      <c r="J134" s="24"/>
      <c r="K134" s="24"/>
      <c r="L134" s="24"/>
    </row>
    <row r="135" spans="7:12" ht="15" customHeight="1">
      <c r="G135" s="24"/>
      <c r="H135" s="24"/>
      <c r="I135" s="24"/>
      <c r="J135" s="24"/>
      <c r="K135" s="24"/>
      <c r="L135" s="24"/>
    </row>
    <row r="137" spans="7:12" ht="15" customHeight="1">
      <c r="G137" s="24"/>
      <c r="H137" s="24"/>
      <c r="I137" s="24"/>
      <c r="J137" s="24"/>
      <c r="K137" s="24"/>
      <c r="L137" s="24"/>
    </row>
    <row r="138" spans="7:12" ht="15" customHeight="1">
      <c r="G138" s="24"/>
      <c r="H138" s="24"/>
      <c r="I138" s="24"/>
      <c r="J138" s="24"/>
      <c r="K138" s="24"/>
      <c r="L138" s="24"/>
    </row>
    <row r="139" spans="7:12" ht="15" customHeight="1">
      <c r="G139" s="24"/>
      <c r="H139" s="24"/>
      <c r="I139" s="24"/>
      <c r="J139" s="24"/>
      <c r="K139" s="24"/>
      <c r="L139" s="24"/>
    </row>
    <row r="141" spans="7:12" ht="15" customHeight="1">
      <c r="G141" s="24"/>
      <c r="H141" s="24"/>
      <c r="I141" s="24"/>
      <c r="J141" s="24"/>
      <c r="K141" s="24"/>
      <c r="L141" s="24"/>
    </row>
    <row r="142" spans="7:12" ht="15" customHeight="1">
      <c r="G142" s="24"/>
      <c r="H142" s="24"/>
      <c r="I142" s="24"/>
      <c r="J142" s="24"/>
      <c r="K142" s="24"/>
      <c r="L142" s="24"/>
    </row>
    <row r="143" spans="7:12" ht="15" customHeight="1">
      <c r="G143" s="24"/>
      <c r="H143" s="24"/>
      <c r="I143" s="24"/>
      <c r="J143" s="24"/>
      <c r="K143" s="24"/>
      <c r="L143" s="24"/>
    </row>
    <row r="145" spans="1:23" ht="15" customHeight="1">
      <c r="G145" s="24"/>
      <c r="H145" s="24"/>
      <c r="I145" s="24"/>
      <c r="J145" s="24"/>
      <c r="K145" s="24"/>
      <c r="L145" s="24"/>
    </row>
    <row r="146" spans="1:23" ht="15" customHeight="1">
      <c r="G146" s="24"/>
      <c r="H146" s="24"/>
      <c r="I146" s="24"/>
      <c r="J146" s="24"/>
      <c r="K146" s="24"/>
      <c r="L146" s="24"/>
    </row>
    <row r="147" spans="1:23" ht="15" customHeight="1">
      <c r="G147" s="24"/>
      <c r="H147" s="24"/>
      <c r="I147" s="24"/>
      <c r="J147" s="24"/>
      <c r="K147" s="24"/>
      <c r="L147" s="24"/>
    </row>
    <row r="149" spans="1:23" ht="15" customHeight="1">
      <c r="G149" s="24"/>
      <c r="H149" s="24"/>
      <c r="I149" s="24"/>
      <c r="J149" s="24"/>
      <c r="K149" s="24"/>
      <c r="L149" s="24"/>
    </row>
    <row r="150" spans="1:23" ht="15" customHeight="1">
      <c r="G150" s="24"/>
      <c r="H150" s="24"/>
      <c r="I150" s="24"/>
      <c r="J150" s="24"/>
      <c r="K150" s="24"/>
      <c r="L150" s="24"/>
    </row>
    <row r="151" spans="1:23" ht="15" customHeight="1">
      <c r="G151" s="24"/>
      <c r="H151" s="24"/>
      <c r="I151" s="24"/>
      <c r="J151" s="24"/>
      <c r="K151" s="24"/>
      <c r="L151" s="24"/>
    </row>
    <row r="154" spans="1:23">
      <c r="A154" s="727"/>
      <c r="B154" s="728" t="s">
        <v>901</v>
      </c>
      <c r="C154" s="727"/>
      <c r="D154" s="727"/>
      <c r="E154" s="727"/>
      <c r="F154" s="727"/>
      <c r="G154" s="727"/>
      <c r="H154" s="727"/>
    </row>
    <row r="155" spans="1:23" ht="29.1">
      <c r="B155" s="522" t="s">
        <v>902</v>
      </c>
      <c r="C155" s="522" t="s">
        <v>898</v>
      </c>
      <c r="D155" s="522" t="s">
        <v>899</v>
      </c>
      <c r="E155" s="719" t="s">
        <v>903</v>
      </c>
      <c r="F155" s="522" t="s">
        <v>904</v>
      </c>
      <c r="G155" s="522" t="s">
        <v>905</v>
      </c>
      <c r="H155" s="756" t="s">
        <v>924</v>
      </c>
      <c r="I155" s="756" t="s">
        <v>956</v>
      </c>
      <c r="J155" s="756" t="s">
        <v>927</v>
      </c>
    </row>
    <row r="156" spans="1:23">
      <c r="B156" s="278" t="s">
        <v>134</v>
      </c>
      <c r="C156" s="278" t="s">
        <v>151</v>
      </c>
      <c r="D156" s="299" t="s">
        <v>1400</v>
      </c>
      <c r="E156" s="299">
        <v>2</v>
      </c>
      <c r="F156" s="278" t="str" cm="1">
        <f t="array" ref="F156">_xlfn.XLOOKUP(1,(D161:D162=B156)*(E161:E162=C156),B161:B162,"Not found",0,1)</f>
        <v>14-03</v>
      </c>
      <c r="G156" s="311">
        <f>VLOOKUP(F156,B161:L163,11,FALSE)</f>
        <v>1039</v>
      </c>
      <c r="H156" s="1120">
        <f>$D$119</f>
        <v>2.6666666666666665</v>
      </c>
      <c r="I156" s="1149" t="s">
        <v>1137</v>
      </c>
      <c r="J156" s="1149"/>
    </row>
    <row r="157" spans="1:23">
      <c r="B157" s="278" t="s">
        <v>138</v>
      </c>
      <c r="C157" s="278" t="s">
        <v>151</v>
      </c>
      <c r="D157" s="299" t="s">
        <v>1400</v>
      </c>
      <c r="E157" s="299">
        <v>2</v>
      </c>
      <c r="F157" s="278" t="str" cm="1">
        <f t="array" ref="F157">_xlfn.XLOOKUP(1,(D162:D163=B157)*(E162:E163=C157),B162:B163,"Not found",0,1)</f>
        <v>14-04</v>
      </c>
      <c r="G157" s="311">
        <f>VLOOKUP(F157,B162:L338,11,FALSE)</f>
        <v>860</v>
      </c>
      <c r="H157" s="1122"/>
      <c r="I157" s="1149"/>
      <c r="J157" s="1149"/>
    </row>
    <row r="158" spans="1:23">
      <c r="B158" s="18"/>
    </row>
    <row r="159" spans="1:23">
      <c r="A159" s="725"/>
      <c r="B159" s="726" t="s">
        <v>962</v>
      </c>
      <c r="C159" s="725"/>
      <c r="D159" s="725"/>
      <c r="E159" s="725"/>
      <c r="F159" s="725"/>
      <c r="G159" s="725"/>
      <c r="H159" s="725"/>
    </row>
    <row r="160" spans="1:23">
      <c r="B160" s="277" t="s">
        <v>904</v>
      </c>
      <c r="C160" s="277" t="s">
        <v>62</v>
      </c>
      <c r="D160" s="277" t="s">
        <v>902</v>
      </c>
      <c r="E160" s="277" t="s">
        <v>898</v>
      </c>
      <c r="F160" s="277" t="s">
        <v>916</v>
      </c>
      <c r="G160" s="277" t="s">
        <v>963</v>
      </c>
      <c r="H160" s="277" t="s">
        <v>964</v>
      </c>
      <c r="I160" s="277" t="s">
        <v>965</v>
      </c>
      <c r="J160" s="277" t="s">
        <v>966</v>
      </c>
      <c r="K160" s="277" t="s">
        <v>967</v>
      </c>
      <c r="L160" s="277" t="s">
        <v>968</v>
      </c>
      <c r="M160" s="277" t="s">
        <v>956</v>
      </c>
      <c r="N160" s="277" t="s">
        <v>969</v>
      </c>
      <c r="O160" s="277" t="s">
        <v>970</v>
      </c>
      <c r="P160" s="277" t="s">
        <v>927</v>
      </c>
      <c r="Q160" s="277" t="s">
        <v>913</v>
      </c>
      <c r="R160" s="277" t="s">
        <v>914</v>
      </c>
      <c r="S160" s="277" t="s">
        <v>915</v>
      </c>
      <c r="T160" s="277" t="s">
        <v>916</v>
      </c>
      <c r="U160" s="277" t="s">
        <v>917</v>
      </c>
      <c r="V160" s="277" t="s">
        <v>918</v>
      </c>
      <c r="W160" s="277" t="s">
        <v>919</v>
      </c>
    </row>
    <row r="161" spans="1:23">
      <c r="B161" s="302" t="s">
        <v>1405</v>
      </c>
      <c r="C161" s="279" t="s">
        <v>384</v>
      </c>
      <c r="D161" s="279" t="s">
        <v>134</v>
      </c>
      <c r="E161" s="278" t="s">
        <v>151</v>
      </c>
      <c r="F161" s="299">
        <f>E108</f>
        <v>2023</v>
      </c>
      <c r="G161" s="278">
        <v>2023</v>
      </c>
      <c r="H161" s="278">
        <f>'COMPANY INPUT'!$C$16</f>
        <v>2023</v>
      </c>
      <c r="I161" s="278">
        <f>VLOOKUP(G161,'GDP Deflators'!$H$13:$I$86,2,FALSE)</f>
        <v>100</v>
      </c>
      <c r="J161" s="278">
        <f>VLOOKUP(H161,'GDP Deflators'!$H$13:$I$86,2,FALSE)</f>
        <v>100</v>
      </c>
      <c r="K161" s="385">
        <f>E123</f>
        <v>1039</v>
      </c>
      <c r="L161" s="746">
        <f>K161*(J161/I161)</f>
        <v>1039</v>
      </c>
      <c r="M161" s="278" t="str">
        <f>$I$156</f>
        <v>WTA</v>
      </c>
      <c r="N161" s="326">
        <f>$H$156</f>
        <v>2.6666666666666665</v>
      </c>
      <c r="O161" s="278" t="s">
        <v>718</v>
      </c>
      <c r="P161" s="278">
        <f>$J$156</f>
        <v>0</v>
      </c>
      <c r="Q161" s="299">
        <f t="shared" ref="Q161:W162" si="2">B$108</f>
        <v>16</v>
      </c>
      <c r="R161" s="299" t="str">
        <f t="shared" si="2"/>
        <v>Ofwat (2023) PR24: Using collaborative customer research to set outcome delivery incentive rates</v>
      </c>
      <c r="S161" s="299">
        <f t="shared" si="2"/>
        <v>0</v>
      </c>
      <c r="T161" s="299">
        <f t="shared" si="2"/>
        <v>2023</v>
      </c>
      <c r="U161" s="299" t="str">
        <f t="shared" si="2"/>
        <v>England and Wales</v>
      </c>
      <c r="V161" s="299" t="str">
        <f t="shared" si="2"/>
        <v>England and Wales</v>
      </c>
      <c r="W161" s="299">
        <f t="shared" si="2"/>
        <v>0</v>
      </c>
    </row>
    <row r="162" spans="1:23">
      <c r="B162" s="302" t="s">
        <v>1406</v>
      </c>
      <c r="C162" s="279" t="s">
        <v>384</v>
      </c>
      <c r="D162" s="279" t="s">
        <v>138</v>
      </c>
      <c r="E162" s="278" t="s">
        <v>151</v>
      </c>
      <c r="F162" s="299">
        <f>E108</f>
        <v>2023</v>
      </c>
      <c r="G162" s="278">
        <v>2023</v>
      </c>
      <c r="H162" s="278">
        <f>'COMPANY INPUT'!$C$16</f>
        <v>2023</v>
      </c>
      <c r="I162" s="278">
        <f>VLOOKUP(G162,'GDP Deflators'!$H$13:$I$86,2,FALSE)</f>
        <v>100</v>
      </c>
      <c r="J162" s="278">
        <f>VLOOKUP(H162,'GDP Deflators'!$H$13:$I$86,2,FALSE)</f>
        <v>100</v>
      </c>
      <c r="K162" s="385">
        <f>E124</f>
        <v>860</v>
      </c>
      <c r="L162" s="746">
        <f>K162*(J162/I162)</f>
        <v>860</v>
      </c>
      <c r="M162" s="278" t="str">
        <f>$I$156</f>
        <v>WTA</v>
      </c>
      <c r="N162" s="326">
        <f>$H$156</f>
        <v>2.6666666666666665</v>
      </c>
      <c r="O162" s="278" t="s">
        <v>718</v>
      </c>
      <c r="P162" s="278">
        <f>$J$156</f>
        <v>0</v>
      </c>
      <c r="Q162" s="299">
        <f t="shared" si="2"/>
        <v>16</v>
      </c>
      <c r="R162" s="299" t="str">
        <f t="shared" si="2"/>
        <v>Ofwat (2023) PR24: Using collaborative customer research to set outcome delivery incentive rates</v>
      </c>
      <c r="S162" s="299">
        <f t="shared" si="2"/>
        <v>0</v>
      </c>
      <c r="T162" s="299">
        <f t="shared" si="2"/>
        <v>2023</v>
      </c>
      <c r="U162" s="299" t="str">
        <f t="shared" si="2"/>
        <v>England and Wales</v>
      </c>
      <c r="V162" s="299" t="str">
        <f t="shared" si="2"/>
        <v>England and Wales</v>
      </c>
      <c r="W162" s="299">
        <f t="shared" si="2"/>
        <v>0</v>
      </c>
    </row>
    <row r="164" spans="1:23">
      <c r="B164" s="720" t="s">
        <v>1211</v>
      </c>
    </row>
    <row r="165" spans="1:23">
      <c r="A165" s="727"/>
      <c r="B165" s="729" t="s">
        <v>897</v>
      </c>
      <c r="C165" s="727"/>
      <c r="D165" s="727"/>
      <c r="E165" s="727"/>
      <c r="F165" s="727"/>
      <c r="G165" s="727"/>
      <c r="H165" s="727"/>
    </row>
    <row r="166" spans="1:23">
      <c r="B166" s="277" t="s">
        <v>898</v>
      </c>
      <c r="C166" s="277" t="s">
        <v>899</v>
      </c>
    </row>
    <row r="167" spans="1:23">
      <c r="B167" s="278" t="s">
        <v>462</v>
      </c>
      <c r="C167" s="278" t="s">
        <v>1407</v>
      </c>
    </row>
    <row r="168" spans="1:23">
      <c r="B168" s="16"/>
    </row>
    <row r="169" spans="1:23">
      <c r="B169" s="16"/>
    </row>
    <row r="170" spans="1:23">
      <c r="A170" s="727"/>
      <c r="B170" s="728" t="s">
        <v>1028</v>
      </c>
      <c r="C170" s="727"/>
      <c r="D170" s="727"/>
      <c r="E170" s="727"/>
      <c r="F170" s="727"/>
      <c r="G170" s="727"/>
      <c r="H170" s="727"/>
    </row>
    <row r="171" spans="1:23">
      <c r="A171" s="725"/>
      <c r="B171" s="726" t="s">
        <v>912</v>
      </c>
      <c r="C171" s="725"/>
      <c r="D171" s="725"/>
      <c r="E171" s="725"/>
      <c r="F171" s="725"/>
      <c r="G171" s="725"/>
      <c r="H171" s="725"/>
    </row>
    <row r="172" spans="1:23" ht="29.1">
      <c r="B172" s="719" t="s">
        <v>913</v>
      </c>
      <c r="C172" s="719" t="s">
        <v>914</v>
      </c>
      <c r="D172" s="719" t="s">
        <v>915</v>
      </c>
      <c r="E172" s="719" t="s">
        <v>916</v>
      </c>
      <c r="F172" s="719" t="s">
        <v>917</v>
      </c>
      <c r="G172" s="719" t="s">
        <v>918</v>
      </c>
      <c r="H172" s="719" t="s">
        <v>919</v>
      </c>
    </row>
    <row r="173" spans="1:23">
      <c r="B173" s="278">
        <v>16</v>
      </c>
      <c r="C173" s="278" t="s">
        <v>1130</v>
      </c>
      <c r="D173" s="278"/>
      <c r="E173" s="278">
        <v>2023</v>
      </c>
      <c r="F173" s="278" t="s">
        <v>1048</v>
      </c>
      <c r="G173" s="278" t="s">
        <v>1048</v>
      </c>
      <c r="H173" s="278"/>
    </row>
    <row r="174" spans="1:23">
      <c r="B174" s="278">
        <v>15</v>
      </c>
      <c r="C174" s="278" t="s">
        <v>1401</v>
      </c>
      <c r="D174" s="278"/>
      <c r="E174" s="278">
        <v>2023</v>
      </c>
      <c r="F174" s="278" t="s">
        <v>1048</v>
      </c>
      <c r="G174" s="278" t="s">
        <v>1048</v>
      </c>
      <c r="H174" s="278"/>
    </row>
    <row r="175" spans="1:23">
      <c r="B175" s="16"/>
    </row>
    <row r="176" spans="1:23">
      <c r="B176" s="277" t="s">
        <v>165</v>
      </c>
      <c r="C176" s="277" t="s">
        <v>925</v>
      </c>
      <c r="D176" s="277" t="s">
        <v>926</v>
      </c>
      <c r="E176" s="1134" t="s">
        <v>927</v>
      </c>
      <c r="F176" s="1134"/>
      <c r="G176" s="1134"/>
      <c r="H176" s="1134"/>
    </row>
    <row r="177" spans="1:12">
      <c r="B177" s="278" t="s">
        <v>169</v>
      </c>
      <c r="C177" s="278" t="s">
        <v>166</v>
      </c>
      <c r="D177" s="278">
        <f>VLOOKUP(C177,METHODOLOGY!$C$175:$D$177,2,FALSE)</f>
        <v>3</v>
      </c>
      <c r="E177" s="1087" t="str">
        <f>_xlfn.XLOOKUP(C177,METHODOLOGY!$E$150:$O$150,METHODOLOGY!$E$151:$O$151,"",0,1)</f>
        <v>Monetary values have been peer reviewed or are recommended / referenced in other, well recognised and accepted guidance / tools relevant to the water sector.</v>
      </c>
      <c r="F177" s="1087"/>
      <c r="G177" s="1087"/>
      <c r="H177" s="1087"/>
    </row>
    <row r="178" spans="1:12">
      <c r="B178" s="278" t="s">
        <v>173</v>
      </c>
      <c r="C178" s="278" t="s">
        <v>167</v>
      </c>
      <c r="D178" s="278">
        <f>VLOOKUP(C178,METHODOLOGY!$C$175:$D$177,2,FALSE)</f>
        <v>2</v>
      </c>
      <c r="E178" s="1087" t="str">
        <f>_xlfn.XLOOKUP(C178,METHODOLOGY!$E$150:$O$150,METHODOLOGY!$E$155:$O$155,"",0,1)</f>
        <v>Study has some limitations which may impact on the robustness of the value.</v>
      </c>
      <c r="F178" s="1087"/>
      <c r="G178" s="1087"/>
      <c r="H178" s="1087"/>
    </row>
    <row r="179" spans="1:12">
      <c r="B179" s="278" t="s">
        <v>177</v>
      </c>
      <c r="C179" s="278" t="s">
        <v>166</v>
      </c>
      <c r="D179" s="278">
        <f>VLOOKUP(C179,METHODOLOGY!$C$175:$D$177,2,FALSE)</f>
        <v>3</v>
      </c>
      <c r="E179" s="1087" t="str">
        <f>_xlfn.XLOOKUP(C179,METHODOLOGY!$E$150:$O$150,METHODOLOGY!$E$158:$O$158,"",0,1)</f>
        <v>0 – 5 years</v>
      </c>
      <c r="F179" s="1087"/>
      <c r="G179" s="1087"/>
      <c r="H179" s="1087"/>
    </row>
    <row r="180" spans="1:12">
      <c r="B180" s="278" t="s">
        <v>181</v>
      </c>
      <c r="C180" s="278" t="s">
        <v>166</v>
      </c>
      <c r="D180" s="278">
        <f>VLOOKUP(C180,METHODOLOGY!$C$175:$D$177,2,FALSE)</f>
        <v>3</v>
      </c>
      <c r="E180" s="1087" t="str">
        <f>_xlfn.XLOOKUP(C180,METHODOLOGY!$E$150:$O$150,METHODOLOGY!$E$160:$O$160,"",0,1)</f>
        <v>Geographically relevant to UK</v>
      </c>
      <c r="F180" s="1087"/>
      <c r="G180" s="1087"/>
      <c r="H180" s="1087"/>
    </row>
    <row r="181" spans="1:12">
      <c r="B181" s="278" t="s">
        <v>928</v>
      </c>
      <c r="C181" s="278" t="s">
        <v>167</v>
      </c>
      <c r="D181" s="278">
        <f>VLOOKUP(C181,METHODOLOGY!$C$175:$D$177,2,FALSE)</f>
        <v>2</v>
      </c>
      <c r="E181" s="1087" t="str">
        <f>_xlfn.XLOOKUP(C181,METHODOLOGY!$E$150:$O$150,METHODOLOGY!$E$162:$O$162,"",0,1)</f>
        <v>Meta-analysis or limited understanding of what the value represents.</v>
      </c>
      <c r="F181" s="1087"/>
      <c r="G181" s="1087"/>
      <c r="H181" s="1087"/>
    </row>
    <row r="182" spans="1:12">
      <c r="B182" s="278" t="s">
        <v>189</v>
      </c>
      <c r="C182" s="278" t="s">
        <v>166</v>
      </c>
      <c r="D182" s="278">
        <f>VLOOKUP(C182,METHODOLOGY!$C$175:$D$177,2,FALSE)</f>
        <v>3</v>
      </c>
      <c r="E182" s="1087" t="str">
        <f>_xlfn.XLOOKUP(C182,METHODOLOGY!$E$150:$O$150,METHODOLOGY!$E$164:$O$164,"",0,1)</f>
        <v xml:space="preserve">The original valuation can be used with no or very simple modification e.g. change units from ha to km2, applying inflation. </v>
      </c>
      <c r="F182" s="1087"/>
      <c r="G182" s="1087"/>
      <c r="H182" s="1087"/>
    </row>
    <row r="183" spans="1:12">
      <c r="C183" s="282" t="s">
        <v>924</v>
      </c>
      <c r="D183" s="326">
        <f>IF(AND(D182=1,AVERAGE(D177:D182)&gt;2.14285714285714),2.14285714285714,IF(AND(D182=2,AVERAGE(D177:D182)&gt;2.57142857142857),2.57142857142857,AVERAGE(D177:D182)))</f>
        <v>2.6666666666666665</v>
      </c>
      <c r="E183" s="270" t="str">
        <f>IF(D183&lt;=2.14285714285714,"Red",IF(D183&lt;=2.57142857142857,"Amber",IF(D183&lt;=3,"Green")))</f>
        <v>Green</v>
      </c>
    </row>
    <row r="185" spans="1:12">
      <c r="A185" s="725"/>
      <c r="B185" s="726" t="s">
        <v>929</v>
      </c>
      <c r="C185" s="725"/>
      <c r="D185" s="725"/>
      <c r="E185" s="725"/>
      <c r="F185" s="725"/>
      <c r="G185" s="725"/>
      <c r="H185" s="725"/>
    </row>
    <row r="186" spans="1:12">
      <c r="B186" s="277" t="s">
        <v>913</v>
      </c>
      <c r="C186" s="277" t="s">
        <v>1089</v>
      </c>
      <c r="D186" s="277" t="s">
        <v>902</v>
      </c>
      <c r="E186" s="277" t="s">
        <v>331</v>
      </c>
      <c r="F186" s="277" t="s">
        <v>226</v>
      </c>
      <c r="G186" s="1157" t="s">
        <v>930</v>
      </c>
      <c r="H186" s="1157"/>
      <c r="I186" s="1157"/>
      <c r="J186" s="1157"/>
      <c r="K186" s="1157"/>
      <c r="L186" s="1157"/>
    </row>
    <row r="187" spans="1:12" ht="69" customHeight="1">
      <c r="B187" s="278">
        <v>16</v>
      </c>
      <c r="C187" s="278" t="s">
        <v>462</v>
      </c>
      <c r="D187" s="375" t="s">
        <v>137</v>
      </c>
      <c r="E187" s="304">
        <v>94264</v>
      </c>
      <c r="F187" s="459" t="s">
        <v>1402</v>
      </c>
      <c r="G187" s="1158" t="s">
        <v>1408</v>
      </c>
      <c r="H187" s="1158"/>
      <c r="I187" s="1158"/>
      <c r="J187" s="1158"/>
      <c r="K187" s="1158"/>
      <c r="L187" s="1158"/>
    </row>
    <row r="188" spans="1:12" ht="69" customHeight="1">
      <c r="B188" s="278">
        <v>15</v>
      </c>
      <c r="C188" s="278" t="s">
        <v>462</v>
      </c>
      <c r="D188" s="375" t="s">
        <v>140</v>
      </c>
      <c r="E188" s="304">
        <v>65140</v>
      </c>
      <c r="F188" s="459" t="s">
        <v>1404</v>
      </c>
      <c r="G188" s="1158"/>
      <c r="H188" s="1158"/>
      <c r="I188" s="1158"/>
      <c r="J188" s="1158"/>
      <c r="K188" s="1158"/>
      <c r="L188" s="1158"/>
    </row>
    <row r="189" spans="1:12" ht="15" customHeight="1">
      <c r="G189" s="24"/>
      <c r="H189" s="24"/>
      <c r="I189" s="24"/>
      <c r="J189" s="24"/>
      <c r="K189" s="24"/>
      <c r="L189" s="24"/>
    </row>
    <row r="191" spans="1:12" ht="15" customHeight="1">
      <c r="G191" s="24"/>
      <c r="H191" s="24"/>
      <c r="I191" s="24"/>
      <c r="J191" s="24"/>
      <c r="K191" s="24"/>
      <c r="L191" s="24"/>
    </row>
    <row r="192" spans="1:12" ht="15" customHeight="1">
      <c r="G192" s="24"/>
      <c r="H192" s="24"/>
      <c r="I192" s="24"/>
      <c r="J192" s="24"/>
      <c r="K192" s="24"/>
      <c r="L192" s="24"/>
    </row>
    <row r="193" spans="7:12" ht="15" customHeight="1">
      <c r="G193" s="24"/>
      <c r="H193" s="24"/>
      <c r="I193" s="24"/>
      <c r="J193" s="24"/>
      <c r="K193" s="24"/>
      <c r="L193" s="24"/>
    </row>
    <row r="195" spans="7:12" ht="15" customHeight="1">
      <c r="G195" s="24"/>
      <c r="H195" s="24"/>
      <c r="I195" s="24"/>
      <c r="J195" s="24"/>
      <c r="K195" s="24"/>
      <c r="L195" s="24"/>
    </row>
    <row r="196" spans="7:12" ht="15" customHeight="1">
      <c r="G196" s="24"/>
      <c r="H196" s="24"/>
      <c r="I196" s="24"/>
      <c r="J196" s="24"/>
      <c r="K196" s="24"/>
      <c r="L196" s="24"/>
    </row>
    <row r="197" spans="7:12" ht="15" customHeight="1">
      <c r="G197" s="24"/>
      <c r="H197" s="24"/>
      <c r="I197" s="24"/>
      <c r="J197" s="24"/>
      <c r="K197" s="24"/>
      <c r="L197" s="24"/>
    </row>
    <row r="199" spans="7:12" ht="15" customHeight="1">
      <c r="G199" s="24"/>
      <c r="H199" s="24"/>
      <c r="I199" s="24"/>
      <c r="J199" s="24"/>
      <c r="K199" s="24"/>
      <c r="L199" s="24"/>
    </row>
    <row r="200" spans="7:12" ht="15" customHeight="1">
      <c r="G200" s="24"/>
      <c r="H200" s="24"/>
      <c r="I200" s="24"/>
      <c r="J200" s="24"/>
      <c r="K200" s="24"/>
      <c r="L200" s="24"/>
    </row>
    <row r="201" spans="7:12" ht="15" customHeight="1">
      <c r="G201" s="24"/>
      <c r="H201" s="24"/>
      <c r="I201" s="24"/>
      <c r="J201" s="24"/>
      <c r="K201" s="24"/>
      <c r="L201" s="24"/>
    </row>
    <row r="203" spans="7:12" ht="15" customHeight="1">
      <c r="G203" s="24"/>
      <c r="H203" s="24"/>
      <c r="I203" s="24"/>
      <c r="J203" s="24"/>
      <c r="K203" s="24"/>
      <c r="L203" s="24"/>
    </row>
    <row r="204" spans="7:12" ht="15" customHeight="1">
      <c r="G204" s="24"/>
      <c r="H204" s="24"/>
      <c r="I204" s="24"/>
      <c r="J204" s="24"/>
      <c r="K204" s="24"/>
      <c r="L204" s="24"/>
    </row>
    <row r="205" spans="7:12" ht="15" customHeight="1">
      <c r="G205" s="24"/>
      <c r="H205" s="24"/>
      <c r="I205" s="24"/>
      <c r="J205" s="24"/>
      <c r="K205" s="24"/>
      <c r="L205" s="24"/>
    </row>
    <row r="207" spans="7:12" ht="15" customHeight="1">
      <c r="G207" s="24"/>
      <c r="H207" s="24"/>
      <c r="I207" s="24"/>
      <c r="J207" s="24"/>
      <c r="K207" s="24"/>
      <c r="L207" s="24"/>
    </row>
    <row r="208" spans="7:12" ht="15" customHeight="1">
      <c r="G208" s="24"/>
      <c r="H208" s="24"/>
      <c r="I208" s="24"/>
      <c r="J208" s="24"/>
      <c r="K208" s="24"/>
      <c r="L208" s="24"/>
    </row>
    <row r="209" spans="1:23" ht="15" customHeight="1">
      <c r="G209" s="24"/>
      <c r="H209" s="24"/>
      <c r="I209" s="24"/>
      <c r="J209" s="24"/>
      <c r="K209" s="24"/>
      <c r="L209" s="24"/>
    </row>
    <row r="211" spans="1:23" ht="15" customHeight="1">
      <c r="G211" s="24"/>
      <c r="H211" s="24"/>
      <c r="I211" s="24"/>
      <c r="J211" s="24"/>
      <c r="K211" s="24"/>
      <c r="L211" s="24"/>
    </row>
    <row r="212" spans="1:23" ht="15" customHeight="1">
      <c r="G212" s="24"/>
      <c r="H212" s="24"/>
      <c r="I212" s="24"/>
      <c r="J212" s="24"/>
      <c r="K212" s="24"/>
      <c r="L212" s="24"/>
    </row>
    <row r="213" spans="1:23" ht="15" customHeight="1">
      <c r="G213" s="24"/>
      <c r="H213" s="24"/>
      <c r="I213" s="24"/>
      <c r="J213" s="24"/>
      <c r="K213" s="24"/>
      <c r="L213" s="24"/>
    </row>
    <row r="216" spans="1:23">
      <c r="A216" s="727"/>
      <c r="B216" s="728" t="s">
        <v>901</v>
      </c>
      <c r="C216" s="727"/>
      <c r="D216" s="727"/>
      <c r="E216" s="727"/>
      <c r="F216" s="727"/>
      <c r="G216" s="727"/>
      <c r="H216" s="727"/>
    </row>
    <row r="217" spans="1:23" ht="29.1">
      <c r="B217" s="522" t="s">
        <v>902</v>
      </c>
      <c r="C217" s="522" t="s">
        <v>898</v>
      </c>
      <c r="D217" s="522" t="s">
        <v>899</v>
      </c>
      <c r="E217" s="719" t="s">
        <v>903</v>
      </c>
      <c r="F217" s="522" t="s">
        <v>904</v>
      </c>
      <c r="G217" s="522" t="s">
        <v>905</v>
      </c>
      <c r="H217" s="522" t="s">
        <v>924</v>
      </c>
      <c r="I217" s="522" t="s">
        <v>956</v>
      </c>
      <c r="J217" s="522" t="s">
        <v>927</v>
      </c>
    </row>
    <row r="218" spans="1:23">
      <c r="B218" s="278" t="s">
        <v>136</v>
      </c>
      <c r="C218" s="278" t="s">
        <v>462</v>
      </c>
      <c r="D218" s="299" t="s">
        <v>1409</v>
      </c>
      <c r="E218" s="299">
        <v>2</v>
      </c>
      <c r="F218" s="278" t="str" cm="1">
        <f t="array" ref="F218">_xlfn.XLOOKUP(1,(D224:D228=B218)*(E224:E228=C218),B224:B228,"Not found",0,1)</f>
        <v>14-05</v>
      </c>
      <c r="G218" s="300">
        <f>VLOOKUP(F218,B224:L228,11,FALSE)</f>
        <v>94264</v>
      </c>
      <c r="H218" s="1120">
        <f>$D$183</f>
        <v>2.6666666666666665</v>
      </c>
      <c r="I218" s="1243" t="s">
        <v>958</v>
      </c>
      <c r="J218" s="1175" t="s">
        <v>1410</v>
      </c>
    </row>
    <row r="219" spans="1:23">
      <c r="B219" s="278" t="s">
        <v>137</v>
      </c>
      <c r="C219" s="278" t="s">
        <v>462</v>
      </c>
      <c r="D219" s="299" t="s">
        <v>1409</v>
      </c>
      <c r="E219" s="299">
        <v>3</v>
      </c>
      <c r="F219" s="278" t="str" cm="1">
        <f t="array" ref="F219">_xlfn.XLOOKUP(1,(D225:D229=B219)*(E225:E229=C219),B225:B229,"Not found",0,1)</f>
        <v>14-06</v>
      </c>
      <c r="G219" s="300">
        <f>VLOOKUP(F219,B224:L228,11,FALSE)</f>
        <v>94264</v>
      </c>
      <c r="H219" s="1121"/>
      <c r="I219" s="1244"/>
      <c r="J219" s="1176"/>
    </row>
    <row r="220" spans="1:23">
      <c r="B220" s="278" t="s">
        <v>139</v>
      </c>
      <c r="C220" s="278" t="s">
        <v>462</v>
      </c>
      <c r="D220" s="299" t="s">
        <v>1409</v>
      </c>
      <c r="E220" s="299">
        <v>4</v>
      </c>
      <c r="F220" s="278" t="str" cm="1">
        <f t="array" ref="F220">_xlfn.XLOOKUP(1,(D226:D230=B220)*(E226:E230=C220),B226:B230,"Not found",0,1)</f>
        <v>14-07</v>
      </c>
      <c r="G220" s="300">
        <f>VLOOKUP(F220,B225:L229,11,FALSE)</f>
        <v>65140</v>
      </c>
      <c r="H220" s="1121"/>
      <c r="I220" s="1244"/>
      <c r="J220" s="1176"/>
    </row>
    <row r="221" spans="1:23">
      <c r="B221" s="278" t="s">
        <v>140</v>
      </c>
      <c r="C221" s="278" t="s">
        <v>462</v>
      </c>
      <c r="D221" s="299" t="s">
        <v>1409</v>
      </c>
      <c r="E221" s="299">
        <v>3</v>
      </c>
      <c r="F221" s="278" t="str" cm="1">
        <f t="array" ref="F221">_xlfn.XLOOKUP(1,(D227:D231=B221)*(E227:E231=C221),B227:B231,"Not found",0,1)</f>
        <v>14-08</v>
      </c>
      <c r="G221" s="300">
        <f>VLOOKUP(F221,B224:L228,11,FALSE)</f>
        <v>65140</v>
      </c>
      <c r="H221" s="1122"/>
      <c r="I221" s="1245"/>
      <c r="J221" s="1177"/>
    </row>
    <row r="222" spans="1:23">
      <c r="B222" s="18"/>
    </row>
    <row r="223" spans="1:23">
      <c r="A223" s="725"/>
      <c r="B223" s="726" t="s">
        <v>962</v>
      </c>
      <c r="C223" s="725"/>
      <c r="D223" s="725"/>
      <c r="E223" s="725"/>
      <c r="F223" s="725"/>
      <c r="G223" s="725"/>
      <c r="H223" s="725"/>
    </row>
    <row r="224" spans="1:23">
      <c r="B224" s="277" t="s">
        <v>904</v>
      </c>
      <c r="C224" s="277" t="s">
        <v>62</v>
      </c>
      <c r="D224" s="277" t="s">
        <v>902</v>
      </c>
      <c r="E224" s="277" t="s">
        <v>898</v>
      </c>
      <c r="F224" s="277" t="s">
        <v>916</v>
      </c>
      <c r="G224" s="277" t="s">
        <v>963</v>
      </c>
      <c r="H224" s="277" t="s">
        <v>964</v>
      </c>
      <c r="I224" s="277" t="s">
        <v>965</v>
      </c>
      <c r="J224" s="277" t="s">
        <v>966</v>
      </c>
      <c r="K224" s="277" t="s">
        <v>967</v>
      </c>
      <c r="L224" s="277" t="s">
        <v>968</v>
      </c>
      <c r="M224" s="277" t="s">
        <v>956</v>
      </c>
      <c r="N224" s="277" t="s">
        <v>969</v>
      </c>
      <c r="O224" s="277" t="s">
        <v>970</v>
      </c>
      <c r="P224" s="277" t="s">
        <v>927</v>
      </c>
      <c r="Q224" s="277" t="s">
        <v>913</v>
      </c>
      <c r="R224" s="277" t="s">
        <v>914</v>
      </c>
      <c r="S224" s="277" t="s">
        <v>915</v>
      </c>
      <c r="T224" s="277" t="s">
        <v>916</v>
      </c>
      <c r="U224" s="277" t="s">
        <v>917</v>
      </c>
      <c r="V224" s="277" t="s">
        <v>918</v>
      </c>
      <c r="W224" s="277" t="s">
        <v>919</v>
      </c>
    </row>
    <row r="225" spans="1:24">
      <c r="B225" s="302" t="s">
        <v>1411</v>
      </c>
      <c r="C225" s="279" t="s">
        <v>384</v>
      </c>
      <c r="D225" s="279" t="s">
        <v>136</v>
      </c>
      <c r="E225" s="278" t="s">
        <v>462</v>
      </c>
      <c r="F225" s="299">
        <v>2023</v>
      </c>
      <c r="G225" s="278">
        <v>2023</v>
      </c>
      <c r="H225" s="278">
        <f>'COMPANY INPUT'!$C$16</f>
        <v>2023</v>
      </c>
      <c r="I225" s="278">
        <f>VLOOKUP(G225,'GDP Deflators'!$H$13:$I$86,2,FALSE)</f>
        <v>100</v>
      </c>
      <c r="J225" s="278">
        <f>VLOOKUP(H225,'GDP Deflators'!$H$13:$I$86,2,FALSE)</f>
        <v>100</v>
      </c>
      <c r="K225" s="385">
        <f>E187</f>
        <v>94264</v>
      </c>
      <c r="L225" s="746">
        <f>K225*(J225/I225)</f>
        <v>94264</v>
      </c>
      <c r="M225" s="300" t="str">
        <f>$I$218</f>
        <v>Willingness to Pay</v>
      </c>
      <c r="N225" s="326">
        <f>$H$218</f>
        <v>2.6666666666666665</v>
      </c>
      <c r="O225" s="278" t="s">
        <v>718</v>
      </c>
      <c r="P225" s="278" t="str">
        <f>$J$218</f>
        <v>Uses Ofwat's collaborative customer research</v>
      </c>
      <c r="Q225" s="299">
        <f t="shared" ref="Q225:W225" si="3">B173</f>
        <v>16</v>
      </c>
      <c r="R225" s="299" t="str">
        <f t="shared" si="3"/>
        <v>Ofwat (2023) PR24: Using collaborative customer research to set outcome delivery incentive rates</v>
      </c>
      <c r="S225" s="299">
        <f t="shared" si="3"/>
        <v>0</v>
      </c>
      <c r="T225" s="299">
        <f t="shared" si="3"/>
        <v>2023</v>
      </c>
      <c r="U225" s="299" t="str">
        <f t="shared" si="3"/>
        <v>England and Wales</v>
      </c>
      <c r="V225" s="299" t="str">
        <f t="shared" si="3"/>
        <v>England and Wales</v>
      </c>
      <c r="W225" s="299">
        <f t="shared" si="3"/>
        <v>0</v>
      </c>
    </row>
    <row r="226" spans="1:24">
      <c r="B226" s="302" t="s">
        <v>1412</v>
      </c>
      <c r="C226" s="279" t="s">
        <v>384</v>
      </c>
      <c r="D226" s="279" t="s">
        <v>137</v>
      </c>
      <c r="E226" s="278" t="s">
        <v>462</v>
      </c>
      <c r="F226" s="299">
        <v>2023</v>
      </c>
      <c r="G226" s="278">
        <v>2023</v>
      </c>
      <c r="H226" s="278">
        <f>'COMPANY INPUT'!$C$16</f>
        <v>2023</v>
      </c>
      <c r="I226" s="278">
        <f>VLOOKUP(G226,'GDP Deflators'!$H$13:$I$86,2,FALSE)</f>
        <v>100</v>
      </c>
      <c r="J226" s="278">
        <f>VLOOKUP(H226,'GDP Deflators'!$H$13:$I$86,2,FALSE)</f>
        <v>100</v>
      </c>
      <c r="K226" s="385">
        <f>E187</f>
        <v>94264</v>
      </c>
      <c r="L226" s="746">
        <f>K226*(J226/I226)</f>
        <v>94264</v>
      </c>
      <c r="M226" s="300" t="str">
        <f>$I$218</f>
        <v>Willingness to Pay</v>
      </c>
      <c r="N226" s="326">
        <f>$H$218</f>
        <v>2.6666666666666665</v>
      </c>
      <c r="O226" s="278" t="s">
        <v>718</v>
      </c>
      <c r="P226" s="278" t="str">
        <f>$J$218</f>
        <v>Uses Ofwat's collaborative customer research</v>
      </c>
      <c r="Q226" s="299">
        <f t="shared" ref="Q226:W226" si="4">B173</f>
        <v>16</v>
      </c>
      <c r="R226" s="299" t="str">
        <f t="shared" si="4"/>
        <v>Ofwat (2023) PR24: Using collaborative customer research to set outcome delivery incentive rates</v>
      </c>
      <c r="S226" s="299">
        <f t="shared" si="4"/>
        <v>0</v>
      </c>
      <c r="T226" s="299">
        <f t="shared" si="4"/>
        <v>2023</v>
      </c>
      <c r="U226" s="299" t="str">
        <f t="shared" si="4"/>
        <v>England and Wales</v>
      </c>
      <c r="V226" s="299" t="str">
        <f t="shared" si="4"/>
        <v>England and Wales</v>
      </c>
      <c r="W226" s="299">
        <f t="shared" si="4"/>
        <v>0</v>
      </c>
    </row>
    <row r="227" spans="1:24">
      <c r="B227" s="302" t="s">
        <v>1413</v>
      </c>
      <c r="C227" s="279" t="s">
        <v>384</v>
      </c>
      <c r="D227" s="279" t="s">
        <v>139</v>
      </c>
      <c r="E227" s="278" t="s">
        <v>462</v>
      </c>
      <c r="F227" s="299">
        <v>2023</v>
      </c>
      <c r="G227" s="278">
        <v>2023</v>
      </c>
      <c r="H227" s="278">
        <f>'COMPANY INPUT'!$C$16</f>
        <v>2023</v>
      </c>
      <c r="I227" s="278">
        <f>VLOOKUP(G227,'GDP Deflators'!$H$13:$I$86,2,FALSE)</f>
        <v>100</v>
      </c>
      <c r="J227" s="278">
        <f>VLOOKUP(H227,'GDP Deflators'!$H$13:$I$86,2,FALSE)</f>
        <v>100</v>
      </c>
      <c r="K227" s="385">
        <f>E188</f>
        <v>65140</v>
      </c>
      <c r="L227" s="746">
        <f>K227*(J227/I227)</f>
        <v>65140</v>
      </c>
      <c r="M227" s="300" t="str">
        <f>$I$218</f>
        <v>Willingness to Pay</v>
      </c>
      <c r="N227" s="326">
        <f>$H$218</f>
        <v>2.6666666666666665</v>
      </c>
      <c r="O227" s="278" t="s">
        <v>718</v>
      </c>
      <c r="P227" s="278" t="str">
        <f>$J$218</f>
        <v>Uses Ofwat's collaborative customer research</v>
      </c>
      <c r="Q227" s="299">
        <f t="shared" ref="Q227:W227" si="5">B173</f>
        <v>16</v>
      </c>
      <c r="R227" s="299" t="str">
        <f t="shared" si="5"/>
        <v>Ofwat (2023) PR24: Using collaborative customer research to set outcome delivery incentive rates</v>
      </c>
      <c r="S227" s="299">
        <f t="shared" si="5"/>
        <v>0</v>
      </c>
      <c r="T227" s="299">
        <f t="shared" si="5"/>
        <v>2023</v>
      </c>
      <c r="U227" s="299" t="str">
        <f t="shared" si="5"/>
        <v>England and Wales</v>
      </c>
      <c r="V227" s="299" t="str">
        <f t="shared" si="5"/>
        <v>England and Wales</v>
      </c>
      <c r="W227" s="299">
        <f t="shared" si="5"/>
        <v>0</v>
      </c>
    </row>
    <row r="228" spans="1:24">
      <c r="B228" s="302" t="s">
        <v>1414</v>
      </c>
      <c r="C228" s="279" t="s">
        <v>384</v>
      </c>
      <c r="D228" s="278" t="s">
        <v>140</v>
      </c>
      <c r="E228" s="278" t="s">
        <v>462</v>
      </c>
      <c r="F228" s="299">
        <v>2023</v>
      </c>
      <c r="G228" s="278">
        <v>2023</v>
      </c>
      <c r="H228" s="278">
        <f>'COMPANY INPUT'!$C$16</f>
        <v>2023</v>
      </c>
      <c r="I228" s="278">
        <f>VLOOKUP(G228,'GDP Deflators'!$H$13:$I$86,2,FALSE)</f>
        <v>100</v>
      </c>
      <c r="J228" s="278">
        <f>VLOOKUP(H228,'GDP Deflators'!$H$13:$I$86,2,FALSE)</f>
        <v>100</v>
      </c>
      <c r="K228" s="385">
        <f>E188</f>
        <v>65140</v>
      </c>
      <c r="L228" s="746">
        <f>K228*(J228/I228)</f>
        <v>65140</v>
      </c>
      <c r="M228" s="300" t="str">
        <f>$I$218</f>
        <v>Willingness to Pay</v>
      </c>
      <c r="N228" s="326">
        <f>$H$218</f>
        <v>2.6666666666666665</v>
      </c>
      <c r="O228" s="278" t="s">
        <v>718</v>
      </c>
      <c r="P228" s="278" t="str">
        <f>$J$218</f>
        <v>Uses Ofwat's collaborative customer research</v>
      </c>
      <c r="Q228" s="299">
        <f t="shared" ref="Q228:V228" si="6">B173</f>
        <v>16</v>
      </c>
      <c r="R228" s="278" t="str">
        <f t="shared" si="6"/>
        <v>Ofwat (2023) PR24: Using collaborative customer research to set outcome delivery incentive rates</v>
      </c>
      <c r="S228" s="278">
        <f t="shared" si="6"/>
        <v>0</v>
      </c>
      <c r="T228" s="278">
        <f t="shared" si="6"/>
        <v>2023</v>
      </c>
      <c r="U228" s="278" t="str">
        <f t="shared" si="6"/>
        <v>England and Wales</v>
      </c>
      <c r="V228" s="278" t="str">
        <f t="shared" si="6"/>
        <v>England and Wales</v>
      </c>
      <c r="W228" s="278">
        <f>H153</f>
        <v>0</v>
      </c>
    </row>
    <row r="231" spans="1:24" s="217" customFormat="1">
      <c r="A231" s="721"/>
      <c r="B231" s="722" t="s">
        <v>465</v>
      </c>
      <c r="C231" s="721"/>
      <c r="D231" s="721"/>
      <c r="E231" s="721"/>
      <c r="F231" s="721"/>
      <c r="G231" s="721"/>
      <c r="H231" s="721"/>
      <c r="I231" s="2"/>
      <c r="J231" s="2"/>
      <c r="K231" s="2"/>
      <c r="L231" s="2"/>
      <c r="M231" s="2"/>
      <c r="N231" s="2"/>
      <c r="O231" s="2"/>
      <c r="P231" s="2"/>
      <c r="Q231" s="2"/>
      <c r="R231" s="2"/>
      <c r="S231" s="2"/>
      <c r="T231" s="2"/>
      <c r="U231" s="2"/>
      <c r="V231" s="2"/>
      <c r="W231" s="2"/>
      <c r="X231" s="2"/>
    </row>
    <row r="232" spans="1:24" s="217" customFormat="1">
      <c r="A232" s="727"/>
      <c r="B232" s="729" t="s">
        <v>897</v>
      </c>
      <c r="C232" s="727"/>
      <c r="D232" s="727"/>
      <c r="E232" s="727"/>
      <c r="F232" s="727"/>
      <c r="G232" s="727"/>
      <c r="H232" s="727"/>
      <c r="I232" s="2"/>
      <c r="J232" s="2"/>
      <c r="K232" s="2"/>
      <c r="L232" s="2"/>
      <c r="M232" s="2"/>
      <c r="N232" s="2"/>
      <c r="O232" s="2"/>
      <c r="P232" s="2"/>
      <c r="Q232" s="2"/>
      <c r="R232" s="2"/>
      <c r="S232" s="2"/>
      <c r="T232" s="2"/>
      <c r="U232" s="2"/>
      <c r="V232" s="2"/>
      <c r="W232" s="2"/>
      <c r="X232" s="2"/>
    </row>
    <row r="233" spans="1:24">
      <c r="B233" s="277" t="s">
        <v>898</v>
      </c>
      <c r="C233" s="277" t="s">
        <v>899</v>
      </c>
    </row>
    <row r="234" spans="1:24">
      <c r="B234" s="278" t="s">
        <v>1373</v>
      </c>
      <c r="C234" s="278" t="s">
        <v>989</v>
      </c>
    </row>
    <row r="235" spans="1:24">
      <c r="B235" s="16"/>
    </row>
    <row r="236" spans="1:24">
      <c r="B236" s="16"/>
    </row>
    <row r="237" spans="1:24" s="217" customFormat="1">
      <c r="A237" s="727"/>
      <c r="B237" s="728" t="s">
        <v>1039</v>
      </c>
      <c r="C237" s="727"/>
      <c r="D237" s="727"/>
      <c r="E237" s="727"/>
      <c r="F237" s="727"/>
      <c r="G237" s="727"/>
      <c r="H237" s="727"/>
      <c r="I237" s="2"/>
      <c r="J237" s="2"/>
      <c r="K237" s="2"/>
      <c r="L237" s="2"/>
      <c r="M237" s="2"/>
      <c r="N237" s="2"/>
      <c r="O237" s="2"/>
      <c r="P237" s="2"/>
      <c r="Q237" s="2"/>
      <c r="R237" s="2"/>
      <c r="S237" s="2"/>
      <c r="T237" s="2"/>
      <c r="U237" s="2"/>
      <c r="V237" s="2"/>
      <c r="W237" s="2"/>
      <c r="X237" s="2"/>
    </row>
    <row r="238" spans="1:24" ht="29.1">
      <c r="B238" s="719" t="s">
        <v>913</v>
      </c>
      <c r="C238" s="719" t="s">
        <v>914</v>
      </c>
      <c r="D238" s="719" t="s">
        <v>915</v>
      </c>
      <c r="E238" s="719" t="s">
        <v>916</v>
      </c>
      <c r="F238" s="719" t="s">
        <v>917</v>
      </c>
      <c r="G238" s="719" t="s">
        <v>918</v>
      </c>
      <c r="H238" s="719" t="s">
        <v>919</v>
      </c>
    </row>
    <row r="239" spans="1:24">
      <c r="B239" s="278">
        <v>64</v>
      </c>
      <c r="C239" s="278" t="s">
        <v>1415</v>
      </c>
      <c r="D239" s="278" t="s">
        <v>1416</v>
      </c>
      <c r="E239" s="278">
        <v>2021</v>
      </c>
      <c r="F239" s="278" t="s">
        <v>1047</v>
      </c>
      <c r="G239" s="278" t="s">
        <v>1047</v>
      </c>
      <c r="H239" s="278"/>
    </row>
    <row r="240" spans="1:24">
      <c r="B240" s="16"/>
    </row>
    <row r="241" spans="1:24">
      <c r="B241" s="277" t="s">
        <v>165</v>
      </c>
      <c r="C241" s="277" t="s">
        <v>925</v>
      </c>
      <c r="D241" s="277" t="s">
        <v>926</v>
      </c>
      <c r="E241" s="1179" t="s">
        <v>927</v>
      </c>
      <c r="F241" s="1179"/>
      <c r="G241" s="1179"/>
      <c r="H241" s="1179"/>
    </row>
    <row r="242" spans="1:24">
      <c r="B242" s="278" t="s">
        <v>169</v>
      </c>
      <c r="C242" s="278" t="s">
        <v>166</v>
      </c>
      <c r="D242" s="278">
        <f>VLOOKUP(C242,METHODOLOGY!$C$175:$D$177,2,FALSE)</f>
        <v>3</v>
      </c>
      <c r="E242" s="1087" t="str">
        <f>_xlfn.XLOOKUP(C242,METHODOLOGY!$E$150:$O$150,METHODOLOGY!$E$151:$O$151,"",0,1)</f>
        <v>Monetary values have been peer reviewed or are recommended / referenced in other, well recognised and accepted guidance / tools relevant to the water sector.</v>
      </c>
      <c r="F242" s="1087"/>
      <c r="G242" s="1087"/>
      <c r="H242" s="1087"/>
    </row>
    <row r="243" spans="1:24">
      <c r="B243" s="278" t="s">
        <v>173</v>
      </c>
      <c r="C243" s="278" t="s">
        <v>167</v>
      </c>
      <c r="D243" s="278">
        <f>VLOOKUP(C243,METHODOLOGY!$C$175:$D$177,2,FALSE)</f>
        <v>2</v>
      </c>
      <c r="E243" s="1087" t="str">
        <f>_xlfn.XLOOKUP(C243,METHODOLOGY!$E$150:$O$150,METHODOLOGY!$E$155:$O$155,"",0,1)</f>
        <v>Study has some limitations which may impact on the robustness of the value.</v>
      </c>
      <c r="F243" s="1087"/>
      <c r="G243" s="1087"/>
      <c r="H243" s="1087"/>
    </row>
    <row r="244" spans="1:24">
      <c r="B244" s="278" t="s">
        <v>177</v>
      </c>
      <c r="C244" s="278" t="s">
        <v>166</v>
      </c>
      <c r="D244" s="278">
        <f>VLOOKUP(C244,METHODOLOGY!$C$175:$D$177,2,FALSE)</f>
        <v>3</v>
      </c>
      <c r="E244" s="1087" t="str">
        <f>_xlfn.XLOOKUP(C244,METHODOLOGY!$E$150:$O$150,METHODOLOGY!$E$158:$O$158,"",0,1)</f>
        <v>0 – 5 years</v>
      </c>
      <c r="F244" s="1087"/>
      <c r="G244" s="1087"/>
      <c r="H244" s="1087"/>
    </row>
    <row r="245" spans="1:24">
      <c r="B245" s="278" t="s">
        <v>181</v>
      </c>
      <c r="C245" s="278" t="s">
        <v>166</v>
      </c>
      <c r="D245" s="278">
        <f>VLOOKUP(C245,METHODOLOGY!$C$175:$D$177,2,FALSE)</f>
        <v>3</v>
      </c>
      <c r="E245" s="1087" t="str">
        <f>_xlfn.XLOOKUP(C245,METHODOLOGY!$E$150:$O$150,METHODOLOGY!$E$160:$O$160,"",0,1)</f>
        <v>Geographically relevant to UK</v>
      </c>
      <c r="F245" s="1087"/>
      <c r="G245" s="1087"/>
      <c r="H245" s="1087"/>
    </row>
    <row r="246" spans="1:24">
      <c r="B246" s="278" t="s">
        <v>928</v>
      </c>
      <c r="C246" s="278" t="s">
        <v>167</v>
      </c>
      <c r="D246" s="278">
        <f>VLOOKUP(C246,METHODOLOGY!$C$175:$D$177,2,FALSE)</f>
        <v>2</v>
      </c>
      <c r="E246" s="1087" t="str">
        <f>_xlfn.XLOOKUP(C246,METHODOLOGY!$E$150:$O$150,METHODOLOGY!$E$162:$O$162,"",0,1)</f>
        <v>Meta-analysis or limited understanding of what the value represents.</v>
      </c>
      <c r="F246" s="1087"/>
      <c r="G246" s="1087"/>
      <c r="H246" s="1087"/>
    </row>
    <row r="247" spans="1:24">
      <c r="B247" s="278" t="s">
        <v>189</v>
      </c>
      <c r="C247" s="278" t="s">
        <v>167</v>
      </c>
      <c r="D247" s="278">
        <f>VLOOKUP(C247,METHODOLOGY!$C$175:$D$177,2,FALSE)</f>
        <v>2</v>
      </c>
      <c r="E247" s="1087" t="str">
        <f>_xlfn.XLOOKUP(C247,METHODOLOGY!$E$150:$O$150,METHODOLOGY!$E$164:$O$164,"",0,1)</f>
        <v xml:space="preserve">The original valuation can be used with some modification e.g. applying household numbers. The calculation is simple or introduces low levels of uncertainty. </v>
      </c>
      <c r="F247" s="1087"/>
      <c r="G247" s="1087"/>
      <c r="H247" s="1087"/>
    </row>
    <row r="248" spans="1:24">
      <c r="C248" s="282" t="s">
        <v>924</v>
      </c>
      <c r="D248" s="326">
        <f>IF(AND(D247=1,AVERAGE(D242:D247)&gt;2.14285714285714),2.14285714285714,IF(AND(D247=2,AVERAGE(D242:D247)&gt;2.57142857142857),2.57142857142857,AVERAGE(D242:D247)))</f>
        <v>2.5</v>
      </c>
      <c r="E248" s="270" t="str">
        <f>IF(D248&lt;=2.14285714285714,"Red",IF(D248&lt;=2.57142857142857,"Amber",IF(D248&lt;=3,"Green")))</f>
        <v>Amber</v>
      </c>
    </row>
    <row r="250" spans="1:24" s="217" customFormat="1">
      <c r="A250" s="725"/>
      <c r="B250" s="726" t="s">
        <v>929</v>
      </c>
      <c r="C250" s="725"/>
      <c r="D250" s="725"/>
      <c r="E250" s="725"/>
      <c r="F250" s="725"/>
      <c r="G250" s="725"/>
      <c r="H250" s="725"/>
      <c r="I250" s="2"/>
      <c r="J250" s="2"/>
      <c r="K250" s="2"/>
      <c r="L250" s="2"/>
      <c r="M250" s="2"/>
      <c r="N250" s="2"/>
      <c r="O250" s="2"/>
      <c r="P250" s="2"/>
      <c r="Q250" s="2"/>
      <c r="R250" s="2"/>
      <c r="S250" s="2"/>
      <c r="T250" s="2"/>
      <c r="U250" s="2"/>
      <c r="V250" s="2"/>
      <c r="W250" s="2"/>
      <c r="X250" s="2"/>
    </row>
    <row r="251" spans="1:24">
      <c r="B251" s="277" t="s">
        <v>913</v>
      </c>
      <c r="C251" s="277" t="s">
        <v>1089</v>
      </c>
      <c r="D251" s="277" t="s">
        <v>902</v>
      </c>
      <c r="E251" s="277" t="s">
        <v>331</v>
      </c>
      <c r="F251" s="277" t="s">
        <v>226</v>
      </c>
      <c r="G251" s="1157" t="s">
        <v>930</v>
      </c>
      <c r="H251" s="1157"/>
      <c r="I251" s="1157"/>
      <c r="J251" s="1157"/>
      <c r="K251" s="1157"/>
      <c r="L251" s="1157"/>
    </row>
    <row r="252" spans="1:24">
      <c r="B252" s="278">
        <v>64</v>
      </c>
      <c r="C252" s="278" t="s">
        <v>465</v>
      </c>
      <c r="D252" s="278" t="s">
        <v>134</v>
      </c>
      <c r="E252" s="278">
        <v>1878</v>
      </c>
      <c r="F252" s="394" t="s">
        <v>1417</v>
      </c>
      <c r="G252" s="1158" t="s">
        <v>1418</v>
      </c>
      <c r="H252" s="1158"/>
      <c r="I252" s="1158"/>
      <c r="J252" s="1158"/>
      <c r="K252" s="1158"/>
      <c r="L252" s="1158"/>
    </row>
    <row r="253" spans="1:24" s="217" customFormat="1">
      <c r="A253" s="2"/>
      <c r="B253" s="278">
        <v>64</v>
      </c>
      <c r="C253" s="278" t="s">
        <v>465</v>
      </c>
      <c r="D253" s="278" t="s">
        <v>138</v>
      </c>
      <c r="E253" s="278">
        <v>1878</v>
      </c>
      <c r="F253" s="394" t="s">
        <v>1417</v>
      </c>
      <c r="G253" s="1095"/>
      <c r="H253" s="1095"/>
      <c r="I253" s="1095"/>
      <c r="J253" s="1095"/>
      <c r="K253" s="1095"/>
      <c r="L253" s="1095"/>
      <c r="M253" s="2"/>
      <c r="N253" s="2"/>
      <c r="O253" s="2"/>
      <c r="P253" s="2"/>
      <c r="Q253" s="2"/>
      <c r="R253" s="2"/>
      <c r="S253" s="2"/>
      <c r="T253" s="2"/>
      <c r="U253" s="2"/>
      <c r="V253" s="2"/>
      <c r="W253" s="2"/>
      <c r="X253" s="2"/>
    </row>
    <row r="254" spans="1:24" s="217" customFormat="1">
      <c r="A254" s="2"/>
      <c r="B254" s="278">
        <v>64</v>
      </c>
      <c r="C254" s="278" t="s">
        <v>465</v>
      </c>
      <c r="D254" s="278" t="s">
        <v>134</v>
      </c>
      <c r="E254" s="278">
        <v>1.85</v>
      </c>
      <c r="F254" s="278" t="s">
        <v>1419</v>
      </c>
      <c r="G254" s="1095"/>
      <c r="H254" s="1095"/>
      <c r="I254" s="1095"/>
      <c r="J254" s="1095"/>
      <c r="K254" s="1095"/>
      <c r="L254" s="1095"/>
      <c r="M254" s="2"/>
      <c r="N254" s="2"/>
      <c r="O254" s="2"/>
      <c r="P254" s="2"/>
      <c r="Q254" s="2"/>
      <c r="R254" s="2"/>
      <c r="S254" s="2"/>
      <c r="T254" s="2"/>
      <c r="U254" s="2"/>
      <c r="V254" s="2"/>
      <c r="W254" s="2"/>
      <c r="X254" s="2"/>
    </row>
    <row r="255" spans="1:24" s="217" customFormat="1">
      <c r="A255" s="2"/>
      <c r="B255" s="278">
        <v>64</v>
      </c>
      <c r="C255" s="278" t="s">
        <v>465</v>
      </c>
      <c r="D255" s="278" t="s">
        <v>138</v>
      </c>
      <c r="E255" s="278">
        <v>1.85</v>
      </c>
      <c r="F255" s="278" t="s">
        <v>1419</v>
      </c>
      <c r="G255" s="1095"/>
      <c r="H255" s="1095"/>
      <c r="I255" s="1095"/>
      <c r="J255" s="1095"/>
      <c r="K255" s="1095"/>
      <c r="L255" s="1095"/>
      <c r="M255" s="2"/>
      <c r="N255" s="2"/>
      <c r="O255" s="2"/>
      <c r="P255" s="2"/>
      <c r="Q255" s="2"/>
      <c r="R255" s="2"/>
      <c r="S255" s="2"/>
      <c r="T255" s="2"/>
      <c r="U255" s="2"/>
      <c r="V255" s="2"/>
      <c r="W255" s="2"/>
      <c r="X255" s="2"/>
    </row>
    <row r="256" spans="1:24" s="217" customFormat="1">
      <c r="A256" s="2"/>
      <c r="B256" s="2"/>
      <c r="C256" s="2"/>
      <c r="D256" s="2"/>
      <c r="E256" s="2"/>
      <c r="F256" s="2"/>
      <c r="G256" s="2"/>
      <c r="H256" s="2"/>
      <c r="I256" s="2"/>
      <c r="J256" s="2"/>
      <c r="K256" s="2"/>
      <c r="L256" s="2"/>
      <c r="M256" s="2"/>
      <c r="N256" s="2"/>
      <c r="O256" s="2"/>
      <c r="P256" s="2"/>
      <c r="Q256" s="2"/>
      <c r="R256" s="2"/>
      <c r="S256" s="2"/>
      <c r="T256" s="2"/>
      <c r="U256" s="2"/>
      <c r="V256" s="2"/>
      <c r="W256" s="2"/>
      <c r="X256" s="2"/>
    </row>
    <row r="257" spans="1:24" ht="15" customHeight="1">
      <c r="G257" s="24"/>
      <c r="H257" s="24"/>
      <c r="I257" s="24"/>
      <c r="J257" s="24"/>
      <c r="K257" s="24"/>
      <c r="L257" s="24"/>
    </row>
    <row r="259" spans="1:24" ht="15" customHeight="1">
      <c r="G259" s="24"/>
      <c r="H259" s="24"/>
      <c r="I259" s="24"/>
      <c r="J259" s="24"/>
      <c r="K259" s="24"/>
      <c r="L259" s="24"/>
    </row>
    <row r="260" spans="1:24" ht="15" customHeight="1">
      <c r="G260" s="24"/>
      <c r="H260" s="24"/>
      <c r="I260" s="24"/>
      <c r="J260" s="24"/>
      <c r="K260" s="24"/>
      <c r="L260" s="24"/>
    </row>
    <row r="261" spans="1:24" ht="15" customHeight="1">
      <c r="G261" s="24"/>
      <c r="H261" s="24"/>
      <c r="I261" s="24"/>
      <c r="J261" s="24"/>
      <c r="K261" s="24"/>
      <c r="L261" s="24"/>
    </row>
    <row r="263" spans="1:24" ht="15" customHeight="1">
      <c r="G263" s="24"/>
      <c r="H263" s="24"/>
      <c r="I263" s="24"/>
      <c r="J263" s="24"/>
      <c r="K263" s="24"/>
      <c r="L263" s="24"/>
    </row>
    <row r="264" spans="1:24" ht="15" customHeight="1">
      <c r="G264" s="24"/>
      <c r="H264" s="24"/>
      <c r="I264" s="24"/>
      <c r="J264" s="24"/>
      <c r="K264" s="24"/>
      <c r="L264" s="24"/>
    </row>
    <row r="265" spans="1:24" ht="15" customHeight="1">
      <c r="G265" s="24"/>
      <c r="H265" s="24"/>
      <c r="I265" s="24"/>
      <c r="J265" s="24"/>
      <c r="K265" s="24"/>
      <c r="L265" s="24"/>
    </row>
    <row r="267" spans="1:24" ht="15" customHeight="1">
      <c r="G267" s="24"/>
      <c r="H267" s="24"/>
      <c r="I267" s="24"/>
      <c r="J267" s="24"/>
      <c r="K267" s="24"/>
      <c r="L267" s="24"/>
    </row>
    <row r="268" spans="1:24" ht="15" customHeight="1">
      <c r="G268" s="24"/>
      <c r="H268" s="24"/>
      <c r="I268" s="24"/>
      <c r="J268" s="24"/>
      <c r="K268" s="24"/>
      <c r="L268" s="24"/>
    </row>
    <row r="269" spans="1:24" ht="15" customHeight="1">
      <c r="G269" s="24"/>
      <c r="H269" s="24"/>
      <c r="I269" s="24"/>
      <c r="J269" s="24"/>
      <c r="K269" s="24"/>
      <c r="L269" s="24"/>
    </row>
    <row r="271" spans="1:24" s="217" customFormat="1">
      <c r="A271" s="725"/>
      <c r="B271" s="726" t="s">
        <v>936</v>
      </c>
      <c r="C271" s="725"/>
      <c r="D271" s="725"/>
      <c r="E271" s="725"/>
      <c r="F271" s="725"/>
      <c r="G271" s="725"/>
      <c r="H271" s="725"/>
      <c r="I271" s="2"/>
      <c r="J271" s="2"/>
      <c r="K271" s="2"/>
      <c r="L271" s="2"/>
      <c r="M271" s="2"/>
      <c r="N271" s="2"/>
      <c r="O271" s="2"/>
      <c r="P271" s="2"/>
      <c r="Q271" s="2"/>
      <c r="R271" s="2"/>
      <c r="S271" s="2"/>
      <c r="T271" s="2"/>
      <c r="U271" s="2"/>
      <c r="V271" s="2"/>
      <c r="W271" s="2"/>
      <c r="X271" s="2"/>
    </row>
    <row r="272" spans="1:24">
      <c r="B272" s="298" t="s">
        <v>1339</v>
      </c>
      <c r="C272" s="298" t="s">
        <v>1174</v>
      </c>
      <c r="D272" s="1179" t="s">
        <v>1420</v>
      </c>
      <c r="E272" s="1179"/>
      <c r="F272" s="1179"/>
      <c r="G272" s="1179"/>
      <c r="H272" s="1179"/>
      <c r="I272" s="3"/>
      <c r="J272" s="3"/>
    </row>
    <row r="273" spans="1:24" ht="20.25" customHeight="1">
      <c r="B273" s="334" t="s">
        <v>1421</v>
      </c>
      <c r="C273" s="457">
        <v>1878</v>
      </c>
      <c r="D273" s="1240" t="s">
        <v>1422</v>
      </c>
      <c r="E273" s="1181"/>
      <c r="F273" s="1181"/>
      <c r="G273" s="1181"/>
      <c r="H273" s="1182"/>
      <c r="I273" s="3"/>
      <c r="J273" s="3"/>
    </row>
    <row r="274" spans="1:24" ht="20.25" customHeight="1">
      <c r="B274" s="334" t="s">
        <v>1423</v>
      </c>
      <c r="C274" s="460">
        <v>1.85</v>
      </c>
      <c r="D274" s="1241"/>
      <c r="E274" s="1013"/>
      <c r="F274" s="1013"/>
      <c r="G274" s="1013"/>
      <c r="H274" s="1242"/>
      <c r="I274" s="3"/>
      <c r="J274" s="3"/>
    </row>
    <row r="275" spans="1:24" ht="20.25" customHeight="1">
      <c r="B275" s="334" t="s">
        <v>1424</v>
      </c>
      <c r="C275" s="461">
        <f>C273*C274</f>
        <v>3474.3</v>
      </c>
      <c r="D275" s="1241"/>
      <c r="E275" s="1013"/>
      <c r="F275" s="1013"/>
      <c r="G275" s="1013"/>
      <c r="H275" s="1242"/>
      <c r="I275" s="24"/>
      <c r="J275" s="24"/>
      <c r="K275" s="24"/>
      <c r="L275" s="24"/>
    </row>
    <row r="276" spans="1:24" ht="20.25" customHeight="1">
      <c r="B276" s="334" t="s">
        <v>1425</v>
      </c>
      <c r="C276" s="462">
        <f>E123/E124</f>
        <v>1.2081395348837209</v>
      </c>
      <c r="D276" s="1241"/>
      <c r="E276" s="1013"/>
      <c r="F276" s="1013"/>
      <c r="G276" s="1013"/>
      <c r="H276" s="1242"/>
      <c r="I276" s="24"/>
      <c r="J276" s="24"/>
      <c r="K276" s="24"/>
      <c r="L276" s="24"/>
    </row>
    <row r="277" spans="1:24" ht="20.25" customHeight="1">
      <c r="B277" s="334" t="s">
        <v>1426</v>
      </c>
      <c r="C277" s="461">
        <f>C275*C276</f>
        <v>4197.4391860465121</v>
      </c>
      <c r="D277" s="1183"/>
      <c r="E277" s="1184"/>
      <c r="F277" s="1184"/>
      <c r="G277" s="1184"/>
      <c r="H277" s="1185"/>
      <c r="I277" s="24"/>
      <c r="J277" s="24"/>
      <c r="K277" s="24"/>
      <c r="L277" s="24"/>
    </row>
    <row r="278" spans="1:24" s="3" customFormat="1">
      <c r="C278" s="255"/>
      <c r="E278" s="24"/>
      <c r="F278" s="24"/>
      <c r="G278" s="24"/>
      <c r="H278" s="24"/>
    </row>
    <row r="280" spans="1:24" s="217" customFormat="1">
      <c r="A280" s="727"/>
      <c r="B280" s="728" t="s">
        <v>901</v>
      </c>
      <c r="C280" s="727"/>
      <c r="D280" s="727"/>
      <c r="E280" s="727"/>
      <c r="F280" s="727"/>
      <c r="G280" s="727"/>
      <c r="H280" s="727"/>
      <c r="I280" s="2"/>
      <c r="J280" s="2"/>
      <c r="K280" s="2"/>
      <c r="L280" s="2"/>
      <c r="M280" s="2"/>
      <c r="N280" s="2"/>
      <c r="O280" s="2"/>
      <c r="P280" s="2"/>
      <c r="Q280" s="2"/>
      <c r="R280" s="2"/>
      <c r="S280" s="2"/>
      <c r="T280" s="2"/>
      <c r="U280" s="2"/>
      <c r="V280" s="2"/>
      <c r="W280" s="2"/>
      <c r="X280" s="2"/>
    </row>
    <row r="281" spans="1:24" ht="29.1">
      <c r="B281" s="522" t="s">
        <v>902</v>
      </c>
      <c r="C281" s="522" t="s">
        <v>898</v>
      </c>
      <c r="D281" s="522" t="s">
        <v>899</v>
      </c>
      <c r="E281" s="719" t="s">
        <v>903</v>
      </c>
      <c r="F281" s="522" t="s">
        <v>904</v>
      </c>
      <c r="G281" s="522" t="s">
        <v>905</v>
      </c>
      <c r="H281" s="522" t="s">
        <v>924</v>
      </c>
      <c r="I281" s="522" t="s">
        <v>956</v>
      </c>
      <c r="J281" s="522" t="s">
        <v>927</v>
      </c>
    </row>
    <row r="282" spans="1:24">
      <c r="B282" s="279" t="s">
        <v>134</v>
      </c>
      <c r="C282" s="278" t="s">
        <v>465</v>
      </c>
      <c r="D282" s="299" t="s">
        <v>989</v>
      </c>
      <c r="E282" s="463" t="s">
        <v>1427</v>
      </c>
      <c r="F282" s="392" t="str" cm="1">
        <f t="array" ref="F282">_xlfn.XLOOKUP(1,(D290:D291=B282)*(E290:E291=C282),B290:B291,"Not found",0,1)</f>
        <v>14-09</v>
      </c>
      <c r="G282" s="306">
        <f>VLOOKUP(F282,B290:L292,11,FALSE)</f>
        <v>4727.4155625131771</v>
      </c>
      <c r="H282" s="326">
        <f>$D$248</f>
        <v>2.5</v>
      </c>
      <c r="I282" s="278" t="s">
        <v>1343</v>
      </c>
      <c r="J282" s="278"/>
    </row>
    <row r="283" spans="1:24">
      <c r="B283" s="278" t="s">
        <v>136</v>
      </c>
      <c r="C283" s="278" t="s">
        <v>465</v>
      </c>
      <c r="D283" s="299" t="s">
        <v>989</v>
      </c>
      <c r="E283" s="463" t="s">
        <v>906</v>
      </c>
      <c r="F283" s="279" t="s">
        <v>907</v>
      </c>
      <c r="G283" s="306" t="s">
        <v>477</v>
      </c>
      <c r="H283" s="638" t="s">
        <v>907</v>
      </c>
      <c r="I283" s="638" t="s">
        <v>907</v>
      </c>
      <c r="J283" s="638" t="s">
        <v>907</v>
      </c>
    </row>
    <row r="284" spans="1:24">
      <c r="B284" s="278" t="s">
        <v>137</v>
      </c>
      <c r="C284" s="278" t="s">
        <v>465</v>
      </c>
      <c r="D284" s="299" t="s">
        <v>989</v>
      </c>
      <c r="E284" s="463" t="s">
        <v>906</v>
      </c>
      <c r="F284" s="279" t="s">
        <v>907</v>
      </c>
      <c r="G284" s="306" t="s">
        <v>477</v>
      </c>
      <c r="H284" s="638" t="s">
        <v>907</v>
      </c>
      <c r="I284" s="638" t="s">
        <v>907</v>
      </c>
      <c r="J284" s="638" t="s">
        <v>907</v>
      </c>
    </row>
    <row r="285" spans="1:24">
      <c r="B285" s="278" t="s">
        <v>138</v>
      </c>
      <c r="C285" s="278" t="s">
        <v>465</v>
      </c>
      <c r="D285" s="299" t="s">
        <v>989</v>
      </c>
      <c r="E285" s="463" t="s">
        <v>1427</v>
      </c>
      <c r="F285" s="392" t="str" cm="1">
        <f t="array" ref="F285">_xlfn.XLOOKUP(1,(D291:D292=B285)*(E291:E292=C285),B291:B292,"Not found",0,1)</f>
        <v>14-10</v>
      </c>
      <c r="G285" s="306">
        <f>VLOOKUP(F285,B290:L292,11,FALSE)</f>
        <v>3912.9714954392034</v>
      </c>
      <c r="H285" s="326">
        <f>$D$248</f>
        <v>2.5</v>
      </c>
      <c r="I285" s="278" t="s">
        <v>1343</v>
      </c>
      <c r="J285" s="278"/>
    </row>
    <row r="286" spans="1:24">
      <c r="B286" s="278" t="s">
        <v>139</v>
      </c>
      <c r="C286" s="278" t="s">
        <v>465</v>
      </c>
      <c r="D286" s="299" t="s">
        <v>989</v>
      </c>
      <c r="E286" s="463" t="s">
        <v>906</v>
      </c>
      <c r="F286" s="279" t="s">
        <v>907</v>
      </c>
      <c r="G286" s="306" t="s">
        <v>477</v>
      </c>
      <c r="H286" s="638" t="s">
        <v>907</v>
      </c>
      <c r="I286" s="638" t="s">
        <v>907</v>
      </c>
      <c r="J286" s="638" t="s">
        <v>907</v>
      </c>
    </row>
    <row r="287" spans="1:24">
      <c r="B287" s="278" t="s">
        <v>140</v>
      </c>
      <c r="C287" s="278" t="s">
        <v>465</v>
      </c>
      <c r="D287" s="299" t="s">
        <v>989</v>
      </c>
      <c r="E287" s="463" t="s">
        <v>906</v>
      </c>
      <c r="F287" s="279" t="s">
        <v>907</v>
      </c>
      <c r="G287" s="306" t="s">
        <v>477</v>
      </c>
      <c r="H287" s="638" t="s">
        <v>907</v>
      </c>
      <c r="I287" s="638" t="s">
        <v>907</v>
      </c>
      <c r="J287" s="638" t="s">
        <v>907</v>
      </c>
    </row>
    <row r="288" spans="1:24">
      <c r="B288" s="18"/>
    </row>
    <row r="289" spans="1:24" s="217" customFormat="1">
      <c r="A289" s="725"/>
      <c r="B289" s="726" t="s">
        <v>962</v>
      </c>
      <c r="C289" s="725"/>
      <c r="D289" s="725"/>
      <c r="E289" s="725"/>
      <c r="F289" s="725"/>
      <c r="G289" s="725"/>
      <c r="H289" s="725"/>
      <c r="I289" s="2"/>
      <c r="J289" s="2"/>
      <c r="K289" s="2"/>
      <c r="L289" s="2"/>
      <c r="M289" s="2"/>
      <c r="N289" s="2"/>
      <c r="O289" s="2"/>
      <c r="P289" s="2"/>
      <c r="Q289" s="2"/>
      <c r="R289" s="2"/>
      <c r="S289" s="2"/>
      <c r="T289" s="2"/>
      <c r="U289" s="2"/>
      <c r="V289" s="2"/>
      <c r="W289" s="2"/>
      <c r="X289" s="2"/>
    </row>
    <row r="290" spans="1:24">
      <c r="B290" s="277" t="s">
        <v>904</v>
      </c>
      <c r="C290" s="277" t="s">
        <v>62</v>
      </c>
      <c r="D290" s="277" t="s">
        <v>902</v>
      </c>
      <c r="E290" s="277" t="s">
        <v>898</v>
      </c>
      <c r="F290" s="277" t="s">
        <v>916</v>
      </c>
      <c r="G290" s="277" t="s">
        <v>963</v>
      </c>
      <c r="H290" s="277" t="s">
        <v>964</v>
      </c>
      <c r="I290" s="277" t="s">
        <v>965</v>
      </c>
      <c r="J290" s="277" t="s">
        <v>966</v>
      </c>
      <c r="K290" s="277" t="s">
        <v>967</v>
      </c>
      <c r="L290" s="277" t="s">
        <v>968</v>
      </c>
      <c r="M290" s="277" t="s">
        <v>956</v>
      </c>
      <c r="N290" s="277" t="s">
        <v>969</v>
      </c>
      <c r="O290" s="277" t="s">
        <v>970</v>
      </c>
      <c r="P290" s="277" t="s">
        <v>927</v>
      </c>
      <c r="Q290" s="277" t="s">
        <v>913</v>
      </c>
      <c r="R290" s="277" t="s">
        <v>914</v>
      </c>
      <c r="S290" s="277" t="s">
        <v>915</v>
      </c>
      <c r="T290" s="277" t="s">
        <v>916</v>
      </c>
      <c r="U290" s="277" t="s">
        <v>917</v>
      </c>
      <c r="V290" s="277" t="s">
        <v>918</v>
      </c>
      <c r="W290" s="277" t="s">
        <v>919</v>
      </c>
    </row>
    <row r="291" spans="1:24">
      <c r="B291" s="302" t="s">
        <v>1428</v>
      </c>
      <c r="C291" s="279" t="s">
        <v>384</v>
      </c>
      <c r="D291" s="279" t="s">
        <v>134</v>
      </c>
      <c r="E291" s="278" t="s">
        <v>465</v>
      </c>
      <c r="F291" s="299">
        <v>2021</v>
      </c>
      <c r="G291" s="278">
        <v>2021</v>
      </c>
      <c r="H291" s="278">
        <f>'COMPANY INPUT'!$C$16</f>
        <v>2023</v>
      </c>
      <c r="I291" s="278">
        <f>VLOOKUP(G291,'GDP Deflators'!$H$13:$I$86,2,FALSE)</f>
        <v>88.789299999999997</v>
      </c>
      <c r="J291" s="278">
        <f>VLOOKUP(H291,'GDP Deflators'!$H$13:$I$86,2,FALSE)</f>
        <v>100</v>
      </c>
      <c r="K291" s="385">
        <f>C277</f>
        <v>4197.4391860465121</v>
      </c>
      <c r="L291" s="746">
        <f>K291*(J291/I291)</f>
        <v>4727.4155625131771</v>
      </c>
      <c r="M291" s="278" t="str">
        <f>I282</f>
        <v>Avoided cost</v>
      </c>
      <c r="N291" s="326">
        <f>H282</f>
        <v>2.5</v>
      </c>
      <c r="O291" s="278" t="s">
        <v>718</v>
      </c>
      <c r="P291" s="278">
        <f>J282</f>
        <v>0</v>
      </c>
      <c r="Q291" s="299">
        <f t="shared" ref="Q291:W291" si="7">B239</f>
        <v>64</v>
      </c>
      <c r="R291" s="299" t="str">
        <f t="shared" si="7"/>
        <v>EA (2021) Mental health costs of flooding and erosion</v>
      </c>
      <c r="S291" s="299" t="str">
        <f t="shared" si="7"/>
        <v>FCERM Appraisal Guidance</v>
      </c>
      <c r="T291" s="299">
        <f t="shared" si="7"/>
        <v>2021</v>
      </c>
      <c r="U291" s="299" t="str">
        <f t="shared" si="7"/>
        <v>UK</v>
      </c>
      <c r="V291" s="299" t="str">
        <f t="shared" si="7"/>
        <v>UK</v>
      </c>
      <c r="W291" s="299">
        <f t="shared" si="7"/>
        <v>0</v>
      </c>
    </row>
    <row r="292" spans="1:24">
      <c r="B292" s="302" t="s">
        <v>1429</v>
      </c>
      <c r="C292" s="279" t="s">
        <v>384</v>
      </c>
      <c r="D292" s="278" t="s">
        <v>138</v>
      </c>
      <c r="E292" s="278" t="s">
        <v>465</v>
      </c>
      <c r="F292" s="299">
        <v>2021</v>
      </c>
      <c r="G292" s="278">
        <v>2021</v>
      </c>
      <c r="H292" s="278">
        <f>'COMPANY INPUT'!$C$16</f>
        <v>2023</v>
      </c>
      <c r="I292" s="278">
        <f>VLOOKUP(G292,'GDP Deflators'!$H$13:$I$86,2,FALSE)</f>
        <v>88.789299999999997</v>
      </c>
      <c r="J292" s="278">
        <f>VLOOKUP(H292,'GDP Deflators'!$H$13:$I$86,2,FALSE)</f>
        <v>100</v>
      </c>
      <c r="K292" s="385">
        <f>C275</f>
        <v>3474.3</v>
      </c>
      <c r="L292" s="746">
        <f>K292*(J292/I292)</f>
        <v>3912.9714954392034</v>
      </c>
      <c r="M292" s="278" t="str">
        <f>I285</f>
        <v>Avoided cost</v>
      </c>
      <c r="N292" s="326">
        <f>H285</f>
        <v>2.5</v>
      </c>
      <c r="O292" s="278" t="s">
        <v>718</v>
      </c>
      <c r="P292" s="278">
        <f>J285</f>
        <v>0</v>
      </c>
      <c r="Q292" s="299">
        <f t="shared" ref="Q292:V292" si="8">B239</f>
        <v>64</v>
      </c>
      <c r="R292" s="278" t="str">
        <f t="shared" si="8"/>
        <v>EA (2021) Mental health costs of flooding and erosion</v>
      </c>
      <c r="S292" s="278" t="str">
        <f t="shared" si="8"/>
        <v>FCERM Appraisal Guidance</v>
      </c>
      <c r="T292" s="278">
        <f t="shared" si="8"/>
        <v>2021</v>
      </c>
      <c r="U292" s="278" t="str">
        <f t="shared" si="8"/>
        <v>UK</v>
      </c>
      <c r="V292" s="278" t="str">
        <f t="shared" si="8"/>
        <v>UK</v>
      </c>
      <c r="W292" s="299">
        <f>H239</f>
        <v>0</v>
      </c>
    </row>
  </sheetData>
  <sheetProtection algorithmName="SHA-512" hashValue="lh6/PSRGROZ8pd4bbvbUiCZQ1Kly6SnogOjM3Y6eHR9gaCXbJfRc0CScQK9pERY1dAyUecY0K7kGE6gKtLKxdQ==" saltValue="evL8UO/PAtmlgp6Wmzfu1A==" spinCount="100000" sheet="1" objects="1" scenarios="1"/>
  <dataConsolidate/>
  <mergeCells count="47">
    <mergeCell ref="E180:H180"/>
    <mergeCell ref="E181:H181"/>
    <mergeCell ref="E182:H182"/>
    <mergeCell ref="E241:H241"/>
    <mergeCell ref="E176:H176"/>
    <mergeCell ref="E177:H177"/>
    <mergeCell ref="E178:H178"/>
    <mergeCell ref="E179:H179"/>
    <mergeCell ref="D272:H272"/>
    <mergeCell ref="D273:H277"/>
    <mergeCell ref="G252:L255"/>
    <mergeCell ref="G187:L188"/>
    <mergeCell ref="G186:L186"/>
    <mergeCell ref="J218:J221"/>
    <mergeCell ref="H218:H221"/>
    <mergeCell ref="I218:I221"/>
    <mergeCell ref="E242:H242"/>
    <mergeCell ref="E243:H243"/>
    <mergeCell ref="E244:H244"/>
    <mergeCell ref="E245:H245"/>
    <mergeCell ref="E246:H246"/>
    <mergeCell ref="E247:H247"/>
    <mergeCell ref="G251:L251"/>
    <mergeCell ref="G43:I44"/>
    <mergeCell ref="G122:I122"/>
    <mergeCell ref="J156:J157"/>
    <mergeCell ref="I156:I157"/>
    <mergeCell ref="H156:H157"/>
    <mergeCell ref="G45:I45"/>
    <mergeCell ref="E112:H112"/>
    <mergeCell ref="E113:H113"/>
    <mergeCell ref="E114:H114"/>
    <mergeCell ref="E115:H115"/>
    <mergeCell ref="E116:H116"/>
    <mergeCell ref="E117:H117"/>
    <mergeCell ref="E118:H118"/>
    <mergeCell ref="G123:I124"/>
    <mergeCell ref="D9:I9"/>
    <mergeCell ref="B5:H5"/>
    <mergeCell ref="E31:H31"/>
    <mergeCell ref="E32:H32"/>
    <mergeCell ref="G42:I42"/>
    <mergeCell ref="E33:H33"/>
    <mergeCell ref="E34:H34"/>
    <mergeCell ref="E35:H35"/>
    <mergeCell ref="E36:H36"/>
    <mergeCell ref="E37:H37"/>
  </mergeCells>
  <conditionalFormatting sqref="D38:E38">
    <cfRule type="cellIs" dxfId="984" priority="24" operator="lessThanOrEqual">
      <formula>2.14285714285714</formula>
    </cfRule>
    <cfRule type="cellIs" dxfId="983" priority="25" operator="lessThanOrEqual">
      <formula>2.57142857142857</formula>
    </cfRule>
    <cfRule type="cellIs" dxfId="982" priority="26" operator="lessThanOrEqual">
      <formula>3</formula>
    </cfRule>
  </conditionalFormatting>
  <conditionalFormatting sqref="D119:E119">
    <cfRule type="cellIs" dxfId="981" priority="18" operator="lessThanOrEqual">
      <formula>2.14285714285714</formula>
    </cfRule>
    <cfRule type="cellIs" dxfId="980" priority="19" operator="lessThanOrEqual">
      <formula>2.57142857142857</formula>
    </cfRule>
    <cfRule type="cellIs" dxfId="979" priority="20" operator="lessThanOrEqual">
      <formula>3</formula>
    </cfRule>
  </conditionalFormatting>
  <conditionalFormatting sqref="D183:E183">
    <cfRule type="cellIs" dxfId="978" priority="14" operator="lessThanOrEqual">
      <formula>3</formula>
    </cfRule>
    <cfRule type="cellIs" dxfId="977" priority="12" operator="lessThanOrEqual">
      <formula>2.14285714285714</formula>
    </cfRule>
    <cfRule type="cellIs" dxfId="976" priority="13" operator="lessThanOrEqual">
      <formula>2.57142857142857</formula>
    </cfRule>
  </conditionalFormatting>
  <conditionalFormatting sqref="D248:E248">
    <cfRule type="cellIs" dxfId="975" priority="6" operator="lessThanOrEqual">
      <formula>2.14285714285714</formula>
    </cfRule>
    <cfRule type="cellIs" dxfId="974" priority="7" operator="lessThanOrEqual">
      <formula>2.57142857142857</formula>
    </cfRule>
    <cfRule type="cellIs" dxfId="973" priority="8" operator="lessThanOrEqual">
      <formula>3</formula>
    </cfRule>
  </conditionalFormatting>
  <conditionalFormatting sqref="D11:I17">
    <cfRule type="notContainsBlanks" dxfId="972" priority="1">
      <formula>LEN(TRIM(D11))&gt;0</formula>
    </cfRule>
  </conditionalFormatting>
  <conditionalFormatting sqref="E38">
    <cfRule type="containsText" dxfId="971" priority="21" operator="containsText" text="Green">
      <formula>NOT(ISERROR(SEARCH("Green",E38)))</formula>
    </cfRule>
    <cfRule type="containsText" dxfId="970" priority="22" operator="containsText" text="Amber">
      <formula>NOT(ISERROR(SEARCH("Amber",E38)))</formula>
    </cfRule>
    <cfRule type="containsText" dxfId="969" priority="23" operator="containsText" text="Red">
      <formula>NOT(ISERROR(SEARCH("Red",E38)))</formula>
    </cfRule>
  </conditionalFormatting>
  <conditionalFormatting sqref="E119">
    <cfRule type="containsText" dxfId="968" priority="15" operator="containsText" text="Green">
      <formula>NOT(ISERROR(SEARCH("Green",E119)))</formula>
    </cfRule>
    <cfRule type="containsText" dxfId="967" priority="16" operator="containsText" text="Amber">
      <formula>NOT(ISERROR(SEARCH("Amber",E119)))</formula>
    </cfRule>
    <cfRule type="containsText" dxfId="966" priority="17" operator="containsText" text="Red">
      <formula>NOT(ISERROR(SEARCH("Red",E119)))</formula>
    </cfRule>
  </conditionalFormatting>
  <conditionalFormatting sqref="E183">
    <cfRule type="containsText" dxfId="965" priority="9" operator="containsText" text="Green">
      <formula>NOT(ISERROR(SEARCH("Green",E183)))</formula>
    </cfRule>
    <cfRule type="containsText" dxfId="964" priority="10" operator="containsText" text="Amber">
      <formula>NOT(ISERROR(SEARCH("Amber",E183)))</formula>
    </cfRule>
    <cfRule type="containsText" dxfId="963" priority="11" operator="containsText" text="Red">
      <formula>NOT(ISERROR(SEARCH("Red",E183)))</formula>
    </cfRule>
  </conditionalFormatting>
  <conditionalFormatting sqref="E248">
    <cfRule type="containsText" dxfId="962" priority="3" operator="containsText" text="Green">
      <formula>NOT(ISERROR(SEARCH("Green",E248)))</formula>
    </cfRule>
    <cfRule type="containsText" dxfId="961" priority="4" operator="containsText" text="Amber">
      <formula>NOT(ISERROR(SEARCH("Amber",E248)))</formula>
    </cfRule>
    <cfRule type="containsText" dxfId="960" priority="5" operator="containsText" text="Red">
      <formula>NOT(ISERROR(SEARCH("Red",E248)))</formula>
    </cfRule>
  </conditionalFormatting>
  <conditionalFormatting sqref="H72">
    <cfRule type="cellIs" dxfId="959" priority="74" operator="lessThanOrEqual">
      <formula>3</formula>
    </cfRule>
    <cfRule type="cellIs" dxfId="958" priority="72" operator="lessThanOrEqual">
      <formula>2.14285714285714</formula>
    </cfRule>
    <cfRule type="cellIs" dxfId="957" priority="73" operator="lessThanOrEqual">
      <formula>2.57142857142857</formula>
    </cfRule>
  </conditionalFormatting>
  <conditionalFormatting sqref="H75">
    <cfRule type="cellIs" dxfId="956" priority="69" operator="lessThanOrEqual">
      <formula>2.14285714285714</formula>
    </cfRule>
    <cfRule type="cellIs" dxfId="955" priority="70" operator="lessThanOrEqual">
      <formula>2.57142857142857</formula>
    </cfRule>
    <cfRule type="cellIs" dxfId="954" priority="71" operator="lessThanOrEqual">
      <formula>3</formula>
    </cfRule>
  </conditionalFormatting>
  <conditionalFormatting sqref="H156">
    <cfRule type="cellIs" dxfId="953" priority="54" operator="lessThanOrEqual">
      <formula>2.14285714285714</formula>
    </cfRule>
    <cfRule type="cellIs" dxfId="952" priority="55" operator="lessThanOrEqual">
      <formula>2.57142857142857</formula>
    </cfRule>
    <cfRule type="cellIs" dxfId="951" priority="56" operator="lessThanOrEqual">
      <formula>3</formula>
    </cfRule>
  </conditionalFormatting>
  <conditionalFormatting sqref="H218">
    <cfRule type="cellIs" dxfId="950" priority="42" operator="lessThanOrEqual">
      <formula>2.14285714285714</formula>
    </cfRule>
    <cfRule type="cellIs" dxfId="949" priority="43" operator="lessThanOrEqual">
      <formula>2.57142857142857</formula>
    </cfRule>
    <cfRule type="cellIs" dxfId="948" priority="44" operator="lessThanOrEqual">
      <formula>3</formula>
    </cfRule>
  </conditionalFormatting>
  <conditionalFormatting sqref="H282">
    <cfRule type="cellIs" dxfId="947" priority="35" operator="lessThanOrEqual">
      <formula>3</formula>
    </cfRule>
    <cfRule type="cellIs" dxfId="946" priority="33" operator="lessThanOrEqual">
      <formula>2.14285714285714</formula>
    </cfRule>
    <cfRule type="cellIs" dxfId="945" priority="34" operator="lessThanOrEqual">
      <formula>2.57142857142857</formula>
    </cfRule>
  </conditionalFormatting>
  <conditionalFormatting sqref="H285">
    <cfRule type="cellIs" dxfId="944" priority="30" operator="lessThanOrEqual">
      <formula>2.14285714285714</formula>
    </cfRule>
    <cfRule type="cellIs" dxfId="943" priority="31" operator="lessThanOrEqual">
      <formula>2.57142857142857</formula>
    </cfRule>
    <cfRule type="cellIs" dxfId="942" priority="32" operator="lessThanOrEqual">
      <formula>3</formula>
    </cfRule>
  </conditionalFormatting>
  <conditionalFormatting sqref="N81:N82">
    <cfRule type="cellIs" dxfId="941" priority="66" operator="lessThanOrEqual">
      <formula>2.14285714285714</formula>
    </cfRule>
    <cfRule type="cellIs" dxfId="940" priority="67" operator="lessThanOrEqual">
      <formula>2.57142857142857</formula>
    </cfRule>
    <cfRule type="cellIs" dxfId="939" priority="68" operator="lessThanOrEqual">
      <formula>3</formula>
    </cfRule>
  </conditionalFormatting>
  <conditionalFormatting sqref="N161:N162">
    <cfRule type="cellIs" dxfId="938" priority="57" operator="lessThanOrEqual">
      <formula>2.14285714285714</formula>
    </cfRule>
    <cfRule type="cellIs" dxfId="937" priority="58" operator="lessThanOrEqual">
      <formula>2.57142857142857</formula>
    </cfRule>
    <cfRule type="cellIs" dxfId="936" priority="59" operator="lessThanOrEqual">
      <formula>3</formula>
    </cfRule>
  </conditionalFormatting>
  <conditionalFormatting sqref="N225:N228">
    <cfRule type="cellIs" dxfId="935" priority="45" operator="lessThanOrEqual">
      <formula>2.14285714285714</formula>
    </cfRule>
    <cfRule type="cellIs" dxfId="934" priority="46" operator="lessThanOrEqual">
      <formula>2.57142857142857</formula>
    </cfRule>
    <cfRule type="cellIs" dxfId="933" priority="47" operator="lessThanOrEqual">
      <formula>3</formula>
    </cfRule>
  </conditionalFormatting>
  <conditionalFormatting sqref="N291:N292">
    <cfRule type="cellIs" dxfId="932" priority="28" operator="lessThanOrEqual">
      <formula>2.57142857142857</formula>
    </cfRule>
    <cfRule type="cellIs" dxfId="931" priority="27" operator="lessThanOrEqual">
      <formula>2.14285714285714</formula>
    </cfRule>
    <cfRule type="cellIs" dxfId="930" priority="29" operator="lessThanOrEqual">
      <formula>3</formula>
    </cfRule>
  </conditionalFormatting>
  <dataValidations count="1">
    <dataValidation type="list" allowBlank="1" showInputMessage="1" showErrorMessage="1" sqref="C32:C37 C99 C113:C118 C242:C247 C177:C182 C83:C84" xr:uid="{E861348A-C92D-407A-81F6-E045112E7386}">
      <formula1>"High, Medium, Low"</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85FD-E599-4DC3-819D-3869A5F63944}">
  <sheetPr codeName="Sheet22">
    <tabColor theme="5" tint="0.59999389629810485"/>
  </sheetPr>
  <dimension ref="A1:X302"/>
  <sheetViews>
    <sheetView workbookViewId="0">
      <selection activeCell="B5" sqref="B5:H5"/>
    </sheetView>
  </sheetViews>
  <sheetFormatPr defaultColWidth="9" defaultRowHeight="14.45"/>
  <cols>
    <col min="1" max="1" width="3.5" style="217" customWidth="1"/>
    <col min="2" max="3" width="40.625" style="217" customWidth="1"/>
    <col min="4" max="16" width="15.625" style="217" customWidth="1"/>
    <col min="17" max="17" width="9" style="217" bestFit="1"/>
    <col min="18" max="18" width="16.625" style="217" customWidth="1"/>
    <col min="19" max="19" width="18.5" style="217" customWidth="1"/>
    <col min="20" max="16384" width="9" style="217"/>
  </cols>
  <sheetData>
    <row r="1" spans="1:9" ht="15" thickBot="1">
      <c r="A1" s="2"/>
      <c r="B1" s="2"/>
      <c r="C1" s="2"/>
      <c r="D1" s="2"/>
      <c r="E1" s="2"/>
      <c r="F1" s="2"/>
      <c r="G1" s="2"/>
      <c r="H1" s="2"/>
      <c r="I1" s="2"/>
    </row>
    <row r="2" spans="1:9" s="750" customFormat="1" ht="18.95" thickBot="1">
      <c r="A2" s="748"/>
      <c r="B2" s="749" t="s">
        <v>1430</v>
      </c>
      <c r="C2" s="749"/>
      <c r="D2" s="749"/>
    </row>
    <row r="4" spans="1:9" s="714" customFormat="1" ht="18.600000000000001">
      <c r="A4" s="715"/>
      <c r="B4" s="713" t="s">
        <v>893</v>
      </c>
      <c r="C4" s="715"/>
      <c r="D4" s="715"/>
      <c r="E4" s="715"/>
      <c r="F4" s="715"/>
      <c r="G4" s="715"/>
      <c r="H4" s="715"/>
    </row>
    <row r="5" spans="1:9" s="7" customFormat="1" ht="200.25" customHeight="1">
      <c r="A5" s="737"/>
      <c r="B5" s="1236" t="s">
        <v>1377</v>
      </c>
      <c r="C5" s="1236"/>
      <c r="D5" s="1236"/>
      <c r="E5" s="1236"/>
      <c r="F5" s="1236"/>
      <c r="G5" s="1236"/>
      <c r="H5" s="1236"/>
    </row>
    <row r="6" spans="1:9" s="7" customFormat="1"/>
    <row r="7" spans="1:9" s="718" customFormat="1" ht="18.600000000000001">
      <c r="A7" s="724"/>
      <c r="B7" s="724" t="s">
        <v>895</v>
      </c>
      <c r="C7" s="724"/>
      <c r="D7" s="724"/>
      <c r="E7" s="724"/>
      <c r="F7" s="724"/>
      <c r="G7" s="724"/>
      <c r="H7" s="724"/>
    </row>
    <row r="9" spans="1:9">
      <c r="A9" s="2"/>
      <c r="B9" s="2"/>
      <c r="C9" s="2"/>
      <c r="D9" s="1134" t="s">
        <v>479</v>
      </c>
      <c r="E9" s="1134"/>
      <c r="F9" s="1134"/>
      <c r="G9" s="1134"/>
      <c r="H9" s="1134"/>
      <c r="I9" s="1134"/>
    </row>
    <row r="10" spans="1:9" ht="29.1">
      <c r="A10" s="2"/>
      <c r="B10" s="521" t="s">
        <v>104</v>
      </c>
      <c r="C10" s="521" t="s">
        <v>711</v>
      </c>
      <c r="D10" s="719" t="s">
        <v>448</v>
      </c>
      <c r="E10" s="719" t="s">
        <v>456</v>
      </c>
      <c r="F10" s="719" t="s">
        <v>460</v>
      </c>
      <c r="G10" s="719" t="s">
        <v>1359</v>
      </c>
      <c r="H10" s="719" t="s">
        <v>1378</v>
      </c>
      <c r="I10" s="719" t="s">
        <v>1379</v>
      </c>
    </row>
    <row r="11" spans="1:9">
      <c r="A11" s="2"/>
      <c r="B11" s="278" t="s">
        <v>142</v>
      </c>
      <c r="C11" s="278" t="s">
        <v>366</v>
      </c>
      <c r="D11" s="374" t="s">
        <v>477</v>
      </c>
      <c r="E11" s="374" cm="1">
        <f t="array" aca="1" ref="E11" ca="1">_xlfn.XLOOKUP(1,($B11=$B$71:$B$76)*(E$10=$C$71:$C$76),$G$71:$G$76,"Not found",0,1)</f>
        <v>4.2212330266577602</v>
      </c>
      <c r="F11" s="374" t="str" cm="1">
        <f t="array" ref="F11">_xlfn.XLOOKUP(1,($B11=$B$90:$B$96)*(F$10=$C$90:$C$96),$G$90:$G$96,"Not found",0,1)</f>
        <v>LG(H)</v>
      </c>
      <c r="G11" s="374" cm="1">
        <f t="array" ref="G11">_xlfn.XLOOKUP(1,($B11=$B$153:$B$156)*(G$10=$C$153:$C$156),$G$153:$G$156,"Not found",0,1)</f>
        <v>375</v>
      </c>
      <c r="H11" s="374"/>
      <c r="I11" s="374" cm="1">
        <f t="array" ref="I11">_xlfn.XLOOKUP(1,($B11=$B$291:$B$297)*(I$10=$C$291:$C$297),$G$291:$G$297,"Not found",0,1)</f>
        <v>602.70934708053244</v>
      </c>
    </row>
    <row r="12" spans="1:9">
      <c r="A12" s="2"/>
      <c r="B12" s="278" t="s">
        <v>143</v>
      </c>
      <c r="C12" s="278" t="s">
        <v>366</v>
      </c>
      <c r="D12" s="374" t="s">
        <v>477</v>
      </c>
      <c r="E12" s="374" t="str" cm="1">
        <f t="array" ref="E12">_xlfn.XLOOKUP(1,($B12=$B$71:$B$76)*(E$10=$C$71:$C$76),$G$71:$G$76,"Not found",0,1)</f>
        <v>LG(H)</v>
      </c>
      <c r="F12" s="374" t="str" cm="1">
        <f t="array" ref="F12">_xlfn.XLOOKUP(1,($B12=$B$90:$B$96)*(F$10=$C$90:$C$96),$G$90:$G$96,"Not found",0,1)</f>
        <v>LG(H)</v>
      </c>
      <c r="G12" s="374"/>
      <c r="H12" s="374" cm="1">
        <f t="array" ref="H12">_xlfn.XLOOKUP(1,($B12=$B$215:$B$219)*(H$10=$C$215:$C$219),$G$215:$G$219,"Not found",0,1)</f>
        <v>38608</v>
      </c>
      <c r="I12" s="374" t="str" cm="1">
        <f t="array" ref="I12">_xlfn.XLOOKUP(1,($B12=$B$291:$B$297)*(I$10=$C$291:$C$297),$G$291:$G$297,"Not found",0,1)</f>
        <v>LG(H)</v>
      </c>
    </row>
    <row r="13" spans="1:9">
      <c r="A13" s="2"/>
      <c r="B13" s="278" t="s">
        <v>144</v>
      </c>
      <c r="C13" s="278" t="s">
        <v>366</v>
      </c>
      <c r="D13" s="374" t="s">
        <v>477</v>
      </c>
      <c r="E13" s="374" t="str" cm="1">
        <f t="array" ref="E13">_xlfn.XLOOKUP(1,($B13=$B$71:$B$76)*(E$10=$C$71:$C$76),$G$71:$G$76,"Not found",0,1)</f>
        <v>LG(H)</v>
      </c>
      <c r="F13" s="374" t="str" cm="1">
        <f t="array" ref="F13">_xlfn.XLOOKUP(1,($B13=$B$90:$B$96)*(F$10=$C$90:$C$96),$G$90:$G$96,"Not found",0,1)</f>
        <v>LG(H)</v>
      </c>
      <c r="G13" s="374"/>
      <c r="H13" s="374" cm="1">
        <f t="array" ref="H13">_xlfn.XLOOKUP(1,($B13=$B$215:$B$219)*(H$10=$C$215:$C$219),$G$215:$G$219,"Not found",0,1)</f>
        <v>38608</v>
      </c>
      <c r="I13" s="374" t="str" cm="1">
        <f t="array" ref="I13">_xlfn.XLOOKUP(1,($B13=$B$291:$B$297)*(I$10=$C$291:$C$297),$G$291:$G$297,"Not found",0,1)</f>
        <v>LG(H)</v>
      </c>
    </row>
    <row r="14" spans="1:9">
      <c r="A14" s="2"/>
      <c r="B14" s="278" t="s">
        <v>145</v>
      </c>
      <c r="C14" s="278" t="s">
        <v>366</v>
      </c>
      <c r="D14" s="374" t="s">
        <v>477</v>
      </c>
      <c r="E14" s="374" cm="1">
        <f t="array" aca="1" ref="E14" ca="1">_xlfn.XLOOKUP(1,($B14=$B$71:$B$76)*(E$10=$C$71:$C$76),$G$71:$G$76,"Not found",0,1)</f>
        <v>4.2212330266577602</v>
      </c>
      <c r="F14" s="374" t="str" cm="1">
        <f t="array" ref="F14">_xlfn.XLOOKUP(1,($B14=$B$90:$B$96)*(F$10=$C$90:$C$96),$G$90:$G$96,"Not found",0,1)</f>
        <v>LG(H)</v>
      </c>
      <c r="G14" s="374" cm="1">
        <f t="array" ref="G14">_xlfn.XLOOKUP(1,($B14=$B$153:$B$156)*(G$10=$C$153:$C$156),$G$153:$G$156,"Not found",0,1)</f>
        <v>318</v>
      </c>
      <c r="H14" s="374"/>
      <c r="I14" s="374" cm="1">
        <f t="array" ref="I14">_xlfn.XLOOKUP(1,($B14=$B$291:$B$297)*(I$10=$C$291:$C$297),$G$291:$G$297,"Not found",0,1)</f>
        <v>511.09752632429149</v>
      </c>
    </row>
    <row r="15" spans="1:9">
      <c r="A15" s="2"/>
      <c r="B15" s="278" t="s">
        <v>146</v>
      </c>
      <c r="C15" s="278" t="s">
        <v>366</v>
      </c>
      <c r="D15" s="374" t="s">
        <v>477</v>
      </c>
      <c r="E15" s="374" t="str" cm="1">
        <f t="array" ref="E15">_xlfn.XLOOKUP(1,($B15=$B$71:$B$76)*(E$10=$C$71:$C$76),$G$71:$G$76,"Not found",0,1)</f>
        <v>LG(H)</v>
      </c>
      <c r="F15" s="374" t="str" cm="1">
        <f t="array" ref="F15">_xlfn.XLOOKUP(1,($B15=$B$90:$B$96)*(F$10=$C$90:$C$96),$G$90:$G$96,"Not found",0,1)</f>
        <v>LG(H)</v>
      </c>
      <c r="G15" s="374"/>
      <c r="H15" s="374" cm="1">
        <f t="array" ref="H15">_xlfn.XLOOKUP(1,($B15=$B$215:$B$219)*(H$10=$C$215:$C$219),$G$215:$G$219,"Not found",0,1)</f>
        <v>27371</v>
      </c>
      <c r="I15" s="374" t="str" cm="1">
        <f t="array" ref="I15">_xlfn.XLOOKUP(1,($B15=$B$291:$B$297)*(I$10=$C$291:$C$297),$G$291:$G$297,"Not found",0,1)</f>
        <v>LG(H)</v>
      </c>
    </row>
    <row r="16" spans="1:9">
      <c r="A16" s="2"/>
      <c r="B16" s="278" t="s">
        <v>147</v>
      </c>
      <c r="C16" s="278" t="s">
        <v>366</v>
      </c>
      <c r="D16" s="374" t="s">
        <v>477</v>
      </c>
      <c r="E16" s="374" t="str" cm="1">
        <f t="array" ref="E16">_xlfn.XLOOKUP(1,($B16=$B$71:$B$76)*(E$10=$C$71:$C$76),$G$71:$G$76,"Not found",0,1)</f>
        <v>LG(H)</v>
      </c>
      <c r="F16" s="374" t="str" cm="1">
        <f t="array" ref="F16">_xlfn.XLOOKUP(1,($B16=$B$90:$B$96)*(F$10=$C$90:$C$96),$G$90:$G$96,"Not found",0,1)</f>
        <v>LG(H)</v>
      </c>
      <c r="G16" s="374"/>
      <c r="H16" s="374" cm="1">
        <f t="array" ref="H16">_xlfn.XLOOKUP(1,($B16=$B$215:$B$219)*(H$10=$C$215:$C$219),$G$215:$G$219,"Not found",0,1)</f>
        <v>27371</v>
      </c>
      <c r="I16" s="374" t="str" cm="1">
        <f t="array" ref="I16">_xlfn.XLOOKUP(1,($B16=$B$291:$B$297)*(I$10=$C$291:$C$297),$G$291:$G$297,"Not found",0,1)</f>
        <v>LG(H)</v>
      </c>
    </row>
    <row r="17" spans="1:12">
      <c r="A17" s="2"/>
      <c r="B17" s="800" t="s">
        <v>896</v>
      </c>
      <c r="C17" s="2"/>
      <c r="D17" s="2"/>
      <c r="E17" s="2"/>
      <c r="F17" s="2"/>
      <c r="G17" s="2"/>
      <c r="H17" s="2"/>
      <c r="I17" s="2"/>
      <c r="J17" s="2"/>
      <c r="K17" s="2"/>
      <c r="L17" s="2"/>
    </row>
    <row r="18" spans="1:12">
      <c r="A18" s="2"/>
      <c r="B18" s="800"/>
      <c r="C18" s="2"/>
      <c r="D18" s="2"/>
      <c r="E18" s="2"/>
      <c r="F18" s="2"/>
      <c r="G18" s="2"/>
      <c r="H18" s="2"/>
      <c r="I18" s="2"/>
      <c r="J18" s="2"/>
      <c r="K18" s="2"/>
      <c r="L18" s="2"/>
    </row>
    <row r="19" spans="1:12">
      <c r="A19" s="721"/>
      <c r="B19" s="722" t="s">
        <v>1345</v>
      </c>
      <c r="C19" s="721"/>
      <c r="D19" s="721"/>
      <c r="E19" s="721"/>
      <c r="F19" s="721"/>
      <c r="G19" s="721"/>
      <c r="H19" s="721"/>
      <c r="I19" s="2"/>
      <c r="J19" s="2"/>
      <c r="K19" s="2"/>
      <c r="L19" s="2"/>
    </row>
    <row r="20" spans="1:12">
      <c r="A20" s="727"/>
      <c r="B20" s="729" t="s">
        <v>897</v>
      </c>
      <c r="C20" s="727"/>
      <c r="D20" s="727"/>
      <c r="E20" s="727"/>
      <c r="F20" s="727"/>
      <c r="G20" s="727"/>
      <c r="H20" s="727"/>
      <c r="I20" s="2"/>
      <c r="J20" s="2"/>
      <c r="K20" s="2"/>
      <c r="L20" s="2"/>
    </row>
    <row r="21" spans="1:12">
      <c r="A21" s="2"/>
      <c r="B21" s="277" t="s">
        <v>898</v>
      </c>
      <c r="C21" s="277" t="s">
        <v>899</v>
      </c>
      <c r="D21" s="2"/>
      <c r="E21" s="2"/>
      <c r="F21" s="2"/>
      <c r="G21" s="2"/>
      <c r="H21" s="2"/>
      <c r="I21" s="2"/>
      <c r="J21" s="2"/>
      <c r="K21" s="2"/>
      <c r="L21" s="2"/>
    </row>
    <row r="22" spans="1:12">
      <c r="A22" s="2"/>
      <c r="B22" s="278" t="s">
        <v>1345</v>
      </c>
      <c r="C22" s="278" t="s">
        <v>1380</v>
      </c>
      <c r="D22" s="2"/>
      <c r="E22" s="2"/>
      <c r="F22" s="2"/>
      <c r="G22" s="2"/>
      <c r="H22" s="2"/>
      <c r="I22" s="2"/>
      <c r="J22" s="2"/>
      <c r="K22" s="2"/>
      <c r="L22" s="2"/>
    </row>
    <row r="23" spans="1:12">
      <c r="A23" s="2"/>
      <c r="B23" s="16"/>
      <c r="C23" s="2"/>
      <c r="D23" s="2"/>
      <c r="E23" s="2"/>
      <c r="F23" s="2"/>
      <c r="G23" s="2"/>
      <c r="H23" s="2"/>
      <c r="I23" s="2"/>
      <c r="J23" s="2"/>
      <c r="K23" s="2"/>
      <c r="L23" s="2"/>
    </row>
    <row r="24" spans="1:12">
      <c r="A24" s="727"/>
      <c r="B24" s="728" t="s">
        <v>911</v>
      </c>
      <c r="C24" s="727"/>
      <c r="D24" s="727"/>
      <c r="E24" s="727"/>
      <c r="F24" s="727"/>
      <c r="G24" s="727"/>
      <c r="H24" s="727"/>
      <c r="I24" s="2"/>
      <c r="J24" s="2"/>
      <c r="K24" s="2"/>
      <c r="L24" s="2"/>
    </row>
    <row r="25" spans="1:12">
      <c r="A25" s="725"/>
      <c r="B25" s="726" t="s">
        <v>912</v>
      </c>
      <c r="C25" s="725"/>
      <c r="D25" s="725"/>
      <c r="E25" s="725"/>
      <c r="F25" s="725"/>
      <c r="G25" s="725"/>
      <c r="H25" s="725"/>
      <c r="I25" s="2"/>
      <c r="J25" s="2"/>
      <c r="K25" s="2"/>
      <c r="L25" s="2"/>
    </row>
    <row r="26" spans="1:12" ht="29.1">
      <c r="A26" s="2"/>
      <c r="B26" s="719" t="s">
        <v>913</v>
      </c>
      <c r="C26" s="719" t="s">
        <v>914</v>
      </c>
      <c r="D26" s="719" t="s">
        <v>915</v>
      </c>
      <c r="E26" s="719" t="s">
        <v>916</v>
      </c>
      <c r="F26" s="719" t="s">
        <v>917</v>
      </c>
      <c r="G26" s="719" t="s">
        <v>918</v>
      </c>
      <c r="H26" s="719" t="s">
        <v>919</v>
      </c>
      <c r="I26" s="2"/>
      <c r="J26" s="2"/>
      <c r="K26" s="2"/>
      <c r="L26" s="2"/>
    </row>
    <row r="27" spans="1:12">
      <c r="A27" s="2"/>
      <c r="B27" s="278">
        <v>63</v>
      </c>
      <c r="C27" s="278" t="s">
        <v>1381</v>
      </c>
      <c r="D27" s="278"/>
      <c r="E27" s="278">
        <v>2020</v>
      </c>
      <c r="F27" s="278" t="s">
        <v>1047</v>
      </c>
      <c r="G27" s="278" t="s">
        <v>1047</v>
      </c>
      <c r="H27" s="278"/>
      <c r="I27" s="2"/>
      <c r="J27" s="2"/>
      <c r="K27" s="2"/>
      <c r="L27" s="2"/>
    </row>
    <row r="28" spans="1:12">
      <c r="A28" s="2"/>
      <c r="B28" s="16"/>
      <c r="C28" s="2"/>
      <c r="D28" s="2"/>
      <c r="E28" s="2"/>
      <c r="F28" s="2"/>
      <c r="G28" s="2"/>
      <c r="H28" s="2"/>
      <c r="I28" s="2"/>
      <c r="J28" s="2"/>
      <c r="K28" s="2"/>
      <c r="L28" s="2"/>
    </row>
    <row r="29" spans="1:12">
      <c r="A29" s="725"/>
      <c r="B29" s="726" t="s">
        <v>924</v>
      </c>
      <c r="C29" s="725"/>
      <c r="D29" s="725"/>
      <c r="E29" s="725"/>
      <c r="F29" s="725"/>
      <c r="G29" s="725"/>
      <c r="H29" s="725"/>
      <c r="I29" s="2"/>
      <c r="J29" s="2"/>
      <c r="K29" s="2"/>
      <c r="L29" s="2"/>
    </row>
    <row r="30" spans="1:12">
      <c r="A30" s="2"/>
      <c r="B30" s="277" t="s">
        <v>165</v>
      </c>
      <c r="C30" s="277" t="s">
        <v>925</v>
      </c>
      <c r="D30" s="277" t="s">
        <v>926</v>
      </c>
      <c r="E30" s="277" t="s">
        <v>927</v>
      </c>
      <c r="F30" s="2"/>
      <c r="G30" s="2"/>
      <c r="H30" s="2"/>
      <c r="I30" s="2"/>
      <c r="J30" s="2"/>
      <c r="K30" s="2"/>
      <c r="L30" s="2"/>
    </row>
    <row r="31" spans="1:12">
      <c r="A31" s="2"/>
      <c r="B31" s="278" t="s">
        <v>169</v>
      </c>
      <c r="C31" s="278" t="s">
        <v>166</v>
      </c>
      <c r="D31" s="278">
        <f>VLOOKUP(C31,METHODOLOGY!$C$175:$D$177,2,FALSE)</f>
        <v>3</v>
      </c>
      <c r="E31" s="1087" t="str">
        <f>_xlfn.XLOOKUP(C31,METHODOLOGY!$E$150:$O$150,METHODOLOGY!$E$151:$O$151,"",0,1)</f>
        <v>Monetary values have been peer reviewed or are recommended / referenced in other, well recognised and accepted guidance / tools relevant to the water sector.</v>
      </c>
      <c r="F31" s="1087"/>
      <c r="G31" s="1087"/>
      <c r="H31" s="1087"/>
      <c r="I31" s="2"/>
      <c r="J31" s="2"/>
      <c r="K31" s="2"/>
      <c r="L31" s="2"/>
    </row>
    <row r="32" spans="1:12">
      <c r="A32" s="2"/>
      <c r="B32" s="278" t="s">
        <v>173</v>
      </c>
      <c r="C32" s="278" t="s">
        <v>166</v>
      </c>
      <c r="D32" s="278">
        <f>VLOOKUP(C32,METHODOLOGY!$C$175:$D$177,2,FALSE)</f>
        <v>3</v>
      </c>
      <c r="E32" s="1087" t="str">
        <f>_xlfn.XLOOKUP(C32,METHODOLOGY!$E$150:$O$150,METHODOLOGY!$E$155:$O$155,"",0,1)</f>
        <v>Study has few limitations and is considered robust.</v>
      </c>
      <c r="F32" s="1087"/>
      <c r="G32" s="1087"/>
      <c r="H32" s="1087"/>
      <c r="I32" s="2"/>
      <c r="J32" s="2"/>
      <c r="K32" s="2"/>
      <c r="L32" s="2"/>
    </row>
    <row r="33" spans="1:12">
      <c r="A33" s="2"/>
      <c r="B33" s="278" t="s">
        <v>177</v>
      </c>
      <c r="C33" s="278" t="s">
        <v>166</v>
      </c>
      <c r="D33" s="278">
        <f>VLOOKUP(C33,METHODOLOGY!$C$175:$D$177,2,FALSE)</f>
        <v>3</v>
      </c>
      <c r="E33" s="1087" t="str">
        <f>_xlfn.XLOOKUP(C33,METHODOLOGY!$E$150:$O$150,METHODOLOGY!$E$158:$O$158,"",0,1)</f>
        <v>0 – 5 years</v>
      </c>
      <c r="F33" s="1087"/>
      <c r="G33" s="1087"/>
      <c r="H33" s="1087"/>
      <c r="I33" s="2"/>
      <c r="J33" s="2"/>
      <c r="K33" s="2"/>
      <c r="L33" s="2"/>
    </row>
    <row r="34" spans="1:12">
      <c r="A34" s="2"/>
      <c r="B34" s="278" t="s">
        <v>181</v>
      </c>
      <c r="C34" s="278" t="s">
        <v>166</v>
      </c>
      <c r="D34" s="278">
        <f>VLOOKUP(C34,METHODOLOGY!$C$175:$D$177,2,FALSE)</f>
        <v>3</v>
      </c>
      <c r="E34" s="1087" t="str">
        <f>_xlfn.XLOOKUP(C34,METHODOLOGY!$E$150:$O$150,METHODOLOGY!$E$160:$O$160,"",0,1)</f>
        <v>Geographically relevant to UK</v>
      </c>
      <c r="F34" s="1087"/>
      <c r="G34" s="1087"/>
      <c r="H34" s="1087"/>
      <c r="I34" s="2"/>
      <c r="J34" s="2"/>
      <c r="K34" s="2"/>
      <c r="L34" s="2"/>
    </row>
    <row r="35" spans="1:12">
      <c r="A35" s="2"/>
      <c r="B35" s="278" t="s">
        <v>928</v>
      </c>
      <c r="C35" s="278" t="s">
        <v>166</v>
      </c>
      <c r="D35" s="278">
        <f>VLOOKUP(C35,METHODOLOGY!$C$175:$D$177,2,FALSE)</f>
        <v>3</v>
      </c>
      <c r="E35" s="1087" t="str">
        <f>_xlfn.XLOOKUP(C35,METHODOLOGY!$E$150:$O$150,METHODOLOGY!$E$162:$O$162,"",0,1)</f>
        <v>Clear understanding of the valuation method and how the value should be applied.</v>
      </c>
      <c r="F35" s="1087"/>
      <c r="G35" s="1087"/>
      <c r="H35" s="1087"/>
      <c r="I35" s="2"/>
      <c r="J35" s="2"/>
      <c r="K35" s="2"/>
      <c r="L35" s="2"/>
    </row>
    <row r="36" spans="1:12">
      <c r="A36" s="2"/>
      <c r="B36" s="278" t="s">
        <v>189</v>
      </c>
      <c r="C36" s="278" t="s">
        <v>166</v>
      </c>
      <c r="D36" s="278">
        <f>VLOOKUP(C36,METHODOLOGY!$C$175:$D$177,2,FALSE)</f>
        <v>3</v>
      </c>
      <c r="E36" s="1087" t="str">
        <f>_xlfn.XLOOKUP(C36,METHODOLOGY!$E$150:$O$150,METHODOLOGY!$E$164:$O$164,"",0,1)</f>
        <v xml:space="preserve">The original valuation can be used with no or very simple modification e.g. change units from ha to km2, applying inflation. </v>
      </c>
      <c r="F36" s="1087"/>
      <c r="G36" s="1087"/>
      <c r="H36" s="1087"/>
      <c r="I36" s="2"/>
      <c r="J36" s="2"/>
      <c r="K36" s="2"/>
      <c r="L36" s="2"/>
    </row>
    <row r="37" spans="1:12">
      <c r="A37" s="2"/>
      <c r="B37" s="2"/>
      <c r="C37" s="282" t="s">
        <v>924</v>
      </c>
      <c r="D37" s="326">
        <f>IF(AND(D36=1,AVERAGE(D31:D36)&gt;2.14285714285714),2.14285714285714,IF(AND(D36=2,AVERAGE(D31:D36)&gt;2.57142857142857),2.57142857142857,AVERAGE(D31:D36)))</f>
        <v>3</v>
      </c>
      <c r="E37" s="276" t="str">
        <f>IF(D37&lt;=2.14285714285714,"Red",IF(D37&lt;=2.57142857142857,"Amber",IF(D37&lt;=3,"Green")))</f>
        <v>Green</v>
      </c>
      <c r="F37" s="2"/>
      <c r="G37" s="2"/>
      <c r="H37" s="2"/>
      <c r="I37" s="2"/>
      <c r="J37" s="2"/>
      <c r="K37" s="2"/>
      <c r="L37" s="2"/>
    </row>
    <row r="40" spans="1:12">
      <c r="A40" s="725"/>
      <c r="B40" s="726" t="s">
        <v>929</v>
      </c>
      <c r="C40" s="725"/>
      <c r="D40" s="725"/>
      <c r="E40" s="725"/>
      <c r="F40" s="725"/>
      <c r="G40" s="725"/>
      <c r="H40" s="725"/>
      <c r="I40" s="2"/>
      <c r="J40" s="2"/>
      <c r="K40" s="2"/>
      <c r="L40" s="2"/>
    </row>
    <row r="41" spans="1:12">
      <c r="A41" s="2"/>
      <c r="B41" s="277" t="s">
        <v>913</v>
      </c>
      <c r="C41" s="277" t="s">
        <v>1089</v>
      </c>
      <c r="D41" s="277" t="s">
        <v>902</v>
      </c>
      <c r="E41" s="277" t="s">
        <v>331</v>
      </c>
      <c r="F41" s="277" t="s">
        <v>226</v>
      </c>
      <c r="G41" s="1157" t="s">
        <v>930</v>
      </c>
      <c r="H41" s="1157"/>
      <c r="I41" s="1157"/>
      <c r="J41" s="1157"/>
      <c r="K41" s="1157"/>
      <c r="L41" s="1157"/>
    </row>
    <row r="42" spans="1:12" ht="25.5" customHeight="1">
      <c r="A42" s="2"/>
      <c r="B42" s="278">
        <v>63</v>
      </c>
      <c r="C42" s="278" t="s">
        <v>891</v>
      </c>
      <c r="D42" s="278" t="s">
        <v>1431</v>
      </c>
      <c r="E42" s="415">
        <v>10</v>
      </c>
      <c r="F42" s="394" t="s">
        <v>1382</v>
      </c>
      <c r="G42" s="1158" t="s">
        <v>1432</v>
      </c>
      <c r="H42" s="1095"/>
      <c r="I42" s="1095"/>
      <c r="J42" s="1095"/>
      <c r="K42" s="1095"/>
      <c r="L42" s="1095"/>
    </row>
    <row r="43" spans="1:12" ht="30.95" customHeight="1">
      <c r="A43" s="2"/>
      <c r="B43" s="278">
        <v>63</v>
      </c>
      <c r="C43" s="278" t="s">
        <v>891</v>
      </c>
      <c r="D43" s="278" t="s">
        <v>1433</v>
      </c>
      <c r="E43" s="415">
        <v>10</v>
      </c>
      <c r="F43" s="394" t="s">
        <v>1382</v>
      </c>
      <c r="G43" s="1095"/>
      <c r="H43" s="1095"/>
      <c r="I43" s="1095"/>
      <c r="J43" s="1095"/>
      <c r="K43" s="1095"/>
      <c r="L43" s="1095"/>
    </row>
    <row r="44" spans="1:12" s="2" customFormat="1" ht="57.95">
      <c r="B44" s="278">
        <v>40</v>
      </c>
      <c r="C44" s="278" t="s">
        <v>891</v>
      </c>
      <c r="D44" s="375" t="s">
        <v>1434</v>
      </c>
      <c r="E44" s="415">
        <f ca="1">'Carbon values'!$H$16</f>
        <v>376</v>
      </c>
      <c r="F44" s="394" t="s">
        <v>255</v>
      </c>
      <c r="G44" s="1158" t="s">
        <v>1385</v>
      </c>
      <c r="H44" s="1158"/>
      <c r="I44" s="1158"/>
      <c r="J44" s="1158"/>
      <c r="K44" s="1158"/>
      <c r="L44" s="1158"/>
    </row>
    <row r="45" spans="1:12">
      <c r="A45" s="2"/>
      <c r="B45" s="2"/>
      <c r="C45" s="2"/>
      <c r="D45" s="2"/>
      <c r="E45" s="2"/>
      <c r="F45" s="6"/>
      <c r="G45" s="241"/>
      <c r="H45" s="241"/>
      <c r="I45" s="241"/>
      <c r="J45" s="241"/>
      <c r="K45" s="241"/>
      <c r="L45" s="241"/>
    </row>
    <row r="46" spans="1:12">
      <c r="A46" s="2"/>
      <c r="B46" s="2"/>
      <c r="C46" s="2"/>
      <c r="D46" s="2"/>
      <c r="E46" s="2"/>
      <c r="F46" s="6"/>
      <c r="G46" s="241"/>
      <c r="H46" s="241"/>
      <c r="I46" s="241"/>
      <c r="J46" s="241"/>
      <c r="K46" s="241"/>
      <c r="L46" s="241"/>
    </row>
    <row r="47" spans="1:12">
      <c r="A47" s="2"/>
      <c r="B47" s="2"/>
      <c r="C47" s="2"/>
      <c r="D47" s="2"/>
      <c r="E47" s="2"/>
      <c r="F47" s="6"/>
      <c r="G47" s="241"/>
      <c r="H47" s="241"/>
      <c r="I47" s="241"/>
      <c r="J47" s="241"/>
      <c r="K47" s="241"/>
      <c r="L47" s="241"/>
    </row>
    <row r="48" spans="1:12">
      <c r="A48" s="2"/>
      <c r="B48" s="2"/>
      <c r="C48" s="2"/>
      <c r="D48" s="2"/>
      <c r="E48" s="2"/>
      <c r="F48" s="6"/>
      <c r="G48" s="241"/>
      <c r="H48" s="241"/>
      <c r="I48" s="241"/>
      <c r="J48" s="241"/>
      <c r="K48" s="241"/>
      <c r="L48" s="241"/>
    </row>
    <row r="49" spans="1:24">
      <c r="A49" s="2"/>
      <c r="B49" s="2"/>
      <c r="C49" s="2"/>
      <c r="D49" s="2"/>
      <c r="E49" s="2"/>
      <c r="F49" s="2"/>
      <c r="G49" s="431" t="s">
        <v>1386</v>
      </c>
      <c r="H49" s="453"/>
      <c r="I49" s="241"/>
      <c r="J49" s="241"/>
      <c r="K49" s="241"/>
      <c r="L49" s="241"/>
      <c r="M49" s="2"/>
      <c r="N49" s="2"/>
      <c r="O49" s="2"/>
      <c r="P49" s="2"/>
      <c r="Q49" s="2"/>
      <c r="R49" s="2"/>
      <c r="S49" s="2"/>
      <c r="T49" s="2"/>
      <c r="U49" s="2"/>
      <c r="V49" s="2"/>
      <c r="W49" s="2"/>
      <c r="X49" s="2"/>
    </row>
    <row r="50" spans="1:24">
      <c r="A50" s="2"/>
      <c r="B50" s="2"/>
      <c r="C50" s="2"/>
      <c r="D50" s="2"/>
      <c r="E50" s="2"/>
      <c r="F50" s="2"/>
      <c r="G50" s="431" t="s">
        <v>1387</v>
      </c>
      <c r="H50" s="454" t="s">
        <v>1388</v>
      </c>
      <c r="I50" s="241"/>
      <c r="J50" s="241"/>
      <c r="K50" s="241"/>
      <c r="L50" s="241"/>
      <c r="M50" s="2"/>
      <c r="N50" s="2"/>
      <c r="O50" s="2"/>
      <c r="P50" s="2"/>
      <c r="Q50" s="2"/>
      <c r="R50" s="2"/>
      <c r="S50" s="2"/>
      <c r="T50" s="2"/>
      <c r="U50" s="2"/>
      <c r="V50" s="2"/>
      <c r="W50" s="2"/>
      <c r="X50" s="2"/>
    </row>
    <row r="51" spans="1:24">
      <c r="A51" s="2"/>
      <c r="B51" s="2"/>
      <c r="C51" s="2"/>
      <c r="D51" s="2"/>
      <c r="E51" s="2"/>
      <c r="F51" s="2"/>
      <c r="G51" s="376">
        <v>100</v>
      </c>
      <c r="H51" s="455" t="s">
        <v>1389</v>
      </c>
      <c r="I51" s="241"/>
      <c r="J51" s="241"/>
      <c r="K51" s="241"/>
      <c r="L51" s="241"/>
      <c r="M51" s="2"/>
      <c r="N51" s="2"/>
      <c r="O51" s="2"/>
      <c r="P51" s="2"/>
      <c r="Q51" s="2"/>
      <c r="R51" s="2"/>
      <c r="S51" s="2"/>
      <c r="T51" s="2"/>
      <c r="U51" s="2"/>
      <c r="V51" s="2"/>
      <c r="W51" s="2"/>
      <c r="X51" s="2"/>
    </row>
    <row r="52" spans="1:24">
      <c r="A52" s="2"/>
      <c r="B52" s="2"/>
      <c r="C52" s="2"/>
      <c r="D52" s="2"/>
      <c r="E52" s="2"/>
      <c r="F52" s="2"/>
      <c r="G52" s="376">
        <v>110</v>
      </c>
      <c r="H52" s="455" t="s">
        <v>1390</v>
      </c>
      <c r="I52" s="241"/>
      <c r="J52" s="241"/>
      <c r="K52" s="241"/>
      <c r="L52" s="241"/>
      <c r="M52" s="2"/>
      <c r="N52" s="2"/>
      <c r="O52" s="2"/>
      <c r="P52" s="2"/>
      <c r="Q52" s="2"/>
      <c r="R52" s="2"/>
      <c r="S52" s="2"/>
      <c r="T52" s="2"/>
      <c r="U52" s="2"/>
      <c r="V52" s="2"/>
      <c r="W52" s="2"/>
      <c r="X52" s="2"/>
    </row>
    <row r="53" spans="1:24">
      <c r="A53" s="2"/>
      <c r="B53" s="2"/>
      <c r="C53" s="2"/>
      <c r="D53" s="2"/>
      <c r="E53" s="2"/>
      <c r="F53" s="2"/>
      <c r="G53" s="376">
        <v>120</v>
      </c>
      <c r="H53" s="455" t="s">
        <v>1391</v>
      </c>
      <c r="I53" s="241"/>
      <c r="J53" s="241"/>
      <c r="K53" s="241"/>
      <c r="L53" s="241"/>
      <c r="M53" s="2"/>
      <c r="N53" s="2"/>
      <c r="O53" s="2"/>
      <c r="P53" s="2"/>
      <c r="Q53" s="2"/>
      <c r="R53" s="2"/>
      <c r="S53" s="2"/>
      <c r="T53" s="2"/>
      <c r="U53" s="2"/>
      <c r="V53" s="2"/>
      <c r="W53" s="2"/>
      <c r="X53" s="2"/>
    </row>
    <row r="54" spans="1:24">
      <c r="A54" s="2"/>
      <c r="B54" s="2"/>
      <c r="C54" s="2"/>
      <c r="D54" s="2"/>
      <c r="E54" s="2"/>
      <c r="F54" s="2"/>
      <c r="G54" s="376">
        <v>130</v>
      </c>
      <c r="H54" s="455" t="s">
        <v>1392</v>
      </c>
      <c r="I54" s="241"/>
      <c r="J54" s="241"/>
      <c r="K54" s="241"/>
      <c r="L54" s="241"/>
      <c r="M54" s="2"/>
      <c r="N54" s="2"/>
      <c r="O54" s="2"/>
      <c r="P54" s="2"/>
      <c r="Q54" s="2"/>
      <c r="R54" s="2"/>
      <c r="S54" s="2"/>
      <c r="T54" s="2"/>
      <c r="U54" s="2"/>
      <c r="V54" s="2"/>
      <c r="W54" s="2"/>
      <c r="X54" s="2"/>
    </row>
    <row r="55" spans="1:24">
      <c r="A55" s="2"/>
      <c r="B55" s="2"/>
      <c r="C55" s="2"/>
      <c r="D55" s="2"/>
      <c r="E55" s="2"/>
      <c r="F55" s="2"/>
      <c r="G55" s="376">
        <v>140</v>
      </c>
      <c r="H55" s="455" t="s">
        <v>1393</v>
      </c>
      <c r="I55" s="241"/>
      <c r="J55" s="241"/>
      <c r="K55" s="241"/>
      <c r="L55" s="241"/>
      <c r="M55" s="2"/>
      <c r="N55" s="2"/>
      <c r="O55" s="2"/>
      <c r="P55" s="2"/>
      <c r="Q55" s="2"/>
      <c r="R55" s="2"/>
      <c r="S55" s="2"/>
      <c r="T55" s="2"/>
      <c r="U55" s="2"/>
      <c r="V55" s="2"/>
      <c r="W55" s="2"/>
      <c r="X55" s="2"/>
    </row>
    <row r="56" spans="1:24">
      <c r="A56" s="2"/>
      <c r="B56" s="2"/>
      <c r="C56" s="2"/>
      <c r="D56" s="2"/>
      <c r="E56" s="2"/>
      <c r="F56" s="2"/>
      <c r="G56" s="456">
        <v>150</v>
      </c>
      <c r="H56" s="455" t="s">
        <v>1394</v>
      </c>
      <c r="I56" s="241"/>
      <c r="J56" s="241"/>
      <c r="K56" s="241"/>
      <c r="L56" s="241"/>
      <c r="M56" s="2"/>
      <c r="N56" s="2"/>
      <c r="O56" s="2"/>
      <c r="P56" s="2"/>
      <c r="Q56" s="2"/>
      <c r="R56" s="2"/>
      <c r="S56" s="2"/>
      <c r="T56" s="2"/>
      <c r="U56" s="2"/>
      <c r="V56" s="2"/>
      <c r="W56" s="2"/>
      <c r="X56" s="2"/>
    </row>
    <row r="57" spans="1:24">
      <c r="A57" s="2"/>
      <c r="B57" s="2"/>
      <c r="C57" s="2"/>
      <c r="D57" s="2"/>
      <c r="E57" s="2"/>
      <c r="F57" s="6"/>
      <c r="G57" s="241"/>
      <c r="H57" s="241"/>
      <c r="I57" s="241"/>
      <c r="J57" s="241"/>
      <c r="K57" s="241"/>
      <c r="L57" s="241"/>
      <c r="M57" s="2"/>
      <c r="N57" s="2"/>
      <c r="O57" s="2"/>
      <c r="P57" s="2"/>
      <c r="Q57" s="2"/>
      <c r="R57" s="2"/>
      <c r="S57" s="2"/>
      <c r="T57" s="2"/>
      <c r="U57" s="2"/>
      <c r="V57" s="2"/>
      <c r="W57" s="2"/>
      <c r="X57" s="2"/>
    </row>
    <row r="58" spans="1:24">
      <c r="A58" s="2"/>
      <c r="B58" s="2"/>
      <c r="C58" s="2"/>
      <c r="D58" s="2"/>
      <c r="E58" s="2"/>
      <c r="F58" s="6"/>
      <c r="G58" s="241"/>
      <c r="H58" s="241"/>
      <c r="I58" s="241"/>
      <c r="J58" s="241"/>
      <c r="K58" s="241"/>
      <c r="L58" s="241"/>
      <c r="M58" s="2"/>
      <c r="N58" s="2"/>
      <c r="O58" s="2"/>
      <c r="P58" s="2"/>
      <c r="Q58" s="2"/>
      <c r="R58" s="2"/>
      <c r="S58" s="2"/>
      <c r="T58" s="2"/>
      <c r="U58" s="2"/>
      <c r="V58" s="2"/>
      <c r="W58" s="2"/>
      <c r="X58" s="2"/>
    </row>
    <row r="59" spans="1:24">
      <c r="A59" s="2"/>
      <c r="B59" s="2"/>
      <c r="C59" s="2"/>
      <c r="D59" s="2"/>
      <c r="E59" s="2"/>
      <c r="F59" s="6"/>
      <c r="G59" s="241"/>
      <c r="H59" s="241"/>
      <c r="I59" s="241"/>
      <c r="J59" s="241"/>
      <c r="K59" s="241"/>
      <c r="L59" s="241"/>
      <c r="M59" s="2"/>
      <c r="N59" s="2"/>
      <c r="O59" s="2"/>
      <c r="P59" s="2"/>
      <c r="Q59" s="2"/>
      <c r="R59" s="2"/>
      <c r="S59" s="2"/>
      <c r="T59" s="2"/>
      <c r="U59" s="2"/>
      <c r="V59" s="2"/>
      <c r="W59" s="2"/>
      <c r="X59" s="2"/>
    </row>
    <row r="60" spans="1:24">
      <c r="A60" s="2"/>
      <c r="B60" s="2"/>
      <c r="C60" s="2"/>
      <c r="D60" s="2"/>
      <c r="E60" s="2"/>
      <c r="F60" s="6"/>
      <c r="G60" s="241"/>
      <c r="H60" s="241"/>
      <c r="I60" s="241"/>
      <c r="J60" s="241"/>
      <c r="K60" s="241"/>
      <c r="L60" s="241"/>
      <c r="M60" s="2"/>
      <c r="N60" s="2"/>
      <c r="O60" s="2"/>
      <c r="P60" s="2"/>
      <c r="Q60" s="2"/>
      <c r="R60" s="2"/>
      <c r="S60" s="2"/>
      <c r="T60" s="2"/>
      <c r="U60" s="2"/>
      <c r="V60" s="2"/>
      <c r="W60" s="2"/>
      <c r="X60" s="2"/>
    </row>
    <row r="61" spans="1:24">
      <c r="A61" s="2"/>
      <c r="B61" s="2"/>
      <c r="C61" s="2"/>
      <c r="D61" s="2"/>
      <c r="E61" s="2"/>
      <c r="F61" s="6"/>
      <c r="G61" s="241"/>
      <c r="H61" s="241"/>
      <c r="I61" s="241"/>
      <c r="J61" s="241"/>
      <c r="K61" s="241"/>
      <c r="L61" s="241"/>
      <c r="M61" s="2"/>
      <c r="N61" s="2"/>
      <c r="O61" s="2"/>
      <c r="P61" s="2"/>
      <c r="Q61" s="2"/>
      <c r="R61" s="2"/>
      <c r="S61" s="2"/>
      <c r="T61" s="2"/>
      <c r="U61" s="2"/>
      <c r="V61" s="2"/>
      <c r="W61" s="2"/>
      <c r="X61" s="2"/>
    </row>
    <row r="63" spans="1:24">
      <c r="A63" s="725"/>
      <c r="B63" s="726" t="s">
        <v>936</v>
      </c>
      <c r="C63" s="725"/>
      <c r="D63" s="725"/>
      <c r="E63" s="725"/>
      <c r="F63" s="725"/>
      <c r="G63" s="725"/>
      <c r="H63" s="725"/>
      <c r="I63" s="2"/>
      <c r="J63" s="2"/>
      <c r="K63" s="2"/>
      <c r="L63" s="2"/>
      <c r="M63" s="2"/>
      <c r="N63" s="2"/>
      <c r="O63" s="2"/>
      <c r="P63" s="2"/>
      <c r="Q63" s="2"/>
      <c r="R63" s="2"/>
      <c r="S63" s="2"/>
      <c r="T63" s="2"/>
      <c r="U63" s="2"/>
      <c r="V63" s="2"/>
      <c r="W63" s="2"/>
      <c r="X63" s="2"/>
    </row>
    <row r="64" spans="1:24">
      <c r="A64" s="2"/>
      <c r="B64" s="298" t="s">
        <v>1339</v>
      </c>
      <c r="C64" s="298" t="s">
        <v>1174</v>
      </c>
      <c r="D64" s="2"/>
      <c r="E64" s="2"/>
      <c r="F64" s="2"/>
      <c r="G64" s="2"/>
      <c r="H64" s="2"/>
      <c r="I64" s="2"/>
      <c r="J64" s="2"/>
      <c r="K64" s="2"/>
      <c r="L64" s="2"/>
      <c r="M64" s="2"/>
      <c r="N64" s="2"/>
      <c r="O64" s="2"/>
      <c r="P64" s="2"/>
      <c r="Q64" s="2"/>
      <c r="R64" s="2"/>
      <c r="S64" s="2"/>
      <c r="T64" s="2"/>
      <c r="U64" s="2"/>
      <c r="V64" s="2"/>
      <c r="W64" s="2"/>
      <c r="X64" s="2"/>
    </row>
    <row r="65" spans="1:24">
      <c r="A65" s="2"/>
      <c r="B65" s="334" t="s">
        <v>1382</v>
      </c>
      <c r="C65" s="457">
        <f>E42</f>
        <v>10</v>
      </c>
      <c r="D65" s="2"/>
      <c r="E65" s="2"/>
      <c r="F65" s="2"/>
      <c r="G65" s="2"/>
      <c r="H65" s="2"/>
      <c r="I65" s="2"/>
      <c r="J65" s="2"/>
      <c r="K65" s="2"/>
      <c r="L65" s="2"/>
      <c r="M65" s="2"/>
      <c r="N65" s="2"/>
      <c r="O65" s="2"/>
      <c r="P65" s="2"/>
      <c r="Q65" s="2"/>
      <c r="R65" s="2"/>
      <c r="S65" s="2"/>
      <c r="T65" s="2"/>
      <c r="U65" s="2"/>
      <c r="V65" s="2"/>
      <c r="W65" s="2"/>
      <c r="X65" s="2"/>
    </row>
    <row r="66" spans="1:24">
      <c r="A66" s="2"/>
      <c r="B66" s="334" t="s">
        <v>416</v>
      </c>
      <c r="C66" s="458">
        <f>C65/1000</f>
        <v>0.01</v>
      </c>
      <c r="D66" s="2"/>
      <c r="E66" s="2"/>
      <c r="F66" s="2"/>
      <c r="G66" s="2"/>
      <c r="H66" s="2"/>
      <c r="I66" s="2"/>
      <c r="J66" s="2"/>
      <c r="K66" s="2"/>
      <c r="L66" s="2"/>
      <c r="M66" s="2"/>
      <c r="N66" s="2"/>
      <c r="O66" s="2"/>
      <c r="P66" s="2"/>
      <c r="Q66" s="2"/>
      <c r="R66" s="2"/>
      <c r="S66" s="2"/>
      <c r="T66" s="2"/>
      <c r="U66" s="2"/>
      <c r="V66" s="2"/>
      <c r="W66" s="2"/>
      <c r="X66" s="2"/>
    </row>
    <row r="67" spans="1:24">
      <c r="A67" s="2"/>
      <c r="B67" s="334" t="s">
        <v>1435</v>
      </c>
      <c r="C67" s="458">
        <f ca="1">C66*E44</f>
        <v>3.7600000000000002</v>
      </c>
      <c r="D67" s="2"/>
      <c r="E67" s="2"/>
      <c r="F67" s="2"/>
      <c r="G67" s="2"/>
      <c r="H67" s="2"/>
      <c r="I67" s="2"/>
      <c r="J67" s="2"/>
      <c r="K67" s="2"/>
      <c r="L67" s="2"/>
      <c r="M67" s="2"/>
      <c r="N67" s="2"/>
      <c r="O67" s="2"/>
      <c r="P67" s="2"/>
      <c r="Q67" s="2"/>
      <c r="R67" s="2"/>
      <c r="S67" s="2"/>
      <c r="T67" s="2"/>
      <c r="U67" s="2"/>
      <c r="V67" s="2"/>
      <c r="W67" s="2"/>
      <c r="X67" s="2"/>
    </row>
    <row r="69" spans="1:24">
      <c r="A69" s="727"/>
      <c r="B69" s="728" t="s">
        <v>901</v>
      </c>
      <c r="C69" s="727"/>
      <c r="D69" s="727"/>
      <c r="E69" s="727"/>
      <c r="F69" s="727"/>
      <c r="G69" s="727"/>
      <c r="H69" s="727"/>
      <c r="I69" s="2"/>
      <c r="J69" s="2"/>
      <c r="K69" s="2"/>
      <c r="L69" s="2"/>
      <c r="M69" s="2"/>
      <c r="N69" s="2"/>
      <c r="O69" s="2"/>
      <c r="P69" s="2"/>
      <c r="Q69" s="2"/>
      <c r="R69" s="2"/>
      <c r="S69" s="2"/>
      <c r="T69" s="2"/>
      <c r="U69" s="2"/>
      <c r="V69" s="2"/>
      <c r="W69" s="2"/>
      <c r="X69" s="2"/>
    </row>
    <row r="70" spans="1:24" ht="29.1">
      <c r="A70" s="2"/>
      <c r="B70" s="522" t="s">
        <v>902</v>
      </c>
      <c r="C70" s="522" t="s">
        <v>898</v>
      </c>
      <c r="D70" s="522" t="s">
        <v>899</v>
      </c>
      <c r="E70" s="719" t="s">
        <v>903</v>
      </c>
      <c r="F70" s="522" t="s">
        <v>904</v>
      </c>
      <c r="G70" s="522" t="s">
        <v>905</v>
      </c>
      <c r="H70" s="522" t="s">
        <v>924</v>
      </c>
      <c r="I70" s="522" t="s">
        <v>956</v>
      </c>
      <c r="J70" s="522" t="s">
        <v>927</v>
      </c>
      <c r="K70" s="2"/>
      <c r="L70" s="2"/>
      <c r="M70" s="2"/>
      <c r="N70" s="2"/>
      <c r="O70" s="2"/>
      <c r="P70" s="2"/>
      <c r="Q70" s="2"/>
      <c r="R70" s="2"/>
      <c r="S70" s="2"/>
      <c r="T70" s="2"/>
      <c r="U70" s="2"/>
      <c r="V70" s="2"/>
      <c r="W70" s="2"/>
      <c r="X70" s="2"/>
    </row>
    <row r="71" spans="1:24">
      <c r="A71" s="2"/>
      <c r="B71" s="278" t="s">
        <v>142</v>
      </c>
      <c r="C71" s="278" t="s">
        <v>456</v>
      </c>
      <c r="D71" s="299" t="s">
        <v>1380</v>
      </c>
      <c r="E71" s="464" t="s">
        <v>957</v>
      </c>
      <c r="F71" s="278" t="str" cm="1">
        <f t="array" ref="F71">_xlfn.XLOOKUP(1,(D80:D81=B71)*(E80:E81=C71),B80:B81,"Not found",0,1)</f>
        <v>15-01</v>
      </c>
      <c r="G71" s="306">
        <f ca="1">VLOOKUP(F71,B80:L82,11,FALSE)</f>
        <v>4.2212330266577602</v>
      </c>
      <c r="H71" s="326">
        <f>D37</f>
        <v>3</v>
      </c>
      <c r="I71" s="644" t="s">
        <v>1396</v>
      </c>
      <c r="J71" s="362"/>
      <c r="K71" s="2"/>
      <c r="L71" s="2"/>
      <c r="M71" s="2"/>
      <c r="N71" s="2"/>
      <c r="O71" s="2"/>
      <c r="P71" s="2"/>
      <c r="Q71" s="2"/>
      <c r="R71" s="2"/>
      <c r="S71" s="2"/>
      <c r="T71" s="2"/>
      <c r="U71" s="2"/>
      <c r="V71" s="2"/>
      <c r="W71" s="2"/>
      <c r="X71" s="2"/>
    </row>
    <row r="72" spans="1:24">
      <c r="A72" s="2"/>
      <c r="B72" s="278" t="s">
        <v>143</v>
      </c>
      <c r="C72" s="278" t="s">
        <v>456</v>
      </c>
      <c r="D72" s="299" t="s">
        <v>1380</v>
      </c>
      <c r="E72" s="639" t="s">
        <v>906</v>
      </c>
      <c r="F72" s="279" t="s">
        <v>907</v>
      </c>
      <c r="G72" s="306" t="s">
        <v>477</v>
      </c>
      <c r="H72" s="644" t="s">
        <v>907</v>
      </c>
      <c r="I72" s="644" t="s">
        <v>907</v>
      </c>
      <c r="J72" s="644" t="s">
        <v>907</v>
      </c>
      <c r="K72" s="2"/>
      <c r="L72" s="2"/>
      <c r="M72" s="2"/>
      <c r="N72" s="2"/>
      <c r="O72" s="2"/>
      <c r="P72" s="2"/>
      <c r="Q72" s="2"/>
      <c r="R72" s="2"/>
      <c r="S72" s="2"/>
      <c r="T72" s="2"/>
      <c r="U72" s="2"/>
      <c r="V72" s="2"/>
      <c r="W72" s="2"/>
      <c r="X72" s="2"/>
    </row>
    <row r="73" spans="1:24">
      <c r="A73" s="2"/>
      <c r="B73" s="278" t="s">
        <v>144</v>
      </c>
      <c r="C73" s="278" t="s">
        <v>456</v>
      </c>
      <c r="D73" s="299" t="s">
        <v>1380</v>
      </c>
      <c r="E73" s="639" t="s">
        <v>906</v>
      </c>
      <c r="F73" s="279" t="s">
        <v>907</v>
      </c>
      <c r="G73" s="306" t="s">
        <v>477</v>
      </c>
      <c r="H73" s="644" t="s">
        <v>907</v>
      </c>
      <c r="I73" s="644" t="s">
        <v>907</v>
      </c>
      <c r="J73" s="644" t="s">
        <v>907</v>
      </c>
      <c r="K73" s="2"/>
      <c r="L73" s="2"/>
      <c r="M73" s="2"/>
      <c r="N73" s="2"/>
      <c r="O73" s="2"/>
      <c r="P73" s="2"/>
      <c r="Q73" s="2"/>
      <c r="R73" s="2"/>
      <c r="S73" s="2"/>
      <c r="T73" s="2"/>
      <c r="U73" s="2"/>
      <c r="V73" s="2"/>
      <c r="W73" s="2"/>
      <c r="X73" s="2"/>
    </row>
    <row r="74" spans="1:24">
      <c r="A74" s="2"/>
      <c r="B74" s="278" t="s">
        <v>145</v>
      </c>
      <c r="C74" s="278" t="s">
        <v>456</v>
      </c>
      <c r="D74" s="299" t="s">
        <v>1380</v>
      </c>
      <c r="E74" s="464" t="s">
        <v>957</v>
      </c>
      <c r="F74" s="278" t="str" cm="1">
        <f t="array" ref="F74">_xlfn.XLOOKUP(1,(D80:D81=B74)*(E80:E81=C74),B80:B81,"Not found",0,1)</f>
        <v>15-02</v>
      </c>
      <c r="G74" s="306">
        <f ca="1">VLOOKUP(F74,B79:L81,11,FALSE)</f>
        <v>4.2212330266577602</v>
      </c>
      <c r="H74" s="326">
        <f>D37</f>
        <v>3</v>
      </c>
      <c r="I74" s="644" t="s">
        <v>1396</v>
      </c>
      <c r="J74" s="362"/>
      <c r="K74" s="2"/>
      <c r="L74" s="2"/>
      <c r="M74" s="2"/>
      <c r="N74" s="2"/>
      <c r="O74" s="2"/>
      <c r="P74" s="2"/>
      <c r="Q74" s="2"/>
      <c r="R74" s="2"/>
      <c r="S74" s="2"/>
      <c r="T74" s="2"/>
      <c r="U74" s="2"/>
      <c r="V74" s="2"/>
      <c r="W74" s="2"/>
      <c r="X74" s="2"/>
    </row>
    <row r="75" spans="1:24">
      <c r="A75" s="2"/>
      <c r="B75" s="278" t="s">
        <v>146</v>
      </c>
      <c r="C75" s="278" t="s">
        <v>456</v>
      </c>
      <c r="D75" s="299" t="s">
        <v>1380</v>
      </c>
      <c r="E75" s="639" t="s">
        <v>906</v>
      </c>
      <c r="F75" s="279" t="s">
        <v>907</v>
      </c>
      <c r="G75" s="306" t="s">
        <v>477</v>
      </c>
      <c r="H75" s="638" t="s">
        <v>907</v>
      </c>
      <c r="I75" s="638" t="s">
        <v>907</v>
      </c>
      <c r="J75" s="638" t="s">
        <v>907</v>
      </c>
      <c r="K75" s="2"/>
      <c r="L75" s="2"/>
      <c r="M75" s="2"/>
      <c r="N75" s="2"/>
      <c r="O75" s="2"/>
      <c r="P75" s="2"/>
      <c r="Q75" s="2"/>
      <c r="R75" s="2"/>
      <c r="S75" s="2"/>
      <c r="T75" s="2"/>
      <c r="U75" s="2"/>
      <c r="V75" s="2"/>
      <c r="W75" s="2"/>
      <c r="X75" s="2"/>
    </row>
    <row r="76" spans="1:24">
      <c r="A76" s="2"/>
      <c r="B76" s="278" t="s">
        <v>147</v>
      </c>
      <c r="C76" s="278" t="s">
        <v>456</v>
      </c>
      <c r="D76" s="299" t="s">
        <v>1380</v>
      </c>
      <c r="E76" s="639" t="s">
        <v>906</v>
      </c>
      <c r="F76" s="279" t="s">
        <v>907</v>
      </c>
      <c r="G76" s="306" t="s">
        <v>477</v>
      </c>
      <c r="H76" s="638" t="s">
        <v>907</v>
      </c>
      <c r="I76" s="638" t="s">
        <v>907</v>
      </c>
      <c r="J76" s="638" t="s">
        <v>907</v>
      </c>
      <c r="K76" s="2"/>
      <c r="L76" s="2"/>
      <c r="M76" s="2"/>
      <c r="N76" s="2"/>
      <c r="O76" s="2"/>
      <c r="P76" s="2"/>
      <c r="Q76" s="2"/>
      <c r="R76" s="2"/>
      <c r="S76" s="2"/>
      <c r="T76" s="2"/>
      <c r="U76" s="2"/>
      <c r="V76" s="2"/>
      <c r="W76" s="2"/>
      <c r="X76" s="2"/>
    </row>
    <row r="77" spans="1:24">
      <c r="A77" s="2"/>
      <c r="B77" s="18"/>
      <c r="C77" s="2"/>
      <c r="D77" s="2"/>
      <c r="E77" s="2"/>
      <c r="F77" s="2"/>
      <c r="G77" s="2"/>
      <c r="H77" s="2"/>
      <c r="I77" s="2"/>
      <c r="J77" s="2"/>
      <c r="K77" s="2"/>
      <c r="L77" s="2"/>
      <c r="M77" s="2"/>
      <c r="N77" s="2"/>
      <c r="O77" s="2"/>
      <c r="P77" s="2"/>
      <c r="Q77" s="2"/>
      <c r="R77" s="2"/>
      <c r="S77" s="2"/>
      <c r="T77" s="2"/>
      <c r="U77" s="2"/>
      <c r="V77" s="2"/>
      <c r="W77" s="2"/>
      <c r="X77" s="2"/>
    </row>
    <row r="78" spans="1:24">
      <c r="A78" s="725"/>
      <c r="B78" s="726" t="s">
        <v>962</v>
      </c>
      <c r="C78" s="725"/>
      <c r="D78" s="725"/>
      <c r="E78" s="725"/>
      <c r="F78" s="725"/>
      <c r="G78" s="725"/>
      <c r="H78" s="725"/>
      <c r="I78" s="2"/>
      <c r="J78" s="2"/>
      <c r="K78" s="2"/>
      <c r="L78" s="2"/>
      <c r="M78" s="2"/>
      <c r="N78" s="2"/>
      <c r="O78" s="2"/>
      <c r="P78" s="2"/>
      <c r="Q78" s="2"/>
      <c r="R78" s="2"/>
      <c r="S78" s="2"/>
      <c r="T78" s="2"/>
      <c r="U78" s="2"/>
      <c r="V78" s="2"/>
      <c r="W78" s="2"/>
      <c r="X78" s="2"/>
    </row>
    <row r="79" spans="1:24">
      <c r="A79" s="2"/>
      <c r="B79" s="277" t="s">
        <v>904</v>
      </c>
      <c r="C79" s="277" t="s">
        <v>62</v>
      </c>
      <c r="D79" s="277" t="s">
        <v>902</v>
      </c>
      <c r="E79" s="277" t="s">
        <v>898</v>
      </c>
      <c r="F79" s="277" t="s">
        <v>916</v>
      </c>
      <c r="G79" s="277" t="s">
        <v>963</v>
      </c>
      <c r="H79" s="277" t="s">
        <v>964</v>
      </c>
      <c r="I79" s="277" t="s">
        <v>965</v>
      </c>
      <c r="J79" s="277" t="s">
        <v>966</v>
      </c>
      <c r="K79" s="277" t="s">
        <v>967</v>
      </c>
      <c r="L79" s="277" t="s">
        <v>968</v>
      </c>
      <c r="M79" s="277" t="s">
        <v>956</v>
      </c>
      <c r="N79" s="277" t="s">
        <v>969</v>
      </c>
      <c r="O79" s="277" t="s">
        <v>970</v>
      </c>
      <c r="P79" s="277" t="s">
        <v>927</v>
      </c>
      <c r="Q79" s="277" t="s">
        <v>913</v>
      </c>
      <c r="R79" s="277" t="s">
        <v>914</v>
      </c>
      <c r="S79" s="277" t="s">
        <v>915</v>
      </c>
      <c r="T79" s="277" t="s">
        <v>916</v>
      </c>
      <c r="U79" s="277" t="s">
        <v>917</v>
      </c>
      <c r="V79" s="277" t="s">
        <v>918</v>
      </c>
      <c r="W79" s="277" t="s">
        <v>919</v>
      </c>
      <c r="X79" s="2"/>
    </row>
    <row r="80" spans="1:24">
      <c r="A80" s="2"/>
      <c r="B80" s="302" t="s">
        <v>1436</v>
      </c>
      <c r="C80" s="279" t="s">
        <v>386</v>
      </c>
      <c r="D80" s="278" t="s">
        <v>142</v>
      </c>
      <c r="E80" s="278" t="s">
        <v>456</v>
      </c>
      <c r="F80" s="299">
        <f>E27</f>
        <v>2020</v>
      </c>
      <c r="G80" s="278">
        <v>2020</v>
      </c>
      <c r="H80" s="278">
        <f>'COMPANY INPUT'!$C$16</f>
        <v>2023</v>
      </c>
      <c r="I80" s="278">
        <f>VLOOKUP(G80,'GDP Deflators'!$H$13:$I$86,2,FALSE)</f>
        <v>89.073499999999996</v>
      </c>
      <c r="J80" s="278">
        <f>VLOOKUP(H80,'GDP Deflators'!$H$13:$I$86,2,FALSE)</f>
        <v>100</v>
      </c>
      <c r="K80" s="385">
        <f ca="1">C67</f>
        <v>3.7600000000000002</v>
      </c>
      <c r="L80" s="746">
        <f ca="1">K80*(J80/I80)</f>
        <v>4.2212330266577602</v>
      </c>
      <c r="M80" s="300" t="str">
        <f>I71</f>
        <v>Abatement cost</v>
      </c>
      <c r="N80" s="326">
        <f>H71</f>
        <v>3</v>
      </c>
      <c r="O80" s="278" t="s">
        <v>718</v>
      </c>
      <c r="P80" s="278">
        <f>J71</f>
        <v>0</v>
      </c>
      <c r="Q80" s="299">
        <f t="shared" ref="Q80:W80" si="0">B27</f>
        <v>63</v>
      </c>
      <c r="R80" s="278" t="str">
        <f t="shared" si="0"/>
        <v>EA (2020) Carbonomics report</v>
      </c>
      <c r="S80" s="278">
        <f t="shared" si="0"/>
        <v>0</v>
      </c>
      <c r="T80" s="278">
        <f t="shared" si="0"/>
        <v>2020</v>
      </c>
      <c r="U80" s="278" t="str">
        <f t="shared" si="0"/>
        <v>UK</v>
      </c>
      <c r="V80" s="278" t="str">
        <f t="shared" si="0"/>
        <v>UK</v>
      </c>
      <c r="W80" s="278">
        <f t="shared" si="0"/>
        <v>0</v>
      </c>
      <c r="X80" s="2"/>
    </row>
    <row r="81" spans="1:24">
      <c r="A81" s="2"/>
      <c r="B81" s="302" t="s">
        <v>1437</v>
      </c>
      <c r="C81" s="279" t="s">
        <v>386</v>
      </c>
      <c r="D81" s="299" t="s">
        <v>145</v>
      </c>
      <c r="E81" s="278" t="s">
        <v>456</v>
      </c>
      <c r="F81" s="299">
        <f>E27</f>
        <v>2020</v>
      </c>
      <c r="G81" s="278">
        <v>2020</v>
      </c>
      <c r="H81" s="278">
        <f>'COMPANY INPUT'!$C$16</f>
        <v>2023</v>
      </c>
      <c r="I81" s="278">
        <f>VLOOKUP(G81,'GDP Deflators'!$H$13:$I$86,2,FALSE)</f>
        <v>89.073499999999996</v>
      </c>
      <c r="J81" s="278">
        <f>VLOOKUP(H81,'GDP Deflators'!$H$13:$I$86,2,FALSE)</f>
        <v>100</v>
      </c>
      <c r="K81" s="385">
        <f ca="1">C67</f>
        <v>3.7600000000000002</v>
      </c>
      <c r="L81" s="746">
        <f ca="1">K81*(J81/I81)</f>
        <v>4.2212330266577602</v>
      </c>
      <c r="M81" s="300" t="str">
        <f>I74</f>
        <v>Abatement cost</v>
      </c>
      <c r="N81" s="326">
        <f>H74</f>
        <v>3</v>
      </c>
      <c r="O81" s="278" t="s">
        <v>718</v>
      </c>
      <c r="P81" s="278">
        <f>J74</f>
        <v>0</v>
      </c>
      <c r="Q81" s="299">
        <f t="shared" ref="Q81:V81" si="1">B27</f>
        <v>63</v>
      </c>
      <c r="R81" s="278" t="str">
        <f t="shared" si="1"/>
        <v>EA (2020) Carbonomics report</v>
      </c>
      <c r="S81" s="278">
        <f t="shared" si="1"/>
        <v>0</v>
      </c>
      <c r="T81" s="278">
        <f t="shared" si="1"/>
        <v>2020</v>
      </c>
      <c r="U81" s="278" t="str">
        <f t="shared" si="1"/>
        <v>UK</v>
      </c>
      <c r="V81" s="278" t="str">
        <f t="shared" si="1"/>
        <v>UK</v>
      </c>
      <c r="W81" s="278">
        <f>H28</f>
        <v>0</v>
      </c>
      <c r="X81" s="2"/>
    </row>
    <row r="84" spans="1:24">
      <c r="A84" s="721"/>
      <c r="B84" s="722" t="s">
        <v>460</v>
      </c>
      <c r="C84" s="721"/>
      <c r="D84" s="721"/>
      <c r="E84" s="721"/>
      <c r="F84" s="721"/>
      <c r="G84" s="721"/>
      <c r="H84" s="721"/>
      <c r="I84" s="2"/>
      <c r="J84" s="2"/>
      <c r="K84" s="2"/>
      <c r="L84" s="2"/>
      <c r="M84" s="2"/>
      <c r="N84" s="2"/>
      <c r="O84" s="2"/>
      <c r="P84" s="2"/>
      <c r="Q84" s="2"/>
      <c r="R84" s="2"/>
      <c r="S84" s="2"/>
      <c r="T84" s="2"/>
      <c r="U84" s="2"/>
      <c r="V84" s="2"/>
      <c r="W84" s="2"/>
      <c r="X84" s="2"/>
    </row>
    <row r="85" spans="1:24">
      <c r="A85" s="727"/>
      <c r="B85" s="729" t="s">
        <v>897</v>
      </c>
      <c r="C85" s="727"/>
      <c r="D85" s="727"/>
      <c r="E85" s="727"/>
      <c r="F85" s="727"/>
      <c r="G85" s="727"/>
      <c r="H85" s="727"/>
      <c r="I85" s="2"/>
      <c r="J85" s="2"/>
      <c r="K85" s="2"/>
      <c r="L85" s="2"/>
      <c r="M85" s="2"/>
      <c r="N85" s="2"/>
      <c r="O85" s="2"/>
      <c r="P85" s="2"/>
      <c r="Q85" s="2"/>
      <c r="R85" s="2"/>
      <c r="S85" s="2"/>
      <c r="T85" s="2"/>
      <c r="U85" s="2"/>
      <c r="V85" s="2"/>
      <c r="W85" s="2"/>
      <c r="X85" s="2"/>
    </row>
    <row r="86" spans="1:24">
      <c r="A86" s="2"/>
      <c r="B86" s="277" t="s">
        <v>898</v>
      </c>
      <c r="C86" s="277" t="s">
        <v>899</v>
      </c>
      <c r="D86" s="2"/>
      <c r="E86" s="2"/>
      <c r="F86" s="2"/>
      <c r="G86" s="2"/>
      <c r="H86" s="2"/>
      <c r="I86" s="2"/>
      <c r="J86" s="2"/>
      <c r="K86" s="2"/>
      <c r="L86" s="2"/>
      <c r="M86" s="2"/>
      <c r="N86" s="2"/>
      <c r="O86" s="2"/>
      <c r="P86" s="2"/>
      <c r="Q86" s="2"/>
      <c r="R86" s="2"/>
      <c r="S86" s="2"/>
      <c r="T86" s="2"/>
      <c r="U86" s="2"/>
      <c r="V86" s="2"/>
      <c r="W86" s="2"/>
      <c r="X86" s="2"/>
    </row>
    <row r="87" spans="1:24">
      <c r="A87" s="2"/>
      <c r="B87" s="278" t="s">
        <v>460</v>
      </c>
      <c r="C87" s="278" t="s">
        <v>1399</v>
      </c>
      <c r="D87" s="2"/>
      <c r="E87" s="2"/>
      <c r="F87" s="2"/>
      <c r="G87" s="2"/>
      <c r="H87" s="2"/>
      <c r="I87" s="2"/>
      <c r="J87" s="2"/>
      <c r="K87" s="2"/>
      <c r="L87" s="2"/>
      <c r="M87" s="2"/>
      <c r="N87" s="2"/>
      <c r="O87" s="2"/>
      <c r="P87" s="2"/>
      <c r="Q87" s="2"/>
      <c r="R87" s="2"/>
      <c r="S87" s="2"/>
      <c r="T87" s="2"/>
      <c r="U87" s="2"/>
      <c r="V87" s="2"/>
      <c r="W87" s="2"/>
      <c r="X87" s="2"/>
    </row>
    <row r="88" spans="1:24">
      <c r="A88" s="2"/>
      <c r="B88" s="16"/>
      <c r="C88" s="2"/>
      <c r="D88" s="2"/>
      <c r="E88" s="2"/>
      <c r="F88" s="2"/>
      <c r="G88" s="2"/>
      <c r="H88" s="2"/>
      <c r="I88" s="2"/>
      <c r="J88" s="2"/>
      <c r="K88" s="2"/>
      <c r="L88" s="2"/>
      <c r="M88" s="2"/>
      <c r="N88" s="2"/>
      <c r="O88" s="2"/>
      <c r="P88" s="2"/>
      <c r="Q88" s="2"/>
      <c r="R88" s="2"/>
      <c r="S88" s="2"/>
      <c r="T88" s="2"/>
      <c r="U88" s="2"/>
      <c r="V88" s="2"/>
      <c r="W88" s="2"/>
      <c r="X88" s="2"/>
    </row>
    <row r="89" spans="1:24">
      <c r="A89" s="727"/>
      <c r="B89" s="728" t="s">
        <v>901</v>
      </c>
      <c r="C89" s="727"/>
      <c r="D89" s="727"/>
      <c r="E89" s="727"/>
      <c r="F89" s="727"/>
      <c r="G89" s="727"/>
      <c r="H89" s="727"/>
      <c r="I89" s="2"/>
      <c r="J89" s="2"/>
      <c r="K89" s="2"/>
      <c r="L89" s="2"/>
      <c r="M89" s="2"/>
      <c r="N89" s="2"/>
      <c r="O89" s="2"/>
      <c r="P89" s="2"/>
      <c r="Q89" s="2"/>
      <c r="R89" s="2"/>
      <c r="S89" s="2"/>
      <c r="T89" s="2"/>
      <c r="U89" s="2"/>
      <c r="V89" s="2"/>
      <c r="W89" s="2"/>
      <c r="X89" s="2"/>
    </row>
    <row r="90" spans="1:24" ht="29.1">
      <c r="A90" s="2"/>
      <c r="B90" s="522" t="s">
        <v>902</v>
      </c>
      <c r="C90" s="522" t="s">
        <v>898</v>
      </c>
      <c r="D90" s="522" t="s">
        <v>899</v>
      </c>
      <c r="E90" s="719" t="s">
        <v>903</v>
      </c>
      <c r="F90" s="522" t="s">
        <v>904</v>
      </c>
      <c r="G90" s="522" t="s">
        <v>905</v>
      </c>
      <c r="H90" s="756" t="s">
        <v>924</v>
      </c>
      <c r="I90" s="756" t="s">
        <v>956</v>
      </c>
      <c r="J90" s="756" t="s">
        <v>927</v>
      </c>
      <c r="K90" s="2"/>
      <c r="L90" s="2"/>
      <c r="M90" s="2"/>
      <c r="N90" s="2"/>
      <c r="O90" s="2"/>
      <c r="P90" s="2"/>
      <c r="Q90" s="2"/>
      <c r="R90" s="2"/>
      <c r="S90" s="2"/>
      <c r="T90" s="2"/>
      <c r="U90" s="2"/>
      <c r="V90" s="2"/>
      <c r="W90" s="2"/>
      <c r="X90" s="2"/>
    </row>
    <row r="91" spans="1:24">
      <c r="A91" s="2"/>
      <c r="B91" s="278" t="s">
        <v>142</v>
      </c>
      <c r="C91" s="278" t="s">
        <v>460</v>
      </c>
      <c r="D91" s="299" t="s">
        <v>1399</v>
      </c>
      <c r="E91" s="299" t="s">
        <v>906</v>
      </c>
      <c r="F91" s="279" t="s">
        <v>907</v>
      </c>
      <c r="G91" s="311" t="s">
        <v>477</v>
      </c>
      <c r="H91" s="640" t="s">
        <v>907</v>
      </c>
      <c r="I91" s="640" t="s">
        <v>907</v>
      </c>
      <c r="J91" s="640" t="s">
        <v>907</v>
      </c>
      <c r="K91" s="2"/>
      <c r="L91" s="2"/>
      <c r="M91" s="2"/>
      <c r="N91" s="2"/>
      <c r="O91" s="2"/>
      <c r="P91" s="2"/>
      <c r="Q91" s="2"/>
      <c r="R91" s="2"/>
      <c r="S91" s="2"/>
      <c r="T91" s="2"/>
      <c r="U91" s="2"/>
      <c r="V91" s="2"/>
      <c r="W91" s="2"/>
      <c r="X91" s="2"/>
    </row>
    <row r="92" spans="1:24">
      <c r="A92" s="2"/>
      <c r="B92" s="278" t="s">
        <v>143</v>
      </c>
      <c r="C92" s="278" t="s">
        <v>460</v>
      </c>
      <c r="D92" s="299" t="s">
        <v>1399</v>
      </c>
      <c r="E92" s="299" t="s">
        <v>906</v>
      </c>
      <c r="F92" s="279" t="s">
        <v>907</v>
      </c>
      <c r="G92" s="311" t="s">
        <v>477</v>
      </c>
      <c r="H92" s="640" t="s">
        <v>907</v>
      </c>
      <c r="I92" s="640" t="s">
        <v>907</v>
      </c>
      <c r="J92" s="640" t="s">
        <v>907</v>
      </c>
      <c r="K92" s="2"/>
      <c r="L92" s="2"/>
      <c r="M92" s="2"/>
      <c r="N92" s="2"/>
      <c r="O92" s="2"/>
      <c r="P92" s="2"/>
      <c r="Q92" s="2"/>
      <c r="R92" s="2"/>
      <c r="S92" s="2"/>
      <c r="T92" s="2"/>
      <c r="U92" s="2"/>
      <c r="V92" s="2"/>
      <c r="W92" s="2"/>
      <c r="X92" s="2"/>
    </row>
    <row r="93" spans="1:24">
      <c r="A93" s="2"/>
      <c r="B93" s="278" t="s">
        <v>144</v>
      </c>
      <c r="C93" s="278" t="s">
        <v>460</v>
      </c>
      <c r="D93" s="299" t="s">
        <v>1399</v>
      </c>
      <c r="E93" s="299" t="s">
        <v>906</v>
      </c>
      <c r="F93" s="279" t="s">
        <v>907</v>
      </c>
      <c r="G93" s="311" t="s">
        <v>477</v>
      </c>
      <c r="H93" s="640" t="s">
        <v>907</v>
      </c>
      <c r="I93" s="640" t="s">
        <v>907</v>
      </c>
      <c r="J93" s="640" t="s">
        <v>907</v>
      </c>
      <c r="K93" s="2"/>
      <c r="L93" s="2"/>
      <c r="M93" s="2"/>
      <c r="N93" s="2"/>
      <c r="O93" s="2"/>
      <c r="P93" s="2"/>
      <c r="Q93" s="2"/>
      <c r="R93" s="2"/>
      <c r="S93" s="2"/>
      <c r="T93" s="2"/>
      <c r="U93" s="2"/>
      <c r="V93" s="2"/>
      <c r="W93" s="2"/>
      <c r="X93" s="2"/>
    </row>
    <row r="94" spans="1:24">
      <c r="A94" s="2"/>
      <c r="B94" s="278" t="s">
        <v>145</v>
      </c>
      <c r="C94" s="278" t="s">
        <v>460</v>
      </c>
      <c r="D94" s="299" t="s">
        <v>1399</v>
      </c>
      <c r="E94" s="299" t="s">
        <v>906</v>
      </c>
      <c r="F94" s="279" t="s">
        <v>907</v>
      </c>
      <c r="G94" s="311" t="s">
        <v>477</v>
      </c>
      <c r="H94" s="640" t="s">
        <v>907</v>
      </c>
      <c r="I94" s="640" t="s">
        <v>907</v>
      </c>
      <c r="J94" s="640" t="s">
        <v>907</v>
      </c>
      <c r="K94" s="2"/>
      <c r="L94" s="2"/>
      <c r="M94" s="2"/>
      <c r="N94" s="2"/>
      <c r="O94" s="2"/>
      <c r="P94" s="2"/>
      <c r="Q94" s="2"/>
      <c r="R94" s="2"/>
      <c r="S94" s="2"/>
      <c r="T94" s="2"/>
      <c r="U94" s="2"/>
      <c r="V94" s="2"/>
      <c r="W94" s="2"/>
      <c r="X94" s="2"/>
    </row>
    <row r="95" spans="1:24">
      <c r="A95" s="2"/>
      <c r="B95" s="278" t="s">
        <v>146</v>
      </c>
      <c r="C95" s="278" t="s">
        <v>460</v>
      </c>
      <c r="D95" s="299" t="s">
        <v>1399</v>
      </c>
      <c r="E95" s="299" t="s">
        <v>906</v>
      </c>
      <c r="F95" s="279" t="s">
        <v>907</v>
      </c>
      <c r="G95" s="311" t="s">
        <v>477</v>
      </c>
      <c r="H95" s="640" t="s">
        <v>907</v>
      </c>
      <c r="I95" s="640" t="s">
        <v>907</v>
      </c>
      <c r="J95" s="640" t="s">
        <v>907</v>
      </c>
      <c r="K95" s="2"/>
      <c r="L95" s="2"/>
      <c r="M95" s="2"/>
      <c r="N95" s="2"/>
      <c r="O95" s="2"/>
      <c r="P95" s="2"/>
      <c r="Q95" s="2"/>
      <c r="R95" s="2"/>
      <c r="S95" s="2"/>
      <c r="T95" s="2"/>
      <c r="U95" s="2"/>
      <c r="V95" s="2"/>
      <c r="W95" s="2"/>
      <c r="X95" s="2"/>
    </row>
    <row r="96" spans="1:24">
      <c r="A96" s="2"/>
      <c r="B96" s="278" t="s">
        <v>147</v>
      </c>
      <c r="C96" s="278" t="s">
        <v>460</v>
      </c>
      <c r="D96" s="299" t="s">
        <v>1399</v>
      </c>
      <c r="E96" s="299" t="s">
        <v>906</v>
      </c>
      <c r="F96" s="279" t="s">
        <v>907</v>
      </c>
      <c r="G96" s="311" t="s">
        <v>477</v>
      </c>
      <c r="H96" s="640" t="s">
        <v>907</v>
      </c>
      <c r="I96" s="640" t="s">
        <v>907</v>
      </c>
      <c r="J96" s="640" t="s">
        <v>907</v>
      </c>
      <c r="K96" s="2"/>
      <c r="L96" s="2"/>
      <c r="M96" s="2"/>
      <c r="N96" s="2"/>
      <c r="O96" s="2"/>
      <c r="P96" s="2"/>
      <c r="Q96" s="2"/>
      <c r="R96" s="2"/>
      <c r="S96" s="2"/>
      <c r="T96" s="2"/>
      <c r="U96" s="2"/>
      <c r="V96" s="2"/>
      <c r="W96" s="2"/>
      <c r="X96" s="2"/>
    </row>
    <row r="98" spans="1:24">
      <c r="A98" s="721"/>
      <c r="B98" s="722" t="s">
        <v>1359</v>
      </c>
      <c r="C98" s="721"/>
      <c r="D98" s="721"/>
      <c r="E98" s="721"/>
      <c r="F98" s="721"/>
      <c r="G98" s="721"/>
      <c r="H98" s="721"/>
      <c r="I98" s="2"/>
      <c r="J98" s="2"/>
      <c r="K98" s="2"/>
      <c r="L98" s="2"/>
      <c r="M98" s="2"/>
      <c r="N98" s="2"/>
      <c r="O98" s="2"/>
      <c r="P98" s="2"/>
      <c r="Q98" s="2"/>
      <c r="R98" s="2"/>
      <c r="S98" s="2"/>
      <c r="T98" s="2"/>
      <c r="U98" s="2"/>
      <c r="V98" s="2"/>
      <c r="W98" s="2"/>
      <c r="X98" s="2"/>
    </row>
    <row r="99" spans="1:24">
      <c r="A99" s="727"/>
      <c r="B99" s="729" t="s">
        <v>897</v>
      </c>
      <c r="C99" s="727"/>
      <c r="D99" s="727"/>
      <c r="E99" s="727"/>
      <c r="F99" s="727"/>
      <c r="G99" s="727"/>
      <c r="H99" s="727"/>
      <c r="I99" s="2"/>
      <c r="J99" s="2"/>
      <c r="K99" s="2"/>
      <c r="L99" s="2"/>
      <c r="M99" s="2"/>
      <c r="N99" s="2"/>
      <c r="O99" s="2"/>
      <c r="P99" s="2"/>
      <c r="Q99" s="2"/>
      <c r="R99" s="2"/>
      <c r="S99" s="2"/>
      <c r="T99" s="2"/>
      <c r="U99" s="2"/>
      <c r="V99" s="2"/>
      <c r="W99" s="2"/>
      <c r="X99" s="2"/>
    </row>
    <row r="100" spans="1:24">
      <c r="A100" s="2"/>
      <c r="B100" s="277" t="s">
        <v>898</v>
      </c>
      <c r="C100" s="277" t="s">
        <v>899</v>
      </c>
      <c r="D100" s="2"/>
      <c r="E100" s="2"/>
      <c r="F100" s="2"/>
      <c r="G100" s="2"/>
      <c r="H100" s="2"/>
      <c r="I100" s="2"/>
      <c r="J100" s="2"/>
      <c r="K100" s="2"/>
      <c r="L100" s="2"/>
      <c r="M100" s="2"/>
      <c r="N100" s="2"/>
      <c r="O100" s="2"/>
      <c r="P100" s="2"/>
      <c r="Q100" s="2"/>
      <c r="R100" s="2"/>
      <c r="S100" s="2"/>
      <c r="T100" s="2"/>
      <c r="U100" s="2"/>
      <c r="V100" s="2"/>
      <c r="W100" s="2"/>
      <c r="X100" s="2"/>
    </row>
    <row r="101" spans="1:24">
      <c r="A101" s="2"/>
      <c r="B101" s="278" t="s">
        <v>151</v>
      </c>
      <c r="C101" s="278" t="s">
        <v>1400</v>
      </c>
      <c r="D101" s="2"/>
      <c r="E101" s="2"/>
      <c r="F101" s="2"/>
      <c r="G101" s="2"/>
      <c r="H101" s="2"/>
      <c r="I101" s="2"/>
      <c r="J101" s="2"/>
      <c r="K101" s="2"/>
      <c r="L101" s="2"/>
      <c r="M101" s="2"/>
      <c r="N101" s="2"/>
      <c r="O101" s="2"/>
      <c r="P101" s="2"/>
      <c r="Q101" s="2"/>
      <c r="R101" s="2"/>
      <c r="S101" s="2"/>
      <c r="T101" s="2"/>
      <c r="U101" s="2"/>
      <c r="V101" s="2"/>
      <c r="W101" s="2"/>
      <c r="X101" s="2"/>
    </row>
    <row r="102" spans="1:24">
      <c r="A102" s="2"/>
      <c r="B102" s="16"/>
      <c r="C102" s="2"/>
      <c r="D102" s="2"/>
      <c r="E102" s="2"/>
      <c r="F102" s="2"/>
      <c r="G102" s="2"/>
      <c r="H102" s="2"/>
      <c r="I102" s="2"/>
      <c r="J102" s="2"/>
      <c r="K102" s="2"/>
      <c r="L102" s="2"/>
      <c r="M102" s="2"/>
      <c r="N102" s="2"/>
      <c r="O102" s="2"/>
      <c r="P102" s="2"/>
      <c r="Q102" s="2"/>
      <c r="R102" s="2"/>
      <c r="S102" s="2"/>
      <c r="T102" s="2"/>
      <c r="U102" s="2"/>
      <c r="V102" s="2"/>
      <c r="W102" s="2"/>
      <c r="X102" s="2"/>
    </row>
    <row r="103" spans="1:24">
      <c r="A103" s="727"/>
      <c r="B103" s="728" t="s">
        <v>943</v>
      </c>
      <c r="C103" s="727"/>
      <c r="D103" s="727"/>
      <c r="E103" s="727"/>
      <c r="F103" s="727"/>
      <c r="G103" s="727"/>
      <c r="H103" s="727"/>
      <c r="I103" s="2"/>
      <c r="J103" s="2"/>
      <c r="K103" s="2"/>
      <c r="L103" s="2"/>
      <c r="M103" s="2"/>
      <c r="N103" s="2"/>
      <c r="O103" s="2"/>
      <c r="P103" s="2"/>
      <c r="Q103" s="2"/>
      <c r="R103" s="2"/>
      <c r="S103" s="2"/>
      <c r="T103" s="2"/>
      <c r="U103" s="2"/>
      <c r="V103" s="2"/>
      <c r="W103" s="2"/>
      <c r="X103" s="2"/>
    </row>
    <row r="104" spans="1:24">
      <c r="A104" s="725"/>
      <c r="B104" s="726" t="s">
        <v>912</v>
      </c>
      <c r="C104" s="725"/>
      <c r="D104" s="725"/>
      <c r="E104" s="725"/>
      <c r="F104" s="725"/>
      <c r="G104" s="725"/>
      <c r="H104" s="725"/>
      <c r="I104" s="2"/>
      <c r="J104" s="2"/>
      <c r="K104" s="2"/>
      <c r="L104" s="2"/>
      <c r="M104" s="2"/>
      <c r="N104" s="2"/>
      <c r="O104" s="2"/>
      <c r="P104" s="2"/>
      <c r="Q104" s="2"/>
      <c r="R104" s="2"/>
      <c r="S104" s="2"/>
      <c r="T104" s="2"/>
      <c r="U104" s="2"/>
      <c r="V104" s="2"/>
      <c r="W104" s="2"/>
      <c r="X104" s="2"/>
    </row>
    <row r="105" spans="1:24" ht="29.1">
      <c r="A105" s="2"/>
      <c r="B105" s="719" t="s">
        <v>913</v>
      </c>
      <c r="C105" s="719" t="s">
        <v>914</v>
      </c>
      <c r="D105" s="719" t="s">
        <v>915</v>
      </c>
      <c r="E105" s="719" t="s">
        <v>916</v>
      </c>
      <c r="F105" s="719" t="s">
        <v>917</v>
      </c>
      <c r="G105" s="719" t="s">
        <v>918</v>
      </c>
      <c r="H105" s="719" t="s">
        <v>919</v>
      </c>
      <c r="I105" s="2"/>
      <c r="J105" s="2"/>
      <c r="K105" s="2"/>
      <c r="L105" s="2"/>
      <c r="M105" s="2"/>
      <c r="N105" s="2"/>
      <c r="O105" s="2"/>
      <c r="P105" s="2"/>
      <c r="Q105" s="2"/>
      <c r="R105" s="2"/>
      <c r="S105" s="2"/>
      <c r="T105" s="2"/>
      <c r="U105" s="2"/>
      <c r="V105" s="2"/>
      <c r="W105" s="2"/>
      <c r="X105" s="2"/>
    </row>
    <row r="106" spans="1:24">
      <c r="A106" s="2"/>
      <c r="B106" s="278">
        <v>16</v>
      </c>
      <c r="C106" s="278" t="s">
        <v>1130</v>
      </c>
      <c r="D106" s="278"/>
      <c r="E106" s="278">
        <v>2023</v>
      </c>
      <c r="F106" s="278" t="s">
        <v>1048</v>
      </c>
      <c r="G106" s="278" t="s">
        <v>1048</v>
      </c>
      <c r="H106" s="278"/>
      <c r="I106" s="2"/>
      <c r="J106" s="2"/>
      <c r="K106" s="2"/>
      <c r="L106" s="2"/>
      <c r="M106" s="2"/>
      <c r="N106" s="2"/>
      <c r="O106" s="2"/>
      <c r="P106" s="2"/>
      <c r="Q106" s="2"/>
      <c r="R106" s="2"/>
      <c r="S106" s="2"/>
      <c r="T106" s="2"/>
      <c r="U106" s="2"/>
      <c r="V106" s="2"/>
      <c r="W106" s="2"/>
      <c r="X106" s="2"/>
    </row>
    <row r="107" spans="1:24" s="2" customFormat="1">
      <c r="B107" s="278">
        <v>15</v>
      </c>
      <c r="C107" s="278" t="s">
        <v>1401</v>
      </c>
      <c r="D107" s="278"/>
      <c r="E107" s="278">
        <v>2023</v>
      </c>
      <c r="F107" s="278" t="s">
        <v>1048</v>
      </c>
      <c r="G107" s="278" t="s">
        <v>1048</v>
      </c>
      <c r="H107" s="278"/>
    </row>
    <row r="108" spans="1:24">
      <c r="A108" s="2"/>
      <c r="B108" s="16"/>
      <c r="C108" s="2"/>
      <c r="D108" s="2"/>
      <c r="E108" s="2"/>
      <c r="F108" s="2"/>
      <c r="G108" s="2"/>
      <c r="H108" s="2"/>
      <c r="I108" s="2"/>
      <c r="J108" s="2"/>
      <c r="K108" s="2"/>
      <c r="L108" s="2"/>
      <c r="M108" s="2"/>
      <c r="N108" s="2"/>
      <c r="O108" s="2"/>
      <c r="P108" s="2"/>
      <c r="Q108" s="2"/>
      <c r="R108" s="2"/>
      <c r="S108" s="2"/>
      <c r="T108" s="2"/>
      <c r="U108" s="2"/>
      <c r="V108" s="2"/>
      <c r="W108" s="2"/>
      <c r="X108" s="2"/>
    </row>
    <row r="109" spans="1:24">
      <c r="A109" s="725"/>
      <c r="B109" s="726" t="s">
        <v>924</v>
      </c>
      <c r="C109" s="725"/>
      <c r="D109" s="725"/>
      <c r="E109" s="725"/>
      <c r="F109" s="725"/>
      <c r="G109" s="725"/>
      <c r="H109" s="725"/>
      <c r="I109" s="2"/>
      <c r="J109" s="2"/>
      <c r="K109" s="2"/>
      <c r="L109" s="2"/>
      <c r="M109" s="2"/>
      <c r="N109" s="2"/>
      <c r="O109" s="2"/>
      <c r="P109" s="2"/>
      <c r="Q109" s="2"/>
      <c r="R109" s="2"/>
      <c r="S109" s="2"/>
      <c r="T109" s="2"/>
      <c r="U109" s="2"/>
      <c r="V109" s="2"/>
      <c r="W109" s="2"/>
      <c r="X109" s="2"/>
    </row>
    <row r="110" spans="1:24">
      <c r="A110" s="2"/>
      <c r="B110" s="277" t="s">
        <v>165</v>
      </c>
      <c r="C110" s="277" t="s">
        <v>925</v>
      </c>
      <c r="D110" s="277" t="s">
        <v>926</v>
      </c>
      <c r="E110" s="1134" t="s">
        <v>927</v>
      </c>
      <c r="F110" s="1134"/>
      <c r="G110" s="1134"/>
      <c r="H110" s="1134"/>
      <c r="I110" s="2"/>
      <c r="J110" s="2"/>
      <c r="K110" s="2"/>
      <c r="L110" s="2"/>
      <c r="M110" s="2"/>
      <c r="N110" s="2"/>
      <c r="O110" s="2"/>
      <c r="P110" s="2"/>
      <c r="Q110" s="2"/>
      <c r="R110" s="2"/>
      <c r="S110" s="2"/>
      <c r="T110" s="2"/>
      <c r="U110" s="2"/>
      <c r="V110" s="2"/>
      <c r="W110" s="2"/>
      <c r="X110" s="2"/>
    </row>
    <row r="111" spans="1:24">
      <c r="A111" s="2"/>
      <c r="B111" s="278" t="s">
        <v>169</v>
      </c>
      <c r="C111" s="278" t="s">
        <v>166</v>
      </c>
      <c r="D111" s="278">
        <f>VLOOKUP(C111,METHODOLOGY!$C$175:$D$177,2,FALSE)</f>
        <v>3</v>
      </c>
      <c r="E111" s="1087" t="str">
        <f>_xlfn.XLOOKUP(C111,METHODOLOGY!$E$150:$O$150,METHODOLOGY!$E$151:$O$151,"",0,1)</f>
        <v>Monetary values have been peer reviewed or are recommended / referenced in other, well recognised and accepted guidance / tools relevant to the water sector.</v>
      </c>
      <c r="F111" s="1087"/>
      <c r="G111" s="1087"/>
      <c r="H111" s="1087"/>
      <c r="I111" s="2"/>
      <c r="J111" s="2"/>
      <c r="K111" s="2"/>
      <c r="L111" s="2"/>
      <c r="M111" s="2"/>
      <c r="N111" s="2"/>
      <c r="O111" s="2"/>
      <c r="P111" s="2"/>
      <c r="Q111" s="2"/>
      <c r="R111" s="2"/>
      <c r="S111" s="2"/>
      <c r="T111" s="2"/>
      <c r="U111" s="2"/>
      <c r="V111" s="2"/>
      <c r="W111" s="2"/>
      <c r="X111" s="2"/>
    </row>
    <row r="112" spans="1:24">
      <c r="A112" s="2"/>
      <c r="B112" s="278" t="s">
        <v>173</v>
      </c>
      <c r="C112" s="278" t="s">
        <v>167</v>
      </c>
      <c r="D112" s="278">
        <f>VLOOKUP(C112,METHODOLOGY!$C$175:$D$177,2,FALSE)</f>
        <v>2</v>
      </c>
      <c r="E112" s="1087" t="str">
        <f>_xlfn.XLOOKUP(C112,METHODOLOGY!$E$150:$O$150,METHODOLOGY!$E$155:$O$155,"",0,1)</f>
        <v>Study has some limitations which may impact on the robustness of the value.</v>
      </c>
      <c r="F112" s="1087"/>
      <c r="G112" s="1087"/>
      <c r="H112" s="1087"/>
      <c r="I112" s="2"/>
      <c r="J112" s="2"/>
      <c r="K112" s="2"/>
      <c r="L112" s="2"/>
      <c r="M112" s="2"/>
      <c r="N112" s="2"/>
      <c r="O112" s="2"/>
      <c r="P112" s="2"/>
      <c r="Q112" s="2"/>
      <c r="R112" s="2"/>
      <c r="S112" s="2"/>
      <c r="T112" s="2"/>
      <c r="U112" s="2"/>
      <c r="V112" s="2"/>
      <c r="W112" s="2"/>
      <c r="X112" s="2"/>
    </row>
    <row r="113" spans="1:12">
      <c r="A113" s="2"/>
      <c r="B113" s="278" t="s">
        <v>177</v>
      </c>
      <c r="C113" s="278" t="s">
        <v>166</v>
      </c>
      <c r="D113" s="278">
        <f>VLOOKUP(C113,METHODOLOGY!$C$175:$D$177,2,FALSE)</f>
        <v>3</v>
      </c>
      <c r="E113" s="1087" t="str">
        <f>_xlfn.XLOOKUP(C113,METHODOLOGY!$E$150:$O$150,METHODOLOGY!$E$158:$O$158,"",0,1)</f>
        <v>0 – 5 years</v>
      </c>
      <c r="F113" s="1087"/>
      <c r="G113" s="1087"/>
      <c r="H113" s="1087"/>
      <c r="I113" s="2"/>
      <c r="J113" s="2"/>
      <c r="K113" s="2"/>
      <c r="L113" s="2"/>
    </row>
    <row r="114" spans="1:12">
      <c r="A114" s="2"/>
      <c r="B114" s="278" t="s">
        <v>181</v>
      </c>
      <c r="C114" s="278" t="s">
        <v>166</v>
      </c>
      <c r="D114" s="278">
        <f>VLOOKUP(C114,METHODOLOGY!$C$175:$D$177,2,FALSE)</f>
        <v>3</v>
      </c>
      <c r="E114" s="1087" t="str">
        <f>_xlfn.XLOOKUP(C114,METHODOLOGY!$E$150:$O$150,METHODOLOGY!$E$160:$O$160,"",0,1)</f>
        <v>Geographically relevant to UK</v>
      </c>
      <c r="F114" s="1087"/>
      <c r="G114" s="1087"/>
      <c r="H114" s="1087"/>
      <c r="I114" s="2"/>
      <c r="J114" s="2"/>
      <c r="K114" s="2"/>
      <c r="L114" s="2"/>
    </row>
    <row r="115" spans="1:12">
      <c r="A115" s="2"/>
      <c r="B115" s="278" t="s">
        <v>928</v>
      </c>
      <c r="C115" s="278" t="s">
        <v>167</v>
      </c>
      <c r="D115" s="278">
        <f>VLOOKUP(C115,METHODOLOGY!$C$175:$D$177,2,FALSE)</f>
        <v>2</v>
      </c>
      <c r="E115" s="1087" t="str">
        <f>_xlfn.XLOOKUP(C115,METHODOLOGY!$E$150:$O$150,METHODOLOGY!$E$162:$O$162,"",0,1)</f>
        <v>Meta-analysis or limited understanding of what the value represents.</v>
      </c>
      <c r="F115" s="1087"/>
      <c r="G115" s="1087"/>
      <c r="H115" s="1087"/>
      <c r="I115" s="2"/>
      <c r="J115" s="2"/>
      <c r="K115" s="2"/>
      <c r="L115" s="2"/>
    </row>
    <row r="116" spans="1:12">
      <c r="A116" s="2"/>
      <c r="B116" s="278" t="s">
        <v>189</v>
      </c>
      <c r="C116" s="278" t="s">
        <v>166</v>
      </c>
      <c r="D116" s="278">
        <f>VLOOKUP(C116,METHODOLOGY!$C$175:$D$177,2,FALSE)</f>
        <v>3</v>
      </c>
      <c r="E116" s="1087" t="str">
        <f>_xlfn.XLOOKUP(C116,METHODOLOGY!$E$150:$O$150,METHODOLOGY!$E$164:$O$164,"",0,1)</f>
        <v xml:space="preserve">The original valuation can be used with no or very simple modification e.g. change units from ha to km2, applying inflation. </v>
      </c>
      <c r="F116" s="1087"/>
      <c r="G116" s="1087"/>
      <c r="H116" s="1087"/>
      <c r="I116" s="2"/>
      <c r="J116" s="2"/>
      <c r="K116" s="2"/>
      <c r="L116" s="2"/>
    </row>
    <row r="117" spans="1:12">
      <c r="A117" s="2"/>
      <c r="B117" s="2"/>
      <c r="C117" s="282" t="s">
        <v>924</v>
      </c>
      <c r="D117" s="326">
        <f>IF(AND(D116=1,AVERAGE(D111:D116)&gt;2.14285714285714),2.14285714285714,IF(AND(D116=2,AVERAGE(D111:D116)&gt;2.57142857142857),2.57142857142857,AVERAGE(D111:D116)))</f>
        <v>2.6666666666666665</v>
      </c>
      <c r="E117" s="270" t="str">
        <f>IF(D117&lt;=2.14285714285714,"Red",IF(D117&lt;=2.57142857142857,"Amber",IF(D117&lt;=3,"Green")))</f>
        <v>Green</v>
      </c>
      <c r="F117" s="2"/>
      <c r="G117" s="2"/>
      <c r="H117" s="2"/>
      <c r="I117" s="2"/>
      <c r="J117" s="2"/>
      <c r="K117" s="2"/>
      <c r="L117" s="2"/>
    </row>
    <row r="119" spans="1:12">
      <c r="A119" s="725"/>
      <c r="B119" s="726" t="s">
        <v>929</v>
      </c>
      <c r="C119" s="725"/>
      <c r="D119" s="725"/>
      <c r="E119" s="725"/>
      <c r="F119" s="725"/>
      <c r="G119" s="725"/>
      <c r="H119" s="725"/>
      <c r="I119" s="2"/>
      <c r="J119" s="2"/>
      <c r="K119" s="2"/>
      <c r="L119" s="2"/>
    </row>
    <row r="120" spans="1:12">
      <c r="A120" s="2"/>
      <c r="B120" s="277" t="s">
        <v>913</v>
      </c>
      <c r="C120" s="277" t="s">
        <v>1089</v>
      </c>
      <c r="D120" s="277" t="s">
        <v>902</v>
      </c>
      <c r="E120" s="277" t="s">
        <v>331</v>
      </c>
      <c r="F120" s="277" t="s">
        <v>226</v>
      </c>
      <c r="G120" s="1157" t="s">
        <v>930</v>
      </c>
      <c r="H120" s="1157"/>
      <c r="I120" s="1157"/>
      <c r="J120" s="1157"/>
      <c r="K120" s="1157"/>
      <c r="L120" s="1157"/>
    </row>
    <row r="121" spans="1:12" ht="69" customHeight="1">
      <c r="A121" s="2"/>
      <c r="B121" s="278">
        <v>16</v>
      </c>
      <c r="C121" s="278" t="s">
        <v>151</v>
      </c>
      <c r="D121" s="375" t="s">
        <v>142</v>
      </c>
      <c r="E121" s="278">
        <v>375</v>
      </c>
      <c r="F121" s="459" t="s">
        <v>1402</v>
      </c>
      <c r="G121" s="1180" t="s">
        <v>1438</v>
      </c>
      <c r="H121" s="1181"/>
      <c r="I121" s="1181"/>
      <c r="J121" s="1181"/>
      <c r="K121" s="1181"/>
      <c r="L121" s="1182"/>
    </row>
    <row r="122" spans="1:12" ht="69" customHeight="1">
      <c r="A122" s="2"/>
      <c r="B122" s="278">
        <v>15</v>
      </c>
      <c r="C122" s="278" t="s">
        <v>151</v>
      </c>
      <c r="D122" s="375" t="s">
        <v>145</v>
      </c>
      <c r="E122" s="278">
        <v>318</v>
      </c>
      <c r="F122" s="459" t="s">
        <v>1404</v>
      </c>
      <c r="G122" s="1183"/>
      <c r="H122" s="1184"/>
      <c r="I122" s="1184"/>
      <c r="J122" s="1184"/>
      <c r="K122" s="1184"/>
      <c r="L122" s="1185"/>
    </row>
    <row r="123" spans="1:12" ht="15" customHeight="1">
      <c r="A123" s="2"/>
      <c r="B123" s="2"/>
      <c r="C123" s="2"/>
      <c r="D123" s="2"/>
      <c r="E123" s="2"/>
      <c r="F123" s="2"/>
      <c r="G123" s="24"/>
      <c r="H123" s="24"/>
      <c r="I123" s="24"/>
      <c r="J123" s="24"/>
      <c r="K123" s="24"/>
      <c r="L123" s="24"/>
    </row>
    <row r="124" spans="1:12" ht="15" customHeight="1">
      <c r="A124" s="2"/>
      <c r="B124" s="2"/>
      <c r="C124" s="2"/>
      <c r="D124" s="2"/>
      <c r="E124" s="2"/>
      <c r="F124" s="2"/>
      <c r="G124" s="24"/>
      <c r="H124" s="24"/>
      <c r="I124" s="24"/>
      <c r="J124" s="24"/>
      <c r="K124" s="24"/>
      <c r="L124" s="24"/>
    </row>
    <row r="125" spans="1:12" ht="15" customHeight="1">
      <c r="A125" s="2"/>
      <c r="B125" s="2"/>
      <c r="C125" s="2"/>
      <c r="D125" s="2"/>
      <c r="E125" s="2"/>
      <c r="F125" s="2"/>
      <c r="G125" s="24"/>
      <c r="H125" s="24"/>
      <c r="I125" s="24"/>
      <c r="J125" s="24"/>
      <c r="K125" s="24"/>
      <c r="L125" s="24"/>
    </row>
    <row r="127" spans="1:12" ht="15" customHeight="1">
      <c r="A127" s="2"/>
      <c r="B127" s="2"/>
      <c r="C127" s="2"/>
      <c r="D127" s="2"/>
      <c r="E127" s="2"/>
      <c r="F127" s="2"/>
      <c r="G127" s="24"/>
      <c r="H127" s="24"/>
      <c r="I127" s="24"/>
      <c r="J127" s="24"/>
      <c r="K127" s="24"/>
      <c r="L127" s="24"/>
    </row>
    <row r="128" spans="1:12" ht="15" customHeight="1">
      <c r="A128" s="2"/>
      <c r="B128" s="2"/>
      <c r="C128" s="2"/>
      <c r="D128" s="2"/>
      <c r="E128" s="2"/>
      <c r="F128" s="2"/>
      <c r="G128" s="24"/>
      <c r="H128" s="24"/>
      <c r="I128" s="24"/>
      <c r="J128" s="24"/>
      <c r="K128" s="24"/>
      <c r="L128" s="24"/>
    </row>
    <row r="129" spans="2:24" ht="15" customHeight="1">
      <c r="B129" s="2"/>
      <c r="C129" s="2"/>
      <c r="D129" s="2"/>
      <c r="E129" s="2"/>
      <c r="F129" s="2"/>
      <c r="G129" s="24"/>
      <c r="H129" s="24"/>
      <c r="I129" s="24"/>
      <c r="J129" s="24"/>
      <c r="K129" s="24"/>
      <c r="L129" s="24"/>
      <c r="M129" s="2"/>
      <c r="N129" s="2"/>
      <c r="O129" s="2"/>
      <c r="P129" s="2"/>
      <c r="Q129" s="2"/>
      <c r="R129" s="2"/>
      <c r="S129" s="2"/>
      <c r="T129" s="2"/>
      <c r="U129" s="2"/>
      <c r="V129" s="2"/>
      <c r="W129" s="2"/>
      <c r="X129" s="2"/>
    </row>
    <row r="131" spans="2:24" ht="15" customHeight="1">
      <c r="B131" s="2"/>
      <c r="C131" s="2"/>
      <c r="D131" s="2"/>
      <c r="E131" s="2"/>
      <c r="F131" s="2"/>
      <c r="G131" s="24"/>
      <c r="H131" s="24"/>
      <c r="I131" s="24"/>
      <c r="J131" s="24"/>
      <c r="K131" s="24"/>
      <c r="L131" s="24"/>
      <c r="M131" s="2"/>
      <c r="N131" s="2"/>
      <c r="O131" s="2"/>
      <c r="P131" s="2"/>
      <c r="Q131" s="2"/>
      <c r="R131" s="2"/>
      <c r="S131" s="2"/>
      <c r="T131" s="2"/>
      <c r="U131" s="2"/>
      <c r="V131" s="2"/>
      <c r="W131" s="2"/>
      <c r="X131" s="2"/>
    </row>
    <row r="132" spans="2:24" ht="15" customHeight="1">
      <c r="B132" s="2"/>
      <c r="C132" s="2"/>
      <c r="D132" s="2"/>
      <c r="E132" s="2"/>
      <c r="F132" s="2"/>
      <c r="G132" s="24"/>
      <c r="H132" s="24"/>
      <c r="I132" s="24"/>
      <c r="J132" s="24"/>
      <c r="K132" s="24"/>
      <c r="L132" s="24"/>
      <c r="M132" s="2"/>
      <c r="N132" s="2"/>
      <c r="O132" s="2"/>
      <c r="P132" s="2"/>
      <c r="Q132" s="2"/>
      <c r="R132" s="2"/>
      <c r="S132" s="2"/>
      <c r="T132" s="2"/>
      <c r="U132" s="2"/>
      <c r="V132" s="2"/>
      <c r="W132" s="2"/>
      <c r="X132" s="2"/>
    </row>
    <row r="133" spans="2:24" ht="15" customHeight="1">
      <c r="B133" s="2"/>
      <c r="C133" s="2"/>
      <c r="D133" s="2"/>
      <c r="E133" s="2"/>
      <c r="F133" s="2"/>
      <c r="G133" s="24"/>
      <c r="H133" s="24"/>
      <c r="I133" s="24"/>
      <c r="J133" s="24"/>
      <c r="K133" s="24"/>
      <c r="L133" s="24"/>
      <c r="M133" s="2"/>
      <c r="N133" s="2"/>
      <c r="O133" s="2"/>
      <c r="P133" s="2"/>
      <c r="Q133" s="2"/>
      <c r="R133" s="2"/>
      <c r="S133" s="2"/>
      <c r="T133" s="2"/>
      <c r="U133" s="2"/>
      <c r="V133" s="2"/>
      <c r="W133" s="2"/>
      <c r="X133" s="2"/>
    </row>
    <row r="135" spans="2:24" ht="15" customHeight="1">
      <c r="B135" s="2"/>
      <c r="C135" s="2"/>
      <c r="D135" s="2"/>
      <c r="E135" s="2"/>
      <c r="F135" s="2"/>
      <c r="G135" s="24"/>
      <c r="H135" s="24"/>
      <c r="I135" s="24"/>
      <c r="J135" s="24"/>
      <c r="K135" s="24"/>
      <c r="L135" s="24"/>
      <c r="M135" s="2"/>
      <c r="N135" s="2"/>
      <c r="O135" s="2"/>
      <c r="P135" s="2"/>
      <c r="Q135" s="2"/>
      <c r="R135" s="2"/>
      <c r="S135" s="2"/>
      <c r="T135" s="2"/>
      <c r="U135" s="2"/>
      <c r="V135" s="2"/>
      <c r="W135" s="2"/>
      <c r="X135" s="2"/>
    </row>
    <row r="136" spans="2:24" ht="15" customHeight="1">
      <c r="B136" s="2"/>
      <c r="C136" s="2"/>
      <c r="D136" s="2"/>
      <c r="E136" s="2"/>
      <c r="F136" s="2"/>
      <c r="G136" s="24"/>
      <c r="H136" s="24"/>
      <c r="I136" s="24"/>
      <c r="J136" s="24"/>
      <c r="K136" s="24"/>
      <c r="L136" s="24"/>
      <c r="M136" s="2"/>
      <c r="N136" s="2"/>
      <c r="O136" s="2"/>
      <c r="P136" s="2"/>
      <c r="Q136" s="2"/>
      <c r="R136" s="2"/>
      <c r="S136" s="2"/>
      <c r="T136" s="2"/>
      <c r="U136" s="2"/>
      <c r="V136" s="2"/>
      <c r="W136" s="2"/>
      <c r="X136" s="2"/>
    </row>
    <row r="137" spans="2:24" ht="15" customHeight="1">
      <c r="B137" s="2"/>
      <c r="C137" s="2"/>
      <c r="D137" s="2"/>
      <c r="E137" s="2"/>
      <c r="F137" s="2"/>
      <c r="G137" s="24"/>
      <c r="H137" s="24"/>
      <c r="I137" s="24"/>
      <c r="J137" s="24"/>
      <c r="K137" s="24"/>
      <c r="L137" s="24"/>
      <c r="M137" s="2"/>
      <c r="N137" s="2"/>
      <c r="O137" s="2"/>
      <c r="P137" s="2"/>
      <c r="Q137" s="2"/>
      <c r="R137" s="2"/>
      <c r="S137" s="2"/>
      <c r="T137" s="2"/>
      <c r="U137" s="2"/>
      <c r="V137" s="2"/>
      <c r="W137" s="2"/>
      <c r="X137" s="2"/>
    </row>
    <row r="139" spans="2:24" ht="15" customHeight="1">
      <c r="B139" s="2"/>
      <c r="C139" s="2"/>
      <c r="D139" s="2"/>
      <c r="E139" s="2"/>
      <c r="F139" s="2"/>
      <c r="G139" s="24"/>
      <c r="H139" s="24"/>
      <c r="I139" s="24"/>
      <c r="J139" s="24"/>
      <c r="K139" s="24"/>
      <c r="L139" s="24"/>
      <c r="M139" s="2"/>
      <c r="N139" s="2"/>
      <c r="O139" s="2"/>
      <c r="P139" s="2"/>
      <c r="Q139" s="2"/>
      <c r="R139" s="2"/>
      <c r="S139" s="2"/>
      <c r="T139" s="2"/>
      <c r="U139" s="2"/>
      <c r="V139" s="2"/>
      <c r="W139" s="2"/>
      <c r="X139" s="2"/>
    </row>
    <row r="140" spans="2:24" ht="15" customHeight="1">
      <c r="B140" s="2"/>
      <c r="C140" s="2"/>
      <c r="D140" s="2"/>
      <c r="E140" s="2"/>
      <c r="F140" s="2"/>
      <c r="G140" s="24"/>
      <c r="H140" s="24"/>
      <c r="I140" s="24"/>
      <c r="J140" s="24"/>
      <c r="K140" s="24"/>
      <c r="L140" s="24"/>
      <c r="M140" s="2"/>
      <c r="N140" s="2"/>
      <c r="O140" s="2"/>
      <c r="P140" s="2"/>
      <c r="Q140" s="2"/>
      <c r="R140" s="2"/>
      <c r="S140" s="2"/>
      <c r="T140" s="2"/>
      <c r="U140" s="2"/>
      <c r="V140" s="2"/>
      <c r="W140" s="2"/>
      <c r="X140" s="2"/>
    </row>
    <row r="141" spans="2:24" ht="15" customHeight="1">
      <c r="B141" s="2"/>
      <c r="C141" s="2"/>
      <c r="D141" s="2"/>
      <c r="E141" s="2"/>
      <c r="F141" s="2"/>
      <c r="G141" s="24"/>
      <c r="H141" s="24"/>
      <c r="I141" s="24"/>
      <c r="J141" s="24"/>
      <c r="K141" s="24"/>
      <c r="L141" s="24"/>
      <c r="M141" s="2"/>
      <c r="N141" s="2"/>
      <c r="O141" s="2"/>
      <c r="P141" s="2"/>
      <c r="Q141" s="2"/>
      <c r="R141" s="2"/>
      <c r="S141" s="2"/>
      <c r="T141" s="2"/>
      <c r="U141" s="2"/>
      <c r="V141" s="2"/>
      <c r="W141" s="2"/>
      <c r="X141" s="2"/>
    </row>
    <row r="143" spans="2:24" ht="15" customHeight="1">
      <c r="B143" s="2"/>
      <c r="C143" s="2"/>
      <c r="D143" s="2"/>
      <c r="E143" s="2"/>
      <c r="F143" s="2"/>
      <c r="G143" s="24"/>
      <c r="H143" s="24"/>
      <c r="I143" s="24"/>
      <c r="J143" s="24"/>
      <c r="K143" s="24"/>
      <c r="L143" s="24"/>
      <c r="M143" s="2"/>
      <c r="N143" s="2"/>
      <c r="O143" s="2"/>
      <c r="P143" s="2"/>
      <c r="Q143" s="2"/>
      <c r="R143" s="2"/>
      <c r="S143" s="2"/>
      <c r="T143" s="2"/>
      <c r="U143" s="2"/>
      <c r="V143" s="2"/>
      <c r="W143" s="2"/>
      <c r="X143" s="2"/>
    </row>
    <row r="144" spans="2:24" ht="15" customHeight="1">
      <c r="B144" s="2"/>
      <c r="C144" s="2"/>
      <c r="D144" s="2"/>
      <c r="E144" s="2"/>
      <c r="F144" s="2"/>
      <c r="G144" s="24"/>
      <c r="H144" s="24"/>
      <c r="I144" s="24"/>
      <c r="J144" s="24"/>
      <c r="K144" s="24"/>
      <c r="L144" s="24"/>
      <c r="M144" s="2"/>
      <c r="N144" s="2"/>
      <c r="O144" s="2"/>
      <c r="P144" s="2"/>
      <c r="Q144" s="2"/>
      <c r="R144" s="2"/>
      <c r="S144" s="2"/>
      <c r="T144" s="2"/>
      <c r="U144" s="2"/>
      <c r="V144" s="2"/>
      <c r="W144" s="2"/>
      <c r="X144" s="2"/>
    </row>
    <row r="145" spans="1:24" ht="15" customHeight="1">
      <c r="A145" s="2"/>
      <c r="B145" s="2"/>
      <c r="C145" s="2"/>
      <c r="D145" s="2"/>
      <c r="E145" s="2"/>
      <c r="F145" s="2"/>
      <c r="G145" s="24"/>
      <c r="H145" s="24"/>
      <c r="I145" s="24"/>
      <c r="J145" s="24"/>
      <c r="K145" s="24"/>
      <c r="L145" s="24"/>
      <c r="M145" s="2"/>
      <c r="N145" s="2"/>
      <c r="O145" s="2"/>
      <c r="P145" s="2"/>
      <c r="Q145" s="2"/>
      <c r="R145" s="2"/>
      <c r="S145" s="2"/>
      <c r="T145" s="2"/>
      <c r="U145" s="2"/>
      <c r="V145" s="2"/>
      <c r="W145" s="2"/>
      <c r="X145" s="2"/>
    </row>
    <row r="147" spans="1:24" ht="15" customHeight="1">
      <c r="A147" s="2"/>
      <c r="B147" s="2"/>
      <c r="C147" s="2"/>
      <c r="D147" s="2"/>
      <c r="E147" s="2"/>
      <c r="F147" s="2"/>
      <c r="G147" s="24"/>
      <c r="H147" s="24"/>
      <c r="I147" s="24"/>
      <c r="J147" s="24"/>
      <c r="K147" s="24"/>
      <c r="L147" s="24"/>
      <c r="M147" s="2"/>
      <c r="N147" s="2"/>
      <c r="O147" s="2"/>
      <c r="P147" s="2"/>
      <c r="Q147" s="2"/>
      <c r="R147" s="2"/>
      <c r="S147" s="2"/>
      <c r="T147" s="2"/>
      <c r="U147" s="2"/>
      <c r="V147" s="2"/>
      <c r="W147" s="2"/>
      <c r="X147" s="2"/>
    </row>
    <row r="148" spans="1:24" ht="15" customHeight="1">
      <c r="A148" s="2"/>
      <c r="B148" s="2"/>
      <c r="C148" s="2"/>
      <c r="D148" s="2"/>
      <c r="E148" s="2"/>
      <c r="F148" s="2"/>
      <c r="G148" s="24"/>
      <c r="H148" s="24"/>
      <c r="I148" s="24"/>
      <c r="J148" s="24"/>
      <c r="K148" s="24"/>
      <c r="L148" s="24"/>
      <c r="M148" s="2"/>
      <c r="N148" s="2"/>
      <c r="O148" s="2"/>
      <c r="P148" s="2"/>
      <c r="Q148" s="2"/>
      <c r="R148" s="2"/>
      <c r="S148" s="2"/>
      <c r="T148" s="2"/>
      <c r="U148" s="2"/>
      <c r="V148" s="2"/>
      <c r="W148" s="2"/>
      <c r="X148" s="2"/>
    </row>
    <row r="149" spans="1:24" ht="15" customHeight="1">
      <c r="A149" s="2"/>
      <c r="B149" s="2"/>
      <c r="C149" s="2"/>
      <c r="D149" s="2"/>
      <c r="E149" s="2"/>
      <c r="F149" s="2"/>
      <c r="G149" s="24"/>
      <c r="H149" s="24"/>
      <c r="I149" s="24"/>
      <c r="J149" s="24"/>
      <c r="K149" s="24"/>
      <c r="L149" s="24"/>
      <c r="M149" s="2"/>
      <c r="N149" s="2"/>
      <c r="O149" s="2"/>
      <c r="P149" s="2"/>
      <c r="Q149" s="2"/>
      <c r="R149" s="2"/>
      <c r="S149" s="2"/>
      <c r="T149" s="2"/>
      <c r="U149" s="2"/>
      <c r="V149" s="2"/>
      <c r="W149" s="2"/>
      <c r="X149" s="2"/>
    </row>
    <row r="152" spans="1:24">
      <c r="A152" s="727"/>
      <c r="B152" s="728" t="s">
        <v>901</v>
      </c>
      <c r="C152" s="727"/>
      <c r="D152" s="727"/>
      <c r="E152" s="727"/>
      <c r="F152" s="727"/>
      <c r="G152" s="727"/>
      <c r="H152" s="727"/>
      <c r="I152" s="2"/>
      <c r="J152" s="2"/>
      <c r="K152" s="2"/>
      <c r="L152" s="2"/>
      <c r="M152" s="2"/>
      <c r="N152" s="2"/>
      <c r="O152" s="2"/>
      <c r="P152" s="2"/>
      <c r="Q152" s="2"/>
      <c r="R152" s="2"/>
      <c r="S152" s="2"/>
      <c r="T152" s="2"/>
      <c r="U152" s="2"/>
      <c r="V152" s="2"/>
      <c r="W152" s="2"/>
      <c r="X152" s="2"/>
    </row>
    <row r="153" spans="1:24" ht="29.1">
      <c r="A153" s="2"/>
      <c r="B153" s="522" t="s">
        <v>902</v>
      </c>
      <c r="C153" s="522" t="s">
        <v>898</v>
      </c>
      <c r="D153" s="522" t="s">
        <v>899</v>
      </c>
      <c r="E153" s="719" t="s">
        <v>903</v>
      </c>
      <c r="F153" s="522" t="s">
        <v>904</v>
      </c>
      <c r="G153" s="705" t="s">
        <v>905</v>
      </c>
      <c r="H153" s="522" t="s">
        <v>924</v>
      </c>
      <c r="I153" s="522" t="s">
        <v>956</v>
      </c>
      <c r="J153" s="522" t="s">
        <v>927</v>
      </c>
      <c r="K153" s="2"/>
      <c r="L153" s="2"/>
      <c r="M153" s="2"/>
      <c r="N153" s="2"/>
      <c r="O153" s="2"/>
      <c r="P153" s="2"/>
      <c r="Q153" s="2"/>
      <c r="R153" s="2"/>
      <c r="S153" s="2"/>
      <c r="T153" s="2"/>
      <c r="U153" s="2"/>
      <c r="V153" s="2"/>
      <c r="W153" s="2"/>
      <c r="X153" s="2"/>
    </row>
    <row r="154" spans="1:24">
      <c r="A154" s="2"/>
      <c r="B154" s="278" t="s">
        <v>142</v>
      </c>
      <c r="C154" s="278" t="s">
        <v>151</v>
      </c>
      <c r="D154" s="299" t="s">
        <v>1400</v>
      </c>
      <c r="E154" s="299">
        <v>2</v>
      </c>
      <c r="F154" s="278" t="str" cm="1">
        <f t="array" ref="F154">_xlfn.XLOOKUP(1,(D159:D160=B154)*(E159:E160=C154),B159:B160,"Not found",0,1)</f>
        <v>15-03</v>
      </c>
      <c r="G154" s="311">
        <f>VLOOKUP(F154,B159:L161,11,FALSE)</f>
        <v>375</v>
      </c>
      <c r="H154" s="1120">
        <f>D117</f>
        <v>2.6666666666666665</v>
      </c>
      <c r="I154" s="1131" t="s">
        <v>958</v>
      </c>
      <c r="J154" s="1131"/>
      <c r="K154" s="2"/>
      <c r="L154" s="2"/>
      <c r="M154" s="2"/>
      <c r="N154" s="2"/>
      <c r="O154" s="2"/>
      <c r="P154" s="2"/>
      <c r="Q154" s="2"/>
      <c r="R154" s="2"/>
      <c r="S154" s="2"/>
      <c r="T154" s="2"/>
      <c r="U154" s="2"/>
      <c r="V154" s="2"/>
      <c r="W154" s="2"/>
      <c r="X154" s="2"/>
    </row>
    <row r="155" spans="1:24">
      <c r="A155" s="2"/>
      <c r="B155" s="278" t="s">
        <v>145</v>
      </c>
      <c r="C155" s="278" t="s">
        <v>151</v>
      </c>
      <c r="D155" s="299" t="s">
        <v>1400</v>
      </c>
      <c r="E155" s="299">
        <v>2</v>
      </c>
      <c r="F155" s="278" t="str" cm="1">
        <f t="array" ref="F155">_xlfn.XLOOKUP(1,(D160:D161=B155)*(E160:E161=C155),B160:B161,"Not found",0,1)</f>
        <v>15-04</v>
      </c>
      <c r="G155" s="311">
        <f>VLOOKUP(F155,B160:L348,11,FALSE)</f>
        <v>318</v>
      </c>
      <c r="H155" s="1122"/>
      <c r="I155" s="1133"/>
      <c r="J155" s="1133"/>
      <c r="K155" s="2"/>
      <c r="L155" s="2"/>
      <c r="M155" s="2"/>
      <c r="N155" s="2"/>
      <c r="O155" s="2"/>
      <c r="P155" s="2"/>
      <c r="Q155" s="2"/>
      <c r="R155" s="2"/>
      <c r="S155" s="2"/>
      <c r="T155" s="2"/>
      <c r="U155" s="2"/>
      <c r="V155" s="2"/>
      <c r="W155" s="2"/>
      <c r="X155" s="2"/>
    </row>
    <row r="156" spans="1:24">
      <c r="A156" s="2"/>
      <c r="B156" s="18"/>
      <c r="C156" s="2"/>
      <c r="D156" s="2"/>
      <c r="E156" s="2"/>
      <c r="F156" s="2"/>
      <c r="G156" s="2"/>
      <c r="H156" s="2"/>
      <c r="I156" s="2"/>
      <c r="J156" s="2"/>
      <c r="K156" s="2"/>
      <c r="L156" s="2"/>
      <c r="M156" s="2"/>
      <c r="N156" s="2"/>
      <c r="O156" s="2"/>
      <c r="P156" s="2"/>
      <c r="Q156" s="2"/>
      <c r="R156" s="2"/>
      <c r="S156" s="2"/>
      <c r="T156" s="2"/>
      <c r="U156" s="2"/>
      <c r="V156" s="2"/>
      <c r="W156" s="2"/>
      <c r="X156" s="2"/>
    </row>
    <row r="157" spans="1:24">
      <c r="A157" s="725"/>
      <c r="B157" s="726" t="s">
        <v>962</v>
      </c>
      <c r="C157" s="725"/>
      <c r="D157" s="725"/>
      <c r="E157" s="725"/>
      <c r="F157" s="725"/>
      <c r="G157" s="725"/>
      <c r="H157" s="725"/>
      <c r="I157" s="2"/>
      <c r="J157" s="2"/>
      <c r="K157" s="2"/>
      <c r="L157" s="2"/>
      <c r="M157" s="2"/>
      <c r="N157" s="2"/>
      <c r="O157" s="2"/>
      <c r="P157" s="2"/>
      <c r="Q157" s="2"/>
      <c r="R157" s="2"/>
      <c r="S157" s="2"/>
      <c r="T157" s="2"/>
      <c r="U157" s="2"/>
      <c r="V157" s="2"/>
      <c r="W157" s="2"/>
      <c r="X157" s="2"/>
    </row>
    <row r="158" spans="1:24">
      <c r="A158" s="2"/>
      <c r="B158" s="277" t="s">
        <v>904</v>
      </c>
      <c r="C158" s="277" t="s">
        <v>62</v>
      </c>
      <c r="D158" s="277" t="s">
        <v>902</v>
      </c>
      <c r="E158" s="277" t="s">
        <v>898</v>
      </c>
      <c r="F158" s="277" t="s">
        <v>916</v>
      </c>
      <c r="G158" s="277" t="s">
        <v>963</v>
      </c>
      <c r="H158" s="277" t="s">
        <v>964</v>
      </c>
      <c r="I158" s="277" t="s">
        <v>965</v>
      </c>
      <c r="J158" s="277" t="s">
        <v>966</v>
      </c>
      <c r="K158" s="277" t="s">
        <v>967</v>
      </c>
      <c r="L158" s="277" t="s">
        <v>968</v>
      </c>
      <c r="M158" s="277" t="s">
        <v>956</v>
      </c>
      <c r="N158" s="277" t="s">
        <v>969</v>
      </c>
      <c r="O158" s="277" t="s">
        <v>970</v>
      </c>
      <c r="P158" s="277" t="s">
        <v>927</v>
      </c>
      <c r="Q158" s="277" t="s">
        <v>913</v>
      </c>
      <c r="R158" s="277" t="s">
        <v>914</v>
      </c>
      <c r="S158" s="277" t="s">
        <v>915</v>
      </c>
      <c r="T158" s="277" t="s">
        <v>916</v>
      </c>
      <c r="U158" s="277" t="s">
        <v>917</v>
      </c>
      <c r="V158" s="277" t="s">
        <v>918</v>
      </c>
      <c r="W158" s="277" t="s">
        <v>919</v>
      </c>
      <c r="X158" s="2"/>
    </row>
    <row r="159" spans="1:24">
      <c r="A159" s="2"/>
      <c r="B159" s="302" t="s">
        <v>1439</v>
      </c>
      <c r="C159" s="279" t="s">
        <v>386</v>
      </c>
      <c r="D159" s="279" t="s">
        <v>142</v>
      </c>
      <c r="E159" s="278" t="s">
        <v>151</v>
      </c>
      <c r="F159" s="299">
        <f>E106</f>
        <v>2023</v>
      </c>
      <c r="G159" s="278">
        <v>2023</v>
      </c>
      <c r="H159" s="278">
        <f>'COMPANY INPUT'!$C$16</f>
        <v>2023</v>
      </c>
      <c r="I159" s="278">
        <f>VLOOKUP(G159,'GDP Deflators'!$H$13:$I$86,2,FALSE)</f>
        <v>100</v>
      </c>
      <c r="J159" s="278">
        <f>VLOOKUP(H159,'GDP Deflators'!$H$13:$I$86,2,FALSE)</f>
        <v>100</v>
      </c>
      <c r="K159" s="385">
        <f>E121</f>
        <v>375</v>
      </c>
      <c r="L159" s="746">
        <f>K159*(J159/I159)</f>
        <v>375</v>
      </c>
      <c r="M159" s="278" t="str">
        <f>I154</f>
        <v>Willingness to Pay</v>
      </c>
      <c r="N159" s="326">
        <f>H154</f>
        <v>2.6666666666666665</v>
      </c>
      <c r="O159" s="278" t="s">
        <v>718</v>
      </c>
      <c r="P159" s="278">
        <f>J154</f>
        <v>0</v>
      </c>
      <c r="Q159" s="299">
        <f t="shared" ref="Q159:W160" si="2">B$106</f>
        <v>16</v>
      </c>
      <c r="R159" s="299" t="str">
        <f t="shared" si="2"/>
        <v>Ofwat (2023) PR24: Using collaborative customer research to set outcome delivery incentive rates</v>
      </c>
      <c r="S159" s="299">
        <f t="shared" si="2"/>
        <v>0</v>
      </c>
      <c r="T159" s="299">
        <f t="shared" si="2"/>
        <v>2023</v>
      </c>
      <c r="U159" s="299" t="str">
        <f t="shared" si="2"/>
        <v>England and Wales</v>
      </c>
      <c r="V159" s="299" t="str">
        <f t="shared" si="2"/>
        <v>England and Wales</v>
      </c>
      <c r="W159" s="299">
        <f t="shared" si="2"/>
        <v>0</v>
      </c>
      <c r="X159" s="2"/>
    </row>
    <row r="160" spans="1:24">
      <c r="A160" s="2"/>
      <c r="B160" s="302" t="s">
        <v>1440</v>
      </c>
      <c r="C160" s="279" t="s">
        <v>386</v>
      </c>
      <c r="D160" s="279" t="s">
        <v>145</v>
      </c>
      <c r="E160" s="278" t="s">
        <v>151</v>
      </c>
      <c r="F160" s="299">
        <f>E106</f>
        <v>2023</v>
      </c>
      <c r="G160" s="278">
        <v>2023</v>
      </c>
      <c r="H160" s="278">
        <f>'COMPANY INPUT'!$C$16</f>
        <v>2023</v>
      </c>
      <c r="I160" s="278">
        <f>VLOOKUP(G160,'GDP Deflators'!$H$13:$I$86,2,FALSE)</f>
        <v>100</v>
      </c>
      <c r="J160" s="278">
        <f>VLOOKUP(H160,'GDP Deflators'!$H$13:$I$86,2,FALSE)</f>
        <v>100</v>
      </c>
      <c r="K160" s="385">
        <f>E122</f>
        <v>318</v>
      </c>
      <c r="L160" s="746">
        <f>K160*(J160/I160)</f>
        <v>318</v>
      </c>
      <c r="M160" s="278" t="str">
        <f>I154</f>
        <v>Willingness to Pay</v>
      </c>
      <c r="N160" s="326">
        <f>H154</f>
        <v>2.6666666666666665</v>
      </c>
      <c r="O160" s="278" t="s">
        <v>718</v>
      </c>
      <c r="P160" s="278">
        <f>J154</f>
        <v>0</v>
      </c>
      <c r="Q160" s="299">
        <f t="shared" si="2"/>
        <v>16</v>
      </c>
      <c r="R160" s="299" t="str">
        <f t="shared" si="2"/>
        <v>Ofwat (2023) PR24: Using collaborative customer research to set outcome delivery incentive rates</v>
      </c>
      <c r="S160" s="299">
        <f t="shared" si="2"/>
        <v>0</v>
      </c>
      <c r="T160" s="299">
        <f t="shared" si="2"/>
        <v>2023</v>
      </c>
      <c r="U160" s="299" t="str">
        <f t="shared" si="2"/>
        <v>England and Wales</v>
      </c>
      <c r="V160" s="299" t="str">
        <f t="shared" si="2"/>
        <v>England and Wales</v>
      </c>
      <c r="W160" s="299">
        <f t="shared" si="2"/>
        <v>0</v>
      </c>
      <c r="X160" s="2"/>
    </row>
    <row r="162" spans="1:24">
      <c r="A162" s="721"/>
      <c r="B162" s="722" t="s">
        <v>1211</v>
      </c>
      <c r="C162" s="721"/>
      <c r="D162" s="721"/>
      <c r="E162" s="721"/>
      <c r="F162" s="721"/>
      <c r="G162" s="721"/>
      <c r="H162" s="721"/>
      <c r="I162" s="2"/>
      <c r="J162" s="2"/>
      <c r="K162" s="2"/>
      <c r="L162" s="2"/>
      <c r="M162" s="2"/>
      <c r="N162" s="2"/>
      <c r="O162" s="2"/>
      <c r="P162" s="2"/>
      <c r="Q162" s="2"/>
      <c r="R162" s="2"/>
      <c r="S162" s="2"/>
      <c r="T162" s="2"/>
      <c r="U162" s="2"/>
      <c r="V162" s="2"/>
      <c r="W162" s="2"/>
      <c r="X162" s="2"/>
    </row>
    <row r="163" spans="1:24">
      <c r="A163" s="727"/>
      <c r="B163" s="729" t="s">
        <v>897</v>
      </c>
      <c r="C163" s="727"/>
      <c r="D163" s="727"/>
      <c r="E163" s="727"/>
      <c r="F163" s="727"/>
      <c r="G163" s="727"/>
      <c r="H163" s="727"/>
      <c r="I163" s="2"/>
      <c r="J163" s="2"/>
      <c r="K163" s="2"/>
      <c r="L163" s="2"/>
      <c r="M163" s="2"/>
      <c r="N163" s="2"/>
      <c r="O163" s="2"/>
      <c r="P163" s="2"/>
      <c r="Q163" s="2"/>
      <c r="R163" s="2"/>
      <c r="S163" s="2"/>
      <c r="T163" s="2"/>
      <c r="U163" s="2"/>
      <c r="V163" s="2"/>
      <c r="W163" s="2"/>
      <c r="X163" s="2"/>
    </row>
    <row r="164" spans="1:24">
      <c r="A164" s="2"/>
      <c r="B164" s="277" t="s">
        <v>898</v>
      </c>
      <c r="C164" s="277" t="s">
        <v>899</v>
      </c>
      <c r="D164" s="2"/>
      <c r="E164" s="2"/>
      <c r="F164" s="2"/>
      <c r="G164" s="2"/>
      <c r="H164" s="2"/>
      <c r="I164" s="2"/>
      <c r="J164" s="2"/>
      <c r="K164" s="2"/>
      <c r="L164" s="2"/>
      <c r="M164" s="2"/>
      <c r="N164" s="2"/>
      <c r="O164" s="2"/>
      <c r="P164" s="2"/>
      <c r="Q164" s="2"/>
      <c r="R164" s="2"/>
      <c r="S164" s="2"/>
      <c r="T164" s="2"/>
      <c r="U164" s="2"/>
      <c r="V164" s="2"/>
      <c r="W164" s="2"/>
      <c r="X164" s="2"/>
    </row>
    <row r="165" spans="1:24">
      <c r="A165" s="2"/>
      <c r="B165" s="278" t="s">
        <v>462</v>
      </c>
      <c r="C165" s="278" t="s">
        <v>1407</v>
      </c>
      <c r="D165" s="2"/>
      <c r="E165" s="2"/>
      <c r="F165" s="2"/>
      <c r="G165" s="2"/>
      <c r="H165" s="2"/>
      <c r="I165" s="2"/>
      <c r="J165" s="2"/>
      <c r="K165" s="2"/>
      <c r="L165" s="2"/>
      <c r="M165" s="2"/>
      <c r="N165" s="2"/>
      <c r="O165" s="2"/>
      <c r="P165" s="2"/>
      <c r="Q165" s="2"/>
      <c r="R165" s="2"/>
      <c r="S165" s="2"/>
      <c r="T165" s="2"/>
      <c r="U165" s="2"/>
      <c r="V165" s="2"/>
      <c r="W165" s="2"/>
      <c r="X165" s="2"/>
    </row>
    <row r="166" spans="1:24">
      <c r="A166" s="2"/>
      <c r="B166" s="16"/>
      <c r="C166" s="2"/>
      <c r="D166" s="2"/>
      <c r="E166" s="2"/>
      <c r="F166" s="2"/>
      <c r="G166" s="2"/>
      <c r="H166" s="2"/>
      <c r="I166" s="2"/>
      <c r="J166" s="2"/>
      <c r="K166" s="2"/>
      <c r="L166" s="2"/>
      <c r="M166" s="2"/>
      <c r="N166" s="2"/>
      <c r="O166" s="2"/>
      <c r="P166" s="2"/>
      <c r="Q166" s="2"/>
      <c r="R166" s="2"/>
      <c r="S166" s="2"/>
      <c r="T166" s="2"/>
      <c r="U166" s="2"/>
      <c r="V166" s="2"/>
      <c r="W166" s="2"/>
      <c r="X166" s="2"/>
    </row>
    <row r="167" spans="1:24">
      <c r="A167" s="2"/>
      <c r="B167" s="16"/>
      <c r="C167" s="2"/>
      <c r="D167" s="2"/>
      <c r="E167" s="2"/>
      <c r="F167" s="2"/>
      <c r="G167" s="2"/>
      <c r="H167" s="2"/>
      <c r="I167" s="2"/>
      <c r="J167" s="2"/>
      <c r="K167" s="2"/>
      <c r="L167" s="2"/>
      <c r="M167" s="2"/>
      <c r="N167" s="2"/>
      <c r="O167" s="2"/>
      <c r="P167" s="2"/>
      <c r="Q167" s="2"/>
      <c r="R167" s="2"/>
      <c r="S167" s="2"/>
      <c r="T167" s="2"/>
      <c r="U167" s="2"/>
      <c r="V167" s="2"/>
      <c r="W167" s="2"/>
      <c r="X167" s="2"/>
    </row>
    <row r="168" spans="1:24">
      <c r="A168" s="727"/>
      <c r="B168" s="728" t="s">
        <v>1028</v>
      </c>
      <c r="C168" s="727"/>
      <c r="D168" s="727"/>
      <c r="E168" s="727"/>
      <c r="F168" s="727"/>
      <c r="G168" s="727"/>
      <c r="H168" s="727"/>
      <c r="I168" s="2"/>
      <c r="J168" s="2"/>
      <c r="K168" s="2"/>
      <c r="L168" s="2"/>
      <c r="M168" s="2"/>
      <c r="N168" s="2"/>
      <c r="O168" s="2"/>
      <c r="P168" s="2"/>
      <c r="Q168" s="2"/>
      <c r="R168" s="2"/>
      <c r="S168" s="2"/>
      <c r="T168" s="2"/>
      <c r="U168" s="2"/>
      <c r="V168" s="2"/>
      <c r="W168" s="2"/>
      <c r="X168" s="2"/>
    </row>
    <row r="169" spans="1:24">
      <c r="A169" s="725"/>
      <c r="B169" s="726" t="s">
        <v>912</v>
      </c>
      <c r="C169" s="725"/>
      <c r="D169" s="725"/>
      <c r="E169" s="725"/>
      <c r="F169" s="725"/>
      <c r="G169" s="725"/>
      <c r="H169" s="725"/>
      <c r="I169" s="2"/>
      <c r="J169" s="2"/>
      <c r="K169" s="2"/>
      <c r="L169" s="2"/>
      <c r="M169" s="2"/>
      <c r="N169" s="2"/>
      <c r="O169" s="2"/>
      <c r="P169" s="2"/>
      <c r="Q169" s="2"/>
      <c r="R169" s="2"/>
      <c r="S169" s="2"/>
      <c r="T169" s="2"/>
      <c r="U169" s="2"/>
      <c r="V169" s="2"/>
      <c r="W169" s="2"/>
      <c r="X169" s="2"/>
    </row>
    <row r="170" spans="1:24" ht="29.1">
      <c r="A170" s="2"/>
      <c r="B170" s="719" t="s">
        <v>913</v>
      </c>
      <c r="C170" s="719" t="s">
        <v>914</v>
      </c>
      <c r="D170" s="719" t="s">
        <v>915</v>
      </c>
      <c r="E170" s="719" t="s">
        <v>916</v>
      </c>
      <c r="F170" s="719" t="s">
        <v>917</v>
      </c>
      <c r="G170" s="719" t="s">
        <v>918</v>
      </c>
      <c r="H170" s="719" t="s">
        <v>919</v>
      </c>
      <c r="I170" s="2"/>
      <c r="J170" s="2"/>
      <c r="K170" s="2"/>
      <c r="L170" s="2"/>
      <c r="M170" s="2"/>
      <c r="N170" s="2"/>
      <c r="O170" s="2"/>
      <c r="P170" s="2"/>
      <c r="Q170" s="2"/>
      <c r="R170" s="2"/>
      <c r="S170" s="2"/>
      <c r="T170" s="2"/>
      <c r="U170" s="2"/>
      <c r="V170" s="2"/>
      <c r="W170" s="2"/>
      <c r="X170" s="2"/>
    </row>
    <row r="171" spans="1:24">
      <c r="A171" s="2"/>
      <c r="B171" s="278">
        <v>16</v>
      </c>
      <c r="C171" s="278" t="s">
        <v>1130</v>
      </c>
      <c r="D171" s="278"/>
      <c r="E171" s="278">
        <v>2023</v>
      </c>
      <c r="F171" s="278" t="s">
        <v>1048</v>
      </c>
      <c r="G171" s="278" t="s">
        <v>1048</v>
      </c>
      <c r="H171" s="278"/>
      <c r="I171" s="2"/>
      <c r="J171" s="2"/>
      <c r="K171" s="2"/>
      <c r="L171" s="2"/>
      <c r="M171" s="2"/>
      <c r="N171" s="2"/>
      <c r="O171" s="2"/>
      <c r="P171" s="2"/>
      <c r="Q171" s="2"/>
      <c r="R171" s="2"/>
      <c r="S171" s="2"/>
      <c r="T171" s="2"/>
      <c r="U171" s="2"/>
      <c r="V171" s="2"/>
      <c r="W171" s="2"/>
      <c r="X171" s="2"/>
    </row>
    <row r="172" spans="1:24" s="2" customFormat="1">
      <c r="B172" s="278">
        <v>15</v>
      </c>
      <c r="C172" s="278" t="s">
        <v>1401</v>
      </c>
      <c r="D172" s="278"/>
      <c r="E172" s="278">
        <v>2023</v>
      </c>
      <c r="F172" s="278" t="s">
        <v>1048</v>
      </c>
      <c r="G172" s="278" t="s">
        <v>1048</v>
      </c>
      <c r="H172" s="278"/>
    </row>
    <row r="173" spans="1:24">
      <c r="A173" s="2"/>
      <c r="B173" s="16"/>
      <c r="C173" s="2"/>
      <c r="D173" s="2"/>
      <c r="E173" s="2"/>
      <c r="F173" s="2"/>
      <c r="G173" s="2"/>
      <c r="H173" s="2"/>
      <c r="I173" s="2"/>
      <c r="J173" s="2"/>
      <c r="K173" s="2"/>
      <c r="L173" s="2"/>
      <c r="M173" s="2"/>
      <c r="N173" s="2"/>
      <c r="O173" s="2"/>
      <c r="P173" s="2"/>
      <c r="Q173" s="2"/>
      <c r="R173" s="2"/>
      <c r="S173" s="2"/>
      <c r="T173" s="2"/>
      <c r="U173" s="2"/>
      <c r="V173" s="2"/>
      <c r="W173" s="2"/>
      <c r="X173" s="2"/>
    </row>
    <row r="174" spans="1:24">
      <c r="A174" s="2"/>
      <c r="B174" s="277" t="s">
        <v>165</v>
      </c>
      <c r="C174" s="277" t="s">
        <v>925</v>
      </c>
      <c r="D174" s="277" t="s">
        <v>926</v>
      </c>
      <c r="E174" s="1134" t="s">
        <v>927</v>
      </c>
      <c r="F174" s="1134"/>
      <c r="G174" s="1134"/>
      <c r="H174" s="1134"/>
      <c r="I174" s="2"/>
      <c r="J174" s="2"/>
      <c r="K174" s="2"/>
      <c r="L174" s="2"/>
      <c r="M174" s="2"/>
      <c r="N174" s="2"/>
      <c r="O174" s="2"/>
      <c r="P174" s="2"/>
      <c r="Q174" s="2"/>
      <c r="R174" s="2"/>
      <c r="S174" s="2"/>
      <c r="T174" s="2"/>
      <c r="U174" s="2"/>
      <c r="V174" s="2"/>
      <c r="W174" s="2"/>
      <c r="X174" s="2"/>
    </row>
    <row r="175" spans="1:24">
      <c r="A175" s="2"/>
      <c r="B175" s="278" t="s">
        <v>169</v>
      </c>
      <c r="C175" s="278" t="s">
        <v>166</v>
      </c>
      <c r="D175" s="278">
        <f>VLOOKUP(C175,METHODOLOGY!$C$175:$D$177,2,FALSE)</f>
        <v>3</v>
      </c>
      <c r="E175" s="1087" t="str">
        <f>_xlfn.XLOOKUP(C175,METHODOLOGY!$E$150:$O$150,METHODOLOGY!$E$151:$O$151,"",0,1)</f>
        <v>Monetary values have been peer reviewed or are recommended / referenced in other, well recognised and accepted guidance / tools relevant to the water sector.</v>
      </c>
      <c r="F175" s="1087"/>
      <c r="G175" s="1087"/>
      <c r="H175" s="1087"/>
      <c r="I175" s="2"/>
      <c r="J175" s="2"/>
      <c r="K175" s="2"/>
      <c r="L175" s="2"/>
      <c r="M175" s="2"/>
      <c r="N175" s="2"/>
      <c r="O175" s="2"/>
      <c r="P175" s="2"/>
      <c r="Q175" s="2"/>
      <c r="R175" s="2"/>
      <c r="S175" s="2"/>
      <c r="T175" s="2"/>
      <c r="U175" s="2"/>
      <c r="V175" s="2"/>
      <c r="W175" s="2"/>
      <c r="X175" s="2"/>
    </row>
    <row r="176" spans="1:24">
      <c r="A176" s="2"/>
      <c r="B176" s="278" t="s">
        <v>173</v>
      </c>
      <c r="C176" s="278" t="s">
        <v>167</v>
      </c>
      <c r="D176" s="278">
        <f>VLOOKUP(C176,METHODOLOGY!$C$175:$D$177,2,FALSE)</f>
        <v>2</v>
      </c>
      <c r="E176" s="1087" t="str">
        <f>_xlfn.XLOOKUP(C176,METHODOLOGY!$E$150:$O$150,METHODOLOGY!$E$155:$O$155,"",0,1)</f>
        <v>Study has some limitations which may impact on the robustness of the value.</v>
      </c>
      <c r="F176" s="1087"/>
      <c r="G176" s="1087"/>
      <c r="H176" s="1087"/>
      <c r="I176" s="2"/>
      <c r="J176" s="2"/>
      <c r="K176" s="2"/>
      <c r="L176" s="2"/>
      <c r="M176" s="2"/>
      <c r="N176" s="2"/>
      <c r="O176" s="2"/>
      <c r="P176" s="2"/>
      <c r="Q176" s="2"/>
      <c r="R176" s="2"/>
      <c r="S176" s="2"/>
      <c r="T176" s="2"/>
      <c r="U176" s="2"/>
      <c r="V176" s="2"/>
      <c r="W176" s="2"/>
      <c r="X176" s="2"/>
    </row>
    <row r="177" spans="1:24">
      <c r="A177" s="2"/>
      <c r="B177" s="278" t="s">
        <v>177</v>
      </c>
      <c r="C177" s="278" t="s">
        <v>166</v>
      </c>
      <c r="D177" s="278">
        <f>VLOOKUP(C177,METHODOLOGY!$C$175:$D$177,2,FALSE)</f>
        <v>3</v>
      </c>
      <c r="E177" s="1087" t="str">
        <f>_xlfn.XLOOKUP(C177,METHODOLOGY!$E$150:$O$150,METHODOLOGY!$E$158:$O$158,"",0,1)</f>
        <v>0 – 5 years</v>
      </c>
      <c r="F177" s="1087"/>
      <c r="G177" s="1087"/>
      <c r="H177" s="1087"/>
      <c r="I177" s="2"/>
      <c r="J177" s="2"/>
      <c r="K177" s="2"/>
      <c r="L177" s="2"/>
      <c r="M177" s="2"/>
      <c r="N177" s="2"/>
      <c r="O177" s="2"/>
      <c r="P177" s="2"/>
      <c r="Q177" s="2"/>
      <c r="R177" s="2"/>
      <c r="S177" s="2"/>
      <c r="T177" s="2"/>
      <c r="U177" s="2"/>
      <c r="V177" s="2"/>
      <c r="W177" s="2"/>
      <c r="X177" s="2"/>
    </row>
    <row r="178" spans="1:24">
      <c r="A178" s="2"/>
      <c r="B178" s="278" t="s">
        <v>181</v>
      </c>
      <c r="C178" s="278" t="s">
        <v>166</v>
      </c>
      <c r="D178" s="278">
        <f>VLOOKUP(C178,METHODOLOGY!$C$175:$D$177,2,FALSE)</f>
        <v>3</v>
      </c>
      <c r="E178" s="1087" t="str">
        <f>_xlfn.XLOOKUP(C178,METHODOLOGY!$E$150:$O$150,METHODOLOGY!$E$160:$O$160,"",0,1)</f>
        <v>Geographically relevant to UK</v>
      </c>
      <c r="F178" s="1087"/>
      <c r="G178" s="1087"/>
      <c r="H178" s="1087"/>
      <c r="I178" s="2"/>
      <c r="J178" s="2"/>
      <c r="K178" s="2"/>
      <c r="L178" s="2"/>
      <c r="M178" s="2"/>
      <c r="N178" s="2"/>
      <c r="O178" s="2"/>
      <c r="P178" s="2"/>
      <c r="Q178" s="2"/>
      <c r="R178" s="2"/>
      <c r="S178" s="2"/>
      <c r="T178" s="2"/>
      <c r="U178" s="2"/>
      <c r="V178" s="2"/>
      <c r="W178" s="2"/>
      <c r="X178" s="2"/>
    </row>
    <row r="179" spans="1:24">
      <c r="A179" s="2"/>
      <c r="B179" s="278" t="s">
        <v>928</v>
      </c>
      <c r="C179" s="278" t="s">
        <v>167</v>
      </c>
      <c r="D179" s="278">
        <f>VLOOKUP(C179,METHODOLOGY!$C$175:$D$177,2,FALSE)</f>
        <v>2</v>
      </c>
      <c r="E179" s="1087" t="str">
        <f>_xlfn.XLOOKUP(C179,METHODOLOGY!$E$150:$O$150,METHODOLOGY!$E$162:$O$162,"",0,1)</f>
        <v>Meta-analysis or limited understanding of what the value represents.</v>
      </c>
      <c r="F179" s="1087"/>
      <c r="G179" s="1087"/>
      <c r="H179" s="1087"/>
      <c r="I179" s="2"/>
      <c r="J179" s="2"/>
      <c r="K179" s="2"/>
      <c r="L179" s="2"/>
      <c r="M179" s="2"/>
      <c r="N179" s="2"/>
      <c r="O179" s="2"/>
      <c r="P179" s="2"/>
      <c r="Q179" s="2"/>
      <c r="R179" s="2"/>
      <c r="S179" s="2"/>
      <c r="T179" s="2"/>
      <c r="U179" s="2"/>
      <c r="V179" s="2"/>
      <c r="W179" s="2"/>
      <c r="X179" s="2"/>
    </row>
    <row r="180" spans="1:24">
      <c r="A180" s="2"/>
      <c r="B180" s="278" t="s">
        <v>189</v>
      </c>
      <c r="C180" s="278" t="s">
        <v>166</v>
      </c>
      <c r="D180" s="278">
        <f>VLOOKUP(C180,METHODOLOGY!$C$175:$D$177,2,FALSE)</f>
        <v>3</v>
      </c>
      <c r="E180" s="1087" t="str">
        <f>_xlfn.XLOOKUP(C180,METHODOLOGY!$E$150:$O$150,METHODOLOGY!$E$164:$O$164,"",0,1)</f>
        <v xml:space="preserve">The original valuation can be used with no or very simple modification e.g. change units from ha to km2, applying inflation. </v>
      </c>
      <c r="F180" s="1087"/>
      <c r="G180" s="1087"/>
      <c r="H180" s="1087"/>
      <c r="I180" s="2"/>
      <c r="J180" s="2"/>
      <c r="K180" s="2"/>
      <c r="L180" s="2"/>
      <c r="M180" s="2"/>
      <c r="N180" s="2"/>
      <c r="O180" s="2"/>
      <c r="P180" s="2"/>
      <c r="Q180" s="2"/>
      <c r="R180" s="2"/>
      <c r="S180" s="2"/>
      <c r="T180" s="2"/>
      <c r="U180" s="2"/>
      <c r="V180" s="2"/>
      <c r="W180" s="2"/>
      <c r="X180" s="2"/>
    </row>
    <row r="181" spans="1:24">
      <c r="A181" s="2"/>
      <c r="B181" s="2"/>
      <c r="C181" s="282" t="s">
        <v>924</v>
      </c>
      <c r="D181" s="326">
        <f>IF(AND(D180=1,AVERAGE(D175:D180)&gt;2.14285714285714),2.14285714285714,IF(AND(D180=2,AVERAGE(D175:D180)&gt;2.57142857142857),2.57142857142857,AVERAGE(D175:D180)))</f>
        <v>2.6666666666666665</v>
      </c>
      <c r="E181" s="270" t="str">
        <f>IF(D181&lt;=2.14285714285714,"Red",IF(D181&lt;=2.57142857142857,"Amber",IF(D181&lt;=3,"Green")))</f>
        <v>Green</v>
      </c>
      <c r="F181" s="2"/>
      <c r="G181" s="2"/>
      <c r="H181" s="2"/>
      <c r="I181" s="2"/>
      <c r="J181" s="2"/>
      <c r="K181" s="2"/>
      <c r="L181" s="2"/>
      <c r="M181" s="2"/>
      <c r="N181" s="2"/>
      <c r="O181" s="2"/>
      <c r="P181" s="2"/>
      <c r="Q181" s="2"/>
      <c r="R181" s="2"/>
      <c r="S181" s="2"/>
      <c r="T181" s="2"/>
      <c r="U181" s="2"/>
      <c r="V181" s="2"/>
      <c r="W181" s="2"/>
      <c r="X181" s="2"/>
    </row>
    <row r="183" spans="1:24">
      <c r="A183" s="725"/>
      <c r="B183" s="726" t="s">
        <v>929</v>
      </c>
      <c r="C183" s="725"/>
      <c r="D183" s="725"/>
      <c r="E183" s="725"/>
      <c r="F183" s="725"/>
      <c r="G183" s="725"/>
      <c r="H183" s="725"/>
      <c r="I183" s="2"/>
      <c r="J183" s="2"/>
      <c r="K183" s="2"/>
      <c r="L183" s="2"/>
      <c r="M183" s="2"/>
      <c r="N183" s="2"/>
      <c r="O183" s="2"/>
      <c r="P183" s="2"/>
      <c r="Q183" s="2"/>
      <c r="R183" s="2"/>
      <c r="S183" s="2"/>
      <c r="T183" s="2"/>
      <c r="U183" s="2"/>
      <c r="V183" s="2"/>
      <c r="W183" s="2"/>
      <c r="X183" s="2"/>
    </row>
    <row r="184" spans="1:24">
      <c r="A184" s="2"/>
      <c r="B184" s="277" t="s">
        <v>913</v>
      </c>
      <c r="C184" s="277" t="s">
        <v>1089</v>
      </c>
      <c r="D184" s="277" t="s">
        <v>902</v>
      </c>
      <c r="E184" s="277" t="s">
        <v>331</v>
      </c>
      <c r="F184" s="277" t="s">
        <v>226</v>
      </c>
      <c r="G184" s="1157" t="s">
        <v>930</v>
      </c>
      <c r="H184" s="1157"/>
      <c r="I184" s="1157"/>
      <c r="J184" s="1157"/>
      <c r="K184" s="1157"/>
      <c r="L184" s="1157"/>
      <c r="M184" s="2"/>
      <c r="N184" s="2"/>
      <c r="O184" s="2"/>
      <c r="P184" s="2"/>
      <c r="Q184" s="2"/>
      <c r="R184" s="2"/>
      <c r="S184" s="2"/>
      <c r="T184" s="2"/>
      <c r="U184" s="2"/>
      <c r="V184" s="2"/>
      <c r="W184" s="2"/>
      <c r="X184" s="2"/>
    </row>
    <row r="185" spans="1:24" ht="75" customHeight="1">
      <c r="A185" s="2"/>
      <c r="B185" s="278">
        <v>16</v>
      </c>
      <c r="C185" s="278" t="s">
        <v>462</v>
      </c>
      <c r="D185" s="375" t="s">
        <v>144</v>
      </c>
      <c r="E185" s="304">
        <v>38608</v>
      </c>
      <c r="F185" s="459" t="s">
        <v>1402</v>
      </c>
      <c r="G185" s="1158" t="s">
        <v>1441</v>
      </c>
      <c r="H185" s="1095"/>
      <c r="I185" s="1095"/>
      <c r="J185" s="1095"/>
      <c r="K185" s="1095"/>
      <c r="L185" s="1095"/>
      <c r="M185" s="2"/>
      <c r="N185" s="2"/>
      <c r="O185" s="2"/>
      <c r="P185" s="2"/>
      <c r="Q185" s="2"/>
      <c r="R185" s="2"/>
      <c r="S185" s="2"/>
      <c r="T185" s="2"/>
      <c r="U185" s="2"/>
      <c r="V185" s="2"/>
      <c r="W185" s="2"/>
      <c r="X185" s="2"/>
    </row>
    <row r="186" spans="1:24" ht="75" customHeight="1">
      <c r="A186" s="2"/>
      <c r="B186" s="278">
        <v>15</v>
      </c>
      <c r="C186" s="278" t="s">
        <v>462</v>
      </c>
      <c r="D186" s="375" t="s">
        <v>147</v>
      </c>
      <c r="E186" s="304">
        <v>27371</v>
      </c>
      <c r="F186" s="459" t="s">
        <v>1404</v>
      </c>
      <c r="G186" s="1095"/>
      <c r="H186" s="1095"/>
      <c r="I186" s="1095"/>
      <c r="J186" s="1095"/>
      <c r="K186" s="1095"/>
      <c r="L186" s="1095"/>
      <c r="M186" s="2"/>
      <c r="N186" s="2"/>
      <c r="O186" s="2"/>
      <c r="P186" s="2"/>
      <c r="Q186" s="2"/>
      <c r="R186" s="2"/>
      <c r="S186" s="2"/>
      <c r="T186" s="2"/>
      <c r="U186" s="2"/>
      <c r="V186" s="2"/>
      <c r="W186" s="2"/>
      <c r="X186" s="2"/>
    </row>
    <row r="187" spans="1:24" ht="15" customHeight="1">
      <c r="A187" s="2"/>
      <c r="B187" s="2"/>
      <c r="C187" s="2"/>
      <c r="D187" s="2"/>
      <c r="E187" s="2"/>
      <c r="F187" s="2"/>
      <c r="G187" s="24"/>
      <c r="H187" s="24"/>
      <c r="I187" s="24"/>
      <c r="J187" s="24"/>
      <c r="K187" s="24"/>
      <c r="L187" s="24"/>
      <c r="M187" s="2"/>
      <c r="N187" s="2"/>
      <c r="O187" s="2"/>
      <c r="P187" s="2"/>
      <c r="Q187" s="2"/>
      <c r="R187" s="2"/>
      <c r="S187" s="2"/>
      <c r="T187" s="2"/>
      <c r="U187" s="2"/>
      <c r="V187" s="2"/>
      <c r="W187" s="2"/>
      <c r="X187" s="2"/>
    </row>
    <row r="189" spans="1:24" ht="15" customHeight="1">
      <c r="A189" s="2"/>
      <c r="B189" s="2"/>
      <c r="C189" s="2"/>
      <c r="D189" s="2"/>
      <c r="E189" s="2"/>
      <c r="F189" s="2"/>
      <c r="G189" s="24"/>
      <c r="H189" s="24"/>
      <c r="I189" s="24"/>
      <c r="J189" s="24"/>
      <c r="K189" s="24"/>
      <c r="L189" s="24"/>
      <c r="M189" s="2"/>
      <c r="N189" s="2"/>
      <c r="O189" s="2"/>
      <c r="P189" s="2"/>
      <c r="Q189" s="2"/>
      <c r="R189" s="2"/>
      <c r="S189" s="2"/>
      <c r="T189" s="2"/>
      <c r="U189" s="2"/>
      <c r="V189" s="2"/>
      <c r="W189" s="2"/>
      <c r="X189" s="2"/>
    </row>
    <row r="190" spans="1:24" ht="15" customHeight="1">
      <c r="A190" s="2"/>
      <c r="B190" s="2"/>
      <c r="C190" s="2"/>
      <c r="D190" s="2"/>
      <c r="E190" s="2"/>
      <c r="F190" s="2"/>
      <c r="G190" s="24"/>
      <c r="H190" s="24"/>
      <c r="I190" s="24"/>
      <c r="J190" s="24"/>
      <c r="K190" s="24"/>
      <c r="L190" s="24"/>
      <c r="M190" s="2"/>
      <c r="N190" s="2"/>
      <c r="O190" s="2"/>
      <c r="P190" s="2"/>
      <c r="Q190" s="2"/>
      <c r="R190" s="2"/>
      <c r="S190" s="2"/>
      <c r="T190" s="2"/>
      <c r="U190" s="2"/>
      <c r="V190" s="2"/>
      <c r="W190" s="2"/>
      <c r="X190" s="2"/>
    </row>
    <row r="191" spans="1:24" ht="15" customHeight="1">
      <c r="A191" s="2"/>
      <c r="B191" s="2"/>
      <c r="C191" s="2"/>
      <c r="D191" s="2"/>
      <c r="E191" s="2"/>
      <c r="F191" s="2"/>
      <c r="G191" s="24"/>
      <c r="H191" s="24"/>
      <c r="I191" s="24"/>
      <c r="J191" s="24"/>
      <c r="K191" s="24"/>
      <c r="L191" s="24"/>
      <c r="M191" s="2"/>
      <c r="N191" s="2"/>
      <c r="O191" s="2"/>
      <c r="P191" s="2"/>
      <c r="Q191" s="2"/>
      <c r="R191" s="2"/>
      <c r="S191" s="2"/>
      <c r="T191" s="2"/>
      <c r="U191" s="2"/>
      <c r="V191" s="2"/>
      <c r="W191" s="2"/>
      <c r="X191" s="2"/>
    </row>
    <row r="193" spans="2:24" ht="15" customHeight="1">
      <c r="B193" s="2"/>
      <c r="C193" s="2"/>
      <c r="D193" s="2"/>
      <c r="E193" s="2"/>
      <c r="F193" s="2"/>
      <c r="G193" s="24"/>
      <c r="H193" s="24"/>
      <c r="I193" s="24"/>
      <c r="J193" s="24"/>
      <c r="K193" s="24"/>
      <c r="L193" s="24"/>
      <c r="M193" s="2"/>
      <c r="N193" s="2"/>
      <c r="O193" s="2"/>
      <c r="P193" s="2"/>
      <c r="Q193" s="2"/>
      <c r="R193" s="2"/>
      <c r="S193" s="2"/>
      <c r="T193" s="2"/>
      <c r="U193" s="2"/>
      <c r="V193" s="2"/>
      <c r="W193" s="2"/>
      <c r="X193" s="2"/>
    </row>
    <row r="194" spans="2:24" ht="15" customHeight="1">
      <c r="B194" s="2"/>
      <c r="C194" s="2"/>
      <c r="D194" s="2"/>
      <c r="E194" s="2"/>
      <c r="F194" s="2"/>
      <c r="G194" s="24"/>
      <c r="H194" s="24"/>
      <c r="I194" s="24"/>
      <c r="J194" s="24"/>
      <c r="K194" s="24"/>
      <c r="L194" s="24"/>
      <c r="M194" s="2"/>
      <c r="N194" s="2"/>
      <c r="O194" s="2"/>
      <c r="P194" s="2"/>
      <c r="Q194" s="2"/>
      <c r="R194" s="2"/>
      <c r="S194" s="2"/>
      <c r="T194" s="2"/>
      <c r="U194" s="2"/>
      <c r="V194" s="2"/>
      <c r="W194" s="2"/>
      <c r="X194" s="2"/>
    </row>
    <row r="195" spans="2:24" ht="15" customHeight="1">
      <c r="B195" s="2"/>
      <c r="C195" s="2"/>
      <c r="D195" s="2"/>
      <c r="E195" s="2"/>
      <c r="F195" s="2"/>
      <c r="G195" s="24"/>
      <c r="H195" s="24"/>
      <c r="I195" s="24"/>
      <c r="J195" s="24"/>
      <c r="K195" s="24"/>
      <c r="L195" s="24"/>
      <c r="M195" s="2"/>
      <c r="N195" s="2"/>
      <c r="O195" s="2"/>
      <c r="P195" s="2"/>
      <c r="Q195" s="2"/>
      <c r="R195" s="2"/>
      <c r="S195" s="2"/>
      <c r="T195" s="2"/>
      <c r="U195" s="2"/>
      <c r="V195" s="2"/>
      <c r="W195" s="2"/>
      <c r="X195" s="2"/>
    </row>
    <row r="197" spans="2:24" ht="15" customHeight="1">
      <c r="B197" s="2"/>
      <c r="C197" s="2"/>
      <c r="D197" s="2"/>
      <c r="E197" s="2"/>
      <c r="F197" s="2"/>
      <c r="G197" s="24"/>
      <c r="H197" s="24"/>
      <c r="I197" s="24"/>
      <c r="J197" s="24"/>
      <c r="K197" s="24"/>
      <c r="L197" s="24"/>
      <c r="M197" s="2"/>
      <c r="N197" s="2"/>
      <c r="O197" s="2"/>
      <c r="P197" s="2"/>
      <c r="Q197" s="2"/>
      <c r="R197" s="2"/>
      <c r="S197" s="2"/>
      <c r="T197" s="2"/>
      <c r="U197" s="2"/>
      <c r="V197" s="2"/>
      <c r="W197" s="2"/>
      <c r="X197" s="2"/>
    </row>
    <row r="198" spans="2:24" ht="15" customHeight="1">
      <c r="B198" s="2"/>
      <c r="C198" s="2"/>
      <c r="D198" s="2"/>
      <c r="E198" s="2"/>
      <c r="F198" s="2"/>
      <c r="G198" s="24"/>
      <c r="H198" s="24"/>
      <c r="I198" s="24"/>
      <c r="J198" s="24"/>
      <c r="K198" s="24"/>
      <c r="L198" s="24"/>
      <c r="M198" s="2"/>
      <c r="N198" s="2"/>
      <c r="O198" s="2"/>
      <c r="P198" s="2"/>
      <c r="Q198" s="2"/>
      <c r="R198" s="2"/>
      <c r="S198" s="2"/>
      <c r="T198" s="2"/>
      <c r="U198" s="2"/>
      <c r="V198" s="2"/>
      <c r="W198" s="2"/>
      <c r="X198" s="2"/>
    </row>
    <row r="199" spans="2:24" ht="15" customHeight="1">
      <c r="B199" s="2"/>
      <c r="C199" s="2"/>
      <c r="D199" s="2"/>
      <c r="E199" s="2"/>
      <c r="F199" s="2"/>
      <c r="G199" s="24"/>
      <c r="H199" s="24"/>
      <c r="I199" s="24"/>
      <c r="J199" s="24"/>
      <c r="K199" s="24"/>
      <c r="L199" s="24"/>
      <c r="M199" s="2"/>
      <c r="N199" s="2"/>
      <c r="O199" s="2"/>
      <c r="P199" s="2"/>
      <c r="Q199" s="2"/>
      <c r="R199" s="2"/>
      <c r="S199" s="2"/>
      <c r="T199" s="2"/>
      <c r="U199" s="2"/>
      <c r="V199" s="2"/>
      <c r="W199" s="2"/>
      <c r="X199" s="2"/>
    </row>
    <row r="201" spans="2:24" ht="15" customHeight="1">
      <c r="B201" s="2"/>
      <c r="C201" s="2"/>
      <c r="D201" s="2"/>
      <c r="E201" s="2"/>
      <c r="F201" s="2"/>
      <c r="G201" s="24"/>
      <c r="H201" s="24"/>
      <c r="I201" s="24"/>
      <c r="J201" s="24"/>
      <c r="K201" s="24"/>
      <c r="L201" s="24"/>
      <c r="M201" s="2"/>
      <c r="N201" s="2"/>
      <c r="O201" s="2"/>
      <c r="P201" s="2"/>
      <c r="Q201" s="2"/>
      <c r="R201" s="2"/>
      <c r="S201" s="2"/>
      <c r="T201" s="2"/>
      <c r="U201" s="2"/>
      <c r="V201" s="2"/>
      <c r="W201" s="2"/>
      <c r="X201" s="2"/>
    </row>
    <row r="202" spans="2:24" ht="15" customHeight="1">
      <c r="B202" s="2"/>
      <c r="C202" s="2"/>
      <c r="D202" s="2"/>
      <c r="E202" s="2"/>
      <c r="F202" s="2"/>
      <c r="G202" s="24"/>
      <c r="H202" s="24"/>
      <c r="I202" s="24"/>
      <c r="J202" s="24"/>
      <c r="K202" s="24"/>
      <c r="L202" s="24"/>
      <c r="M202" s="2"/>
      <c r="N202" s="2"/>
      <c r="O202" s="2"/>
      <c r="P202" s="2"/>
      <c r="Q202" s="2"/>
      <c r="R202" s="2"/>
      <c r="S202" s="2"/>
      <c r="T202" s="2"/>
      <c r="U202" s="2"/>
      <c r="V202" s="2"/>
      <c r="W202" s="2"/>
      <c r="X202" s="2"/>
    </row>
    <row r="203" spans="2:24" ht="15" customHeight="1">
      <c r="B203" s="2"/>
      <c r="C203" s="2"/>
      <c r="D203" s="2"/>
      <c r="E203" s="2"/>
      <c r="F203" s="2"/>
      <c r="G203" s="24"/>
      <c r="H203" s="24"/>
      <c r="I203" s="24"/>
      <c r="J203" s="24"/>
      <c r="K203" s="24"/>
      <c r="L203" s="24"/>
      <c r="M203" s="2"/>
      <c r="N203" s="2"/>
      <c r="O203" s="2"/>
      <c r="P203" s="2"/>
      <c r="Q203" s="2"/>
      <c r="R203" s="2"/>
      <c r="S203" s="2"/>
      <c r="T203" s="2"/>
      <c r="U203" s="2"/>
      <c r="V203" s="2"/>
      <c r="W203" s="2"/>
      <c r="X203" s="2"/>
    </row>
    <row r="205" spans="2:24" ht="15" customHeight="1">
      <c r="B205" s="2"/>
      <c r="C205" s="2"/>
      <c r="D205" s="2"/>
      <c r="E205" s="2"/>
      <c r="F205" s="2"/>
      <c r="G205" s="24"/>
      <c r="H205" s="24"/>
      <c r="I205" s="24"/>
      <c r="J205" s="24"/>
      <c r="K205" s="24"/>
      <c r="L205" s="24"/>
      <c r="M205" s="2"/>
      <c r="N205" s="2"/>
      <c r="O205" s="2"/>
      <c r="P205" s="2"/>
      <c r="Q205" s="2"/>
      <c r="R205" s="2"/>
      <c r="S205" s="2"/>
      <c r="T205" s="2"/>
      <c r="U205" s="2"/>
      <c r="V205" s="2"/>
      <c r="W205" s="2"/>
      <c r="X205" s="2"/>
    </row>
    <row r="206" spans="2:24" ht="15" customHeight="1">
      <c r="B206" s="2"/>
      <c r="C206" s="2"/>
      <c r="D206" s="2"/>
      <c r="E206" s="2"/>
      <c r="F206" s="2"/>
      <c r="G206" s="24"/>
      <c r="H206" s="24"/>
      <c r="I206" s="24"/>
      <c r="J206" s="24"/>
      <c r="K206" s="24"/>
      <c r="L206" s="24"/>
      <c r="M206" s="2"/>
      <c r="N206" s="2"/>
      <c r="O206" s="2"/>
      <c r="P206" s="2"/>
      <c r="Q206" s="2"/>
      <c r="R206" s="2"/>
      <c r="S206" s="2"/>
      <c r="T206" s="2"/>
      <c r="U206" s="2"/>
      <c r="V206" s="2"/>
      <c r="W206" s="2"/>
      <c r="X206" s="2"/>
    </row>
    <row r="207" spans="2:24" ht="15" customHeight="1">
      <c r="B207" s="2"/>
      <c r="C207" s="2"/>
      <c r="D207" s="2"/>
      <c r="E207" s="2"/>
      <c r="F207" s="2"/>
      <c r="G207" s="24"/>
      <c r="H207" s="24"/>
      <c r="I207" s="24"/>
      <c r="J207" s="24"/>
      <c r="K207" s="24"/>
      <c r="L207" s="24"/>
      <c r="M207" s="2"/>
      <c r="N207" s="2"/>
      <c r="O207" s="2"/>
      <c r="P207" s="2"/>
      <c r="Q207" s="2"/>
      <c r="R207" s="2"/>
      <c r="S207" s="2"/>
      <c r="T207" s="2"/>
      <c r="U207" s="2"/>
      <c r="V207" s="2"/>
      <c r="W207" s="2"/>
      <c r="X207" s="2"/>
    </row>
    <row r="209" spans="1:24" ht="15" customHeight="1">
      <c r="A209" s="2"/>
      <c r="B209" s="2"/>
      <c r="C209" s="2"/>
      <c r="D209" s="2"/>
      <c r="E209" s="2"/>
      <c r="F209" s="2"/>
      <c r="G209" s="24"/>
      <c r="H209" s="24"/>
      <c r="I209" s="24"/>
      <c r="J209" s="24"/>
      <c r="K209" s="24"/>
      <c r="L209" s="24"/>
      <c r="M209" s="2"/>
      <c r="N209" s="2"/>
      <c r="O209" s="2"/>
      <c r="P209" s="2"/>
      <c r="Q209" s="2"/>
      <c r="R209" s="2"/>
      <c r="S209" s="2"/>
      <c r="T209" s="2"/>
      <c r="U209" s="2"/>
      <c r="V209" s="2"/>
      <c r="W209" s="2"/>
      <c r="X209" s="2"/>
    </row>
    <row r="210" spans="1:24" ht="15" customHeight="1">
      <c r="A210" s="2"/>
      <c r="B210" s="2"/>
      <c r="C210" s="2"/>
      <c r="D210" s="2"/>
      <c r="E210" s="2"/>
      <c r="F210" s="2"/>
      <c r="G210" s="24"/>
      <c r="H210" s="24"/>
      <c r="I210" s="24"/>
      <c r="J210" s="24"/>
      <c r="K210" s="24"/>
      <c r="L210" s="24"/>
      <c r="M210" s="2"/>
      <c r="N210" s="2"/>
      <c r="O210" s="2"/>
      <c r="P210" s="2"/>
      <c r="Q210" s="2"/>
      <c r="R210" s="2"/>
      <c r="S210" s="2"/>
      <c r="T210" s="2"/>
      <c r="U210" s="2"/>
      <c r="V210" s="2"/>
      <c r="W210" s="2"/>
      <c r="X210" s="2"/>
    </row>
    <row r="211" spans="1:24" ht="15" customHeight="1">
      <c r="A211" s="2"/>
      <c r="B211" s="2"/>
      <c r="C211" s="2"/>
      <c r="D211" s="2"/>
      <c r="E211" s="2"/>
      <c r="F211" s="2"/>
      <c r="G211" s="24"/>
      <c r="H211" s="24"/>
      <c r="I211" s="24"/>
      <c r="J211" s="24"/>
      <c r="K211" s="24"/>
      <c r="L211" s="24"/>
      <c r="M211" s="2"/>
      <c r="N211" s="2"/>
      <c r="O211" s="2"/>
      <c r="P211" s="2"/>
      <c r="Q211" s="2"/>
      <c r="R211" s="2"/>
      <c r="S211" s="2"/>
      <c r="T211" s="2"/>
      <c r="U211" s="2"/>
      <c r="V211" s="2"/>
      <c r="W211" s="2"/>
      <c r="X211" s="2"/>
    </row>
    <row r="214" spans="1:24">
      <c r="A214" s="727"/>
      <c r="B214" s="728" t="s">
        <v>901</v>
      </c>
      <c r="C214" s="727"/>
      <c r="D214" s="727"/>
      <c r="E214" s="727"/>
      <c r="F214" s="727"/>
      <c r="G214" s="727"/>
      <c r="H214" s="727"/>
      <c r="I214" s="2"/>
      <c r="J214" s="2"/>
      <c r="K214" s="2"/>
      <c r="L214" s="2"/>
      <c r="M214" s="2"/>
      <c r="N214" s="2"/>
      <c r="O214" s="2"/>
      <c r="P214" s="2"/>
      <c r="Q214" s="2"/>
      <c r="R214" s="2"/>
      <c r="S214" s="2"/>
      <c r="T214" s="2"/>
      <c r="U214" s="2"/>
      <c r="V214" s="2"/>
      <c r="W214" s="2"/>
      <c r="X214" s="2"/>
    </row>
    <row r="215" spans="1:24" ht="29.1">
      <c r="A215" s="2"/>
      <c r="B215" s="522" t="s">
        <v>902</v>
      </c>
      <c r="C215" s="522" t="s">
        <v>898</v>
      </c>
      <c r="D215" s="522" t="s">
        <v>899</v>
      </c>
      <c r="E215" s="719" t="s">
        <v>903</v>
      </c>
      <c r="F215" s="522" t="s">
        <v>904</v>
      </c>
      <c r="G215" s="522" t="s">
        <v>905</v>
      </c>
      <c r="H215" s="756" t="s">
        <v>924</v>
      </c>
      <c r="I215" s="756" t="s">
        <v>956</v>
      </c>
      <c r="J215" s="756" t="s">
        <v>927</v>
      </c>
      <c r="K215" s="2"/>
      <c r="L215" s="2"/>
      <c r="M215" s="2"/>
      <c r="N215" s="2"/>
      <c r="O215" s="2"/>
      <c r="P215" s="2"/>
      <c r="Q215" s="2"/>
      <c r="R215" s="2"/>
      <c r="S215" s="2"/>
      <c r="T215" s="2"/>
      <c r="U215" s="2"/>
      <c r="V215" s="2"/>
      <c r="W215" s="2"/>
      <c r="X215" s="2"/>
    </row>
    <row r="216" spans="1:24">
      <c r="A216" s="2"/>
      <c r="B216" s="278" t="str">
        <f>D223</f>
        <v>Hydraulic - External flooding of social infrastructure (e.g. schools, hospitals)</v>
      </c>
      <c r="C216" s="278" t="s">
        <v>462</v>
      </c>
      <c r="D216" s="299" t="s">
        <v>1409</v>
      </c>
      <c r="E216" s="299" t="s">
        <v>1202</v>
      </c>
      <c r="F216" s="278" t="str" cm="1">
        <f t="array" ref="F216">_xlfn.XLOOKUP(1,(D223:D226=B216)*(E223:E226=C216),B223:B226,"Not found",0,1)</f>
        <v>15-05</v>
      </c>
      <c r="G216" s="641">
        <f>VLOOKUP(F216,B222:L225,11,FALSE)</f>
        <v>38608</v>
      </c>
      <c r="H216" s="1120">
        <f>D181</f>
        <v>2.6666666666666665</v>
      </c>
      <c r="I216" s="1149" t="s">
        <v>958</v>
      </c>
      <c r="J216" s="1149"/>
      <c r="K216" s="2"/>
      <c r="L216" s="2"/>
      <c r="M216" s="2"/>
      <c r="N216" s="2"/>
      <c r="O216" s="2"/>
      <c r="P216" s="2"/>
      <c r="Q216" s="2"/>
      <c r="R216" s="2"/>
      <c r="S216" s="2"/>
      <c r="T216" s="2"/>
      <c r="U216" s="2"/>
      <c r="V216" s="2"/>
      <c r="W216" s="2"/>
      <c r="X216" s="2"/>
    </row>
    <row r="217" spans="1:24">
      <c r="A217" s="2"/>
      <c r="B217" s="278" t="str">
        <f>D224</f>
        <v>Hydraulic - External flooding of commercial and industrial properties</v>
      </c>
      <c r="C217" s="278" t="s">
        <v>462</v>
      </c>
      <c r="D217" s="299" t="s">
        <v>1409</v>
      </c>
      <c r="E217" s="299" t="s">
        <v>1202</v>
      </c>
      <c r="F217" s="278" t="str" cm="1">
        <f t="array" ref="F217">_xlfn.XLOOKUP(1,(D224:D227=B217)*(E224:E227=C217),B224:B227,"Not found",0,1)</f>
        <v>15-06</v>
      </c>
      <c r="G217" s="641">
        <f>VLOOKUP(F217,B223:L226,11,FALSE)</f>
        <v>38608</v>
      </c>
      <c r="H217" s="1121"/>
      <c r="I217" s="1149"/>
      <c r="J217" s="1149"/>
      <c r="K217" s="2"/>
      <c r="L217" s="2"/>
      <c r="M217" s="2"/>
      <c r="N217" s="2"/>
      <c r="O217" s="2"/>
      <c r="P217" s="2"/>
      <c r="Q217" s="2"/>
      <c r="R217" s="2"/>
      <c r="S217" s="2"/>
      <c r="T217" s="2"/>
      <c r="U217" s="2"/>
      <c r="V217" s="2"/>
      <c r="W217" s="2"/>
      <c r="X217" s="2"/>
    </row>
    <row r="218" spans="1:24">
      <c r="A218" s="2"/>
      <c r="B218" s="278" t="str">
        <f>D225</f>
        <v>FOC - External flooding of social infrastructure (e.g. schools, hospitals)</v>
      </c>
      <c r="C218" s="278" t="s">
        <v>462</v>
      </c>
      <c r="D218" s="299" t="s">
        <v>1409</v>
      </c>
      <c r="E218" s="299" t="s">
        <v>1202</v>
      </c>
      <c r="F218" s="278" t="str" cm="1">
        <f t="array" ref="F218">_xlfn.XLOOKUP(1,(D225:D228=B218)*(E225:E228=C218),B225:B228,"Not found",0,1)</f>
        <v>15-07</v>
      </c>
      <c r="G218" s="641">
        <f>VLOOKUP(F218,B224:L227,11,FALSE)</f>
        <v>27371</v>
      </c>
      <c r="H218" s="1121"/>
      <c r="I218" s="1149"/>
      <c r="J218" s="1149"/>
      <c r="K218" s="2"/>
      <c r="L218" s="2"/>
      <c r="M218" s="2"/>
      <c r="N218" s="2"/>
      <c r="O218" s="2"/>
      <c r="P218" s="2"/>
      <c r="Q218" s="2"/>
      <c r="R218" s="2"/>
      <c r="S218" s="2"/>
      <c r="T218" s="2"/>
      <c r="U218" s="2"/>
      <c r="V218" s="2"/>
      <c r="W218" s="2"/>
      <c r="X218" s="2"/>
    </row>
    <row r="219" spans="1:24">
      <c r="A219" s="2"/>
      <c r="B219" s="278" t="str">
        <f>D226</f>
        <v>FOC - External flooding of commercial and industrial properties</v>
      </c>
      <c r="C219" s="278" t="s">
        <v>462</v>
      </c>
      <c r="D219" s="299" t="s">
        <v>1409</v>
      </c>
      <c r="E219" s="299" t="s">
        <v>1202</v>
      </c>
      <c r="F219" s="278" t="str" cm="1">
        <f t="array" ref="F219">_xlfn.XLOOKUP(1,(D226:D229=B219)*(E226:E229=C219),B226:B229,"Not found",0,1)</f>
        <v>15-08</v>
      </c>
      <c r="G219" s="641">
        <f>VLOOKUP(F219,B223:L226,11,FALSE)</f>
        <v>27371</v>
      </c>
      <c r="H219" s="1122"/>
      <c r="I219" s="1149"/>
      <c r="J219" s="1149"/>
      <c r="K219" s="2"/>
      <c r="L219" s="2"/>
      <c r="M219" s="2"/>
      <c r="N219" s="2"/>
      <c r="O219" s="2"/>
      <c r="P219" s="2"/>
      <c r="Q219" s="2"/>
      <c r="R219" s="2"/>
      <c r="S219" s="2"/>
      <c r="T219" s="2"/>
      <c r="U219" s="2"/>
      <c r="V219" s="2"/>
      <c r="W219" s="2"/>
      <c r="X219" s="2"/>
    </row>
    <row r="220" spans="1:24">
      <c r="A220" s="2"/>
      <c r="B220" s="18"/>
      <c r="C220" s="2"/>
      <c r="D220" s="2"/>
      <c r="E220" s="2"/>
      <c r="F220" s="2"/>
      <c r="G220" s="2"/>
      <c r="H220" s="2"/>
      <c r="I220" s="2"/>
      <c r="J220" s="2"/>
      <c r="K220" s="2"/>
      <c r="L220" s="2"/>
      <c r="M220" s="2"/>
      <c r="N220" s="2"/>
      <c r="O220" s="2"/>
      <c r="P220" s="2"/>
      <c r="Q220" s="2"/>
      <c r="R220" s="2"/>
      <c r="S220" s="2"/>
      <c r="T220" s="2"/>
      <c r="U220" s="2"/>
      <c r="V220" s="2"/>
      <c r="W220" s="2"/>
      <c r="X220" s="2"/>
    </row>
    <row r="221" spans="1:24">
      <c r="A221" s="725"/>
      <c r="B221" s="726" t="s">
        <v>962</v>
      </c>
      <c r="C221" s="725"/>
      <c r="D221" s="725"/>
      <c r="E221" s="725"/>
      <c r="F221" s="725"/>
      <c r="G221" s="725"/>
      <c r="H221" s="725"/>
      <c r="I221" s="2"/>
      <c r="J221" s="2"/>
      <c r="K221" s="2"/>
      <c r="L221" s="2"/>
      <c r="M221" s="2"/>
      <c r="N221" s="2"/>
      <c r="O221" s="2"/>
      <c r="P221" s="2"/>
      <c r="Q221" s="2"/>
      <c r="R221" s="2"/>
      <c r="S221" s="2"/>
      <c r="T221" s="2"/>
      <c r="U221" s="2"/>
      <c r="V221" s="2"/>
      <c r="W221" s="2"/>
      <c r="X221" s="2"/>
    </row>
    <row r="222" spans="1:24">
      <c r="A222" s="2"/>
      <c r="B222" s="277" t="s">
        <v>904</v>
      </c>
      <c r="C222" s="277" t="s">
        <v>62</v>
      </c>
      <c r="D222" s="277" t="s">
        <v>902</v>
      </c>
      <c r="E222" s="277" t="s">
        <v>898</v>
      </c>
      <c r="F222" s="277" t="s">
        <v>916</v>
      </c>
      <c r="G222" s="277" t="s">
        <v>963</v>
      </c>
      <c r="H222" s="277" t="s">
        <v>964</v>
      </c>
      <c r="I222" s="277" t="s">
        <v>965</v>
      </c>
      <c r="J222" s="277" t="s">
        <v>966</v>
      </c>
      <c r="K222" s="277" t="s">
        <v>967</v>
      </c>
      <c r="L222" s="277" t="s">
        <v>968</v>
      </c>
      <c r="M222" s="277" t="s">
        <v>956</v>
      </c>
      <c r="N222" s="277" t="s">
        <v>969</v>
      </c>
      <c r="O222" s="277" t="s">
        <v>970</v>
      </c>
      <c r="P222" s="277" t="s">
        <v>927</v>
      </c>
      <c r="Q222" s="277" t="s">
        <v>913</v>
      </c>
      <c r="R222" s="277" t="s">
        <v>914</v>
      </c>
      <c r="S222" s="277" t="s">
        <v>915</v>
      </c>
      <c r="T222" s="277" t="s">
        <v>916</v>
      </c>
      <c r="U222" s="277" t="s">
        <v>917</v>
      </c>
      <c r="V222" s="277" t="s">
        <v>918</v>
      </c>
      <c r="W222" s="277" t="s">
        <v>919</v>
      </c>
      <c r="X222" s="2"/>
    </row>
    <row r="223" spans="1:24">
      <c r="A223" s="2"/>
      <c r="B223" s="302" t="s">
        <v>1442</v>
      </c>
      <c r="C223" s="279" t="s">
        <v>386</v>
      </c>
      <c r="D223" s="279" t="s">
        <v>143</v>
      </c>
      <c r="E223" s="278" t="s">
        <v>462</v>
      </c>
      <c r="F223" s="299">
        <v>2023</v>
      </c>
      <c r="G223" s="278">
        <v>2023</v>
      </c>
      <c r="H223" s="278">
        <f>'COMPANY INPUT'!$C$16</f>
        <v>2023</v>
      </c>
      <c r="I223" s="278">
        <f>VLOOKUP(G223,'GDP Deflators'!$H$13:$I$86,2,FALSE)</f>
        <v>100</v>
      </c>
      <c r="J223" s="278">
        <f>VLOOKUP(H223,'GDP Deflators'!$H$13:$I$86,2,FALSE)</f>
        <v>100</v>
      </c>
      <c r="K223" s="385">
        <f>E185</f>
        <v>38608</v>
      </c>
      <c r="L223" s="746">
        <f>K223*(J223/I223)</f>
        <v>38608</v>
      </c>
      <c r="M223" s="278" t="str">
        <f>$I$216</f>
        <v>Willingness to Pay</v>
      </c>
      <c r="N223" s="326">
        <f>$H$216</f>
        <v>2.6666666666666665</v>
      </c>
      <c r="O223" s="278" t="s">
        <v>718</v>
      </c>
      <c r="P223" s="278">
        <f>$J$216</f>
        <v>0</v>
      </c>
      <c r="Q223" s="299">
        <f t="shared" ref="Q223:W223" si="3">B171</f>
        <v>16</v>
      </c>
      <c r="R223" s="299" t="str">
        <f t="shared" si="3"/>
        <v>Ofwat (2023) PR24: Using collaborative customer research to set outcome delivery incentive rates</v>
      </c>
      <c r="S223" s="299">
        <f t="shared" si="3"/>
        <v>0</v>
      </c>
      <c r="T223" s="299">
        <f t="shared" si="3"/>
        <v>2023</v>
      </c>
      <c r="U223" s="299" t="str">
        <f t="shared" si="3"/>
        <v>England and Wales</v>
      </c>
      <c r="V223" s="299" t="str">
        <f t="shared" si="3"/>
        <v>England and Wales</v>
      </c>
      <c r="W223" s="299">
        <f t="shared" si="3"/>
        <v>0</v>
      </c>
      <c r="X223" s="2"/>
    </row>
    <row r="224" spans="1:24">
      <c r="A224" s="2"/>
      <c r="B224" s="302" t="s">
        <v>1443</v>
      </c>
      <c r="C224" s="279" t="s">
        <v>386</v>
      </c>
      <c r="D224" s="279" t="s">
        <v>144</v>
      </c>
      <c r="E224" s="278" t="s">
        <v>462</v>
      </c>
      <c r="F224" s="299">
        <v>2023</v>
      </c>
      <c r="G224" s="278">
        <v>2023</v>
      </c>
      <c r="H224" s="278">
        <f>'COMPANY INPUT'!$C$16</f>
        <v>2023</v>
      </c>
      <c r="I224" s="278">
        <f>VLOOKUP(G224,'GDP Deflators'!$H$13:$I$86,2,FALSE)</f>
        <v>100</v>
      </c>
      <c r="J224" s="278">
        <f>VLOOKUP(H224,'GDP Deflators'!$H$13:$I$86,2,FALSE)</f>
        <v>100</v>
      </c>
      <c r="K224" s="385">
        <f>E185</f>
        <v>38608</v>
      </c>
      <c r="L224" s="746">
        <f>K224*(J224/I224)</f>
        <v>38608</v>
      </c>
      <c r="M224" s="278" t="str">
        <f>$I$216</f>
        <v>Willingness to Pay</v>
      </c>
      <c r="N224" s="326">
        <f>$H$216</f>
        <v>2.6666666666666665</v>
      </c>
      <c r="O224" s="278" t="s">
        <v>718</v>
      </c>
      <c r="P224" s="278">
        <f>$J$216</f>
        <v>0</v>
      </c>
      <c r="Q224" s="299">
        <f t="shared" ref="Q224:W224" si="4">B171</f>
        <v>16</v>
      </c>
      <c r="R224" s="299" t="str">
        <f t="shared" si="4"/>
        <v>Ofwat (2023) PR24: Using collaborative customer research to set outcome delivery incentive rates</v>
      </c>
      <c r="S224" s="299">
        <f t="shared" si="4"/>
        <v>0</v>
      </c>
      <c r="T224" s="299">
        <f t="shared" si="4"/>
        <v>2023</v>
      </c>
      <c r="U224" s="299" t="str">
        <f t="shared" si="4"/>
        <v>England and Wales</v>
      </c>
      <c r="V224" s="299" t="str">
        <f t="shared" si="4"/>
        <v>England and Wales</v>
      </c>
      <c r="W224" s="299">
        <f t="shared" si="4"/>
        <v>0</v>
      </c>
      <c r="X224" s="2"/>
    </row>
    <row r="225" spans="1:24">
      <c r="A225" s="2"/>
      <c r="B225" s="302" t="s">
        <v>1444</v>
      </c>
      <c r="C225" s="279" t="s">
        <v>386</v>
      </c>
      <c r="D225" s="278" t="s">
        <v>146</v>
      </c>
      <c r="E225" s="278" t="s">
        <v>462</v>
      </c>
      <c r="F225" s="299">
        <v>2023</v>
      </c>
      <c r="G225" s="278">
        <v>2023</v>
      </c>
      <c r="H225" s="278">
        <f>'COMPANY INPUT'!$C$16</f>
        <v>2023</v>
      </c>
      <c r="I225" s="278">
        <f>VLOOKUP(G225,'GDP Deflators'!$H$13:$I$86,2,FALSE)</f>
        <v>100</v>
      </c>
      <c r="J225" s="278">
        <f>VLOOKUP(H225,'GDP Deflators'!$H$13:$I$86,2,FALSE)</f>
        <v>100</v>
      </c>
      <c r="K225" s="385">
        <f>E186</f>
        <v>27371</v>
      </c>
      <c r="L225" s="746">
        <f>K225*(J225/I225)</f>
        <v>27371</v>
      </c>
      <c r="M225" s="278" t="str">
        <f>$I$216</f>
        <v>Willingness to Pay</v>
      </c>
      <c r="N225" s="326">
        <f>$H$216</f>
        <v>2.6666666666666665</v>
      </c>
      <c r="O225" s="278" t="s">
        <v>718</v>
      </c>
      <c r="P225" s="278">
        <f>$J$216</f>
        <v>0</v>
      </c>
      <c r="Q225" s="299">
        <f t="shared" ref="Q225:V225" si="5">B171</f>
        <v>16</v>
      </c>
      <c r="R225" s="278" t="str">
        <f t="shared" si="5"/>
        <v>Ofwat (2023) PR24: Using collaborative customer research to set outcome delivery incentive rates</v>
      </c>
      <c r="S225" s="278">
        <f t="shared" si="5"/>
        <v>0</v>
      </c>
      <c r="T225" s="278">
        <f t="shared" si="5"/>
        <v>2023</v>
      </c>
      <c r="U225" s="278" t="str">
        <f t="shared" si="5"/>
        <v>England and Wales</v>
      </c>
      <c r="V225" s="278" t="str">
        <f t="shared" si="5"/>
        <v>England and Wales</v>
      </c>
      <c r="W225" s="278">
        <f>H151</f>
        <v>0</v>
      </c>
      <c r="X225" s="2"/>
    </row>
    <row r="226" spans="1:24">
      <c r="A226" s="2"/>
      <c r="B226" s="302" t="s">
        <v>1445</v>
      </c>
      <c r="C226" s="279" t="s">
        <v>386</v>
      </c>
      <c r="D226" s="278" t="s">
        <v>147</v>
      </c>
      <c r="E226" s="278" t="s">
        <v>462</v>
      </c>
      <c r="F226" s="299">
        <v>2023</v>
      </c>
      <c r="G226" s="278">
        <v>2023</v>
      </c>
      <c r="H226" s="278">
        <f>'COMPANY INPUT'!$C$16</f>
        <v>2023</v>
      </c>
      <c r="I226" s="278">
        <f>VLOOKUP(G226,'GDP Deflators'!$H$13:$I$86,2,FALSE)</f>
        <v>100</v>
      </c>
      <c r="J226" s="278">
        <f>VLOOKUP(H226,'GDP Deflators'!$H$13:$I$86,2,FALSE)</f>
        <v>100</v>
      </c>
      <c r="K226" s="385">
        <f>E186</f>
        <v>27371</v>
      </c>
      <c r="L226" s="746">
        <f>K226*(J226/I226)</f>
        <v>27371</v>
      </c>
      <c r="M226" s="278" t="str">
        <f>$I$216</f>
        <v>Willingness to Pay</v>
      </c>
      <c r="N226" s="326">
        <f>$H$216</f>
        <v>2.6666666666666665</v>
      </c>
      <c r="O226" s="278" t="s">
        <v>718</v>
      </c>
      <c r="P226" s="278">
        <f>$J$216</f>
        <v>0</v>
      </c>
      <c r="Q226" s="299">
        <f t="shared" ref="Q226:W226" si="6">B171</f>
        <v>16</v>
      </c>
      <c r="R226" s="299" t="str">
        <f t="shared" si="6"/>
        <v>Ofwat (2023) PR24: Using collaborative customer research to set outcome delivery incentive rates</v>
      </c>
      <c r="S226" s="299">
        <f t="shared" si="6"/>
        <v>0</v>
      </c>
      <c r="T226" s="299">
        <f t="shared" si="6"/>
        <v>2023</v>
      </c>
      <c r="U226" s="299" t="str">
        <f t="shared" si="6"/>
        <v>England and Wales</v>
      </c>
      <c r="V226" s="299" t="str">
        <f t="shared" si="6"/>
        <v>England and Wales</v>
      </c>
      <c r="W226" s="299">
        <f t="shared" si="6"/>
        <v>0</v>
      </c>
      <c r="X226" s="2"/>
    </row>
    <row r="228" spans="1:24">
      <c r="A228" s="721"/>
      <c r="B228" s="722" t="s">
        <v>465</v>
      </c>
      <c r="C228" s="721"/>
      <c r="D228" s="721"/>
      <c r="E228" s="721"/>
      <c r="F228" s="721"/>
      <c r="G228" s="721"/>
      <c r="H228" s="721"/>
      <c r="I228" s="2"/>
      <c r="J228" s="2"/>
      <c r="K228" s="2"/>
      <c r="L228" s="2"/>
      <c r="M228" s="2"/>
      <c r="N228" s="2"/>
      <c r="O228" s="2"/>
      <c r="P228" s="2"/>
      <c r="Q228" s="2"/>
      <c r="R228" s="2"/>
      <c r="S228" s="2"/>
      <c r="T228" s="2"/>
      <c r="U228" s="2"/>
      <c r="V228" s="2"/>
      <c r="W228" s="2"/>
      <c r="X228" s="2"/>
    </row>
    <row r="229" spans="1:24">
      <c r="A229" s="727"/>
      <c r="B229" s="729" t="s">
        <v>897</v>
      </c>
      <c r="C229" s="727"/>
      <c r="D229" s="727"/>
      <c r="E229" s="727"/>
      <c r="F229" s="727"/>
      <c r="G229" s="727"/>
      <c r="H229" s="727"/>
      <c r="I229" s="2"/>
      <c r="J229" s="2"/>
      <c r="K229" s="2"/>
      <c r="L229" s="2"/>
      <c r="M229" s="2"/>
      <c r="N229" s="2"/>
      <c r="O229" s="2"/>
      <c r="P229" s="2"/>
      <c r="Q229" s="2"/>
      <c r="R229" s="2"/>
      <c r="S229" s="2"/>
      <c r="T229" s="2"/>
      <c r="U229" s="2"/>
      <c r="V229" s="2"/>
      <c r="W229" s="2"/>
      <c r="X229" s="2"/>
    </row>
    <row r="230" spans="1:24">
      <c r="A230" s="2"/>
      <c r="B230" s="277" t="s">
        <v>898</v>
      </c>
      <c r="C230" s="277" t="s">
        <v>899</v>
      </c>
      <c r="D230" s="2"/>
      <c r="E230" s="2"/>
      <c r="F230" s="2"/>
      <c r="G230" s="2"/>
      <c r="H230" s="2"/>
      <c r="I230" s="2"/>
      <c r="J230" s="2"/>
      <c r="K230" s="2"/>
      <c r="L230" s="2"/>
      <c r="M230" s="2"/>
      <c r="N230" s="2"/>
      <c r="O230" s="2"/>
      <c r="P230" s="2"/>
      <c r="Q230" s="2"/>
      <c r="R230" s="2"/>
      <c r="S230" s="2"/>
      <c r="T230" s="2"/>
      <c r="U230" s="2"/>
      <c r="V230" s="2"/>
      <c r="W230" s="2"/>
      <c r="X230" s="2"/>
    </row>
    <row r="231" spans="1:24">
      <c r="A231" s="2"/>
      <c r="B231" s="278" t="s">
        <v>1373</v>
      </c>
      <c r="C231" s="278" t="s">
        <v>989</v>
      </c>
      <c r="D231" s="2"/>
      <c r="E231" s="2"/>
      <c r="F231" s="2"/>
      <c r="G231" s="2"/>
      <c r="H231" s="2"/>
      <c r="I231" s="2"/>
      <c r="J231" s="2"/>
      <c r="K231" s="2"/>
      <c r="L231" s="2"/>
      <c r="M231" s="2"/>
      <c r="N231" s="2"/>
      <c r="O231" s="2"/>
      <c r="P231" s="2"/>
      <c r="Q231" s="2"/>
      <c r="R231" s="2"/>
      <c r="S231" s="2"/>
      <c r="T231" s="2"/>
      <c r="U231" s="2"/>
      <c r="V231" s="2"/>
      <c r="W231" s="2"/>
      <c r="X231" s="2"/>
    </row>
    <row r="232" spans="1:24">
      <c r="A232" s="2"/>
      <c r="B232" s="16"/>
      <c r="C232" s="2"/>
      <c r="D232" s="2"/>
      <c r="E232" s="2"/>
      <c r="F232" s="2"/>
      <c r="G232" s="2"/>
      <c r="H232" s="2"/>
      <c r="I232" s="2"/>
      <c r="J232" s="2"/>
      <c r="K232" s="2"/>
      <c r="L232" s="2"/>
      <c r="M232" s="2"/>
      <c r="N232" s="2"/>
      <c r="O232" s="2"/>
      <c r="P232" s="2"/>
      <c r="Q232" s="2"/>
      <c r="R232" s="2"/>
      <c r="S232" s="2"/>
      <c r="T232" s="2"/>
      <c r="U232" s="2"/>
      <c r="V232" s="2"/>
      <c r="W232" s="2"/>
      <c r="X232" s="2"/>
    </row>
    <row r="233" spans="1:24">
      <c r="A233" s="2"/>
      <c r="B233" s="16"/>
      <c r="C233" s="2"/>
      <c r="D233" s="2"/>
      <c r="E233" s="2"/>
      <c r="F233" s="2"/>
      <c r="G233" s="2"/>
      <c r="H233" s="2"/>
      <c r="I233" s="2"/>
      <c r="J233" s="2"/>
      <c r="K233" s="2"/>
      <c r="L233" s="2"/>
      <c r="M233" s="2"/>
      <c r="N233" s="2"/>
      <c r="O233" s="2"/>
      <c r="P233" s="2"/>
      <c r="Q233" s="2"/>
      <c r="R233" s="2"/>
      <c r="S233" s="2"/>
      <c r="T233" s="2"/>
      <c r="U233" s="2"/>
      <c r="V233" s="2"/>
      <c r="W233" s="2"/>
      <c r="X233" s="2"/>
    </row>
    <row r="234" spans="1:24">
      <c r="A234" s="727"/>
      <c r="B234" s="728" t="s">
        <v>1039</v>
      </c>
      <c r="C234" s="727"/>
      <c r="D234" s="727"/>
      <c r="E234" s="727"/>
      <c r="F234" s="727"/>
      <c r="G234" s="727"/>
      <c r="H234" s="727"/>
      <c r="I234" s="2"/>
      <c r="J234" s="2"/>
      <c r="K234" s="2"/>
      <c r="L234" s="2"/>
      <c r="M234" s="2"/>
      <c r="N234" s="2"/>
      <c r="O234" s="2"/>
      <c r="P234" s="2"/>
      <c r="Q234" s="2"/>
      <c r="R234" s="2"/>
      <c r="S234" s="2"/>
      <c r="T234" s="2"/>
      <c r="U234" s="2"/>
      <c r="V234" s="2"/>
      <c r="W234" s="2"/>
      <c r="X234" s="2"/>
    </row>
    <row r="235" spans="1:24">
      <c r="A235" s="725"/>
      <c r="B235" s="726" t="s">
        <v>912</v>
      </c>
      <c r="C235" s="725"/>
      <c r="D235" s="725"/>
      <c r="E235" s="725"/>
      <c r="F235" s="725"/>
      <c r="G235" s="725"/>
      <c r="H235" s="725"/>
      <c r="I235" s="2"/>
      <c r="J235" s="2"/>
      <c r="K235" s="2"/>
      <c r="L235" s="2"/>
      <c r="M235" s="2"/>
      <c r="N235" s="2"/>
      <c r="O235" s="2"/>
      <c r="P235" s="2"/>
      <c r="Q235" s="2"/>
      <c r="R235" s="2"/>
      <c r="S235" s="2"/>
      <c r="T235" s="2"/>
      <c r="U235" s="2"/>
      <c r="V235" s="2"/>
      <c r="W235" s="2"/>
      <c r="X235" s="2"/>
    </row>
    <row r="236" spans="1:24" ht="29.1">
      <c r="A236" s="2"/>
      <c r="B236" s="719" t="s">
        <v>913</v>
      </c>
      <c r="C236" s="719" t="s">
        <v>914</v>
      </c>
      <c r="D236" s="719" t="s">
        <v>915</v>
      </c>
      <c r="E236" s="719" t="s">
        <v>916</v>
      </c>
      <c r="F236" s="719" t="s">
        <v>917</v>
      </c>
      <c r="G236" s="719" t="s">
        <v>918</v>
      </c>
      <c r="H236" s="719" t="s">
        <v>919</v>
      </c>
      <c r="I236" s="2"/>
      <c r="J236" s="2"/>
      <c r="K236" s="2"/>
      <c r="L236" s="2"/>
      <c r="M236" s="2"/>
      <c r="N236" s="2"/>
      <c r="O236" s="2"/>
      <c r="P236" s="2"/>
      <c r="Q236" s="2"/>
      <c r="R236" s="2"/>
      <c r="S236" s="2"/>
      <c r="T236" s="2"/>
      <c r="U236" s="2"/>
      <c r="V236" s="2"/>
      <c r="W236" s="2"/>
      <c r="X236" s="2"/>
    </row>
    <row r="237" spans="1:24">
      <c r="A237" s="2"/>
      <c r="B237" s="278">
        <v>64</v>
      </c>
      <c r="C237" s="278" t="s">
        <v>1446</v>
      </c>
      <c r="D237" s="278" t="s">
        <v>1416</v>
      </c>
      <c r="E237" s="278">
        <v>2021</v>
      </c>
      <c r="F237" s="278" t="s">
        <v>1047</v>
      </c>
      <c r="G237" s="278" t="s">
        <v>1047</v>
      </c>
      <c r="H237" s="278"/>
      <c r="I237" s="2"/>
      <c r="J237" s="2"/>
      <c r="K237" s="2"/>
      <c r="L237" s="2"/>
      <c r="M237" s="2"/>
      <c r="N237" s="2"/>
      <c r="O237" s="2"/>
      <c r="P237" s="2"/>
      <c r="Q237" s="2"/>
      <c r="R237" s="2"/>
      <c r="S237" s="2"/>
      <c r="T237" s="2"/>
      <c r="U237" s="2"/>
      <c r="V237" s="2"/>
      <c r="W237" s="2"/>
      <c r="X237" s="2"/>
    </row>
    <row r="238" spans="1:24">
      <c r="A238" s="2"/>
      <c r="B238" s="16"/>
      <c r="C238" s="2"/>
      <c r="D238" s="2"/>
      <c r="E238" s="2"/>
      <c r="F238" s="2"/>
      <c r="G238" s="2"/>
      <c r="H238" s="2"/>
      <c r="I238" s="2"/>
      <c r="J238" s="2"/>
      <c r="K238" s="2"/>
      <c r="L238" s="2"/>
      <c r="M238" s="2"/>
      <c r="N238" s="2"/>
      <c r="O238" s="2"/>
      <c r="P238" s="2"/>
      <c r="Q238" s="2"/>
      <c r="R238" s="2"/>
      <c r="S238" s="2"/>
      <c r="T238" s="2"/>
      <c r="U238" s="2"/>
      <c r="V238" s="2"/>
      <c r="W238" s="2"/>
      <c r="X238" s="2"/>
    </row>
    <row r="239" spans="1:24">
      <c r="A239" s="2"/>
      <c r="B239" s="277" t="s">
        <v>165</v>
      </c>
      <c r="C239" s="277" t="s">
        <v>925</v>
      </c>
      <c r="D239" s="277" t="s">
        <v>926</v>
      </c>
      <c r="E239" s="1134" t="s">
        <v>927</v>
      </c>
      <c r="F239" s="1134"/>
      <c r="G239" s="1134"/>
      <c r="H239" s="1134"/>
      <c r="I239" s="2"/>
      <c r="J239" s="2"/>
      <c r="K239" s="2"/>
      <c r="L239" s="2"/>
      <c r="M239" s="2"/>
      <c r="N239" s="2"/>
      <c r="O239" s="2"/>
      <c r="P239" s="2"/>
      <c r="Q239" s="2"/>
      <c r="R239" s="2"/>
      <c r="S239" s="2"/>
      <c r="T239" s="2"/>
      <c r="U239" s="2"/>
      <c r="V239" s="2"/>
      <c r="W239" s="2"/>
      <c r="X239" s="2"/>
    </row>
    <row r="240" spans="1:24">
      <c r="A240" s="2"/>
      <c r="B240" s="278" t="s">
        <v>169</v>
      </c>
      <c r="C240" s="278" t="s">
        <v>166</v>
      </c>
      <c r="D240" s="278">
        <f>VLOOKUP(C240,METHODOLOGY!$C$175:$D$177,2,FALSE)</f>
        <v>3</v>
      </c>
      <c r="E240" s="1087" t="str">
        <f>_xlfn.XLOOKUP(C240,METHODOLOGY!$E$150:$O$150,METHODOLOGY!$E$151:$O$151,"",0,1)</f>
        <v>Monetary values have been peer reviewed or are recommended / referenced in other, well recognised and accepted guidance / tools relevant to the water sector.</v>
      </c>
      <c r="F240" s="1087"/>
      <c r="G240" s="1087"/>
      <c r="H240" s="1087"/>
      <c r="I240" s="2"/>
      <c r="J240" s="2"/>
      <c r="K240" s="2"/>
      <c r="L240" s="2"/>
      <c r="M240" s="2"/>
      <c r="N240" s="2"/>
      <c r="O240" s="2"/>
      <c r="P240" s="2"/>
      <c r="Q240" s="2"/>
      <c r="R240" s="2"/>
      <c r="S240" s="2"/>
      <c r="T240" s="2"/>
      <c r="U240" s="2"/>
      <c r="V240" s="2"/>
      <c r="W240" s="2"/>
      <c r="X240" s="2"/>
    </row>
    <row r="241" spans="2:24">
      <c r="B241" s="278" t="s">
        <v>173</v>
      </c>
      <c r="C241" s="278" t="s">
        <v>167</v>
      </c>
      <c r="D241" s="278">
        <f>VLOOKUP(C241,METHODOLOGY!$C$175:$D$177,2,FALSE)</f>
        <v>2</v>
      </c>
      <c r="E241" s="1087" t="str">
        <f>_xlfn.XLOOKUP(C241,METHODOLOGY!$E$150:$O$150,METHODOLOGY!$E$155:$O$155,"",0,1)</f>
        <v>Study has some limitations which may impact on the robustness of the value.</v>
      </c>
      <c r="F241" s="1087"/>
      <c r="G241" s="1087"/>
      <c r="H241" s="1087"/>
      <c r="I241" s="2"/>
      <c r="J241" s="2"/>
      <c r="K241" s="2"/>
      <c r="L241" s="2"/>
      <c r="M241" s="2"/>
      <c r="N241" s="2"/>
      <c r="O241" s="2"/>
      <c r="P241" s="2"/>
      <c r="Q241" s="2"/>
      <c r="R241" s="2"/>
      <c r="S241" s="2"/>
      <c r="T241" s="2"/>
      <c r="U241" s="2"/>
      <c r="V241" s="2"/>
      <c r="W241" s="2"/>
      <c r="X241" s="2"/>
    </row>
    <row r="242" spans="2:24">
      <c r="B242" s="278" t="s">
        <v>177</v>
      </c>
      <c r="C242" s="278" t="s">
        <v>166</v>
      </c>
      <c r="D242" s="278">
        <f>VLOOKUP(C242,METHODOLOGY!$C$175:$D$177,2,FALSE)</f>
        <v>3</v>
      </c>
      <c r="E242" s="1087" t="str">
        <f>_xlfn.XLOOKUP(C242,METHODOLOGY!$E$150:$O$150,METHODOLOGY!$E$158:$O$158,"",0,1)</f>
        <v>0 – 5 years</v>
      </c>
      <c r="F242" s="1087"/>
      <c r="G242" s="1087"/>
      <c r="H242" s="1087"/>
      <c r="I242" s="2"/>
      <c r="J242" s="2"/>
      <c r="K242" s="2"/>
      <c r="L242" s="2"/>
      <c r="M242" s="2"/>
      <c r="N242" s="2"/>
      <c r="O242" s="2"/>
      <c r="P242" s="2"/>
      <c r="Q242" s="2"/>
      <c r="R242" s="2"/>
      <c r="S242" s="2"/>
      <c r="T242" s="2"/>
      <c r="U242" s="2"/>
      <c r="V242" s="2"/>
      <c r="W242" s="2"/>
      <c r="X242" s="2"/>
    </row>
    <row r="243" spans="2:24">
      <c r="B243" s="278" t="s">
        <v>181</v>
      </c>
      <c r="C243" s="278" t="s">
        <v>166</v>
      </c>
      <c r="D243" s="278">
        <f>VLOOKUP(C243,METHODOLOGY!$C$175:$D$177,2,FALSE)</f>
        <v>3</v>
      </c>
      <c r="E243" s="1087" t="str">
        <f>_xlfn.XLOOKUP(C243,METHODOLOGY!$E$150:$O$150,METHODOLOGY!$E$160:$O$160,"",0,1)</f>
        <v>Geographically relevant to UK</v>
      </c>
      <c r="F243" s="1087"/>
      <c r="G243" s="1087"/>
      <c r="H243" s="1087"/>
      <c r="I243" s="2"/>
      <c r="J243" s="2"/>
      <c r="K243" s="2"/>
      <c r="L243" s="2"/>
      <c r="M243" s="2"/>
      <c r="N243" s="2"/>
      <c r="O243" s="2"/>
      <c r="P243" s="2"/>
      <c r="Q243" s="2"/>
      <c r="R243" s="2"/>
      <c r="S243" s="2"/>
      <c r="T243" s="2"/>
      <c r="U243" s="2"/>
      <c r="V243" s="2"/>
      <c r="W243" s="2"/>
      <c r="X243" s="2"/>
    </row>
    <row r="244" spans="2:24">
      <c r="B244" s="278" t="s">
        <v>928</v>
      </c>
      <c r="C244" s="278" t="s">
        <v>167</v>
      </c>
      <c r="D244" s="278">
        <f>VLOOKUP(C244,METHODOLOGY!$C$175:$D$177,2,FALSE)</f>
        <v>2</v>
      </c>
      <c r="E244" s="1087" t="str">
        <f>_xlfn.XLOOKUP(C244,METHODOLOGY!$E$150:$O$150,METHODOLOGY!$E$162:$O$162,"",0,1)</f>
        <v>Meta-analysis or limited understanding of what the value represents.</v>
      </c>
      <c r="F244" s="1087"/>
      <c r="G244" s="1087"/>
      <c r="H244" s="1087"/>
      <c r="I244" s="2"/>
      <c r="J244" s="2"/>
      <c r="K244" s="2"/>
      <c r="L244" s="2"/>
      <c r="M244" s="2"/>
      <c r="N244" s="2"/>
      <c r="O244" s="2"/>
      <c r="P244" s="2"/>
      <c r="Q244" s="2"/>
      <c r="R244" s="2"/>
      <c r="S244" s="2"/>
      <c r="T244" s="2"/>
      <c r="U244" s="2"/>
      <c r="V244" s="2"/>
      <c r="W244" s="2"/>
      <c r="X244" s="2"/>
    </row>
    <row r="245" spans="2:24">
      <c r="B245" s="278" t="s">
        <v>189</v>
      </c>
      <c r="C245" s="278" t="s">
        <v>167</v>
      </c>
      <c r="D245" s="278">
        <f>VLOOKUP(C245,METHODOLOGY!$C$175:$D$177,2,FALSE)</f>
        <v>2</v>
      </c>
      <c r="E245" s="1087" t="str">
        <f>_xlfn.XLOOKUP(C245,METHODOLOGY!$E$150:$O$150,METHODOLOGY!$E$164:$O$164,"",0,1)</f>
        <v xml:space="preserve">The original valuation can be used with some modification e.g. applying household numbers. The calculation is simple or introduces low levels of uncertainty. </v>
      </c>
      <c r="F245" s="1087"/>
      <c r="G245" s="1087"/>
      <c r="H245" s="1087"/>
      <c r="I245" s="2"/>
      <c r="J245" s="2"/>
      <c r="K245" s="2"/>
      <c r="L245" s="2"/>
      <c r="M245" s="2"/>
      <c r="N245" s="2"/>
      <c r="O245" s="2"/>
      <c r="P245" s="2"/>
      <c r="Q245" s="2"/>
      <c r="R245" s="2"/>
      <c r="S245" s="2"/>
      <c r="T245" s="2"/>
      <c r="U245" s="2"/>
      <c r="V245" s="2"/>
      <c r="W245" s="2"/>
      <c r="X245" s="2"/>
    </row>
    <row r="246" spans="2:24">
      <c r="B246" s="2"/>
      <c r="C246" s="282" t="s">
        <v>924</v>
      </c>
      <c r="D246" s="326">
        <f>IF(AND(D245=1,AVERAGE(D240:D245)&gt;2.14285714285714),2.14285714285714,IF(AND(D245=2,AVERAGE(D240:D245)&gt;2.57142857142857),2.57142857142857,AVERAGE(D240:D245)))</f>
        <v>2.5</v>
      </c>
      <c r="E246" s="270" t="str">
        <f>IF(D246&lt;=2.14285714285714,"Red",IF(D246&lt;=2.57142857142857,"Amber",IF(D246&lt;=3,"Green")))</f>
        <v>Amber</v>
      </c>
      <c r="F246" s="2"/>
      <c r="G246" s="2"/>
      <c r="H246" s="2"/>
      <c r="I246" s="2"/>
      <c r="J246" s="2"/>
      <c r="K246" s="2"/>
      <c r="L246" s="2"/>
      <c r="M246" s="2"/>
      <c r="N246" s="2"/>
      <c r="O246" s="2"/>
      <c r="P246" s="2"/>
      <c r="Q246" s="2"/>
      <c r="R246" s="2"/>
      <c r="S246" s="2"/>
      <c r="T246" s="2"/>
      <c r="U246" s="2"/>
      <c r="V246" s="2"/>
      <c r="W246" s="2"/>
      <c r="X246" s="2"/>
    </row>
    <row r="248" spans="2:24" s="240" customFormat="1">
      <c r="B248" s="14" t="s">
        <v>929</v>
      </c>
      <c r="C248" s="17"/>
      <c r="D248" s="17"/>
      <c r="E248" s="17"/>
      <c r="F248" s="17"/>
      <c r="G248" s="17"/>
      <c r="H248" s="17"/>
      <c r="I248" s="17"/>
      <c r="J248" s="17"/>
      <c r="K248" s="17"/>
      <c r="L248" s="17"/>
      <c r="M248" s="17"/>
      <c r="N248" s="17"/>
      <c r="O248" s="17"/>
      <c r="P248" s="17"/>
      <c r="Q248" s="17"/>
      <c r="R248" s="17"/>
      <c r="S248" s="17"/>
      <c r="T248" s="17"/>
      <c r="U248" s="17"/>
      <c r="V248" s="17"/>
      <c r="W248" s="17"/>
      <c r="X248" s="17"/>
    </row>
    <row r="249" spans="2:24">
      <c r="B249" s="16"/>
      <c r="C249" s="2"/>
      <c r="D249" s="2"/>
      <c r="E249" s="2"/>
      <c r="F249" s="2"/>
      <c r="G249" s="2"/>
      <c r="H249" s="2"/>
      <c r="I249" s="2"/>
      <c r="J249" s="2"/>
      <c r="K249" s="2"/>
      <c r="L249" s="2"/>
      <c r="M249" s="2"/>
      <c r="N249" s="2"/>
      <c r="O249" s="2"/>
      <c r="P249" s="2"/>
      <c r="Q249" s="2"/>
      <c r="R249" s="2"/>
      <c r="S249" s="2"/>
      <c r="T249" s="2"/>
      <c r="U249" s="2"/>
      <c r="V249" s="2"/>
      <c r="W249" s="2"/>
      <c r="X249" s="2"/>
    </row>
    <row r="250" spans="2:24">
      <c r="B250" s="277" t="s">
        <v>913</v>
      </c>
      <c r="C250" s="277" t="s">
        <v>1089</v>
      </c>
      <c r="D250" s="277" t="s">
        <v>902</v>
      </c>
      <c r="E250" s="277" t="s">
        <v>331</v>
      </c>
      <c r="F250" s="277" t="s">
        <v>226</v>
      </c>
      <c r="G250" s="1157" t="s">
        <v>930</v>
      </c>
      <c r="H250" s="1157"/>
      <c r="I250" s="1157"/>
      <c r="J250" s="1157"/>
      <c r="K250" s="1157"/>
      <c r="L250" s="1157"/>
      <c r="M250" s="2"/>
      <c r="N250" s="2"/>
      <c r="O250" s="2"/>
      <c r="P250" s="2"/>
      <c r="Q250" s="2"/>
      <c r="R250" s="2"/>
      <c r="S250" s="2"/>
      <c r="T250" s="2"/>
      <c r="U250" s="2"/>
      <c r="V250" s="2"/>
      <c r="W250" s="2"/>
      <c r="X250" s="2"/>
    </row>
    <row r="251" spans="2:24">
      <c r="B251" s="278">
        <v>64</v>
      </c>
      <c r="C251" s="278" t="s">
        <v>465</v>
      </c>
      <c r="D251" s="278" t="s">
        <v>142</v>
      </c>
      <c r="E251" s="278">
        <v>1878</v>
      </c>
      <c r="F251" s="394" t="s">
        <v>1417</v>
      </c>
      <c r="G251" s="1158" t="s">
        <v>1418</v>
      </c>
      <c r="H251" s="1095"/>
      <c r="I251" s="1095"/>
      <c r="J251" s="1095"/>
      <c r="K251" s="1095"/>
      <c r="L251" s="1095"/>
      <c r="M251" s="2"/>
      <c r="N251" s="2"/>
      <c r="O251" s="2"/>
      <c r="P251" s="2"/>
      <c r="Q251" s="2"/>
      <c r="R251" s="2"/>
      <c r="S251" s="2"/>
      <c r="T251" s="2"/>
      <c r="U251" s="2"/>
      <c r="V251" s="2"/>
      <c r="W251" s="2"/>
      <c r="X251" s="2"/>
    </row>
    <row r="252" spans="2:24" ht="15" customHeight="1">
      <c r="B252" s="278">
        <v>64</v>
      </c>
      <c r="C252" s="278" t="s">
        <v>465</v>
      </c>
      <c r="D252" s="278" t="s">
        <v>145</v>
      </c>
      <c r="E252" s="278">
        <v>1878</v>
      </c>
      <c r="F252" s="394" t="s">
        <v>1417</v>
      </c>
      <c r="G252" s="1095"/>
      <c r="H252" s="1095"/>
      <c r="I252" s="1095"/>
      <c r="J252" s="1095"/>
      <c r="K252" s="1095"/>
      <c r="L252" s="1095"/>
      <c r="M252" s="2"/>
      <c r="N252" s="2"/>
      <c r="O252" s="2"/>
      <c r="P252" s="2"/>
      <c r="Q252" s="2"/>
      <c r="R252" s="2"/>
      <c r="S252" s="2"/>
      <c r="T252" s="2"/>
      <c r="U252" s="2"/>
      <c r="V252" s="2"/>
      <c r="W252" s="2"/>
      <c r="X252" s="2"/>
    </row>
    <row r="253" spans="2:24">
      <c r="B253" s="278">
        <v>64</v>
      </c>
      <c r="C253" s="278" t="s">
        <v>465</v>
      </c>
      <c r="D253" s="278" t="s">
        <v>142</v>
      </c>
      <c r="E253" s="278">
        <v>1.85</v>
      </c>
      <c r="F253" s="278" t="s">
        <v>1419</v>
      </c>
      <c r="G253" s="1095"/>
      <c r="H253" s="1095"/>
      <c r="I253" s="1095"/>
      <c r="J253" s="1095"/>
      <c r="K253" s="1095"/>
      <c r="L253" s="1095"/>
      <c r="M253" s="2"/>
      <c r="N253" s="2"/>
      <c r="O253" s="2"/>
      <c r="P253" s="2"/>
      <c r="Q253" s="2"/>
      <c r="R253" s="2"/>
      <c r="S253" s="2"/>
      <c r="T253" s="2"/>
      <c r="U253" s="2"/>
      <c r="V253" s="2"/>
      <c r="W253" s="2"/>
      <c r="X253" s="2"/>
    </row>
    <row r="254" spans="2:24" ht="15" customHeight="1">
      <c r="B254" s="278">
        <v>64</v>
      </c>
      <c r="C254" s="278" t="s">
        <v>465</v>
      </c>
      <c r="D254" s="278" t="s">
        <v>145</v>
      </c>
      <c r="E254" s="278">
        <v>1.85</v>
      </c>
      <c r="F254" s="278" t="s">
        <v>1419</v>
      </c>
      <c r="G254" s="1095"/>
      <c r="H254" s="1095"/>
      <c r="I254" s="1095"/>
      <c r="J254" s="1095"/>
      <c r="K254" s="1095"/>
      <c r="L254" s="1095"/>
      <c r="M254" s="2"/>
      <c r="N254" s="2"/>
      <c r="O254" s="2"/>
      <c r="P254" s="2"/>
      <c r="Q254" s="2"/>
      <c r="R254" s="2"/>
      <c r="S254" s="2"/>
      <c r="T254" s="2"/>
      <c r="U254" s="2"/>
      <c r="V254" s="2"/>
      <c r="W254" s="2"/>
      <c r="X254" s="2"/>
    </row>
    <row r="255" spans="2:24" ht="15" customHeight="1">
      <c r="B255" s="1246">
        <v>65</v>
      </c>
      <c r="C255" s="1190" t="s">
        <v>465</v>
      </c>
      <c r="D255" s="278" t="s">
        <v>142</v>
      </c>
      <c r="E255" s="415">
        <v>21754</v>
      </c>
      <c r="F255" s="278" t="s">
        <v>1447</v>
      </c>
      <c r="G255" s="1158" t="s">
        <v>1448</v>
      </c>
      <c r="H255" s="1095"/>
      <c r="I255" s="1095"/>
      <c r="J255" s="1095"/>
      <c r="K255" s="1095"/>
      <c r="L255" s="1095"/>
      <c r="M255" s="2"/>
      <c r="N255" s="2"/>
      <c r="O255" s="2"/>
      <c r="P255" s="2"/>
      <c r="Q255" s="2"/>
      <c r="R255" s="2"/>
      <c r="S255" s="2"/>
      <c r="T255" s="2"/>
      <c r="U255" s="2"/>
      <c r="V255" s="2"/>
      <c r="W255" s="2"/>
      <c r="X255" s="2"/>
    </row>
    <row r="256" spans="2:24" ht="15" customHeight="1">
      <c r="B256" s="1246"/>
      <c r="C256" s="1190"/>
      <c r="D256" s="278" t="s">
        <v>145</v>
      </c>
      <c r="E256" s="415">
        <v>166549</v>
      </c>
      <c r="F256" s="278" t="s">
        <v>1447</v>
      </c>
      <c r="G256" s="1095"/>
      <c r="H256" s="1095"/>
      <c r="I256" s="1095"/>
      <c r="J256" s="1095"/>
      <c r="K256" s="1095"/>
      <c r="L256" s="1095"/>
      <c r="M256" s="2"/>
      <c r="N256" s="2"/>
      <c r="O256" s="2"/>
      <c r="P256" s="2"/>
      <c r="Q256" s="2"/>
      <c r="R256" s="2"/>
      <c r="S256" s="2"/>
      <c r="T256" s="2"/>
      <c r="U256" s="2"/>
      <c r="V256" s="2"/>
      <c r="W256" s="2"/>
      <c r="X256" s="2"/>
    </row>
    <row r="258" spans="2:12" ht="15" customHeight="1">
      <c r="B258" s="2"/>
      <c r="C258" s="2"/>
      <c r="D258" s="2"/>
      <c r="E258" s="2"/>
      <c r="F258" s="2"/>
      <c r="G258" s="24"/>
      <c r="H258" s="24"/>
      <c r="I258" s="24"/>
      <c r="J258" s="24"/>
      <c r="K258" s="24"/>
      <c r="L258" s="24"/>
    </row>
    <row r="259" spans="2:12" ht="15" customHeight="1">
      <c r="B259" s="2"/>
      <c r="C259" s="2"/>
      <c r="D259" s="2"/>
      <c r="E259" s="2"/>
      <c r="F259" s="2"/>
      <c r="G259" s="24"/>
      <c r="H259" s="24"/>
      <c r="I259" s="24"/>
      <c r="J259" s="24"/>
      <c r="K259" s="24"/>
      <c r="L259" s="24"/>
    </row>
    <row r="260" spans="2:12" ht="15" customHeight="1">
      <c r="B260" s="2"/>
      <c r="C260" s="2"/>
      <c r="D260" s="2"/>
      <c r="E260" s="2"/>
      <c r="F260" s="2"/>
      <c r="G260" s="24"/>
      <c r="H260" s="24"/>
      <c r="I260" s="24"/>
      <c r="J260" s="24"/>
      <c r="K260" s="24"/>
      <c r="L260" s="24"/>
    </row>
    <row r="262" spans="2:12" ht="15" customHeight="1">
      <c r="B262" s="2"/>
      <c r="C262" s="2"/>
      <c r="D262" s="2"/>
      <c r="E262" s="2"/>
      <c r="F262" s="2"/>
      <c r="G262" s="24"/>
      <c r="H262" s="24"/>
      <c r="I262" s="24"/>
      <c r="J262" s="24"/>
      <c r="K262" s="24"/>
      <c r="L262" s="24"/>
    </row>
    <row r="263" spans="2:12" ht="15" customHeight="1">
      <c r="B263" s="2"/>
      <c r="C263" s="2"/>
      <c r="D263" s="2"/>
      <c r="E263" s="2"/>
      <c r="F263" s="2"/>
      <c r="G263" s="24"/>
      <c r="H263" s="24"/>
      <c r="I263" s="24"/>
      <c r="J263" s="24"/>
      <c r="K263" s="24"/>
      <c r="L263" s="24"/>
    </row>
    <row r="264" spans="2:12" ht="15" customHeight="1">
      <c r="B264" s="2"/>
      <c r="C264" s="2"/>
      <c r="D264" s="2"/>
      <c r="E264" s="2"/>
      <c r="F264" s="2"/>
      <c r="G264" s="24"/>
      <c r="H264" s="24"/>
      <c r="I264" s="24"/>
      <c r="J264" s="24"/>
      <c r="K264" s="24"/>
      <c r="L264" s="24"/>
    </row>
    <row r="266" spans="2:12" ht="15" customHeight="1">
      <c r="B266" s="2"/>
      <c r="C266" s="2"/>
      <c r="D266" s="2"/>
      <c r="E266" s="2"/>
      <c r="F266" s="2"/>
      <c r="G266" s="24"/>
      <c r="H266" s="24"/>
      <c r="I266" s="24"/>
      <c r="J266" s="24"/>
      <c r="K266" s="24"/>
      <c r="L266" s="24"/>
    </row>
    <row r="267" spans="2:12" ht="15" customHeight="1">
      <c r="B267" s="2"/>
      <c r="C267" s="2"/>
      <c r="D267" s="2"/>
      <c r="E267" s="2"/>
      <c r="F267" s="2"/>
      <c r="G267" s="24"/>
      <c r="H267" s="24"/>
      <c r="I267" s="24"/>
      <c r="J267" s="24"/>
      <c r="K267" s="24"/>
      <c r="L267" s="24"/>
    </row>
    <row r="268" spans="2:12" ht="15" customHeight="1">
      <c r="B268" s="2"/>
      <c r="C268" s="2"/>
      <c r="D268" s="2"/>
      <c r="E268" s="2"/>
      <c r="F268" s="2"/>
      <c r="G268" s="24"/>
      <c r="H268" s="24"/>
      <c r="I268" s="24"/>
      <c r="J268" s="24"/>
      <c r="K268" s="24"/>
      <c r="L268" s="24"/>
    </row>
    <row r="270" spans="2:12" ht="15" customHeight="1">
      <c r="B270" s="2"/>
      <c r="C270" s="2"/>
      <c r="D270" s="2"/>
      <c r="E270" s="2"/>
      <c r="F270" s="2"/>
      <c r="G270" s="24"/>
      <c r="H270" s="24"/>
      <c r="I270" s="24"/>
      <c r="J270" s="24"/>
      <c r="K270" s="24"/>
      <c r="L270" s="24"/>
    </row>
    <row r="271" spans="2:12" ht="15" customHeight="1">
      <c r="B271" s="2"/>
      <c r="C271" s="2"/>
      <c r="D271" s="2"/>
      <c r="E271" s="2"/>
      <c r="F271" s="2"/>
      <c r="G271" s="24"/>
      <c r="H271" s="24"/>
      <c r="I271" s="24"/>
      <c r="J271" s="24"/>
      <c r="K271" s="24"/>
      <c r="L271" s="24"/>
    </row>
    <row r="272" spans="2:12" ht="15" customHeight="1">
      <c r="B272" s="2"/>
      <c r="C272" s="2"/>
      <c r="D272" s="2"/>
      <c r="E272" s="2"/>
      <c r="F272" s="2"/>
      <c r="G272" s="24"/>
      <c r="H272" s="24"/>
      <c r="I272" s="24"/>
      <c r="J272" s="24"/>
      <c r="K272" s="24"/>
      <c r="L272" s="24"/>
    </row>
    <row r="277" spans="1:23" ht="15" customHeight="1">
      <c r="A277" s="2"/>
      <c r="B277" s="2"/>
      <c r="C277" s="2"/>
      <c r="D277" s="2"/>
      <c r="E277" s="2"/>
      <c r="F277" s="2"/>
      <c r="G277" s="24"/>
      <c r="H277" s="24"/>
      <c r="I277" s="24"/>
      <c r="J277" s="24"/>
      <c r="K277" s="24"/>
      <c r="L277" s="24"/>
      <c r="M277" s="2"/>
      <c r="N277" s="2"/>
      <c r="O277" s="2"/>
      <c r="P277" s="2"/>
      <c r="Q277" s="2"/>
      <c r="R277" s="2"/>
      <c r="S277" s="2"/>
      <c r="T277" s="2"/>
      <c r="U277" s="2"/>
      <c r="V277" s="2"/>
      <c r="W277" s="2"/>
    </row>
    <row r="278" spans="1:23" ht="15" customHeight="1">
      <c r="A278" s="2"/>
      <c r="B278" s="2"/>
      <c r="C278" s="2"/>
      <c r="D278" s="2"/>
      <c r="E278" s="2"/>
      <c r="F278" s="2"/>
      <c r="G278" s="24"/>
      <c r="H278" s="24"/>
      <c r="I278" s="24"/>
      <c r="J278" s="24"/>
      <c r="K278" s="24"/>
      <c r="L278" s="24"/>
      <c r="M278" s="2"/>
      <c r="N278" s="2"/>
      <c r="O278" s="2"/>
      <c r="P278" s="2"/>
      <c r="Q278" s="2"/>
      <c r="R278" s="2"/>
      <c r="S278" s="2"/>
      <c r="T278" s="2"/>
      <c r="U278" s="2"/>
      <c r="V278" s="2"/>
      <c r="W278" s="2"/>
    </row>
    <row r="279" spans="1:23" ht="15" customHeight="1">
      <c r="A279" s="2"/>
      <c r="B279" s="2"/>
      <c r="C279" s="2"/>
      <c r="D279" s="2"/>
      <c r="E279" s="2"/>
      <c r="F279" s="2"/>
      <c r="G279" s="24"/>
      <c r="H279" s="24"/>
      <c r="I279" s="24"/>
      <c r="J279" s="24"/>
      <c r="K279" s="24"/>
      <c r="L279" s="24"/>
      <c r="M279" s="2"/>
      <c r="N279" s="2"/>
      <c r="O279" s="2"/>
      <c r="P279" s="2"/>
      <c r="Q279" s="2"/>
      <c r="R279" s="2"/>
      <c r="S279" s="2"/>
      <c r="T279" s="2"/>
      <c r="U279" s="2"/>
      <c r="V279" s="2"/>
      <c r="W279" s="2"/>
    </row>
    <row r="280" spans="1:23" ht="15" customHeight="1">
      <c r="A280" s="2"/>
      <c r="B280" s="2"/>
      <c r="C280" s="2"/>
      <c r="D280" s="2"/>
      <c r="E280" s="2"/>
      <c r="F280" s="2"/>
      <c r="G280" s="24"/>
      <c r="H280" s="24"/>
      <c r="I280" s="24"/>
      <c r="J280" s="24"/>
      <c r="K280" s="24"/>
      <c r="L280" s="24"/>
      <c r="M280" s="2"/>
      <c r="N280" s="2"/>
      <c r="O280" s="2"/>
      <c r="P280" s="2"/>
      <c r="Q280" s="2"/>
      <c r="R280" s="2"/>
      <c r="S280" s="2"/>
      <c r="T280" s="2"/>
      <c r="U280" s="2"/>
      <c r="V280" s="2"/>
      <c r="W280" s="2"/>
    </row>
    <row r="282" spans="1:23" ht="15" customHeight="1">
      <c r="A282" s="2"/>
      <c r="B282" s="2"/>
      <c r="C282" s="2"/>
      <c r="D282" s="2"/>
      <c r="E282" s="2"/>
      <c r="F282" s="2"/>
      <c r="G282" s="24"/>
      <c r="H282" s="24"/>
      <c r="I282" s="24"/>
      <c r="J282" s="24"/>
      <c r="K282" s="24"/>
      <c r="L282" s="24"/>
      <c r="M282" s="2"/>
      <c r="N282" s="2"/>
      <c r="O282" s="2"/>
      <c r="P282" s="2"/>
      <c r="Q282" s="2"/>
      <c r="R282" s="2"/>
      <c r="S282" s="2"/>
      <c r="T282" s="2"/>
      <c r="U282" s="2"/>
      <c r="V282" s="2"/>
      <c r="W282" s="2"/>
    </row>
    <row r="283" spans="1:23">
      <c r="A283" s="725"/>
      <c r="B283" s="726" t="s">
        <v>936</v>
      </c>
      <c r="C283" s="725"/>
      <c r="D283" s="725"/>
      <c r="E283" s="725"/>
      <c r="F283" s="725"/>
      <c r="G283" s="725"/>
      <c r="H283" s="725"/>
      <c r="I283" s="2"/>
      <c r="J283" s="2"/>
      <c r="K283" s="2"/>
      <c r="L283" s="2"/>
      <c r="M283" s="2"/>
      <c r="N283" s="2"/>
      <c r="O283" s="2"/>
      <c r="P283" s="2"/>
      <c r="Q283" s="2"/>
      <c r="R283" s="2"/>
      <c r="S283" s="2"/>
      <c r="T283" s="2"/>
      <c r="U283" s="2"/>
      <c r="V283" s="2"/>
      <c r="W283" s="2"/>
    </row>
    <row r="284" spans="1:23">
      <c r="A284" s="2"/>
      <c r="B284" s="298" t="s">
        <v>1339</v>
      </c>
      <c r="C284" s="298" t="s">
        <v>1174</v>
      </c>
      <c r="D284" s="1179" t="s">
        <v>1420</v>
      </c>
      <c r="E284" s="1179"/>
      <c r="F284" s="1179"/>
      <c r="G284" s="1179"/>
      <c r="H284" s="1179"/>
      <c r="I284" s="2"/>
      <c r="J284" s="2"/>
      <c r="K284" s="2"/>
      <c r="L284" s="2"/>
      <c r="M284" s="2"/>
      <c r="N284" s="2"/>
      <c r="O284" s="2"/>
      <c r="P284" s="2"/>
      <c r="Q284" s="2"/>
      <c r="R284" s="2"/>
      <c r="S284" s="2"/>
      <c r="T284" s="2"/>
      <c r="U284" s="2"/>
      <c r="V284" s="2"/>
      <c r="W284" s="2"/>
    </row>
    <row r="285" spans="1:23" ht="33" customHeight="1">
      <c r="A285" s="2"/>
      <c r="B285" s="334" t="s">
        <v>1449</v>
      </c>
      <c r="C285" s="461">
        <f>'14'!C275</f>
        <v>3474.3</v>
      </c>
      <c r="D285" s="1095" t="s">
        <v>1450</v>
      </c>
      <c r="E285" s="1095"/>
      <c r="F285" s="1095"/>
      <c r="G285" s="1095"/>
      <c r="H285" s="1095"/>
      <c r="I285" s="24"/>
      <c r="J285" s="24"/>
      <c r="K285" s="24"/>
      <c r="L285" s="24"/>
      <c r="M285" s="2"/>
      <c r="N285" s="2"/>
      <c r="O285" s="2"/>
      <c r="P285" s="2"/>
      <c r="Q285" s="2"/>
      <c r="R285" s="2"/>
      <c r="S285" s="2"/>
      <c r="T285" s="2"/>
      <c r="U285" s="2"/>
      <c r="V285" s="2"/>
      <c r="W285" s="2"/>
    </row>
    <row r="286" spans="1:23" ht="33" customHeight="1">
      <c r="A286" s="2"/>
      <c r="B286" s="334" t="s">
        <v>1451</v>
      </c>
      <c r="C286" s="461">
        <f>21754/166549*C285</f>
        <v>453.7999159406541</v>
      </c>
      <c r="D286" s="1095"/>
      <c r="E286" s="1095"/>
      <c r="F286" s="1095"/>
      <c r="G286" s="1095"/>
      <c r="H286" s="1095"/>
      <c r="I286" s="2"/>
      <c r="J286" s="2"/>
      <c r="K286" s="2"/>
      <c r="L286" s="2"/>
      <c r="M286" s="2"/>
      <c r="N286" s="2"/>
      <c r="O286" s="2"/>
      <c r="P286" s="2"/>
      <c r="Q286" s="2"/>
      <c r="R286" s="2"/>
      <c r="S286" s="2"/>
      <c r="T286" s="2"/>
      <c r="U286" s="2"/>
      <c r="V286" s="2"/>
      <c r="W286" s="2"/>
    </row>
    <row r="287" spans="1:23" ht="33" customHeight="1">
      <c r="A287" s="2"/>
      <c r="B287" s="334" t="s">
        <v>1425</v>
      </c>
      <c r="C287" s="462">
        <f>E121/E122</f>
        <v>1.179245283018868</v>
      </c>
      <c r="D287" s="1095"/>
      <c r="E287" s="1095"/>
      <c r="F287" s="1095"/>
      <c r="G287" s="1095"/>
      <c r="H287" s="1095"/>
      <c r="I287" s="2"/>
      <c r="J287" s="2"/>
      <c r="K287" s="2"/>
      <c r="L287" s="2"/>
      <c r="M287" s="2"/>
      <c r="N287" s="2"/>
      <c r="O287" s="2"/>
      <c r="P287" s="2"/>
      <c r="Q287" s="2"/>
      <c r="R287" s="2"/>
      <c r="S287" s="2"/>
      <c r="T287" s="2"/>
      <c r="U287" s="2"/>
      <c r="V287" s="2"/>
      <c r="W287" s="2"/>
    </row>
    <row r="288" spans="1:23" ht="33" customHeight="1">
      <c r="A288" s="2"/>
      <c r="B288" s="334" t="s">
        <v>1452</v>
      </c>
      <c r="C288" s="435">
        <f>C286*C287</f>
        <v>535.14141030737517</v>
      </c>
      <c r="D288" s="1095"/>
      <c r="E288" s="1095"/>
      <c r="F288" s="1095"/>
      <c r="G288" s="1095"/>
      <c r="H288" s="1095"/>
      <c r="I288" s="2"/>
      <c r="J288" s="2"/>
      <c r="K288" s="2"/>
      <c r="L288" s="2"/>
      <c r="M288" s="2"/>
      <c r="N288" s="2"/>
      <c r="O288" s="2"/>
      <c r="P288" s="2"/>
      <c r="Q288" s="2"/>
      <c r="R288" s="2"/>
      <c r="S288" s="2"/>
      <c r="T288" s="2"/>
      <c r="U288" s="2"/>
      <c r="V288" s="2"/>
      <c r="W288" s="2"/>
    </row>
    <row r="290" spans="1:23">
      <c r="A290" s="727"/>
      <c r="B290" s="728" t="s">
        <v>901</v>
      </c>
      <c r="C290" s="727"/>
      <c r="D290" s="727"/>
      <c r="E290" s="727"/>
      <c r="F290" s="727"/>
      <c r="G290" s="727"/>
      <c r="H290" s="727"/>
      <c r="I290" s="2"/>
      <c r="J290" s="2"/>
      <c r="K290" s="2"/>
      <c r="L290" s="2"/>
      <c r="M290" s="2"/>
      <c r="N290" s="2"/>
      <c r="O290" s="2"/>
      <c r="P290" s="2"/>
      <c r="Q290" s="2"/>
      <c r="R290" s="2"/>
      <c r="S290" s="2"/>
      <c r="T290" s="2"/>
      <c r="U290" s="2"/>
      <c r="V290" s="2"/>
      <c r="W290" s="2"/>
    </row>
    <row r="291" spans="1:23" ht="29.1">
      <c r="A291" s="2"/>
      <c r="B291" s="522" t="s">
        <v>902</v>
      </c>
      <c r="C291" s="522" t="s">
        <v>898</v>
      </c>
      <c r="D291" s="522" t="s">
        <v>899</v>
      </c>
      <c r="E291" s="719" t="s">
        <v>903</v>
      </c>
      <c r="F291" s="522" t="s">
        <v>904</v>
      </c>
      <c r="G291" s="522" t="s">
        <v>905</v>
      </c>
      <c r="H291" s="522" t="s">
        <v>924</v>
      </c>
      <c r="I291" s="522" t="s">
        <v>956</v>
      </c>
      <c r="J291" s="522" t="s">
        <v>927</v>
      </c>
      <c r="K291" s="2"/>
      <c r="L291" s="2"/>
      <c r="M291" s="2"/>
      <c r="N291" s="2"/>
      <c r="O291" s="2"/>
      <c r="P291" s="2"/>
      <c r="Q291" s="2"/>
      <c r="R291" s="2"/>
      <c r="S291" s="2"/>
      <c r="T291" s="2"/>
      <c r="U291" s="2"/>
      <c r="V291" s="2"/>
      <c r="W291" s="2"/>
    </row>
    <row r="292" spans="1:23">
      <c r="A292" s="2"/>
      <c r="B292" s="279" t="s">
        <v>142</v>
      </c>
      <c r="C292" s="278" t="s">
        <v>465</v>
      </c>
      <c r="D292" s="299" t="s">
        <v>989</v>
      </c>
      <c r="E292" s="464" t="s">
        <v>1427</v>
      </c>
      <c r="F292" s="278" t="str" cm="1">
        <f t="array" ref="F292">_xlfn.XLOOKUP(1,(D301:D302=B292)*(E301:E302=C292),B301:B302,"Not found",0,1)</f>
        <v>15-09</v>
      </c>
      <c r="G292" s="306">
        <f>VLOOKUP(F292,B301:L303,11,FALSE)</f>
        <v>602.70934708053244</v>
      </c>
      <c r="H292" s="326">
        <f>D246</f>
        <v>2.5</v>
      </c>
      <c r="I292" s="644" t="s">
        <v>1343</v>
      </c>
      <c r="J292" s="362"/>
      <c r="K292" s="2"/>
      <c r="L292" s="2"/>
      <c r="M292" s="2"/>
      <c r="N292" s="2"/>
      <c r="O292" s="2"/>
      <c r="P292" s="2"/>
      <c r="Q292" s="2"/>
      <c r="R292" s="2"/>
      <c r="S292" s="2"/>
      <c r="T292" s="2"/>
      <c r="U292" s="2"/>
      <c r="V292" s="2"/>
      <c r="W292" s="2"/>
    </row>
    <row r="293" spans="1:23">
      <c r="A293" s="2"/>
      <c r="B293" s="278" t="s">
        <v>143</v>
      </c>
      <c r="C293" s="278" t="s">
        <v>465</v>
      </c>
      <c r="D293" s="299" t="s">
        <v>989</v>
      </c>
      <c r="E293" s="639" t="s">
        <v>906</v>
      </c>
      <c r="F293" s="279" t="s">
        <v>907</v>
      </c>
      <c r="G293" s="306" t="s">
        <v>477</v>
      </c>
      <c r="H293" s="644" t="s">
        <v>907</v>
      </c>
      <c r="I293" s="644" t="s">
        <v>907</v>
      </c>
      <c r="J293" s="644" t="s">
        <v>907</v>
      </c>
      <c r="K293" s="2"/>
      <c r="L293" s="2"/>
      <c r="M293" s="2"/>
      <c r="N293" s="2"/>
      <c r="O293" s="2"/>
      <c r="P293" s="2"/>
      <c r="Q293" s="2"/>
      <c r="R293" s="2"/>
      <c r="S293" s="2"/>
      <c r="T293" s="2"/>
      <c r="U293" s="2"/>
      <c r="V293" s="2"/>
      <c r="W293" s="2"/>
    </row>
    <row r="294" spans="1:23">
      <c r="A294" s="2"/>
      <c r="B294" s="278" t="s">
        <v>144</v>
      </c>
      <c r="C294" s="278" t="s">
        <v>465</v>
      </c>
      <c r="D294" s="299" t="s">
        <v>989</v>
      </c>
      <c r="E294" s="639" t="s">
        <v>906</v>
      </c>
      <c r="F294" s="279" t="s">
        <v>907</v>
      </c>
      <c r="G294" s="306" t="s">
        <v>477</v>
      </c>
      <c r="H294" s="644" t="s">
        <v>907</v>
      </c>
      <c r="I294" s="644" t="s">
        <v>907</v>
      </c>
      <c r="J294" s="644" t="s">
        <v>907</v>
      </c>
      <c r="K294" s="2"/>
      <c r="L294" s="2"/>
      <c r="M294" s="2"/>
      <c r="N294" s="2"/>
      <c r="O294" s="2"/>
      <c r="P294" s="2"/>
      <c r="Q294" s="2"/>
      <c r="R294" s="2"/>
      <c r="S294" s="2"/>
      <c r="T294" s="2"/>
      <c r="U294" s="2"/>
      <c r="V294" s="2"/>
      <c r="W294" s="2"/>
    </row>
    <row r="295" spans="1:23">
      <c r="A295" s="2"/>
      <c r="B295" s="278" t="s">
        <v>145</v>
      </c>
      <c r="C295" s="278" t="s">
        <v>465</v>
      </c>
      <c r="D295" s="299" t="s">
        <v>989</v>
      </c>
      <c r="E295" s="464" t="s">
        <v>1427</v>
      </c>
      <c r="F295" s="278" t="str" cm="1">
        <f t="array" ref="F295">_xlfn.XLOOKUP(1,(D301:D302=B295)*(E301:E302=C295),B301:B302,"Not found",0,1)</f>
        <v>15-10</v>
      </c>
      <c r="G295" s="306">
        <f>VLOOKUP(F295,B300:L302,11,FALSE)</f>
        <v>511.09752632429149</v>
      </c>
      <c r="H295" s="326">
        <f>D246</f>
        <v>2.5</v>
      </c>
      <c r="I295" s="644" t="s">
        <v>1343</v>
      </c>
      <c r="J295" s="362"/>
      <c r="K295" s="2"/>
      <c r="L295" s="2"/>
      <c r="M295" s="2"/>
      <c r="N295" s="2"/>
      <c r="O295" s="2"/>
      <c r="P295" s="2"/>
      <c r="Q295" s="2"/>
      <c r="R295" s="2"/>
      <c r="S295" s="2"/>
      <c r="T295" s="2"/>
      <c r="U295" s="2"/>
      <c r="V295" s="2"/>
      <c r="W295" s="2"/>
    </row>
    <row r="296" spans="1:23">
      <c r="A296" s="2"/>
      <c r="B296" s="278" t="s">
        <v>146</v>
      </c>
      <c r="C296" s="278" t="s">
        <v>465</v>
      </c>
      <c r="D296" s="299" t="s">
        <v>989</v>
      </c>
      <c r="E296" s="639" t="s">
        <v>906</v>
      </c>
      <c r="F296" s="279" t="s">
        <v>907</v>
      </c>
      <c r="G296" s="306" t="s">
        <v>477</v>
      </c>
      <c r="H296" s="638" t="s">
        <v>907</v>
      </c>
      <c r="I296" s="638" t="s">
        <v>907</v>
      </c>
      <c r="J296" s="638" t="s">
        <v>907</v>
      </c>
      <c r="K296" s="2"/>
      <c r="L296" s="2"/>
      <c r="M296" s="2"/>
      <c r="N296" s="2"/>
      <c r="O296" s="2"/>
      <c r="P296" s="2"/>
      <c r="Q296" s="2"/>
      <c r="R296" s="2"/>
      <c r="S296" s="2"/>
      <c r="T296" s="2"/>
      <c r="U296" s="2"/>
      <c r="V296" s="2"/>
      <c r="W296" s="2"/>
    </row>
    <row r="297" spans="1:23">
      <c r="A297" s="2"/>
      <c r="B297" s="278" t="s">
        <v>147</v>
      </c>
      <c r="C297" s="278" t="s">
        <v>465</v>
      </c>
      <c r="D297" s="299" t="s">
        <v>989</v>
      </c>
      <c r="E297" s="639" t="s">
        <v>906</v>
      </c>
      <c r="F297" s="279" t="s">
        <v>907</v>
      </c>
      <c r="G297" s="306" t="s">
        <v>477</v>
      </c>
      <c r="H297" s="638" t="s">
        <v>907</v>
      </c>
      <c r="I297" s="638" t="s">
        <v>907</v>
      </c>
      <c r="J297" s="638" t="s">
        <v>907</v>
      </c>
      <c r="K297" s="2"/>
      <c r="L297" s="2"/>
      <c r="M297" s="2"/>
      <c r="N297" s="2"/>
      <c r="O297" s="2"/>
      <c r="P297" s="2"/>
      <c r="Q297" s="2"/>
      <c r="R297" s="2"/>
      <c r="S297" s="2"/>
      <c r="T297" s="2"/>
      <c r="U297" s="2"/>
      <c r="V297" s="2"/>
      <c r="W297" s="2"/>
    </row>
    <row r="298" spans="1:23">
      <c r="A298" s="2"/>
      <c r="B298" s="18"/>
      <c r="C298" s="2"/>
      <c r="D298" s="2"/>
      <c r="E298" s="2"/>
      <c r="F298" s="2"/>
      <c r="G298" s="2"/>
      <c r="H298" s="2"/>
      <c r="I298" s="2"/>
      <c r="J298" s="2"/>
      <c r="K298" s="2"/>
      <c r="L298" s="2"/>
      <c r="M298" s="2"/>
      <c r="N298" s="2"/>
      <c r="O298" s="2"/>
      <c r="P298" s="2"/>
      <c r="Q298" s="2"/>
      <c r="R298" s="2"/>
      <c r="S298" s="2"/>
      <c r="T298" s="2"/>
      <c r="U298" s="2"/>
      <c r="V298" s="2"/>
      <c r="W298" s="2"/>
    </row>
    <row r="299" spans="1:23">
      <c r="A299" s="725"/>
      <c r="B299" s="726" t="s">
        <v>962</v>
      </c>
      <c r="C299" s="725"/>
      <c r="D299" s="725"/>
      <c r="E299" s="725"/>
      <c r="F299" s="725"/>
      <c r="G299" s="725"/>
      <c r="H299" s="725"/>
      <c r="I299" s="2"/>
      <c r="J299" s="2"/>
      <c r="K299" s="2"/>
      <c r="L299" s="2"/>
      <c r="M299" s="2"/>
      <c r="N299" s="2"/>
      <c r="O299" s="2"/>
      <c r="P299" s="2"/>
      <c r="Q299" s="2"/>
      <c r="R299" s="2"/>
      <c r="S299" s="2"/>
      <c r="T299" s="2"/>
      <c r="U299" s="2"/>
      <c r="V299" s="2"/>
      <c r="W299" s="2"/>
    </row>
    <row r="300" spans="1:23">
      <c r="A300" s="2"/>
      <c r="B300" s="277" t="s">
        <v>904</v>
      </c>
      <c r="C300" s="277" t="s">
        <v>62</v>
      </c>
      <c r="D300" s="277" t="s">
        <v>902</v>
      </c>
      <c r="E300" s="277" t="s">
        <v>898</v>
      </c>
      <c r="F300" s="277" t="s">
        <v>916</v>
      </c>
      <c r="G300" s="277" t="s">
        <v>963</v>
      </c>
      <c r="H300" s="277" t="s">
        <v>964</v>
      </c>
      <c r="I300" s="277" t="s">
        <v>965</v>
      </c>
      <c r="J300" s="277" t="s">
        <v>966</v>
      </c>
      <c r="K300" s="277" t="s">
        <v>967</v>
      </c>
      <c r="L300" s="277" t="s">
        <v>968</v>
      </c>
      <c r="M300" s="277" t="s">
        <v>956</v>
      </c>
      <c r="N300" s="277" t="s">
        <v>969</v>
      </c>
      <c r="O300" s="277" t="s">
        <v>970</v>
      </c>
      <c r="P300" s="277" t="s">
        <v>927</v>
      </c>
      <c r="Q300" s="277" t="s">
        <v>913</v>
      </c>
      <c r="R300" s="277" t="s">
        <v>914</v>
      </c>
      <c r="S300" s="277" t="s">
        <v>915</v>
      </c>
      <c r="T300" s="277" t="s">
        <v>916</v>
      </c>
      <c r="U300" s="277" t="s">
        <v>917</v>
      </c>
      <c r="V300" s="277" t="s">
        <v>918</v>
      </c>
      <c r="W300" s="277" t="s">
        <v>919</v>
      </c>
    </row>
    <row r="301" spans="1:23">
      <c r="A301" s="2"/>
      <c r="B301" s="302" t="s">
        <v>1453</v>
      </c>
      <c r="C301" s="279" t="s">
        <v>386</v>
      </c>
      <c r="D301" s="279" t="s">
        <v>142</v>
      </c>
      <c r="E301" s="278" t="s">
        <v>465</v>
      </c>
      <c r="F301" s="299">
        <v>2021</v>
      </c>
      <c r="G301" s="278">
        <v>2021</v>
      </c>
      <c r="H301" s="278">
        <f>'COMPANY INPUT'!$C$16</f>
        <v>2023</v>
      </c>
      <c r="I301" s="278">
        <f>VLOOKUP(G301,'GDP Deflators'!$H$13:$I$86,2,FALSE)</f>
        <v>88.789299999999997</v>
      </c>
      <c r="J301" s="278">
        <f>VLOOKUP(H301,'GDP Deflators'!$H$13:$I$86,2,FALSE)</f>
        <v>100</v>
      </c>
      <c r="K301" s="385">
        <f>C288</f>
        <v>535.14141030737517</v>
      </c>
      <c r="L301" s="746">
        <f>K301*(J301/I301)</f>
        <v>602.70934708053244</v>
      </c>
      <c r="M301" s="300" t="str">
        <f>I292</f>
        <v>Avoided cost</v>
      </c>
      <c r="N301" s="326">
        <f>H292</f>
        <v>2.5</v>
      </c>
      <c r="O301" s="278" t="s">
        <v>718</v>
      </c>
      <c r="P301" s="278">
        <f>J292</f>
        <v>0</v>
      </c>
      <c r="Q301" s="299">
        <f t="shared" ref="Q301:W301" si="7">B237</f>
        <v>64</v>
      </c>
      <c r="R301" s="299" t="str">
        <f t="shared" si="7"/>
        <v>EA Mental health costs of flooding and erosion (2021)</v>
      </c>
      <c r="S301" s="299" t="str">
        <f t="shared" si="7"/>
        <v>FCERM Appraisal Guidance</v>
      </c>
      <c r="T301" s="299">
        <f t="shared" si="7"/>
        <v>2021</v>
      </c>
      <c r="U301" s="299" t="str">
        <f t="shared" si="7"/>
        <v>UK</v>
      </c>
      <c r="V301" s="299" t="str">
        <f t="shared" si="7"/>
        <v>UK</v>
      </c>
      <c r="W301" s="299">
        <f t="shared" si="7"/>
        <v>0</v>
      </c>
    </row>
    <row r="302" spans="1:23">
      <c r="A302" s="2"/>
      <c r="B302" s="302" t="s">
        <v>1454</v>
      </c>
      <c r="C302" s="279" t="s">
        <v>386</v>
      </c>
      <c r="D302" s="278" t="s">
        <v>145</v>
      </c>
      <c r="E302" s="278" t="s">
        <v>465</v>
      </c>
      <c r="F302" s="299">
        <v>2021</v>
      </c>
      <c r="G302" s="278">
        <v>2021</v>
      </c>
      <c r="H302" s="278">
        <f>'COMPANY INPUT'!$C$16</f>
        <v>2023</v>
      </c>
      <c r="I302" s="278">
        <f>VLOOKUP(G302,'GDP Deflators'!$H$13:$I$86,2,FALSE)</f>
        <v>88.789299999999997</v>
      </c>
      <c r="J302" s="278">
        <f>VLOOKUP(H302,'GDP Deflators'!$H$13:$I$86,2,FALSE)</f>
        <v>100</v>
      </c>
      <c r="K302" s="385">
        <f>C286</f>
        <v>453.7999159406541</v>
      </c>
      <c r="L302" s="746">
        <f>K302*(J302/I302)</f>
        <v>511.09752632429149</v>
      </c>
      <c r="M302" s="300" t="str">
        <f>I295</f>
        <v>Avoided cost</v>
      </c>
      <c r="N302" s="326">
        <f>H295</f>
        <v>2.5</v>
      </c>
      <c r="O302" s="278" t="s">
        <v>718</v>
      </c>
      <c r="P302" s="278">
        <f>J295</f>
        <v>0</v>
      </c>
      <c r="Q302" s="299">
        <f t="shared" ref="Q302:V302" si="8">B237</f>
        <v>64</v>
      </c>
      <c r="R302" s="278" t="str">
        <f t="shared" si="8"/>
        <v>EA Mental health costs of flooding and erosion (2021)</v>
      </c>
      <c r="S302" s="278" t="str">
        <f t="shared" si="8"/>
        <v>FCERM Appraisal Guidance</v>
      </c>
      <c r="T302" s="278">
        <f t="shared" si="8"/>
        <v>2021</v>
      </c>
      <c r="U302" s="278" t="str">
        <f t="shared" si="8"/>
        <v>UK</v>
      </c>
      <c r="V302" s="278" t="str">
        <f t="shared" si="8"/>
        <v>UK</v>
      </c>
      <c r="W302" s="299">
        <f>H237</f>
        <v>0</v>
      </c>
    </row>
  </sheetData>
  <sheetProtection algorithmName="SHA-512" hashValue="Y38VYm3OdbfBlVKHji6e4bY1reetD2xWtHX4D5x2lZwWKN/GaIob7MVe7iKMqUthDMf5wvfGJMbwr+2OPY1Jqw==" saltValue="7xDUggMUXN8tkPbtA/fJhg==" spinCount="100000" sheet="1" objects="1" scenarios="1"/>
  <dataConsolidate/>
  <mergeCells count="49">
    <mergeCell ref="E245:H245"/>
    <mergeCell ref="E179:H179"/>
    <mergeCell ref="E180:H180"/>
    <mergeCell ref="E239:H239"/>
    <mergeCell ref="E240:H240"/>
    <mergeCell ref="E241:H241"/>
    <mergeCell ref="G184:L184"/>
    <mergeCell ref="G185:L186"/>
    <mergeCell ref="D284:H284"/>
    <mergeCell ref="D285:H288"/>
    <mergeCell ref="B255:B256"/>
    <mergeCell ref="C255:C256"/>
    <mergeCell ref="G255:L256"/>
    <mergeCell ref="G250:L250"/>
    <mergeCell ref="G251:L254"/>
    <mergeCell ref="J154:J155"/>
    <mergeCell ref="I154:I155"/>
    <mergeCell ref="H154:H155"/>
    <mergeCell ref="J216:J219"/>
    <mergeCell ref="I216:I219"/>
    <mergeCell ref="H216:H219"/>
    <mergeCell ref="E174:H174"/>
    <mergeCell ref="E175:H175"/>
    <mergeCell ref="E176:H176"/>
    <mergeCell ref="E177:H177"/>
    <mergeCell ref="E178:H178"/>
    <mergeCell ref="E242:H242"/>
    <mergeCell ref="E243:H243"/>
    <mergeCell ref="E244:H244"/>
    <mergeCell ref="G120:L120"/>
    <mergeCell ref="G121:L122"/>
    <mergeCell ref="E113:H113"/>
    <mergeCell ref="E114:H114"/>
    <mergeCell ref="E115:H115"/>
    <mergeCell ref="E116:H116"/>
    <mergeCell ref="D9:I9"/>
    <mergeCell ref="B5:H5"/>
    <mergeCell ref="E110:H110"/>
    <mergeCell ref="E111:H111"/>
    <mergeCell ref="E112:H112"/>
    <mergeCell ref="G44:L44"/>
    <mergeCell ref="G41:L41"/>
    <mergeCell ref="G42:L43"/>
    <mergeCell ref="E31:H31"/>
    <mergeCell ref="E32:H32"/>
    <mergeCell ref="E33:H33"/>
    <mergeCell ref="E34:H34"/>
    <mergeCell ref="E35:H35"/>
    <mergeCell ref="E36:H36"/>
  </mergeCells>
  <conditionalFormatting sqref="D37:E37">
    <cfRule type="cellIs" dxfId="929" priority="23" operator="lessThanOrEqual">
      <formula>2.14285714285714</formula>
    </cfRule>
    <cfRule type="cellIs" dxfId="928" priority="24" operator="lessThanOrEqual">
      <formula>2.57142857142857</formula>
    </cfRule>
    <cfRule type="cellIs" dxfId="927" priority="25" operator="lessThanOrEqual">
      <formula>3</formula>
    </cfRule>
  </conditionalFormatting>
  <conditionalFormatting sqref="D117:E117">
    <cfRule type="cellIs" dxfId="926" priority="17" operator="lessThanOrEqual">
      <formula>2.14285714285714</formula>
    </cfRule>
    <cfRule type="cellIs" dxfId="925" priority="18" operator="lessThanOrEqual">
      <formula>2.57142857142857</formula>
    </cfRule>
    <cfRule type="cellIs" dxfId="924" priority="19" operator="lessThanOrEqual">
      <formula>3</formula>
    </cfRule>
  </conditionalFormatting>
  <conditionalFormatting sqref="D181:E181">
    <cfRule type="cellIs" dxfId="923" priority="13" operator="lessThanOrEqual">
      <formula>3</formula>
    </cfRule>
    <cfRule type="cellIs" dxfId="922" priority="11" operator="lessThanOrEqual">
      <formula>2.14285714285714</formula>
    </cfRule>
    <cfRule type="cellIs" dxfId="921" priority="12" operator="lessThanOrEqual">
      <formula>2.57142857142857</formula>
    </cfRule>
  </conditionalFormatting>
  <conditionalFormatting sqref="D246:E246">
    <cfRule type="cellIs" dxfId="920" priority="5" operator="lessThanOrEqual">
      <formula>2.14285714285714</formula>
    </cfRule>
    <cfRule type="cellIs" dxfId="919" priority="6" operator="lessThanOrEqual">
      <formula>2.57142857142857</formula>
    </cfRule>
    <cfRule type="cellIs" dxfId="918" priority="7" operator="lessThanOrEqual">
      <formula>3</formula>
    </cfRule>
  </conditionalFormatting>
  <conditionalFormatting sqref="D11:I16">
    <cfRule type="notContainsBlanks" dxfId="917" priority="1">
      <formula>LEN(TRIM(D11))&gt;0</formula>
    </cfRule>
  </conditionalFormatting>
  <conditionalFormatting sqref="E37">
    <cfRule type="containsText" dxfId="916" priority="20" operator="containsText" text="Green">
      <formula>NOT(ISERROR(SEARCH("Green",E37)))</formula>
    </cfRule>
    <cfRule type="containsText" dxfId="915" priority="21" operator="containsText" text="Amber">
      <formula>NOT(ISERROR(SEARCH("Amber",E37)))</formula>
    </cfRule>
    <cfRule type="containsText" dxfId="914" priority="22" operator="containsText" text="Red">
      <formula>NOT(ISERROR(SEARCH("Red",E37)))</formula>
    </cfRule>
  </conditionalFormatting>
  <conditionalFormatting sqref="E117">
    <cfRule type="containsText" dxfId="913" priority="14" operator="containsText" text="Green">
      <formula>NOT(ISERROR(SEARCH("Green",E117)))</formula>
    </cfRule>
    <cfRule type="containsText" dxfId="912" priority="15" operator="containsText" text="Amber">
      <formula>NOT(ISERROR(SEARCH("Amber",E117)))</formula>
    </cfRule>
    <cfRule type="containsText" dxfId="911" priority="16" operator="containsText" text="Red">
      <formula>NOT(ISERROR(SEARCH("Red",E117)))</formula>
    </cfRule>
  </conditionalFormatting>
  <conditionalFormatting sqref="E181">
    <cfRule type="containsText" dxfId="910" priority="8" operator="containsText" text="Green">
      <formula>NOT(ISERROR(SEARCH("Green",E181)))</formula>
    </cfRule>
    <cfRule type="containsText" dxfId="909" priority="9" operator="containsText" text="Amber">
      <formula>NOT(ISERROR(SEARCH("Amber",E181)))</formula>
    </cfRule>
    <cfRule type="containsText" dxfId="908" priority="10" operator="containsText" text="Red">
      <formula>NOT(ISERROR(SEARCH("Red",E181)))</formula>
    </cfRule>
  </conditionalFormatting>
  <conditionalFormatting sqref="E246">
    <cfRule type="containsText" dxfId="907" priority="2" operator="containsText" text="Green">
      <formula>NOT(ISERROR(SEARCH("Green",E246)))</formula>
    </cfRule>
    <cfRule type="containsText" dxfId="906" priority="3" operator="containsText" text="Amber">
      <formula>NOT(ISERROR(SEARCH("Amber",E246)))</formula>
    </cfRule>
    <cfRule type="containsText" dxfId="905" priority="4" operator="containsText" text="Red">
      <formula>NOT(ISERROR(SEARCH("Red",E246)))</formula>
    </cfRule>
  </conditionalFormatting>
  <conditionalFormatting sqref="H71">
    <cfRule type="cellIs" dxfId="904" priority="73" operator="lessThanOrEqual">
      <formula>3</formula>
    </cfRule>
    <cfRule type="cellIs" dxfId="903" priority="71" operator="lessThanOrEqual">
      <formula>2.14285714285714</formula>
    </cfRule>
    <cfRule type="cellIs" dxfId="902" priority="72" operator="lessThanOrEqual">
      <formula>2.57142857142857</formula>
    </cfRule>
  </conditionalFormatting>
  <conditionalFormatting sqref="H74">
    <cfRule type="cellIs" dxfId="901" priority="68" operator="lessThanOrEqual">
      <formula>2.14285714285714</formula>
    </cfRule>
    <cfRule type="cellIs" dxfId="900" priority="69" operator="lessThanOrEqual">
      <formula>2.57142857142857</formula>
    </cfRule>
    <cfRule type="cellIs" dxfId="899" priority="70" operator="lessThanOrEqual">
      <formula>3</formula>
    </cfRule>
  </conditionalFormatting>
  <conditionalFormatting sqref="H154">
    <cfRule type="cellIs" dxfId="898" priority="53" operator="lessThanOrEqual">
      <formula>2.14285714285714</formula>
    </cfRule>
    <cfRule type="cellIs" dxfId="897" priority="54" operator="lessThanOrEqual">
      <formula>2.57142857142857</formula>
    </cfRule>
    <cfRule type="cellIs" dxfId="896" priority="55" operator="lessThanOrEqual">
      <formula>3</formula>
    </cfRule>
  </conditionalFormatting>
  <conditionalFormatting sqref="H216">
    <cfRule type="cellIs" dxfId="895" priority="41" operator="lessThanOrEqual">
      <formula>2.14285714285714</formula>
    </cfRule>
    <cfRule type="cellIs" dxfId="894" priority="42" operator="lessThanOrEqual">
      <formula>2.57142857142857</formula>
    </cfRule>
    <cfRule type="cellIs" dxfId="893" priority="43" operator="lessThanOrEqual">
      <formula>3</formula>
    </cfRule>
  </conditionalFormatting>
  <conditionalFormatting sqref="H292">
    <cfRule type="cellIs" dxfId="892" priority="34" operator="lessThanOrEqual">
      <formula>3</formula>
    </cfRule>
    <cfRule type="cellIs" dxfId="891" priority="32" operator="lessThanOrEqual">
      <formula>2.14285714285714</formula>
    </cfRule>
    <cfRule type="cellIs" dxfId="890" priority="33" operator="lessThanOrEqual">
      <formula>2.57142857142857</formula>
    </cfRule>
  </conditionalFormatting>
  <conditionalFormatting sqref="H295">
    <cfRule type="cellIs" dxfId="889" priority="29" operator="lessThanOrEqual">
      <formula>2.14285714285714</formula>
    </cfRule>
    <cfRule type="cellIs" dxfId="888" priority="30" operator="lessThanOrEqual">
      <formula>2.57142857142857</formula>
    </cfRule>
    <cfRule type="cellIs" dxfId="887" priority="31" operator="lessThanOrEqual">
      <formula>3</formula>
    </cfRule>
  </conditionalFormatting>
  <conditionalFormatting sqref="N80:N81">
    <cfRule type="cellIs" dxfId="886" priority="65" operator="lessThanOrEqual">
      <formula>2.14285714285714</formula>
    </cfRule>
    <cfRule type="cellIs" dxfId="885" priority="66" operator="lessThanOrEqual">
      <formula>2.57142857142857</formula>
    </cfRule>
    <cfRule type="cellIs" dxfId="884" priority="67" operator="lessThanOrEqual">
      <formula>3</formula>
    </cfRule>
  </conditionalFormatting>
  <conditionalFormatting sqref="N159:N160">
    <cfRule type="cellIs" dxfId="883" priority="56" operator="lessThanOrEqual">
      <formula>2.14285714285714</formula>
    </cfRule>
    <cfRule type="cellIs" dxfId="882" priority="57" operator="lessThanOrEqual">
      <formula>2.57142857142857</formula>
    </cfRule>
    <cfRule type="cellIs" dxfId="881" priority="58" operator="lessThanOrEqual">
      <formula>3</formula>
    </cfRule>
  </conditionalFormatting>
  <conditionalFormatting sqref="N223:N226">
    <cfRule type="cellIs" dxfId="880" priority="44" operator="lessThanOrEqual">
      <formula>2.14285714285714</formula>
    </cfRule>
    <cfRule type="cellIs" dxfId="879" priority="45" operator="lessThanOrEqual">
      <formula>2.57142857142857</formula>
    </cfRule>
    <cfRule type="cellIs" dxfId="878" priority="46" operator="lessThanOrEqual">
      <formula>3</formula>
    </cfRule>
  </conditionalFormatting>
  <conditionalFormatting sqref="N301:N302">
    <cfRule type="cellIs" dxfId="877" priority="27" operator="lessThanOrEqual">
      <formula>2.57142857142857</formula>
    </cfRule>
    <cfRule type="cellIs" dxfId="876" priority="26" operator="lessThanOrEqual">
      <formula>2.14285714285714</formula>
    </cfRule>
    <cfRule type="cellIs" dxfId="875" priority="28" operator="lessThanOrEqual">
      <formula>3</formula>
    </cfRule>
  </conditionalFormatting>
  <dataValidations disablePrompts="1" count="1">
    <dataValidation type="list" allowBlank="1" showInputMessage="1" showErrorMessage="1" sqref="C31:C36 C38 C111:C116 C240:C245 C175:C180 C82:C83 C97" xr:uid="{0939D529-348E-43B5-931F-7C1B6EBC579E}">
      <formula1>"High, Medium, Low"</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BC5A1-E398-40CF-AA38-F1B292F9D0D2}">
  <sheetPr codeName="Sheet23">
    <tabColor theme="5" tint="0.59999389629810485"/>
  </sheetPr>
  <dimension ref="A1:X417"/>
  <sheetViews>
    <sheetView workbookViewId="0">
      <selection activeCell="B2" sqref="B2"/>
    </sheetView>
  </sheetViews>
  <sheetFormatPr defaultColWidth="9" defaultRowHeight="14.45"/>
  <cols>
    <col min="1" max="1" width="3.5" style="7" customWidth="1"/>
    <col min="2" max="3" width="40.625" style="7" customWidth="1"/>
    <col min="4" max="15" width="15.625" style="7" customWidth="1"/>
    <col min="16" max="16" width="16.125" style="7" customWidth="1"/>
    <col min="17" max="17" width="9" style="7" bestFit="1"/>
    <col min="18" max="18" width="16.625" style="7" customWidth="1"/>
    <col min="19" max="19" width="18.5" style="7" customWidth="1"/>
    <col min="20" max="16384" width="9" style="7"/>
  </cols>
  <sheetData>
    <row r="1" spans="1:8" ht="15" thickBot="1"/>
    <row r="2" spans="1:8" s="762" customFormat="1" ht="18.95" thickBot="1">
      <c r="A2" s="761"/>
      <c r="B2" s="731" t="s">
        <v>387</v>
      </c>
      <c r="C2" s="753"/>
      <c r="D2" s="753"/>
    </row>
    <row r="4" spans="1:8" s="734" customFormat="1" ht="18.600000000000001">
      <c r="A4" s="735"/>
      <c r="B4" s="713" t="s">
        <v>893</v>
      </c>
      <c r="C4" s="735"/>
      <c r="D4" s="735"/>
      <c r="E4" s="735"/>
      <c r="F4" s="735"/>
      <c r="G4" s="735"/>
      <c r="H4" s="735"/>
    </row>
    <row r="5" spans="1:8" ht="156" customHeight="1">
      <c r="A5" s="737"/>
      <c r="B5" s="1236" t="s">
        <v>1455</v>
      </c>
      <c r="C5" s="1236"/>
      <c r="D5" s="1236"/>
      <c r="E5" s="1236"/>
      <c r="F5" s="1236"/>
      <c r="G5" s="1236"/>
      <c r="H5" s="1236"/>
    </row>
    <row r="7" spans="1:8" s="754" customFormat="1" ht="18.600000000000001">
      <c r="A7" s="755"/>
      <c r="B7" s="755" t="s">
        <v>895</v>
      </c>
      <c r="C7" s="755"/>
      <c r="D7" s="755"/>
      <c r="E7" s="755"/>
      <c r="F7" s="755"/>
      <c r="G7" s="755"/>
      <c r="H7" s="755"/>
    </row>
    <row r="9" spans="1:8">
      <c r="D9" s="1139" t="s">
        <v>479</v>
      </c>
      <c r="E9" s="1139"/>
      <c r="F9" s="1139"/>
      <c r="G9" s="1139"/>
      <c r="H9" s="1139"/>
    </row>
    <row r="10" spans="1:8" ht="29.1">
      <c r="B10" s="763" t="s">
        <v>104</v>
      </c>
      <c r="C10" s="763" t="s">
        <v>711</v>
      </c>
      <c r="D10" s="719" t="s">
        <v>448</v>
      </c>
      <c r="E10" s="752" t="s">
        <v>456</v>
      </c>
      <c r="F10" s="719" t="s">
        <v>1359</v>
      </c>
      <c r="G10" s="719" t="s">
        <v>1378</v>
      </c>
      <c r="H10" s="719" t="s">
        <v>465</v>
      </c>
    </row>
    <row r="11" spans="1:8">
      <c r="B11" s="276" t="s">
        <v>521</v>
      </c>
      <c r="C11" s="276" t="s">
        <v>366</v>
      </c>
      <c r="D11" s="374" t="s">
        <v>477</v>
      </c>
      <c r="E11" s="374" cm="1">
        <f t="array" aca="1" ref="E11" ca="1">_xlfn.XLOOKUP(1,($B11=$B$68:$B$70)*(E$10=$C$68:$C$70),$G$68:$G$70,"Not found",0,1)</f>
        <v>809.21037121029269</v>
      </c>
      <c r="F11" s="374">
        <f>_xlfn.XLOOKUP(1,($B11=$B$183)*(F$10=$C$183),$G$183,"Not found",0,1)</f>
        <v>333.73213485645363</v>
      </c>
      <c r="G11" s="374"/>
      <c r="H11" s="374" cm="1">
        <f t="array" ref="H11">_xlfn.XLOOKUP(1,($B11=$B$411:$B$413)*(H$10=$C$411:$C$413),$G$411:$G$413,"Not found",0,1)</f>
        <v>5388.4073284556143</v>
      </c>
    </row>
    <row r="12" spans="1:8">
      <c r="B12" s="276" t="s">
        <v>522</v>
      </c>
      <c r="C12" s="276" t="s">
        <v>366</v>
      </c>
      <c r="D12" s="374" t="s">
        <v>477</v>
      </c>
      <c r="E12" s="374" t="str" cm="1">
        <f t="array" ref="E12">_xlfn.XLOOKUP(1,($B12=$B$68:$B$70)*(E$10=$C$68:$C$70),$G$68:$G$70,"Not found",0,1)</f>
        <v>LG(L)</v>
      </c>
      <c r="F12" s="374"/>
      <c r="G12" s="374" cm="1">
        <f t="array" ref="G12">_xlfn.XLOOKUP(1,($B12=$B$362:$B$363)*(G$10=$C$362:$C$363),$G$362:$G$363,"Not found",0,1)</f>
        <v>30739.700436508174</v>
      </c>
      <c r="H12" s="374" t="str" cm="1">
        <f t="array" ref="H12">_xlfn.XLOOKUP(1,($B12=$B$411:$B$413)*(H$10=$C$411:$C$413),$G$411:$G$413,"Not found",0,1)</f>
        <v>LG(L)</v>
      </c>
    </row>
    <row r="13" spans="1:8">
      <c r="B13" s="276" t="s">
        <v>523</v>
      </c>
      <c r="C13" s="276" t="s">
        <v>366</v>
      </c>
      <c r="D13" s="374" t="s">
        <v>477</v>
      </c>
      <c r="E13" s="374" t="str" cm="1">
        <f t="array" ref="E13">_xlfn.XLOOKUP(1,($B13=$B$68:$B$70)*(E$10=$C$68:$C$70),$G$68:$G$70,"Not found",0,1)</f>
        <v>LG(L)</v>
      </c>
      <c r="F13" s="374"/>
      <c r="G13" s="374" cm="1">
        <f t="array" ref="G13">_xlfn.XLOOKUP(1,($B13=$B$362:$B$363)*(G$10=$C$362:$C$363),$G$362:$G$363,"Not found",0,1)</f>
        <v>30739.700436508174</v>
      </c>
      <c r="H13" s="374" t="str" cm="1">
        <f t="array" ref="H13">_xlfn.XLOOKUP(1,($B13=$B$411:$B$413)*(H$10=$C$411:$C$413),$G$411:$G$413,"Not found",0,1)</f>
        <v>LG(L)</v>
      </c>
    </row>
    <row r="14" spans="1:8">
      <c r="B14" s="800" t="s">
        <v>896</v>
      </c>
    </row>
    <row r="15" spans="1:8">
      <c r="B15" s="800"/>
    </row>
    <row r="16" spans="1:8">
      <c r="A16" s="739"/>
      <c r="B16" s="740" t="s">
        <v>456</v>
      </c>
      <c r="C16" s="739"/>
      <c r="D16" s="739"/>
      <c r="E16" s="739"/>
      <c r="F16" s="739"/>
      <c r="G16" s="739"/>
      <c r="H16" s="739"/>
    </row>
    <row r="17" spans="1:8">
      <c r="A17" s="741"/>
      <c r="B17" s="742" t="s">
        <v>897</v>
      </c>
      <c r="C17" s="741"/>
      <c r="D17" s="741"/>
      <c r="E17" s="741"/>
      <c r="F17" s="741"/>
      <c r="G17" s="741"/>
      <c r="H17" s="741"/>
    </row>
    <row r="18" spans="1:8">
      <c r="B18" s="398" t="s">
        <v>898</v>
      </c>
      <c r="C18" s="398" t="s">
        <v>899</v>
      </c>
    </row>
    <row r="19" spans="1:8">
      <c r="B19" s="276" t="s">
        <v>456</v>
      </c>
      <c r="C19" s="276" t="s">
        <v>1456</v>
      </c>
    </row>
    <row r="20" spans="1:8">
      <c r="B20" s="29"/>
    </row>
    <row r="21" spans="1:8">
      <c r="A21" s="741"/>
      <c r="B21" s="743" t="s">
        <v>911</v>
      </c>
      <c r="C21" s="741"/>
      <c r="D21" s="741"/>
      <c r="E21" s="741"/>
      <c r="F21" s="741"/>
      <c r="G21" s="741"/>
      <c r="H21" s="741"/>
    </row>
    <row r="22" spans="1:8">
      <c r="A22" s="744"/>
      <c r="B22" s="745" t="s">
        <v>912</v>
      </c>
      <c r="C22" s="744"/>
      <c r="D22" s="744"/>
      <c r="E22" s="744"/>
      <c r="F22" s="744"/>
      <c r="G22" s="744"/>
      <c r="H22" s="744"/>
    </row>
    <row r="23" spans="1:8" ht="29.1">
      <c r="B23" s="719" t="s">
        <v>913</v>
      </c>
      <c r="C23" s="719" t="s">
        <v>914</v>
      </c>
      <c r="D23" s="719" t="s">
        <v>915</v>
      </c>
      <c r="E23" s="719" t="s">
        <v>916</v>
      </c>
      <c r="F23" s="719" t="s">
        <v>917</v>
      </c>
      <c r="G23" s="719" t="s">
        <v>918</v>
      </c>
      <c r="H23" s="719" t="s">
        <v>919</v>
      </c>
    </row>
    <row r="24" spans="1:8">
      <c r="B24" s="276">
        <v>63</v>
      </c>
      <c r="C24" s="276" t="s">
        <v>1381</v>
      </c>
      <c r="D24" s="276" t="s">
        <v>717</v>
      </c>
      <c r="E24" s="276">
        <v>2020</v>
      </c>
      <c r="F24" s="276" t="s">
        <v>1047</v>
      </c>
      <c r="G24" s="276" t="s">
        <v>1457</v>
      </c>
      <c r="H24" s="276" t="s">
        <v>923</v>
      </c>
    </row>
    <row r="25" spans="1:8">
      <c r="B25" s="29"/>
    </row>
    <row r="26" spans="1:8">
      <c r="A26" s="744"/>
      <c r="B26" s="745" t="s">
        <v>924</v>
      </c>
      <c r="C26" s="744"/>
      <c r="D26" s="744"/>
      <c r="E26" s="744"/>
      <c r="F26" s="744"/>
      <c r="G26" s="744"/>
      <c r="H26" s="744"/>
    </row>
    <row r="27" spans="1:8">
      <c r="B27" s="398" t="s">
        <v>165</v>
      </c>
      <c r="C27" s="398" t="s">
        <v>925</v>
      </c>
      <c r="D27" s="398" t="s">
        <v>926</v>
      </c>
      <c r="E27" s="1139" t="s">
        <v>953</v>
      </c>
      <c r="F27" s="1139"/>
      <c r="G27" s="1139"/>
      <c r="H27" s="1139"/>
    </row>
    <row r="28" spans="1:8">
      <c r="B28" s="276" t="s">
        <v>169</v>
      </c>
      <c r="C28" s="276" t="s">
        <v>166</v>
      </c>
      <c r="D28" s="278">
        <f>VLOOKUP(C28,METHODOLOGY!$C$175:$D$177,2,FALSE)</f>
        <v>3</v>
      </c>
      <c r="E28" s="1087" t="str">
        <f>_xlfn.XLOOKUP(C28,METHODOLOGY!$E$150:$O$150,METHODOLOGY!$E$151:$O$151,"",0,1)</f>
        <v>Monetary values have been peer reviewed or are recommended / referenced in other, well recognised and accepted guidance / tools relevant to the water sector.</v>
      </c>
      <c r="F28" s="1087"/>
      <c r="G28" s="1087"/>
      <c r="H28" s="1087"/>
    </row>
    <row r="29" spans="1:8">
      <c r="B29" s="276" t="s">
        <v>173</v>
      </c>
      <c r="C29" s="276" t="s">
        <v>167</v>
      </c>
      <c r="D29" s="278">
        <f>VLOOKUP(C29,METHODOLOGY!$C$175:$D$177,2,FALSE)</f>
        <v>2</v>
      </c>
      <c r="E29" s="1087" t="str">
        <f>_xlfn.XLOOKUP(C29,METHODOLOGY!$E$150:$O$150,METHODOLOGY!$E$155:$O$155,"",0,1)</f>
        <v>Study has some limitations which may impact on the robustness of the value.</v>
      </c>
      <c r="F29" s="1087"/>
      <c r="G29" s="1087"/>
      <c r="H29" s="1087"/>
    </row>
    <row r="30" spans="1:8">
      <c r="B30" s="276" t="s">
        <v>177</v>
      </c>
      <c r="C30" s="276" t="s">
        <v>166</v>
      </c>
      <c r="D30" s="278">
        <f>VLOOKUP(C30,METHODOLOGY!$C$175:$D$177,2,FALSE)</f>
        <v>3</v>
      </c>
      <c r="E30" s="1087" t="str">
        <f>_xlfn.XLOOKUP(C30,METHODOLOGY!$E$150:$O$150,METHODOLOGY!$E$158:$O$158,"",0,1)</f>
        <v>0 – 5 years</v>
      </c>
      <c r="F30" s="1087"/>
      <c r="G30" s="1087"/>
      <c r="H30" s="1087"/>
    </row>
    <row r="31" spans="1:8">
      <c r="B31" s="276" t="s">
        <v>181</v>
      </c>
      <c r="C31" s="276" t="s">
        <v>166</v>
      </c>
      <c r="D31" s="278">
        <f>VLOOKUP(C31,METHODOLOGY!$C$175:$D$177,2,FALSE)</f>
        <v>3</v>
      </c>
      <c r="E31" s="1087" t="str">
        <f>_xlfn.XLOOKUP(C31,METHODOLOGY!$E$150:$O$150,METHODOLOGY!$E$160:$O$160,"",0,1)</f>
        <v>Geographically relevant to UK</v>
      </c>
      <c r="F31" s="1087"/>
      <c r="G31" s="1087"/>
      <c r="H31" s="1087"/>
    </row>
    <row r="32" spans="1:8">
      <c r="B32" s="276" t="s">
        <v>928</v>
      </c>
      <c r="C32" s="276" t="s">
        <v>166</v>
      </c>
      <c r="D32" s="278">
        <f>VLOOKUP(C32,METHODOLOGY!$C$175:$D$177,2,FALSE)</f>
        <v>3</v>
      </c>
      <c r="E32" s="1087" t="str">
        <f>_xlfn.XLOOKUP(C32,METHODOLOGY!$E$150:$O$150,METHODOLOGY!$E$162:$O$162,"",0,1)</f>
        <v>Clear understanding of the valuation method and how the value should be applied.</v>
      </c>
      <c r="F32" s="1087"/>
      <c r="G32" s="1087"/>
      <c r="H32" s="1087"/>
    </row>
    <row r="33" spans="1:14">
      <c r="B33" s="276" t="s">
        <v>189</v>
      </c>
      <c r="C33" s="276" t="s">
        <v>166</v>
      </c>
      <c r="D33" s="278">
        <f>VLOOKUP(C33,METHODOLOGY!$C$175:$D$177,2,FALSE)</f>
        <v>3</v>
      </c>
      <c r="E33" s="1087" t="str">
        <f>_xlfn.XLOOKUP(C33,METHODOLOGY!$E$150:$O$150,METHODOLOGY!$E$164:$O$164,"",0,1)</f>
        <v xml:space="preserve">The original valuation can be used with no or very simple modification e.g. change units from ha to km2, applying inflation. </v>
      </c>
      <c r="F33" s="1087"/>
      <c r="G33" s="1087"/>
      <c r="H33" s="1087"/>
    </row>
    <row r="34" spans="1:14">
      <c r="C34" s="282" t="s">
        <v>924</v>
      </c>
      <c r="D34" s="326">
        <f>IF(AND(D33=1,AVERAGE(D28:D33)&gt;2.14285714285714),2.14285714285714,IF(AND(D33=2,AVERAGE(D28:D33)&gt;2.57142857142857),2.57142857142857,AVERAGE(D28:D33)))</f>
        <v>2.8333333333333335</v>
      </c>
      <c r="E34" s="270" t="str">
        <f>IF(D34&lt;=2.14285714285714,"Red",IF(D34&lt;=2.57142857142857,"Amber",IF(D34&lt;=3,"Green")))</f>
        <v>Green</v>
      </c>
    </row>
    <row r="36" spans="1:14">
      <c r="A36" s="744"/>
      <c r="B36" s="745" t="s">
        <v>929</v>
      </c>
      <c r="C36" s="744"/>
      <c r="D36" s="744"/>
      <c r="E36" s="744"/>
      <c r="F36" s="744"/>
      <c r="G36" s="744"/>
      <c r="H36" s="744"/>
    </row>
    <row r="37" spans="1:14">
      <c r="B37" s="398" t="s">
        <v>1089</v>
      </c>
      <c r="C37" s="398" t="s">
        <v>902</v>
      </c>
      <c r="D37" s="398" t="s">
        <v>331</v>
      </c>
      <c r="E37" s="142" t="s">
        <v>226</v>
      </c>
      <c r="F37" s="1292" t="s">
        <v>930</v>
      </c>
      <c r="G37" s="1293"/>
      <c r="H37" s="1293"/>
      <c r="I37" s="1294"/>
      <c r="J37" s="398" t="s">
        <v>913</v>
      </c>
      <c r="K37" s="398" t="s">
        <v>169</v>
      </c>
    </row>
    <row r="38" spans="1:14" ht="45" customHeight="1">
      <c r="B38" s="137" t="s">
        <v>456</v>
      </c>
      <c r="C38" s="138" t="str">
        <f>B11</f>
        <v>Internal flooding of residential living space</v>
      </c>
      <c r="D38" s="149">
        <v>1917</v>
      </c>
      <c r="E38" s="150" t="s">
        <v>1458</v>
      </c>
      <c r="F38" s="1295" t="s">
        <v>1459</v>
      </c>
      <c r="G38" s="1296"/>
      <c r="H38" s="1296"/>
      <c r="I38" s="1297"/>
      <c r="J38" s="137">
        <v>63</v>
      </c>
      <c r="K38" s="257" t="s">
        <v>1460</v>
      </c>
    </row>
    <row r="39" spans="1:14" ht="58.5" customHeight="1">
      <c r="B39" s="137" t="s">
        <v>456</v>
      </c>
      <c r="C39" s="138" t="str">
        <f>B12</f>
        <v>Internal flooding of social infrastructure (e.g. schools, hospitals)</v>
      </c>
      <c r="D39" s="149">
        <f ca="1">'Carbon values'!$H$16</f>
        <v>376</v>
      </c>
      <c r="E39" s="150" t="s">
        <v>255</v>
      </c>
      <c r="F39" s="1295" t="s">
        <v>1461</v>
      </c>
      <c r="G39" s="1296"/>
      <c r="H39" s="1296"/>
      <c r="I39" s="1297"/>
      <c r="J39" s="136" t="s">
        <v>1462</v>
      </c>
      <c r="K39" s="258" t="s">
        <v>1463</v>
      </c>
      <c r="N39" s="24"/>
    </row>
    <row r="40" spans="1:14">
      <c r="B40" s="9"/>
      <c r="C40" s="9"/>
      <c r="D40" s="9"/>
      <c r="E40" s="6"/>
      <c r="F40" s="32"/>
      <c r="G40" s="125"/>
      <c r="H40" s="33"/>
      <c r="I40" s="24"/>
      <c r="J40" s="24"/>
      <c r="K40" s="24"/>
      <c r="L40" s="24"/>
      <c r="M40" s="24"/>
      <c r="N40" s="24"/>
    </row>
    <row r="41" spans="1:14">
      <c r="B41" s="9"/>
      <c r="C41" s="9"/>
      <c r="D41" s="9"/>
      <c r="E41" s="6"/>
      <c r="F41" s="32"/>
      <c r="G41" s="125"/>
      <c r="H41" s="33"/>
      <c r="I41" s="24"/>
      <c r="J41" s="24"/>
      <c r="K41" s="24"/>
      <c r="L41" s="24"/>
      <c r="M41" s="24"/>
      <c r="N41" s="24"/>
    </row>
    <row r="42" spans="1:14">
      <c r="I42" s="127"/>
    </row>
    <row r="44" spans="1:14">
      <c r="I44" s="127"/>
    </row>
    <row r="45" spans="1:14">
      <c r="I45" s="127"/>
    </row>
    <row r="46" spans="1:14">
      <c r="I46" s="127"/>
    </row>
    <row r="47" spans="1:14">
      <c r="I47" s="127"/>
    </row>
    <row r="48" spans="1:14">
      <c r="I48" s="127"/>
    </row>
    <row r="49" spans="1:9">
      <c r="I49" s="127"/>
    </row>
    <row r="50" spans="1:9">
      <c r="I50" s="127"/>
    </row>
    <row r="51" spans="1:9">
      <c r="I51" s="127"/>
    </row>
    <row r="52" spans="1:9">
      <c r="I52" s="127"/>
    </row>
    <row r="53" spans="1:9">
      <c r="I53" s="127"/>
    </row>
    <row r="54" spans="1:9">
      <c r="I54" s="127"/>
    </row>
    <row r="55" spans="1:9">
      <c r="I55" s="127"/>
    </row>
    <row r="56" spans="1:9">
      <c r="I56" s="127"/>
    </row>
    <row r="57" spans="1:9">
      <c r="I57" s="127"/>
    </row>
    <row r="58" spans="1:9">
      <c r="I58" s="127"/>
    </row>
    <row r="59" spans="1:9">
      <c r="A59" s="744"/>
      <c r="B59" s="745" t="s">
        <v>936</v>
      </c>
      <c r="C59" s="744"/>
      <c r="D59" s="744"/>
      <c r="E59" s="744"/>
      <c r="F59" s="744"/>
      <c r="G59" s="744"/>
      <c r="H59" s="744"/>
    </row>
    <row r="60" spans="1:9">
      <c r="B60" s="293" t="s">
        <v>1464</v>
      </c>
      <c r="C60" s="293" t="s">
        <v>711</v>
      </c>
    </row>
    <row r="61" spans="1:9">
      <c r="B61" s="326">
        <f>D38</f>
        <v>1917</v>
      </c>
      <c r="C61" s="465" t="str">
        <f>E38</f>
        <v>kg CO2e</v>
      </c>
      <c r="I61" s="127"/>
    </row>
    <row r="62" spans="1:9">
      <c r="B62" s="276">
        <f>B61/1000</f>
        <v>1.917</v>
      </c>
      <c r="C62" s="465" t="s">
        <v>416</v>
      </c>
      <c r="I62" s="127"/>
    </row>
    <row r="63" spans="1:9">
      <c r="B63" s="343">
        <f ca="1">D39</f>
        <v>376</v>
      </c>
      <c r="C63" s="465" t="str">
        <f>E39</f>
        <v>£/tCO2e</v>
      </c>
      <c r="I63" s="127"/>
    </row>
    <row r="64" spans="1:9">
      <c r="B64" s="343">
        <f ca="1">B62*B63</f>
        <v>720.79200000000003</v>
      </c>
      <c r="C64" s="465" t="s">
        <v>1465</v>
      </c>
      <c r="D64" s="141"/>
      <c r="E64" s="128"/>
      <c r="I64" s="127"/>
    </row>
    <row r="65" spans="1:23">
      <c r="I65" s="127"/>
    </row>
    <row r="66" spans="1:23">
      <c r="A66" s="741"/>
      <c r="B66" s="743" t="s">
        <v>901</v>
      </c>
      <c r="C66" s="741"/>
      <c r="D66" s="741"/>
      <c r="E66" s="741"/>
      <c r="F66" s="741"/>
      <c r="G66" s="741"/>
      <c r="H66" s="741"/>
    </row>
    <row r="67" spans="1:23" ht="29.1">
      <c r="B67" s="522" t="s">
        <v>902</v>
      </c>
      <c r="C67" s="522" t="s">
        <v>898</v>
      </c>
      <c r="D67" s="756" t="s">
        <v>899</v>
      </c>
      <c r="E67" s="752" t="s">
        <v>903</v>
      </c>
      <c r="F67" s="756" t="s">
        <v>904</v>
      </c>
      <c r="G67" s="756" t="s">
        <v>905</v>
      </c>
      <c r="H67" s="756" t="s">
        <v>924</v>
      </c>
      <c r="I67" s="756" t="s">
        <v>956</v>
      </c>
      <c r="J67" s="756" t="s">
        <v>927</v>
      </c>
    </row>
    <row r="68" spans="1:23">
      <c r="B68" s="276" t="str">
        <f>C38</f>
        <v>Internal flooding of residential living space</v>
      </c>
      <c r="C68" s="466" t="str">
        <f>$B$38</f>
        <v>GHG</v>
      </c>
      <c r="D68" s="276" t="str">
        <f>$C$19</f>
        <v>Increased GHG emissions following flood event</v>
      </c>
      <c r="E68" s="373" t="s">
        <v>911</v>
      </c>
      <c r="F68" s="276" t="str" cm="1">
        <f t="array" ref="F68">_xlfn.XLOOKUP(1,(D74:D74=B68)*(E74:E74=C68),B74:B74,"Not found",0,1)</f>
        <v>16-1</v>
      </c>
      <c r="G68" s="633">
        <f ca="1">L74</f>
        <v>809.21037121029269</v>
      </c>
      <c r="H68" s="326">
        <f>D34</f>
        <v>2.8333333333333335</v>
      </c>
      <c r="I68" s="276" t="s">
        <v>1396</v>
      </c>
      <c r="J68" s="276" t="s">
        <v>1466</v>
      </c>
    </row>
    <row r="69" spans="1:23">
      <c r="B69" s="276" t="s">
        <v>522</v>
      </c>
      <c r="C69" s="466" t="str">
        <f>$B$38</f>
        <v>GHG</v>
      </c>
      <c r="D69" s="276" t="str">
        <f>$C$19</f>
        <v>Increased GHG emissions following flood event</v>
      </c>
      <c r="E69" s="373" t="s">
        <v>906</v>
      </c>
      <c r="F69" s="276" t="s">
        <v>907</v>
      </c>
      <c r="G69" s="633" t="s">
        <v>961</v>
      </c>
      <c r="H69" s="276" t="s">
        <v>907</v>
      </c>
      <c r="I69" s="276" t="s">
        <v>907</v>
      </c>
      <c r="J69" s="276" t="s">
        <v>907</v>
      </c>
    </row>
    <row r="70" spans="1:23">
      <c r="B70" s="276" t="s">
        <v>523</v>
      </c>
      <c r="C70" s="466" t="str">
        <f>$B$38</f>
        <v>GHG</v>
      </c>
      <c r="D70" s="276" t="str">
        <f>$C$19</f>
        <v>Increased GHG emissions following flood event</v>
      </c>
      <c r="E70" s="373" t="s">
        <v>906</v>
      </c>
      <c r="F70" s="276" t="s">
        <v>907</v>
      </c>
      <c r="G70" s="633" t="s">
        <v>961</v>
      </c>
      <c r="H70" s="276" t="s">
        <v>907</v>
      </c>
      <c r="I70" s="276" t="s">
        <v>907</v>
      </c>
      <c r="J70" s="276" t="s">
        <v>907</v>
      </c>
    </row>
    <row r="71" spans="1:23">
      <c r="B71" s="30"/>
    </row>
    <row r="72" spans="1:23">
      <c r="A72" s="744"/>
      <c r="B72" s="745" t="s">
        <v>962</v>
      </c>
      <c r="C72" s="744"/>
      <c r="D72" s="744"/>
      <c r="E72" s="744"/>
      <c r="F72" s="744"/>
      <c r="G72" s="744"/>
      <c r="H72" s="744"/>
    </row>
    <row r="73" spans="1:23">
      <c r="B73" s="398" t="s">
        <v>904</v>
      </c>
      <c r="C73" s="398" t="s">
        <v>62</v>
      </c>
      <c r="D73" s="398" t="s">
        <v>902</v>
      </c>
      <c r="E73" s="398" t="s">
        <v>898</v>
      </c>
      <c r="F73" s="398" t="s">
        <v>916</v>
      </c>
      <c r="G73" s="398" t="s">
        <v>963</v>
      </c>
      <c r="H73" s="398" t="s">
        <v>964</v>
      </c>
      <c r="I73" s="398" t="s">
        <v>965</v>
      </c>
      <c r="J73" s="398" t="s">
        <v>966</v>
      </c>
      <c r="K73" s="398" t="s">
        <v>967</v>
      </c>
      <c r="L73" s="398" t="s">
        <v>968</v>
      </c>
      <c r="M73" s="398" t="s">
        <v>956</v>
      </c>
      <c r="N73" s="398" t="s">
        <v>969</v>
      </c>
      <c r="O73" s="398" t="s">
        <v>970</v>
      </c>
      <c r="P73" s="398" t="s">
        <v>927</v>
      </c>
      <c r="Q73" s="398" t="s">
        <v>913</v>
      </c>
      <c r="R73" s="398" t="s">
        <v>914</v>
      </c>
      <c r="S73" s="398" t="s">
        <v>915</v>
      </c>
      <c r="T73" s="398" t="s">
        <v>916</v>
      </c>
      <c r="U73" s="398" t="s">
        <v>917</v>
      </c>
      <c r="V73" s="398" t="s">
        <v>918</v>
      </c>
      <c r="W73" s="398" t="s">
        <v>919</v>
      </c>
    </row>
    <row r="74" spans="1:23">
      <c r="B74" s="372" t="s">
        <v>1467</v>
      </c>
      <c r="C74" s="276" t="s">
        <v>1468</v>
      </c>
      <c r="D74" s="276" t="str">
        <f>B68</f>
        <v>Internal flooding of residential living space</v>
      </c>
      <c r="E74" s="276" t="str">
        <f>C68</f>
        <v>GHG</v>
      </c>
      <c r="F74" s="373">
        <f>E24</f>
        <v>2020</v>
      </c>
      <c r="G74" s="276">
        <v>2020</v>
      </c>
      <c r="H74" s="276">
        <f>'COMPANY INPUT'!$C$16</f>
        <v>2023</v>
      </c>
      <c r="I74" s="276">
        <f>VLOOKUP(G74,'GDP Deflators'!$H$13:$I$86,2,FALSE)</f>
        <v>89.073499999999996</v>
      </c>
      <c r="J74" s="276">
        <f>VLOOKUP(H74,'GDP Deflators'!$H$13:$I$86,2,FALSE)</f>
        <v>100</v>
      </c>
      <c r="K74" s="343">
        <f ca="1">B64</f>
        <v>720.79200000000003</v>
      </c>
      <c r="L74" s="747">
        <f ca="1">K74*(J74/I74)</f>
        <v>809.21037121029269</v>
      </c>
      <c r="M74" s="276" t="str">
        <f>I68</f>
        <v>Abatement cost</v>
      </c>
      <c r="N74" s="326">
        <f>H68</f>
        <v>2.8333333333333335</v>
      </c>
      <c r="O74" s="276" t="s">
        <v>718</v>
      </c>
      <c r="P74" s="276" t="str">
        <f>J68</f>
        <v>Uses UK-specific carbon values and recognised flood damage data</v>
      </c>
      <c r="Q74" s="373">
        <f t="shared" ref="Q74:W74" si="0">B24</f>
        <v>63</v>
      </c>
      <c r="R74" s="276" t="str">
        <f t="shared" si="0"/>
        <v>EA (2020) Carbonomics report</v>
      </c>
      <c r="S74" s="276" t="str">
        <f t="shared" si="0"/>
        <v>No</v>
      </c>
      <c r="T74" s="276">
        <f t="shared" si="0"/>
        <v>2020</v>
      </c>
      <c r="U74" s="276" t="str">
        <f t="shared" si="0"/>
        <v>UK</v>
      </c>
      <c r="V74" s="276" t="str">
        <f t="shared" si="0"/>
        <v>UK wide</v>
      </c>
      <c r="W74" s="276" t="str">
        <f t="shared" si="0"/>
        <v>Unknown</v>
      </c>
    </row>
    <row r="76" spans="1:23">
      <c r="A76" s="739"/>
      <c r="B76" s="740" t="s">
        <v>1359</v>
      </c>
      <c r="C76" s="739"/>
      <c r="D76" s="739"/>
      <c r="E76" s="739"/>
      <c r="F76" s="739"/>
      <c r="G76" s="739"/>
      <c r="H76" s="739"/>
    </row>
    <row r="77" spans="1:23">
      <c r="A77" s="741"/>
      <c r="B77" s="742" t="s">
        <v>897</v>
      </c>
      <c r="C77" s="741"/>
      <c r="D77" s="741"/>
      <c r="E77" s="741"/>
      <c r="F77" s="741"/>
      <c r="G77" s="741"/>
      <c r="H77" s="741"/>
    </row>
    <row r="78" spans="1:23">
      <c r="B78" s="398" t="s">
        <v>898</v>
      </c>
      <c r="C78" s="398" t="s">
        <v>899</v>
      </c>
    </row>
    <row r="79" spans="1:23">
      <c r="B79" s="276" t="s">
        <v>1359</v>
      </c>
      <c r="C79" s="276" t="s">
        <v>992</v>
      </c>
    </row>
    <row r="80" spans="1:23">
      <c r="B80" s="29"/>
    </row>
    <row r="81" spans="1:8">
      <c r="A81" s="741"/>
      <c r="B81" s="743" t="s">
        <v>943</v>
      </c>
      <c r="C81" s="741"/>
      <c r="D81" s="741"/>
      <c r="E81" s="741"/>
      <c r="F81" s="741"/>
      <c r="G81" s="741"/>
      <c r="H81" s="741"/>
    </row>
    <row r="82" spans="1:8">
      <c r="A82" s="744"/>
      <c r="B82" s="745" t="s">
        <v>912</v>
      </c>
      <c r="C82" s="744"/>
      <c r="D82" s="744"/>
      <c r="E82" s="744"/>
      <c r="F82" s="744"/>
      <c r="G82" s="744"/>
      <c r="H82" s="744"/>
    </row>
    <row r="83" spans="1:8" ht="29.1">
      <c r="B83" s="719" t="s">
        <v>913</v>
      </c>
      <c r="C83" s="719" t="s">
        <v>914</v>
      </c>
      <c r="D83" s="719" t="s">
        <v>915</v>
      </c>
      <c r="E83" s="719" t="s">
        <v>916</v>
      </c>
      <c r="F83" s="719" t="s">
        <v>917</v>
      </c>
      <c r="G83" s="719" t="s">
        <v>918</v>
      </c>
      <c r="H83" s="719" t="s">
        <v>919</v>
      </c>
    </row>
    <row r="84" spans="1:8">
      <c r="B84" s="276">
        <v>38</v>
      </c>
      <c r="C84" s="276" t="s">
        <v>1469</v>
      </c>
      <c r="D84" s="276" t="s">
        <v>717</v>
      </c>
      <c r="E84" s="276">
        <v>2024</v>
      </c>
      <c r="F84" s="276" t="s">
        <v>1047</v>
      </c>
      <c r="G84" s="276" t="s">
        <v>1457</v>
      </c>
      <c r="H84" s="276" t="s">
        <v>923</v>
      </c>
    </row>
    <row r="85" spans="1:8">
      <c r="B85" s="29"/>
    </row>
    <row r="86" spans="1:8">
      <c r="A86" s="744"/>
      <c r="B86" s="745" t="s">
        <v>924</v>
      </c>
      <c r="C86" s="744"/>
      <c r="D86" s="744"/>
      <c r="E86" s="744"/>
      <c r="F86" s="744"/>
      <c r="G86" s="744"/>
      <c r="H86" s="744"/>
    </row>
    <row r="87" spans="1:8">
      <c r="B87" s="398" t="s">
        <v>165</v>
      </c>
      <c r="C87" s="398" t="s">
        <v>925</v>
      </c>
      <c r="D87" s="398" t="s">
        <v>926</v>
      </c>
      <c r="E87" s="1139" t="s">
        <v>953</v>
      </c>
      <c r="F87" s="1139"/>
      <c r="G87" s="1139"/>
      <c r="H87" s="1139"/>
    </row>
    <row r="88" spans="1:8">
      <c r="B88" s="276" t="s">
        <v>169</v>
      </c>
      <c r="C88" s="276" t="s">
        <v>166</v>
      </c>
      <c r="D88" s="278">
        <f>VLOOKUP(C88,METHODOLOGY!$C$175:$D$177,2,FALSE)</f>
        <v>3</v>
      </c>
      <c r="E88" s="1087" t="str">
        <f>_xlfn.XLOOKUP(C88,METHODOLOGY!$E$150:$O$150,METHODOLOGY!$E$151:$O$151,"",0,1)</f>
        <v>Monetary values have been peer reviewed or are recommended / referenced in other, well recognised and accepted guidance / tools relevant to the water sector.</v>
      </c>
      <c r="F88" s="1087"/>
      <c r="G88" s="1087"/>
      <c r="H88" s="1087"/>
    </row>
    <row r="89" spans="1:8">
      <c r="B89" s="276" t="s">
        <v>173</v>
      </c>
      <c r="C89" s="276" t="s">
        <v>166</v>
      </c>
      <c r="D89" s="278">
        <f>VLOOKUP(C89,METHODOLOGY!$C$175:$D$177,2,FALSE)</f>
        <v>3</v>
      </c>
      <c r="E89" s="1087" t="str">
        <f>_xlfn.XLOOKUP(C89,METHODOLOGY!$E$150:$O$150,METHODOLOGY!$E$155:$O$155,"",0,1)</f>
        <v>Study has few limitations and is considered robust.</v>
      </c>
      <c r="F89" s="1087"/>
      <c r="G89" s="1087"/>
      <c r="H89" s="1087"/>
    </row>
    <row r="90" spans="1:8">
      <c r="B90" s="276" t="s">
        <v>177</v>
      </c>
      <c r="C90" s="276" t="s">
        <v>166</v>
      </c>
      <c r="D90" s="278">
        <f>VLOOKUP(C90,METHODOLOGY!$C$175:$D$177,2,FALSE)</f>
        <v>3</v>
      </c>
      <c r="E90" s="1087" t="str">
        <f>_xlfn.XLOOKUP(C90,METHODOLOGY!$E$150:$O$150,METHODOLOGY!$E$158:$O$158,"",0,1)</f>
        <v>0 – 5 years</v>
      </c>
      <c r="F90" s="1087"/>
      <c r="G90" s="1087"/>
      <c r="H90" s="1087"/>
    </row>
    <row r="91" spans="1:8">
      <c r="B91" s="276" t="s">
        <v>181</v>
      </c>
      <c r="C91" s="276" t="s">
        <v>166</v>
      </c>
      <c r="D91" s="278">
        <f>VLOOKUP(C91,METHODOLOGY!$C$175:$D$177,2,FALSE)</f>
        <v>3</v>
      </c>
      <c r="E91" s="1087" t="str">
        <f>_xlfn.XLOOKUP(C91,METHODOLOGY!$E$150:$O$150,METHODOLOGY!$E$160:$O$160,"",0,1)</f>
        <v>Geographically relevant to UK</v>
      </c>
      <c r="F91" s="1087"/>
      <c r="G91" s="1087"/>
      <c r="H91" s="1087"/>
    </row>
    <row r="92" spans="1:8">
      <c r="B92" s="276" t="s">
        <v>928</v>
      </c>
      <c r="C92" s="276" t="s">
        <v>166</v>
      </c>
      <c r="D92" s="278">
        <f>VLOOKUP(C92,METHODOLOGY!$C$175:$D$177,2,FALSE)</f>
        <v>3</v>
      </c>
      <c r="E92" s="1087" t="str">
        <f>_xlfn.XLOOKUP(C92,METHODOLOGY!$E$150:$O$150,METHODOLOGY!$E$162:$O$162,"",0,1)</f>
        <v>Clear understanding of the valuation method and how the value should be applied.</v>
      </c>
      <c r="F92" s="1087"/>
      <c r="G92" s="1087"/>
      <c r="H92" s="1087"/>
    </row>
    <row r="93" spans="1:8">
      <c r="B93" s="276" t="s">
        <v>189</v>
      </c>
      <c r="C93" s="276" t="s">
        <v>166</v>
      </c>
      <c r="D93" s="278">
        <f>VLOOKUP(C93,METHODOLOGY!$C$175:$D$177,2,FALSE)</f>
        <v>3</v>
      </c>
      <c r="E93" s="1087" t="str">
        <f>_xlfn.XLOOKUP(C93,METHODOLOGY!$E$150:$O$150,METHODOLOGY!$E$164:$O$164,"",0,1)</f>
        <v xml:space="preserve">The original valuation can be used with no or very simple modification e.g. change units from ha to km2, applying inflation. </v>
      </c>
      <c r="F93" s="1087"/>
      <c r="G93" s="1087"/>
      <c r="H93" s="1087"/>
    </row>
    <row r="94" spans="1:8">
      <c r="C94" s="282" t="s">
        <v>924</v>
      </c>
      <c r="D94" s="326">
        <f>IF(AND(D93=1,AVERAGE(D88:D93)&gt;2.14285714285714),2.14285714285714,IF(AND(D93=2,AVERAGE(D88:D93)&gt;2.57142857142857),2.57142857142857,AVERAGE(D88:D93)))</f>
        <v>3</v>
      </c>
      <c r="E94" s="270" t="str">
        <f>IF(D94&lt;=2.14285714285714,"Red",IF(D94&lt;=2.57142857142857,"Amber",IF(D94&lt;=3,"Green")))</f>
        <v>Green</v>
      </c>
    </row>
    <row r="96" spans="1:8">
      <c r="A96" s="744"/>
      <c r="B96" s="745" t="s">
        <v>929</v>
      </c>
      <c r="C96" s="744"/>
      <c r="D96" s="744"/>
      <c r="E96" s="744"/>
      <c r="F96" s="744"/>
      <c r="G96" s="744"/>
      <c r="H96" s="744"/>
    </row>
    <row r="97" spans="1:14">
      <c r="B97" s="398" t="s">
        <v>1089</v>
      </c>
      <c r="C97" s="398" t="s">
        <v>902</v>
      </c>
      <c r="D97" s="398" t="s">
        <v>331</v>
      </c>
      <c r="E97" s="398" t="s">
        <v>226</v>
      </c>
      <c r="F97" s="1146" t="s">
        <v>930</v>
      </c>
      <c r="G97" s="1147"/>
      <c r="H97" s="1147"/>
      <c r="I97" s="1147"/>
      <c r="J97" s="1147"/>
      <c r="K97" s="1148"/>
      <c r="L97" s="398" t="s">
        <v>913</v>
      </c>
      <c r="M97" s="398" t="s">
        <v>169</v>
      </c>
    </row>
    <row r="98" spans="1:14" ht="67.5" customHeight="1">
      <c r="B98" s="338" t="s">
        <v>151</v>
      </c>
      <c r="C98" s="342" t="s">
        <v>521</v>
      </c>
      <c r="D98" s="467">
        <v>23117</v>
      </c>
      <c r="E98" s="339" t="s">
        <v>1032</v>
      </c>
      <c r="F98" s="1142" t="s">
        <v>1470</v>
      </c>
      <c r="G98" s="1143"/>
      <c r="H98" s="1143"/>
      <c r="I98" s="1143"/>
      <c r="J98" s="1143"/>
      <c r="K98" s="1144"/>
      <c r="L98" s="468" t="s">
        <v>1471</v>
      </c>
      <c r="M98" s="468" t="s">
        <v>1472</v>
      </c>
    </row>
    <row r="99" spans="1:14">
      <c r="B99" s="9"/>
      <c r="C99" s="9"/>
      <c r="D99" s="9"/>
      <c r="E99" s="6"/>
      <c r="F99" s="32"/>
      <c r="G99" s="125"/>
      <c r="H99" s="139"/>
      <c r="I99" s="24"/>
      <c r="J99" s="24"/>
      <c r="K99" s="24"/>
      <c r="L99" s="24"/>
      <c r="M99" s="24"/>
      <c r="N99" s="24"/>
    </row>
    <row r="100" spans="1:14">
      <c r="I100" s="127"/>
    </row>
    <row r="102" spans="1:14">
      <c r="I102" s="127"/>
    </row>
    <row r="103" spans="1:14">
      <c r="I103" s="127"/>
    </row>
    <row r="104" spans="1:14">
      <c r="I104" s="127"/>
    </row>
    <row r="105" spans="1:14">
      <c r="A105" s="741"/>
      <c r="B105" s="743" t="s">
        <v>1028</v>
      </c>
      <c r="C105" s="741"/>
      <c r="D105" s="741"/>
      <c r="E105" s="741"/>
      <c r="F105" s="741"/>
      <c r="G105" s="741"/>
      <c r="H105" s="741"/>
    </row>
    <row r="106" spans="1:14">
      <c r="A106" s="744"/>
      <c r="B106" s="745" t="s">
        <v>912</v>
      </c>
      <c r="C106" s="744"/>
      <c r="D106" s="744"/>
      <c r="E106" s="744"/>
      <c r="F106" s="744"/>
      <c r="G106" s="744"/>
      <c r="H106" s="744"/>
    </row>
    <row r="107" spans="1:14" ht="29.1">
      <c r="B107" s="719" t="s">
        <v>913</v>
      </c>
      <c r="C107" s="719" t="s">
        <v>914</v>
      </c>
      <c r="D107" s="719" t="s">
        <v>915</v>
      </c>
      <c r="E107" s="719" t="s">
        <v>916</v>
      </c>
      <c r="F107" s="719" t="s">
        <v>917</v>
      </c>
      <c r="G107" s="719" t="s">
        <v>918</v>
      </c>
      <c r="H107" s="719" t="s">
        <v>919</v>
      </c>
    </row>
    <row r="108" spans="1:14">
      <c r="B108" s="278">
        <v>16</v>
      </c>
      <c r="C108" s="278" t="s">
        <v>1130</v>
      </c>
      <c r="D108" s="278"/>
      <c r="E108" s="278">
        <v>2023</v>
      </c>
      <c r="F108" s="278" t="s">
        <v>1048</v>
      </c>
      <c r="G108" s="278" t="s">
        <v>1048</v>
      </c>
      <c r="H108" s="278"/>
    </row>
    <row r="109" spans="1:14">
      <c r="B109" s="276">
        <v>61</v>
      </c>
      <c r="C109" s="276" t="s">
        <v>1473</v>
      </c>
      <c r="D109" s="276"/>
      <c r="E109" s="276">
        <v>2018</v>
      </c>
      <c r="F109" s="276" t="s">
        <v>1047</v>
      </c>
      <c r="G109" s="276" t="s">
        <v>1474</v>
      </c>
      <c r="H109" s="276"/>
    </row>
    <row r="110" spans="1:14">
      <c r="B110" s="29"/>
    </row>
    <row r="111" spans="1:14">
      <c r="A111" s="744"/>
      <c r="B111" s="745" t="s">
        <v>924</v>
      </c>
      <c r="C111" s="744"/>
      <c r="D111" s="744"/>
      <c r="E111" s="744"/>
      <c r="F111" s="744"/>
      <c r="G111" s="744"/>
      <c r="H111" s="744"/>
    </row>
    <row r="112" spans="1:14">
      <c r="B112" s="398" t="s">
        <v>165</v>
      </c>
      <c r="C112" s="398" t="s">
        <v>925</v>
      </c>
      <c r="D112" s="398" t="s">
        <v>926</v>
      </c>
      <c r="E112" s="1139" t="s">
        <v>953</v>
      </c>
      <c r="F112" s="1139"/>
      <c r="G112" s="1139"/>
      <c r="H112" s="1139"/>
    </row>
    <row r="113" spans="1:13">
      <c r="B113" s="276" t="s">
        <v>169</v>
      </c>
      <c r="C113" s="276" t="s">
        <v>166</v>
      </c>
      <c r="D113" s="278">
        <f>VLOOKUP(C113,METHODOLOGY!$C$175:$D$177,2,FALSE)</f>
        <v>3</v>
      </c>
      <c r="E113" s="1087" t="str">
        <f>_xlfn.XLOOKUP(C113,METHODOLOGY!$E$150:$O$150,METHODOLOGY!$E$151:$O$151,"",0,1)</f>
        <v>Monetary values have been peer reviewed or are recommended / referenced in other, well recognised and accepted guidance / tools relevant to the water sector.</v>
      </c>
      <c r="F113" s="1087"/>
      <c r="G113" s="1087"/>
      <c r="H113" s="1087"/>
    </row>
    <row r="114" spans="1:13">
      <c r="B114" s="276" t="s">
        <v>173</v>
      </c>
      <c r="C114" s="276" t="s">
        <v>166</v>
      </c>
      <c r="D114" s="278">
        <f>VLOOKUP(C114,METHODOLOGY!$C$175:$D$177,2,FALSE)</f>
        <v>3</v>
      </c>
      <c r="E114" s="1087" t="str">
        <f>_xlfn.XLOOKUP(C114,METHODOLOGY!$E$150:$O$150,METHODOLOGY!$E$155:$O$155,"",0,1)</f>
        <v>Study has few limitations and is considered robust.</v>
      </c>
      <c r="F114" s="1087"/>
      <c r="G114" s="1087"/>
      <c r="H114" s="1087"/>
    </row>
    <row r="115" spans="1:13">
      <c r="B115" s="276" t="s">
        <v>177</v>
      </c>
      <c r="C115" s="276" t="s">
        <v>166</v>
      </c>
      <c r="D115" s="278">
        <f>VLOOKUP(C115,METHODOLOGY!$C$175:$D$177,2,FALSE)</f>
        <v>3</v>
      </c>
      <c r="E115" s="1087" t="str">
        <f>_xlfn.XLOOKUP(C115,METHODOLOGY!$E$150:$O$150,METHODOLOGY!$E$158:$O$158,"",0,1)</f>
        <v>0 – 5 years</v>
      </c>
      <c r="F115" s="1087"/>
      <c r="G115" s="1087"/>
      <c r="H115" s="1087"/>
    </row>
    <row r="116" spans="1:13">
      <c r="B116" s="276" t="s">
        <v>181</v>
      </c>
      <c r="C116" s="276" t="s">
        <v>166</v>
      </c>
      <c r="D116" s="278">
        <f>VLOOKUP(C116,METHODOLOGY!$C$175:$D$177,2,FALSE)</f>
        <v>3</v>
      </c>
      <c r="E116" s="1087" t="str">
        <f>_xlfn.XLOOKUP(C116,METHODOLOGY!$E$150:$O$150,METHODOLOGY!$E$160:$O$160,"",0,1)</f>
        <v>Geographically relevant to UK</v>
      </c>
      <c r="F116" s="1087"/>
      <c r="G116" s="1087"/>
      <c r="H116" s="1087"/>
    </row>
    <row r="117" spans="1:13">
      <c r="B117" s="276" t="s">
        <v>928</v>
      </c>
      <c r="C117" s="276" t="s">
        <v>166</v>
      </c>
      <c r="D117" s="278">
        <f>VLOOKUP(C117,METHODOLOGY!$C$175:$D$177,2,FALSE)</f>
        <v>3</v>
      </c>
      <c r="E117" s="1087" t="str">
        <f>_xlfn.XLOOKUP(C117,METHODOLOGY!$E$150:$O$150,METHODOLOGY!$E$162:$O$162,"",0,1)</f>
        <v>Clear understanding of the valuation method and how the value should be applied.</v>
      </c>
      <c r="F117" s="1087"/>
      <c r="G117" s="1087"/>
      <c r="H117" s="1087"/>
    </row>
    <row r="118" spans="1:13">
      <c r="B118" s="276" t="s">
        <v>189</v>
      </c>
      <c r="C118" s="276" t="s">
        <v>166</v>
      </c>
      <c r="D118" s="278">
        <f>VLOOKUP(C118,METHODOLOGY!$C$175:$D$177,2,FALSE)</f>
        <v>3</v>
      </c>
      <c r="E118" s="1087" t="str">
        <f>_xlfn.XLOOKUP(C118,METHODOLOGY!$E$150:$O$150,METHODOLOGY!$E$164:$O$164,"",0,1)</f>
        <v xml:space="preserve">The original valuation can be used with no or very simple modification e.g. change units from ha to km2, applying inflation. </v>
      </c>
      <c r="F118" s="1087"/>
      <c r="G118" s="1087"/>
      <c r="H118" s="1087"/>
    </row>
    <row r="119" spans="1:13">
      <c r="C119" s="282" t="s">
        <v>924</v>
      </c>
      <c r="D119" s="326">
        <f>IF(AND(D118=1,AVERAGE(D113:D118)&gt;2.14285714285714),2.14285714285714,IF(AND(D118=2,AVERAGE(D113:D118)&gt;2.57142857142857),2.57142857142857,AVERAGE(D113:D118)))</f>
        <v>3</v>
      </c>
      <c r="E119" s="270" t="str">
        <f>IF(D119&lt;=2.14285714285714,"Red",IF(D119&lt;=2.57142857142857,"Amber",IF(D119&lt;=3,"Green")))</f>
        <v>Green</v>
      </c>
    </row>
    <row r="121" spans="1:13">
      <c r="A121" s="744"/>
      <c r="B121" s="745" t="s">
        <v>929</v>
      </c>
      <c r="C121" s="744"/>
      <c r="D121" s="744"/>
      <c r="E121" s="744"/>
      <c r="F121" s="744"/>
      <c r="G121" s="744"/>
      <c r="H121" s="744"/>
    </row>
    <row r="122" spans="1:13">
      <c r="B122" s="398" t="s">
        <v>1089</v>
      </c>
      <c r="C122" s="398" t="s">
        <v>902</v>
      </c>
      <c r="D122" s="398" t="s">
        <v>331</v>
      </c>
      <c r="E122" s="398" t="s">
        <v>226</v>
      </c>
      <c r="F122" s="1146" t="s">
        <v>930</v>
      </c>
      <c r="G122" s="1147"/>
      <c r="H122" s="1147"/>
      <c r="I122" s="1147"/>
      <c r="J122" s="1147"/>
      <c r="K122" s="1148"/>
      <c r="L122" s="398" t="s">
        <v>913</v>
      </c>
      <c r="M122" s="398" t="s">
        <v>169</v>
      </c>
    </row>
    <row r="123" spans="1:13" ht="29.1">
      <c r="B123" s="338" t="s">
        <v>151</v>
      </c>
      <c r="C123" s="342" t="s">
        <v>521</v>
      </c>
      <c r="D123" s="344">
        <v>1039</v>
      </c>
      <c r="E123" s="791" t="s">
        <v>1402</v>
      </c>
      <c r="F123" s="1142" t="s">
        <v>1475</v>
      </c>
      <c r="G123" s="1150"/>
      <c r="H123" s="1150"/>
      <c r="I123" s="1150"/>
      <c r="J123" s="1150"/>
      <c r="K123" s="1151"/>
      <c r="L123" s="338">
        <v>16</v>
      </c>
      <c r="M123" s="468" t="s">
        <v>1476</v>
      </c>
    </row>
    <row r="124" spans="1:13" ht="72.599999999999994">
      <c r="B124" s="338" t="s">
        <v>151</v>
      </c>
      <c r="C124" s="342" t="s">
        <v>521</v>
      </c>
      <c r="D124" s="344" t="s">
        <v>1477</v>
      </c>
      <c r="E124" s="791" t="s">
        <v>1478</v>
      </c>
      <c r="F124" s="1142" t="s">
        <v>1479</v>
      </c>
      <c r="G124" s="1150"/>
      <c r="H124" s="1150"/>
      <c r="I124" s="1150"/>
      <c r="J124" s="1150"/>
      <c r="K124" s="1151"/>
      <c r="L124" s="338">
        <v>61</v>
      </c>
      <c r="M124" s="636" t="s">
        <v>1480</v>
      </c>
    </row>
    <row r="125" spans="1:13">
      <c r="I125" s="127"/>
    </row>
    <row r="126" spans="1:13">
      <c r="I126" s="127"/>
    </row>
    <row r="127" spans="1:13">
      <c r="I127" s="127"/>
    </row>
    <row r="128" spans="1:13">
      <c r="I128" s="127"/>
    </row>
    <row r="129" spans="9:9">
      <c r="I129" s="127"/>
    </row>
    <row r="130" spans="9:9">
      <c r="I130" s="127"/>
    </row>
    <row r="131" spans="9:9">
      <c r="I131" s="127"/>
    </row>
    <row r="132" spans="9:9">
      <c r="I132" s="127"/>
    </row>
    <row r="133" spans="9:9">
      <c r="I133" s="127"/>
    </row>
    <row r="134" spans="9:9">
      <c r="I134" s="127"/>
    </row>
    <row r="135" spans="9:9">
      <c r="I135" s="127"/>
    </row>
    <row r="136" spans="9:9">
      <c r="I136" s="127"/>
    </row>
    <row r="137" spans="9:9">
      <c r="I137" s="127"/>
    </row>
    <row r="138" spans="9:9">
      <c r="I138" s="127"/>
    </row>
    <row r="139" spans="9:9">
      <c r="I139" s="127"/>
    </row>
    <row r="140" spans="9:9">
      <c r="I140" s="127"/>
    </row>
    <row r="141" spans="9:9">
      <c r="I141" s="127"/>
    </row>
    <row r="142" spans="9:9">
      <c r="I142" s="127"/>
    </row>
    <row r="143" spans="9:9">
      <c r="I143" s="127"/>
    </row>
    <row r="144" spans="9:9">
      <c r="I144" s="127"/>
    </row>
    <row r="145" spans="2:9">
      <c r="I145" s="127"/>
    </row>
    <row r="146" spans="2:9">
      <c r="I146" s="127"/>
    </row>
    <row r="147" spans="2:9">
      <c r="I147" s="127"/>
    </row>
    <row r="148" spans="2:9">
      <c r="I148" s="127"/>
    </row>
    <row r="149" spans="2:9">
      <c r="I149" s="127"/>
    </row>
    <row r="150" spans="2:9">
      <c r="I150" s="127"/>
    </row>
    <row r="151" spans="2:9">
      <c r="I151" s="127"/>
    </row>
    <row r="152" spans="2:9">
      <c r="I152" s="127"/>
    </row>
    <row r="153" spans="2:9">
      <c r="I153" s="127"/>
    </row>
    <row r="154" spans="2:9">
      <c r="B154" s="7" t="s">
        <v>1481</v>
      </c>
      <c r="I154" s="127"/>
    </row>
    <row r="155" spans="2:9">
      <c r="I155" s="127"/>
    </row>
    <row r="156" spans="2:9">
      <c r="I156" s="127"/>
    </row>
    <row r="157" spans="2:9">
      <c r="I157" s="127"/>
    </row>
    <row r="158" spans="2:9">
      <c r="I158" s="127"/>
    </row>
    <row r="159" spans="2:9">
      <c r="I159" s="127"/>
    </row>
    <row r="160" spans="2:9">
      <c r="I160" s="127"/>
    </row>
    <row r="161" spans="1:9">
      <c r="I161" s="127"/>
    </row>
    <row r="162" spans="1:9">
      <c r="I162" s="127"/>
    </row>
    <row r="163" spans="1:9">
      <c r="I163" s="127"/>
    </row>
    <row r="164" spans="1:9">
      <c r="I164" s="127"/>
    </row>
    <row r="165" spans="1:9">
      <c r="I165" s="127"/>
    </row>
    <row r="166" spans="1:9">
      <c r="I166" s="127"/>
    </row>
    <row r="167" spans="1:9">
      <c r="I167" s="127"/>
    </row>
    <row r="168" spans="1:9">
      <c r="I168" s="127"/>
    </row>
    <row r="169" spans="1:9">
      <c r="I169" s="127"/>
    </row>
    <row r="170" spans="1:9">
      <c r="I170" s="127"/>
    </row>
    <row r="171" spans="1:9">
      <c r="A171" s="744"/>
      <c r="B171" s="745" t="s">
        <v>936</v>
      </c>
      <c r="C171" s="744"/>
      <c r="D171" s="744"/>
      <c r="E171" s="744"/>
      <c r="F171" s="744"/>
      <c r="G171" s="744"/>
      <c r="H171" s="744"/>
    </row>
    <row r="172" spans="1:9">
      <c r="B172" s="768" t="s">
        <v>1482</v>
      </c>
      <c r="C172" s="767" t="s">
        <v>331</v>
      </c>
      <c r="D172" s="1299" t="s">
        <v>226</v>
      </c>
      <c r="E172" s="1300"/>
    </row>
    <row r="173" spans="1:9" ht="29.1">
      <c r="B173" s="790" t="s">
        <v>1483</v>
      </c>
      <c r="C173" s="343">
        <v>54312</v>
      </c>
      <c r="D173" s="1301" t="s">
        <v>1032</v>
      </c>
      <c r="E173" s="1302"/>
    </row>
    <row r="174" spans="1:9" ht="29.1">
      <c r="B174" s="790" t="s">
        <v>1484</v>
      </c>
      <c r="C174" s="157">
        <v>166549</v>
      </c>
      <c r="D174" s="1301" t="s">
        <v>1032</v>
      </c>
      <c r="E174" s="1302"/>
    </row>
    <row r="175" spans="1:9" ht="29.1">
      <c r="B175" s="411" t="s">
        <v>1485</v>
      </c>
      <c r="C175" s="789">
        <f>C173/C174</f>
        <v>0.3261022281730902</v>
      </c>
      <c r="D175" s="1301" t="s">
        <v>1486</v>
      </c>
      <c r="E175" s="1302"/>
      <c r="F175" s="128"/>
      <c r="G175" s="128"/>
      <c r="H175" s="128"/>
    </row>
    <row r="176" spans="1:9">
      <c r="I176" s="127"/>
    </row>
    <row r="177" spans="1:23">
      <c r="B177" s="768" t="s">
        <v>1487</v>
      </c>
      <c r="C177" s="767" t="s">
        <v>331</v>
      </c>
      <c r="D177" s="1299" t="s">
        <v>226</v>
      </c>
      <c r="E177" s="1300"/>
      <c r="I177" s="127"/>
    </row>
    <row r="178" spans="1:23">
      <c r="B178" s="466" t="s">
        <v>1488</v>
      </c>
      <c r="C178" s="343">
        <f>D123</f>
        <v>1039</v>
      </c>
      <c r="D178" s="1301" t="s">
        <v>1032</v>
      </c>
      <c r="E178" s="1302"/>
      <c r="I178" s="127"/>
    </row>
    <row r="179" spans="1:23">
      <c r="B179" s="466" t="s">
        <v>1489</v>
      </c>
      <c r="C179" s="343">
        <f>C178*C175</f>
        <v>338.82021507184072</v>
      </c>
      <c r="D179" s="1303" t="s">
        <v>1032</v>
      </c>
      <c r="E179" s="1302"/>
      <c r="I179" s="127"/>
    </row>
    <row r="180" spans="1:23">
      <c r="I180" s="127"/>
    </row>
    <row r="181" spans="1:23">
      <c r="A181" s="741"/>
      <c r="B181" s="743" t="s">
        <v>901</v>
      </c>
      <c r="C181" s="741"/>
      <c r="D181" s="741"/>
      <c r="E181" s="741"/>
      <c r="F181" s="741"/>
      <c r="G181" s="741"/>
      <c r="H181" s="741"/>
    </row>
    <row r="182" spans="1:23" ht="29.1">
      <c r="B182" s="522" t="s">
        <v>902</v>
      </c>
      <c r="C182" s="522" t="s">
        <v>898</v>
      </c>
      <c r="D182" s="522" t="s">
        <v>899</v>
      </c>
      <c r="E182" s="719" t="s">
        <v>903</v>
      </c>
      <c r="F182" s="522" t="s">
        <v>904</v>
      </c>
      <c r="G182" s="705" t="s">
        <v>905</v>
      </c>
      <c r="H182" s="522" t="s">
        <v>924</v>
      </c>
      <c r="I182" s="522" t="s">
        <v>956</v>
      </c>
      <c r="J182" s="522" t="s">
        <v>927</v>
      </c>
    </row>
    <row r="183" spans="1:23">
      <c r="B183" s="276" t="str">
        <f>C98</f>
        <v>Internal flooding of residential living space</v>
      </c>
      <c r="C183" s="276" t="str">
        <f>B98</f>
        <v>Quality of place</v>
      </c>
      <c r="D183" s="276" t="str">
        <f>C79</f>
        <v>Reduced quality of place</v>
      </c>
      <c r="E183" s="373" t="s">
        <v>1028</v>
      </c>
      <c r="F183" s="340" t="s">
        <v>1490</v>
      </c>
      <c r="G183" s="311">
        <f>VLOOKUP(F183,$B$187:$L$188,11,FALSE)</f>
        <v>333.73213485645363</v>
      </c>
      <c r="H183" s="326">
        <f>N188</f>
        <v>3</v>
      </c>
      <c r="I183" s="276" t="str">
        <f>M188</f>
        <v>WTA scaled</v>
      </c>
      <c r="J183" s="276" t="str">
        <f>P188</f>
        <v>Consistent with sewer flooding valuations and use of Ofwat study</v>
      </c>
    </row>
    <row r="184" spans="1:23">
      <c r="B184" s="30"/>
    </row>
    <row r="185" spans="1:23">
      <c r="A185" s="744"/>
      <c r="B185" s="745" t="s">
        <v>962</v>
      </c>
      <c r="C185" s="744"/>
      <c r="D185" s="744"/>
      <c r="E185" s="744"/>
      <c r="F185" s="744"/>
      <c r="G185" s="744"/>
      <c r="H185" s="744"/>
    </row>
    <row r="186" spans="1:23">
      <c r="B186" s="398" t="s">
        <v>904</v>
      </c>
      <c r="C186" s="398" t="s">
        <v>62</v>
      </c>
      <c r="D186" s="398" t="s">
        <v>902</v>
      </c>
      <c r="E186" s="398" t="s">
        <v>898</v>
      </c>
      <c r="F186" s="398" t="s">
        <v>916</v>
      </c>
      <c r="G186" s="398" t="s">
        <v>963</v>
      </c>
      <c r="H186" s="398" t="s">
        <v>964</v>
      </c>
      <c r="I186" s="398" t="s">
        <v>965</v>
      </c>
      <c r="J186" s="398" t="s">
        <v>966</v>
      </c>
      <c r="K186" s="398" t="s">
        <v>967</v>
      </c>
      <c r="L186" s="398" t="s">
        <v>968</v>
      </c>
      <c r="M186" s="398" t="s">
        <v>956</v>
      </c>
      <c r="N186" s="398" t="s">
        <v>969</v>
      </c>
      <c r="O186" s="398" t="s">
        <v>970</v>
      </c>
      <c r="P186" s="398" t="s">
        <v>927</v>
      </c>
      <c r="Q186" s="398" t="s">
        <v>913</v>
      </c>
      <c r="R186" s="398" t="s">
        <v>914</v>
      </c>
      <c r="S186" s="398" t="s">
        <v>915</v>
      </c>
      <c r="T186" s="398" t="s">
        <v>916</v>
      </c>
      <c r="U186" s="398" t="s">
        <v>917</v>
      </c>
      <c r="V186" s="398" t="s">
        <v>918</v>
      </c>
      <c r="W186" s="398" t="s">
        <v>919</v>
      </c>
    </row>
    <row r="187" spans="1:23">
      <c r="B187" s="372" t="s">
        <v>1491</v>
      </c>
      <c r="C187" s="276" t="s">
        <v>1468</v>
      </c>
      <c r="D187" s="276" t="str">
        <f>B183</f>
        <v>Internal flooding of residential living space</v>
      </c>
      <c r="E187" s="276" t="str">
        <f>C183</f>
        <v>Quality of place</v>
      </c>
      <c r="F187" s="373">
        <f>E84</f>
        <v>2024</v>
      </c>
      <c r="G187" s="276">
        <f>E84</f>
        <v>2024</v>
      </c>
      <c r="H187" s="276">
        <f>'COMPANY INPUT'!$C$16</f>
        <v>2023</v>
      </c>
      <c r="I187" s="276">
        <f>VLOOKUP(G187,'GDP Deflators'!$H$13:$I$86,2,FALSE)</f>
        <v>101.52460002617836</v>
      </c>
      <c r="J187" s="276">
        <f>VLOOKUP(H187,'GDP Deflators'!$H$13:$I$86,2,FALSE)</f>
        <v>100</v>
      </c>
      <c r="K187" s="343">
        <f>D98</f>
        <v>23117</v>
      </c>
      <c r="L187" s="747">
        <f>K187*(J187/I187)</f>
        <v>22769.850848010457</v>
      </c>
      <c r="M187" s="276" t="s">
        <v>1492</v>
      </c>
      <c r="N187" s="326">
        <f>D94</f>
        <v>3</v>
      </c>
      <c r="O187" s="276" t="s">
        <v>717</v>
      </c>
      <c r="P187" s="276" t="s">
        <v>1493</v>
      </c>
      <c r="Q187" s="373">
        <f t="shared" ref="Q187:W187" si="1">B84</f>
        <v>38</v>
      </c>
      <c r="R187" s="276" t="str">
        <f t="shared" si="1"/>
        <v>MCM (2024) MCM Simplified benefit: cost appraisal tool for flood risk management</v>
      </c>
      <c r="S187" s="276" t="str">
        <f t="shared" si="1"/>
        <v>No</v>
      </c>
      <c r="T187" s="276">
        <f t="shared" si="1"/>
        <v>2024</v>
      </c>
      <c r="U187" s="276" t="str">
        <f t="shared" si="1"/>
        <v>UK</v>
      </c>
      <c r="V187" s="276" t="str">
        <f t="shared" si="1"/>
        <v>UK wide</v>
      </c>
      <c r="W187" s="276" t="str">
        <f t="shared" si="1"/>
        <v>Unknown</v>
      </c>
    </row>
    <row r="188" spans="1:23">
      <c r="B188" s="372" t="s">
        <v>1490</v>
      </c>
      <c r="C188" s="276" t="s">
        <v>1468</v>
      </c>
      <c r="D188" s="276" t="s">
        <v>521</v>
      </c>
      <c r="E188" s="276" t="s">
        <v>151</v>
      </c>
      <c r="F188" s="373">
        <f>E108</f>
        <v>2023</v>
      </c>
      <c r="G188" s="276">
        <v>2024</v>
      </c>
      <c r="H188" s="276">
        <f>'COMPANY INPUT'!$C$16</f>
        <v>2023</v>
      </c>
      <c r="I188" s="276">
        <f>VLOOKUP(G188,'GDP Deflators'!$H$13:$I$86,2,FALSE)</f>
        <v>101.52460002617836</v>
      </c>
      <c r="J188" s="276">
        <f>VLOOKUP(H188,'GDP Deflators'!$H$13:$I$86,2,FALSE)</f>
        <v>100</v>
      </c>
      <c r="K188" s="343">
        <f>C179</f>
        <v>338.82021507184072</v>
      </c>
      <c r="L188" s="747">
        <f>K188*(J188/I188)</f>
        <v>333.73213485645363</v>
      </c>
      <c r="M188" s="276" t="s">
        <v>1494</v>
      </c>
      <c r="N188" s="326">
        <f>D119</f>
        <v>3</v>
      </c>
      <c r="O188" s="276" t="s">
        <v>718</v>
      </c>
      <c r="P188" s="276" t="s">
        <v>1495</v>
      </c>
      <c r="Q188" s="373">
        <f t="shared" ref="Q188:W188" si="2">B108</f>
        <v>16</v>
      </c>
      <c r="R188" s="373" t="str">
        <f t="shared" si="2"/>
        <v>Ofwat (2023) PR24: Using collaborative customer research to set outcome delivery incentive rates</v>
      </c>
      <c r="S188" s="373">
        <f t="shared" si="2"/>
        <v>0</v>
      </c>
      <c r="T188" s="373">
        <f t="shared" si="2"/>
        <v>2023</v>
      </c>
      <c r="U188" s="373" t="str">
        <f t="shared" si="2"/>
        <v>England and Wales</v>
      </c>
      <c r="V188" s="373" t="str">
        <f t="shared" si="2"/>
        <v>England and Wales</v>
      </c>
      <c r="W188" s="373">
        <f t="shared" si="2"/>
        <v>0</v>
      </c>
    </row>
    <row r="190" spans="1:23">
      <c r="A190" s="739"/>
      <c r="B190" s="740" t="s">
        <v>1378</v>
      </c>
      <c r="C190" s="739"/>
      <c r="D190" s="739"/>
      <c r="E190" s="739"/>
      <c r="F190" s="739"/>
      <c r="G190" s="739"/>
      <c r="H190" s="739"/>
    </row>
    <row r="191" spans="1:23">
      <c r="A191" s="741"/>
      <c r="B191" s="742" t="s">
        <v>897</v>
      </c>
      <c r="C191" s="741"/>
      <c r="D191" s="741"/>
      <c r="E191" s="741"/>
      <c r="F191" s="741"/>
      <c r="G191" s="741"/>
      <c r="H191" s="741"/>
    </row>
    <row r="192" spans="1:23">
      <c r="B192" s="398" t="s">
        <v>898</v>
      </c>
      <c r="C192" s="398" t="s">
        <v>899</v>
      </c>
    </row>
    <row r="193" spans="1:23">
      <c r="B193" s="276" t="s">
        <v>1378</v>
      </c>
      <c r="C193" s="276" t="s">
        <v>1496</v>
      </c>
    </row>
    <row r="194" spans="1:23">
      <c r="B194" s="29"/>
    </row>
    <row r="195" spans="1:23">
      <c r="A195" s="741"/>
      <c r="B195" s="743" t="s">
        <v>1039</v>
      </c>
      <c r="C195" s="741"/>
      <c r="D195" s="741"/>
      <c r="E195" s="741"/>
      <c r="F195" s="741"/>
      <c r="G195" s="741"/>
      <c r="H195" s="741"/>
    </row>
    <row r="196" spans="1:23">
      <c r="A196" s="744"/>
      <c r="B196" s="745" t="s">
        <v>912</v>
      </c>
      <c r="C196" s="744"/>
      <c r="D196" s="744"/>
      <c r="E196" s="744"/>
      <c r="F196" s="744"/>
      <c r="G196" s="744"/>
      <c r="H196" s="744"/>
    </row>
    <row r="197" spans="1:23" ht="29.1">
      <c r="B197" s="719" t="s">
        <v>913</v>
      </c>
      <c r="C197" s="719" t="s">
        <v>914</v>
      </c>
      <c r="D197" s="719" t="s">
        <v>915</v>
      </c>
      <c r="E197" s="719" t="s">
        <v>916</v>
      </c>
      <c r="F197" s="719" t="s">
        <v>917</v>
      </c>
      <c r="G197" s="719" t="s">
        <v>918</v>
      </c>
      <c r="H197" s="719" t="s">
        <v>919</v>
      </c>
    </row>
    <row r="198" spans="1:23">
      <c r="B198" s="276">
        <v>38</v>
      </c>
      <c r="C198" s="276" t="s">
        <v>1497</v>
      </c>
      <c r="D198" s="276" t="s">
        <v>717</v>
      </c>
      <c r="E198" s="276">
        <v>2024</v>
      </c>
      <c r="F198" s="276" t="s">
        <v>1047</v>
      </c>
      <c r="G198" s="276" t="s">
        <v>1457</v>
      </c>
      <c r="H198" s="276" t="s">
        <v>923</v>
      </c>
    </row>
    <row r="199" spans="1:23">
      <c r="B199" s="29"/>
    </row>
    <row r="200" spans="1:23" s="764" customFormat="1">
      <c r="A200" s="744"/>
      <c r="B200" s="745" t="s">
        <v>924</v>
      </c>
      <c r="C200" s="744"/>
      <c r="D200" s="744"/>
      <c r="E200" s="744"/>
      <c r="F200" s="744"/>
      <c r="G200" s="744"/>
      <c r="H200" s="744"/>
      <c r="I200" s="7"/>
      <c r="J200" s="7"/>
      <c r="K200" s="7"/>
      <c r="L200" s="7"/>
      <c r="M200" s="7"/>
      <c r="N200" s="7"/>
      <c r="O200" s="7"/>
      <c r="P200" s="7"/>
      <c r="Q200" s="7"/>
      <c r="R200" s="7"/>
      <c r="S200" s="7"/>
      <c r="T200" s="7"/>
      <c r="U200" s="7"/>
      <c r="V200" s="7"/>
      <c r="W200" s="7"/>
    </row>
    <row r="201" spans="1:23">
      <c r="B201" s="398" t="s">
        <v>165</v>
      </c>
      <c r="C201" s="398" t="s">
        <v>925</v>
      </c>
      <c r="D201" s="398" t="s">
        <v>926</v>
      </c>
      <c r="E201" s="1139" t="s">
        <v>953</v>
      </c>
      <c r="F201" s="1139"/>
      <c r="G201" s="1139"/>
      <c r="H201" s="1139"/>
    </row>
    <row r="202" spans="1:23">
      <c r="B202" s="276" t="s">
        <v>169</v>
      </c>
      <c r="C202" s="276" t="s">
        <v>166</v>
      </c>
      <c r="D202" s="278">
        <f>VLOOKUP(C202,METHODOLOGY!$C$175:$D$177,2,FALSE)</f>
        <v>3</v>
      </c>
      <c r="E202" s="1087" t="str">
        <f>_xlfn.XLOOKUP(C202,METHODOLOGY!$E$150:$O$150,METHODOLOGY!$E$151:$O$151,"",0,1)</f>
        <v>Monetary values have been peer reviewed or are recommended / referenced in other, well recognised and accepted guidance / tools relevant to the water sector.</v>
      </c>
      <c r="F202" s="1087"/>
      <c r="G202" s="1087"/>
      <c r="H202" s="1087"/>
    </row>
    <row r="203" spans="1:23">
      <c r="B203" s="276" t="s">
        <v>173</v>
      </c>
      <c r="C203" s="276" t="s">
        <v>166</v>
      </c>
      <c r="D203" s="278">
        <f>VLOOKUP(C203,METHODOLOGY!$C$175:$D$177,2,FALSE)</f>
        <v>3</v>
      </c>
      <c r="E203" s="1087" t="str">
        <f>_xlfn.XLOOKUP(C203,METHODOLOGY!$E$150:$O$150,METHODOLOGY!$E$155:$O$155,"",0,1)</f>
        <v>Study has few limitations and is considered robust.</v>
      </c>
      <c r="F203" s="1087"/>
      <c r="G203" s="1087"/>
      <c r="H203" s="1087"/>
    </row>
    <row r="204" spans="1:23">
      <c r="B204" s="276" t="s">
        <v>177</v>
      </c>
      <c r="C204" s="276" t="s">
        <v>166</v>
      </c>
      <c r="D204" s="278">
        <f>VLOOKUP(C204,METHODOLOGY!$C$175:$D$177,2,FALSE)</f>
        <v>3</v>
      </c>
      <c r="E204" s="1087" t="str">
        <f>_xlfn.XLOOKUP(C204,METHODOLOGY!$E$150:$O$150,METHODOLOGY!$E$158:$O$158,"",0,1)</f>
        <v>0 – 5 years</v>
      </c>
      <c r="F204" s="1087"/>
      <c r="G204" s="1087"/>
      <c r="H204" s="1087"/>
    </row>
    <row r="205" spans="1:23">
      <c r="B205" s="276" t="s">
        <v>181</v>
      </c>
      <c r="C205" s="276" t="s">
        <v>166</v>
      </c>
      <c r="D205" s="278">
        <f>VLOOKUP(C205,METHODOLOGY!$C$175:$D$177,2,FALSE)</f>
        <v>3</v>
      </c>
      <c r="E205" s="1087" t="str">
        <f>_xlfn.XLOOKUP(C205,METHODOLOGY!$E$150:$O$150,METHODOLOGY!$E$160:$O$160,"",0,1)</f>
        <v>Geographically relevant to UK</v>
      </c>
      <c r="F205" s="1087"/>
      <c r="G205" s="1087"/>
      <c r="H205" s="1087"/>
    </row>
    <row r="206" spans="1:23">
      <c r="B206" s="276" t="s">
        <v>928</v>
      </c>
      <c r="C206" s="276" t="s">
        <v>166</v>
      </c>
      <c r="D206" s="278">
        <f>VLOOKUP(C206,METHODOLOGY!$C$175:$D$177,2,FALSE)</f>
        <v>3</v>
      </c>
      <c r="E206" s="1087" t="str">
        <f>_xlfn.XLOOKUP(C206,METHODOLOGY!$E$150:$O$150,METHODOLOGY!$E$162:$O$162,"",0,1)</f>
        <v>Clear understanding of the valuation method and how the value should be applied.</v>
      </c>
      <c r="F206" s="1087"/>
      <c r="G206" s="1087"/>
      <c r="H206" s="1087"/>
    </row>
    <row r="207" spans="1:23">
      <c r="B207" s="276" t="s">
        <v>189</v>
      </c>
      <c r="C207" s="276" t="s">
        <v>168</v>
      </c>
      <c r="D207" s="278">
        <f>VLOOKUP(C207,METHODOLOGY!$C$175:$D$177,2,FALSE)</f>
        <v>1</v>
      </c>
      <c r="E207" s="1087" t="str">
        <f>_xlfn.XLOOKUP(C207,METHODOLOGY!$E$150:$O$150,METHODOLOGY!$E$164:$O$164,"",0,1)</f>
        <v xml:space="preserve">The original valuation can be used with significant modification e.g. several additional data inputs are required to use the original source. The calculation is complex or introduces significant uncertainty. </v>
      </c>
      <c r="F207" s="1087"/>
      <c r="G207" s="1087"/>
      <c r="H207" s="1087"/>
    </row>
    <row r="208" spans="1:23">
      <c r="C208" s="282" t="s">
        <v>924</v>
      </c>
      <c r="D208" s="326">
        <f>IF(AND(D207=1,AVERAGE(D202:D207)&gt;2.14285714285714),2.14285714285714,IF(AND(D207=2,AVERAGE(D202:D207)&gt;2.57142857142857),2.57142857142857,AVERAGE(D202:D207)))</f>
        <v>2.1428571428571401</v>
      </c>
      <c r="E208" s="270" t="str">
        <f>IF(D208&lt;=2.14285714285714,"Red",IF(D208&lt;=2.57142857142857,"Amber",IF(D208&lt;=3,"Green")))</f>
        <v>Red</v>
      </c>
    </row>
    <row r="210" spans="1:14">
      <c r="A210" s="744"/>
      <c r="B210" s="745" t="s">
        <v>929</v>
      </c>
      <c r="C210" s="744"/>
      <c r="D210" s="744"/>
      <c r="E210" s="744"/>
      <c r="F210" s="744"/>
      <c r="G210" s="744"/>
      <c r="H210" s="744"/>
    </row>
    <row r="211" spans="1:14">
      <c r="B211" s="398" t="s">
        <v>1089</v>
      </c>
      <c r="C211" s="398" t="s">
        <v>902</v>
      </c>
      <c r="D211" s="398" t="s">
        <v>331</v>
      </c>
      <c r="E211" s="142" t="s">
        <v>226</v>
      </c>
      <c r="F211" s="1146" t="s">
        <v>930</v>
      </c>
      <c r="G211" s="1147"/>
      <c r="H211" s="1148"/>
      <c r="I211" s="398" t="s">
        <v>913</v>
      </c>
      <c r="J211" s="398" t="s">
        <v>169</v>
      </c>
    </row>
    <row r="212" spans="1:14" ht="15" customHeight="1">
      <c r="B212" s="278" t="s">
        <v>1378</v>
      </c>
      <c r="C212" s="278" t="s">
        <v>522</v>
      </c>
      <c r="D212" s="469">
        <v>429</v>
      </c>
      <c r="E212" s="394" t="s">
        <v>1498</v>
      </c>
      <c r="F212" s="1123" t="s">
        <v>1499</v>
      </c>
      <c r="G212" s="1124"/>
      <c r="H212" s="1125"/>
      <c r="I212" s="1191">
        <v>38</v>
      </c>
      <c r="J212" s="1191" t="s">
        <v>1472</v>
      </c>
    </row>
    <row r="213" spans="1:14" ht="15" customHeight="1">
      <c r="B213" s="278" t="s">
        <v>1378</v>
      </c>
      <c r="C213" s="278" t="s">
        <v>523</v>
      </c>
      <c r="D213" s="469">
        <v>429</v>
      </c>
      <c r="E213" s="394" t="s">
        <v>1498</v>
      </c>
      <c r="F213" s="1123" t="s">
        <v>1499</v>
      </c>
      <c r="G213" s="1124"/>
      <c r="H213" s="1125"/>
      <c r="I213" s="1193"/>
      <c r="J213" s="1193"/>
      <c r="N213" s="24"/>
    </row>
    <row r="214" spans="1:14">
      <c r="B214" s="9"/>
      <c r="C214" s="9"/>
      <c r="E214" s="6"/>
      <c r="F214" s="32"/>
      <c r="G214" s="125"/>
      <c r="H214" s="139"/>
      <c r="I214" s="24"/>
      <c r="J214" s="24"/>
      <c r="K214" s="24"/>
      <c r="L214" s="24"/>
      <c r="M214" s="24"/>
      <c r="N214" s="24"/>
    </row>
    <row r="215" spans="1:14">
      <c r="I215" s="127"/>
    </row>
    <row r="217" spans="1:14">
      <c r="I217" s="127"/>
    </row>
    <row r="218" spans="1:14">
      <c r="I218" s="127"/>
    </row>
    <row r="219" spans="1:14">
      <c r="A219" s="744"/>
      <c r="B219" s="745" t="s">
        <v>936</v>
      </c>
      <c r="C219" s="744"/>
      <c r="D219" s="744"/>
      <c r="E219" s="744"/>
      <c r="F219" s="744"/>
      <c r="G219" s="744"/>
      <c r="H219" s="744"/>
    </row>
    <row r="220" spans="1:14">
      <c r="B220" s="1304" t="s">
        <v>1500</v>
      </c>
      <c r="C220" s="1304"/>
      <c r="D220" s="1304"/>
      <c r="E220" s="1304"/>
      <c r="F220" s="1304"/>
      <c r="G220" s="1304"/>
      <c r="H220" s="1304"/>
      <c r="I220" s="1304"/>
      <c r="J220" s="1304"/>
      <c r="K220" s="1304"/>
    </row>
    <row r="221" spans="1:14" ht="14.25" customHeight="1">
      <c r="B221" s="313" t="s">
        <v>1501</v>
      </c>
      <c r="C221" s="1512" t="s">
        <v>1502</v>
      </c>
      <c r="D221" s="1512"/>
      <c r="E221" s="1305" t="s">
        <v>1420</v>
      </c>
      <c r="F221" s="1305"/>
      <c r="G221" s="1305" t="s">
        <v>1503</v>
      </c>
      <c r="H221" s="1305"/>
      <c r="I221" s="1305"/>
      <c r="J221" s="294" t="s">
        <v>169</v>
      </c>
      <c r="K221" s="398" t="s">
        <v>913</v>
      </c>
    </row>
    <row r="222" spans="1:14" ht="48.75" customHeight="1">
      <c r="B222" s="1178" t="s">
        <v>1504</v>
      </c>
      <c r="C222" s="470" t="s">
        <v>1505</v>
      </c>
      <c r="D222" s="304">
        <v>635550</v>
      </c>
      <c r="E222" s="1095" t="s">
        <v>1506</v>
      </c>
      <c r="F222" s="1095"/>
      <c r="G222" s="1095" t="s">
        <v>1507</v>
      </c>
      <c r="H222" s="1095"/>
      <c r="I222" s="1095"/>
      <c r="J222" s="1167" t="s">
        <v>1508</v>
      </c>
      <c r="K222" s="1131" t="s">
        <v>1509</v>
      </c>
    </row>
    <row r="223" spans="1:14" ht="48.75" customHeight="1">
      <c r="B223" s="1178"/>
      <c r="C223" s="470" t="s">
        <v>1510</v>
      </c>
      <c r="D223" s="304">
        <v>56786000</v>
      </c>
      <c r="E223" s="1095" t="s">
        <v>1511</v>
      </c>
      <c r="F223" s="1095"/>
      <c r="G223" s="1095"/>
      <c r="H223" s="1095"/>
      <c r="I223" s="1095"/>
      <c r="J223" s="1168"/>
      <c r="K223" s="1132"/>
    </row>
    <row r="224" spans="1:14" ht="32.25" customHeight="1">
      <c r="B224" s="1178"/>
      <c r="C224" s="334" t="s">
        <v>1512</v>
      </c>
      <c r="D224" s="304">
        <f>D223/D222</f>
        <v>89.349382424671546</v>
      </c>
      <c r="E224" s="1291" t="s">
        <v>1513</v>
      </c>
      <c r="F224" s="1291"/>
      <c r="G224" s="1095"/>
      <c r="H224" s="1095"/>
      <c r="I224" s="1095"/>
      <c r="J224" s="1168"/>
      <c r="K224" s="1132"/>
    </row>
    <row r="225" spans="1:24" ht="46.5" customHeight="1">
      <c r="B225" s="1178" t="s">
        <v>1514</v>
      </c>
      <c r="C225" s="470" t="s">
        <v>1505</v>
      </c>
      <c r="D225" s="304">
        <v>516240</v>
      </c>
      <c r="E225" s="1291" t="s">
        <v>1515</v>
      </c>
      <c r="F225" s="1291"/>
      <c r="G225" s="1095" t="s">
        <v>1516</v>
      </c>
      <c r="H225" s="1095"/>
      <c r="I225" s="1095"/>
      <c r="J225" s="1168"/>
      <c r="K225" s="1132"/>
    </row>
    <row r="226" spans="1:24" ht="48.75" customHeight="1">
      <c r="B226" s="1178"/>
      <c r="C226" s="470" t="s">
        <v>1510</v>
      </c>
      <c r="D226" s="304">
        <v>103926000</v>
      </c>
      <c r="E226" s="1291" t="s">
        <v>1517</v>
      </c>
      <c r="F226" s="1291"/>
      <c r="G226" s="1095"/>
      <c r="H226" s="1095"/>
      <c r="I226" s="1095"/>
      <c r="J226" s="1168"/>
      <c r="K226" s="1132"/>
    </row>
    <row r="227" spans="1:24">
      <c r="B227" s="1178"/>
      <c r="C227" s="334" t="s">
        <v>1512</v>
      </c>
      <c r="D227" s="304">
        <f>D226/D225</f>
        <v>201.31334263133425</v>
      </c>
      <c r="E227" s="1291" t="s">
        <v>1513</v>
      </c>
      <c r="F227" s="1291"/>
      <c r="G227" s="1095"/>
      <c r="H227" s="1095"/>
      <c r="I227" s="1095"/>
      <c r="J227" s="1169"/>
      <c r="K227" s="1133"/>
    </row>
    <row r="228" spans="1:24">
      <c r="B228" s="9"/>
      <c r="C228" s="3"/>
      <c r="D228" s="153"/>
      <c r="E228" s="154"/>
      <c r="F228" s="154"/>
      <c r="G228" s="24"/>
      <c r="H228" s="24"/>
      <c r="I228" s="24"/>
      <c r="J228" s="155"/>
    </row>
    <row r="229" spans="1:24">
      <c r="B229" s="472" t="s">
        <v>1518</v>
      </c>
      <c r="C229" s="472" t="s">
        <v>1519</v>
      </c>
      <c r="D229" s="473" t="s">
        <v>226</v>
      </c>
      <c r="E229" s="1247" t="s">
        <v>930</v>
      </c>
      <c r="F229" s="1248"/>
      <c r="G229" s="1249" t="s">
        <v>1503</v>
      </c>
      <c r="H229" s="1250"/>
      <c r="J229" s="155"/>
    </row>
    <row r="230" spans="1:24" ht="81" customHeight="1">
      <c r="B230" s="357" t="s">
        <v>522</v>
      </c>
      <c r="C230" s="474">
        <f>D212*D224</f>
        <v>38330.885060184097</v>
      </c>
      <c r="D230" s="471" t="s">
        <v>1032</v>
      </c>
      <c r="E230" s="1251" t="s">
        <v>1520</v>
      </c>
      <c r="F230" s="1252"/>
      <c r="G230" s="1255" t="s">
        <v>1521</v>
      </c>
      <c r="H230" s="1256"/>
      <c r="J230" s="155"/>
    </row>
    <row r="231" spans="1:24" ht="69.95" customHeight="1">
      <c r="B231" s="357" t="s">
        <v>523</v>
      </c>
      <c r="C231" s="474">
        <f>D213*D227</f>
        <v>86363.423988842391</v>
      </c>
      <c r="D231" s="471" t="s">
        <v>1032</v>
      </c>
      <c r="E231" s="1253"/>
      <c r="F231" s="1254"/>
      <c r="G231" s="1255" t="s">
        <v>1521</v>
      </c>
      <c r="H231" s="1256"/>
      <c r="J231" s="155"/>
    </row>
    <row r="232" spans="1:24">
      <c r="I232" s="127"/>
    </row>
    <row r="233" spans="1:24">
      <c r="A233" s="741"/>
      <c r="B233" s="743" t="s">
        <v>1045</v>
      </c>
      <c r="C233" s="741"/>
      <c r="D233" s="741"/>
      <c r="E233" s="741"/>
      <c r="F233" s="741"/>
      <c r="G233" s="741"/>
      <c r="H233" s="741"/>
    </row>
    <row r="234" spans="1:24">
      <c r="A234" s="744"/>
      <c r="B234" s="745" t="s">
        <v>912</v>
      </c>
      <c r="C234" s="744"/>
      <c r="D234" s="744"/>
      <c r="E234" s="744"/>
      <c r="F234" s="744"/>
      <c r="G234" s="744"/>
      <c r="H234" s="744"/>
    </row>
    <row r="235" spans="1:24" ht="29.1">
      <c r="B235" s="719" t="s">
        <v>913</v>
      </c>
      <c r="C235" s="719" t="s">
        <v>914</v>
      </c>
      <c r="D235" s="719" t="s">
        <v>915</v>
      </c>
      <c r="E235" s="719" t="s">
        <v>916</v>
      </c>
      <c r="F235" s="719" t="s">
        <v>917</v>
      </c>
      <c r="G235" s="719" t="s">
        <v>918</v>
      </c>
      <c r="H235" s="719" t="s">
        <v>919</v>
      </c>
    </row>
    <row r="236" spans="1:24">
      <c r="B236" s="276">
        <v>69</v>
      </c>
      <c r="C236" s="276" t="s">
        <v>1522</v>
      </c>
      <c r="D236" s="276" t="s">
        <v>717</v>
      </c>
      <c r="E236" s="276">
        <v>2024</v>
      </c>
      <c r="F236" s="276" t="s">
        <v>1047</v>
      </c>
      <c r="G236" s="276" t="s">
        <v>1047</v>
      </c>
      <c r="H236" s="340" t="s">
        <v>907</v>
      </c>
    </row>
    <row r="237" spans="1:24">
      <c r="B237" s="29"/>
    </row>
    <row r="238" spans="1:24" s="765" customFormat="1">
      <c r="A238" s="744"/>
      <c r="B238" s="745" t="s">
        <v>924</v>
      </c>
      <c r="C238" s="744"/>
      <c r="D238" s="744"/>
      <c r="E238" s="744"/>
      <c r="F238" s="744"/>
      <c r="G238" s="744"/>
      <c r="H238" s="744"/>
      <c r="I238" s="7"/>
      <c r="J238" s="7"/>
      <c r="K238" s="7"/>
      <c r="L238" s="7"/>
      <c r="M238" s="7"/>
      <c r="N238" s="7"/>
      <c r="O238" s="7"/>
      <c r="P238" s="7"/>
      <c r="Q238" s="7"/>
      <c r="R238" s="7"/>
      <c r="S238" s="7"/>
      <c r="T238" s="7"/>
      <c r="U238" s="7"/>
      <c r="V238" s="7"/>
      <c r="W238" s="7"/>
      <c r="X238" s="7"/>
    </row>
    <row r="239" spans="1:24">
      <c r="B239" s="398" t="s">
        <v>165</v>
      </c>
      <c r="C239" s="398" t="s">
        <v>925</v>
      </c>
      <c r="D239" s="398" t="s">
        <v>926</v>
      </c>
      <c r="E239" s="1139" t="s">
        <v>953</v>
      </c>
      <c r="F239" s="1139"/>
      <c r="G239" s="1139"/>
      <c r="H239" s="1139"/>
    </row>
    <row r="240" spans="1:24">
      <c r="B240" s="276" t="s">
        <v>169</v>
      </c>
      <c r="C240" s="276" t="s">
        <v>166</v>
      </c>
      <c r="D240" s="278">
        <f>VLOOKUP(C240,METHODOLOGY!$C$175:$D$177,2,FALSE)</f>
        <v>3</v>
      </c>
      <c r="E240" s="1087" t="str">
        <f>_xlfn.XLOOKUP(C240,METHODOLOGY!$E$150:$O$150,METHODOLOGY!$E$151:$O$151,"",0,1)</f>
        <v>Monetary values have been peer reviewed or are recommended / referenced in other, well recognised and accepted guidance / tools relevant to the water sector.</v>
      </c>
      <c r="F240" s="1087"/>
      <c r="G240" s="1087"/>
      <c r="H240" s="1087"/>
    </row>
    <row r="241" spans="1:21">
      <c r="B241" s="276" t="s">
        <v>173</v>
      </c>
      <c r="C241" s="276" t="s">
        <v>166</v>
      </c>
      <c r="D241" s="278">
        <f>VLOOKUP(C241,METHODOLOGY!$C$175:$D$177,2,FALSE)</f>
        <v>3</v>
      </c>
      <c r="E241" s="1087" t="str">
        <f>_xlfn.XLOOKUP(C241,METHODOLOGY!$E$150:$O$150,METHODOLOGY!$E$155:$O$155,"",0,1)</f>
        <v>Study has few limitations and is considered robust.</v>
      </c>
      <c r="F241" s="1087"/>
      <c r="G241" s="1087"/>
      <c r="H241" s="1087"/>
    </row>
    <row r="242" spans="1:21">
      <c r="B242" s="276" t="s">
        <v>177</v>
      </c>
      <c r="C242" s="276" t="s">
        <v>166</v>
      </c>
      <c r="D242" s="278">
        <f>VLOOKUP(C242,METHODOLOGY!$C$175:$D$177,2,FALSE)</f>
        <v>3</v>
      </c>
      <c r="E242" s="1087" t="str">
        <f>_xlfn.XLOOKUP(C242,METHODOLOGY!$E$150:$O$150,METHODOLOGY!$E$158:$O$158,"",0,1)</f>
        <v>0 – 5 years</v>
      </c>
      <c r="F242" s="1087"/>
      <c r="G242" s="1087"/>
      <c r="H242" s="1087"/>
    </row>
    <row r="243" spans="1:21">
      <c r="B243" s="276" t="s">
        <v>181</v>
      </c>
      <c r="C243" s="276" t="s">
        <v>166</v>
      </c>
      <c r="D243" s="278">
        <f>VLOOKUP(C243,METHODOLOGY!$C$175:$D$177,2,FALSE)</f>
        <v>3</v>
      </c>
      <c r="E243" s="1087" t="str">
        <f>_xlfn.XLOOKUP(C243,METHODOLOGY!$E$150:$O$150,METHODOLOGY!$E$160:$O$160,"",0,1)</f>
        <v>Geographically relevant to UK</v>
      </c>
      <c r="F243" s="1087"/>
      <c r="G243" s="1087"/>
      <c r="H243" s="1087"/>
    </row>
    <row r="244" spans="1:21">
      <c r="B244" s="276" t="s">
        <v>928</v>
      </c>
      <c r="C244" s="276" t="s">
        <v>166</v>
      </c>
      <c r="D244" s="278">
        <f>VLOOKUP(C244,METHODOLOGY!$C$175:$D$177,2,FALSE)</f>
        <v>3</v>
      </c>
      <c r="E244" s="1087" t="str">
        <f>_xlfn.XLOOKUP(C244,METHODOLOGY!$E$150:$O$150,METHODOLOGY!$E$162:$O$162,"",0,1)</f>
        <v>Clear understanding of the valuation method and how the value should be applied.</v>
      </c>
      <c r="F244" s="1087"/>
      <c r="G244" s="1087"/>
      <c r="H244" s="1087"/>
    </row>
    <row r="245" spans="1:21">
      <c r="B245" s="276" t="s">
        <v>189</v>
      </c>
      <c r="C245" s="276" t="s">
        <v>168</v>
      </c>
      <c r="D245" s="278">
        <f>VLOOKUP(C245,METHODOLOGY!$C$175:$D$177,2,FALSE)</f>
        <v>1</v>
      </c>
      <c r="E245" s="1087" t="str">
        <f>_xlfn.XLOOKUP(C245,METHODOLOGY!$E$150:$O$150,METHODOLOGY!$E$164:$O$164,"",0,1)</f>
        <v xml:space="preserve">The original valuation can be used with significant modification e.g. several additional data inputs are required to use the original source. The calculation is complex or introduces significant uncertainty. </v>
      </c>
      <c r="F245" s="1087"/>
      <c r="G245" s="1087"/>
      <c r="H245" s="1087"/>
    </row>
    <row r="246" spans="1:21">
      <c r="C246" s="282" t="s">
        <v>924</v>
      </c>
      <c r="D246" s="326">
        <f>IF(AND(D245=1,AVERAGE(D240:D245)&gt;2.14285714285714),2.14285714285714,IF(AND(D245=2,AVERAGE(D240:D245)&gt;2.57142857142857),2.57142857142857,AVERAGE(D240:D245)))</f>
        <v>2.1428571428571401</v>
      </c>
      <c r="E246" s="270" t="str">
        <f>IF(D246&lt;=2.14285714285714,"Red",IF(D246&lt;=2.57142857142857,"Amber",IF(D246&lt;=3,"Green")))</f>
        <v>Red</v>
      </c>
    </row>
    <row r="248" spans="1:21">
      <c r="A248" s="744"/>
      <c r="B248" s="745" t="s">
        <v>929</v>
      </c>
      <c r="C248" s="744"/>
      <c r="D248" s="744"/>
      <c r="E248" s="744"/>
      <c r="F248" s="744"/>
      <c r="G248" s="744"/>
      <c r="H248" s="744"/>
    </row>
    <row r="249" spans="1:21">
      <c r="B249" s="278" t="s">
        <v>1378</v>
      </c>
      <c r="C249" s="278" t="s">
        <v>522</v>
      </c>
      <c r="D249" s="297">
        <f>J267</f>
        <v>250</v>
      </c>
      <c r="E249" s="278" t="s">
        <v>1498</v>
      </c>
      <c r="F249" s="1219" t="s">
        <v>1523</v>
      </c>
      <c r="G249" s="1208"/>
      <c r="H249" s="1209"/>
      <c r="I249" s="1131">
        <v>69</v>
      </c>
      <c r="J249" s="1131" t="s">
        <v>1472</v>
      </c>
      <c r="L249" s="201"/>
    </row>
    <row r="250" spans="1:21" ht="30" customHeight="1">
      <c r="B250" s="278" t="s">
        <v>1378</v>
      </c>
      <c r="C250" s="278" t="s">
        <v>523</v>
      </c>
      <c r="D250" s="475" t="s">
        <v>1524</v>
      </c>
      <c r="E250" s="278" t="s">
        <v>1498</v>
      </c>
      <c r="F250" s="1118" t="s">
        <v>1525</v>
      </c>
      <c r="G250" s="1119"/>
      <c r="H250" s="1091"/>
      <c r="I250" s="1133"/>
      <c r="J250" s="1133"/>
      <c r="L250" s="1"/>
      <c r="M250" s="24"/>
      <c r="N250" s="24"/>
    </row>
    <row r="251" spans="1:21" ht="15" thickBot="1">
      <c r="B251" s="9"/>
      <c r="C251" s="9"/>
      <c r="E251" s="6"/>
      <c r="F251" s="32"/>
      <c r="G251" s="125"/>
      <c r="H251" s="139"/>
      <c r="I251" s="24"/>
      <c r="J251" s="24"/>
      <c r="K251" s="24"/>
      <c r="L251" s="24"/>
      <c r="M251" s="24"/>
      <c r="N251" s="24"/>
    </row>
    <row r="252" spans="1:21" ht="18.600000000000001">
      <c r="B252" s="1272" t="s">
        <v>1526</v>
      </c>
      <c r="C252" s="1273"/>
      <c r="D252" s="1273"/>
      <c r="E252" s="1273"/>
      <c r="F252" s="1273"/>
      <c r="G252" s="1273"/>
      <c r="H252" s="1273"/>
      <c r="I252" s="1273"/>
      <c r="J252" s="1273"/>
      <c r="K252" s="1273"/>
      <c r="L252" s="1273"/>
      <c r="M252" s="1273"/>
      <c r="N252" s="1273"/>
      <c r="O252" s="1273"/>
      <c r="P252" s="1273"/>
      <c r="Q252" s="1273"/>
      <c r="R252" s="1273"/>
      <c r="S252" s="1273"/>
      <c r="T252" s="1273"/>
      <c r="U252" s="1274"/>
    </row>
    <row r="253" spans="1:21" ht="18.95" thickBot="1">
      <c r="B253" s="1275" t="s">
        <v>1527</v>
      </c>
      <c r="C253" s="1276"/>
      <c r="D253" s="1276"/>
      <c r="E253" s="1276"/>
      <c r="F253" s="1276"/>
      <c r="G253" s="1276"/>
      <c r="H253" s="1276"/>
      <c r="I253" s="1276"/>
      <c r="J253" s="1276"/>
      <c r="K253" s="1276"/>
      <c r="L253" s="1276"/>
      <c r="M253" s="1276"/>
      <c r="N253" s="1276"/>
      <c r="O253" s="1276"/>
      <c r="P253" s="1276"/>
      <c r="Q253" s="1276"/>
      <c r="R253" s="1276"/>
      <c r="S253" s="1276"/>
      <c r="T253" s="1276"/>
      <c r="U253" s="1277"/>
    </row>
    <row r="254" spans="1:21" ht="15" thickBot="1">
      <c r="B254" s="9"/>
      <c r="C254" s="9"/>
      <c r="E254" s="6"/>
      <c r="F254" s="32"/>
      <c r="G254" s="125"/>
      <c r="H254" s="139"/>
      <c r="I254" s="24"/>
      <c r="J254" s="24"/>
      <c r="K254" s="24"/>
      <c r="L254" s="24"/>
      <c r="M254" s="24"/>
      <c r="N254" s="24"/>
    </row>
    <row r="255" spans="1:21" ht="18.600000000000001">
      <c r="B255" s="1288" t="s">
        <v>1528</v>
      </c>
      <c r="C255" s="1289"/>
      <c r="D255" s="1289"/>
      <c r="E255" s="1289"/>
      <c r="F255" s="1289"/>
      <c r="G255" s="1289"/>
      <c r="H255" s="1289"/>
      <c r="I255" s="1289"/>
      <c r="J255" s="1289"/>
      <c r="K255" s="1289"/>
      <c r="L255" s="1289"/>
      <c r="M255" s="1289"/>
      <c r="N255" s="1289"/>
      <c r="O255" s="1289"/>
      <c r="P255" s="1289"/>
      <c r="Q255" s="1289"/>
      <c r="R255" s="1289"/>
      <c r="S255" s="1289"/>
      <c r="T255" s="1289"/>
      <c r="U255" s="1290"/>
    </row>
    <row r="256" spans="1:21" ht="15" thickBot="1">
      <c r="B256" s="159" t="s">
        <v>1529</v>
      </c>
      <c r="C256" s="160" t="s">
        <v>1530</v>
      </c>
      <c r="D256" s="161" t="s">
        <v>1531</v>
      </c>
      <c r="E256" s="162">
        <v>-1</v>
      </c>
      <c r="F256" s="162">
        <v>-0.75</v>
      </c>
      <c r="G256" s="162">
        <v>-0.5</v>
      </c>
      <c r="H256" s="162">
        <v>-0.25</v>
      </c>
      <c r="I256" s="162">
        <v>0</v>
      </c>
      <c r="J256" s="162">
        <v>0.25</v>
      </c>
      <c r="K256" s="162">
        <v>0.5</v>
      </c>
      <c r="L256" s="162">
        <v>0.75</v>
      </c>
      <c r="M256" s="162">
        <v>1</v>
      </c>
      <c r="N256" s="162">
        <v>1.25</v>
      </c>
      <c r="O256" s="162">
        <v>1.5</v>
      </c>
      <c r="P256" s="162">
        <v>1.75</v>
      </c>
      <c r="Q256" s="162">
        <v>2</v>
      </c>
      <c r="R256" s="162">
        <v>2.25</v>
      </c>
      <c r="S256" s="162">
        <v>2.5</v>
      </c>
      <c r="T256" s="162">
        <v>2.75</v>
      </c>
      <c r="U256" s="163">
        <v>3</v>
      </c>
    </row>
    <row r="257" spans="2:21">
      <c r="B257" s="164">
        <v>2</v>
      </c>
      <c r="C257" s="165" t="s">
        <v>1532</v>
      </c>
      <c r="D257" s="166">
        <v>1</v>
      </c>
      <c r="E257" s="167">
        <v>14</v>
      </c>
      <c r="F257" s="167">
        <v>19</v>
      </c>
      <c r="G257" s="167">
        <v>20</v>
      </c>
      <c r="H257" s="167">
        <v>22</v>
      </c>
      <c r="I257" s="167">
        <v>100</v>
      </c>
      <c r="J257" s="167">
        <v>389</v>
      </c>
      <c r="K257" s="167">
        <v>596</v>
      </c>
      <c r="L257" s="167">
        <v>821</v>
      </c>
      <c r="M257" s="167">
        <v>1038</v>
      </c>
      <c r="N257" s="167">
        <v>1190</v>
      </c>
      <c r="O257" s="167">
        <v>1327</v>
      </c>
      <c r="P257" s="167">
        <v>1464</v>
      </c>
      <c r="Q257" s="167">
        <v>1681</v>
      </c>
      <c r="R257" s="167">
        <v>1818</v>
      </c>
      <c r="S257" s="167">
        <v>1925</v>
      </c>
      <c r="T257" s="167">
        <v>1970</v>
      </c>
      <c r="U257" s="168">
        <v>2035</v>
      </c>
    </row>
    <row r="258" spans="2:21">
      <c r="B258" s="169">
        <v>3</v>
      </c>
      <c r="C258" s="170" t="s">
        <v>1533</v>
      </c>
      <c r="D258" s="171">
        <v>1</v>
      </c>
      <c r="E258" s="172">
        <v>9</v>
      </c>
      <c r="F258" s="172">
        <v>11</v>
      </c>
      <c r="G258" s="172">
        <v>12</v>
      </c>
      <c r="H258" s="172">
        <v>13</v>
      </c>
      <c r="I258" s="172">
        <v>94</v>
      </c>
      <c r="J258" s="172">
        <v>397</v>
      </c>
      <c r="K258" s="172">
        <v>575</v>
      </c>
      <c r="L258" s="172">
        <v>708</v>
      </c>
      <c r="M258" s="172">
        <v>861</v>
      </c>
      <c r="N258" s="172">
        <v>958</v>
      </c>
      <c r="O258" s="172">
        <v>1069</v>
      </c>
      <c r="P258" s="172">
        <v>1205</v>
      </c>
      <c r="Q258" s="172">
        <v>1410</v>
      </c>
      <c r="R258" s="172">
        <v>1543</v>
      </c>
      <c r="S258" s="172">
        <v>1663</v>
      </c>
      <c r="T258" s="172">
        <v>1714</v>
      </c>
      <c r="U258" s="173">
        <v>1781</v>
      </c>
    </row>
    <row r="259" spans="2:21">
      <c r="B259" s="169">
        <v>4</v>
      </c>
      <c r="C259" s="170" t="s">
        <v>1534</v>
      </c>
      <c r="D259" s="171">
        <v>2</v>
      </c>
      <c r="E259" s="172">
        <v>0</v>
      </c>
      <c r="F259" s="172">
        <v>0</v>
      </c>
      <c r="G259" s="172">
        <v>0</v>
      </c>
      <c r="H259" s="172">
        <v>0</v>
      </c>
      <c r="I259" s="172">
        <v>24</v>
      </c>
      <c r="J259" s="172">
        <v>482</v>
      </c>
      <c r="K259" s="172">
        <v>908</v>
      </c>
      <c r="L259" s="172">
        <v>1228</v>
      </c>
      <c r="M259" s="172">
        <v>1477</v>
      </c>
      <c r="N259" s="172">
        <v>1670</v>
      </c>
      <c r="O259" s="172">
        <v>1816</v>
      </c>
      <c r="P259" s="172">
        <v>1980</v>
      </c>
      <c r="Q259" s="172">
        <v>2128</v>
      </c>
      <c r="R259" s="172">
        <v>2153</v>
      </c>
      <c r="S259" s="172">
        <v>2176</v>
      </c>
      <c r="T259" s="172">
        <v>2189</v>
      </c>
      <c r="U259" s="173">
        <v>2209</v>
      </c>
    </row>
    <row r="260" spans="2:21">
      <c r="B260" s="169">
        <v>5</v>
      </c>
      <c r="C260" s="174" t="s">
        <v>1535</v>
      </c>
      <c r="D260" s="171"/>
      <c r="E260" s="175" t="s">
        <v>1536</v>
      </c>
      <c r="F260" s="176"/>
      <c r="G260" s="176"/>
      <c r="H260" s="176"/>
      <c r="I260" s="176"/>
      <c r="J260" s="176"/>
      <c r="K260" s="176"/>
      <c r="L260" s="176"/>
      <c r="M260" s="176"/>
      <c r="N260" s="176"/>
      <c r="O260" s="176"/>
      <c r="P260" s="176"/>
      <c r="Q260" s="176"/>
      <c r="R260" s="176"/>
      <c r="S260" s="176"/>
      <c r="T260" s="176"/>
      <c r="U260" s="177"/>
    </row>
    <row r="261" spans="2:21">
      <c r="B261" s="178">
        <v>51</v>
      </c>
      <c r="C261" s="179" t="s">
        <v>1537</v>
      </c>
      <c r="D261" s="180">
        <v>1</v>
      </c>
      <c r="E261" s="181">
        <v>34</v>
      </c>
      <c r="F261" s="181">
        <v>46</v>
      </c>
      <c r="G261" s="181">
        <v>50</v>
      </c>
      <c r="H261" s="181">
        <v>54</v>
      </c>
      <c r="I261" s="181">
        <v>407</v>
      </c>
      <c r="J261" s="181">
        <v>954</v>
      </c>
      <c r="K261" s="181">
        <v>1108</v>
      </c>
      <c r="L261" s="181">
        <v>1232</v>
      </c>
      <c r="M261" s="181">
        <v>1378</v>
      </c>
      <c r="N261" s="181">
        <v>1481</v>
      </c>
      <c r="O261" s="181">
        <v>1605</v>
      </c>
      <c r="P261" s="181">
        <v>1734</v>
      </c>
      <c r="Q261" s="181">
        <v>1920</v>
      </c>
      <c r="R261" s="181">
        <v>2068</v>
      </c>
      <c r="S261" s="181">
        <v>2179</v>
      </c>
      <c r="T261" s="181">
        <v>2227</v>
      </c>
      <c r="U261" s="182">
        <v>2289</v>
      </c>
    </row>
    <row r="262" spans="2:21">
      <c r="B262" s="178">
        <v>52</v>
      </c>
      <c r="C262" s="179" t="s">
        <v>1538</v>
      </c>
      <c r="D262" s="180"/>
      <c r="E262" s="183" t="s">
        <v>1536</v>
      </c>
      <c r="F262" s="184"/>
      <c r="G262" s="184"/>
      <c r="H262" s="184"/>
      <c r="I262" s="184"/>
      <c r="J262" s="184"/>
      <c r="K262" s="184"/>
      <c r="L262" s="184"/>
      <c r="M262" s="184"/>
      <c r="N262" s="184"/>
      <c r="O262" s="184"/>
      <c r="P262" s="184"/>
      <c r="Q262" s="184"/>
      <c r="R262" s="184"/>
      <c r="S262" s="184"/>
      <c r="T262" s="184"/>
      <c r="U262" s="185"/>
    </row>
    <row r="263" spans="2:21">
      <c r="B263" s="186">
        <v>521</v>
      </c>
      <c r="C263" s="187" t="s">
        <v>1539</v>
      </c>
      <c r="D263" s="188">
        <v>1</v>
      </c>
      <c r="E263" s="189">
        <v>0</v>
      </c>
      <c r="F263" s="189">
        <v>0</v>
      </c>
      <c r="G263" s="189">
        <v>0</v>
      </c>
      <c r="H263" s="189">
        <v>0</v>
      </c>
      <c r="I263" s="189">
        <v>5</v>
      </c>
      <c r="J263" s="189">
        <v>12</v>
      </c>
      <c r="K263" s="189">
        <v>26</v>
      </c>
      <c r="L263" s="189">
        <v>28</v>
      </c>
      <c r="M263" s="189">
        <v>29</v>
      </c>
      <c r="N263" s="189">
        <v>31</v>
      </c>
      <c r="O263" s="189">
        <v>32</v>
      </c>
      <c r="P263" s="189">
        <v>33</v>
      </c>
      <c r="Q263" s="189">
        <v>35</v>
      </c>
      <c r="R263" s="189">
        <v>36</v>
      </c>
      <c r="S263" s="189">
        <v>37</v>
      </c>
      <c r="T263" s="189">
        <v>38</v>
      </c>
      <c r="U263" s="190">
        <v>39</v>
      </c>
    </row>
    <row r="264" spans="2:21">
      <c r="B264" s="186">
        <v>523</v>
      </c>
      <c r="C264" s="187" t="s">
        <v>1540</v>
      </c>
      <c r="D264" s="188">
        <v>1</v>
      </c>
      <c r="E264" s="189">
        <v>1</v>
      </c>
      <c r="F264" s="189">
        <v>1</v>
      </c>
      <c r="G264" s="189">
        <v>1</v>
      </c>
      <c r="H264" s="189">
        <v>1</v>
      </c>
      <c r="I264" s="189">
        <v>49</v>
      </c>
      <c r="J264" s="189">
        <v>212</v>
      </c>
      <c r="K264" s="189">
        <v>300</v>
      </c>
      <c r="L264" s="189">
        <v>356</v>
      </c>
      <c r="M264" s="189">
        <v>419</v>
      </c>
      <c r="N264" s="189">
        <v>454</v>
      </c>
      <c r="O264" s="189">
        <v>525</v>
      </c>
      <c r="P264" s="189">
        <v>609</v>
      </c>
      <c r="Q264" s="189">
        <v>715</v>
      </c>
      <c r="R264" s="189">
        <v>797</v>
      </c>
      <c r="S264" s="189">
        <v>844</v>
      </c>
      <c r="T264" s="189">
        <v>858</v>
      </c>
      <c r="U264" s="190">
        <v>877</v>
      </c>
    </row>
    <row r="265" spans="2:21">
      <c r="B265" s="186">
        <v>526</v>
      </c>
      <c r="C265" s="187" t="s">
        <v>1541</v>
      </c>
      <c r="D265" s="188">
        <v>1</v>
      </c>
      <c r="E265" s="189">
        <v>0</v>
      </c>
      <c r="F265" s="189">
        <v>0</v>
      </c>
      <c r="G265" s="189">
        <v>0</v>
      </c>
      <c r="H265" s="189">
        <v>0</v>
      </c>
      <c r="I265" s="189">
        <v>22</v>
      </c>
      <c r="J265" s="189">
        <v>63</v>
      </c>
      <c r="K265" s="189">
        <v>87</v>
      </c>
      <c r="L265" s="189">
        <v>130</v>
      </c>
      <c r="M265" s="189">
        <v>161</v>
      </c>
      <c r="N265" s="189">
        <v>185</v>
      </c>
      <c r="O265" s="189">
        <v>201</v>
      </c>
      <c r="P265" s="189">
        <v>220</v>
      </c>
      <c r="Q265" s="189">
        <v>253</v>
      </c>
      <c r="R265" s="189">
        <v>283</v>
      </c>
      <c r="S265" s="189">
        <v>311</v>
      </c>
      <c r="T265" s="189">
        <v>329</v>
      </c>
      <c r="U265" s="190">
        <v>354</v>
      </c>
    </row>
    <row r="266" spans="2:21">
      <c r="B266" s="191">
        <v>525</v>
      </c>
      <c r="C266" s="187" t="s">
        <v>1542</v>
      </c>
      <c r="D266" s="188">
        <v>1</v>
      </c>
      <c r="E266" s="189">
        <v>5</v>
      </c>
      <c r="F266" s="189">
        <v>6</v>
      </c>
      <c r="G266" s="189">
        <v>6</v>
      </c>
      <c r="H266" s="189">
        <v>7</v>
      </c>
      <c r="I266" s="189">
        <v>18</v>
      </c>
      <c r="J266" s="189">
        <v>56</v>
      </c>
      <c r="K266" s="189">
        <v>83</v>
      </c>
      <c r="L266" s="189">
        <v>104</v>
      </c>
      <c r="M266" s="189">
        <v>129</v>
      </c>
      <c r="N266" s="189">
        <v>144</v>
      </c>
      <c r="O266" s="189">
        <v>163</v>
      </c>
      <c r="P266" s="189">
        <v>179</v>
      </c>
      <c r="Q266" s="189">
        <v>211</v>
      </c>
      <c r="R266" s="189">
        <v>227</v>
      </c>
      <c r="S266" s="189">
        <v>239</v>
      </c>
      <c r="T266" s="189">
        <v>245</v>
      </c>
      <c r="U266" s="190">
        <v>251</v>
      </c>
    </row>
    <row r="267" spans="2:21">
      <c r="B267" s="192">
        <v>6</v>
      </c>
      <c r="C267" s="174" t="s">
        <v>1543</v>
      </c>
      <c r="D267" s="171">
        <v>1</v>
      </c>
      <c r="E267" s="172">
        <v>0</v>
      </c>
      <c r="F267" s="172">
        <v>0</v>
      </c>
      <c r="G267" s="172">
        <v>0</v>
      </c>
      <c r="H267" s="172">
        <v>0</v>
      </c>
      <c r="I267" s="172">
        <v>51</v>
      </c>
      <c r="J267" s="172">
        <v>250</v>
      </c>
      <c r="K267" s="172">
        <v>345</v>
      </c>
      <c r="L267" s="172">
        <v>425</v>
      </c>
      <c r="M267" s="172">
        <v>518</v>
      </c>
      <c r="N267" s="172">
        <v>581</v>
      </c>
      <c r="O267" s="172">
        <v>658</v>
      </c>
      <c r="P267" s="172">
        <v>745</v>
      </c>
      <c r="Q267" s="172">
        <v>869</v>
      </c>
      <c r="R267" s="172">
        <v>964</v>
      </c>
      <c r="S267" s="172">
        <v>1026</v>
      </c>
      <c r="T267" s="172">
        <v>1048</v>
      </c>
      <c r="U267" s="173">
        <v>1080</v>
      </c>
    </row>
    <row r="268" spans="2:21">
      <c r="B268" s="169">
        <v>8</v>
      </c>
      <c r="C268" s="174" t="s">
        <v>1544</v>
      </c>
      <c r="D268" s="171">
        <v>3</v>
      </c>
      <c r="E268" s="172">
        <v>0</v>
      </c>
      <c r="F268" s="172">
        <v>0</v>
      </c>
      <c r="G268" s="172">
        <v>0</v>
      </c>
      <c r="H268" s="172">
        <v>0</v>
      </c>
      <c r="I268" s="172">
        <v>15</v>
      </c>
      <c r="J268" s="172">
        <v>85</v>
      </c>
      <c r="K268" s="172">
        <v>129</v>
      </c>
      <c r="L268" s="172">
        <v>168</v>
      </c>
      <c r="M268" s="172">
        <v>214</v>
      </c>
      <c r="N268" s="172">
        <v>247</v>
      </c>
      <c r="O268" s="172">
        <v>280</v>
      </c>
      <c r="P268" s="172">
        <v>319</v>
      </c>
      <c r="Q268" s="172">
        <v>378</v>
      </c>
      <c r="R268" s="172">
        <v>414</v>
      </c>
      <c r="S268" s="172">
        <v>454</v>
      </c>
      <c r="T268" s="172">
        <v>480</v>
      </c>
      <c r="U268" s="173">
        <v>512</v>
      </c>
    </row>
    <row r="269" spans="2:21">
      <c r="B269" s="169">
        <v>9</v>
      </c>
      <c r="C269" s="193" t="s">
        <v>1545</v>
      </c>
      <c r="D269" s="171"/>
      <c r="E269" s="175" t="s">
        <v>1536</v>
      </c>
      <c r="F269" s="176"/>
      <c r="G269" s="176"/>
      <c r="H269" s="176"/>
      <c r="I269" s="176"/>
      <c r="J269" s="176"/>
      <c r="K269" s="176"/>
      <c r="L269" s="176"/>
      <c r="M269" s="176"/>
      <c r="N269" s="176"/>
      <c r="O269" s="176"/>
      <c r="P269" s="176"/>
      <c r="Q269" s="176"/>
      <c r="R269" s="176"/>
      <c r="S269" s="176"/>
      <c r="T269" s="176"/>
      <c r="U269" s="177"/>
    </row>
    <row r="270" spans="2:21">
      <c r="B270" s="186">
        <v>910</v>
      </c>
      <c r="C270" s="187" t="s">
        <v>1546</v>
      </c>
      <c r="D270" s="188">
        <v>1</v>
      </c>
      <c r="E270" s="189">
        <v>0</v>
      </c>
      <c r="F270" s="189">
        <v>0</v>
      </c>
      <c r="G270" s="189">
        <v>0</v>
      </c>
      <c r="H270" s="189">
        <v>0</v>
      </c>
      <c r="I270" s="189">
        <v>8</v>
      </c>
      <c r="J270" s="189">
        <v>23</v>
      </c>
      <c r="K270" s="189">
        <v>27</v>
      </c>
      <c r="L270" s="189">
        <v>32</v>
      </c>
      <c r="M270" s="189">
        <v>37</v>
      </c>
      <c r="N270" s="189">
        <v>44</v>
      </c>
      <c r="O270" s="189">
        <v>53</v>
      </c>
      <c r="P270" s="189">
        <v>65</v>
      </c>
      <c r="Q270" s="189">
        <v>88</v>
      </c>
      <c r="R270" s="189">
        <v>136</v>
      </c>
      <c r="S270" s="189">
        <v>158</v>
      </c>
      <c r="T270" s="189">
        <v>168</v>
      </c>
      <c r="U270" s="190">
        <v>187</v>
      </c>
    </row>
    <row r="271" spans="2:21">
      <c r="B271" s="194">
        <v>960</v>
      </c>
      <c r="C271" s="195" t="s">
        <v>1547</v>
      </c>
      <c r="D271" s="196">
        <v>1</v>
      </c>
      <c r="E271" s="197">
        <v>0</v>
      </c>
      <c r="F271" s="197">
        <v>0</v>
      </c>
      <c r="G271" s="197">
        <v>0</v>
      </c>
      <c r="H271" s="197">
        <v>0</v>
      </c>
      <c r="I271" s="197">
        <v>40</v>
      </c>
      <c r="J271" s="197">
        <v>1366</v>
      </c>
      <c r="K271" s="197">
        <v>1822</v>
      </c>
      <c r="L271" s="197">
        <v>2262</v>
      </c>
      <c r="M271" s="197">
        <v>3512</v>
      </c>
      <c r="N271" s="197">
        <v>4349</v>
      </c>
      <c r="O271" s="197">
        <v>5593</v>
      </c>
      <c r="P271" s="197">
        <v>6041</v>
      </c>
      <c r="Q271" s="197">
        <v>8493</v>
      </c>
      <c r="R271" s="197">
        <v>8523</v>
      </c>
      <c r="S271" s="197">
        <v>8549</v>
      </c>
      <c r="T271" s="197">
        <v>8568</v>
      </c>
      <c r="U271" s="198">
        <v>8578</v>
      </c>
    </row>
    <row r="272" spans="2:21" ht="15" thickBot="1">
      <c r="B272" s="1270" t="s">
        <v>1548</v>
      </c>
      <c r="C272" s="1271"/>
      <c r="D272" s="1271"/>
      <c r="E272" s="199">
        <v>7</v>
      </c>
      <c r="F272" s="199">
        <v>9</v>
      </c>
      <c r="G272" s="199">
        <v>9</v>
      </c>
      <c r="H272" s="199">
        <v>10</v>
      </c>
      <c r="I272" s="199">
        <v>69</v>
      </c>
      <c r="J272" s="199">
        <v>429</v>
      </c>
      <c r="K272" s="199">
        <v>608</v>
      </c>
      <c r="L272" s="199">
        <v>781</v>
      </c>
      <c r="M272" s="199">
        <v>1058</v>
      </c>
      <c r="N272" s="199">
        <v>1246</v>
      </c>
      <c r="O272" s="199">
        <v>1485</v>
      </c>
      <c r="P272" s="199">
        <v>1628</v>
      </c>
      <c r="Q272" s="199">
        <v>2071</v>
      </c>
      <c r="R272" s="199">
        <v>2161</v>
      </c>
      <c r="S272" s="199">
        <v>2234</v>
      </c>
      <c r="T272" s="199">
        <v>2267</v>
      </c>
      <c r="U272" s="200">
        <v>2311</v>
      </c>
    </row>
    <row r="273" spans="1:9">
      <c r="I273" s="127"/>
    </row>
    <row r="274" spans="1:9" ht="43.5">
      <c r="B274" s="766" t="s">
        <v>1549</v>
      </c>
      <c r="C274" s="766" t="s">
        <v>1550</v>
      </c>
      <c r="D274" s="768" t="s">
        <v>1551</v>
      </c>
      <c r="E274" s="766" t="s">
        <v>913</v>
      </c>
      <c r="F274" s="766" t="s">
        <v>169</v>
      </c>
      <c r="G274" s="768" t="s">
        <v>1552</v>
      </c>
      <c r="H274" s="766" t="s">
        <v>913</v>
      </c>
      <c r="I274" s="766" t="s">
        <v>169</v>
      </c>
    </row>
    <row r="275" spans="1:9" ht="14.45" customHeight="1">
      <c r="B275" s="276" t="s">
        <v>1532</v>
      </c>
      <c r="C275" s="345" t="s">
        <v>1553</v>
      </c>
      <c r="D275" s="477">
        <v>516240</v>
      </c>
      <c r="E275" s="1131">
        <v>70</v>
      </c>
      <c r="F275" s="1167" t="s">
        <v>1554</v>
      </c>
      <c r="G275" s="477">
        <v>103926000</v>
      </c>
      <c r="H275" s="1131">
        <v>71</v>
      </c>
      <c r="I275" s="1167" t="s">
        <v>1554</v>
      </c>
    </row>
    <row r="276" spans="1:9">
      <c r="B276" s="276" t="s">
        <v>1544</v>
      </c>
      <c r="C276" s="276" t="s">
        <v>1555</v>
      </c>
      <c r="D276" s="345">
        <v>557780</v>
      </c>
      <c r="E276" s="1132"/>
      <c r="F276" s="1168"/>
      <c r="G276" s="345">
        <v>337762000</v>
      </c>
      <c r="H276" s="1132"/>
      <c r="I276" s="1168"/>
    </row>
    <row r="277" spans="1:9">
      <c r="B277" s="276" t="s">
        <v>1556</v>
      </c>
      <c r="C277" s="276" t="s">
        <v>1557</v>
      </c>
      <c r="D277" s="345">
        <v>635550</v>
      </c>
      <c r="E277" s="1133"/>
      <c r="F277" s="1298"/>
      <c r="G277" s="345">
        <v>56786000</v>
      </c>
      <c r="H277" s="1133"/>
      <c r="I277" s="1169"/>
    </row>
    <row r="278" spans="1:9">
      <c r="I278" s="127"/>
    </row>
    <row r="279" spans="1:9">
      <c r="A279" s="744"/>
      <c r="B279" s="745" t="s">
        <v>936</v>
      </c>
      <c r="C279" s="744"/>
      <c r="D279" s="744"/>
      <c r="E279" s="744"/>
      <c r="F279" s="744"/>
      <c r="G279" s="744"/>
      <c r="H279" s="744"/>
    </row>
    <row r="280" spans="1:9" ht="29.1">
      <c r="B280" s="768" t="s">
        <v>1558</v>
      </c>
      <c r="C280" s="767" t="s">
        <v>1559</v>
      </c>
      <c r="D280" s="767" t="s">
        <v>1560</v>
      </c>
      <c r="E280" s="768" t="s">
        <v>1561</v>
      </c>
      <c r="F280" s="768" t="s">
        <v>1562</v>
      </c>
      <c r="G280" s="768" t="s">
        <v>1563</v>
      </c>
      <c r="H280" s="768" t="s">
        <v>1564</v>
      </c>
    </row>
    <row r="281" spans="1:9">
      <c r="B281" s="466" t="s">
        <v>1532</v>
      </c>
      <c r="C281" s="343">
        <f>J257</f>
        <v>389</v>
      </c>
      <c r="D281" s="353">
        <f>G275/D275</f>
        <v>201.31334263133425</v>
      </c>
      <c r="E281" s="343">
        <f>C281*D281</f>
        <v>78310.890283589019</v>
      </c>
      <c r="F281" s="276">
        <f>D275/SUM($D$275:$D$276)</f>
        <v>0.48066144019664436</v>
      </c>
      <c r="G281" s="348">
        <f>E281*F281</f>
        <v>37641.0253067913</v>
      </c>
      <c r="H281" s="1287">
        <f>SUM(G281:G282)</f>
        <v>64372.156943073685</v>
      </c>
    </row>
    <row r="282" spans="1:9">
      <c r="B282" s="466" t="s">
        <v>1544</v>
      </c>
      <c r="C282" s="157">
        <f>J268</f>
        <v>85</v>
      </c>
      <c r="D282" s="259">
        <f>G276/D276</f>
        <v>605.54698985263008</v>
      </c>
      <c r="E282" s="343">
        <f>C282*D282</f>
        <v>51471.494137473557</v>
      </c>
      <c r="F282" s="276">
        <f>D276/SUM($D$275:$D$276)</f>
        <v>0.51933855980335564</v>
      </c>
      <c r="G282" s="348">
        <f>E282*F282</f>
        <v>26731.131636282382</v>
      </c>
      <c r="H282" s="1287"/>
    </row>
    <row r="283" spans="1:9">
      <c r="B283" s="276" t="s">
        <v>459</v>
      </c>
      <c r="C283" s="343">
        <f>D249</f>
        <v>250</v>
      </c>
      <c r="D283" s="353">
        <f>G277/D277</f>
        <v>89.349382424671546</v>
      </c>
      <c r="E283" s="343">
        <f>D283*C283</f>
        <v>22337.345606167888</v>
      </c>
      <c r="F283" s="340" t="s">
        <v>907</v>
      </c>
      <c r="G283" s="478" t="s">
        <v>907</v>
      </c>
      <c r="H283" s="479" t="s">
        <v>907</v>
      </c>
    </row>
    <row r="284" spans="1:9">
      <c r="B284" s="29"/>
    </row>
    <row r="285" spans="1:9">
      <c r="A285" s="741"/>
      <c r="B285" s="743" t="s">
        <v>1565</v>
      </c>
      <c r="C285" s="741"/>
      <c r="D285" s="741"/>
      <c r="E285" s="741"/>
      <c r="F285" s="741"/>
      <c r="G285" s="741"/>
      <c r="H285" s="741"/>
    </row>
    <row r="286" spans="1:9">
      <c r="A286" s="744"/>
      <c r="B286" s="745" t="s">
        <v>912</v>
      </c>
      <c r="C286" s="744"/>
      <c r="D286" s="744"/>
      <c r="E286" s="744"/>
      <c r="F286" s="744"/>
      <c r="G286" s="744"/>
      <c r="H286" s="744"/>
    </row>
    <row r="287" spans="1:9" ht="29.1">
      <c r="B287" s="719" t="s">
        <v>913</v>
      </c>
      <c r="C287" s="719" t="s">
        <v>914</v>
      </c>
      <c r="D287" s="719" t="s">
        <v>915</v>
      </c>
      <c r="E287" s="719" t="s">
        <v>916</v>
      </c>
      <c r="F287" s="719" t="s">
        <v>917</v>
      </c>
      <c r="G287" s="719" t="s">
        <v>918</v>
      </c>
      <c r="H287" s="719" t="s">
        <v>919</v>
      </c>
    </row>
    <row r="288" spans="1:9">
      <c r="B288" s="278">
        <v>16</v>
      </c>
      <c r="C288" s="278" t="s">
        <v>1130</v>
      </c>
      <c r="D288" s="278"/>
      <c r="E288" s="278">
        <v>2023</v>
      </c>
      <c r="F288" s="278" t="s">
        <v>1048</v>
      </c>
      <c r="G288" s="278" t="s">
        <v>1048</v>
      </c>
      <c r="H288" s="278"/>
    </row>
    <row r="289" spans="1:13">
      <c r="B289" s="276">
        <v>61</v>
      </c>
      <c r="C289" s="276" t="s">
        <v>1473</v>
      </c>
      <c r="D289" s="276"/>
      <c r="E289" s="276">
        <v>2018</v>
      </c>
      <c r="F289" s="276" t="s">
        <v>1047</v>
      </c>
      <c r="G289" s="276" t="s">
        <v>1474</v>
      </c>
      <c r="H289" s="276"/>
    </row>
    <row r="290" spans="1:13">
      <c r="B290" s="29"/>
    </row>
    <row r="291" spans="1:13">
      <c r="A291" s="744"/>
      <c r="B291" s="745" t="s">
        <v>924</v>
      </c>
      <c r="C291" s="744"/>
      <c r="D291" s="744"/>
      <c r="E291" s="744"/>
      <c r="F291" s="744"/>
      <c r="G291" s="744"/>
      <c r="H291" s="744"/>
    </row>
    <row r="292" spans="1:13">
      <c r="B292" s="398" t="s">
        <v>165</v>
      </c>
      <c r="C292" s="398" t="s">
        <v>925</v>
      </c>
      <c r="D292" s="398" t="s">
        <v>926</v>
      </c>
      <c r="E292" s="1139" t="s">
        <v>953</v>
      </c>
      <c r="F292" s="1139"/>
      <c r="G292" s="1139"/>
      <c r="H292" s="1139"/>
    </row>
    <row r="293" spans="1:13">
      <c r="B293" s="276" t="s">
        <v>169</v>
      </c>
      <c r="C293" s="276" t="s">
        <v>166</v>
      </c>
      <c r="D293" s="278">
        <f>VLOOKUP(C293,METHODOLOGY!$C$175:$D$177,2,FALSE)</f>
        <v>3</v>
      </c>
      <c r="E293" s="1087" t="str">
        <f>_xlfn.XLOOKUP(C293,METHODOLOGY!$E$150:$O$150,METHODOLOGY!$E$151:$O$151,"",0,1)</f>
        <v>Monetary values have been peer reviewed or are recommended / referenced in other, well recognised and accepted guidance / tools relevant to the water sector.</v>
      </c>
      <c r="F293" s="1087"/>
      <c r="G293" s="1087"/>
      <c r="H293" s="1087"/>
    </row>
    <row r="294" spans="1:13">
      <c r="B294" s="276" t="s">
        <v>173</v>
      </c>
      <c r="C294" s="276" t="s">
        <v>166</v>
      </c>
      <c r="D294" s="278">
        <f>VLOOKUP(C294,METHODOLOGY!$C$175:$D$177,2,FALSE)</f>
        <v>3</v>
      </c>
      <c r="E294" s="1087" t="str">
        <f>_xlfn.XLOOKUP(C294,METHODOLOGY!$E$150:$O$150,METHODOLOGY!$E$155:$O$155,"",0,1)</f>
        <v>Study has few limitations and is considered robust.</v>
      </c>
      <c r="F294" s="1087"/>
      <c r="G294" s="1087"/>
      <c r="H294" s="1087"/>
    </row>
    <row r="295" spans="1:13">
      <c r="B295" s="276" t="s">
        <v>177</v>
      </c>
      <c r="C295" s="276" t="s">
        <v>166</v>
      </c>
      <c r="D295" s="278">
        <f>VLOOKUP(C295,METHODOLOGY!$C$175:$D$177,2,FALSE)</f>
        <v>3</v>
      </c>
      <c r="E295" s="1087" t="str">
        <f>_xlfn.XLOOKUP(C295,METHODOLOGY!$E$150:$O$150,METHODOLOGY!$E$158:$O$158,"",0,1)</f>
        <v>0 – 5 years</v>
      </c>
      <c r="F295" s="1087"/>
      <c r="G295" s="1087"/>
      <c r="H295" s="1087"/>
    </row>
    <row r="296" spans="1:13">
      <c r="B296" s="276" t="s">
        <v>181</v>
      </c>
      <c r="C296" s="276" t="s">
        <v>166</v>
      </c>
      <c r="D296" s="278">
        <f>VLOOKUP(C296,METHODOLOGY!$C$175:$D$177,2,FALSE)</f>
        <v>3</v>
      </c>
      <c r="E296" s="1087" t="str">
        <f>_xlfn.XLOOKUP(C296,METHODOLOGY!$E$150:$O$150,METHODOLOGY!$E$160:$O$160,"",0,1)</f>
        <v>Geographically relevant to UK</v>
      </c>
      <c r="F296" s="1087"/>
      <c r="G296" s="1087"/>
      <c r="H296" s="1087"/>
    </row>
    <row r="297" spans="1:13">
      <c r="B297" s="276" t="s">
        <v>928</v>
      </c>
      <c r="C297" s="276" t="s">
        <v>166</v>
      </c>
      <c r="D297" s="278">
        <f>VLOOKUP(C297,METHODOLOGY!$C$175:$D$177,2,FALSE)</f>
        <v>3</v>
      </c>
      <c r="E297" s="1087" t="str">
        <f>_xlfn.XLOOKUP(C297,METHODOLOGY!$E$150:$O$150,METHODOLOGY!$E$162:$O$162,"",0,1)</f>
        <v>Clear understanding of the valuation method and how the value should be applied.</v>
      </c>
      <c r="F297" s="1087"/>
      <c r="G297" s="1087"/>
      <c r="H297" s="1087"/>
    </row>
    <row r="298" spans="1:13">
      <c r="B298" s="276" t="s">
        <v>189</v>
      </c>
      <c r="C298" s="276" t="s">
        <v>167</v>
      </c>
      <c r="D298" s="278">
        <f>VLOOKUP(C298,METHODOLOGY!$C$175:$D$177,2,FALSE)</f>
        <v>2</v>
      </c>
      <c r="E298" s="1087" t="str">
        <f>_xlfn.XLOOKUP(C298,METHODOLOGY!$E$150:$O$150,METHODOLOGY!$E$164:$O$164,"",0,1)</f>
        <v xml:space="preserve">The original valuation can be used with some modification e.g. applying household numbers. The calculation is simple or introduces low levels of uncertainty. </v>
      </c>
      <c r="F298" s="1087"/>
      <c r="G298" s="1087"/>
      <c r="H298" s="1087"/>
    </row>
    <row r="299" spans="1:13">
      <c r="C299" s="282" t="s">
        <v>924</v>
      </c>
      <c r="D299" s="326">
        <f>IF(AND(D298=1,AVERAGE(D293:D298)&gt;2.14285714285714),2.14285714285714,IF(AND(D298=2,AVERAGE(D293:D298)&gt;2.57142857142857),2.57142857142857,AVERAGE(D293:D298)))</f>
        <v>2.5714285714285698</v>
      </c>
      <c r="E299" s="270" t="str">
        <f>IF(D299&lt;=2.14285714285714,"Red",IF(D299&lt;=2.57142857142857,"Amber",IF(D299&lt;=3,"Green")))</f>
        <v>Amber</v>
      </c>
    </row>
    <row r="301" spans="1:13">
      <c r="A301" s="744"/>
      <c r="B301" s="745" t="s">
        <v>929</v>
      </c>
      <c r="C301" s="744"/>
      <c r="D301" s="744"/>
      <c r="E301" s="744"/>
      <c r="F301" s="744"/>
      <c r="G301" s="744"/>
      <c r="H301" s="744"/>
    </row>
    <row r="302" spans="1:13">
      <c r="B302" s="398" t="s">
        <v>1089</v>
      </c>
      <c r="C302" s="398" t="s">
        <v>902</v>
      </c>
      <c r="D302" s="398" t="s">
        <v>331</v>
      </c>
      <c r="E302" s="398" t="s">
        <v>226</v>
      </c>
      <c r="F302" s="1146" t="s">
        <v>930</v>
      </c>
      <c r="G302" s="1147"/>
      <c r="H302" s="1147"/>
      <c r="I302" s="1147"/>
      <c r="J302" s="1147"/>
      <c r="K302" s="1148"/>
      <c r="L302" s="398" t="s">
        <v>913</v>
      </c>
      <c r="M302" s="398" t="s">
        <v>169</v>
      </c>
    </row>
    <row r="303" spans="1:13" ht="29.1">
      <c r="B303" s="338" t="s">
        <v>462</v>
      </c>
      <c r="C303" s="342" t="s">
        <v>522</v>
      </c>
      <c r="D303" s="344">
        <v>94264</v>
      </c>
      <c r="E303" s="791" t="s">
        <v>1402</v>
      </c>
      <c r="F303" s="1142" t="s">
        <v>1475</v>
      </c>
      <c r="G303" s="1150"/>
      <c r="H303" s="1150"/>
      <c r="I303" s="1150"/>
      <c r="J303" s="1150"/>
      <c r="K303" s="1151"/>
      <c r="L303" s="338">
        <v>16</v>
      </c>
      <c r="M303" s="468" t="s">
        <v>1476</v>
      </c>
    </row>
    <row r="304" spans="1:13" ht="29.1">
      <c r="B304" s="338" t="s">
        <v>462</v>
      </c>
      <c r="C304" s="342" t="s">
        <v>523</v>
      </c>
      <c r="D304" s="344">
        <v>94264</v>
      </c>
      <c r="E304" s="791" t="s">
        <v>1402</v>
      </c>
      <c r="F304" s="1142" t="s">
        <v>1475</v>
      </c>
      <c r="G304" s="1150"/>
      <c r="H304" s="1150"/>
      <c r="I304" s="1150"/>
      <c r="J304" s="1150"/>
      <c r="K304" s="1151"/>
      <c r="L304" s="338">
        <v>16</v>
      </c>
      <c r="M304" s="468" t="s">
        <v>1476</v>
      </c>
    </row>
    <row r="305" spans="2:13" ht="72.599999999999994">
      <c r="B305" s="338" t="s">
        <v>462</v>
      </c>
      <c r="C305" s="342" t="s">
        <v>1566</v>
      </c>
      <c r="D305" s="344" t="s">
        <v>1477</v>
      </c>
      <c r="E305" s="791" t="s">
        <v>1478</v>
      </c>
      <c r="F305" s="1142" t="s">
        <v>1479</v>
      </c>
      <c r="G305" s="1150"/>
      <c r="H305" s="1150"/>
      <c r="I305" s="1150"/>
      <c r="J305" s="1150"/>
      <c r="K305" s="1151"/>
      <c r="L305" s="338">
        <v>61</v>
      </c>
      <c r="M305" s="636" t="s">
        <v>1480</v>
      </c>
    </row>
    <row r="306" spans="2:13">
      <c r="I306" s="127"/>
    </row>
    <row r="307" spans="2:13">
      <c r="I307" s="127"/>
    </row>
    <row r="308" spans="2:13">
      <c r="I308" s="127"/>
    </row>
    <row r="309" spans="2:13">
      <c r="I309" s="127"/>
    </row>
    <row r="310" spans="2:13">
      <c r="I310" s="127"/>
    </row>
    <row r="311" spans="2:13">
      <c r="I311" s="127"/>
    </row>
    <row r="312" spans="2:13">
      <c r="I312" s="127"/>
    </row>
    <row r="313" spans="2:13">
      <c r="I313" s="127"/>
    </row>
    <row r="314" spans="2:13">
      <c r="I314" s="127"/>
    </row>
    <row r="315" spans="2:13">
      <c r="I315" s="127"/>
    </row>
    <row r="316" spans="2:13">
      <c r="I316" s="127"/>
    </row>
    <row r="317" spans="2:13">
      <c r="I317" s="127"/>
    </row>
    <row r="318" spans="2:13">
      <c r="I318" s="127"/>
    </row>
    <row r="319" spans="2:13">
      <c r="I319" s="127"/>
    </row>
    <row r="320" spans="2:13">
      <c r="I320" s="127"/>
    </row>
    <row r="321" spans="2:9">
      <c r="I321" s="127"/>
    </row>
    <row r="322" spans="2:9">
      <c r="I322" s="127"/>
    </row>
    <row r="323" spans="2:9">
      <c r="I323" s="127"/>
    </row>
    <row r="324" spans="2:9">
      <c r="I324" s="127"/>
    </row>
    <row r="325" spans="2:9">
      <c r="I325" s="127"/>
    </row>
    <row r="326" spans="2:9">
      <c r="I326" s="127"/>
    </row>
    <row r="327" spans="2:9">
      <c r="I327" s="127"/>
    </row>
    <row r="328" spans="2:9">
      <c r="I328" s="127"/>
    </row>
    <row r="329" spans="2:9">
      <c r="I329" s="127"/>
    </row>
    <row r="330" spans="2:9">
      <c r="I330" s="127"/>
    </row>
    <row r="331" spans="2:9">
      <c r="I331" s="127"/>
    </row>
    <row r="332" spans="2:9">
      <c r="I332" s="127"/>
    </row>
    <row r="333" spans="2:9">
      <c r="B333" s="7" t="s">
        <v>1481</v>
      </c>
      <c r="I333" s="127"/>
    </row>
    <row r="334" spans="2:9">
      <c r="I334" s="127"/>
    </row>
    <row r="335" spans="2:9">
      <c r="I335" s="127"/>
    </row>
    <row r="336" spans="2:9">
      <c r="I336" s="127"/>
    </row>
    <row r="337" spans="1:9">
      <c r="I337" s="127"/>
    </row>
    <row r="338" spans="1:9">
      <c r="I338" s="127"/>
    </row>
    <row r="339" spans="1:9">
      <c r="I339" s="127"/>
    </row>
    <row r="340" spans="1:9">
      <c r="I340" s="127"/>
    </row>
    <row r="341" spans="1:9">
      <c r="I341" s="127"/>
    </row>
    <row r="342" spans="1:9">
      <c r="I342" s="127"/>
    </row>
    <row r="343" spans="1:9">
      <c r="I343" s="127"/>
    </row>
    <row r="344" spans="1:9">
      <c r="I344" s="127"/>
    </row>
    <row r="345" spans="1:9">
      <c r="I345" s="127"/>
    </row>
    <row r="346" spans="1:9">
      <c r="I346" s="127"/>
    </row>
    <row r="347" spans="1:9">
      <c r="I347" s="127"/>
    </row>
    <row r="348" spans="1:9">
      <c r="I348" s="127"/>
    </row>
    <row r="349" spans="1:9">
      <c r="I349" s="127"/>
    </row>
    <row r="350" spans="1:9">
      <c r="A350" s="744"/>
      <c r="B350" s="745" t="s">
        <v>936</v>
      </c>
      <c r="C350" s="744"/>
      <c r="D350" s="744"/>
      <c r="E350" s="744"/>
      <c r="F350" s="744"/>
      <c r="G350" s="744"/>
      <c r="H350" s="744"/>
    </row>
    <row r="351" spans="1:9">
      <c r="B351" s="768" t="s">
        <v>1482</v>
      </c>
      <c r="C351" s="767" t="s">
        <v>331</v>
      </c>
      <c r="D351" s="1299" t="s">
        <v>226</v>
      </c>
      <c r="E351" s="1300"/>
    </row>
    <row r="352" spans="1:9" ht="29.1">
      <c r="B352" s="790" t="s">
        <v>1483</v>
      </c>
      <c r="C352" s="343">
        <v>54312</v>
      </c>
      <c r="D352" s="1301" t="s">
        <v>1032</v>
      </c>
      <c r="E352" s="1302"/>
    </row>
    <row r="353" spans="1:23" ht="29.1">
      <c r="B353" s="790" t="s">
        <v>1484</v>
      </c>
      <c r="C353" s="157">
        <v>166549</v>
      </c>
      <c r="D353" s="1301" t="s">
        <v>1032</v>
      </c>
      <c r="E353" s="1302"/>
    </row>
    <row r="354" spans="1:23" ht="29.1">
      <c r="B354" s="411" t="s">
        <v>1485</v>
      </c>
      <c r="C354" s="789">
        <f>C352/C353</f>
        <v>0.3261022281730902</v>
      </c>
      <c r="D354" s="1301" t="s">
        <v>1486</v>
      </c>
      <c r="E354" s="1302"/>
    </row>
    <row r="355" spans="1:23">
      <c r="I355" s="127"/>
    </row>
    <row r="356" spans="1:23">
      <c r="B356" s="768" t="s">
        <v>1487</v>
      </c>
      <c r="C356" s="767" t="s">
        <v>331</v>
      </c>
      <c r="D356" s="1299" t="s">
        <v>226</v>
      </c>
      <c r="E356" s="1300"/>
      <c r="I356" s="127"/>
    </row>
    <row r="357" spans="1:23">
      <c r="B357" s="790" t="s">
        <v>1567</v>
      </c>
      <c r="C357" s="343">
        <f>D303</f>
        <v>94264</v>
      </c>
      <c r="D357" s="1301" t="s">
        <v>1032</v>
      </c>
      <c r="E357" s="1302"/>
      <c r="I357" s="127"/>
    </row>
    <row r="358" spans="1:23" ht="29.1">
      <c r="B358" s="790" t="s">
        <v>1568</v>
      </c>
      <c r="C358" s="343">
        <f>C357*C354</f>
        <v>30739.700436508174</v>
      </c>
      <c r="D358" s="1301" t="s">
        <v>1032</v>
      </c>
      <c r="E358" s="1302"/>
      <c r="I358" s="127"/>
    </row>
    <row r="359" spans="1:23">
      <c r="B359" s="51"/>
      <c r="C359" s="124"/>
      <c r="D359" s="792"/>
      <c r="E359" s="792"/>
      <c r="I359" s="127"/>
    </row>
    <row r="360" spans="1:23">
      <c r="A360" s="741"/>
      <c r="B360" s="743" t="s">
        <v>901</v>
      </c>
      <c r="C360" s="741"/>
      <c r="D360" s="741"/>
      <c r="E360" s="741"/>
      <c r="F360" s="741"/>
      <c r="G360" s="741"/>
      <c r="H360" s="741"/>
    </row>
    <row r="361" spans="1:23" ht="29.1">
      <c r="B361" s="399" t="s">
        <v>902</v>
      </c>
      <c r="C361" s="399" t="s">
        <v>898</v>
      </c>
      <c r="D361" s="399" t="s">
        <v>899</v>
      </c>
      <c r="E361" s="400" t="s">
        <v>903</v>
      </c>
      <c r="F361" s="398" t="s">
        <v>904</v>
      </c>
      <c r="G361" s="398" t="s">
        <v>905</v>
      </c>
      <c r="H361" s="233" t="s">
        <v>924</v>
      </c>
      <c r="I361" s="233" t="s">
        <v>956</v>
      </c>
      <c r="J361" s="233" t="s">
        <v>927</v>
      </c>
    </row>
    <row r="362" spans="1:23">
      <c r="B362" s="52" t="s">
        <v>522</v>
      </c>
      <c r="C362" s="276" t="str">
        <f>B212</f>
        <v>Local Economy</v>
      </c>
      <c r="D362" s="276" t="str">
        <f>C193</f>
        <v>Disruption to businesses and public service</v>
      </c>
      <c r="E362" s="373" t="s">
        <v>1565</v>
      </c>
      <c r="F362" s="340" t="s">
        <v>1569</v>
      </c>
      <c r="G362" s="311">
        <f>VLOOKUP(F362,$B$367:$L$370,11,FALSE)</f>
        <v>30739.700436508174</v>
      </c>
      <c r="H362" s="1120">
        <f>D299</f>
        <v>2.5714285714285698</v>
      </c>
      <c r="I362" s="1149" t="s">
        <v>1494</v>
      </c>
      <c r="J362" s="1149" t="s">
        <v>1495</v>
      </c>
    </row>
    <row r="363" spans="1:23">
      <c r="B363" s="276" t="s">
        <v>523</v>
      </c>
      <c r="C363" s="480" t="str">
        <f>B213</f>
        <v>Local Economy</v>
      </c>
      <c r="D363" s="276" t="str">
        <f>C193</f>
        <v>Disruption to businesses and public service</v>
      </c>
      <c r="E363" s="373" t="s">
        <v>1565</v>
      </c>
      <c r="F363" s="340" t="s">
        <v>1570</v>
      </c>
      <c r="G363" s="311">
        <f>VLOOKUP(F363,$B$367:$L$370,11,FALSE)</f>
        <v>30739.700436508174</v>
      </c>
      <c r="H363" s="1122"/>
      <c r="I363" s="1149"/>
      <c r="J363" s="1149"/>
    </row>
    <row r="364" spans="1:23">
      <c r="B364" s="30"/>
    </row>
    <row r="365" spans="1:23">
      <c r="A365" s="744"/>
      <c r="B365" s="745" t="s">
        <v>962</v>
      </c>
      <c r="C365" s="744"/>
      <c r="D365" s="744"/>
      <c r="E365" s="744"/>
      <c r="F365" s="744"/>
      <c r="G365" s="744"/>
      <c r="H365" s="744"/>
    </row>
    <row r="366" spans="1:23">
      <c r="B366" s="398" t="s">
        <v>904</v>
      </c>
      <c r="C366" s="398" t="s">
        <v>62</v>
      </c>
      <c r="D366" s="398" t="s">
        <v>902</v>
      </c>
      <c r="E366" s="398" t="s">
        <v>898</v>
      </c>
      <c r="F366" s="398" t="s">
        <v>916</v>
      </c>
      <c r="G366" s="398" t="s">
        <v>963</v>
      </c>
      <c r="H366" s="398" t="s">
        <v>964</v>
      </c>
      <c r="I366" s="398" t="s">
        <v>965</v>
      </c>
      <c r="J366" s="398" t="s">
        <v>966</v>
      </c>
      <c r="K366" s="398" t="s">
        <v>967</v>
      </c>
      <c r="L366" s="398" t="s">
        <v>968</v>
      </c>
      <c r="M366" s="398" t="s">
        <v>956</v>
      </c>
      <c r="N366" s="398" t="s">
        <v>969</v>
      </c>
      <c r="O366" s="398" t="s">
        <v>970</v>
      </c>
      <c r="P366" s="398" t="s">
        <v>927</v>
      </c>
      <c r="Q366" s="398" t="s">
        <v>913</v>
      </c>
      <c r="R366" s="398" t="s">
        <v>914</v>
      </c>
      <c r="S366" s="398" t="s">
        <v>915</v>
      </c>
      <c r="T366" s="398" t="s">
        <v>916</v>
      </c>
      <c r="U366" s="398" t="s">
        <v>917</v>
      </c>
      <c r="V366" s="398" t="s">
        <v>918</v>
      </c>
      <c r="W366" s="398" t="s">
        <v>919</v>
      </c>
    </row>
    <row r="367" spans="1:23">
      <c r="B367" s="372" t="s">
        <v>1571</v>
      </c>
      <c r="C367" s="276" t="s">
        <v>1468</v>
      </c>
      <c r="D367" s="276" t="s">
        <v>522</v>
      </c>
      <c r="E367" s="276" t="str">
        <f>C362</f>
        <v>Local Economy</v>
      </c>
      <c r="F367" s="373">
        <f>E198</f>
        <v>2024</v>
      </c>
      <c r="G367" s="276">
        <v>2024</v>
      </c>
      <c r="H367" s="276">
        <f>'COMPANY INPUT'!$C$16</f>
        <v>2023</v>
      </c>
      <c r="I367" s="276">
        <f>VLOOKUP(G367,'GDP Deflators'!$H$13:$I$86,2,FALSE)</f>
        <v>101.52460002617836</v>
      </c>
      <c r="J367" s="276">
        <f>VLOOKUP(H367,'GDP Deflators'!$H$13:$I$86,2,FALSE)</f>
        <v>100</v>
      </c>
      <c r="K367" s="343">
        <f>E283</f>
        <v>22337.345606167888</v>
      </c>
      <c r="L367" s="747">
        <f>K367*(J367/I367)</f>
        <v>22001.904563434033</v>
      </c>
      <c r="M367" s="276" t="s">
        <v>1492</v>
      </c>
      <c r="N367" s="326">
        <f>D208</f>
        <v>2.1428571428571401</v>
      </c>
      <c r="O367" s="276" t="s">
        <v>717</v>
      </c>
      <c r="P367" s="276" t="s">
        <v>1493</v>
      </c>
      <c r="Q367" s="373">
        <f t="shared" ref="Q367:W367" si="3">B236</f>
        <v>69</v>
      </c>
      <c r="R367" s="373" t="str">
        <f t="shared" si="3"/>
        <v>MCM (2024) Multicoloured Manual - Chapter 5 - Additional Tables - Fluvial Depth/Damage curves - Short w. Cellar (no warning)</v>
      </c>
      <c r="S367" s="373" t="str">
        <f t="shared" si="3"/>
        <v>No</v>
      </c>
      <c r="T367" s="373">
        <f t="shared" si="3"/>
        <v>2024</v>
      </c>
      <c r="U367" s="373" t="str">
        <f t="shared" si="3"/>
        <v>UK</v>
      </c>
      <c r="V367" s="373" t="str">
        <f t="shared" si="3"/>
        <v>UK</v>
      </c>
      <c r="W367" s="373" t="str">
        <f t="shared" si="3"/>
        <v>/</v>
      </c>
    </row>
    <row r="368" spans="1:23">
      <c r="B368" s="372" t="s">
        <v>1572</v>
      </c>
      <c r="C368" s="276" t="s">
        <v>1468</v>
      </c>
      <c r="D368" s="276" t="s">
        <v>523</v>
      </c>
      <c r="E368" s="276" t="str">
        <f>C363</f>
        <v>Local Economy</v>
      </c>
      <c r="F368" s="373">
        <f>E198</f>
        <v>2024</v>
      </c>
      <c r="G368" s="276">
        <v>2024</v>
      </c>
      <c r="H368" s="276">
        <f>'COMPANY INPUT'!$C$16</f>
        <v>2023</v>
      </c>
      <c r="I368" s="276">
        <f>VLOOKUP(G368,'GDP Deflators'!$H$13:$I$86,2,FALSE)</f>
        <v>101.52460002617836</v>
      </c>
      <c r="J368" s="276">
        <f>VLOOKUP(H368,'GDP Deflators'!$H$13:$I$86,2,FALSE)</f>
        <v>100</v>
      </c>
      <c r="K368" s="343">
        <f>H281</f>
        <v>64372.156943073685</v>
      </c>
      <c r="L368" s="747">
        <f>K368*(J368/I368)</f>
        <v>63405.477023770756</v>
      </c>
      <c r="M368" s="276" t="s">
        <v>1492</v>
      </c>
      <c r="N368" s="326">
        <f>D208</f>
        <v>2.1428571428571401</v>
      </c>
      <c r="O368" s="276" t="s">
        <v>717</v>
      </c>
      <c r="P368" s="276" t="s">
        <v>1493</v>
      </c>
      <c r="Q368" s="373">
        <f t="shared" ref="Q368:W368" si="4">B236</f>
        <v>69</v>
      </c>
      <c r="R368" s="373" t="str">
        <f t="shared" si="4"/>
        <v>MCM (2024) Multicoloured Manual - Chapter 5 - Additional Tables - Fluvial Depth/Damage curves - Short w. Cellar (no warning)</v>
      </c>
      <c r="S368" s="373" t="str">
        <f t="shared" si="4"/>
        <v>No</v>
      </c>
      <c r="T368" s="373">
        <f t="shared" si="4"/>
        <v>2024</v>
      </c>
      <c r="U368" s="373" t="str">
        <f t="shared" si="4"/>
        <v>UK</v>
      </c>
      <c r="V368" s="373" t="str">
        <f t="shared" si="4"/>
        <v>UK</v>
      </c>
      <c r="W368" s="373" t="str">
        <f t="shared" si="4"/>
        <v>/</v>
      </c>
    </row>
    <row r="369" spans="1:23">
      <c r="B369" s="372" t="s">
        <v>1569</v>
      </c>
      <c r="C369" s="276" t="s">
        <v>1468</v>
      </c>
      <c r="D369" s="276" t="s">
        <v>522</v>
      </c>
      <c r="E369" s="276">
        <f>C364</f>
        <v>0</v>
      </c>
      <c r="F369" s="373">
        <f>E288</f>
        <v>2023</v>
      </c>
      <c r="G369" s="276">
        <v>2023</v>
      </c>
      <c r="H369" s="276">
        <f>'COMPANY INPUT'!$C$16</f>
        <v>2023</v>
      </c>
      <c r="I369" s="276">
        <f>VLOOKUP(G369,'GDP Deflators'!$H$13:$I$86,2,FALSE)</f>
        <v>100</v>
      </c>
      <c r="J369" s="276">
        <f>VLOOKUP(H369,'GDP Deflators'!$H$13:$I$86,2,FALSE)</f>
        <v>100</v>
      </c>
      <c r="K369" s="343">
        <f>C358</f>
        <v>30739.700436508174</v>
      </c>
      <c r="L369" s="747">
        <f>K369*(J369/I369)</f>
        <v>30739.700436508174</v>
      </c>
      <c r="M369" s="276" t="s">
        <v>1494</v>
      </c>
      <c r="N369" s="326">
        <f>D299</f>
        <v>2.5714285714285698</v>
      </c>
      <c r="O369" s="276" t="s">
        <v>718</v>
      </c>
      <c r="P369" s="276" t="s">
        <v>1495</v>
      </c>
      <c r="Q369" s="373">
        <f t="shared" ref="Q369:W369" si="5">B288</f>
        <v>16</v>
      </c>
      <c r="R369" s="373" t="str">
        <f t="shared" si="5"/>
        <v>Ofwat (2023) PR24: Using collaborative customer research to set outcome delivery incentive rates</v>
      </c>
      <c r="S369" s="373">
        <f t="shared" si="5"/>
        <v>0</v>
      </c>
      <c r="T369" s="373">
        <f t="shared" si="5"/>
        <v>2023</v>
      </c>
      <c r="U369" s="373" t="str">
        <f t="shared" si="5"/>
        <v>England and Wales</v>
      </c>
      <c r="V369" s="373" t="str">
        <f t="shared" si="5"/>
        <v>England and Wales</v>
      </c>
      <c r="W369" s="373">
        <f t="shared" si="5"/>
        <v>0</v>
      </c>
    </row>
    <row r="370" spans="1:23">
      <c r="B370" s="372" t="s">
        <v>1570</v>
      </c>
      <c r="C370" s="276" t="s">
        <v>1468</v>
      </c>
      <c r="D370" s="276" t="s">
        <v>523</v>
      </c>
      <c r="E370" s="276">
        <f>C365</f>
        <v>0</v>
      </c>
      <c r="F370" s="373">
        <f>E288</f>
        <v>2023</v>
      </c>
      <c r="G370" s="276">
        <v>2023</v>
      </c>
      <c r="H370" s="276">
        <f>'COMPANY INPUT'!$C$16</f>
        <v>2023</v>
      </c>
      <c r="I370" s="276">
        <f>VLOOKUP(G370,'GDP Deflators'!$H$13:$I$86,2,FALSE)</f>
        <v>100</v>
      </c>
      <c r="J370" s="276">
        <f>VLOOKUP(H370,'GDP Deflators'!$H$13:$I$86,2,FALSE)</f>
        <v>100</v>
      </c>
      <c r="K370" s="343">
        <f>C358</f>
        <v>30739.700436508174</v>
      </c>
      <c r="L370" s="747">
        <f>K370*(J370/I370)</f>
        <v>30739.700436508174</v>
      </c>
      <c r="M370" s="276" t="s">
        <v>1494</v>
      </c>
      <c r="N370" s="326">
        <f>D299</f>
        <v>2.5714285714285698</v>
      </c>
      <c r="O370" s="276" t="s">
        <v>718</v>
      </c>
      <c r="P370" s="276" t="s">
        <v>1495</v>
      </c>
      <c r="Q370" s="373">
        <f t="shared" ref="Q370:W370" si="6">B288</f>
        <v>16</v>
      </c>
      <c r="R370" s="373" t="str">
        <f t="shared" si="6"/>
        <v>Ofwat (2023) PR24: Using collaborative customer research to set outcome delivery incentive rates</v>
      </c>
      <c r="S370" s="373">
        <f t="shared" si="6"/>
        <v>0</v>
      </c>
      <c r="T370" s="373">
        <f t="shared" si="6"/>
        <v>2023</v>
      </c>
      <c r="U370" s="373" t="str">
        <f t="shared" si="6"/>
        <v>England and Wales</v>
      </c>
      <c r="V370" s="373" t="str">
        <f t="shared" si="6"/>
        <v>England and Wales</v>
      </c>
      <c r="W370" s="373">
        <f t="shared" si="6"/>
        <v>0</v>
      </c>
    </row>
    <row r="372" spans="1:23">
      <c r="A372" s="739"/>
      <c r="B372" s="740" t="s">
        <v>1573</v>
      </c>
      <c r="C372" s="739"/>
      <c r="D372" s="739"/>
      <c r="E372" s="739"/>
      <c r="F372" s="739"/>
      <c r="G372" s="739"/>
      <c r="H372" s="739"/>
    </row>
    <row r="373" spans="1:23">
      <c r="A373" s="741"/>
      <c r="B373" s="742" t="s">
        <v>897</v>
      </c>
      <c r="C373" s="741"/>
      <c r="D373" s="741"/>
      <c r="E373" s="741"/>
      <c r="F373" s="741"/>
      <c r="G373" s="741"/>
      <c r="H373" s="741"/>
    </row>
    <row r="374" spans="1:23">
      <c r="B374" s="398" t="s">
        <v>898</v>
      </c>
      <c r="C374" s="398" t="s">
        <v>899</v>
      </c>
    </row>
    <row r="375" spans="1:23">
      <c r="B375" s="276" t="s">
        <v>1573</v>
      </c>
      <c r="C375" s="276" t="s">
        <v>1574</v>
      </c>
    </row>
    <row r="376" spans="1:23">
      <c r="B376" s="29"/>
    </row>
    <row r="377" spans="1:23">
      <c r="A377" s="741"/>
      <c r="B377" s="743" t="s">
        <v>1575</v>
      </c>
      <c r="C377" s="741"/>
      <c r="D377" s="741"/>
      <c r="E377" s="741"/>
      <c r="F377" s="741"/>
      <c r="G377" s="741"/>
      <c r="H377" s="741"/>
    </row>
    <row r="378" spans="1:23">
      <c r="A378" s="744"/>
      <c r="B378" s="745" t="s">
        <v>912</v>
      </c>
      <c r="C378" s="744"/>
      <c r="D378" s="744"/>
      <c r="E378" s="744"/>
      <c r="F378" s="744"/>
      <c r="G378" s="744"/>
      <c r="H378" s="744"/>
    </row>
    <row r="379" spans="1:23" ht="29.1">
      <c r="B379" s="719" t="s">
        <v>913</v>
      </c>
      <c r="C379" s="719" t="s">
        <v>914</v>
      </c>
      <c r="D379" s="719" t="s">
        <v>915</v>
      </c>
      <c r="E379" s="719" t="s">
        <v>916</v>
      </c>
      <c r="F379" s="719" t="s">
        <v>917</v>
      </c>
      <c r="G379" s="719" t="s">
        <v>918</v>
      </c>
      <c r="H379" s="719" t="s">
        <v>919</v>
      </c>
    </row>
    <row r="380" spans="1:23">
      <c r="B380" s="276">
        <v>39</v>
      </c>
      <c r="C380" s="276" t="s">
        <v>1576</v>
      </c>
      <c r="D380" s="340" t="s">
        <v>717</v>
      </c>
      <c r="E380" s="276">
        <v>2021</v>
      </c>
      <c r="F380" s="276" t="s">
        <v>1047</v>
      </c>
      <c r="G380" s="276" t="s">
        <v>1047</v>
      </c>
      <c r="H380" s="276" t="s">
        <v>923</v>
      </c>
    </row>
    <row r="381" spans="1:23">
      <c r="B381" s="29"/>
    </row>
    <row r="382" spans="1:23">
      <c r="A382" s="744"/>
      <c r="B382" s="745" t="s">
        <v>924</v>
      </c>
      <c r="C382" s="744"/>
      <c r="D382" s="744"/>
      <c r="E382" s="744"/>
      <c r="F382" s="744"/>
      <c r="G382" s="744"/>
      <c r="H382" s="744"/>
    </row>
    <row r="383" spans="1:23">
      <c r="B383" s="398" t="s">
        <v>165</v>
      </c>
      <c r="C383" s="398" t="s">
        <v>925</v>
      </c>
      <c r="D383" s="398" t="s">
        <v>926</v>
      </c>
      <c r="E383" s="1139" t="s">
        <v>953</v>
      </c>
      <c r="F383" s="1139"/>
      <c r="G383" s="1139"/>
      <c r="H383" s="1139"/>
    </row>
    <row r="384" spans="1:23">
      <c r="B384" s="276" t="s">
        <v>169</v>
      </c>
      <c r="C384" s="276" t="s">
        <v>166</v>
      </c>
      <c r="D384" s="278">
        <f>VLOOKUP(C384,METHODOLOGY!$C$175:$D$177,2,FALSE)</f>
        <v>3</v>
      </c>
      <c r="E384" s="1087" t="str">
        <f>_xlfn.XLOOKUP(C384,METHODOLOGY!$E$150:$O$150,METHODOLOGY!$E$151:$O$151,"",0,1)</f>
        <v>Monetary values have been peer reviewed or are recommended / referenced in other, well recognised and accepted guidance / tools relevant to the water sector.</v>
      </c>
      <c r="F384" s="1087"/>
      <c r="G384" s="1087"/>
      <c r="H384" s="1087"/>
    </row>
    <row r="385" spans="1:14">
      <c r="B385" s="276" t="s">
        <v>173</v>
      </c>
      <c r="C385" s="276" t="s">
        <v>166</v>
      </c>
      <c r="D385" s="278">
        <f>VLOOKUP(C385,METHODOLOGY!$C$175:$D$177,2,FALSE)</f>
        <v>3</v>
      </c>
      <c r="E385" s="1087" t="str">
        <f>_xlfn.XLOOKUP(C385,METHODOLOGY!$E$150:$O$150,METHODOLOGY!$E$155:$O$155,"",0,1)</f>
        <v>Study has few limitations and is considered robust.</v>
      </c>
      <c r="F385" s="1087"/>
      <c r="G385" s="1087"/>
      <c r="H385" s="1087"/>
    </row>
    <row r="386" spans="1:14">
      <c r="B386" s="276" t="s">
        <v>177</v>
      </c>
      <c r="C386" s="276" t="s">
        <v>166</v>
      </c>
      <c r="D386" s="278">
        <f>VLOOKUP(C386,METHODOLOGY!$C$175:$D$177,2,FALSE)</f>
        <v>3</v>
      </c>
      <c r="E386" s="1087" t="str">
        <f>_xlfn.XLOOKUP(C386,METHODOLOGY!$E$150:$O$150,METHODOLOGY!$E$158:$O$158,"",0,1)</f>
        <v>0 – 5 years</v>
      </c>
      <c r="F386" s="1087"/>
      <c r="G386" s="1087"/>
      <c r="H386" s="1087"/>
    </row>
    <row r="387" spans="1:14">
      <c r="B387" s="276" t="s">
        <v>181</v>
      </c>
      <c r="C387" s="276" t="s">
        <v>166</v>
      </c>
      <c r="D387" s="278">
        <f>VLOOKUP(C387,METHODOLOGY!$C$175:$D$177,2,FALSE)</f>
        <v>3</v>
      </c>
      <c r="E387" s="1087" t="str">
        <f>_xlfn.XLOOKUP(C387,METHODOLOGY!$E$150:$O$150,METHODOLOGY!$E$160:$O$160,"",0,1)</f>
        <v>Geographically relevant to UK</v>
      </c>
      <c r="F387" s="1087"/>
      <c r="G387" s="1087"/>
      <c r="H387" s="1087"/>
    </row>
    <row r="388" spans="1:14">
      <c r="B388" s="276" t="s">
        <v>928</v>
      </c>
      <c r="C388" s="276" t="s">
        <v>166</v>
      </c>
      <c r="D388" s="278">
        <f>VLOOKUP(C388,METHODOLOGY!$C$175:$D$177,2,FALSE)</f>
        <v>3</v>
      </c>
      <c r="E388" s="1087" t="str">
        <f>_xlfn.XLOOKUP(C388,METHODOLOGY!$E$150:$O$150,METHODOLOGY!$E$162:$O$162,"",0,1)</f>
        <v>Clear understanding of the valuation method and how the value should be applied.</v>
      </c>
      <c r="F388" s="1087"/>
      <c r="G388" s="1087"/>
      <c r="H388" s="1087"/>
    </row>
    <row r="389" spans="1:14">
      <c r="B389" s="276" t="s">
        <v>189</v>
      </c>
      <c r="C389" s="276" t="s">
        <v>168</v>
      </c>
      <c r="D389" s="278">
        <f>VLOOKUP(C389,METHODOLOGY!$C$175:$D$177,2,FALSE)</f>
        <v>1</v>
      </c>
      <c r="E389" s="1087" t="str">
        <f>_xlfn.XLOOKUP(C389,METHODOLOGY!$E$150:$O$150,METHODOLOGY!$E$164:$O$164,"",0,1)</f>
        <v xml:space="preserve">The original valuation can be used with significant modification e.g. several additional data inputs are required to use the original source. The calculation is complex or introduces significant uncertainty. </v>
      </c>
      <c r="F389" s="1087"/>
      <c r="G389" s="1087"/>
      <c r="H389" s="1087"/>
    </row>
    <row r="390" spans="1:14">
      <c r="C390" s="282" t="s">
        <v>924</v>
      </c>
      <c r="D390" s="326">
        <f>IF(AND(D389=1,AVERAGE(D384:D389)&gt;2.14285714285714),2.14285714285714,IF(AND(D389=2,AVERAGE(D384:D389)&gt;2.57142857142857),2.57142857142857,AVERAGE(D384:D389)))</f>
        <v>2.1428571428571401</v>
      </c>
      <c r="E390" s="270" t="str">
        <f>IF(D390&lt;=2.14285714285714,"Red",IF(D390&lt;=2.57142857142857,"Amber",IF(D390&lt;=3,"Green")))</f>
        <v>Red</v>
      </c>
    </row>
    <row r="392" spans="1:14">
      <c r="A392" s="744"/>
      <c r="B392" s="745" t="s">
        <v>929</v>
      </c>
      <c r="C392" s="744"/>
      <c r="D392" s="744"/>
      <c r="E392" s="744"/>
      <c r="F392" s="744"/>
      <c r="G392" s="744"/>
      <c r="H392" s="744"/>
    </row>
    <row r="393" spans="1:14">
      <c r="B393" s="398" t="s">
        <v>913</v>
      </c>
      <c r="C393" s="398" t="s">
        <v>898</v>
      </c>
      <c r="D393" s="398" t="s">
        <v>902</v>
      </c>
      <c r="E393" s="398" t="s">
        <v>331</v>
      </c>
      <c r="F393" s="398" t="s">
        <v>226</v>
      </c>
      <c r="G393" s="1145" t="s">
        <v>930</v>
      </c>
      <c r="H393" s="1145"/>
      <c r="I393" s="1145"/>
      <c r="J393" s="1145"/>
      <c r="K393" s="1145"/>
      <c r="L393" s="1145"/>
    </row>
    <row r="394" spans="1:14">
      <c r="B394" s="278">
        <v>39</v>
      </c>
      <c r="C394" s="1262" t="s">
        <v>465</v>
      </c>
      <c r="D394" s="1267" t="s">
        <v>521</v>
      </c>
      <c r="E394" s="311">
        <v>1878</v>
      </c>
      <c r="F394" s="436" t="s">
        <v>1417</v>
      </c>
      <c r="G394" s="1158" t="s">
        <v>1577</v>
      </c>
      <c r="H394" s="1095"/>
      <c r="I394" s="1095"/>
      <c r="J394" s="1095"/>
      <c r="K394" s="1095"/>
      <c r="L394" s="1095"/>
    </row>
    <row r="395" spans="1:14">
      <c r="B395" s="1259">
        <v>60</v>
      </c>
      <c r="C395" s="1263"/>
      <c r="D395" s="1268"/>
      <c r="E395" s="469">
        <v>2.38</v>
      </c>
      <c r="F395" s="394" t="s">
        <v>1235</v>
      </c>
      <c r="G395" s="1278" t="s">
        <v>1578</v>
      </c>
      <c r="H395" s="1279"/>
      <c r="I395" s="1279"/>
      <c r="J395" s="1279"/>
      <c r="K395" s="1279"/>
      <c r="L395" s="1280"/>
    </row>
    <row r="396" spans="1:14">
      <c r="B396" s="1260"/>
      <c r="C396" s="1263"/>
      <c r="D396" s="1268"/>
      <c r="E396" s="469">
        <v>2.3199999999999998</v>
      </c>
      <c r="F396" s="394" t="s">
        <v>1238</v>
      </c>
      <c r="G396" s="1281"/>
      <c r="H396" s="1282"/>
      <c r="I396" s="1282"/>
      <c r="J396" s="1282"/>
      <c r="K396" s="1282"/>
      <c r="L396" s="1283"/>
    </row>
    <row r="397" spans="1:14">
      <c r="B397" s="1260"/>
      <c r="C397" s="1263"/>
      <c r="D397" s="1268"/>
      <c r="E397" s="481">
        <f>23487*1000</f>
        <v>23487000</v>
      </c>
      <c r="F397" s="394" t="s">
        <v>1239</v>
      </c>
      <c r="G397" s="1281"/>
      <c r="H397" s="1282"/>
      <c r="I397" s="1282"/>
      <c r="J397" s="1282"/>
      <c r="K397" s="1282"/>
      <c r="L397" s="1283"/>
    </row>
    <row r="398" spans="1:14">
      <c r="B398" s="1261"/>
      <c r="C398" s="1264"/>
      <c r="D398" s="1269"/>
      <c r="E398" s="481">
        <f>1344*1000</f>
        <v>1344000</v>
      </c>
      <c r="F398" s="394" t="s">
        <v>1241</v>
      </c>
      <c r="G398" s="1284"/>
      <c r="H398" s="1285"/>
      <c r="I398" s="1285"/>
      <c r="J398" s="1285"/>
      <c r="K398" s="1285"/>
      <c r="L398" s="1286"/>
    </row>
    <row r="399" spans="1:14">
      <c r="B399" s="2"/>
      <c r="C399" s="2"/>
      <c r="D399" s="6"/>
      <c r="E399" s="146"/>
      <c r="F399" s="156"/>
      <c r="G399" s="126"/>
      <c r="H399" s="24"/>
      <c r="I399" s="24"/>
      <c r="J399" s="24"/>
      <c r="K399" s="24"/>
      <c r="L399" s="24"/>
    </row>
    <row r="400" spans="1:14">
      <c r="B400" s="2"/>
      <c r="C400" s="2"/>
      <c r="D400" s="6"/>
      <c r="E400" s="146"/>
      <c r="F400" s="156"/>
      <c r="G400" s="126"/>
      <c r="H400" s="24"/>
      <c r="I400" s="24"/>
      <c r="J400" s="24"/>
      <c r="K400" s="24"/>
      <c r="L400" s="24"/>
      <c r="M400" s="24"/>
      <c r="N400" s="24"/>
    </row>
    <row r="401" spans="1:23">
      <c r="A401" s="744"/>
      <c r="B401" s="745" t="s">
        <v>936</v>
      </c>
      <c r="C401" s="744"/>
      <c r="D401" s="744"/>
      <c r="E401" s="744"/>
      <c r="F401" s="744"/>
      <c r="G401" s="769"/>
      <c r="H401" s="744"/>
    </row>
    <row r="402" spans="1:23">
      <c r="B402" s="1265" t="s">
        <v>953</v>
      </c>
      <c r="C402" s="1266"/>
      <c r="D402" s="472" t="s">
        <v>936</v>
      </c>
      <c r="G402" s="128"/>
    </row>
    <row r="403" spans="1:23" ht="30.75" customHeight="1">
      <c r="B403" s="1257" t="s">
        <v>1579</v>
      </c>
      <c r="C403" s="1257"/>
      <c r="D403" s="482">
        <f>E397/SUM($E$397:$E$398)</f>
        <v>0.94587410897668234</v>
      </c>
      <c r="E403" s="156"/>
      <c r="F403" s="126"/>
      <c r="G403" s="24"/>
      <c r="H403" s="24"/>
      <c r="I403" s="24"/>
      <c r="J403" s="24"/>
      <c r="K403" s="24"/>
      <c r="L403" s="24"/>
      <c r="M403" s="24"/>
    </row>
    <row r="404" spans="1:23" ht="30.75" customHeight="1">
      <c r="B404" s="1257" t="s">
        <v>1580</v>
      </c>
      <c r="C404" s="1257"/>
      <c r="D404" s="482">
        <f>E398/SUM($E$397:$E$398)</f>
        <v>5.4125891023317628E-2</v>
      </c>
      <c r="E404" s="156"/>
      <c r="F404" s="126"/>
      <c r="G404" s="24"/>
      <c r="H404" s="24"/>
      <c r="I404" s="24"/>
      <c r="J404" s="24"/>
      <c r="K404" s="24"/>
      <c r="L404" s="24"/>
      <c r="M404" s="24"/>
    </row>
    <row r="405" spans="1:23" ht="30.75" customHeight="1">
      <c r="B405" s="1258" t="s">
        <v>1581</v>
      </c>
      <c r="C405" s="1258"/>
      <c r="D405" s="482">
        <f>SUM(E395*D403,E396*D404)</f>
        <v>2.376752446538601</v>
      </c>
      <c r="E405" s="156"/>
      <c r="F405" s="126"/>
      <c r="G405" s="24"/>
      <c r="H405" s="24"/>
      <c r="I405" s="24"/>
      <c r="J405" s="24"/>
      <c r="K405" s="24"/>
      <c r="L405" s="24"/>
      <c r="M405" s="24"/>
    </row>
    <row r="406" spans="1:23" ht="29.25" customHeight="1">
      <c r="B406" s="1095" t="s">
        <v>1577</v>
      </c>
      <c r="C406" s="1095"/>
      <c r="D406" s="387">
        <f>E394</f>
        <v>1878</v>
      </c>
      <c r="E406" s="156"/>
      <c r="F406" s="126"/>
      <c r="G406" s="24"/>
      <c r="H406" s="24"/>
      <c r="I406" s="24"/>
      <c r="J406" s="24"/>
      <c r="K406" s="24"/>
      <c r="L406" s="24"/>
      <c r="M406" s="24"/>
    </row>
    <row r="407" spans="1:23" ht="33.75" customHeight="1">
      <c r="B407" s="1095" t="s">
        <v>1582</v>
      </c>
      <c r="C407" s="1095"/>
      <c r="D407" s="387">
        <f>D406*D405</f>
        <v>4463.5410945994927</v>
      </c>
      <c r="E407" s="156"/>
      <c r="F407" s="126"/>
      <c r="G407" s="24"/>
      <c r="H407" s="24"/>
      <c r="I407" s="24"/>
      <c r="J407" s="24"/>
      <c r="K407" s="24"/>
      <c r="L407" s="24"/>
      <c r="M407" s="24"/>
    </row>
    <row r="408" spans="1:23">
      <c r="B408" s="2"/>
      <c r="C408" s="2"/>
      <c r="D408" s="6"/>
      <c r="E408" s="146"/>
      <c r="F408" s="156"/>
      <c r="G408" s="126"/>
      <c r="H408" s="24"/>
      <c r="I408" s="24"/>
      <c r="J408" s="24"/>
      <c r="K408" s="24"/>
      <c r="L408" s="24"/>
      <c r="M408" s="24"/>
      <c r="N408" s="24"/>
    </row>
    <row r="409" spans="1:23">
      <c r="A409" s="741"/>
      <c r="B409" s="743" t="s">
        <v>901</v>
      </c>
      <c r="C409" s="741"/>
      <c r="D409" s="741"/>
      <c r="E409" s="741"/>
      <c r="F409" s="741"/>
      <c r="G409" s="741"/>
      <c r="H409" s="741"/>
    </row>
    <row r="410" spans="1:23" ht="29.1">
      <c r="B410" s="522" t="s">
        <v>902</v>
      </c>
      <c r="C410" s="522" t="s">
        <v>898</v>
      </c>
      <c r="D410" s="522" t="s">
        <v>899</v>
      </c>
      <c r="E410" s="719" t="s">
        <v>903</v>
      </c>
      <c r="F410" s="522" t="s">
        <v>904</v>
      </c>
      <c r="G410" s="705" t="s">
        <v>905</v>
      </c>
      <c r="H410" s="522" t="s">
        <v>924</v>
      </c>
      <c r="I410" s="522" t="s">
        <v>956</v>
      </c>
      <c r="J410" s="522" t="s">
        <v>927</v>
      </c>
    </row>
    <row r="411" spans="1:23">
      <c r="B411" s="276" t="s">
        <v>521</v>
      </c>
      <c r="C411" s="276" t="str">
        <f>$H$10</f>
        <v>Health and wellbeing</v>
      </c>
      <c r="D411" s="276" t="str">
        <f>$C$375</f>
        <v xml:space="preserve"> Negative impact on mental health</v>
      </c>
      <c r="E411" s="373" t="s">
        <v>1575</v>
      </c>
      <c r="F411" s="276" t="str" cm="1">
        <f t="array" ref="F411">_xlfn.XLOOKUP(1,(D417:D417=B411)*(E417:E417=C411),B417:B417,"Not found",0,1)</f>
        <v>16-5</v>
      </c>
      <c r="G411" s="311">
        <f>VLOOKUP(F411,$B$417:$L$417,11,FALSE)</f>
        <v>5388.4073284556143</v>
      </c>
      <c r="H411" s="326">
        <f>D390</f>
        <v>2.1428571428571401</v>
      </c>
      <c r="I411" s="276" t="s">
        <v>1583</v>
      </c>
      <c r="J411" s="276" t="s">
        <v>1584</v>
      </c>
    </row>
    <row r="412" spans="1:23">
      <c r="B412" s="276" t="s">
        <v>522</v>
      </c>
      <c r="C412" s="276" t="str">
        <f>$H$10</f>
        <v>Health and wellbeing</v>
      </c>
      <c r="D412" s="276" t="str">
        <f>$C$375</f>
        <v xml:space="preserve"> Negative impact on mental health</v>
      </c>
      <c r="E412" s="373" t="s">
        <v>906</v>
      </c>
      <c r="F412" s="276" t="s">
        <v>907</v>
      </c>
      <c r="G412" s="311" t="s">
        <v>961</v>
      </c>
      <c r="H412" s="640" t="s">
        <v>907</v>
      </c>
      <c r="I412" s="640" t="s">
        <v>907</v>
      </c>
      <c r="J412" s="640" t="s">
        <v>907</v>
      </c>
    </row>
    <row r="413" spans="1:23">
      <c r="B413" s="276" t="s">
        <v>523</v>
      </c>
      <c r="C413" s="276" t="str">
        <f>$H$10</f>
        <v>Health and wellbeing</v>
      </c>
      <c r="D413" s="276" t="str">
        <f>$C$375</f>
        <v xml:space="preserve"> Negative impact on mental health</v>
      </c>
      <c r="E413" s="373" t="s">
        <v>906</v>
      </c>
      <c r="F413" s="276" t="s">
        <v>907</v>
      </c>
      <c r="G413" s="311" t="s">
        <v>961</v>
      </c>
      <c r="H413" s="640" t="s">
        <v>907</v>
      </c>
      <c r="I413" s="640" t="s">
        <v>907</v>
      </c>
      <c r="J413" s="640" t="s">
        <v>907</v>
      </c>
    </row>
    <row r="414" spans="1:23">
      <c r="B414" s="30"/>
    </row>
    <row r="415" spans="1:23">
      <c r="A415" s="744"/>
      <c r="B415" s="745" t="s">
        <v>962</v>
      </c>
      <c r="C415" s="744"/>
      <c r="D415" s="744"/>
      <c r="E415" s="744"/>
      <c r="F415" s="744"/>
      <c r="G415" s="744"/>
      <c r="H415" s="744"/>
    </row>
    <row r="416" spans="1:23">
      <c r="B416" s="398" t="s">
        <v>904</v>
      </c>
      <c r="C416" s="398" t="s">
        <v>62</v>
      </c>
      <c r="D416" s="398" t="s">
        <v>902</v>
      </c>
      <c r="E416" s="398" t="s">
        <v>898</v>
      </c>
      <c r="F416" s="398" t="s">
        <v>916</v>
      </c>
      <c r="G416" s="398" t="s">
        <v>963</v>
      </c>
      <c r="H416" s="398" t="s">
        <v>964</v>
      </c>
      <c r="I416" s="398" t="s">
        <v>965</v>
      </c>
      <c r="J416" s="398" t="s">
        <v>966</v>
      </c>
      <c r="K416" s="398" t="s">
        <v>967</v>
      </c>
      <c r="L416" s="398" t="s">
        <v>968</v>
      </c>
      <c r="M416" s="398" t="s">
        <v>956</v>
      </c>
      <c r="N416" s="398" t="s">
        <v>969</v>
      </c>
      <c r="O416" s="398" t="s">
        <v>970</v>
      </c>
      <c r="P416" s="398" t="s">
        <v>927</v>
      </c>
      <c r="Q416" s="398" t="s">
        <v>913</v>
      </c>
      <c r="R416" s="398" t="s">
        <v>914</v>
      </c>
      <c r="S416" s="398" t="s">
        <v>915</v>
      </c>
      <c r="T416" s="398" t="s">
        <v>916</v>
      </c>
      <c r="U416" s="398" t="s">
        <v>917</v>
      </c>
      <c r="V416" s="398" t="s">
        <v>918</v>
      </c>
      <c r="W416" s="398" t="s">
        <v>919</v>
      </c>
    </row>
    <row r="417" spans="2:23">
      <c r="B417" s="372" t="s">
        <v>1585</v>
      </c>
      <c r="C417" s="276" t="s">
        <v>1468</v>
      </c>
      <c r="D417" s="276" t="str">
        <f>B411</f>
        <v>Internal flooding of residential living space</v>
      </c>
      <c r="E417" s="276" t="str">
        <f>C411</f>
        <v>Health and wellbeing</v>
      </c>
      <c r="F417" s="373">
        <f>E380</f>
        <v>2021</v>
      </c>
      <c r="G417" s="276">
        <v>2018</v>
      </c>
      <c r="H417" s="276">
        <f>'COMPANY INPUT'!$C$16</f>
        <v>2023</v>
      </c>
      <c r="I417" s="276">
        <f>VLOOKUP(G417,'GDP Deflators'!$H$13:$I$86,2,FALSE)</f>
        <v>82.835999999999999</v>
      </c>
      <c r="J417" s="276">
        <f>VLOOKUP(H417,'GDP Deflators'!$H$13:$I$86,2,FALSE)</f>
        <v>100</v>
      </c>
      <c r="K417" s="343">
        <f>D407</f>
        <v>4463.5410945994927</v>
      </c>
      <c r="L417" s="747">
        <f>K417*(J417/I417)</f>
        <v>5388.4073284556143</v>
      </c>
      <c r="M417" s="276" t="str">
        <f>I411</f>
        <v>Damage costs</v>
      </c>
      <c r="N417" s="326">
        <f>H411</f>
        <v>2.1428571428571401</v>
      </c>
      <c r="O417" s="276" t="s">
        <v>718</v>
      </c>
      <c r="P417" s="276" t="str">
        <f>J411</f>
        <v xml:space="preserve">The EA value is selected as it is recommended for use by the UK government for calculating flood related damages. </v>
      </c>
      <c r="Q417" s="373">
        <f t="shared" ref="Q417:W417" si="7">B380</f>
        <v>39</v>
      </c>
      <c r="R417" s="276" t="str">
        <f t="shared" si="7"/>
        <v>Environment Agency (2021) Mental health costs of flooding and erosion</v>
      </c>
      <c r="S417" s="276" t="str">
        <f t="shared" si="7"/>
        <v>No</v>
      </c>
      <c r="T417" s="276">
        <f t="shared" si="7"/>
        <v>2021</v>
      </c>
      <c r="U417" s="276" t="str">
        <f t="shared" si="7"/>
        <v>UK</v>
      </c>
      <c r="V417" s="276" t="str">
        <f t="shared" si="7"/>
        <v>UK</v>
      </c>
      <c r="W417" s="276" t="str">
        <f t="shared" si="7"/>
        <v>Unknown</v>
      </c>
    </row>
  </sheetData>
  <sheetProtection algorithmName="SHA-512" hashValue="PcgUe6V0vQKqSpTqCl8dC4Vv3HIHYrNE6Q6rlYSKwpqlugHiUSoFSNuFQQzUCYWp98xV5V9mmajwDD54R1TvkA==" saltValue="Wh9GNFDlomE5dkhDYOMAkA==" spinCount="100000" sheet="1" objects="1" scenarios="1"/>
  <dataConsolidate/>
  <mergeCells count="131">
    <mergeCell ref="E202:H202"/>
    <mergeCell ref="E203:H203"/>
    <mergeCell ref="E204:H204"/>
    <mergeCell ref="E205:H205"/>
    <mergeCell ref="E206:H206"/>
    <mergeCell ref="E207:H207"/>
    <mergeCell ref="F212:H212"/>
    <mergeCell ref="F213:H213"/>
    <mergeCell ref="F211:H211"/>
    <mergeCell ref="B220:K220"/>
    <mergeCell ref="J212:J213"/>
    <mergeCell ref="I212:I213"/>
    <mergeCell ref="K222:K227"/>
    <mergeCell ref="B225:B227"/>
    <mergeCell ref="G225:I227"/>
    <mergeCell ref="E226:F226"/>
    <mergeCell ref="E227:F227"/>
    <mergeCell ref="C221:D221"/>
    <mergeCell ref="E221:F221"/>
    <mergeCell ref="G221:I221"/>
    <mergeCell ref="E389:H389"/>
    <mergeCell ref="E245:H245"/>
    <mergeCell ref="E383:H383"/>
    <mergeCell ref="E384:H384"/>
    <mergeCell ref="E385:H385"/>
    <mergeCell ref="E386:H386"/>
    <mergeCell ref="F250:H250"/>
    <mergeCell ref="F249:H249"/>
    <mergeCell ref="E292:H292"/>
    <mergeCell ref="E293:H293"/>
    <mergeCell ref="E294:H294"/>
    <mergeCell ref="E295:H295"/>
    <mergeCell ref="E296:H296"/>
    <mergeCell ref="E297:H297"/>
    <mergeCell ref="E298:H298"/>
    <mergeCell ref="E387:H387"/>
    <mergeCell ref="E388:H388"/>
    <mergeCell ref="E90:H90"/>
    <mergeCell ref="E91:H91"/>
    <mergeCell ref="E92:H92"/>
    <mergeCell ref="E93:H93"/>
    <mergeCell ref="E201:H201"/>
    <mergeCell ref="F98:K98"/>
    <mergeCell ref="F97:K97"/>
    <mergeCell ref="E112:H112"/>
    <mergeCell ref="E113:H113"/>
    <mergeCell ref="E114:H114"/>
    <mergeCell ref="E115:H115"/>
    <mergeCell ref="E116:H116"/>
    <mergeCell ref="E117:H117"/>
    <mergeCell ref="E118:H118"/>
    <mergeCell ref="F122:K122"/>
    <mergeCell ref="F123:K123"/>
    <mergeCell ref="D175:E175"/>
    <mergeCell ref="D177:E177"/>
    <mergeCell ref="D178:E178"/>
    <mergeCell ref="D179:E179"/>
    <mergeCell ref="F124:K124"/>
    <mergeCell ref="D172:E172"/>
    <mergeCell ref="D173:E173"/>
    <mergeCell ref="D174:E174"/>
    <mergeCell ref="D9:H9"/>
    <mergeCell ref="B5:H5"/>
    <mergeCell ref="E27:H27"/>
    <mergeCell ref="E28:H28"/>
    <mergeCell ref="E29:H29"/>
    <mergeCell ref="E30:H30"/>
    <mergeCell ref="E31:H31"/>
    <mergeCell ref="E32:H32"/>
    <mergeCell ref="E33:H33"/>
    <mergeCell ref="F37:I37"/>
    <mergeCell ref="F38:I38"/>
    <mergeCell ref="F39:I39"/>
    <mergeCell ref="E87:H87"/>
    <mergeCell ref="E88:H88"/>
    <mergeCell ref="E89:H89"/>
    <mergeCell ref="E275:E277"/>
    <mergeCell ref="F275:F277"/>
    <mergeCell ref="J362:J363"/>
    <mergeCell ref="I362:I363"/>
    <mergeCell ref="H362:H363"/>
    <mergeCell ref="F302:K302"/>
    <mergeCell ref="F303:K303"/>
    <mergeCell ref="F304:K304"/>
    <mergeCell ref="D351:E351"/>
    <mergeCell ref="D352:E352"/>
    <mergeCell ref="D353:E353"/>
    <mergeCell ref="D354:E354"/>
    <mergeCell ref="D356:E356"/>
    <mergeCell ref="D357:E357"/>
    <mergeCell ref="D358:E358"/>
    <mergeCell ref="F305:K305"/>
    <mergeCell ref="G222:I224"/>
    <mergeCell ref="I249:I250"/>
    <mergeCell ref="B406:C406"/>
    <mergeCell ref="B407:C407"/>
    <mergeCell ref="B404:C404"/>
    <mergeCell ref="B405:C405"/>
    <mergeCell ref="B395:B398"/>
    <mergeCell ref="C394:C398"/>
    <mergeCell ref="B402:C402"/>
    <mergeCell ref="B222:B224"/>
    <mergeCell ref="E222:F222"/>
    <mergeCell ref="B403:C403"/>
    <mergeCell ref="D394:D398"/>
    <mergeCell ref="B272:D272"/>
    <mergeCell ref="B252:U252"/>
    <mergeCell ref="B253:U253"/>
    <mergeCell ref="G394:L394"/>
    <mergeCell ref="G395:L398"/>
    <mergeCell ref="G393:L393"/>
    <mergeCell ref="H281:H282"/>
    <mergeCell ref="I275:I277"/>
    <mergeCell ref="H275:H277"/>
    <mergeCell ref="B255:U255"/>
    <mergeCell ref="J249:J250"/>
    <mergeCell ref="E224:F224"/>
    <mergeCell ref="E225:F225"/>
    <mergeCell ref="E243:H243"/>
    <mergeCell ref="E244:H244"/>
    <mergeCell ref="E223:F223"/>
    <mergeCell ref="E229:F229"/>
    <mergeCell ref="G229:H229"/>
    <mergeCell ref="E230:F231"/>
    <mergeCell ref="G230:H230"/>
    <mergeCell ref="G231:H231"/>
    <mergeCell ref="J222:J227"/>
    <mergeCell ref="E240:H240"/>
    <mergeCell ref="E241:H241"/>
    <mergeCell ref="E242:H242"/>
    <mergeCell ref="E239:H239"/>
  </mergeCells>
  <conditionalFormatting sqref="C222:C223">
    <cfRule type="containsText" dxfId="874" priority="209" operator="containsText" text="TBI">
      <formula>NOT(ISERROR(SEARCH("TBI",C222)))</formula>
    </cfRule>
  </conditionalFormatting>
  <conditionalFormatting sqref="C225:C226">
    <cfRule type="containsText" dxfId="873" priority="207" operator="containsText" text="TBI">
      <formula>NOT(ISERROR(SEARCH("TBI",C225)))</formula>
    </cfRule>
  </conditionalFormatting>
  <conditionalFormatting sqref="D231">
    <cfRule type="containsText" dxfId="872" priority="203" operator="containsText" text="TBI">
      <formula>NOT(ISERROR(SEARCH("TBI",D231)))</formula>
    </cfRule>
  </conditionalFormatting>
  <conditionalFormatting sqref="D34:E34">
    <cfRule type="cellIs" dxfId="871" priority="41" operator="lessThanOrEqual">
      <formula>2.14285714285714</formula>
    </cfRule>
    <cfRule type="cellIs" dxfId="870" priority="43" operator="lessThanOrEqual">
      <formula>3</formula>
    </cfRule>
    <cfRule type="cellIs" dxfId="869" priority="42" operator="lessThanOrEqual">
      <formula>2.57142857142857</formula>
    </cfRule>
  </conditionalFormatting>
  <conditionalFormatting sqref="D94:E94">
    <cfRule type="cellIs" dxfId="868" priority="36" operator="lessThanOrEqual">
      <formula>2.57142857142857</formula>
    </cfRule>
    <cfRule type="cellIs" dxfId="867" priority="35" operator="lessThanOrEqual">
      <formula>2.14285714285714</formula>
    </cfRule>
    <cfRule type="cellIs" dxfId="866" priority="37" operator="lessThanOrEqual">
      <formula>3</formula>
    </cfRule>
  </conditionalFormatting>
  <conditionalFormatting sqref="D119:E119">
    <cfRule type="cellIs" dxfId="865" priority="10" operator="lessThanOrEqual">
      <formula>2.14285714285714</formula>
    </cfRule>
    <cfRule type="cellIs" dxfId="864" priority="11" operator="lessThanOrEqual">
      <formula>2.57142857142857</formula>
    </cfRule>
    <cfRule type="cellIs" dxfId="863" priority="12" operator="lessThanOrEqual">
      <formula>3</formula>
    </cfRule>
  </conditionalFormatting>
  <conditionalFormatting sqref="D208:E208">
    <cfRule type="cellIs" dxfId="862" priority="29" operator="lessThanOrEqual">
      <formula>2.14285714285714</formula>
    </cfRule>
    <cfRule type="cellIs" dxfId="861" priority="30" operator="lessThanOrEqual">
      <formula>2.57142857142857</formula>
    </cfRule>
    <cfRule type="cellIs" dxfId="860" priority="31" operator="lessThanOrEqual">
      <formula>3</formula>
    </cfRule>
  </conditionalFormatting>
  <conditionalFormatting sqref="D223:E224 D227:D228">
    <cfRule type="containsText" dxfId="859" priority="208" operator="containsText" text="TBI">
      <formula>NOT(ISERROR(SEARCH("TBI",D223)))</formula>
    </cfRule>
  </conditionalFormatting>
  <conditionalFormatting sqref="D229:E230">
    <cfRule type="containsText" dxfId="858" priority="204" operator="containsText" text="TBI">
      <formula>NOT(ISERROR(SEARCH("TBI",D229)))</formula>
    </cfRule>
  </conditionalFormatting>
  <conditionalFormatting sqref="D246:E246">
    <cfRule type="cellIs" dxfId="857" priority="23" operator="lessThanOrEqual">
      <formula>2.14285714285714</formula>
    </cfRule>
    <cfRule type="cellIs" dxfId="856" priority="24" operator="lessThanOrEqual">
      <formula>2.57142857142857</formula>
    </cfRule>
    <cfRule type="cellIs" dxfId="855" priority="25" operator="lessThanOrEqual">
      <formula>3</formula>
    </cfRule>
  </conditionalFormatting>
  <conditionalFormatting sqref="D299:E299">
    <cfRule type="cellIs" dxfId="854" priority="4" operator="lessThanOrEqual">
      <formula>2.14285714285714</formula>
    </cfRule>
    <cfRule type="cellIs" dxfId="853" priority="5" operator="lessThanOrEqual">
      <formula>2.57142857142857</formula>
    </cfRule>
    <cfRule type="cellIs" dxfId="852" priority="6" operator="lessThanOrEqual">
      <formula>3</formula>
    </cfRule>
  </conditionalFormatting>
  <conditionalFormatting sqref="D390:E390">
    <cfRule type="cellIs" dxfId="851" priority="18" operator="lessThanOrEqual">
      <formula>2.57142857142857</formula>
    </cfRule>
    <cfRule type="cellIs" dxfId="850" priority="17" operator="lessThanOrEqual">
      <formula>2.14285714285714</formula>
    </cfRule>
    <cfRule type="cellIs" dxfId="849" priority="19" operator="lessThanOrEqual">
      <formula>3</formula>
    </cfRule>
  </conditionalFormatting>
  <conditionalFormatting sqref="D11:H13">
    <cfRule type="notContainsBlanks" dxfId="848" priority="13">
      <formula>LEN(TRIM(D11))&gt;0</formula>
    </cfRule>
  </conditionalFormatting>
  <conditionalFormatting sqref="E34">
    <cfRule type="containsText" dxfId="847" priority="40" operator="containsText" text="Red">
      <formula>NOT(ISERROR(SEARCH("Red",E34)))</formula>
    </cfRule>
    <cfRule type="containsText" dxfId="846" priority="39" operator="containsText" text="Amber">
      <formula>NOT(ISERROR(SEARCH("Amber",E34)))</formula>
    </cfRule>
    <cfRule type="containsText" dxfId="845" priority="38" operator="containsText" text="Green">
      <formula>NOT(ISERROR(SEARCH("Green",E34)))</formula>
    </cfRule>
  </conditionalFormatting>
  <conditionalFormatting sqref="E94">
    <cfRule type="containsText" dxfId="844" priority="32" operator="containsText" text="Green">
      <formula>NOT(ISERROR(SEARCH("Green",E94)))</formula>
    </cfRule>
    <cfRule type="containsText" dxfId="843" priority="33" operator="containsText" text="Amber">
      <formula>NOT(ISERROR(SEARCH("Amber",E94)))</formula>
    </cfRule>
    <cfRule type="containsText" dxfId="842" priority="34" operator="containsText" text="Red">
      <formula>NOT(ISERROR(SEARCH("Red",E94)))</formula>
    </cfRule>
  </conditionalFormatting>
  <conditionalFormatting sqref="E119">
    <cfRule type="containsText" dxfId="841" priority="7" operator="containsText" text="Green">
      <formula>NOT(ISERROR(SEARCH("Green",E119)))</formula>
    </cfRule>
    <cfRule type="containsText" dxfId="840" priority="8" operator="containsText" text="Amber">
      <formula>NOT(ISERROR(SEARCH("Amber",E119)))</formula>
    </cfRule>
    <cfRule type="containsText" dxfId="839" priority="9" operator="containsText" text="Red">
      <formula>NOT(ISERROR(SEARCH("Red",E119)))</formula>
    </cfRule>
  </conditionalFormatting>
  <conditionalFormatting sqref="E208">
    <cfRule type="containsText" dxfId="838" priority="28" operator="containsText" text="Red">
      <formula>NOT(ISERROR(SEARCH("Red",E208)))</formula>
    </cfRule>
    <cfRule type="containsText" dxfId="837" priority="26" operator="containsText" text="Green">
      <formula>NOT(ISERROR(SEARCH("Green",E208)))</formula>
    </cfRule>
    <cfRule type="containsText" dxfId="836" priority="27" operator="containsText" text="Amber">
      <formula>NOT(ISERROR(SEARCH("Amber",E208)))</formula>
    </cfRule>
  </conditionalFormatting>
  <conditionalFormatting sqref="E225:E228">
    <cfRule type="containsText" dxfId="835" priority="206" operator="containsText" text="TBI">
      <formula>NOT(ISERROR(SEARCH("TBI",E225)))</formula>
    </cfRule>
  </conditionalFormatting>
  <conditionalFormatting sqref="E246">
    <cfRule type="containsText" dxfId="834" priority="20" operator="containsText" text="Green">
      <formula>NOT(ISERROR(SEARCH("Green",E246)))</formula>
    </cfRule>
    <cfRule type="containsText" dxfId="833" priority="22" operator="containsText" text="Red">
      <formula>NOT(ISERROR(SEARCH("Red",E246)))</formula>
    </cfRule>
    <cfRule type="containsText" dxfId="832" priority="21" operator="containsText" text="Amber">
      <formula>NOT(ISERROR(SEARCH("Amber",E246)))</formula>
    </cfRule>
  </conditionalFormatting>
  <conditionalFormatting sqref="E299">
    <cfRule type="containsText" dxfId="831" priority="1" operator="containsText" text="Green">
      <formula>NOT(ISERROR(SEARCH("Green",E299)))</formula>
    </cfRule>
    <cfRule type="containsText" dxfId="830" priority="3" operator="containsText" text="Red">
      <formula>NOT(ISERROR(SEARCH("Red",E299)))</formula>
    </cfRule>
    <cfRule type="containsText" dxfId="829" priority="2" operator="containsText" text="Amber">
      <formula>NOT(ISERROR(SEARCH("Amber",E299)))</formula>
    </cfRule>
  </conditionalFormatting>
  <conditionalFormatting sqref="E390">
    <cfRule type="containsText" dxfId="828" priority="16" operator="containsText" text="Red">
      <formula>NOT(ISERROR(SEARCH("Red",E390)))</formula>
    </cfRule>
    <cfRule type="containsText" dxfId="827" priority="15" operator="containsText" text="Amber">
      <formula>NOT(ISERROR(SEARCH("Amber",E390)))</formula>
    </cfRule>
    <cfRule type="containsText" dxfId="826" priority="14" operator="containsText" text="Green">
      <formula>NOT(ISERROR(SEARCH("Green",E390)))</formula>
    </cfRule>
  </conditionalFormatting>
  <conditionalFormatting sqref="H68">
    <cfRule type="cellIs" dxfId="825" priority="89" operator="lessThanOrEqual">
      <formula>2.14285714285714</formula>
    </cfRule>
    <cfRule type="cellIs" dxfId="824" priority="90" operator="lessThanOrEqual">
      <formula>2.57142857142857</formula>
    </cfRule>
    <cfRule type="cellIs" dxfId="823" priority="91" operator="lessThanOrEqual">
      <formula>3</formula>
    </cfRule>
  </conditionalFormatting>
  <conditionalFormatting sqref="H183">
    <cfRule type="cellIs" dxfId="822" priority="79" operator="lessThanOrEqual">
      <formula>3</formula>
    </cfRule>
    <cfRule type="cellIs" dxfId="821" priority="78" operator="lessThanOrEqual">
      <formula>2.57142857142857</formula>
    </cfRule>
    <cfRule type="cellIs" dxfId="820" priority="77" operator="lessThanOrEqual">
      <formula>2.14285714285714</formula>
    </cfRule>
  </conditionalFormatting>
  <conditionalFormatting sqref="H362">
    <cfRule type="cellIs" dxfId="819" priority="56" operator="lessThanOrEqual">
      <formula>2.14285714285714</formula>
    </cfRule>
    <cfRule type="cellIs" dxfId="818" priority="57" operator="lessThanOrEqual">
      <formula>2.57142857142857</formula>
    </cfRule>
    <cfRule type="cellIs" dxfId="817" priority="58" operator="lessThanOrEqual">
      <formula>3</formula>
    </cfRule>
  </conditionalFormatting>
  <conditionalFormatting sqref="H411">
    <cfRule type="cellIs" dxfId="816" priority="47" operator="lessThanOrEqual">
      <formula>2.14285714285714</formula>
    </cfRule>
    <cfRule type="cellIs" dxfId="815" priority="48" operator="lessThanOrEqual">
      <formula>2.57142857142857</formula>
    </cfRule>
    <cfRule type="cellIs" dxfId="814" priority="49" operator="lessThanOrEqual">
      <formula>3</formula>
    </cfRule>
  </conditionalFormatting>
  <conditionalFormatting sqref="N74">
    <cfRule type="cellIs" dxfId="813" priority="87" operator="lessThanOrEqual">
      <formula>2.57142857142857</formula>
    </cfRule>
    <cfRule type="cellIs" dxfId="812" priority="86" operator="lessThanOrEqual">
      <formula>2.14285714285714</formula>
    </cfRule>
    <cfRule type="cellIs" dxfId="811" priority="88" operator="lessThanOrEqual">
      <formula>3</formula>
    </cfRule>
  </conditionalFormatting>
  <conditionalFormatting sqref="N187:N188">
    <cfRule type="cellIs" dxfId="810" priority="74" operator="lessThanOrEqual">
      <formula>2.14285714285714</formula>
    </cfRule>
    <cfRule type="cellIs" dxfId="809" priority="75" operator="lessThanOrEqual">
      <formula>2.57142857142857</formula>
    </cfRule>
    <cfRule type="cellIs" dxfId="808" priority="76" operator="lessThanOrEqual">
      <formula>3</formula>
    </cfRule>
  </conditionalFormatting>
  <conditionalFormatting sqref="N367:N370">
    <cfRule type="cellIs" dxfId="807" priority="60" operator="lessThanOrEqual">
      <formula>2.57142857142857</formula>
    </cfRule>
    <cfRule type="cellIs" dxfId="806" priority="59" operator="lessThanOrEqual">
      <formula>2.14285714285714</formula>
    </cfRule>
    <cfRule type="cellIs" dxfId="805" priority="61" operator="lessThanOrEqual">
      <formula>3</formula>
    </cfRule>
  </conditionalFormatting>
  <conditionalFormatting sqref="N417">
    <cfRule type="cellIs" dxfId="804" priority="44" operator="lessThanOrEqual">
      <formula>2.14285714285714</formula>
    </cfRule>
    <cfRule type="cellIs" dxfId="803" priority="46" operator="lessThanOrEqual">
      <formula>3</formula>
    </cfRule>
    <cfRule type="cellIs" dxfId="802" priority="45" operator="lessThanOrEqual">
      <formula>2.57142857142857</formula>
    </cfRule>
  </conditionalFormatting>
  <dataValidations disablePrompts="1" count="1">
    <dataValidation type="list" allowBlank="1" showInputMessage="1" showErrorMessage="1" sqref="C75 C35 C28:C33 C189 C95 C88:C93 C418 C391 C384:C389 C247 C240:C245 C209 C202:C207 C120 C113:C118 C300 C293:C298" xr:uid="{E92E8299-10C8-425F-A852-8FEA113D8A11}">
      <formula1>"High, Medium, Low"</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554DD-9511-4374-8EED-B815AB48EA20}">
  <sheetPr codeName="Sheet25">
    <tabColor theme="5" tint="0.59999389629810485"/>
  </sheetPr>
  <dimension ref="A1:AA432"/>
  <sheetViews>
    <sheetView workbookViewId="0"/>
  </sheetViews>
  <sheetFormatPr defaultColWidth="9" defaultRowHeight="14.45"/>
  <cols>
    <col min="1" max="1" width="3.5" style="7" customWidth="1"/>
    <col min="2" max="3" width="40.625" style="7" customWidth="1"/>
    <col min="4" max="14" width="15.625" style="7" customWidth="1"/>
    <col min="15" max="16" width="16.125" style="7" customWidth="1"/>
    <col min="17" max="17" width="9" style="7" bestFit="1"/>
    <col min="18" max="18" width="16.625" style="7" customWidth="1"/>
    <col min="19" max="19" width="18.5" style="7" customWidth="1"/>
    <col min="20" max="16384" width="9" style="7"/>
  </cols>
  <sheetData>
    <row r="1" spans="1:8" ht="15" thickBot="1"/>
    <row r="2" spans="1:8" s="732" customFormat="1" ht="18.95" thickBot="1">
      <c r="A2" s="730"/>
      <c r="B2" s="708" t="s">
        <v>388</v>
      </c>
      <c r="C2" s="733"/>
      <c r="D2" s="733"/>
    </row>
    <row r="4" spans="1:8" s="734" customFormat="1" ht="18.600000000000001">
      <c r="A4" s="735"/>
      <c r="B4" s="713" t="s">
        <v>893</v>
      </c>
      <c r="C4" s="735"/>
      <c r="D4" s="735"/>
      <c r="E4" s="735"/>
      <c r="F4" s="735"/>
      <c r="G4" s="735"/>
      <c r="H4" s="735"/>
    </row>
    <row r="5" spans="1:8" ht="157.5" customHeight="1">
      <c r="A5" s="737"/>
      <c r="B5" s="1236" t="s">
        <v>1586</v>
      </c>
      <c r="C5" s="1236"/>
      <c r="D5" s="1236"/>
      <c r="E5" s="1236"/>
      <c r="F5" s="1236"/>
      <c r="G5" s="1236"/>
      <c r="H5" s="1236"/>
    </row>
    <row r="7" spans="1:8" s="754" customFormat="1" ht="18.600000000000001">
      <c r="A7" s="755"/>
      <c r="B7" s="755" t="s">
        <v>895</v>
      </c>
      <c r="C7" s="755"/>
      <c r="D7" s="755"/>
      <c r="E7" s="755"/>
      <c r="F7" s="755"/>
      <c r="G7" s="755"/>
      <c r="H7" s="755"/>
    </row>
    <row r="9" spans="1:8">
      <c r="D9" s="1139" t="s">
        <v>479</v>
      </c>
      <c r="E9" s="1139"/>
      <c r="F9" s="1139"/>
      <c r="G9" s="1139"/>
      <c r="H9" s="1139"/>
    </row>
    <row r="10" spans="1:8" ht="29.1">
      <c r="B10" s="521" t="s">
        <v>104</v>
      </c>
      <c r="C10" s="521" t="s">
        <v>711</v>
      </c>
      <c r="D10" s="719" t="s">
        <v>448</v>
      </c>
      <c r="E10" s="719" t="s">
        <v>456</v>
      </c>
      <c r="F10" s="719" t="s">
        <v>1359</v>
      </c>
      <c r="G10" s="719" t="s">
        <v>1378</v>
      </c>
      <c r="H10" s="719" t="s">
        <v>465</v>
      </c>
    </row>
    <row r="11" spans="1:8">
      <c r="B11" s="276" t="s">
        <v>524</v>
      </c>
      <c r="C11" s="276" t="s">
        <v>366</v>
      </c>
      <c r="D11" s="374" t="s">
        <v>477</v>
      </c>
      <c r="E11" s="374" cm="1">
        <f t="array" aca="1" ref="E11" ca="1">_xlfn.XLOOKUP(1,($B11=$B$68:$B$71)*(E$10=$C$68:$C$71),$G$68:$G$71,"Not found",0,1)</f>
        <v>4.2212330266577602</v>
      </c>
      <c r="F11" s="374">
        <f>_xlfn.XLOOKUP(1,($B11=$B$183)*(F$10=$C$183),$G$183,"Not found",0,1)</f>
        <v>122.28833556490882</v>
      </c>
      <c r="G11" s="374"/>
      <c r="H11" s="374" cm="1">
        <f t="array" ref="H11">_xlfn.XLOOKUP(1,($B11=$B$426:$B$428)*(H$10=$C$426:$C$428),$G$426:$G$428,"Not found",0,1)</f>
        <v>703.81337037882804</v>
      </c>
    </row>
    <row r="12" spans="1:8">
      <c r="B12" s="276" t="s">
        <v>525</v>
      </c>
      <c r="C12" s="276" t="s">
        <v>366</v>
      </c>
      <c r="D12" s="374" t="s">
        <v>477</v>
      </c>
      <c r="E12" s="374" t="str" cm="1">
        <f t="array" ref="E12">_xlfn.XLOOKUP(1,($B12=$B$68:$B$71)*(E$10=$C$68:$C$71),$G$68:$G$71,"Not found",0,1)</f>
        <v>LG(L)</v>
      </c>
      <c r="F12" s="374"/>
      <c r="G12" s="374" cm="1">
        <f t="array" ref="G12">_xlfn.XLOOKUP(1,($B12=$B$364:$B$365)*(G$10=$C$364:$C$365),$G$364:$G$365,"Not found",0,1)</f>
        <v>12590.154825306667</v>
      </c>
      <c r="H12" s="374" t="s">
        <v>961</v>
      </c>
    </row>
    <row r="13" spans="1:8">
      <c r="B13" s="276" t="s">
        <v>526</v>
      </c>
      <c r="C13" s="276" t="s">
        <v>366</v>
      </c>
      <c r="D13" s="374" t="s">
        <v>477</v>
      </c>
      <c r="E13" s="374" t="str" cm="1">
        <f t="array" ref="E13">_xlfn.XLOOKUP(1,($B13=$B$68:$B$71)*(E$10=$C$68:$C$71),$G$68:$G$71,"Not found",0,1)</f>
        <v>LG(L)</v>
      </c>
      <c r="F13" s="374"/>
      <c r="G13" s="374" cm="1">
        <f t="array" ref="G13">_xlfn.XLOOKUP(1,($B13=$B$364:$B$365)*(G$10=$C$364:$C$365),$G$364:$G$365,"Not found",0,1)</f>
        <v>12590.154825306667</v>
      </c>
      <c r="H13" s="374" t="s">
        <v>961</v>
      </c>
    </row>
    <row r="14" spans="1:8">
      <c r="B14" s="800" t="s">
        <v>896</v>
      </c>
    </row>
    <row r="15" spans="1:8">
      <c r="B15" s="800"/>
    </row>
    <row r="16" spans="1:8">
      <c r="A16" s="739"/>
      <c r="B16" s="740" t="s">
        <v>456</v>
      </c>
      <c r="C16" s="739"/>
      <c r="D16" s="739"/>
      <c r="E16" s="739"/>
      <c r="F16" s="739"/>
      <c r="G16" s="739"/>
      <c r="H16" s="739"/>
    </row>
    <row r="17" spans="1:8">
      <c r="A17" s="741"/>
      <c r="B17" s="742" t="s">
        <v>897</v>
      </c>
      <c r="C17" s="741"/>
      <c r="D17" s="741"/>
      <c r="E17" s="741"/>
      <c r="F17" s="741"/>
      <c r="G17" s="741"/>
      <c r="H17" s="741"/>
    </row>
    <row r="18" spans="1:8">
      <c r="B18" s="398" t="s">
        <v>898</v>
      </c>
      <c r="C18" s="398" t="s">
        <v>899</v>
      </c>
    </row>
    <row r="19" spans="1:8">
      <c r="B19" s="276" t="s">
        <v>456</v>
      </c>
      <c r="C19" s="276" t="s">
        <v>1456</v>
      </c>
    </row>
    <row r="20" spans="1:8">
      <c r="B20" s="29"/>
    </row>
    <row r="21" spans="1:8">
      <c r="A21" s="741"/>
      <c r="B21" s="743" t="s">
        <v>911</v>
      </c>
      <c r="C21" s="741"/>
      <c r="D21" s="741"/>
      <c r="E21" s="741"/>
      <c r="F21" s="741"/>
      <c r="G21" s="741"/>
      <c r="H21" s="741"/>
    </row>
    <row r="22" spans="1:8">
      <c r="A22" s="744"/>
      <c r="B22" s="745" t="s">
        <v>912</v>
      </c>
      <c r="C22" s="744"/>
      <c r="D22" s="744"/>
      <c r="E22" s="744"/>
      <c r="F22" s="744"/>
      <c r="G22" s="744"/>
      <c r="H22" s="744"/>
    </row>
    <row r="23" spans="1:8" ht="29.1">
      <c r="B23" s="719" t="s">
        <v>913</v>
      </c>
      <c r="C23" s="719" t="s">
        <v>914</v>
      </c>
      <c r="D23" s="719" t="s">
        <v>915</v>
      </c>
      <c r="E23" s="719" t="s">
        <v>916</v>
      </c>
      <c r="F23" s="719" t="s">
        <v>917</v>
      </c>
      <c r="G23" s="719" t="s">
        <v>918</v>
      </c>
      <c r="H23" s="719" t="s">
        <v>919</v>
      </c>
    </row>
    <row r="24" spans="1:8">
      <c r="B24" s="276">
        <v>63</v>
      </c>
      <c r="C24" s="276" t="s">
        <v>1381</v>
      </c>
      <c r="D24" s="276" t="s">
        <v>717</v>
      </c>
      <c r="E24" s="276">
        <v>2020</v>
      </c>
      <c r="F24" s="276" t="s">
        <v>1047</v>
      </c>
      <c r="G24" s="276" t="s">
        <v>1457</v>
      </c>
      <c r="H24" s="276" t="s">
        <v>907</v>
      </c>
    </row>
    <row r="25" spans="1:8">
      <c r="B25" s="29"/>
    </row>
    <row r="26" spans="1:8">
      <c r="A26" s="744"/>
      <c r="B26" s="745" t="s">
        <v>924</v>
      </c>
      <c r="C26" s="744"/>
      <c r="D26" s="744"/>
      <c r="E26" s="744"/>
      <c r="F26" s="744"/>
      <c r="G26" s="744"/>
      <c r="H26" s="744"/>
    </row>
    <row r="27" spans="1:8">
      <c r="B27" s="398" t="s">
        <v>165</v>
      </c>
      <c r="C27" s="398" t="s">
        <v>925</v>
      </c>
      <c r="D27" s="398" t="s">
        <v>926</v>
      </c>
      <c r="E27" s="1139" t="s">
        <v>953</v>
      </c>
      <c r="F27" s="1139"/>
      <c r="G27" s="1139"/>
      <c r="H27" s="1139"/>
    </row>
    <row r="28" spans="1:8">
      <c r="B28" s="276" t="s">
        <v>169</v>
      </c>
      <c r="C28" s="276" t="s">
        <v>166</v>
      </c>
      <c r="D28" s="278">
        <f>VLOOKUP(C28,METHODOLOGY!$C$175:$D$177,2,FALSE)</f>
        <v>3</v>
      </c>
      <c r="E28" s="1087" t="str">
        <f>_xlfn.XLOOKUP(C28,METHODOLOGY!$E$150:$O$150,METHODOLOGY!$E$151:$O$151,"",0,1)</f>
        <v>Monetary values have been peer reviewed or are recommended / referenced in other, well recognised and accepted guidance / tools relevant to the water sector.</v>
      </c>
      <c r="F28" s="1087"/>
      <c r="G28" s="1087"/>
      <c r="H28" s="1087"/>
    </row>
    <row r="29" spans="1:8">
      <c r="B29" s="276" t="s">
        <v>173</v>
      </c>
      <c r="C29" s="276" t="s">
        <v>167</v>
      </c>
      <c r="D29" s="278">
        <f>VLOOKUP(C29,METHODOLOGY!$C$175:$D$177,2,FALSE)</f>
        <v>2</v>
      </c>
      <c r="E29" s="1087" t="str">
        <f>_xlfn.XLOOKUP(C29,METHODOLOGY!$E$150:$O$150,METHODOLOGY!$E$155:$O$155,"",0,1)</f>
        <v>Study has some limitations which may impact on the robustness of the value.</v>
      </c>
      <c r="F29" s="1087"/>
      <c r="G29" s="1087"/>
      <c r="H29" s="1087"/>
    </row>
    <row r="30" spans="1:8">
      <c r="B30" s="276" t="s">
        <v>177</v>
      </c>
      <c r="C30" s="276" t="s">
        <v>166</v>
      </c>
      <c r="D30" s="278">
        <f>VLOOKUP(C30,METHODOLOGY!$C$175:$D$177,2,FALSE)</f>
        <v>3</v>
      </c>
      <c r="E30" s="1087" t="str">
        <f>_xlfn.XLOOKUP(C30,METHODOLOGY!$E$150:$O$150,METHODOLOGY!$E$158:$O$158,"",0,1)</f>
        <v>0 – 5 years</v>
      </c>
      <c r="F30" s="1087"/>
      <c r="G30" s="1087"/>
      <c r="H30" s="1087"/>
    </row>
    <row r="31" spans="1:8">
      <c r="B31" s="276" t="s">
        <v>181</v>
      </c>
      <c r="C31" s="276" t="s">
        <v>166</v>
      </c>
      <c r="D31" s="278">
        <f>VLOOKUP(C31,METHODOLOGY!$C$175:$D$177,2,FALSE)</f>
        <v>3</v>
      </c>
      <c r="E31" s="1087" t="str">
        <f>_xlfn.XLOOKUP(C31,METHODOLOGY!$E$150:$O$150,METHODOLOGY!$E$160:$O$160,"",0,1)</f>
        <v>Geographically relevant to UK</v>
      </c>
      <c r="F31" s="1087"/>
      <c r="G31" s="1087"/>
      <c r="H31" s="1087"/>
    </row>
    <row r="32" spans="1:8">
      <c r="B32" s="276" t="s">
        <v>928</v>
      </c>
      <c r="C32" s="276" t="s">
        <v>166</v>
      </c>
      <c r="D32" s="278">
        <f>VLOOKUP(C32,METHODOLOGY!$C$175:$D$177,2,FALSE)</f>
        <v>3</v>
      </c>
      <c r="E32" s="1087" t="str">
        <f>_xlfn.XLOOKUP(C32,METHODOLOGY!$E$150:$O$150,METHODOLOGY!$E$162:$O$162,"",0,1)</f>
        <v>Clear understanding of the valuation method and how the value should be applied.</v>
      </c>
      <c r="F32" s="1087"/>
      <c r="G32" s="1087"/>
      <c r="H32" s="1087"/>
    </row>
    <row r="33" spans="1:14">
      <c r="B33" s="276" t="s">
        <v>189</v>
      </c>
      <c r="C33" s="276" t="s">
        <v>166</v>
      </c>
      <c r="D33" s="278">
        <f>VLOOKUP(C33,METHODOLOGY!$C$175:$D$177,2,FALSE)</f>
        <v>3</v>
      </c>
      <c r="E33" s="1087" t="str">
        <f>_xlfn.XLOOKUP(C33,METHODOLOGY!$E$150:$O$150,METHODOLOGY!$E$164:$O$164,"",0,1)</f>
        <v xml:space="preserve">The original valuation can be used with no or very simple modification e.g. change units from ha to km2, applying inflation. </v>
      </c>
      <c r="F33" s="1087"/>
      <c r="G33" s="1087"/>
      <c r="H33" s="1087"/>
    </row>
    <row r="34" spans="1:14">
      <c r="C34" s="282" t="s">
        <v>924</v>
      </c>
      <c r="D34" s="326">
        <f>IF(AND(D33=1,AVERAGE(D28:D33)&gt;2.14285714285714),2.14285714285714,IF(AND(D33=2,AVERAGE(D28:D33)&gt;2.57142857142857),2.57142857142857,AVERAGE(D28:D33)))</f>
        <v>2.8333333333333335</v>
      </c>
      <c r="E34" s="270" t="str">
        <f>IF(D34&lt;=2.14285714285714,"Red",IF(D34&lt;=2.57142857142857,"Amber",IF(D34&lt;=3,"Green")))</f>
        <v>Green</v>
      </c>
    </row>
    <row r="36" spans="1:14">
      <c r="A36" s="744"/>
      <c r="B36" s="745" t="s">
        <v>929</v>
      </c>
      <c r="C36" s="744"/>
      <c r="D36" s="744"/>
      <c r="E36" s="744"/>
      <c r="F36" s="744"/>
      <c r="G36" s="744"/>
      <c r="H36" s="744"/>
    </row>
    <row r="37" spans="1:14">
      <c r="B37" s="398" t="s">
        <v>1587</v>
      </c>
      <c r="C37" s="398" t="s">
        <v>902</v>
      </c>
      <c r="D37" s="398" t="s">
        <v>331</v>
      </c>
      <c r="E37" s="398" t="s">
        <v>226</v>
      </c>
      <c r="F37" s="1146" t="s">
        <v>930</v>
      </c>
      <c r="G37" s="1147"/>
      <c r="H37" s="1147"/>
      <c r="I37" s="1147"/>
      <c r="J37" s="1148"/>
      <c r="K37" s="398" t="s">
        <v>913</v>
      </c>
      <c r="L37" s="398" t="s">
        <v>169</v>
      </c>
    </row>
    <row r="38" spans="1:14" ht="82.5" customHeight="1">
      <c r="B38" s="278" t="s">
        <v>456</v>
      </c>
      <c r="C38" s="375" t="str">
        <f>B11</f>
        <v>External flooding of residential living space</v>
      </c>
      <c r="D38" s="469">
        <v>10</v>
      </c>
      <c r="E38" s="394" t="s">
        <v>1382</v>
      </c>
      <c r="F38" s="1312" t="s">
        <v>1588</v>
      </c>
      <c r="G38" s="1313"/>
      <c r="H38" s="1313"/>
      <c r="I38" s="1313"/>
      <c r="J38" s="1314"/>
      <c r="K38" s="365">
        <v>63</v>
      </c>
      <c r="L38" s="320" t="s">
        <v>1460</v>
      </c>
      <c r="N38" s="128"/>
    </row>
    <row r="39" spans="1:14" ht="30" customHeight="1">
      <c r="B39" s="770" t="s">
        <v>456</v>
      </c>
      <c r="C39" s="771" t="str">
        <f>B12</f>
        <v>External flooding of social infrastructure (e.g. schools, hospitals)</v>
      </c>
      <c r="D39" s="771">
        <f ca="1">'Carbon values'!H16</f>
        <v>376</v>
      </c>
      <c r="E39" s="770" t="s">
        <v>1302</v>
      </c>
      <c r="F39" s="1295" t="s">
        <v>1461</v>
      </c>
      <c r="G39" s="1296"/>
      <c r="H39" s="1296"/>
      <c r="I39" s="1296"/>
      <c r="J39" s="1297"/>
      <c r="K39" s="772" t="s">
        <v>1462</v>
      </c>
      <c r="L39" s="773" t="s">
        <v>1463</v>
      </c>
      <c r="N39" s="128"/>
    </row>
    <row r="40" spans="1:14">
      <c r="B40" s="9"/>
      <c r="C40" s="9"/>
      <c r="D40" s="9"/>
      <c r="E40" s="6"/>
      <c r="F40" s="32"/>
      <c r="G40" s="125"/>
      <c r="H40" s="139"/>
      <c r="I40" s="24"/>
      <c r="J40" s="24"/>
      <c r="K40" s="24"/>
      <c r="L40" s="24"/>
    </row>
    <row r="41" spans="1:14" ht="12" customHeight="1">
      <c r="B41" s="9"/>
      <c r="C41" s="9"/>
      <c r="D41" s="9"/>
      <c r="E41" s="6"/>
      <c r="F41" s="32"/>
      <c r="G41" s="125"/>
      <c r="H41" s="139"/>
      <c r="I41" s="24"/>
      <c r="J41" s="24"/>
      <c r="K41" s="24"/>
      <c r="L41" s="24"/>
      <c r="M41" s="24"/>
      <c r="N41" s="24"/>
    </row>
    <row r="43" spans="1:14">
      <c r="I43" s="127"/>
    </row>
    <row r="44" spans="1:14">
      <c r="I44" s="127"/>
    </row>
    <row r="45" spans="1:14">
      <c r="I45" s="127"/>
    </row>
    <row r="46" spans="1:14">
      <c r="I46" s="127"/>
    </row>
    <row r="47" spans="1:14">
      <c r="I47" s="127"/>
    </row>
    <row r="48" spans="1:14">
      <c r="I48" s="127"/>
    </row>
    <row r="49" spans="1:12">
      <c r="I49" s="127"/>
    </row>
    <row r="50" spans="1:12">
      <c r="I50" s="127"/>
    </row>
    <row r="51" spans="1:12">
      <c r="I51" s="127"/>
    </row>
    <row r="52" spans="1:12">
      <c r="I52" s="127"/>
    </row>
    <row r="53" spans="1:12">
      <c r="I53" s="127"/>
    </row>
    <row r="54" spans="1:12">
      <c r="I54" s="127"/>
    </row>
    <row r="55" spans="1:12">
      <c r="I55" s="127"/>
    </row>
    <row r="56" spans="1:12">
      <c r="I56" s="127"/>
    </row>
    <row r="57" spans="1:12">
      <c r="I57" s="127"/>
    </row>
    <row r="58" spans="1:12">
      <c r="I58" s="127"/>
    </row>
    <row r="59" spans="1:12">
      <c r="B59" s="3"/>
      <c r="C59" s="24"/>
      <c r="D59" s="24"/>
      <c r="E59" s="98"/>
      <c r="F59" s="98"/>
      <c r="G59" s="98"/>
      <c r="K59" s="98"/>
      <c r="L59" s="99"/>
    </row>
    <row r="60" spans="1:12">
      <c r="A60" s="744"/>
      <c r="B60" s="745" t="s">
        <v>936</v>
      </c>
      <c r="C60" s="744"/>
      <c r="D60" s="744"/>
      <c r="E60" s="744"/>
      <c r="F60" s="744"/>
      <c r="G60" s="744"/>
      <c r="H60" s="744"/>
    </row>
    <row r="61" spans="1:12">
      <c r="B61" s="293" t="s">
        <v>1464</v>
      </c>
      <c r="C61" s="140" t="s">
        <v>711</v>
      </c>
    </row>
    <row r="62" spans="1:12">
      <c r="B62" s="326">
        <f>D38</f>
        <v>10</v>
      </c>
      <c r="C62" s="465" t="s">
        <v>1458</v>
      </c>
      <c r="I62" s="127"/>
    </row>
    <row r="63" spans="1:12">
      <c r="B63" s="326">
        <f>B62/1000</f>
        <v>0.01</v>
      </c>
      <c r="C63" s="465" t="s">
        <v>416</v>
      </c>
      <c r="F63" s="141"/>
      <c r="G63" s="128"/>
      <c r="I63" s="127"/>
    </row>
    <row r="64" spans="1:12">
      <c r="B64" s="326">
        <f ca="1">D39</f>
        <v>376</v>
      </c>
      <c r="C64" s="465" t="s">
        <v>255</v>
      </c>
      <c r="F64" s="141"/>
      <c r="G64" s="128"/>
      <c r="I64" s="127"/>
    </row>
    <row r="65" spans="1:23">
      <c r="B65" s="326">
        <f ca="1">B63*B64</f>
        <v>3.7600000000000002</v>
      </c>
      <c r="C65" s="465" t="s">
        <v>1465</v>
      </c>
      <c r="F65" s="141"/>
      <c r="G65" s="128"/>
      <c r="I65" s="127"/>
    </row>
    <row r="67" spans="1:23">
      <c r="A67" s="741"/>
      <c r="B67" s="743" t="s">
        <v>901</v>
      </c>
      <c r="C67" s="741"/>
      <c r="D67" s="741"/>
      <c r="E67" s="741"/>
      <c r="F67" s="741"/>
      <c r="G67" s="741"/>
      <c r="H67" s="741"/>
    </row>
    <row r="68" spans="1:23" ht="29.1">
      <c r="B68" s="719" t="s">
        <v>902</v>
      </c>
      <c r="C68" s="719" t="s">
        <v>898</v>
      </c>
      <c r="D68" s="719" t="s">
        <v>899</v>
      </c>
      <c r="E68" s="719" t="s">
        <v>903</v>
      </c>
      <c r="F68" s="719" t="s">
        <v>904</v>
      </c>
      <c r="G68" s="719" t="s">
        <v>905</v>
      </c>
      <c r="H68" s="752" t="s">
        <v>924</v>
      </c>
      <c r="I68" s="752" t="s">
        <v>956</v>
      </c>
      <c r="J68" s="752" t="s">
        <v>927</v>
      </c>
    </row>
    <row r="69" spans="1:23">
      <c r="B69" s="276" t="s">
        <v>524</v>
      </c>
      <c r="C69" s="276" t="str">
        <f>$B$38</f>
        <v>GHG</v>
      </c>
      <c r="D69" s="276" t="str">
        <f>$C$19</f>
        <v>Increased GHG emissions following flood event</v>
      </c>
      <c r="E69" s="373" t="s">
        <v>911</v>
      </c>
      <c r="F69" s="276" t="str">
        <f>_xlfn.XLOOKUP(1,(D75=B69)*(E75=C69),B75,"Not found",0,1)</f>
        <v>17-1</v>
      </c>
      <c r="G69" s="633">
        <f ca="1">VLOOKUP(F69,B75:O75,11,FALSE)</f>
        <v>4.2212330266577602</v>
      </c>
      <c r="H69" s="326">
        <f>D34</f>
        <v>2.8333333333333335</v>
      </c>
      <c r="I69" s="276" t="s">
        <v>1396</v>
      </c>
      <c r="J69" s="276" t="s">
        <v>1466</v>
      </c>
    </row>
    <row r="70" spans="1:23">
      <c r="B70" s="276" t="s">
        <v>525</v>
      </c>
      <c r="C70" s="276" t="str">
        <f>$B$38</f>
        <v>GHG</v>
      </c>
      <c r="D70" s="276" t="str">
        <f>$C$19</f>
        <v>Increased GHG emissions following flood event</v>
      </c>
      <c r="E70" s="373" t="s">
        <v>906</v>
      </c>
      <c r="F70" s="276" t="s">
        <v>907</v>
      </c>
      <c r="G70" s="633" t="s">
        <v>961</v>
      </c>
      <c r="H70" s="343" t="s">
        <v>718</v>
      </c>
      <c r="I70" s="276" t="s">
        <v>907</v>
      </c>
      <c r="J70" s="276" t="s">
        <v>907</v>
      </c>
    </row>
    <row r="71" spans="1:23">
      <c r="B71" s="276" t="s">
        <v>526</v>
      </c>
      <c r="C71" s="276" t="str">
        <f>$B$38</f>
        <v>GHG</v>
      </c>
      <c r="D71" s="276" t="str">
        <f>$C$19</f>
        <v>Increased GHG emissions following flood event</v>
      </c>
      <c r="E71" s="373" t="s">
        <v>906</v>
      </c>
      <c r="F71" s="276" t="s">
        <v>907</v>
      </c>
      <c r="G71" s="633" t="s">
        <v>961</v>
      </c>
      <c r="H71" s="343" t="s">
        <v>718</v>
      </c>
      <c r="I71" s="276" t="s">
        <v>907</v>
      </c>
      <c r="J71" s="276" t="s">
        <v>907</v>
      </c>
    </row>
    <row r="72" spans="1:23">
      <c r="B72" s="30"/>
    </row>
    <row r="73" spans="1:23">
      <c r="A73" s="744"/>
      <c r="B73" s="745" t="s">
        <v>962</v>
      </c>
      <c r="C73" s="744"/>
      <c r="D73" s="744"/>
      <c r="E73" s="744"/>
      <c r="F73" s="744"/>
      <c r="G73" s="744"/>
      <c r="H73" s="744"/>
    </row>
    <row r="74" spans="1:23">
      <c r="B74" s="398" t="s">
        <v>904</v>
      </c>
      <c r="C74" s="398" t="s">
        <v>62</v>
      </c>
      <c r="D74" s="398" t="s">
        <v>902</v>
      </c>
      <c r="E74" s="398" t="s">
        <v>898</v>
      </c>
      <c r="F74" s="398" t="s">
        <v>916</v>
      </c>
      <c r="G74" s="398" t="s">
        <v>963</v>
      </c>
      <c r="H74" s="398" t="s">
        <v>964</v>
      </c>
      <c r="I74" s="398" t="s">
        <v>965</v>
      </c>
      <c r="J74" s="398" t="s">
        <v>966</v>
      </c>
      <c r="K74" s="398" t="s">
        <v>967</v>
      </c>
      <c r="L74" s="398" t="s">
        <v>968</v>
      </c>
      <c r="M74" s="398" t="s">
        <v>956</v>
      </c>
      <c r="N74" s="398" t="s">
        <v>969</v>
      </c>
      <c r="O74" s="398" t="s">
        <v>970</v>
      </c>
      <c r="P74" s="398" t="s">
        <v>927</v>
      </c>
      <c r="Q74" s="398" t="s">
        <v>913</v>
      </c>
      <c r="R74" s="398" t="s">
        <v>914</v>
      </c>
      <c r="S74" s="398" t="s">
        <v>915</v>
      </c>
      <c r="T74" s="398" t="s">
        <v>916</v>
      </c>
      <c r="U74" s="398" t="s">
        <v>917</v>
      </c>
      <c r="V74" s="398" t="s">
        <v>918</v>
      </c>
      <c r="W74" s="398" t="s">
        <v>919</v>
      </c>
    </row>
    <row r="75" spans="1:23">
      <c r="B75" s="372" t="s">
        <v>1589</v>
      </c>
      <c r="C75" s="276" t="s">
        <v>1590</v>
      </c>
      <c r="D75" s="276" t="s">
        <v>524</v>
      </c>
      <c r="E75" s="276" t="s">
        <v>456</v>
      </c>
      <c r="F75" s="373">
        <f>E24</f>
        <v>2020</v>
      </c>
      <c r="G75" s="276">
        <v>2020</v>
      </c>
      <c r="H75" s="276">
        <f>'COMPANY INPUT'!$C$16</f>
        <v>2023</v>
      </c>
      <c r="I75" s="276">
        <f>VLOOKUP(G75,'GDP Deflators'!$H$13:$I$86,2,FALSE)</f>
        <v>89.073499999999996</v>
      </c>
      <c r="J75" s="276">
        <f>VLOOKUP(H75,'GDP Deflators'!$H$13:$I$86,2,FALSE)</f>
        <v>100</v>
      </c>
      <c r="K75" s="343">
        <f ca="1">B65</f>
        <v>3.7600000000000002</v>
      </c>
      <c r="L75" s="747">
        <f ca="1">K75*(J75/I75)</f>
        <v>4.2212330266577602</v>
      </c>
      <c r="M75" s="276" t="str">
        <f>I69</f>
        <v>Abatement cost</v>
      </c>
      <c r="N75" s="326">
        <f>H69</f>
        <v>2.8333333333333335</v>
      </c>
      <c r="O75" s="276" t="s">
        <v>718</v>
      </c>
      <c r="P75" s="276" t="str">
        <f>J69</f>
        <v>Uses UK-specific carbon values and recognised flood damage data</v>
      </c>
      <c r="Q75" s="373">
        <f t="shared" ref="Q75:W75" si="0">B24</f>
        <v>63</v>
      </c>
      <c r="R75" s="276" t="str">
        <f t="shared" si="0"/>
        <v>EA (2020) Carbonomics report</v>
      </c>
      <c r="S75" s="276" t="str">
        <f t="shared" si="0"/>
        <v>No</v>
      </c>
      <c r="T75" s="276">
        <f t="shared" si="0"/>
        <v>2020</v>
      </c>
      <c r="U75" s="276" t="str">
        <f t="shared" si="0"/>
        <v>UK</v>
      </c>
      <c r="V75" s="276" t="str">
        <f t="shared" si="0"/>
        <v>UK wide</v>
      </c>
      <c r="W75" s="276" t="str">
        <f t="shared" si="0"/>
        <v>/</v>
      </c>
    </row>
    <row r="77" spans="1:23">
      <c r="A77" s="739"/>
      <c r="B77" s="740" t="s">
        <v>1359</v>
      </c>
      <c r="C77" s="739"/>
      <c r="D77" s="739"/>
      <c r="E77" s="739"/>
      <c r="F77" s="739"/>
      <c r="G77" s="739"/>
      <c r="H77" s="739"/>
    </row>
    <row r="78" spans="1:23">
      <c r="A78" s="741"/>
      <c r="B78" s="742" t="s">
        <v>897</v>
      </c>
      <c r="C78" s="741"/>
      <c r="D78" s="741"/>
      <c r="E78" s="741"/>
      <c r="F78" s="741"/>
      <c r="G78" s="741"/>
      <c r="H78" s="741"/>
    </row>
    <row r="79" spans="1:23">
      <c r="B79" s="398" t="s">
        <v>898</v>
      </c>
      <c r="C79" s="398" t="s">
        <v>899</v>
      </c>
    </row>
    <row r="80" spans="1:23">
      <c r="B80" s="276" t="s">
        <v>1359</v>
      </c>
      <c r="C80" s="276" t="s">
        <v>992</v>
      </c>
    </row>
    <row r="81" spans="1:8">
      <c r="B81" s="29"/>
    </row>
    <row r="82" spans="1:8">
      <c r="A82" s="741"/>
      <c r="B82" s="743" t="s">
        <v>943</v>
      </c>
      <c r="C82" s="741"/>
      <c r="D82" s="741"/>
      <c r="E82" s="741"/>
      <c r="F82" s="741"/>
      <c r="G82" s="741"/>
      <c r="H82" s="741"/>
    </row>
    <row r="83" spans="1:8">
      <c r="A83" s="744"/>
      <c r="B83" s="745" t="s">
        <v>912</v>
      </c>
      <c r="C83" s="744"/>
      <c r="D83" s="744"/>
      <c r="E83" s="744"/>
      <c r="F83" s="744"/>
      <c r="G83" s="744"/>
      <c r="H83" s="744"/>
    </row>
    <row r="84" spans="1:8" ht="29.1">
      <c r="B84" s="719" t="s">
        <v>913</v>
      </c>
      <c r="C84" s="719" t="s">
        <v>914</v>
      </c>
      <c r="D84" s="719" t="s">
        <v>915</v>
      </c>
      <c r="E84" s="719" t="s">
        <v>916</v>
      </c>
      <c r="F84" s="719" t="s">
        <v>917</v>
      </c>
      <c r="G84" s="719" t="s">
        <v>918</v>
      </c>
      <c r="H84" s="719" t="s">
        <v>919</v>
      </c>
    </row>
    <row r="85" spans="1:8">
      <c r="B85" s="276">
        <v>38</v>
      </c>
      <c r="C85" s="276" t="s">
        <v>1469</v>
      </c>
      <c r="D85" s="276" t="s">
        <v>717</v>
      </c>
      <c r="E85" s="276">
        <v>2024</v>
      </c>
      <c r="F85" s="276" t="s">
        <v>1047</v>
      </c>
      <c r="G85" s="276" t="s">
        <v>1457</v>
      </c>
      <c r="H85" s="276" t="s">
        <v>923</v>
      </c>
    </row>
    <row r="86" spans="1:8">
      <c r="B86" s="29"/>
    </row>
    <row r="87" spans="1:8">
      <c r="A87" s="744"/>
      <c r="B87" s="745" t="s">
        <v>924</v>
      </c>
      <c r="C87" s="744"/>
      <c r="D87" s="744"/>
      <c r="E87" s="744"/>
      <c r="F87" s="744"/>
      <c r="G87" s="744"/>
      <c r="H87" s="744"/>
    </row>
    <row r="88" spans="1:8">
      <c r="B88" s="398" t="s">
        <v>165</v>
      </c>
      <c r="C88" s="398" t="s">
        <v>925</v>
      </c>
      <c r="D88" s="398" t="s">
        <v>926</v>
      </c>
      <c r="E88" s="1153" t="s">
        <v>953</v>
      </c>
      <c r="F88" s="1153"/>
      <c r="G88" s="1153"/>
      <c r="H88" s="1153"/>
    </row>
    <row r="89" spans="1:8">
      <c r="B89" s="276" t="s">
        <v>169</v>
      </c>
      <c r="C89" s="276" t="s">
        <v>166</v>
      </c>
      <c r="D89" s="278">
        <f>VLOOKUP(C89,METHODOLOGY!$C$175:$D$177,2,FALSE)</f>
        <v>3</v>
      </c>
      <c r="E89" s="1087" t="str">
        <f>_xlfn.XLOOKUP(C89,METHODOLOGY!$E$150:$O$150,METHODOLOGY!$E$151:$O$151,"",0,1)</f>
        <v>Monetary values have been peer reviewed or are recommended / referenced in other, well recognised and accepted guidance / tools relevant to the water sector.</v>
      </c>
      <c r="F89" s="1087"/>
      <c r="G89" s="1087"/>
      <c r="H89" s="1087"/>
    </row>
    <row r="90" spans="1:8">
      <c r="B90" s="276" t="s">
        <v>173</v>
      </c>
      <c r="C90" s="276" t="s">
        <v>166</v>
      </c>
      <c r="D90" s="278">
        <f>VLOOKUP(C90,METHODOLOGY!$C$175:$D$177,2,FALSE)</f>
        <v>3</v>
      </c>
      <c r="E90" s="1087" t="str">
        <f>_xlfn.XLOOKUP(C90,METHODOLOGY!$E$150:$O$150,METHODOLOGY!$E$155:$O$155,"",0,1)</f>
        <v>Study has few limitations and is considered robust.</v>
      </c>
      <c r="F90" s="1087"/>
      <c r="G90" s="1087"/>
      <c r="H90" s="1087"/>
    </row>
    <row r="91" spans="1:8">
      <c r="B91" s="276" t="s">
        <v>177</v>
      </c>
      <c r="C91" s="276" t="s">
        <v>166</v>
      </c>
      <c r="D91" s="278">
        <f>VLOOKUP(C91,METHODOLOGY!$C$175:$D$177,2,FALSE)</f>
        <v>3</v>
      </c>
      <c r="E91" s="1087" t="str">
        <f>_xlfn.XLOOKUP(C91,METHODOLOGY!$E$150:$O$150,METHODOLOGY!$E$158:$O$158,"",0,1)</f>
        <v>0 – 5 years</v>
      </c>
      <c r="F91" s="1087"/>
      <c r="G91" s="1087"/>
      <c r="H91" s="1087"/>
    </row>
    <row r="92" spans="1:8">
      <c r="B92" s="276" t="s">
        <v>181</v>
      </c>
      <c r="C92" s="276" t="s">
        <v>166</v>
      </c>
      <c r="D92" s="278">
        <f>VLOOKUP(C92,METHODOLOGY!$C$175:$D$177,2,FALSE)</f>
        <v>3</v>
      </c>
      <c r="E92" s="1087" t="str">
        <f>_xlfn.XLOOKUP(C92,METHODOLOGY!$E$150:$O$150,METHODOLOGY!$E$160:$O$160,"",0,1)</f>
        <v>Geographically relevant to UK</v>
      </c>
      <c r="F92" s="1087"/>
      <c r="G92" s="1087"/>
      <c r="H92" s="1087"/>
    </row>
    <row r="93" spans="1:8">
      <c r="B93" s="276" t="s">
        <v>928</v>
      </c>
      <c r="C93" s="276" t="s">
        <v>166</v>
      </c>
      <c r="D93" s="278">
        <f>VLOOKUP(C93,METHODOLOGY!$C$175:$D$177,2,FALSE)</f>
        <v>3</v>
      </c>
      <c r="E93" s="1087" t="str">
        <f>_xlfn.XLOOKUP(C93,METHODOLOGY!$E$150:$O$150,METHODOLOGY!$E$162:$O$162,"",0,1)</f>
        <v>Clear understanding of the valuation method and how the value should be applied.</v>
      </c>
      <c r="F93" s="1087"/>
      <c r="G93" s="1087"/>
      <c r="H93" s="1087"/>
    </row>
    <row r="94" spans="1:8">
      <c r="B94" s="276" t="s">
        <v>189</v>
      </c>
      <c r="C94" s="276" t="s">
        <v>166</v>
      </c>
      <c r="D94" s="278">
        <f>VLOOKUP(C94,METHODOLOGY!$C$175:$D$177,2,FALSE)</f>
        <v>3</v>
      </c>
      <c r="E94" s="1087" t="str">
        <f>_xlfn.XLOOKUP(C94,METHODOLOGY!$E$150:$O$150,METHODOLOGY!$E$164:$O$164,"",0,1)</f>
        <v xml:space="preserve">The original valuation can be used with no or very simple modification e.g. change units from ha to km2, applying inflation. </v>
      </c>
      <c r="F94" s="1087"/>
      <c r="G94" s="1087"/>
      <c r="H94" s="1087"/>
    </row>
    <row r="95" spans="1:8">
      <c r="C95" s="282" t="s">
        <v>924</v>
      </c>
      <c r="D95" s="326">
        <f>IF(AND(D94=1,AVERAGE(D89:D94)&gt;2.14285714285714),2.14285714285714,IF(AND(D94=2,AVERAGE(D89:D94)&gt;2.57142857142857),2.57142857142857,AVERAGE(D89:D94)))</f>
        <v>3</v>
      </c>
      <c r="E95" s="270" t="str">
        <f>IF(D95&lt;=2.14285714285714,"Red",IF(D95&lt;=2.57142857142857,"Amber",IF(D95&lt;=3,"Green")))</f>
        <v>Green</v>
      </c>
    </row>
    <row r="97" spans="1:14">
      <c r="A97" s="744"/>
      <c r="B97" s="745" t="s">
        <v>929</v>
      </c>
      <c r="C97" s="744"/>
      <c r="D97" s="744"/>
      <c r="E97" s="744"/>
      <c r="F97" s="744"/>
      <c r="G97" s="744"/>
      <c r="H97" s="744"/>
    </row>
    <row r="98" spans="1:14">
      <c r="B98" s="398" t="s">
        <v>1089</v>
      </c>
      <c r="C98" s="398" t="s">
        <v>902</v>
      </c>
      <c r="D98" s="398" t="s">
        <v>331</v>
      </c>
      <c r="E98" s="142" t="s">
        <v>226</v>
      </c>
      <c r="F98" s="1145" t="s">
        <v>930</v>
      </c>
      <c r="G98" s="1145"/>
      <c r="H98" s="1145"/>
      <c r="I98" s="1145"/>
      <c r="J98" s="1145"/>
      <c r="K98" s="1145"/>
      <c r="L98" s="398" t="s">
        <v>913</v>
      </c>
      <c r="M98" s="398" t="s">
        <v>169</v>
      </c>
    </row>
    <row r="99" spans="1:14" ht="81" customHeight="1">
      <c r="B99" s="338" t="s">
        <v>151</v>
      </c>
      <c r="C99" s="338" t="s">
        <v>524</v>
      </c>
      <c r="D99" s="484">
        <v>2918</v>
      </c>
      <c r="E99" s="339" t="s">
        <v>1032</v>
      </c>
      <c r="F99" s="1123" t="s">
        <v>1591</v>
      </c>
      <c r="G99" s="1123"/>
      <c r="H99" s="1123"/>
      <c r="I99" s="1123"/>
      <c r="J99" s="1123"/>
      <c r="K99" s="1123"/>
      <c r="L99" s="468" t="s">
        <v>1471</v>
      </c>
      <c r="M99" s="468" t="s">
        <v>1472</v>
      </c>
    </row>
    <row r="100" spans="1:14">
      <c r="B100" s="9"/>
      <c r="C100" s="9"/>
      <c r="D100" s="9"/>
      <c r="E100" s="6"/>
      <c r="F100" s="32"/>
      <c r="G100" s="125"/>
      <c r="H100" s="139"/>
      <c r="I100" s="24"/>
      <c r="J100" s="24"/>
      <c r="K100" s="24"/>
      <c r="L100" s="24"/>
      <c r="M100" s="24"/>
      <c r="N100" s="24"/>
    </row>
    <row r="101" spans="1:14">
      <c r="I101" s="127"/>
    </row>
    <row r="103" spans="1:14">
      <c r="I103" s="127"/>
    </row>
    <row r="104" spans="1:14">
      <c r="I104" s="127"/>
    </row>
    <row r="105" spans="1:14">
      <c r="A105" s="741"/>
      <c r="B105" s="743" t="s">
        <v>1028</v>
      </c>
      <c r="C105" s="741"/>
      <c r="D105" s="741"/>
      <c r="E105" s="741"/>
      <c r="F105" s="741"/>
      <c r="G105" s="741"/>
      <c r="H105" s="741"/>
    </row>
    <row r="106" spans="1:14">
      <c r="A106" s="744"/>
      <c r="B106" s="745" t="s">
        <v>912</v>
      </c>
      <c r="C106" s="744"/>
      <c r="D106" s="744"/>
      <c r="E106" s="744"/>
      <c r="F106" s="744"/>
      <c r="G106" s="744"/>
      <c r="H106" s="744"/>
    </row>
    <row r="107" spans="1:14" ht="29.1">
      <c r="B107" s="719" t="s">
        <v>913</v>
      </c>
      <c r="C107" s="719" t="s">
        <v>914</v>
      </c>
      <c r="D107" s="719" t="s">
        <v>915</v>
      </c>
      <c r="E107" s="719" t="s">
        <v>916</v>
      </c>
      <c r="F107" s="719" t="s">
        <v>917</v>
      </c>
      <c r="G107" s="719" t="s">
        <v>918</v>
      </c>
      <c r="H107" s="719" t="s">
        <v>919</v>
      </c>
    </row>
    <row r="108" spans="1:14">
      <c r="B108" s="278">
        <v>16</v>
      </c>
      <c r="C108" s="278" t="s">
        <v>1130</v>
      </c>
      <c r="D108" s="278"/>
      <c r="E108" s="278">
        <v>2023</v>
      </c>
      <c r="F108" s="278" t="s">
        <v>1048</v>
      </c>
      <c r="G108" s="278" t="s">
        <v>1048</v>
      </c>
      <c r="H108" s="278"/>
    </row>
    <row r="109" spans="1:14">
      <c r="B109" s="276">
        <v>61</v>
      </c>
      <c r="C109" s="276" t="s">
        <v>1473</v>
      </c>
      <c r="D109" s="276"/>
      <c r="E109" s="276">
        <v>2018</v>
      </c>
      <c r="F109" s="276" t="s">
        <v>1047</v>
      </c>
      <c r="G109" s="276" t="s">
        <v>1474</v>
      </c>
      <c r="H109" s="276"/>
    </row>
    <row r="110" spans="1:14">
      <c r="B110" s="29"/>
    </row>
    <row r="111" spans="1:14">
      <c r="A111" s="744"/>
      <c r="B111" s="745" t="s">
        <v>924</v>
      </c>
      <c r="C111" s="744"/>
      <c r="D111" s="744"/>
      <c r="E111" s="744"/>
      <c r="F111" s="744"/>
      <c r="G111" s="744"/>
      <c r="H111" s="744"/>
    </row>
    <row r="112" spans="1:14">
      <c r="B112" s="398" t="s">
        <v>165</v>
      </c>
      <c r="C112" s="398" t="s">
        <v>925</v>
      </c>
      <c r="D112" s="398" t="s">
        <v>926</v>
      </c>
      <c r="E112" s="1139" t="s">
        <v>953</v>
      </c>
      <c r="F112" s="1139"/>
      <c r="G112" s="1139"/>
      <c r="H112" s="1139"/>
    </row>
    <row r="113" spans="1:13">
      <c r="B113" s="276" t="s">
        <v>169</v>
      </c>
      <c r="C113" s="276" t="s">
        <v>166</v>
      </c>
      <c r="D113" s="278">
        <f>VLOOKUP(C113,METHODOLOGY!$C$175:$D$177,2,FALSE)</f>
        <v>3</v>
      </c>
      <c r="E113" s="1087" t="str">
        <f>_xlfn.XLOOKUP(C113,METHODOLOGY!$E$150:$O$150,METHODOLOGY!$E$151:$O$151,"",0,1)</f>
        <v>Monetary values have been peer reviewed or are recommended / referenced in other, well recognised and accepted guidance / tools relevant to the water sector.</v>
      </c>
      <c r="F113" s="1087"/>
      <c r="G113" s="1087"/>
      <c r="H113" s="1087"/>
    </row>
    <row r="114" spans="1:13">
      <c r="B114" s="276" t="s">
        <v>173</v>
      </c>
      <c r="C114" s="276" t="s">
        <v>166</v>
      </c>
      <c r="D114" s="278">
        <f>VLOOKUP(C114,METHODOLOGY!$C$175:$D$177,2,FALSE)</f>
        <v>3</v>
      </c>
      <c r="E114" s="1087" t="str">
        <f>_xlfn.XLOOKUP(C114,METHODOLOGY!$E$150:$O$150,METHODOLOGY!$E$155:$O$155,"",0,1)</f>
        <v>Study has few limitations and is considered robust.</v>
      </c>
      <c r="F114" s="1087"/>
      <c r="G114" s="1087"/>
      <c r="H114" s="1087"/>
    </row>
    <row r="115" spans="1:13">
      <c r="B115" s="276" t="s">
        <v>177</v>
      </c>
      <c r="C115" s="276" t="s">
        <v>166</v>
      </c>
      <c r="D115" s="278">
        <f>VLOOKUP(C115,METHODOLOGY!$C$175:$D$177,2,FALSE)</f>
        <v>3</v>
      </c>
      <c r="E115" s="1087" t="str">
        <f>_xlfn.XLOOKUP(C115,METHODOLOGY!$E$150:$O$150,METHODOLOGY!$E$158:$O$158,"",0,1)</f>
        <v>0 – 5 years</v>
      </c>
      <c r="F115" s="1087"/>
      <c r="G115" s="1087"/>
      <c r="H115" s="1087"/>
    </row>
    <row r="116" spans="1:13">
      <c r="B116" s="276" t="s">
        <v>181</v>
      </c>
      <c r="C116" s="276" t="s">
        <v>166</v>
      </c>
      <c r="D116" s="278">
        <f>VLOOKUP(C116,METHODOLOGY!$C$175:$D$177,2,FALSE)</f>
        <v>3</v>
      </c>
      <c r="E116" s="1087" t="str">
        <f>_xlfn.XLOOKUP(C116,METHODOLOGY!$E$150:$O$150,METHODOLOGY!$E$160:$O$160,"",0,1)</f>
        <v>Geographically relevant to UK</v>
      </c>
      <c r="F116" s="1087"/>
      <c r="G116" s="1087"/>
      <c r="H116" s="1087"/>
    </row>
    <row r="117" spans="1:13">
      <c r="B117" s="276" t="s">
        <v>928</v>
      </c>
      <c r="C117" s="276" t="s">
        <v>166</v>
      </c>
      <c r="D117" s="278">
        <f>VLOOKUP(C117,METHODOLOGY!$C$175:$D$177,2,FALSE)</f>
        <v>3</v>
      </c>
      <c r="E117" s="1087" t="str">
        <f>_xlfn.XLOOKUP(C117,METHODOLOGY!$E$150:$O$150,METHODOLOGY!$E$162:$O$162,"",0,1)</f>
        <v>Clear understanding of the valuation method and how the value should be applied.</v>
      </c>
      <c r="F117" s="1087"/>
      <c r="G117" s="1087"/>
      <c r="H117" s="1087"/>
    </row>
    <row r="118" spans="1:13">
      <c r="B118" s="276" t="s">
        <v>189</v>
      </c>
      <c r="C118" s="276" t="s">
        <v>167</v>
      </c>
      <c r="D118" s="278">
        <f>VLOOKUP(C118,METHODOLOGY!$C$175:$D$177,2,FALSE)</f>
        <v>2</v>
      </c>
      <c r="E118" s="1087" t="str">
        <f>_xlfn.XLOOKUP(C118,METHODOLOGY!$E$150:$O$150,METHODOLOGY!$E$164:$O$164,"",0,1)</f>
        <v xml:space="preserve">The original valuation can be used with some modification e.g. applying household numbers. The calculation is simple or introduces low levels of uncertainty. </v>
      </c>
      <c r="F118" s="1087"/>
      <c r="G118" s="1087"/>
      <c r="H118" s="1087"/>
    </row>
    <row r="119" spans="1:13">
      <c r="C119" s="282" t="s">
        <v>924</v>
      </c>
      <c r="D119" s="326">
        <f>IF(AND(D118=1,AVERAGE(D113:D118)&gt;2.14285714285714),2.14285714285714,IF(AND(D118=2,AVERAGE(D113:D118)&gt;2.57142857142857),2.57142857142857,AVERAGE(D113:D118)))</f>
        <v>2.5714285714285698</v>
      </c>
      <c r="E119" s="270" t="str">
        <f>IF(D119&lt;=2.14285714285714,"Red",IF(D119&lt;=2.57142857142857,"Amber",IF(D119&lt;=3,"Green")))</f>
        <v>Amber</v>
      </c>
    </row>
    <row r="121" spans="1:13">
      <c r="A121" s="744"/>
      <c r="B121" s="745" t="s">
        <v>929</v>
      </c>
      <c r="C121" s="744"/>
      <c r="D121" s="744"/>
      <c r="E121" s="744"/>
      <c r="F121" s="744"/>
      <c r="G121" s="744"/>
      <c r="H121" s="744"/>
    </row>
    <row r="122" spans="1:13">
      <c r="B122" s="398" t="s">
        <v>1089</v>
      </c>
      <c r="C122" s="398" t="s">
        <v>902</v>
      </c>
      <c r="D122" s="398" t="s">
        <v>331</v>
      </c>
      <c r="E122" s="398" t="s">
        <v>226</v>
      </c>
      <c r="F122" s="1146" t="s">
        <v>930</v>
      </c>
      <c r="G122" s="1147"/>
      <c r="H122" s="1147"/>
      <c r="I122" s="1147"/>
      <c r="J122" s="1147"/>
      <c r="K122" s="1148"/>
      <c r="L122" s="398" t="s">
        <v>913</v>
      </c>
      <c r="M122" s="398" t="s">
        <v>169</v>
      </c>
    </row>
    <row r="123" spans="1:13" ht="29.1">
      <c r="B123" s="338" t="s">
        <v>151</v>
      </c>
      <c r="C123" s="342" t="s">
        <v>524</v>
      </c>
      <c r="D123" s="344">
        <v>375</v>
      </c>
      <c r="E123" s="791" t="s">
        <v>1402</v>
      </c>
      <c r="F123" s="1142" t="s">
        <v>1475</v>
      </c>
      <c r="G123" s="1150"/>
      <c r="H123" s="1150"/>
      <c r="I123" s="1150"/>
      <c r="J123" s="1150"/>
      <c r="K123" s="1151"/>
      <c r="L123" s="338">
        <v>16</v>
      </c>
      <c r="M123" s="468" t="s">
        <v>1476</v>
      </c>
    </row>
    <row r="124" spans="1:13" ht="103.5" customHeight="1">
      <c r="B124" s="338" t="s">
        <v>151</v>
      </c>
      <c r="C124" s="342" t="s">
        <v>524</v>
      </c>
      <c r="D124" s="344" t="s">
        <v>1477</v>
      </c>
      <c r="E124" s="791" t="s">
        <v>1478</v>
      </c>
      <c r="F124" s="1142" t="s">
        <v>1592</v>
      </c>
      <c r="G124" s="1150"/>
      <c r="H124" s="1150"/>
      <c r="I124" s="1150"/>
      <c r="J124" s="1150"/>
      <c r="K124" s="1151"/>
      <c r="L124" s="338">
        <v>61</v>
      </c>
      <c r="M124" s="636" t="s">
        <v>1480</v>
      </c>
    </row>
    <row r="125" spans="1:13">
      <c r="I125" s="127"/>
    </row>
    <row r="126" spans="1:13">
      <c r="I126" s="127"/>
    </row>
    <row r="127" spans="1:13">
      <c r="I127" s="127"/>
    </row>
    <row r="128" spans="1:13">
      <c r="I128" s="127"/>
    </row>
    <row r="129" spans="9:9">
      <c r="I129" s="127"/>
    </row>
    <row r="130" spans="9:9">
      <c r="I130" s="127"/>
    </row>
    <row r="131" spans="9:9">
      <c r="I131" s="127"/>
    </row>
    <row r="132" spans="9:9">
      <c r="I132" s="127"/>
    </row>
    <row r="133" spans="9:9">
      <c r="I133" s="127"/>
    </row>
    <row r="134" spans="9:9">
      <c r="I134" s="127"/>
    </row>
    <row r="135" spans="9:9">
      <c r="I135" s="127"/>
    </row>
    <row r="136" spans="9:9">
      <c r="I136" s="127"/>
    </row>
    <row r="137" spans="9:9">
      <c r="I137" s="127"/>
    </row>
    <row r="138" spans="9:9">
      <c r="I138" s="127"/>
    </row>
    <row r="139" spans="9:9">
      <c r="I139" s="127"/>
    </row>
    <row r="140" spans="9:9">
      <c r="I140" s="127"/>
    </row>
    <row r="141" spans="9:9">
      <c r="I141" s="127"/>
    </row>
    <row r="142" spans="9:9">
      <c r="I142" s="127"/>
    </row>
    <row r="143" spans="9:9">
      <c r="I143" s="127"/>
    </row>
    <row r="144" spans="9:9">
      <c r="I144" s="127"/>
    </row>
    <row r="145" spans="2:9">
      <c r="I145" s="127"/>
    </row>
    <row r="146" spans="2:9">
      <c r="I146" s="127"/>
    </row>
    <row r="147" spans="2:9">
      <c r="I147" s="127"/>
    </row>
    <row r="148" spans="2:9">
      <c r="I148" s="127"/>
    </row>
    <row r="149" spans="2:9">
      <c r="I149" s="127"/>
    </row>
    <row r="150" spans="2:9">
      <c r="I150" s="127"/>
    </row>
    <row r="151" spans="2:9">
      <c r="I151" s="127"/>
    </row>
    <row r="152" spans="2:9">
      <c r="I152" s="127"/>
    </row>
    <row r="153" spans="2:9">
      <c r="I153" s="127"/>
    </row>
    <row r="154" spans="2:9">
      <c r="B154" s="7" t="s">
        <v>1481</v>
      </c>
      <c r="I154" s="127"/>
    </row>
    <row r="155" spans="2:9">
      <c r="I155" s="127"/>
    </row>
    <row r="156" spans="2:9">
      <c r="I156" s="127"/>
    </row>
    <row r="157" spans="2:9">
      <c r="I157" s="127"/>
    </row>
    <row r="158" spans="2:9">
      <c r="I158" s="127"/>
    </row>
    <row r="159" spans="2:9">
      <c r="I159" s="127"/>
    </row>
    <row r="160" spans="2:9">
      <c r="I160" s="127"/>
    </row>
    <row r="161" spans="1:9">
      <c r="I161" s="127"/>
    </row>
    <row r="162" spans="1:9">
      <c r="I162" s="127"/>
    </row>
    <row r="163" spans="1:9">
      <c r="I163" s="127"/>
    </row>
    <row r="164" spans="1:9">
      <c r="I164" s="127"/>
    </row>
    <row r="165" spans="1:9">
      <c r="I165" s="127"/>
    </row>
    <row r="166" spans="1:9">
      <c r="I166" s="127"/>
    </row>
    <row r="167" spans="1:9">
      <c r="I167" s="127"/>
    </row>
    <row r="168" spans="1:9">
      <c r="I168" s="127"/>
    </row>
    <row r="169" spans="1:9">
      <c r="I169" s="127"/>
    </row>
    <row r="170" spans="1:9">
      <c r="I170" s="127"/>
    </row>
    <row r="171" spans="1:9">
      <c r="A171" s="744"/>
      <c r="B171" s="745" t="s">
        <v>936</v>
      </c>
      <c r="C171" s="744"/>
      <c r="D171" s="744"/>
      <c r="E171" s="744"/>
      <c r="F171" s="744"/>
      <c r="G171" s="744"/>
      <c r="H171" s="744"/>
    </row>
    <row r="172" spans="1:9">
      <c r="B172" s="768" t="s">
        <v>1482</v>
      </c>
      <c r="C172" s="767" t="s">
        <v>331</v>
      </c>
      <c r="D172" s="1299" t="s">
        <v>226</v>
      </c>
      <c r="E172" s="1300"/>
    </row>
    <row r="173" spans="1:9" ht="29.1">
      <c r="B173" s="790" t="s">
        <v>1483</v>
      </c>
      <c r="C173" s="343">
        <v>54312</v>
      </c>
      <c r="D173" s="1301" t="s">
        <v>1032</v>
      </c>
      <c r="E173" s="1302"/>
    </row>
    <row r="174" spans="1:9" ht="29.1">
      <c r="B174" s="790" t="s">
        <v>1484</v>
      </c>
      <c r="C174" s="157">
        <v>166549</v>
      </c>
      <c r="D174" s="1301" t="s">
        <v>1032</v>
      </c>
      <c r="E174" s="1302"/>
    </row>
    <row r="175" spans="1:9" ht="29.1">
      <c r="B175" s="411" t="s">
        <v>1485</v>
      </c>
      <c r="C175" s="789">
        <f>C173/C174</f>
        <v>0.3261022281730902</v>
      </c>
      <c r="D175" s="1301" t="s">
        <v>1486</v>
      </c>
      <c r="E175" s="1302"/>
    </row>
    <row r="176" spans="1:9">
      <c r="I176" s="127"/>
    </row>
    <row r="177" spans="1:23">
      <c r="B177" s="768" t="s">
        <v>1487</v>
      </c>
      <c r="C177" s="767" t="s">
        <v>331</v>
      </c>
      <c r="D177" s="1299" t="s">
        <v>226</v>
      </c>
      <c r="E177" s="1300"/>
      <c r="I177" s="127"/>
    </row>
    <row r="178" spans="1:23">
      <c r="B178" s="466" t="s">
        <v>1593</v>
      </c>
      <c r="C178" s="343">
        <f>D123</f>
        <v>375</v>
      </c>
      <c r="D178" s="1301" t="s">
        <v>1032</v>
      </c>
      <c r="E178" s="1302"/>
      <c r="I178" s="127"/>
    </row>
    <row r="179" spans="1:23">
      <c r="B179" s="466" t="s">
        <v>1594</v>
      </c>
      <c r="C179" s="343">
        <f>C178*C175</f>
        <v>122.28833556490882</v>
      </c>
      <c r="D179" s="1301" t="s">
        <v>1032</v>
      </c>
      <c r="E179" s="1302"/>
      <c r="I179" s="127"/>
    </row>
    <row r="180" spans="1:23">
      <c r="I180" s="127"/>
    </row>
    <row r="181" spans="1:23">
      <c r="A181" s="741"/>
      <c r="B181" s="743" t="s">
        <v>901</v>
      </c>
      <c r="C181" s="741"/>
      <c r="D181" s="741"/>
      <c r="E181" s="741"/>
      <c r="F181" s="741"/>
      <c r="G181" s="741"/>
      <c r="H181" s="741"/>
    </row>
    <row r="182" spans="1:23" ht="29.1">
      <c r="B182" s="719" t="s">
        <v>902</v>
      </c>
      <c r="C182" s="719" t="s">
        <v>898</v>
      </c>
      <c r="D182" s="719" t="s">
        <v>899</v>
      </c>
      <c r="E182" s="719" t="s">
        <v>903</v>
      </c>
      <c r="F182" s="719" t="s">
        <v>904</v>
      </c>
      <c r="G182" s="774" t="s">
        <v>905</v>
      </c>
      <c r="H182" s="719" t="s">
        <v>924</v>
      </c>
      <c r="I182" s="719" t="s">
        <v>956</v>
      </c>
      <c r="J182" s="719" t="s">
        <v>927</v>
      </c>
    </row>
    <row r="183" spans="1:23">
      <c r="B183" s="276" t="s">
        <v>524</v>
      </c>
      <c r="C183" s="276" t="str">
        <f>B99</f>
        <v>Quality of place</v>
      </c>
      <c r="D183" s="276" t="str">
        <f>C80</f>
        <v>Reduced quality of place</v>
      </c>
      <c r="E183" s="373" t="s">
        <v>1028</v>
      </c>
      <c r="F183" s="276" t="s">
        <v>1595</v>
      </c>
      <c r="G183" s="633">
        <f>VLOOKUP(F183,B187:O188,11,FALSE)</f>
        <v>122.28833556490882</v>
      </c>
      <c r="H183" s="326">
        <f>N188</f>
        <v>2.5714285714285698</v>
      </c>
      <c r="I183" s="276" t="str">
        <f>M188</f>
        <v>WTA scaled</v>
      </c>
      <c r="J183" s="276" t="str">
        <f>P188</f>
        <v>Consistent with sewer flooding valuations and use of Ofwat study</v>
      </c>
    </row>
    <row r="184" spans="1:23">
      <c r="B184" s="30"/>
    </row>
    <row r="185" spans="1:23">
      <c r="A185" s="744"/>
      <c r="B185" s="745" t="s">
        <v>962</v>
      </c>
      <c r="C185" s="744"/>
      <c r="D185" s="744"/>
      <c r="E185" s="744"/>
      <c r="F185" s="744"/>
      <c r="G185" s="744"/>
      <c r="H185" s="744"/>
    </row>
    <row r="186" spans="1:23">
      <c r="B186" s="398" t="s">
        <v>904</v>
      </c>
      <c r="C186" s="398" t="s">
        <v>62</v>
      </c>
      <c r="D186" s="398" t="s">
        <v>902</v>
      </c>
      <c r="E186" s="398" t="s">
        <v>898</v>
      </c>
      <c r="F186" s="398" t="s">
        <v>916</v>
      </c>
      <c r="G186" s="398" t="s">
        <v>963</v>
      </c>
      <c r="H186" s="398" t="s">
        <v>964</v>
      </c>
      <c r="I186" s="398" t="s">
        <v>965</v>
      </c>
      <c r="J186" s="398" t="s">
        <v>966</v>
      </c>
      <c r="K186" s="398" t="s">
        <v>967</v>
      </c>
      <c r="L186" s="398" t="s">
        <v>968</v>
      </c>
      <c r="M186" s="398" t="s">
        <v>956</v>
      </c>
      <c r="N186" s="398" t="s">
        <v>969</v>
      </c>
      <c r="O186" s="398" t="s">
        <v>970</v>
      </c>
      <c r="P186" s="398" t="s">
        <v>927</v>
      </c>
      <c r="Q186" s="398" t="s">
        <v>913</v>
      </c>
      <c r="R186" s="398" t="s">
        <v>914</v>
      </c>
      <c r="S186" s="398" t="s">
        <v>915</v>
      </c>
      <c r="T186" s="398" t="s">
        <v>916</v>
      </c>
      <c r="U186" s="398" t="s">
        <v>917</v>
      </c>
      <c r="V186" s="398" t="s">
        <v>918</v>
      </c>
      <c r="W186" s="398" t="s">
        <v>919</v>
      </c>
    </row>
    <row r="187" spans="1:23">
      <c r="B187" s="372" t="s">
        <v>1596</v>
      </c>
      <c r="C187" s="276" t="s">
        <v>1590</v>
      </c>
      <c r="D187" s="276" t="s">
        <v>524</v>
      </c>
      <c r="E187" s="276" t="s">
        <v>151</v>
      </c>
      <c r="F187" s="373">
        <f>E85</f>
        <v>2024</v>
      </c>
      <c r="G187" s="276">
        <f>E85</f>
        <v>2024</v>
      </c>
      <c r="H187" s="276">
        <f>'COMPANY INPUT'!$C$16</f>
        <v>2023</v>
      </c>
      <c r="I187" s="276">
        <f>VLOOKUP(G187,'GDP Deflators'!$H$13:$I$86,2,FALSE)</f>
        <v>101.52460002617836</v>
      </c>
      <c r="J187" s="276">
        <f>VLOOKUP(H187,'GDP Deflators'!$H$13:$I$86,2,FALSE)</f>
        <v>100</v>
      </c>
      <c r="K187" s="343">
        <f>D99</f>
        <v>2918</v>
      </c>
      <c r="L187" s="747">
        <f>K187*(J187/I187)</f>
        <v>2874.1802471987939</v>
      </c>
      <c r="M187" s="276" t="s">
        <v>1492</v>
      </c>
      <c r="N187" s="326">
        <f>D95</f>
        <v>3</v>
      </c>
      <c r="O187" s="276" t="s">
        <v>717</v>
      </c>
      <c r="P187" s="276" t="s">
        <v>1493</v>
      </c>
      <c r="Q187" s="373">
        <f t="shared" ref="Q187:W187" si="1">B85</f>
        <v>38</v>
      </c>
      <c r="R187" s="276" t="str">
        <f t="shared" si="1"/>
        <v>MCM (2024) MCM Simplified benefit: cost appraisal tool for flood risk management</v>
      </c>
      <c r="S187" s="276" t="str">
        <f t="shared" si="1"/>
        <v>No</v>
      </c>
      <c r="T187" s="276">
        <f t="shared" si="1"/>
        <v>2024</v>
      </c>
      <c r="U187" s="276" t="str">
        <f t="shared" si="1"/>
        <v>UK</v>
      </c>
      <c r="V187" s="276" t="str">
        <f t="shared" si="1"/>
        <v>UK wide</v>
      </c>
      <c r="W187" s="276" t="str">
        <f t="shared" si="1"/>
        <v>Unknown</v>
      </c>
    </row>
    <row r="188" spans="1:23">
      <c r="B188" s="372" t="s">
        <v>1595</v>
      </c>
      <c r="C188" s="276" t="s">
        <v>1590</v>
      </c>
      <c r="D188" s="276" t="s">
        <v>524</v>
      </c>
      <c r="E188" s="276" t="s">
        <v>151</v>
      </c>
      <c r="F188" s="373">
        <f>E108</f>
        <v>2023</v>
      </c>
      <c r="G188" s="276">
        <v>2023</v>
      </c>
      <c r="H188" s="276">
        <f>'COMPANY INPUT'!$C$16</f>
        <v>2023</v>
      </c>
      <c r="I188" s="276">
        <f>VLOOKUP(G188,'GDP Deflators'!$H$13:$I$86,2,FALSE)</f>
        <v>100</v>
      </c>
      <c r="J188" s="276">
        <f>VLOOKUP(H188,'GDP Deflators'!$H$13:$I$86,2,FALSE)</f>
        <v>100</v>
      </c>
      <c r="K188" s="343">
        <f>C179</f>
        <v>122.28833556490882</v>
      </c>
      <c r="L188" s="747">
        <f>K188*(J188/I188)</f>
        <v>122.28833556490882</v>
      </c>
      <c r="M188" s="276" t="s">
        <v>1494</v>
      </c>
      <c r="N188" s="326">
        <f>D119</f>
        <v>2.5714285714285698</v>
      </c>
      <c r="O188" s="276" t="s">
        <v>718</v>
      </c>
      <c r="P188" s="276" t="s">
        <v>1495</v>
      </c>
      <c r="Q188" s="373">
        <f t="shared" ref="Q188:W188" si="2">B108</f>
        <v>16</v>
      </c>
      <c r="R188" s="373" t="str">
        <f t="shared" si="2"/>
        <v>Ofwat (2023) PR24: Using collaborative customer research to set outcome delivery incentive rates</v>
      </c>
      <c r="S188" s="373">
        <f t="shared" si="2"/>
        <v>0</v>
      </c>
      <c r="T188" s="373">
        <f t="shared" si="2"/>
        <v>2023</v>
      </c>
      <c r="U188" s="373" t="str">
        <f t="shared" si="2"/>
        <v>England and Wales</v>
      </c>
      <c r="V188" s="373" t="str">
        <f t="shared" si="2"/>
        <v>England and Wales</v>
      </c>
      <c r="W188" s="373">
        <f t="shared" si="2"/>
        <v>0</v>
      </c>
    </row>
    <row r="190" spans="1:23">
      <c r="A190" s="739"/>
      <c r="B190" s="740" t="s">
        <v>1378</v>
      </c>
      <c r="C190" s="739"/>
      <c r="D190" s="739"/>
      <c r="E190" s="739"/>
      <c r="F190" s="739"/>
      <c r="G190" s="739"/>
      <c r="H190" s="739"/>
    </row>
    <row r="191" spans="1:23">
      <c r="A191" s="741"/>
      <c r="B191" s="742" t="s">
        <v>897</v>
      </c>
      <c r="C191" s="741"/>
      <c r="D191" s="741"/>
      <c r="E191" s="741"/>
      <c r="F191" s="741"/>
      <c r="G191" s="741"/>
      <c r="H191" s="741"/>
    </row>
    <row r="192" spans="1:23">
      <c r="B192" s="398" t="s">
        <v>898</v>
      </c>
      <c r="C192" s="398" t="s">
        <v>899</v>
      </c>
    </row>
    <row r="193" spans="1:23">
      <c r="B193" s="276" t="s">
        <v>1378</v>
      </c>
      <c r="C193" s="276" t="s">
        <v>1496</v>
      </c>
    </row>
    <row r="194" spans="1:23">
      <c r="B194" s="29"/>
    </row>
    <row r="195" spans="1:23">
      <c r="A195" s="741"/>
      <c r="B195" s="743" t="s">
        <v>1039</v>
      </c>
      <c r="C195" s="741"/>
      <c r="D195" s="741"/>
      <c r="E195" s="741"/>
      <c r="F195" s="741"/>
      <c r="G195" s="741"/>
      <c r="H195" s="741"/>
    </row>
    <row r="196" spans="1:23">
      <c r="A196" s="744"/>
      <c r="B196" s="745" t="s">
        <v>912</v>
      </c>
      <c r="C196" s="744"/>
      <c r="D196" s="744"/>
      <c r="E196" s="744"/>
      <c r="F196" s="744"/>
      <c r="G196" s="744"/>
      <c r="H196" s="744"/>
    </row>
    <row r="197" spans="1:23" ht="29.1">
      <c r="B197" s="719" t="s">
        <v>913</v>
      </c>
      <c r="C197" s="719" t="s">
        <v>914</v>
      </c>
      <c r="D197" s="719" t="s">
        <v>915</v>
      </c>
      <c r="E197" s="719" t="s">
        <v>916</v>
      </c>
      <c r="F197" s="719" t="s">
        <v>917</v>
      </c>
      <c r="G197" s="719" t="s">
        <v>918</v>
      </c>
      <c r="H197" s="719" t="s">
        <v>919</v>
      </c>
    </row>
    <row r="198" spans="1:23">
      <c r="B198" s="276">
        <v>38</v>
      </c>
      <c r="C198" s="276" t="s">
        <v>1469</v>
      </c>
      <c r="D198" s="276" t="s">
        <v>717</v>
      </c>
      <c r="E198" s="276">
        <v>2024</v>
      </c>
      <c r="F198" s="276" t="s">
        <v>1047</v>
      </c>
      <c r="G198" s="276" t="s">
        <v>1457</v>
      </c>
      <c r="H198" s="276" t="s">
        <v>923</v>
      </c>
    </row>
    <row r="199" spans="1:23">
      <c r="B199" s="29"/>
    </row>
    <row r="200" spans="1:23" s="764" customFormat="1">
      <c r="A200" s="744"/>
      <c r="B200" s="745" t="s">
        <v>924</v>
      </c>
      <c r="C200" s="744"/>
      <c r="D200" s="744"/>
      <c r="E200" s="744"/>
      <c r="F200" s="744"/>
      <c r="G200" s="744"/>
      <c r="H200" s="744"/>
      <c r="I200" s="7"/>
      <c r="J200" s="7"/>
      <c r="K200" s="7"/>
      <c r="L200" s="7"/>
      <c r="M200" s="7"/>
      <c r="N200" s="7"/>
      <c r="O200" s="7"/>
      <c r="P200" s="7"/>
      <c r="Q200" s="7"/>
      <c r="R200" s="7"/>
      <c r="S200" s="7"/>
      <c r="T200" s="7"/>
      <c r="U200" s="7"/>
      <c r="V200" s="7"/>
      <c r="W200" s="7"/>
    </row>
    <row r="201" spans="1:23">
      <c r="B201" s="398" t="s">
        <v>165</v>
      </c>
      <c r="C201" s="398" t="s">
        <v>925</v>
      </c>
      <c r="D201" s="398" t="s">
        <v>926</v>
      </c>
      <c r="E201" s="1139" t="s">
        <v>953</v>
      </c>
      <c r="F201" s="1139"/>
      <c r="G201" s="1139"/>
      <c r="H201" s="1139"/>
    </row>
    <row r="202" spans="1:23">
      <c r="B202" s="276" t="s">
        <v>169</v>
      </c>
      <c r="C202" s="276" t="s">
        <v>166</v>
      </c>
      <c r="D202" s="278">
        <f>VLOOKUP(C202,METHODOLOGY!$C$175:$D$177,2,FALSE)</f>
        <v>3</v>
      </c>
      <c r="E202" s="1087" t="str">
        <f>_xlfn.XLOOKUP(C202,METHODOLOGY!$E$150:$O$150,METHODOLOGY!$E$151:$O$151,"",0,1)</f>
        <v>Monetary values have been peer reviewed or are recommended / referenced in other, well recognised and accepted guidance / tools relevant to the water sector.</v>
      </c>
      <c r="F202" s="1087"/>
      <c r="G202" s="1087"/>
      <c r="H202" s="1087"/>
    </row>
    <row r="203" spans="1:23">
      <c r="B203" s="276" t="s">
        <v>173</v>
      </c>
      <c r="C203" s="276" t="s">
        <v>166</v>
      </c>
      <c r="D203" s="278">
        <f>VLOOKUP(C203,METHODOLOGY!$C$175:$D$177,2,FALSE)</f>
        <v>3</v>
      </c>
      <c r="E203" s="1087" t="str">
        <f>_xlfn.XLOOKUP(C203,METHODOLOGY!$E$150:$O$150,METHODOLOGY!$E$155:$O$155,"",0,1)</f>
        <v>Study has few limitations and is considered robust.</v>
      </c>
      <c r="F203" s="1087"/>
      <c r="G203" s="1087"/>
      <c r="H203" s="1087"/>
    </row>
    <row r="204" spans="1:23">
      <c r="B204" s="276" t="s">
        <v>177</v>
      </c>
      <c r="C204" s="276" t="s">
        <v>166</v>
      </c>
      <c r="D204" s="278">
        <f>VLOOKUP(C204,METHODOLOGY!$C$175:$D$177,2,FALSE)</f>
        <v>3</v>
      </c>
      <c r="E204" s="1087" t="str">
        <f>_xlfn.XLOOKUP(C204,METHODOLOGY!$E$150:$O$150,METHODOLOGY!$E$158:$O$158,"",0,1)</f>
        <v>0 – 5 years</v>
      </c>
      <c r="F204" s="1087"/>
      <c r="G204" s="1087"/>
      <c r="H204" s="1087"/>
    </row>
    <row r="205" spans="1:23">
      <c r="B205" s="276" t="s">
        <v>181</v>
      </c>
      <c r="C205" s="276" t="s">
        <v>166</v>
      </c>
      <c r="D205" s="278">
        <f>VLOOKUP(C205,METHODOLOGY!$C$175:$D$177,2,FALSE)</f>
        <v>3</v>
      </c>
      <c r="E205" s="1087" t="str">
        <f>_xlfn.XLOOKUP(C205,METHODOLOGY!$E$150:$O$150,METHODOLOGY!$E$160:$O$160,"",0,1)</f>
        <v>Geographically relevant to UK</v>
      </c>
      <c r="F205" s="1087"/>
      <c r="G205" s="1087"/>
      <c r="H205" s="1087"/>
    </row>
    <row r="206" spans="1:23">
      <c r="B206" s="276" t="s">
        <v>928</v>
      </c>
      <c r="C206" s="276" t="s">
        <v>166</v>
      </c>
      <c r="D206" s="278">
        <f>VLOOKUP(C206,METHODOLOGY!$C$175:$D$177,2,FALSE)</f>
        <v>3</v>
      </c>
      <c r="E206" s="1087" t="str">
        <f>_xlfn.XLOOKUP(C206,METHODOLOGY!$E$150:$O$150,METHODOLOGY!$E$162:$O$162,"",0,1)</f>
        <v>Clear understanding of the valuation method and how the value should be applied.</v>
      </c>
      <c r="F206" s="1087"/>
      <c r="G206" s="1087"/>
      <c r="H206" s="1087"/>
    </row>
    <row r="207" spans="1:23">
      <c r="B207" s="276" t="s">
        <v>189</v>
      </c>
      <c r="C207" s="276" t="s">
        <v>168</v>
      </c>
      <c r="D207" s="278">
        <f>VLOOKUP(C207,METHODOLOGY!$C$175:$D$177,2,FALSE)</f>
        <v>1</v>
      </c>
      <c r="E207" s="1087" t="str">
        <f>_xlfn.XLOOKUP(C207,METHODOLOGY!$E$150:$O$150,METHODOLOGY!$E$164:$O$164,"",0,1)</f>
        <v xml:space="preserve">The original valuation can be used with significant modification e.g. several additional data inputs are required to use the original source. The calculation is complex or introduces significant uncertainty. </v>
      </c>
      <c r="F207" s="1087"/>
      <c r="G207" s="1087"/>
      <c r="H207" s="1087"/>
    </row>
    <row r="208" spans="1:23">
      <c r="C208" s="282" t="s">
        <v>924</v>
      </c>
      <c r="D208" s="326">
        <f>IF(AND(D207=1,AVERAGE(D202:D207)&gt;2.14285714285714),2.14285714285714,IF(AND(D207=2,AVERAGE(D202:D207)&gt;2.57142857142857),2.57142857142857,AVERAGE(D202:D207)))</f>
        <v>2.1428571428571401</v>
      </c>
      <c r="E208" s="270" t="str">
        <f>IF(D208&lt;=2.14285714285714,"Red",IF(D208&lt;=2.57142857142857,"Amber",IF(D208&lt;=3,"Green")))</f>
        <v>Red</v>
      </c>
    </row>
    <row r="210" spans="1:14">
      <c r="A210" s="744"/>
      <c r="B210" s="745" t="s">
        <v>929</v>
      </c>
      <c r="C210" s="744"/>
      <c r="D210" s="744"/>
      <c r="E210" s="744"/>
      <c r="F210" s="744"/>
      <c r="G210" s="744"/>
      <c r="H210" s="744"/>
    </row>
    <row r="211" spans="1:14">
      <c r="B211" s="398" t="s">
        <v>1089</v>
      </c>
      <c r="C211" s="398" t="s">
        <v>902</v>
      </c>
      <c r="D211" s="398" t="s">
        <v>331</v>
      </c>
      <c r="E211" s="142" t="s">
        <v>226</v>
      </c>
      <c r="F211" s="1322" t="s">
        <v>930</v>
      </c>
      <c r="G211" s="1323"/>
      <c r="H211" s="1324"/>
      <c r="I211" s="148" t="s">
        <v>913</v>
      </c>
      <c r="J211" s="148" t="s">
        <v>169</v>
      </c>
    </row>
    <row r="212" spans="1:14" ht="15" customHeight="1">
      <c r="B212" s="278" t="s">
        <v>1378</v>
      </c>
      <c r="C212" s="278" t="s">
        <v>525</v>
      </c>
      <c r="D212" s="311">
        <v>10</v>
      </c>
      <c r="E212" s="394" t="s">
        <v>1498</v>
      </c>
      <c r="F212" s="1123" t="s">
        <v>1597</v>
      </c>
      <c r="G212" s="1124"/>
      <c r="H212" s="1125"/>
      <c r="I212" s="1321" t="s">
        <v>1471</v>
      </c>
      <c r="J212" s="1321" t="s">
        <v>1472</v>
      </c>
    </row>
    <row r="213" spans="1:14" ht="15" customHeight="1">
      <c r="B213" s="278" t="s">
        <v>1378</v>
      </c>
      <c r="C213" s="278" t="s">
        <v>526</v>
      </c>
      <c r="D213" s="311">
        <v>10</v>
      </c>
      <c r="E213" s="394" t="s">
        <v>1498</v>
      </c>
      <c r="F213" s="1123" t="s">
        <v>1597</v>
      </c>
      <c r="G213" s="1124"/>
      <c r="H213" s="1125"/>
      <c r="I213" s="1178"/>
      <c r="J213" s="1178"/>
      <c r="N213" s="24"/>
    </row>
    <row r="214" spans="1:14">
      <c r="B214" s="9"/>
      <c r="C214" s="9"/>
      <c r="E214" s="6"/>
      <c r="F214" s="32"/>
      <c r="G214" s="125"/>
      <c r="H214" s="139"/>
      <c r="I214" s="24"/>
      <c r="J214" s="24"/>
      <c r="M214" s="24"/>
      <c r="N214" s="24"/>
    </row>
    <row r="215" spans="1:14">
      <c r="I215" s="127"/>
    </row>
    <row r="217" spans="1:14">
      <c r="I217" s="127"/>
    </row>
    <row r="218" spans="1:14">
      <c r="I218" s="127"/>
    </row>
    <row r="219" spans="1:14">
      <c r="A219" s="744"/>
      <c r="B219" s="745" t="s">
        <v>936</v>
      </c>
      <c r="C219" s="744"/>
      <c r="D219" s="744"/>
      <c r="E219" s="744"/>
      <c r="F219" s="744"/>
      <c r="G219" s="744"/>
      <c r="H219" s="744"/>
    </row>
    <row r="220" spans="1:14">
      <c r="B220" s="1304" t="s">
        <v>1500</v>
      </c>
      <c r="C220" s="1304"/>
      <c r="D220" s="1304"/>
      <c r="E220" s="1304"/>
      <c r="F220" s="1304"/>
      <c r="G220" s="1304"/>
      <c r="H220" s="1304"/>
      <c r="I220" s="1304"/>
      <c r="J220" s="1304"/>
      <c r="K220" s="1304"/>
    </row>
    <row r="221" spans="1:14">
      <c r="B221" s="308" t="s">
        <v>1501</v>
      </c>
      <c r="C221" s="1306" t="s">
        <v>1502</v>
      </c>
      <c r="D221" s="1306"/>
      <c r="E221" s="1224" t="s">
        <v>1420</v>
      </c>
      <c r="F221" s="1224"/>
      <c r="G221" s="1224" t="s">
        <v>1503</v>
      </c>
      <c r="H221" s="1224"/>
      <c r="I221" s="1224"/>
      <c r="J221" s="442" t="s">
        <v>169</v>
      </c>
      <c r="K221" s="442" t="s">
        <v>913</v>
      </c>
    </row>
    <row r="222" spans="1:14">
      <c r="B222" s="1178" t="s">
        <v>1504</v>
      </c>
      <c r="C222" s="470" t="s">
        <v>1505</v>
      </c>
      <c r="D222" s="304">
        <v>635550</v>
      </c>
      <c r="E222" s="1095" t="s">
        <v>1506</v>
      </c>
      <c r="F222" s="1095"/>
      <c r="G222" s="1095" t="s">
        <v>1507</v>
      </c>
      <c r="H222" s="1095"/>
      <c r="I222" s="1095"/>
      <c r="J222" s="1167" t="s">
        <v>1508</v>
      </c>
      <c r="K222" s="1131" t="s">
        <v>1509</v>
      </c>
    </row>
    <row r="223" spans="1:14">
      <c r="B223" s="1178"/>
      <c r="C223" s="470" t="s">
        <v>1510</v>
      </c>
      <c r="D223" s="304">
        <v>56786000</v>
      </c>
      <c r="E223" s="1095" t="s">
        <v>1511</v>
      </c>
      <c r="F223" s="1095"/>
      <c r="G223" s="1095"/>
      <c r="H223" s="1095"/>
      <c r="I223" s="1095"/>
      <c r="J223" s="1168"/>
      <c r="K223" s="1132"/>
    </row>
    <row r="224" spans="1:14">
      <c r="B224" s="1178"/>
      <c r="C224" s="334" t="s">
        <v>1512</v>
      </c>
      <c r="D224" s="304">
        <f>D223/D222</f>
        <v>89.349382424671546</v>
      </c>
      <c r="E224" s="1291" t="s">
        <v>1513</v>
      </c>
      <c r="F224" s="1291"/>
      <c r="G224" s="1095"/>
      <c r="H224" s="1095"/>
      <c r="I224" s="1095"/>
      <c r="J224" s="1168"/>
      <c r="K224" s="1132"/>
    </row>
    <row r="225" spans="1:27">
      <c r="B225" s="1178" t="s">
        <v>1514</v>
      </c>
      <c r="C225" s="470" t="s">
        <v>1505</v>
      </c>
      <c r="D225" s="304">
        <v>516240</v>
      </c>
      <c r="E225" s="1310" t="s">
        <v>1515</v>
      </c>
      <c r="F225" s="1310"/>
      <c r="G225" s="1095" t="s">
        <v>1516</v>
      </c>
      <c r="H225" s="1095"/>
      <c r="I225" s="1095"/>
      <c r="J225" s="1168"/>
      <c r="K225" s="1132"/>
    </row>
    <row r="226" spans="1:27">
      <c r="B226" s="1178"/>
      <c r="C226" s="470" t="s">
        <v>1510</v>
      </c>
      <c r="D226" s="304">
        <v>103926000</v>
      </c>
      <c r="E226" s="1310" t="s">
        <v>1517</v>
      </c>
      <c r="F226" s="1310"/>
      <c r="G226" s="1095"/>
      <c r="H226" s="1095"/>
      <c r="I226" s="1095"/>
      <c r="J226" s="1168"/>
      <c r="K226" s="1132"/>
    </row>
    <row r="227" spans="1:27">
      <c r="B227" s="1178"/>
      <c r="C227" s="334" t="s">
        <v>1512</v>
      </c>
      <c r="D227" s="304">
        <f>D226/D225</f>
        <v>201.31334263133425</v>
      </c>
      <c r="E227" s="1291" t="s">
        <v>1513</v>
      </c>
      <c r="F227" s="1291"/>
      <c r="G227" s="1095"/>
      <c r="H227" s="1095"/>
      <c r="I227" s="1095"/>
      <c r="J227" s="1169"/>
      <c r="K227" s="1133"/>
    </row>
    <row r="228" spans="1:27">
      <c r="B228" s="9"/>
      <c r="C228" s="3"/>
      <c r="D228" s="143"/>
      <c r="E228" s="144"/>
      <c r="F228" s="144"/>
      <c r="G228" s="24"/>
      <c r="H228" s="24"/>
      <c r="I228" s="24"/>
      <c r="J228" s="145"/>
    </row>
    <row r="229" spans="1:27">
      <c r="B229" s="485" t="s">
        <v>1518</v>
      </c>
      <c r="C229" s="485" t="s">
        <v>1519</v>
      </c>
      <c r="D229" s="486" t="s">
        <v>226</v>
      </c>
      <c r="E229" s="1308" t="s">
        <v>930</v>
      </c>
      <c r="F229" s="1308"/>
      <c r="G229" s="1309" t="s">
        <v>1503</v>
      </c>
      <c r="H229" s="1309"/>
      <c r="J229" s="145"/>
    </row>
    <row r="230" spans="1:27" ht="84.75" customHeight="1">
      <c r="B230" s="375" t="s">
        <v>525</v>
      </c>
      <c r="C230" s="775">
        <f>D212*D224</f>
        <v>893.49382424671546</v>
      </c>
      <c r="D230" s="776" t="s">
        <v>1032</v>
      </c>
      <c r="E230" s="1291" t="s">
        <v>1520</v>
      </c>
      <c r="F230" s="1291"/>
      <c r="G230" s="1185" t="s">
        <v>1598</v>
      </c>
      <c r="H230" s="1094"/>
      <c r="J230" s="145"/>
    </row>
    <row r="231" spans="1:27" ht="63.75" customHeight="1">
      <c r="B231" s="375" t="s">
        <v>526</v>
      </c>
      <c r="C231" s="775">
        <f>D213*D227</f>
        <v>2013.1334263133426</v>
      </c>
      <c r="D231" s="776" t="s">
        <v>1032</v>
      </c>
      <c r="E231" s="1291"/>
      <c r="F231" s="1291"/>
      <c r="G231" s="1091" t="s">
        <v>1599</v>
      </c>
      <c r="H231" s="1095"/>
      <c r="J231" s="145"/>
    </row>
    <row r="232" spans="1:27">
      <c r="I232" s="127"/>
    </row>
    <row r="233" spans="1:27" s="765" customFormat="1">
      <c r="A233" s="741"/>
      <c r="B233" s="743" t="s">
        <v>1045</v>
      </c>
      <c r="C233" s="741"/>
      <c r="D233" s="741"/>
      <c r="E233" s="741"/>
      <c r="F233" s="741"/>
      <c r="G233" s="741"/>
      <c r="H233" s="741"/>
      <c r="I233" s="7"/>
      <c r="J233" s="7"/>
      <c r="K233" s="7"/>
      <c r="L233" s="7"/>
      <c r="M233" s="7"/>
      <c r="N233" s="7"/>
      <c r="O233" s="7"/>
      <c r="P233" s="7"/>
      <c r="Q233" s="7"/>
      <c r="R233" s="7"/>
      <c r="S233" s="7"/>
      <c r="T233" s="7"/>
      <c r="U233" s="7"/>
      <c r="V233" s="7"/>
      <c r="W233" s="7"/>
      <c r="X233" s="7"/>
      <c r="Y233" s="7"/>
      <c r="Z233" s="7"/>
      <c r="AA233" s="7"/>
    </row>
    <row r="234" spans="1:27" s="765" customFormat="1">
      <c r="A234" s="744"/>
      <c r="B234" s="745" t="s">
        <v>912</v>
      </c>
      <c r="C234" s="744"/>
      <c r="D234" s="744"/>
      <c r="E234" s="744"/>
      <c r="F234" s="744"/>
      <c r="G234" s="744"/>
      <c r="H234" s="744"/>
      <c r="I234" s="7"/>
      <c r="J234" s="7"/>
      <c r="K234" s="7"/>
      <c r="L234" s="7"/>
      <c r="M234" s="7"/>
      <c r="N234" s="7"/>
      <c r="O234" s="7"/>
      <c r="P234" s="7"/>
      <c r="Q234" s="7"/>
      <c r="R234" s="7"/>
      <c r="S234" s="7"/>
      <c r="T234" s="7"/>
      <c r="U234" s="7"/>
      <c r="V234" s="7"/>
      <c r="W234" s="7"/>
      <c r="X234" s="7"/>
      <c r="Y234" s="7"/>
      <c r="Z234" s="7"/>
      <c r="AA234" s="7"/>
    </row>
    <row r="235" spans="1:27">
      <c r="B235" s="29"/>
    </row>
    <row r="236" spans="1:27" ht="29.1">
      <c r="B236" s="719" t="s">
        <v>913</v>
      </c>
      <c r="C236" s="719" t="s">
        <v>914</v>
      </c>
      <c r="D236" s="719" t="s">
        <v>915</v>
      </c>
      <c r="E236" s="719" t="s">
        <v>916</v>
      </c>
      <c r="F236" s="719" t="s">
        <v>917</v>
      </c>
      <c r="G236" s="719" t="s">
        <v>918</v>
      </c>
      <c r="H236" s="719" t="s">
        <v>919</v>
      </c>
    </row>
    <row r="237" spans="1:27">
      <c r="B237" s="276">
        <v>69</v>
      </c>
      <c r="C237" s="276" t="s">
        <v>1522</v>
      </c>
      <c r="D237" s="276" t="s">
        <v>717</v>
      </c>
      <c r="E237" s="276">
        <v>2024</v>
      </c>
      <c r="F237" s="276" t="s">
        <v>1047</v>
      </c>
      <c r="G237" s="276" t="s">
        <v>1047</v>
      </c>
      <c r="H237" s="340" t="s">
        <v>907</v>
      </c>
    </row>
    <row r="238" spans="1:27">
      <c r="B238" s="29"/>
    </row>
    <row r="239" spans="1:27" s="765" customFormat="1">
      <c r="A239" s="744"/>
      <c r="B239" s="745" t="s">
        <v>924</v>
      </c>
      <c r="C239" s="744"/>
      <c r="D239" s="744"/>
      <c r="E239" s="744"/>
      <c r="F239" s="744"/>
      <c r="G239" s="744"/>
      <c r="H239" s="744"/>
      <c r="I239" s="7"/>
      <c r="J239" s="7"/>
      <c r="K239" s="7"/>
      <c r="L239" s="7"/>
      <c r="M239" s="7"/>
      <c r="N239" s="7"/>
      <c r="O239" s="7"/>
      <c r="P239" s="7"/>
      <c r="Q239" s="7"/>
      <c r="R239" s="7"/>
      <c r="S239" s="7"/>
      <c r="T239" s="7"/>
      <c r="U239" s="7"/>
      <c r="V239" s="7"/>
      <c r="W239" s="7"/>
      <c r="X239" s="7"/>
      <c r="Y239" s="7"/>
      <c r="Z239" s="7"/>
      <c r="AA239" s="7"/>
    </row>
    <row r="240" spans="1:27">
      <c r="B240" s="398" t="s">
        <v>165</v>
      </c>
      <c r="C240" s="398" t="s">
        <v>925</v>
      </c>
      <c r="D240" s="398" t="s">
        <v>926</v>
      </c>
      <c r="E240" s="1139" t="s">
        <v>953</v>
      </c>
      <c r="F240" s="1139"/>
      <c r="G240" s="1139"/>
      <c r="H240" s="1139"/>
    </row>
    <row r="241" spans="1:27">
      <c r="B241" s="276" t="s">
        <v>169</v>
      </c>
      <c r="C241" s="276" t="s">
        <v>166</v>
      </c>
      <c r="D241" s="278">
        <f>VLOOKUP(C241,METHODOLOGY!$C$175:$D$177,2,FALSE)</f>
        <v>3</v>
      </c>
      <c r="E241" s="1087" t="str">
        <f>_xlfn.XLOOKUP(C241,METHODOLOGY!$E$150:$O$150,METHODOLOGY!$E$151:$O$151,"",0,1)</f>
        <v>Monetary values have been peer reviewed or are recommended / referenced in other, well recognised and accepted guidance / tools relevant to the water sector.</v>
      </c>
      <c r="F241" s="1087"/>
      <c r="G241" s="1087"/>
      <c r="H241" s="1087"/>
    </row>
    <row r="242" spans="1:27">
      <c r="B242" s="276" t="s">
        <v>173</v>
      </c>
      <c r="C242" s="276" t="s">
        <v>166</v>
      </c>
      <c r="D242" s="278">
        <f>VLOOKUP(C242,METHODOLOGY!$C$175:$D$177,2,FALSE)</f>
        <v>3</v>
      </c>
      <c r="E242" s="1087" t="str">
        <f>_xlfn.XLOOKUP(C242,METHODOLOGY!$E$150:$O$150,METHODOLOGY!$E$155:$O$155,"",0,1)</f>
        <v>Study has few limitations and is considered robust.</v>
      </c>
      <c r="F242" s="1087"/>
      <c r="G242" s="1087"/>
      <c r="H242" s="1087"/>
    </row>
    <row r="243" spans="1:27">
      <c r="B243" s="276" t="s">
        <v>177</v>
      </c>
      <c r="C243" s="276" t="s">
        <v>166</v>
      </c>
      <c r="D243" s="278">
        <f>VLOOKUP(C243,METHODOLOGY!$C$175:$D$177,2,FALSE)</f>
        <v>3</v>
      </c>
      <c r="E243" s="1087" t="str">
        <f>_xlfn.XLOOKUP(C243,METHODOLOGY!$E$150:$O$150,METHODOLOGY!$E$158:$O$158,"",0,1)</f>
        <v>0 – 5 years</v>
      </c>
      <c r="F243" s="1087"/>
      <c r="G243" s="1087"/>
      <c r="H243" s="1087"/>
    </row>
    <row r="244" spans="1:27">
      <c r="B244" s="276" t="s">
        <v>181</v>
      </c>
      <c r="C244" s="276" t="s">
        <v>166</v>
      </c>
      <c r="D244" s="278">
        <f>VLOOKUP(C244,METHODOLOGY!$C$175:$D$177,2,FALSE)</f>
        <v>3</v>
      </c>
      <c r="E244" s="1087" t="str">
        <f>_xlfn.XLOOKUP(C244,METHODOLOGY!$E$150:$O$150,METHODOLOGY!$E$160:$O$160,"",0,1)</f>
        <v>Geographically relevant to UK</v>
      </c>
      <c r="F244" s="1087"/>
      <c r="G244" s="1087"/>
      <c r="H244" s="1087"/>
    </row>
    <row r="245" spans="1:27">
      <c r="B245" s="276" t="s">
        <v>928</v>
      </c>
      <c r="C245" s="276" t="s">
        <v>166</v>
      </c>
      <c r="D245" s="278">
        <f>VLOOKUP(C245,METHODOLOGY!$C$175:$D$177,2,FALSE)</f>
        <v>3</v>
      </c>
      <c r="E245" s="1087" t="str">
        <f>_xlfn.XLOOKUP(C245,METHODOLOGY!$E$150:$O$150,METHODOLOGY!$E$162:$O$162,"",0,1)</f>
        <v>Clear understanding of the valuation method and how the value should be applied.</v>
      </c>
      <c r="F245" s="1087"/>
      <c r="G245" s="1087"/>
      <c r="H245" s="1087"/>
    </row>
    <row r="246" spans="1:27">
      <c r="B246" s="276" t="s">
        <v>189</v>
      </c>
      <c r="C246" s="276" t="s">
        <v>168</v>
      </c>
      <c r="D246" s="278">
        <f>VLOOKUP(C246,METHODOLOGY!$C$175:$D$177,2,FALSE)</f>
        <v>1</v>
      </c>
      <c r="E246" s="1087" t="str">
        <f>_xlfn.XLOOKUP(C246,METHODOLOGY!$E$150:$O$150,METHODOLOGY!$E$164:$O$164,"",0,1)</f>
        <v xml:space="preserve">The original valuation can be used with significant modification e.g. several additional data inputs are required to use the original source. The calculation is complex or introduces significant uncertainty. </v>
      </c>
      <c r="F246" s="1087"/>
      <c r="G246" s="1087"/>
      <c r="H246" s="1087"/>
    </row>
    <row r="247" spans="1:27">
      <c r="C247" s="282" t="s">
        <v>924</v>
      </c>
      <c r="D247" s="326">
        <f>IF(AND(D246=1,AVERAGE(D241:D246)&gt;2.14285714285714),2.14285714285714,IF(AND(D246=2,AVERAGE(D241:D246)&gt;2.57142857142857),2.57142857142857,AVERAGE(D241:D246)))</f>
        <v>2.1428571428571401</v>
      </c>
      <c r="E247" s="270" t="str">
        <f>IF(D247&lt;=2.14285714285714,"Red",IF(D247&lt;=2.57142857142857,"Amber",IF(D247&lt;=3,"Green")))</f>
        <v>Red</v>
      </c>
    </row>
    <row r="249" spans="1:27" s="765" customFormat="1">
      <c r="A249" s="744"/>
      <c r="B249" s="745" t="s">
        <v>929</v>
      </c>
      <c r="C249" s="744"/>
      <c r="D249" s="744"/>
      <c r="E249" s="744"/>
      <c r="F249" s="744"/>
      <c r="G249" s="744"/>
      <c r="H249" s="744"/>
      <c r="I249" s="7"/>
      <c r="J249" s="7"/>
      <c r="K249" s="7"/>
      <c r="L249" s="7"/>
      <c r="M249" s="7"/>
      <c r="N249" s="7"/>
      <c r="O249" s="7"/>
      <c r="P249" s="7"/>
      <c r="Q249" s="7"/>
      <c r="R249" s="7"/>
      <c r="S249" s="7"/>
      <c r="T249" s="7"/>
      <c r="U249" s="7"/>
      <c r="V249" s="7"/>
      <c r="W249" s="7"/>
      <c r="X249" s="7"/>
      <c r="Y249" s="7"/>
      <c r="Z249" s="7"/>
      <c r="AA249" s="7"/>
    </row>
    <row r="250" spans="1:27">
      <c r="B250" s="398" t="s">
        <v>1089</v>
      </c>
      <c r="C250" s="398" t="s">
        <v>902</v>
      </c>
      <c r="D250" s="398" t="s">
        <v>331</v>
      </c>
      <c r="E250" s="398" t="s">
        <v>711</v>
      </c>
      <c r="F250" s="1146" t="s">
        <v>930</v>
      </c>
      <c r="G250" s="1147"/>
      <c r="H250" s="1148"/>
      <c r="I250" s="398" t="s">
        <v>913</v>
      </c>
      <c r="J250" s="398" t="s">
        <v>169</v>
      </c>
      <c r="L250" s="1"/>
    </row>
    <row r="251" spans="1:27">
      <c r="B251" s="278" t="s">
        <v>1378</v>
      </c>
      <c r="C251" s="278" t="s">
        <v>522</v>
      </c>
      <c r="D251" s="297">
        <f>H269</f>
        <v>0</v>
      </c>
      <c r="E251" s="278" t="s">
        <v>1498</v>
      </c>
      <c r="F251" s="1219" t="s">
        <v>1523</v>
      </c>
      <c r="G251" s="1220"/>
      <c r="H251" s="1221"/>
      <c r="I251" s="1131">
        <v>69</v>
      </c>
      <c r="J251" s="1131" t="s">
        <v>1472</v>
      </c>
      <c r="L251" s="1"/>
    </row>
    <row r="252" spans="1:27" ht="57.95">
      <c r="B252" s="278" t="s">
        <v>1378</v>
      </c>
      <c r="C252" s="278" t="s">
        <v>523</v>
      </c>
      <c r="D252" s="475" t="s">
        <v>1524</v>
      </c>
      <c r="E252" s="278" t="s">
        <v>1498</v>
      </c>
      <c r="F252" s="1118" t="s">
        <v>1525</v>
      </c>
      <c r="G252" s="1119"/>
      <c r="H252" s="1091"/>
      <c r="I252" s="1133"/>
      <c r="J252" s="1133"/>
      <c r="L252" s="1"/>
      <c r="M252" s="24"/>
      <c r="N252" s="24"/>
    </row>
    <row r="253" spans="1:27" ht="15" thickBot="1">
      <c r="B253" s="9"/>
      <c r="C253" s="9"/>
      <c r="E253" s="6"/>
      <c r="F253" s="32"/>
      <c r="G253" s="125"/>
      <c r="H253" s="139"/>
      <c r="I253" s="24"/>
      <c r="J253" s="24"/>
      <c r="K253" s="24"/>
      <c r="L253" s="24"/>
      <c r="M253" s="24"/>
      <c r="N253" s="24"/>
    </row>
    <row r="254" spans="1:27" ht="18.600000000000001">
      <c r="B254" s="1272" t="s">
        <v>1526</v>
      </c>
      <c r="C254" s="1273"/>
      <c r="D254" s="1273"/>
      <c r="E254" s="1273"/>
      <c r="F254" s="1273"/>
      <c r="G254" s="1273"/>
      <c r="H254" s="1273"/>
      <c r="I254" s="1273"/>
      <c r="J254" s="1273"/>
      <c r="K254" s="1273"/>
      <c r="L254" s="1273"/>
      <c r="M254" s="1273"/>
      <c r="N254" s="1273"/>
      <c r="O254" s="1273"/>
      <c r="P254" s="1273"/>
      <c r="Q254" s="1273"/>
      <c r="R254" s="1273"/>
      <c r="S254" s="1273"/>
      <c r="T254" s="1273"/>
      <c r="U254" s="1274"/>
    </row>
    <row r="255" spans="1:27" ht="18.95" thickBot="1">
      <c r="B255" s="1275" t="s">
        <v>1527</v>
      </c>
      <c r="C255" s="1276"/>
      <c r="D255" s="1276"/>
      <c r="E255" s="1276"/>
      <c r="F255" s="1276"/>
      <c r="G255" s="1276"/>
      <c r="H255" s="1276"/>
      <c r="I255" s="1276"/>
      <c r="J255" s="1276"/>
      <c r="K255" s="1276"/>
      <c r="L255" s="1276"/>
      <c r="M255" s="1276"/>
      <c r="N255" s="1276"/>
      <c r="O255" s="1276"/>
      <c r="P255" s="1276"/>
      <c r="Q255" s="1276"/>
      <c r="R255" s="1276"/>
      <c r="S255" s="1276"/>
      <c r="T255" s="1276"/>
      <c r="U255" s="1277"/>
    </row>
    <row r="256" spans="1:27" ht="15" thickBot="1">
      <c r="B256" s="9"/>
      <c r="C256" s="9"/>
      <c r="E256" s="6"/>
      <c r="F256" s="32"/>
      <c r="G256" s="125"/>
      <c r="H256" s="139"/>
      <c r="I256" s="24"/>
      <c r="J256" s="24"/>
      <c r="K256" s="24"/>
      <c r="L256" s="24"/>
      <c r="M256" s="24"/>
      <c r="N256" s="24"/>
    </row>
    <row r="257" spans="2:21" ht="18.600000000000001">
      <c r="B257" s="1288" t="s">
        <v>1528</v>
      </c>
      <c r="C257" s="1289"/>
      <c r="D257" s="1289"/>
      <c r="E257" s="1289"/>
      <c r="F257" s="1289"/>
      <c r="G257" s="1289"/>
      <c r="H257" s="1289"/>
      <c r="I257" s="1289"/>
      <c r="J257" s="1289"/>
      <c r="K257" s="1289"/>
      <c r="L257" s="1289"/>
      <c r="M257" s="1289"/>
      <c r="N257" s="1289"/>
      <c r="O257" s="1289"/>
      <c r="P257" s="1289"/>
      <c r="Q257" s="1289"/>
      <c r="R257" s="1289"/>
      <c r="S257" s="1289"/>
      <c r="T257" s="1289"/>
      <c r="U257" s="1290"/>
    </row>
    <row r="258" spans="2:21" ht="15" thickBot="1">
      <c r="B258" s="159" t="s">
        <v>1529</v>
      </c>
      <c r="C258" s="160" t="s">
        <v>1530</v>
      </c>
      <c r="D258" s="161" t="s">
        <v>1531</v>
      </c>
      <c r="E258" s="162">
        <v>-1</v>
      </c>
      <c r="F258" s="162">
        <v>-0.75</v>
      </c>
      <c r="G258" s="162">
        <v>-0.5</v>
      </c>
      <c r="H258" s="162">
        <v>-0.25</v>
      </c>
      <c r="I258" s="162">
        <v>0</v>
      </c>
      <c r="J258" s="162">
        <v>0.25</v>
      </c>
      <c r="K258" s="162">
        <v>0.5</v>
      </c>
      <c r="L258" s="162">
        <v>0.75</v>
      </c>
      <c r="M258" s="162">
        <v>1</v>
      </c>
      <c r="N258" s="162">
        <v>1.25</v>
      </c>
      <c r="O258" s="162">
        <v>1.5</v>
      </c>
      <c r="P258" s="162">
        <v>1.75</v>
      </c>
      <c r="Q258" s="162">
        <v>2</v>
      </c>
      <c r="R258" s="162">
        <v>2.25</v>
      </c>
      <c r="S258" s="162">
        <v>2.5</v>
      </c>
      <c r="T258" s="162">
        <v>2.75</v>
      </c>
      <c r="U258" s="163">
        <v>3</v>
      </c>
    </row>
    <row r="259" spans="2:21">
      <c r="B259" s="164">
        <v>2</v>
      </c>
      <c r="C259" s="165" t="s">
        <v>1532</v>
      </c>
      <c r="D259" s="166">
        <v>1</v>
      </c>
      <c r="E259" s="167">
        <v>14</v>
      </c>
      <c r="F259" s="167">
        <v>19</v>
      </c>
      <c r="G259" s="167">
        <v>20</v>
      </c>
      <c r="H259" s="167">
        <v>22</v>
      </c>
      <c r="I259" s="167">
        <v>100</v>
      </c>
      <c r="J259" s="167">
        <v>389</v>
      </c>
      <c r="K259" s="167">
        <v>596</v>
      </c>
      <c r="L259" s="167">
        <v>821</v>
      </c>
      <c r="M259" s="167">
        <v>1038</v>
      </c>
      <c r="N259" s="167">
        <v>1190</v>
      </c>
      <c r="O259" s="167">
        <v>1327</v>
      </c>
      <c r="P259" s="167">
        <v>1464</v>
      </c>
      <c r="Q259" s="167">
        <v>1681</v>
      </c>
      <c r="R259" s="167">
        <v>1818</v>
      </c>
      <c r="S259" s="167">
        <v>1925</v>
      </c>
      <c r="T259" s="167">
        <v>1970</v>
      </c>
      <c r="U259" s="168">
        <v>2035</v>
      </c>
    </row>
    <row r="260" spans="2:21">
      <c r="B260" s="169">
        <v>3</v>
      </c>
      <c r="C260" s="170" t="s">
        <v>1533</v>
      </c>
      <c r="D260" s="171">
        <v>1</v>
      </c>
      <c r="E260" s="172">
        <v>9</v>
      </c>
      <c r="F260" s="172">
        <v>11</v>
      </c>
      <c r="G260" s="172">
        <v>12</v>
      </c>
      <c r="H260" s="172">
        <v>13</v>
      </c>
      <c r="I260" s="172">
        <v>94</v>
      </c>
      <c r="J260" s="172">
        <v>397</v>
      </c>
      <c r="K260" s="172">
        <v>575</v>
      </c>
      <c r="L260" s="172">
        <v>708</v>
      </c>
      <c r="M260" s="172">
        <v>861</v>
      </c>
      <c r="N260" s="172">
        <v>958</v>
      </c>
      <c r="O260" s="172">
        <v>1069</v>
      </c>
      <c r="P260" s="172">
        <v>1205</v>
      </c>
      <c r="Q260" s="172">
        <v>1410</v>
      </c>
      <c r="R260" s="172">
        <v>1543</v>
      </c>
      <c r="S260" s="172">
        <v>1663</v>
      </c>
      <c r="T260" s="172">
        <v>1714</v>
      </c>
      <c r="U260" s="173">
        <v>1781</v>
      </c>
    </row>
    <row r="261" spans="2:21">
      <c r="B261" s="169">
        <v>4</v>
      </c>
      <c r="C261" s="170" t="s">
        <v>1534</v>
      </c>
      <c r="D261" s="171">
        <v>2</v>
      </c>
      <c r="E261" s="172">
        <v>0</v>
      </c>
      <c r="F261" s="172">
        <v>0</v>
      </c>
      <c r="G261" s="172">
        <v>0</v>
      </c>
      <c r="H261" s="172">
        <v>0</v>
      </c>
      <c r="I261" s="172">
        <v>24</v>
      </c>
      <c r="J261" s="172">
        <v>482</v>
      </c>
      <c r="K261" s="172">
        <v>908</v>
      </c>
      <c r="L261" s="172">
        <v>1228</v>
      </c>
      <c r="M261" s="172">
        <v>1477</v>
      </c>
      <c r="N261" s="172">
        <v>1670</v>
      </c>
      <c r="O261" s="172">
        <v>1816</v>
      </c>
      <c r="P261" s="172">
        <v>1980</v>
      </c>
      <c r="Q261" s="172">
        <v>2128</v>
      </c>
      <c r="R261" s="172">
        <v>2153</v>
      </c>
      <c r="S261" s="172">
        <v>2176</v>
      </c>
      <c r="T261" s="172">
        <v>2189</v>
      </c>
      <c r="U261" s="173">
        <v>2209</v>
      </c>
    </row>
    <row r="262" spans="2:21">
      <c r="B262" s="169">
        <v>5</v>
      </c>
      <c r="C262" s="174" t="s">
        <v>1535</v>
      </c>
      <c r="D262" s="171"/>
      <c r="E262" s="175" t="s">
        <v>1536</v>
      </c>
      <c r="F262" s="176"/>
      <c r="G262" s="176"/>
      <c r="H262" s="176"/>
      <c r="I262" s="176"/>
      <c r="J262" s="176"/>
      <c r="K262" s="176"/>
      <c r="L262" s="176"/>
      <c r="M262" s="176"/>
      <c r="N262" s="176"/>
      <c r="O262" s="176"/>
      <c r="P262" s="176"/>
      <c r="Q262" s="176"/>
      <c r="R262" s="176"/>
      <c r="S262" s="176"/>
      <c r="T262" s="176"/>
      <c r="U262" s="177"/>
    </row>
    <row r="263" spans="2:21">
      <c r="B263" s="178">
        <v>51</v>
      </c>
      <c r="C263" s="179" t="s">
        <v>1537</v>
      </c>
      <c r="D263" s="180">
        <v>1</v>
      </c>
      <c r="E263" s="181">
        <v>34</v>
      </c>
      <c r="F263" s="181">
        <v>46</v>
      </c>
      <c r="G263" s="181">
        <v>50</v>
      </c>
      <c r="H263" s="181">
        <v>54</v>
      </c>
      <c r="I263" s="181">
        <v>407</v>
      </c>
      <c r="J263" s="181">
        <v>954</v>
      </c>
      <c r="K263" s="181">
        <v>1108</v>
      </c>
      <c r="L263" s="181">
        <v>1232</v>
      </c>
      <c r="M263" s="181">
        <v>1378</v>
      </c>
      <c r="N263" s="181">
        <v>1481</v>
      </c>
      <c r="O263" s="181">
        <v>1605</v>
      </c>
      <c r="P263" s="181">
        <v>1734</v>
      </c>
      <c r="Q263" s="181">
        <v>1920</v>
      </c>
      <c r="R263" s="181">
        <v>2068</v>
      </c>
      <c r="S263" s="181">
        <v>2179</v>
      </c>
      <c r="T263" s="181">
        <v>2227</v>
      </c>
      <c r="U263" s="182">
        <v>2289</v>
      </c>
    </row>
    <row r="264" spans="2:21">
      <c r="B264" s="178">
        <v>52</v>
      </c>
      <c r="C264" s="179" t="s">
        <v>1538</v>
      </c>
      <c r="D264" s="180"/>
      <c r="E264" s="183" t="s">
        <v>1536</v>
      </c>
      <c r="F264" s="184"/>
      <c r="G264" s="184"/>
      <c r="H264" s="184"/>
      <c r="I264" s="184"/>
      <c r="J264" s="184"/>
      <c r="K264" s="184"/>
      <c r="L264" s="184"/>
      <c r="M264" s="184"/>
      <c r="N264" s="184"/>
      <c r="O264" s="184"/>
      <c r="P264" s="184"/>
      <c r="Q264" s="184"/>
      <c r="R264" s="184"/>
      <c r="S264" s="184"/>
      <c r="T264" s="184"/>
      <c r="U264" s="185"/>
    </row>
    <row r="265" spans="2:21">
      <c r="B265" s="186">
        <v>521</v>
      </c>
      <c r="C265" s="187" t="s">
        <v>1539</v>
      </c>
      <c r="D265" s="260">
        <v>1</v>
      </c>
      <c r="E265" s="189">
        <v>0</v>
      </c>
      <c r="F265" s="189">
        <v>0</v>
      </c>
      <c r="G265" s="189">
        <v>0</v>
      </c>
      <c r="H265" s="189">
        <v>0</v>
      </c>
      <c r="I265" s="189">
        <v>5</v>
      </c>
      <c r="J265" s="189">
        <v>12</v>
      </c>
      <c r="K265" s="189">
        <v>26</v>
      </c>
      <c r="L265" s="189">
        <v>28</v>
      </c>
      <c r="M265" s="189">
        <v>29</v>
      </c>
      <c r="N265" s="189">
        <v>31</v>
      </c>
      <c r="O265" s="189">
        <v>32</v>
      </c>
      <c r="P265" s="189">
        <v>33</v>
      </c>
      <c r="Q265" s="189">
        <v>35</v>
      </c>
      <c r="R265" s="189">
        <v>36</v>
      </c>
      <c r="S265" s="189">
        <v>37</v>
      </c>
      <c r="T265" s="189">
        <v>38</v>
      </c>
      <c r="U265" s="190">
        <v>39</v>
      </c>
    </row>
    <row r="266" spans="2:21">
      <c r="B266" s="186">
        <v>523</v>
      </c>
      <c r="C266" s="187" t="s">
        <v>1540</v>
      </c>
      <c r="D266" s="260">
        <v>1</v>
      </c>
      <c r="E266" s="189">
        <v>1</v>
      </c>
      <c r="F266" s="189">
        <v>1</v>
      </c>
      <c r="G266" s="189">
        <v>1</v>
      </c>
      <c r="H266" s="189">
        <v>1</v>
      </c>
      <c r="I266" s="189">
        <v>49</v>
      </c>
      <c r="J266" s="189">
        <v>212</v>
      </c>
      <c r="K266" s="189">
        <v>300</v>
      </c>
      <c r="L266" s="189">
        <v>356</v>
      </c>
      <c r="M266" s="189">
        <v>419</v>
      </c>
      <c r="N266" s="189">
        <v>454</v>
      </c>
      <c r="O266" s="189">
        <v>525</v>
      </c>
      <c r="P266" s="189">
        <v>609</v>
      </c>
      <c r="Q266" s="189">
        <v>715</v>
      </c>
      <c r="R266" s="189">
        <v>797</v>
      </c>
      <c r="S266" s="189">
        <v>844</v>
      </c>
      <c r="T266" s="189">
        <v>858</v>
      </c>
      <c r="U266" s="190">
        <v>877</v>
      </c>
    </row>
    <row r="267" spans="2:21">
      <c r="B267" s="186">
        <v>526</v>
      </c>
      <c r="C267" s="187" t="s">
        <v>1541</v>
      </c>
      <c r="D267" s="260">
        <v>1</v>
      </c>
      <c r="E267" s="189">
        <v>0</v>
      </c>
      <c r="F267" s="189">
        <v>0</v>
      </c>
      <c r="G267" s="189">
        <v>0</v>
      </c>
      <c r="H267" s="189">
        <v>0</v>
      </c>
      <c r="I267" s="189">
        <v>22</v>
      </c>
      <c r="J267" s="189">
        <v>63</v>
      </c>
      <c r="K267" s="189">
        <v>87</v>
      </c>
      <c r="L267" s="189">
        <v>130</v>
      </c>
      <c r="M267" s="189">
        <v>161</v>
      </c>
      <c r="N267" s="189">
        <v>185</v>
      </c>
      <c r="O267" s="189">
        <v>201</v>
      </c>
      <c r="P267" s="189">
        <v>220</v>
      </c>
      <c r="Q267" s="189">
        <v>253</v>
      </c>
      <c r="R267" s="189">
        <v>283</v>
      </c>
      <c r="S267" s="189">
        <v>311</v>
      </c>
      <c r="T267" s="189">
        <v>329</v>
      </c>
      <c r="U267" s="190">
        <v>354</v>
      </c>
    </row>
    <row r="268" spans="2:21">
      <c r="B268" s="191">
        <v>525</v>
      </c>
      <c r="C268" s="187" t="s">
        <v>1542</v>
      </c>
      <c r="D268" s="260">
        <v>1</v>
      </c>
      <c r="E268" s="189">
        <v>5</v>
      </c>
      <c r="F268" s="189">
        <v>6</v>
      </c>
      <c r="G268" s="189">
        <v>6</v>
      </c>
      <c r="H268" s="189">
        <v>7</v>
      </c>
      <c r="I268" s="189">
        <v>18</v>
      </c>
      <c r="J268" s="189">
        <v>56</v>
      </c>
      <c r="K268" s="189">
        <v>83</v>
      </c>
      <c r="L268" s="189">
        <v>104</v>
      </c>
      <c r="M268" s="189">
        <v>129</v>
      </c>
      <c r="N268" s="189">
        <v>144</v>
      </c>
      <c r="O268" s="189">
        <v>163</v>
      </c>
      <c r="P268" s="189">
        <v>179</v>
      </c>
      <c r="Q268" s="189">
        <v>211</v>
      </c>
      <c r="R268" s="189">
        <v>227</v>
      </c>
      <c r="S268" s="189">
        <v>239</v>
      </c>
      <c r="T268" s="189">
        <v>245</v>
      </c>
      <c r="U268" s="190">
        <v>251</v>
      </c>
    </row>
    <row r="269" spans="2:21">
      <c r="B269" s="192">
        <v>6</v>
      </c>
      <c r="C269" s="174" t="s">
        <v>1543</v>
      </c>
      <c r="D269" s="171">
        <v>1</v>
      </c>
      <c r="E269" s="172">
        <v>0</v>
      </c>
      <c r="F269" s="172">
        <v>0</v>
      </c>
      <c r="G269" s="172">
        <v>0</v>
      </c>
      <c r="H269" s="172">
        <v>0</v>
      </c>
      <c r="I269" s="172">
        <v>51</v>
      </c>
      <c r="J269" s="172">
        <v>250</v>
      </c>
      <c r="K269" s="172">
        <v>345</v>
      </c>
      <c r="L269" s="172">
        <v>425</v>
      </c>
      <c r="M269" s="172">
        <v>518</v>
      </c>
      <c r="N269" s="172">
        <v>581</v>
      </c>
      <c r="O269" s="172">
        <v>658</v>
      </c>
      <c r="P269" s="172">
        <v>745</v>
      </c>
      <c r="Q269" s="172">
        <v>869</v>
      </c>
      <c r="R269" s="172">
        <v>964</v>
      </c>
      <c r="S269" s="172">
        <v>1026</v>
      </c>
      <c r="T269" s="172">
        <v>1048</v>
      </c>
      <c r="U269" s="173">
        <v>1080</v>
      </c>
    </row>
    <row r="270" spans="2:21">
      <c r="B270" s="169">
        <v>8</v>
      </c>
      <c r="C270" s="174" t="s">
        <v>1544</v>
      </c>
      <c r="D270" s="171">
        <v>3</v>
      </c>
      <c r="E270" s="172">
        <v>0</v>
      </c>
      <c r="F270" s="172">
        <v>0</v>
      </c>
      <c r="G270" s="172">
        <v>0</v>
      </c>
      <c r="H270" s="172">
        <v>0</v>
      </c>
      <c r="I270" s="172">
        <v>15</v>
      </c>
      <c r="J270" s="172">
        <v>85</v>
      </c>
      <c r="K270" s="172">
        <v>129</v>
      </c>
      <c r="L270" s="172">
        <v>168</v>
      </c>
      <c r="M270" s="172">
        <v>214</v>
      </c>
      <c r="N270" s="172">
        <v>247</v>
      </c>
      <c r="O270" s="172">
        <v>280</v>
      </c>
      <c r="P270" s="172">
        <v>319</v>
      </c>
      <c r="Q270" s="172">
        <v>378</v>
      </c>
      <c r="R270" s="172">
        <v>414</v>
      </c>
      <c r="S270" s="172">
        <v>454</v>
      </c>
      <c r="T270" s="172">
        <v>480</v>
      </c>
      <c r="U270" s="173">
        <v>512</v>
      </c>
    </row>
    <row r="271" spans="2:21">
      <c r="B271" s="169">
        <v>9</v>
      </c>
      <c r="C271" s="193" t="s">
        <v>1545</v>
      </c>
      <c r="D271" s="171"/>
      <c r="E271" s="175" t="s">
        <v>1536</v>
      </c>
      <c r="F271" s="176"/>
      <c r="G271" s="176"/>
      <c r="H271" s="176"/>
      <c r="I271" s="176"/>
      <c r="J271" s="176"/>
      <c r="K271" s="176"/>
      <c r="L271" s="176"/>
      <c r="M271" s="176"/>
      <c r="N271" s="176"/>
      <c r="O271" s="176"/>
      <c r="P271" s="176"/>
      <c r="Q271" s="176"/>
      <c r="R271" s="176"/>
      <c r="S271" s="176"/>
      <c r="T271" s="176"/>
      <c r="U271" s="177"/>
    </row>
    <row r="272" spans="2:21">
      <c r="B272" s="186">
        <v>910</v>
      </c>
      <c r="C272" s="187" t="s">
        <v>1546</v>
      </c>
      <c r="D272" s="260">
        <v>1</v>
      </c>
      <c r="E272" s="189">
        <v>0</v>
      </c>
      <c r="F272" s="189">
        <v>0</v>
      </c>
      <c r="G272" s="189">
        <v>0</v>
      </c>
      <c r="H272" s="189">
        <v>0</v>
      </c>
      <c r="I272" s="189">
        <v>8</v>
      </c>
      <c r="J272" s="189">
        <v>23</v>
      </c>
      <c r="K272" s="189">
        <v>27</v>
      </c>
      <c r="L272" s="189">
        <v>32</v>
      </c>
      <c r="M272" s="189">
        <v>37</v>
      </c>
      <c r="N272" s="189">
        <v>44</v>
      </c>
      <c r="O272" s="189">
        <v>53</v>
      </c>
      <c r="P272" s="189">
        <v>65</v>
      </c>
      <c r="Q272" s="189">
        <v>88</v>
      </c>
      <c r="R272" s="189">
        <v>136</v>
      </c>
      <c r="S272" s="189">
        <v>158</v>
      </c>
      <c r="T272" s="189">
        <v>168</v>
      </c>
      <c r="U272" s="190">
        <v>187</v>
      </c>
    </row>
    <row r="273" spans="1:27">
      <c r="B273" s="194">
        <v>960</v>
      </c>
      <c r="C273" s="195" t="s">
        <v>1547</v>
      </c>
      <c r="D273" s="261">
        <v>1</v>
      </c>
      <c r="E273" s="197">
        <v>0</v>
      </c>
      <c r="F273" s="197">
        <v>0</v>
      </c>
      <c r="G273" s="197">
        <v>0</v>
      </c>
      <c r="H273" s="197">
        <v>0</v>
      </c>
      <c r="I273" s="197">
        <v>40</v>
      </c>
      <c r="J273" s="197">
        <v>1366</v>
      </c>
      <c r="K273" s="197">
        <v>1822</v>
      </c>
      <c r="L273" s="197">
        <v>2262</v>
      </c>
      <c r="M273" s="197">
        <v>3512</v>
      </c>
      <c r="N273" s="197">
        <v>4349</v>
      </c>
      <c r="O273" s="197">
        <v>5593</v>
      </c>
      <c r="P273" s="197">
        <v>6041</v>
      </c>
      <c r="Q273" s="197">
        <v>8493</v>
      </c>
      <c r="R273" s="197">
        <v>8523</v>
      </c>
      <c r="S273" s="197">
        <v>8549</v>
      </c>
      <c r="T273" s="197">
        <v>8568</v>
      </c>
      <c r="U273" s="198">
        <v>8578</v>
      </c>
    </row>
    <row r="274" spans="1:27" ht="15" thickBot="1">
      <c r="B274" s="1270" t="s">
        <v>1548</v>
      </c>
      <c r="C274" s="1271"/>
      <c r="D274" s="1271"/>
      <c r="E274" s="199">
        <v>7</v>
      </c>
      <c r="F274" s="199">
        <v>9</v>
      </c>
      <c r="G274" s="199">
        <v>9</v>
      </c>
      <c r="H274" s="199">
        <v>10</v>
      </c>
      <c r="I274" s="199">
        <v>69</v>
      </c>
      <c r="J274" s="199">
        <v>429</v>
      </c>
      <c r="K274" s="199">
        <v>608</v>
      </c>
      <c r="L274" s="199">
        <v>781</v>
      </c>
      <c r="M274" s="199">
        <v>1058</v>
      </c>
      <c r="N274" s="199">
        <v>1246</v>
      </c>
      <c r="O274" s="199">
        <v>1485</v>
      </c>
      <c r="P274" s="199">
        <v>1628</v>
      </c>
      <c r="Q274" s="199">
        <v>2071</v>
      </c>
      <c r="R274" s="199">
        <v>2161</v>
      </c>
      <c r="S274" s="199">
        <v>2234</v>
      </c>
      <c r="T274" s="199">
        <v>2267</v>
      </c>
      <c r="U274" s="200">
        <v>2311</v>
      </c>
    </row>
    <row r="275" spans="1:27">
      <c r="I275" s="127"/>
    </row>
    <row r="276" spans="1:27" ht="43.5">
      <c r="B276" s="293" t="s">
        <v>1549</v>
      </c>
      <c r="C276" s="293" t="s">
        <v>1550</v>
      </c>
      <c r="D276" s="476" t="s">
        <v>1551</v>
      </c>
      <c r="E276" s="293" t="s">
        <v>913</v>
      </c>
      <c r="F276" s="293" t="s">
        <v>169</v>
      </c>
      <c r="G276" s="476" t="s">
        <v>1552</v>
      </c>
      <c r="H276" s="293" t="s">
        <v>913</v>
      </c>
      <c r="I276" s="293" t="s">
        <v>169</v>
      </c>
    </row>
    <row r="277" spans="1:27">
      <c r="B277" s="276" t="s">
        <v>1532</v>
      </c>
      <c r="C277" s="345" t="s">
        <v>1553</v>
      </c>
      <c r="D277" s="477">
        <v>516240</v>
      </c>
      <c r="E277" s="1131">
        <v>70</v>
      </c>
      <c r="F277" s="1167" t="s">
        <v>1554</v>
      </c>
      <c r="G277" s="477">
        <v>103926000</v>
      </c>
      <c r="H277" s="1131">
        <v>71</v>
      </c>
      <c r="I277" s="1167" t="s">
        <v>1554</v>
      </c>
    </row>
    <row r="278" spans="1:27">
      <c r="B278" s="276" t="s">
        <v>1544</v>
      </c>
      <c r="C278" s="276" t="s">
        <v>1555</v>
      </c>
      <c r="D278" s="345">
        <v>557780</v>
      </c>
      <c r="E278" s="1132"/>
      <c r="F278" s="1168"/>
      <c r="G278" s="345">
        <v>337762000</v>
      </c>
      <c r="H278" s="1132"/>
      <c r="I278" s="1168"/>
    </row>
    <row r="279" spans="1:27">
      <c r="B279" s="276" t="s">
        <v>1556</v>
      </c>
      <c r="C279" s="276" t="s">
        <v>1557</v>
      </c>
      <c r="D279" s="345">
        <v>635550</v>
      </c>
      <c r="E279" s="1133"/>
      <c r="F279" s="1169"/>
      <c r="G279" s="345">
        <v>56786000</v>
      </c>
      <c r="H279" s="1133"/>
      <c r="I279" s="1169"/>
    </row>
    <row r="280" spans="1:27">
      <c r="I280" s="127"/>
    </row>
    <row r="281" spans="1:27" s="765" customFormat="1">
      <c r="A281" s="744"/>
      <c r="B281" s="745" t="s">
        <v>936</v>
      </c>
      <c r="C281" s="744"/>
      <c r="D281" s="744"/>
      <c r="E281" s="744"/>
      <c r="F281" s="744"/>
      <c r="G281" s="744"/>
      <c r="H281" s="744"/>
      <c r="I281" s="7"/>
      <c r="J281" s="7"/>
      <c r="K281" s="7"/>
      <c r="L281" s="7"/>
      <c r="M281" s="7"/>
      <c r="N281" s="7"/>
      <c r="O281" s="7"/>
      <c r="P281" s="7"/>
      <c r="Q281" s="7"/>
      <c r="R281" s="7"/>
      <c r="S281" s="7"/>
      <c r="T281" s="7"/>
      <c r="U281" s="7"/>
      <c r="V281" s="7"/>
      <c r="W281" s="7"/>
      <c r="X281" s="7"/>
      <c r="Y281" s="7"/>
      <c r="Z281" s="7"/>
      <c r="AA281" s="7"/>
    </row>
    <row r="282" spans="1:27" ht="29.1">
      <c r="B282" s="768" t="s">
        <v>1558</v>
      </c>
      <c r="C282" s="768" t="s">
        <v>1559</v>
      </c>
      <c r="D282" s="768" t="s">
        <v>1560</v>
      </c>
      <c r="E282" s="768" t="s">
        <v>1561</v>
      </c>
      <c r="F282" s="768" t="s">
        <v>1562</v>
      </c>
      <c r="G282" s="768" t="s">
        <v>1563</v>
      </c>
      <c r="H282" s="768" t="s">
        <v>1564</v>
      </c>
    </row>
    <row r="283" spans="1:27">
      <c r="B283" s="276" t="s">
        <v>1532</v>
      </c>
      <c r="C283" s="343">
        <f>H259</f>
        <v>22</v>
      </c>
      <c r="D283" s="353">
        <f>G277/D277</f>
        <v>201.31334263133425</v>
      </c>
      <c r="E283" s="343">
        <f>C283*D283</f>
        <v>4428.8935378893539</v>
      </c>
      <c r="F283" s="276">
        <f>D277/SUM($D$277:$D$278)</f>
        <v>0.48066144019664436</v>
      </c>
      <c r="G283" s="348">
        <f>E283*F283</f>
        <v>2128.7983463995083</v>
      </c>
      <c r="H283" s="1287">
        <f>SUM(G283:G284)</f>
        <v>2128.7983463995083</v>
      </c>
    </row>
    <row r="284" spans="1:27">
      <c r="B284" s="276" t="s">
        <v>1544</v>
      </c>
      <c r="C284" s="343">
        <f>H270</f>
        <v>0</v>
      </c>
      <c r="D284" s="353">
        <f>G278/D278</f>
        <v>605.54698985263008</v>
      </c>
      <c r="E284" s="343">
        <f>C284*D284</f>
        <v>0</v>
      </c>
      <c r="F284" s="276">
        <f>D278/SUM($D$277:$D$278)</f>
        <v>0.51933855980335564</v>
      </c>
      <c r="G284" s="348">
        <f>E284*F284</f>
        <v>0</v>
      </c>
      <c r="H284" s="1287"/>
    </row>
    <row r="285" spans="1:27">
      <c r="B285" s="276" t="s">
        <v>459</v>
      </c>
      <c r="C285" s="343">
        <f>D251</f>
        <v>0</v>
      </c>
      <c r="D285" s="353">
        <f>G279/D279</f>
        <v>89.349382424671546</v>
      </c>
      <c r="E285" s="343">
        <f>D285*C285</f>
        <v>0</v>
      </c>
      <c r="F285" s="340" t="s">
        <v>907</v>
      </c>
      <c r="G285" s="478" t="s">
        <v>907</v>
      </c>
      <c r="H285" s="479" t="s">
        <v>907</v>
      </c>
    </row>
    <row r="286" spans="1:27">
      <c r="B286" s="29"/>
    </row>
    <row r="287" spans="1:27">
      <c r="A287" s="741"/>
      <c r="B287" s="743" t="s">
        <v>1565</v>
      </c>
      <c r="C287" s="741"/>
      <c r="D287" s="741"/>
      <c r="E287" s="741"/>
      <c r="F287" s="741"/>
      <c r="G287" s="741"/>
      <c r="H287" s="741"/>
    </row>
    <row r="288" spans="1:27">
      <c r="A288" s="744"/>
      <c r="B288" s="745" t="s">
        <v>912</v>
      </c>
      <c r="C288" s="744"/>
      <c r="D288" s="744"/>
      <c r="E288" s="744"/>
      <c r="F288" s="744"/>
      <c r="G288" s="744"/>
      <c r="H288" s="744"/>
    </row>
    <row r="289" spans="1:13" ht="29.1">
      <c r="B289" s="719" t="s">
        <v>913</v>
      </c>
      <c r="C289" s="719" t="s">
        <v>914</v>
      </c>
      <c r="D289" s="719" t="s">
        <v>915</v>
      </c>
      <c r="E289" s="719" t="s">
        <v>916</v>
      </c>
      <c r="F289" s="719" t="s">
        <v>917</v>
      </c>
      <c r="G289" s="719" t="s">
        <v>918</v>
      </c>
      <c r="H289" s="719" t="s">
        <v>919</v>
      </c>
    </row>
    <row r="290" spans="1:13">
      <c r="B290" s="278">
        <v>16</v>
      </c>
      <c r="C290" s="278" t="s">
        <v>1130</v>
      </c>
      <c r="D290" s="278"/>
      <c r="E290" s="278">
        <v>2023</v>
      </c>
      <c r="F290" s="278" t="s">
        <v>1048</v>
      </c>
      <c r="G290" s="278" t="s">
        <v>1048</v>
      </c>
      <c r="H290" s="278"/>
    </row>
    <row r="291" spans="1:13">
      <c r="B291" s="276">
        <v>61</v>
      </c>
      <c r="C291" s="276" t="s">
        <v>1473</v>
      </c>
      <c r="D291" s="276"/>
      <c r="E291" s="276">
        <v>2018</v>
      </c>
      <c r="F291" s="276" t="s">
        <v>1047</v>
      </c>
      <c r="G291" s="276" t="s">
        <v>1474</v>
      </c>
      <c r="H291" s="276"/>
    </row>
    <row r="292" spans="1:13">
      <c r="B292" s="29"/>
    </row>
    <row r="293" spans="1:13">
      <c r="A293" s="744"/>
      <c r="B293" s="745" t="s">
        <v>924</v>
      </c>
      <c r="C293" s="744"/>
      <c r="D293" s="744"/>
      <c r="E293" s="744"/>
      <c r="F293" s="744"/>
      <c r="G293" s="744"/>
      <c r="H293" s="744"/>
    </row>
    <row r="294" spans="1:13">
      <c r="B294" s="398" t="s">
        <v>165</v>
      </c>
      <c r="C294" s="398" t="s">
        <v>925</v>
      </c>
      <c r="D294" s="398" t="s">
        <v>926</v>
      </c>
      <c r="E294" s="1139" t="s">
        <v>953</v>
      </c>
      <c r="F294" s="1139"/>
      <c r="G294" s="1139"/>
      <c r="H294" s="1139"/>
    </row>
    <row r="295" spans="1:13">
      <c r="B295" s="276" t="s">
        <v>169</v>
      </c>
      <c r="C295" s="276" t="s">
        <v>166</v>
      </c>
      <c r="D295" s="278">
        <f>VLOOKUP(C295,METHODOLOGY!$C$175:$D$177,2,FALSE)</f>
        <v>3</v>
      </c>
      <c r="E295" s="1087" t="str">
        <f>_xlfn.XLOOKUP(C295,METHODOLOGY!$E$150:$O$150,METHODOLOGY!$E$151:$O$151,"",0,1)</f>
        <v>Monetary values have been peer reviewed or are recommended / referenced in other, well recognised and accepted guidance / tools relevant to the water sector.</v>
      </c>
      <c r="F295" s="1087"/>
      <c r="G295" s="1087"/>
      <c r="H295" s="1087"/>
    </row>
    <row r="296" spans="1:13">
      <c r="B296" s="276" t="s">
        <v>173</v>
      </c>
      <c r="C296" s="276" t="s">
        <v>166</v>
      </c>
      <c r="D296" s="278">
        <f>VLOOKUP(C296,METHODOLOGY!$C$175:$D$177,2,FALSE)</f>
        <v>3</v>
      </c>
      <c r="E296" s="1087" t="str">
        <f>_xlfn.XLOOKUP(C296,METHODOLOGY!$E$150:$O$150,METHODOLOGY!$E$155:$O$155,"",0,1)</f>
        <v>Study has few limitations and is considered robust.</v>
      </c>
      <c r="F296" s="1087"/>
      <c r="G296" s="1087"/>
      <c r="H296" s="1087"/>
    </row>
    <row r="297" spans="1:13">
      <c r="B297" s="276" t="s">
        <v>177</v>
      </c>
      <c r="C297" s="276" t="s">
        <v>166</v>
      </c>
      <c r="D297" s="278">
        <f>VLOOKUP(C297,METHODOLOGY!$C$175:$D$177,2,FALSE)</f>
        <v>3</v>
      </c>
      <c r="E297" s="1087" t="str">
        <f>_xlfn.XLOOKUP(C297,METHODOLOGY!$E$150:$O$150,METHODOLOGY!$E$158:$O$158,"",0,1)</f>
        <v>0 – 5 years</v>
      </c>
      <c r="F297" s="1087"/>
      <c r="G297" s="1087"/>
      <c r="H297" s="1087"/>
    </row>
    <row r="298" spans="1:13">
      <c r="B298" s="276" t="s">
        <v>181</v>
      </c>
      <c r="C298" s="276" t="s">
        <v>166</v>
      </c>
      <c r="D298" s="278">
        <f>VLOOKUP(C298,METHODOLOGY!$C$175:$D$177,2,FALSE)</f>
        <v>3</v>
      </c>
      <c r="E298" s="1087" t="str">
        <f>_xlfn.XLOOKUP(C298,METHODOLOGY!$E$150:$O$150,METHODOLOGY!$E$160:$O$160,"",0,1)</f>
        <v>Geographically relevant to UK</v>
      </c>
      <c r="F298" s="1087"/>
      <c r="G298" s="1087"/>
      <c r="H298" s="1087"/>
    </row>
    <row r="299" spans="1:13">
      <c r="B299" s="276" t="s">
        <v>928</v>
      </c>
      <c r="C299" s="276" t="s">
        <v>166</v>
      </c>
      <c r="D299" s="278">
        <f>VLOOKUP(C299,METHODOLOGY!$C$175:$D$177,2,FALSE)</f>
        <v>3</v>
      </c>
      <c r="E299" s="1087" t="str">
        <f>_xlfn.XLOOKUP(C299,METHODOLOGY!$E$150:$O$150,METHODOLOGY!$E$162:$O$162,"",0,1)</f>
        <v>Clear understanding of the valuation method and how the value should be applied.</v>
      </c>
      <c r="F299" s="1087"/>
      <c r="G299" s="1087"/>
      <c r="H299" s="1087"/>
    </row>
    <row r="300" spans="1:13">
      <c r="B300" s="276" t="s">
        <v>189</v>
      </c>
      <c r="C300" s="276" t="s">
        <v>167</v>
      </c>
      <c r="D300" s="278">
        <f>VLOOKUP(C300,METHODOLOGY!$C$175:$D$177,2,FALSE)</f>
        <v>2</v>
      </c>
      <c r="E300" s="1087" t="str">
        <f>_xlfn.XLOOKUP(C300,METHODOLOGY!$E$150:$O$150,METHODOLOGY!$E$164:$O$164,"",0,1)</f>
        <v xml:space="preserve">The original valuation can be used with some modification e.g. applying household numbers. The calculation is simple or introduces low levels of uncertainty. </v>
      </c>
      <c r="F300" s="1087"/>
      <c r="G300" s="1087"/>
      <c r="H300" s="1087"/>
    </row>
    <row r="301" spans="1:13">
      <c r="C301" s="282" t="s">
        <v>924</v>
      </c>
      <c r="D301" s="326">
        <f>IF(AND(D300=1,AVERAGE(D295:D300)&gt;2.14285714285714),2.14285714285714,IF(AND(D300=2,AVERAGE(D295:D300)&gt;2.57142857142857),2.57142857142857,AVERAGE(D295:D300)))</f>
        <v>2.5714285714285698</v>
      </c>
      <c r="E301" s="270" t="str">
        <f>IF(D301&lt;=2.14285714285714,"Red",IF(D301&lt;=2.57142857142857,"Amber",IF(D301&lt;=3,"Green")))</f>
        <v>Amber</v>
      </c>
    </row>
    <row r="303" spans="1:13">
      <c r="A303" s="744"/>
      <c r="B303" s="745" t="s">
        <v>929</v>
      </c>
      <c r="C303" s="744"/>
      <c r="D303" s="744"/>
      <c r="E303" s="744"/>
      <c r="F303" s="744"/>
      <c r="G303" s="744"/>
      <c r="H303" s="744"/>
    </row>
    <row r="304" spans="1:13">
      <c r="B304" s="398" t="s">
        <v>1089</v>
      </c>
      <c r="C304" s="398" t="s">
        <v>902</v>
      </c>
      <c r="D304" s="398" t="s">
        <v>331</v>
      </c>
      <c r="E304" s="398" t="s">
        <v>226</v>
      </c>
      <c r="F304" s="1146" t="s">
        <v>930</v>
      </c>
      <c r="G304" s="1147"/>
      <c r="H304" s="1147"/>
      <c r="I304" s="1147"/>
      <c r="J304" s="1147"/>
      <c r="K304" s="1148"/>
      <c r="L304" s="398" t="s">
        <v>913</v>
      </c>
      <c r="M304" s="398" t="s">
        <v>169</v>
      </c>
    </row>
    <row r="305" spans="2:13" ht="29.1">
      <c r="B305" s="338" t="s">
        <v>462</v>
      </c>
      <c r="C305" s="342" t="s">
        <v>525</v>
      </c>
      <c r="D305" s="344">
        <v>38608</v>
      </c>
      <c r="E305" s="791" t="s">
        <v>1402</v>
      </c>
      <c r="F305" s="1142" t="s">
        <v>1475</v>
      </c>
      <c r="G305" s="1150"/>
      <c r="H305" s="1150"/>
      <c r="I305" s="1150"/>
      <c r="J305" s="1150"/>
      <c r="K305" s="1151"/>
      <c r="L305" s="338">
        <v>16</v>
      </c>
      <c r="M305" s="468" t="s">
        <v>1476</v>
      </c>
    </row>
    <row r="306" spans="2:13" ht="29.1">
      <c r="B306" s="338" t="s">
        <v>462</v>
      </c>
      <c r="C306" s="342" t="s">
        <v>526</v>
      </c>
      <c r="D306" s="344">
        <v>38608</v>
      </c>
      <c r="E306" s="791" t="s">
        <v>1402</v>
      </c>
      <c r="F306" s="1142" t="s">
        <v>1475</v>
      </c>
      <c r="G306" s="1150"/>
      <c r="H306" s="1150"/>
      <c r="I306" s="1150"/>
      <c r="J306" s="1150"/>
      <c r="K306" s="1151"/>
      <c r="L306" s="338">
        <v>16</v>
      </c>
      <c r="M306" s="468" t="s">
        <v>1476</v>
      </c>
    </row>
    <row r="307" spans="2:13" ht="114" customHeight="1">
      <c r="B307" s="338" t="s">
        <v>462</v>
      </c>
      <c r="C307" s="342" t="s">
        <v>1600</v>
      </c>
      <c r="D307" s="344" t="s">
        <v>1477</v>
      </c>
      <c r="E307" s="791" t="s">
        <v>1478</v>
      </c>
      <c r="F307" s="1142" t="s">
        <v>1592</v>
      </c>
      <c r="G307" s="1150"/>
      <c r="H307" s="1150"/>
      <c r="I307" s="1150"/>
      <c r="J307" s="1150"/>
      <c r="K307" s="1151"/>
      <c r="L307" s="338">
        <v>61</v>
      </c>
      <c r="M307" s="636" t="s">
        <v>1480</v>
      </c>
    </row>
    <row r="308" spans="2:13">
      <c r="I308" s="127"/>
    </row>
    <row r="309" spans="2:13">
      <c r="I309" s="127"/>
    </row>
    <row r="310" spans="2:13">
      <c r="I310" s="127"/>
    </row>
    <row r="311" spans="2:13">
      <c r="I311" s="127"/>
    </row>
    <row r="312" spans="2:13">
      <c r="I312" s="127"/>
    </row>
    <row r="313" spans="2:13">
      <c r="I313" s="127"/>
    </row>
    <row r="314" spans="2:13">
      <c r="I314" s="127"/>
    </row>
    <row r="315" spans="2:13">
      <c r="I315" s="127"/>
    </row>
    <row r="316" spans="2:13">
      <c r="I316" s="127"/>
    </row>
    <row r="317" spans="2:13">
      <c r="I317" s="127"/>
    </row>
    <row r="318" spans="2:13">
      <c r="I318" s="127"/>
    </row>
    <row r="319" spans="2:13">
      <c r="I319" s="127"/>
    </row>
    <row r="320" spans="2:13">
      <c r="I320" s="127"/>
    </row>
    <row r="321" spans="2:9">
      <c r="I321" s="127"/>
    </row>
    <row r="322" spans="2:9">
      <c r="I322" s="127"/>
    </row>
    <row r="323" spans="2:9">
      <c r="I323" s="127"/>
    </row>
    <row r="324" spans="2:9">
      <c r="I324" s="127"/>
    </row>
    <row r="325" spans="2:9">
      <c r="I325" s="127"/>
    </row>
    <row r="326" spans="2:9">
      <c r="I326" s="127"/>
    </row>
    <row r="327" spans="2:9">
      <c r="I327" s="127"/>
    </row>
    <row r="328" spans="2:9">
      <c r="I328" s="127"/>
    </row>
    <row r="329" spans="2:9">
      <c r="I329" s="127"/>
    </row>
    <row r="330" spans="2:9">
      <c r="I330" s="127"/>
    </row>
    <row r="331" spans="2:9">
      <c r="I331" s="127"/>
    </row>
    <row r="332" spans="2:9">
      <c r="I332" s="127"/>
    </row>
    <row r="333" spans="2:9">
      <c r="I333" s="127"/>
    </row>
    <row r="334" spans="2:9">
      <c r="I334" s="127"/>
    </row>
    <row r="335" spans="2:9">
      <c r="B335" s="7" t="s">
        <v>1481</v>
      </c>
      <c r="I335" s="127"/>
    </row>
    <row r="336" spans="2:9">
      <c r="I336" s="127"/>
    </row>
    <row r="337" spans="1:9">
      <c r="I337" s="127"/>
    </row>
    <row r="338" spans="1:9">
      <c r="I338" s="127"/>
    </row>
    <row r="339" spans="1:9">
      <c r="I339" s="127"/>
    </row>
    <row r="340" spans="1:9">
      <c r="I340" s="127"/>
    </row>
    <row r="341" spans="1:9">
      <c r="I341" s="127"/>
    </row>
    <row r="342" spans="1:9">
      <c r="I342" s="127"/>
    </row>
    <row r="343" spans="1:9">
      <c r="I343" s="127"/>
    </row>
    <row r="344" spans="1:9">
      <c r="I344" s="127"/>
    </row>
    <row r="345" spans="1:9">
      <c r="I345" s="127"/>
    </row>
    <row r="346" spans="1:9">
      <c r="I346" s="127"/>
    </row>
    <row r="347" spans="1:9">
      <c r="I347" s="127"/>
    </row>
    <row r="348" spans="1:9">
      <c r="I348" s="127"/>
    </row>
    <row r="349" spans="1:9">
      <c r="I349" s="127"/>
    </row>
    <row r="350" spans="1:9">
      <c r="I350" s="127"/>
    </row>
    <row r="351" spans="1:9">
      <c r="I351" s="127"/>
    </row>
    <row r="352" spans="1:9">
      <c r="A352" s="744"/>
      <c r="B352" s="745" t="s">
        <v>936</v>
      </c>
      <c r="C352" s="744"/>
      <c r="D352" s="744"/>
      <c r="E352" s="744"/>
      <c r="F352" s="744"/>
      <c r="G352" s="744"/>
      <c r="H352" s="744"/>
    </row>
    <row r="353" spans="1:23">
      <c r="B353" s="768" t="s">
        <v>1482</v>
      </c>
      <c r="C353" s="767" t="s">
        <v>331</v>
      </c>
      <c r="D353" s="1299" t="s">
        <v>226</v>
      </c>
      <c r="E353" s="1300"/>
    </row>
    <row r="354" spans="1:23" ht="29.1">
      <c r="B354" s="790" t="s">
        <v>1483</v>
      </c>
      <c r="C354" s="343">
        <v>54312</v>
      </c>
      <c r="D354" s="1301" t="s">
        <v>1032</v>
      </c>
      <c r="E354" s="1302"/>
    </row>
    <row r="355" spans="1:23" ht="29.1">
      <c r="B355" s="790" t="s">
        <v>1484</v>
      </c>
      <c r="C355" s="157">
        <v>166549</v>
      </c>
      <c r="D355" s="1301" t="s">
        <v>1032</v>
      </c>
      <c r="E355" s="1302"/>
    </row>
    <row r="356" spans="1:23" ht="29.1">
      <c r="B356" s="411" t="s">
        <v>1485</v>
      </c>
      <c r="C356" s="789">
        <f>C354/C355</f>
        <v>0.3261022281730902</v>
      </c>
      <c r="D356" s="1301" t="s">
        <v>1486</v>
      </c>
      <c r="E356" s="1302"/>
    </row>
    <row r="357" spans="1:23">
      <c r="I357" s="127"/>
    </row>
    <row r="358" spans="1:23">
      <c r="B358" s="768" t="s">
        <v>1487</v>
      </c>
      <c r="C358" s="767" t="s">
        <v>331</v>
      </c>
      <c r="D358" s="1299" t="s">
        <v>226</v>
      </c>
      <c r="E358" s="1300"/>
      <c r="I358" s="127"/>
    </row>
    <row r="359" spans="1:23">
      <c r="B359" s="790" t="s">
        <v>1601</v>
      </c>
      <c r="C359" s="343">
        <f>D305</f>
        <v>38608</v>
      </c>
      <c r="D359" s="1301" t="s">
        <v>1032</v>
      </c>
      <c r="E359" s="1302"/>
      <c r="I359" s="127"/>
    </row>
    <row r="360" spans="1:23" ht="29.1">
      <c r="B360" s="790" t="s">
        <v>1602</v>
      </c>
      <c r="C360" s="343">
        <f>C359*C356</f>
        <v>12590.154825306667</v>
      </c>
      <c r="D360" s="1301" t="s">
        <v>1032</v>
      </c>
      <c r="E360" s="1302"/>
      <c r="I360" s="127"/>
    </row>
    <row r="361" spans="1:23">
      <c r="B361" s="51"/>
      <c r="C361" s="124"/>
      <c r="D361" s="792"/>
      <c r="E361" s="792"/>
      <c r="I361" s="127"/>
    </row>
    <row r="362" spans="1:23">
      <c r="A362" s="741"/>
      <c r="B362" s="743" t="s">
        <v>901</v>
      </c>
      <c r="C362" s="741"/>
      <c r="D362" s="741"/>
      <c r="E362" s="741"/>
      <c r="F362" s="741"/>
      <c r="G362" s="741"/>
      <c r="H362" s="741"/>
    </row>
    <row r="363" spans="1:23" ht="29.1">
      <c r="B363" s="719" t="s">
        <v>902</v>
      </c>
      <c r="C363" s="719" t="s">
        <v>898</v>
      </c>
      <c r="D363" s="719" t="s">
        <v>899</v>
      </c>
      <c r="E363" s="719" t="s">
        <v>903</v>
      </c>
      <c r="F363" s="719" t="s">
        <v>904</v>
      </c>
      <c r="G363" s="719" t="s">
        <v>905</v>
      </c>
      <c r="H363" s="752" t="s">
        <v>924</v>
      </c>
      <c r="I363" s="752" t="s">
        <v>956</v>
      </c>
      <c r="J363" s="752" t="s">
        <v>927</v>
      </c>
    </row>
    <row r="364" spans="1:23">
      <c r="B364" s="278" t="s">
        <v>525</v>
      </c>
      <c r="C364" s="276" t="s">
        <v>1378</v>
      </c>
      <c r="D364" s="276" t="s">
        <v>1496</v>
      </c>
      <c r="E364" s="373" t="s">
        <v>1565</v>
      </c>
      <c r="F364" s="340" t="s">
        <v>1603</v>
      </c>
      <c r="G364" s="633">
        <f>VLOOKUP(F364,B369:O372,11,FALSE)</f>
        <v>12590.154825306667</v>
      </c>
      <c r="H364" s="1120">
        <f>N371</f>
        <v>2.5714285714285698</v>
      </c>
      <c r="I364" s="1149" t="str">
        <f>M371</f>
        <v>WTA scaled</v>
      </c>
      <c r="J364" s="1149" t="str">
        <f>P371</f>
        <v>Consistent with sewer flooding valuations and use of Ofwat study</v>
      </c>
    </row>
    <row r="365" spans="1:23">
      <c r="B365" s="278" t="s">
        <v>526</v>
      </c>
      <c r="C365" s="276" t="s">
        <v>1378</v>
      </c>
      <c r="D365" s="276" t="s">
        <v>1496</v>
      </c>
      <c r="E365" s="373" t="s">
        <v>1565</v>
      </c>
      <c r="F365" s="340" t="s">
        <v>1604</v>
      </c>
      <c r="G365" s="633">
        <f>VLOOKUP(F365,B370:O373,11,FALSE)</f>
        <v>12590.154825306667</v>
      </c>
      <c r="H365" s="1122"/>
      <c r="I365" s="1149"/>
      <c r="J365" s="1149"/>
    </row>
    <row r="366" spans="1:23">
      <c r="B366" s="30"/>
    </row>
    <row r="367" spans="1:23">
      <c r="A367" s="744"/>
      <c r="B367" s="745" t="s">
        <v>962</v>
      </c>
      <c r="C367" s="744"/>
      <c r="D367" s="744"/>
      <c r="E367" s="744"/>
      <c r="F367" s="744"/>
      <c r="G367" s="744"/>
      <c r="H367" s="744"/>
    </row>
    <row r="368" spans="1:23">
      <c r="B368" s="398" t="s">
        <v>904</v>
      </c>
      <c r="C368" s="398" t="s">
        <v>62</v>
      </c>
      <c r="D368" s="398" t="s">
        <v>902</v>
      </c>
      <c r="E368" s="398" t="s">
        <v>898</v>
      </c>
      <c r="F368" s="398" t="s">
        <v>916</v>
      </c>
      <c r="G368" s="398" t="s">
        <v>963</v>
      </c>
      <c r="H368" s="398" t="s">
        <v>964</v>
      </c>
      <c r="I368" s="398" t="s">
        <v>965</v>
      </c>
      <c r="J368" s="398" t="s">
        <v>966</v>
      </c>
      <c r="K368" s="398" t="s">
        <v>967</v>
      </c>
      <c r="L368" s="398" t="s">
        <v>968</v>
      </c>
      <c r="M368" s="398" t="s">
        <v>956</v>
      </c>
      <c r="N368" s="398" t="s">
        <v>969</v>
      </c>
      <c r="O368" s="398" t="s">
        <v>970</v>
      </c>
      <c r="P368" s="398" t="s">
        <v>927</v>
      </c>
      <c r="Q368" s="398" t="s">
        <v>913</v>
      </c>
      <c r="R368" s="398" t="s">
        <v>914</v>
      </c>
      <c r="S368" s="398" t="s">
        <v>915</v>
      </c>
      <c r="T368" s="398" t="s">
        <v>916</v>
      </c>
      <c r="U368" s="398" t="s">
        <v>917</v>
      </c>
      <c r="V368" s="398" t="s">
        <v>918</v>
      </c>
      <c r="W368" s="398" t="s">
        <v>919</v>
      </c>
    </row>
    <row r="369" spans="1:27">
      <c r="B369" s="372" t="s">
        <v>1605</v>
      </c>
      <c r="C369" s="276" t="s">
        <v>1590</v>
      </c>
      <c r="D369" s="276" t="s">
        <v>525</v>
      </c>
      <c r="E369" s="276" t="s">
        <v>1378</v>
      </c>
      <c r="F369" s="373">
        <f>E198</f>
        <v>2024</v>
      </c>
      <c r="G369" s="276">
        <v>2024</v>
      </c>
      <c r="H369" s="276">
        <f>'COMPANY INPUT'!$C$16</f>
        <v>2023</v>
      </c>
      <c r="I369" s="276">
        <f>VLOOKUP(G369,'GDP Deflators'!$H$13:$I$86,2,FALSE)</f>
        <v>101.52460002617836</v>
      </c>
      <c r="J369" s="276">
        <f>VLOOKUP(H369,'GDP Deflators'!$H$13:$I$86,2,FALSE)</f>
        <v>100</v>
      </c>
      <c r="K369" s="343">
        <f>C230</f>
        <v>893.49382424671546</v>
      </c>
      <c r="L369" s="747">
        <f>K369*(J369/I369)</f>
        <v>880.07618253736132</v>
      </c>
      <c r="M369" s="276" t="s">
        <v>1492</v>
      </c>
      <c r="N369" s="326">
        <f>D208</f>
        <v>2.1428571428571401</v>
      </c>
      <c r="O369" s="276" t="s">
        <v>717</v>
      </c>
      <c r="P369" s="276" t="s">
        <v>1493</v>
      </c>
      <c r="Q369" s="373">
        <f t="shared" ref="Q369:W369" si="3">B198</f>
        <v>38</v>
      </c>
      <c r="R369" s="276" t="str">
        <f t="shared" si="3"/>
        <v>MCM (2024) MCM Simplified benefit: cost appraisal tool for flood risk management</v>
      </c>
      <c r="S369" s="276" t="str">
        <f t="shared" si="3"/>
        <v>No</v>
      </c>
      <c r="T369" s="276">
        <f t="shared" si="3"/>
        <v>2024</v>
      </c>
      <c r="U369" s="276" t="str">
        <f t="shared" si="3"/>
        <v>UK</v>
      </c>
      <c r="V369" s="276" t="str">
        <f t="shared" si="3"/>
        <v>UK wide</v>
      </c>
      <c r="W369" s="276" t="str">
        <f t="shared" si="3"/>
        <v>Unknown</v>
      </c>
    </row>
    <row r="370" spans="1:27">
      <c r="B370" s="372" t="s">
        <v>1606</v>
      </c>
      <c r="C370" s="276" t="s">
        <v>1590</v>
      </c>
      <c r="D370" s="276" t="s">
        <v>526</v>
      </c>
      <c r="E370" s="276" t="s">
        <v>1378</v>
      </c>
      <c r="F370" s="373">
        <f>E198</f>
        <v>2024</v>
      </c>
      <c r="G370" s="276">
        <v>2024</v>
      </c>
      <c r="H370" s="276">
        <f>'COMPANY INPUT'!$C$16</f>
        <v>2023</v>
      </c>
      <c r="I370" s="276">
        <f>VLOOKUP(G370,'GDP Deflators'!$H$13:$I$86,2,FALSE)</f>
        <v>101.52460002617836</v>
      </c>
      <c r="J370" s="276">
        <f>VLOOKUP(H370,'GDP Deflators'!$H$13:$I$86,2,FALSE)</f>
        <v>100</v>
      </c>
      <c r="K370" s="343">
        <f>C231</f>
        <v>2013.1334263133426</v>
      </c>
      <c r="L370" s="747">
        <f>K370*(J370/I370)</f>
        <v>1982.9021003719799</v>
      </c>
      <c r="M370" s="276" t="s">
        <v>1492</v>
      </c>
      <c r="N370" s="326">
        <f>D208</f>
        <v>2.1428571428571401</v>
      </c>
      <c r="O370" s="276" t="s">
        <v>717</v>
      </c>
      <c r="P370" s="276" t="s">
        <v>1493</v>
      </c>
      <c r="Q370" s="373">
        <f t="shared" ref="Q370:W370" si="4">B198</f>
        <v>38</v>
      </c>
      <c r="R370" s="276" t="str">
        <f t="shared" si="4"/>
        <v>MCM (2024) MCM Simplified benefit: cost appraisal tool for flood risk management</v>
      </c>
      <c r="S370" s="276" t="str">
        <f t="shared" si="4"/>
        <v>No</v>
      </c>
      <c r="T370" s="276">
        <f t="shared" si="4"/>
        <v>2024</v>
      </c>
      <c r="U370" s="276" t="str">
        <f t="shared" si="4"/>
        <v>UK</v>
      </c>
      <c r="V370" s="276" t="str">
        <f t="shared" si="4"/>
        <v>UK wide</v>
      </c>
      <c r="W370" s="276" t="str">
        <f t="shared" si="4"/>
        <v>Unknown</v>
      </c>
    </row>
    <row r="371" spans="1:27">
      <c r="B371" s="372" t="s">
        <v>1603</v>
      </c>
      <c r="C371" s="276" t="s">
        <v>1590</v>
      </c>
      <c r="D371" s="276" t="s">
        <v>525</v>
      </c>
      <c r="E371" s="276" t="s">
        <v>1378</v>
      </c>
      <c r="F371" s="373">
        <f>E290</f>
        <v>2023</v>
      </c>
      <c r="G371" s="276">
        <v>2023</v>
      </c>
      <c r="H371" s="276">
        <f>'COMPANY INPUT'!$C$16</f>
        <v>2023</v>
      </c>
      <c r="I371" s="276">
        <f>VLOOKUP(G371,'GDP Deflators'!$H$13:$I$86,2,FALSE)</f>
        <v>100</v>
      </c>
      <c r="J371" s="276">
        <f>VLOOKUP(H371,'GDP Deflators'!$H$13:$I$86,2,FALSE)</f>
        <v>100</v>
      </c>
      <c r="K371" s="343">
        <f>C360</f>
        <v>12590.154825306667</v>
      </c>
      <c r="L371" s="747">
        <f t="shared" ref="L371:L372" si="5">K371*(J371/I371)</f>
        <v>12590.154825306667</v>
      </c>
      <c r="M371" s="276" t="s">
        <v>1494</v>
      </c>
      <c r="N371" s="326">
        <f>D301</f>
        <v>2.5714285714285698</v>
      </c>
      <c r="O371" s="276" t="s">
        <v>718</v>
      </c>
      <c r="P371" s="276" t="s">
        <v>1495</v>
      </c>
      <c r="Q371" s="373">
        <f>B290</f>
        <v>16</v>
      </c>
      <c r="R371" s="373" t="str">
        <f t="shared" ref="R371:W371" si="6">C290</f>
        <v>Ofwat (2023) PR24: Using collaborative customer research to set outcome delivery incentive rates</v>
      </c>
      <c r="S371" s="373">
        <f t="shared" si="6"/>
        <v>0</v>
      </c>
      <c r="T371" s="373">
        <f t="shared" si="6"/>
        <v>2023</v>
      </c>
      <c r="U371" s="373" t="str">
        <f t="shared" si="6"/>
        <v>England and Wales</v>
      </c>
      <c r="V371" s="373" t="str">
        <f t="shared" si="6"/>
        <v>England and Wales</v>
      </c>
      <c r="W371" s="373">
        <f t="shared" si="6"/>
        <v>0</v>
      </c>
    </row>
    <row r="372" spans="1:27">
      <c r="B372" s="372" t="s">
        <v>1604</v>
      </c>
      <c r="C372" s="276" t="s">
        <v>1590</v>
      </c>
      <c r="D372" s="276" t="s">
        <v>526</v>
      </c>
      <c r="E372" s="276" t="s">
        <v>1378</v>
      </c>
      <c r="F372" s="373">
        <f>E290</f>
        <v>2023</v>
      </c>
      <c r="G372" s="276">
        <v>2023</v>
      </c>
      <c r="H372" s="276">
        <f>'COMPANY INPUT'!$C$16</f>
        <v>2023</v>
      </c>
      <c r="I372" s="276">
        <f>VLOOKUP(G372,'GDP Deflators'!$H$13:$I$86,2,FALSE)</f>
        <v>100</v>
      </c>
      <c r="J372" s="276">
        <f>VLOOKUP(H372,'GDP Deflators'!$H$13:$I$86,2,FALSE)</f>
        <v>100</v>
      </c>
      <c r="K372" s="343">
        <f>C360</f>
        <v>12590.154825306667</v>
      </c>
      <c r="L372" s="747">
        <f t="shared" si="5"/>
        <v>12590.154825306667</v>
      </c>
      <c r="M372" s="276" t="s">
        <v>1494</v>
      </c>
      <c r="N372" s="326">
        <f>D301</f>
        <v>2.5714285714285698</v>
      </c>
      <c r="O372" s="276" t="s">
        <v>718</v>
      </c>
      <c r="P372" s="276" t="s">
        <v>1495</v>
      </c>
      <c r="Q372" s="373">
        <f>B290</f>
        <v>16</v>
      </c>
      <c r="R372" s="373" t="str">
        <f t="shared" ref="R372:W372" si="7">C290</f>
        <v>Ofwat (2023) PR24: Using collaborative customer research to set outcome delivery incentive rates</v>
      </c>
      <c r="S372" s="373">
        <f t="shared" si="7"/>
        <v>0</v>
      </c>
      <c r="T372" s="373">
        <f t="shared" si="7"/>
        <v>2023</v>
      </c>
      <c r="U372" s="373" t="str">
        <f t="shared" si="7"/>
        <v>England and Wales</v>
      </c>
      <c r="V372" s="373" t="str">
        <f t="shared" si="7"/>
        <v>England and Wales</v>
      </c>
      <c r="W372" s="373">
        <f t="shared" si="7"/>
        <v>0</v>
      </c>
    </row>
    <row r="374" spans="1:27">
      <c r="A374" s="739"/>
      <c r="B374" s="740" t="s">
        <v>1573</v>
      </c>
      <c r="C374" s="739"/>
      <c r="D374" s="739"/>
      <c r="E374" s="739"/>
      <c r="F374" s="739"/>
      <c r="G374" s="739"/>
      <c r="H374" s="739"/>
    </row>
    <row r="375" spans="1:27">
      <c r="A375" s="741"/>
      <c r="B375" s="742" t="s">
        <v>897</v>
      </c>
      <c r="C375" s="741"/>
      <c r="D375" s="741"/>
      <c r="E375" s="741"/>
      <c r="F375" s="741"/>
      <c r="G375" s="741"/>
      <c r="H375" s="741"/>
    </row>
    <row r="376" spans="1:27">
      <c r="B376" s="398" t="s">
        <v>898</v>
      </c>
      <c r="C376" s="398" t="s">
        <v>899</v>
      </c>
    </row>
    <row r="377" spans="1:27">
      <c r="B377" s="276" t="s">
        <v>1573</v>
      </c>
      <c r="C377" s="276" t="s">
        <v>1574</v>
      </c>
    </row>
    <row r="378" spans="1:27">
      <c r="B378" s="29"/>
    </row>
    <row r="379" spans="1:27">
      <c r="A379" s="741"/>
      <c r="B379" s="743" t="s">
        <v>1575</v>
      </c>
      <c r="C379" s="741"/>
      <c r="D379" s="741"/>
      <c r="E379" s="741"/>
      <c r="F379" s="741"/>
      <c r="G379" s="741"/>
      <c r="H379" s="741"/>
    </row>
    <row r="380" spans="1:27">
      <c r="A380" s="744"/>
      <c r="B380" s="745" t="s">
        <v>912</v>
      </c>
      <c r="C380" s="744"/>
      <c r="D380" s="744"/>
      <c r="E380" s="744"/>
      <c r="F380" s="744"/>
      <c r="G380" s="744"/>
      <c r="H380" s="744"/>
    </row>
    <row r="381" spans="1:27" ht="29.1">
      <c r="B381" s="719" t="s">
        <v>913</v>
      </c>
      <c r="C381" s="719" t="s">
        <v>914</v>
      </c>
      <c r="D381" s="719" t="s">
        <v>915</v>
      </c>
      <c r="E381" s="719" t="s">
        <v>916</v>
      </c>
      <c r="F381" s="719" t="s">
        <v>917</v>
      </c>
      <c r="G381" s="719" t="s">
        <v>918</v>
      </c>
      <c r="H381" s="719" t="s">
        <v>919</v>
      </c>
    </row>
    <row r="382" spans="1:27">
      <c r="B382" s="276">
        <v>39</v>
      </c>
      <c r="C382" s="276" t="s">
        <v>1576</v>
      </c>
      <c r="D382" s="276" t="s">
        <v>717</v>
      </c>
      <c r="E382" s="276">
        <v>2021</v>
      </c>
      <c r="F382" s="276" t="s">
        <v>1047</v>
      </c>
      <c r="G382" s="276" t="s">
        <v>1047</v>
      </c>
      <c r="H382" s="276" t="s">
        <v>923</v>
      </c>
    </row>
    <row r="383" spans="1:27">
      <c r="B383" s="29"/>
    </row>
    <row r="384" spans="1:27" s="764" customFormat="1">
      <c r="A384" s="744"/>
      <c r="B384" s="745" t="s">
        <v>924</v>
      </c>
      <c r="C384" s="744"/>
      <c r="D384" s="744"/>
      <c r="E384" s="744"/>
      <c r="F384" s="744"/>
      <c r="G384" s="744"/>
      <c r="H384" s="744"/>
      <c r="I384" s="7"/>
      <c r="J384" s="7"/>
      <c r="K384" s="7"/>
      <c r="L384" s="7"/>
      <c r="M384" s="7"/>
      <c r="N384" s="7"/>
      <c r="O384" s="7"/>
      <c r="P384" s="7"/>
      <c r="Q384" s="7"/>
      <c r="R384" s="7"/>
      <c r="S384" s="7"/>
      <c r="T384" s="7"/>
      <c r="U384" s="7"/>
      <c r="V384" s="7"/>
      <c r="W384" s="7"/>
      <c r="X384" s="7"/>
      <c r="Y384" s="7"/>
      <c r="Z384" s="7"/>
      <c r="AA384" s="7"/>
    </row>
    <row r="385" spans="1:14">
      <c r="B385" s="398" t="s">
        <v>165</v>
      </c>
      <c r="C385" s="398" t="s">
        <v>925</v>
      </c>
      <c r="D385" s="398" t="s">
        <v>926</v>
      </c>
      <c r="E385" s="1139" t="s">
        <v>953</v>
      </c>
      <c r="F385" s="1139"/>
      <c r="G385" s="1139"/>
      <c r="H385" s="1139"/>
    </row>
    <row r="386" spans="1:14">
      <c r="B386" s="276" t="s">
        <v>169</v>
      </c>
      <c r="C386" s="276" t="s">
        <v>166</v>
      </c>
      <c r="D386" s="278">
        <f>VLOOKUP(C386,METHODOLOGY!$C$175:$D$177,2,FALSE)</f>
        <v>3</v>
      </c>
      <c r="E386" s="1087" t="str">
        <f>_xlfn.XLOOKUP(C386,METHODOLOGY!$E$150:$O$150,METHODOLOGY!$E$151:$O$151,"",0,1)</f>
        <v>Monetary values have been peer reviewed or are recommended / referenced in other, well recognised and accepted guidance / tools relevant to the water sector.</v>
      </c>
      <c r="F386" s="1087"/>
      <c r="G386" s="1087"/>
      <c r="H386" s="1087"/>
    </row>
    <row r="387" spans="1:14">
      <c r="B387" s="276" t="s">
        <v>173</v>
      </c>
      <c r="C387" s="276" t="s">
        <v>166</v>
      </c>
      <c r="D387" s="278">
        <f>VLOOKUP(C387,METHODOLOGY!$C$175:$D$177,2,FALSE)</f>
        <v>3</v>
      </c>
      <c r="E387" s="1087" t="str">
        <f>_xlfn.XLOOKUP(C387,METHODOLOGY!$E$150:$O$150,METHODOLOGY!$E$155:$O$155,"",0,1)</f>
        <v>Study has few limitations and is considered robust.</v>
      </c>
      <c r="F387" s="1087"/>
      <c r="G387" s="1087"/>
      <c r="H387" s="1087"/>
    </row>
    <row r="388" spans="1:14">
      <c r="B388" s="276" t="s">
        <v>177</v>
      </c>
      <c r="C388" s="276" t="s">
        <v>166</v>
      </c>
      <c r="D388" s="278">
        <f>VLOOKUP(C388,METHODOLOGY!$C$175:$D$177,2,FALSE)</f>
        <v>3</v>
      </c>
      <c r="E388" s="1087" t="str">
        <f>_xlfn.XLOOKUP(C388,METHODOLOGY!$E$150:$O$150,METHODOLOGY!$E$158:$O$158,"",0,1)</f>
        <v>0 – 5 years</v>
      </c>
      <c r="F388" s="1087"/>
      <c r="G388" s="1087"/>
      <c r="H388" s="1087"/>
    </row>
    <row r="389" spans="1:14">
      <c r="B389" s="276" t="s">
        <v>181</v>
      </c>
      <c r="C389" s="276" t="s">
        <v>166</v>
      </c>
      <c r="D389" s="278">
        <f>VLOOKUP(C389,METHODOLOGY!$C$175:$D$177,2,FALSE)</f>
        <v>3</v>
      </c>
      <c r="E389" s="1087" t="str">
        <f>_xlfn.XLOOKUP(C389,METHODOLOGY!$E$150:$O$150,METHODOLOGY!$E$160:$O$160,"",0,1)</f>
        <v>Geographically relevant to UK</v>
      </c>
      <c r="F389" s="1087"/>
      <c r="G389" s="1087"/>
      <c r="H389" s="1087"/>
    </row>
    <row r="390" spans="1:14">
      <c r="B390" s="276" t="s">
        <v>928</v>
      </c>
      <c r="C390" s="276" t="s">
        <v>166</v>
      </c>
      <c r="D390" s="278">
        <f>VLOOKUP(C390,METHODOLOGY!$C$175:$D$177,2,FALSE)</f>
        <v>3</v>
      </c>
      <c r="E390" s="1087" t="str">
        <f>_xlfn.XLOOKUP(C390,METHODOLOGY!$E$150:$O$150,METHODOLOGY!$E$162:$O$162,"",0,1)</f>
        <v>Clear understanding of the valuation method and how the value should be applied.</v>
      </c>
      <c r="F390" s="1087"/>
      <c r="G390" s="1087"/>
      <c r="H390" s="1087"/>
    </row>
    <row r="391" spans="1:14">
      <c r="B391" s="276" t="s">
        <v>189</v>
      </c>
      <c r="C391" s="276" t="s">
        <v>168</v>
      </c>
      <c r="D391" s="278">
        <f>VLOOKUP(C391,METHODOLOGY!$C$175:$D$177,2,FALSE)</f>
        <v>1</v>
      </c>
      <c r="E391" s="1087" t="str">
        <f>_xlfn.XLOOKUP(C391,METHODOLOGY!$E$150:$O$150,METHODOLOGY!$E$164:$O$164,"",0,1)</f>
        <v xml:space="preserve">The original valuation can be used with significant modification e.g. several additional data inputs are required to use the original source. The calculation is complex or introduces significant uncertainty. </v>
      </c>
      <c r="F391" s="1087"/>
      <c r="G391" s="1087"/>
      <c r="H391" s="1087"/>
    </row>
    <row r="392" spans="1:14">
      <c r="C392" s="282" t="s">
        <v>924</v>
      </c>
      <c r="D392" s="326">
        <f>IF(AND(D391=1,AVERAGE(D386:D391)&gt;2.14285714285714),2.14285714285714,IF(AND(D391=2,AVERAGE(D386:D391)&gt;2.57142857142857),2.57142857142857,AVERAGE(D386:D391)))</f>
        <v>2.1428571428571401</v>
      </c>
      <c r="E392" s="270" t="str">
        <f>IF(D392&lt;=2.14285714285714,"Red",IF(D392&lt;=2.57142857142857,"Amber",IF(D392&lt;=3,"Green")))</f>
        <v>Red</v>
      </c>
    </row>
    <row r="394" spans="1:14">
      <c r="A394" s="744"/>
      <c r="B394" s="745" t="s">
        <v>929</v>
      </c>
      <c r="C394" s="744"/>
      <c r="D394" s="744"/>
      <c r="E394" s="744"/>
      <c r="F394" s="744"/>
      <c r="G394" s="744"/>
      <c r="H394" s="744"/>
    </row>
    <row r="395" spans="1:14">
      <c r="B395" s="148" t="s">
        <v>898</v>
      </c>
      <c r="C395" s="398" t="s">
        <v>902</v>
      </c>
      <c r="D395" s="398" t="s">
        <v>331</v>
      </c>
      <c r="E395" s="487" t="s">
        <v>226</v>
      </c>
      <c r="F395" s="1146" t="s">
        <v>930</v>
      </c>
      <c r="G395" s="1147"/>
      <c r="H395" s="1148"/>
      <c r="I395" s="398" t="s">
        <v>913</v>
      </c>
      <c r="J395" s="398" t="s">
        <v>169</v>
      </c>
    </row>
    <row r="396" spans="1:14" ht="14.25" customHeight="1">
      <c r="B396" s="1307" t="s">
        <v>465</v>
      </c>
      <c r="C396" s="1151" t="s">
        <v>524</v>
      </c>
      <c r="D396" s="300">
        <v>1878</v>
      </c>
      <c r="E396" s="436" t="s">
        <v>1417</v>
      </c>
      <c r="F396" s="1123" t="s">
        <v>1577</v>
      </c>
      <c r="G396" s="1124"/>
      <c r="H396" s="1125"/>
      <c r="I396" s="278">
        <v>39</v>
      </c>
      <c r="J396" s="488" t="s">
        <v>1607</v>
      </c>
    </row>
    <row r="397" spans="1:14">
      <c r="B397" s="1307"/>
      <c r="C397" s="1151"/>
      <c r="D397" s="435">
        <v>2.38</v>
      </c>
      <c r="E397" s="394" t="s">
        <v>1235</v>
      </c>
      <c r="F397" s="1278" t="s">
        <v>1578</v>
      </c>
      <c r="G397" s="1315"/>
      <c r="H397" s="1316"/>
      <c r="I397" s="1311">
        <v>60</v>
      </c>
      <c r="J397" s="1149" t="s">
        <v>1236</v>
      </c>
    </row>
    <row r="398" spans="1:14">
      <c r="B398" s="1307"/>
      <c r="C398" s="1151"/>
      <c r="D398" s="435">
        <v>2.3199999999999998</v>
      </c>
      <c r="E398" s="394" t="s">
        <v>1238</v>
      </c>
      <c r="F398" s="1281"/>
      <c r="G398" s="1317"/>
      <c r="H398" s="1318"/>
      <c r="I398" s="1311"/>
      <c r="J398" s="1149"/>
    </row>
    <row r="399" spans="1:14">
      <c r="B399" s="1307"/>
      <c r="C399" s="1151"/>
      <c r="D399" s="304">
        <f>23487*1000</f>
        <v>23487000</v>
      </c>
      <c r="E399" s="394" t="s">
        <v>1239</v>
      </c>
      <c r="F399" s="1281"/>
      <c r="G399" s="1317"/>
      <c r="H399" s="1318"/>
      <c r="I399" s="1311"/>
      <c r="J399" s="1149"/>
      <c r="M399" s="6"/>
      <c r="N399" s="6"/>
    </row>
    <row r="400" spans="1:14">
      <c r="B400" s="1307"/>
      <c r="C400" s="1151"/>
      <c r="D400" s="304">
        <f>1344*1000</f>
        <v>1344000</v>
      </c>
      <c r="E400" s="394" t="s">
        <v>1241</v>
      </c>
      <c r="F400" s="1284"/>
      <c r="G400" s="1319"/>
      <c r="H400" s="1320"/>
      <c r="I400" s="1259"/>
      <c r="J400" s="1167"/>
      <c r="M400" s="24"/>
      <c r="N400" s="24"/>
    </row>
    <row r="401" spans="1:14" ht="29.25" customHeight="1">
      <c r="B401" s="1307"/>
      <c r="C401" s="1151"/>
      <c r="D401" s="420">
        <v>21754</v>
      </c>
      <c r="E401" s="394" t="s">
        <v>1608</v>
      </c>
      <c r="F401" s="1142" t="s">
        <v>386</v>
      </c>
      <c r="G401" s="1143"/>
      <c r="H401" s="1144"/>
      <c r="I401" s="1311">
        <v>61</v>
      </c>
      <c r="J401" s="1149" t="s">
        <v>1480</v>
      </c>
      <c r="M401" s="24"/>
      <c r="N401" s="24"/>
    </row>
    <row r="402" spans="1:14" ht="29.25" customHeight="1">
      <c r="B402" s="1307"/>
      <c r="C402" s="1151"/>
      <c r="D402" s="420">
        <v>166549</v>
      </c>
      <c r="E402" s="394" t="s">
        <v>1608</v>
      </c>
      <c r="F402" s="1142" t="s">
        <v>1609</v>
      </c>
      <c r="G402" s="1143"/>
      <c r="H402" s="1144"/>
      <c r="I402" s="1311"/>
      <c r="J402" s="1149"/>
      <c r="M402" s="24"/>
      <c r="N402" s="24"/>
    </row>
    <row r="403" spans="1:14">
      <c r="B403" s="2"/>
      <c r="C403" s="2"/>
      <c r="D403" s="6"/>
      <c r="E403" s="146"/>
      <c r="F403" s="147"/>
      <c r="G403" s="24"/>
      <c r="H403" s="24"/>
      <c r="I403" s="24"/>
      <c r="J403" s="24"/>
      <c r="K403" s="24"/>
      <c r="L403" s="24"/>
      <c r="M403" s="24"/>
      <c r="N403" s="24"/>
    </row>
    <row r="404" spans="1:14">
      <c r="B404" s="2"/>
      <c r="C404" s="2"/>
      <c r="D404" s="6"/>
      <c r="E404" s="146"/>
      <c r="F404" s="147"/>
      <c r="G404" s="24"/>
      <c r="H404" s="24"/>
      <c r="I404" s="24"/>
      <c r="J404" s="24"/>
      <c r="K404" s="24"/>
      <c r="L404" s="24"/>
      <c r="M404" s="24"/>
      <c r="N404" s="24"/>
    </row>
    <row r="405" spans="1:14">
      <c r="B405" s="2"/>
      <c r="C405" s="2"/>
      <c r="D405" s="6"/>
      <c r="E405" s="146"/>
      <c r="F405" s="147"/>
      <c r="G405" s="24"/>
      <c r="H405" s="24"/>
      <c r="I405" s="24"/>
      <c r="J405" s="24"/>
      <c r="K405" s="24"/>
      <c r="L405" s="24"/>
      <c r="M405" s="24"/>
      <c r="N405" s="24"/>
    </row>
    <row r="406" spans="1:14">
      <c r="B406" s="2"/>
      <c r="C406" s="2"/>
      <c r="D406" s="6"/>
      <c r="E406" s="146"/>
      <c r="F406" s="147"/>
      <c r="G406" s="24"/>
      <c r="H406" s="24"/>
      <c r="I406" s="24"/>
      <c r="J406" s="24"/>
      <c r="K406" s="24"/>
      <c r="L406" s="24"/>
      <c r="M406" s="24"/>
      <c r="N406" s="24"/>
    </row>
    <row r="407" spans="1:14">
      <c r="B407" s="2"/>
      <c r="C407" s="2"/>
      <c r="D407" s="6"/>
      <c r="E407" s="146"/>
      <c r="F407" s="147"/>
      <c r="G407" s="24"/>
      <c r="H407" s="24"/>
      <c r="I407" s="24"/>
      <c r="J407" s="24"/>
      <c r="K407" s="24"/>
      <c r="L407" s="24"/>
      <c r="M407" s="24"/>
      <c r="N407" s="24"/>
    </row>
    <row r="408" spans="1:14">
      <c r="B408" s="2"/>
      <c r="C408" s="2"/>
      <c r="D408" s="6"/>
      <c r="E408" s="146"/>
      <c r="F408" s="147"/>
      <c r="G408" s="24"/>
      <c r="H408" s="24"/>
      <c r="I408" s="24"/>
      <c r="J408" s="24"/>
      <c r="K408" s="24"/>
      <c r="L408" s="24"/>
      <c r="M408" s="24"/>
      <c r="N408" s="24"/>
    </row>
    <row r="409" spans="1:14">
      <c r="B409" s="2"/>
      <c r="C409" s="2"/>
      <c r="D409" s="6"/>
      <c r="E409" s="146"/>
      <c r="F409" s="147"/>
      <c r="G409" s="24"/>
      <c r="H409" s="24"/>
      <c r="I409" s="24"/>
      <c r="J409" s="24"/>
      <c r="K409" s="24"/>
      <c r="L409" s="24"/>
      <c r="M409" s="24"/>
      <c r="N409" s="24"/>
    </row>
    <row r="410" spans="1:14">
      <c r="B410" s="2"/>
      <c r="C410" s="2"/>
      <c r="D410" s="6"/>
      <c r="E410" s="146"/>
      <c r="F410" s="147"/>
      <c r="G410" s="24"/>
      <c r="H410" s="24"/>
      <c r="I410" s="24"/>
      <c r="J410" s="24"/>
      <c r="K410" s="24"/>
      <c r="L410" s="24"/>
      <c r="M410" s="24"/>
      <c r="N410" s="24"/>
    </row>
    <row r="411" spans="1:14">
      <c r="B411" s="2"/>
      <c r="C411" s="2"/>
      <c r="D411" s="6"/>
      <c r="E411" s="146"/>
      <c r="F411" s="147"/>
      <c r="G411" s="24"/>
      <c r="H411" s="24"/>
      <c r="I411" s="24"/>
      <c r="J411" s="24"/>
      <c r="K411" s="24"/>
      <c r="L411" s="24"/>
      <c r="M411" s="24"/>
      <c r="N411" s="24"/>
    </row>
    <row r="412" spans="1:14">
      <c r="B412" s="2"/>
      <c r="C412" s="2"/>
      <c r="D412" s="6"/>
      <c r="E412" s="146"/>
      <c r="F412" s="147"/>
      <c r="G412" s="24"/>
      <c r="H412" s="24"/>
      <c r="I412" s="24"/>
      <c r="J412" s="24"/>
      <c r="K412" s="24"/>
      <c r="L412" s="24"/>
      <c r="M412" s="24"/>
      <c r="N412" s="24"/>
    </row>
    <row r="413" spans="1:14">
      <c r="B413" s="2"/>
      <c r="C413" s="2"/>
      <c r="D413" s="6"/>
      <c r="E413" s="146"/>
      <c r="F413" s="147"/>
      <c r="G413" s="24"/>
      <c r="H413" s="24"/>
      <c r="I413" s="24"/>
      <c r="J413" s="24"/>
      <c r="K413" s="24"/>
      <c r="L413" s="24"/>
      <c r="M413" s="24"/>
      <c r="N413" s="24"/>
    </row>
    <row r="414" spans="1:14">
      <c r="A414" s="744"/>
      <c r="B414" s="745" t="s">
        <v>936</v>
      </c>
      <c r="C414" s="744"/>
      <c r="D414" s="744"/>
      <c r="E414" s="744"/>
      <c r="F414" s="744"/>
      <c r="G414" s="744"/>
      <c r="H414" s="744"/>
    </row>
    <row r="415" spans="1:14">
      <c r="B415" s="1265" t="s">
        <v>953</v>
      </c>
      <c r="C415" s="1265"/>
      <c r="D415" s="472" t="s">
        <v>936</v>
      </c>
      <c r="E415" s="146"/>
      <c r="F415" s="147"/>
      <c r="G415" s="24"/>
      <c r="H415" s="24"/>
      <c r="I415" s="24"/>
      <c r="J415" s="24"/>
      <c r="K415" s="24"/>
      <c r="L415" s="24"/>
      <c r="M415" s="24"/>
      <c r="N415" s="24"/>
    </row>
    <row r="416" spans="1:14">
      <c r="B416" s="1257" t="s">
        <v>1579</v>
      </c>
      <c r="C416" s="1257"/>
      <c r="D416" s="482">
        <f>D399/SUM($D$399:$D$400)</f>
        <v>0.94587410897668234</v>
      </c>
      <c r="E416" s="146"/>
      <c r="F416" s="147"/>
      <c r="G416" s="24"/>
      <c r="H416" s="24"/>
      <c r="I416" s="24"/>
      <c r="J416" s="24"/>
      <c r="K416" s="24"/>
      <c r="L416" s="24"/>
      <c r="M416" s="24"/>
      <c r="N416" s="24"/>
    </row>
    <row r="417" spans="1:23">
      <c r="B417" s="1257" t="s">
        <v>1580</v>
      </c>
      <c r="C417" s="1257"/>
      <c r="D417" s="482">
        <f>D400/SUM($D$399:$D$400)</f>
        <v>5.4125891023317628E-2</v>
      </c>
      <c r="E417" s="146"/>
      <c r="F417" s="147"/>
      <c r="G417" s="24"/>
      <c r="H417" s="24"/>
      <c r="I417" s="24"/>
      <c r="J417" s="24"/>
      <c r="K417" s="24"/>
      <c r="L417" s="24"/>
      <c r="M417" s="24"/>
      <c r="N417" s="24"/>
    </row>
    <row r="418" spans="1:23">
      <c r="B418" s="1258" t="s">
        <v>1581</v>
      </c>
      <c r="C418" s="1258"/>
      <c r="D418" s="482">
        <f>SUM(D397*D416,D398*D417)</f>
        <v>2.376752446538601</v>
      </c>
      <c r="E418" s="146"/>
      <c r="F418" s="147"/>
      <c r="G418" s="24"/>
      <c r="H418" s="24"/>
      <c r="I418" s="24"/>
      <c r="J418" s="24"/>
      <c r="K418" s="24"/>
      <c r="L418" s="24"/>
      <c r="M418" s="24"/>
      <c r="N418" s="24"/>
    </row>
    <row r="419" spans="1:23">
      <c r="B419" s="1095" t="s">
        <v>1577</v>
      </c>
      <c r="C419" s="1095"/>
      <c r="D419" s="387">
        <f>D396</f>
        <v>1878</v>
      </c>
      <c r="E419" s="146"/>
      <c r="F419" s="147"/>
      <c r="G419" s="24"/>
      <c r="H419" s="24"/>
      <c r="I419" s="24"/>
      <c r="J419" s="24"/>
      <c r="K419" s="24"/>
      <c r="L419" s="24"/>
      <c r="M419" s="24"/>
      <c r="N419" s="24"/>
    </row>
    <row r="420" spans="1:23">
      <c r="B420" s="1095" t="s">
        <v>1582</v>
      </c>
      <c r="C420" s="1095"/>
      <c r="D420" s="387">
        <f>D419*D418</f>
        <v>4463.5410945994927</v>
      </c>
      <c r="E420" s="146"/>
      <c r="F420" s="147"/>
      <c r="G420" s="24"/>
      <c r="H420" s="24"/>
      <c r="I420" s="24"/>
      <c r="J420" s="24"/>
      <c r="K420" s="24"/>
      <c r="L420" s="24"/>
      <c r="M420" s="24"/>
      <c r="N420" s="24"/>
    </row>
    <row r="421" spans="1:23">
      <c r="B421" s="1095" t="s">
        <v>1610</v>
      </c>
      <c r="C421" s="1095"/>
      <c r="D421" s="482">
        <f>D401/D402</f>
        <v>0.13061621504782375</v>
      </c>
      <c r="E421" s="146"/>
      <c r="F421" s="147"/>
      <c r="G421" s="24"/>
      <c r="H421" s="24"/>
      <c r="I421" s="24"/>
      <c r="J421" s="24"/>
      <c r="K421" s="24"/>
      <c r="L421" s="24"/>
      <c r="M421" s="24"/>
      <c r="N421" s="24"/>
    </row>
    <row r="422" spans="1:23">
      <c r="B422" s="1095" t="s">
        <v>1611</v>
      </c>
      <c r="C422" s="1095"/>
      <c r="D422" s="387">
        <f>D420*D421</f>
        <v>583.01084348700601</v>
      </c>
      <c r="E422" s="146"/>
      <c r="F422" s="147"/>
      <c r="G422" s="24"/>
      <c r="H422" s="24"/>
      <c r="I422" s="24"/>
      <c r="J422" s="24"/>
      <c r="K422" s="24"/>
      <c r="L422" s="24"/>
      <c r="M422" s="24"/>
      <c r="N422" s="24"/>
    </row>
    <row r="423" spans="1:23">
      <c r="B423" s="2"/>
      <c r="C423" s="2"/>
      <c r="D423" s="6"/>
      <c r="E423" s="146"/>
      <c r="F423" s="147"/>
      <c r="G423" s="24"/>
      <c r="H423" s="24"/>
      <c r="I423" s="24"/>
      <c r="J423" s="24"/>
      <c r="K423" s="24"/>
      <c r="L423" s="24"/>
      <c r="M423" s="24"/>
      <c r="N423" s="24"/>
    </row>
    <row r="424" spans="1:23">
      <c r="A424" s="741"/>
      <c r="B424" s="743" t="s">
        <v>901</v>
      </c>
      <c r="C424" s="741"/>
      <c r="D424" s="741"/>
      <c r="E424" s="741"/>
      <c r="F424" s="741"/>
      <c r="G424" s="741"/>
      <c r="H424" s="741"/>
    </row>
    <row r="425" spans="1:23" ht="29.1">
      <c r="B425" s="719" t="s">
        <v>902</v>
      </c>
      <c r="C425" s="719" t="s">
        <v>898</v>
      </c>
      <c r="D425" s="719" t="s">
        <v>899</v>
      </c>
      <c r="E425" s="719" t="s">
        <v>903</v>
      </c>
      <c r="F425" s="719" t="s">
        <v>904</v>
      </c>
      <c r="G425" s="719" t="s">
        <v>905</v>
      </c>
      <c r="H425" s="719" t="s">
        <v>924</v>
      </c>
      <c r="I425" s="719" t="s">
        <v>956</v>
      </c>
      <c r="J425" s="719" t="s">
        <v>927</v>
      </c>
    </row>
    <row r="426" spans="1:23">
      <c r="B426" s="276" t="s">
        <v>524</v>
      </c>
      <c r="C426" s="276" t="str">
        <f>$B$396</f>
        <v>Health and wellbeing</v>
      </c>
      <c r="D426" s="276" t="str">
        <f>$C$377</f>
        <v xml:space="preserve"> Negative impact on mental health</v>
      </c>
      <c r="E426" s="373" t="s">
        <v>1575</v>
      </c>
      <c r="F426" s="276" t="str" cm="1">
        <f t="array" ref="F426">_xlfn.XLOOKUP(1,(D432:D432=B426)*(E432:E432=C426),B432:B432,"Not found",0,1)</f>
        <v>17-5</v>
      </c>
      <c r="G426" s="343">
        <f>VLOOKUP(F426,B432:O432,11,FALSE)</f>
        <v>703.81337037882804</v>
      </c>
      <c r="H426" s="326">
        <f>D392</f>
        <v>2.1428571428571401</v>
      </c>
      <c r="I426" s="346" t="s">
        <v>1612</v>
      </c>
      <c r="J426" s="346" t="s">
        <v>1584</v>
      </c>
    </row>
    <row r="427" spans="1:23">
      <c r="B427" s="276" t="s">
        <v>525</v>
      </c>
      <c r="C427" s="276" t="str">
        <f>$B$396</f>
        <v>Health and wellbeing</v>
      </c>
      <c r="D427" s="276" t="str">
        <f>$C$377</f>
        <v xml:space="preserve"> Negative impact on mental health</v>
      </c>
      <c r="E427" s="373" t="s">
        <v>906</v>
      </c>
      <c r="F427" s="276" t="s">
        <v>907</v>
      </c>
      <c r="G427" s="343" t="s">
        <v>961</v>
      </c>
      <c r="H427" s="276" t="s">
        <v>907</v>
      </c>
      <c r="I427" s="276" t="s">
        <v>907</v>
      </c>
      <c r="J427" s="276" t="s">
        <v>907</v>
      </c>
    </row>
    <row r="428" spans="1:23">
      <c r="B428" s="276" t="s">
        <v>526</v>
      </c>
      <c r="C428" s="276" t="str">
        <f>$B$396</f>
        <v>Health and wellbeing</v>
      </c>
      <c r="D428" s="276" t="str">
        <f>$C$377</f>
        <v xml:space="preserve"> Negative impact on mental health</v>
      </c>
      <c r="E428" s="373" t="s">
        <v>906</v>
      </c>
      <c r="F428" s="276" t="s">
        <v>907</v>
      </c>
      <c r="G428" s="343" t="s">
        <v>961</v>
      </c>
      <c r="H428" s="276" t="s">
        <v>907</v>
      </c>
      <c r="I428" s="276" t="s">
        <v>907</v>
      </c>
      <c r="J428" s="276" t="s">
        <v>907</v>
      </c>
    </row>
    <row r="429" spans="1:23">
      <c r="B429" s="30"/>
    </row>
    <row r="430" spans="1:23">
      <c r="A430" s="744"/>
      <c r="B430" s="745" t="s">
        <v>962</v>
      </c>
      <c r="C430" s="744"/>
      <c r="D430" s="744"/>
      <c r="E430" s="744"/>
      <c r="F430" s="744"/>
      <c r="G430" s="744"/>
      <c r="H430" s="744"/>
    </row>
    <row r="431" spans="1:23">
      <c r="B431" s="398" t="s">
        <v>904</v>
      </c>
      <c r="C431" s="398" t="s">
        <v>62</v>
      </c>
      <c r="D431" s="398" t="s">
        <v>902</v>
      </c>
      <c r="E431" s="398" t="s">
        <v>898</v>
      </c>
      <c r="F431" s="398" t="s">
        <v>916</v>
      </c>
      <c r="G431" s="398" t="s">
        <v>963</v>
      </c>
      <c r="H431" s="398" t="s">
        <v>964</v>
      </c>
      <c r="I431" s="398" t="s">
        <v>965</v>
      </c>
      <c r="J431" s="398" t="s">
        <v>966</v>
      </c>
      <c r="K431" s="398" t="s">
        <v>967</v>
      </c>
      <c r="L431" s="398" t="s">
        <v>968</v>
      </c>
      <c r="M431" s="398" t="s">
        <v>956</v>
      </c>
      <c r="N431" s="398" t="s">
        <v>969</v>
      </c>
      <c r="O431" s="398" t="s">
        <v>970</v>
      </c>
      <c r="P431" s="398" t="s">
        <v>927</v>
      </c>
      <c r="Q431" s="398" t="s">
        <v>913</v>
      </c>
      <c r="R431" s="398" t="s">
        <v>914</v>
      </c>
      <c r="S431" s="398" t="s">
        <v>915</v>
      </c>
      <c r="T431" s="398" t="s">
        <v>916</v>
      </c>
      <c r="U431" s="398" t="s">
        <v>917</v>
      </c>
      <c r="V431" s="398" t="s">
        <v>918</v>
      </c>
      <c r="W431" s="398" t="s">
        <v>919</v>
      </c>
    </row>
    <row r="432" spans="1:23">
      <c r="B432" s="372" t="s">
        <v>1613</v>
      </c>
      <c r="C432" s="276" t="s">
        <v>1590</v>
      </c>
      <c r="D432" s="276" t="str">
        <f>B426</f>
        <v>External flooding of residential living space</v>
      </c>
      <c r="E432" s="276" t="str">
        <f>C426</f>
        <v>Health and wellbeing</v>
      </c>
      <c r="F432" s="373">
        <f>E382</f>
        <v>2021</v>
      </c>
      <c r="G432" s="276">
        <v>2018</v>
      </c>
      <c r="H432" s="276">
        <f>'COMPANY INPUT'!$C$16</f>
        <v>2023</v>
      </c>
      <c r="I432" s="276">
        <f>VLOOKUP(G432,'GDP Deflators'!$H$13:$I$86,2,FALSE)</f>
        <v>82.835999999999999</v>
      </c>
      <c r="J432" s="276">
        <f>VLOOKUP(H432,'GDP Deflators'!$H$13:$I$86,2,FALSE)</f>
        <v>100</v>
      </c>
      <c r="K432" s="343">
        <f>D422</f>
        <v>583.01084348700601</v>
      </c>
      <c r="L432" s="747">
        <f>K432*(J432/I432)</f>
        <v>703.81337037882804</v>
      </c>
      <c r="M432" s="276" t="str">
        <f>I426</f>
        <v>Damage cost</v>
      </c>
      <c r="N432" s="326">
        <f>H426</f>
        <v>2.1428571428571401</v>
      </c>
      <c r="O432" s="276" t="s">
        <v>718</v>
      </c>
      <c r="P432" s="276" t="str">
        <f>J426</f>
        <v xml:space="preserve">The EA value is selected as it is recommended for use by the UK government for calculating flood related damages. </v>
      </c>
      <c r="Q432" s="373">
        <f t="shared" ref="Q432:W432" si="8">B382</f>
        <v>39</v>
      </c>
      <c r="R432" s="276" t="str">
        <f t="shared" si="8"/>
        <v>Environment Agency (2021) Mental health costs of flooding and erosion</v>
      </c>
      <c r="S432" s="276" t="str">
        <f t="shared" si="8"/>
        <v>No</v>
      </c>
      <c r="T432" s="276">
        <f t="shared" si="8"/>
        <v>2021</v>
      </c>
      <c r="U432" s="276" t="str">
        <f t="shared" si="8"/>
        <v>UK</v>
      </c>
      <c r="V432" s="276" t="str">
        <f t="shared" si="8"/>
        <v>UK</v>
      </c>
      <c r="W432" s="276" t="str">
        <f t="shared" si="8"/>
        <v>Unknown</v>
      </c>
    </row>
  </sheetData>
  <sheetProtection algorithmName="SHA-512" hashValue="zpUyaPGitT7s8VfcW22DKq34SS7ZSjoXd7UBZWa1ucNzarRuLDwpvR9dE3h0rbyQzpqr9WHUBPFQNYlEyVTXhw==" saltValue="n8eQyPZogiW7r8b1whCs4w==" spinCount="100000" sheet="1" objects="1" scenarios="1"/>
  <dataConsolidate/>
  <mergeCells count="139">
    <mergeCell ref="D177:E177"/>
    <mergeCell ref="D178:E178"/>
    <mergeCell ref="D179:E179"/>
    <mergeCell ref="F211:H211"/>
    <mergeCell ref="F212:H212"/>
    <mergeCell ref="F213:H213"/>
    <mergeCell ref="E240:H240"/>
    <mergeCell ref="E241:H241"/>
    <mergeCell ref="E203:H203"/>
    <mergeCell ref="E204:H204"/>
    <mergeCell ref="E205:H205"/>
    <mergeCell ref="E206:H206"/>
    <mergeCell ref="E207:H207"/>
    <mergeCell ref="E92:H92"/>
    <mergeCell ref="E93:H93"/>
    <mergeCell ref="E94:H94"/>
    <mergeCell ref="E201:H201"/>
    <mergeCell ref="E202:H202"/>
    <mergeCell ref="F39:J39"/>
    <mergeCell ref="E88:H88"/>
    <mergeCell ref="E89:H89"/>
    <mergeCell ref="E90:H90"/>
    <mergeCell ref="E91:H91"/>
    <mergeCell ref="E112:H112"/>
    <mergeCell ref="E113:H113"/>
    <mergeCell ref="E114:H114"/>
    <mergeCell ref="E115:H115"/>
    <mergeCell ref="E116:H116"/>
    <mergeCell ref="E117:H117"/>
    <mergeCell ref="E118:H118"/>
    <mergeCell ref="F122:K122"/>
    <mergeCell ref="F123:K123"/>
    <mergeCell ref="F124:K124"/>
    <mergeCell ref="D172:E172"/>
    <mergeCell ref="D173:E173"/>
    <mergeCell ref="D174:E174"/>
    <mergeCell ref="D175:E175"/>
    <mergeCell ref="E32:H32"/>
    <mergeCell ref="E33:H33"/>
    <mergeCell ref="F38:J38"/>
    <mergeCell ref="F37:J37"/>
    <mergeCell ref="J397:J400"/>
    <mergeCell ref="J401:J402"/>
    <mergeCell ref="F402:H402"/>
    <mergeCell ref="F401:H401"/>
    <mergeCell ref="F397:H400"/>
    <mergeCell ref="B255:U255"/>
    <mergeCell ref="B257:U257"/>
    <mergeCell ref="B274:D274"/>
    <mergeCell ref="F98:K98"/>
    <mergeCell ref="F99:K99"/>
    <mergeCell ref="I277:I279"/>
    <mergeCell ref="E226:F226"/>
    <mergeCell ref="E227:F227"/>
    <mergeCell ref="B222:B224"/>
    <mergeCell ref="E222:F222"/>
    <mergeCell ref="G222:I224"/>
    <mergeCell ref="E223:F223"/>
    <mergeCell ref="J212:J213"/>
    <mergeCell ref="I212:I213"/>
    <mergeCell ref="F250:H250"/>
    <mergeCell ref="B422:C422"/>
    <mergeCell ref="B419:C419"/>
    <mergeCell ref="B420:C420"/>
    <mergeCell ref="B415:C415"/>
    <mergeCell ref="B416:C416"/>
    <mergeCell ref="B417:C417"/>
    <mergeCell ref="B418:C418"/>
    <mergeCell ref="B421:C421"/>
    <mergeCell ref="J364:J365"/>
    <mergeCell ref="I364:I365"/>
    <mergeCell ref="H364:H365"/>
    <mergeCell ref="I401:I402"/>
    <mergeCell ref="I397:I400"/>
    <mergeCell ref="E390:H390"/>
    <mergeCell ref="E391:H391"/>
    <mergeCell ref="E385:H385"/>
    <mergeCell ref="E386:H386"/>
    <mergeCell ref="E387:H387"/>
    <mergeCell ref="E388:H388"/>
    <mergeCell ref="E389:H389"/>
    <mergeCell ref="D9:H9"/>
    <mergeCell ref="B5:H5"/>
    <mergeCell ref="E27:H27"/>
    <mergeCell ref="E28:H28"/>
    <mergeCell ref="E29:H29"/>
    <mergeCell ref="E30:H30"/>
    <mergeCell ref="E31:H31"/>
    <mergeCell ref="C396:C402"/>
    <mergeCell ref="B396:B402"/>
    <mergeCell ref="E229:F229"/>
    <mergeCell ref="G229:H229"/>
    <mergeCell ref="E230:F231"/>
    <mergeCell ref="G230:H230"/>
    <mergeCell ref="E277:E279"/>
    <mergeCell ref="F277:F279"/>
    <mergeCell ref="H283:H284"/>
    <mergeCell ref="F396:H396"/>
    <mergeCell ref="F395:H395"/>
    <mergeCell ref="H277:H279"/>
    <mergeCell ref="B254:U254"/>
    <mergeCell ref="E224:F224"/>
    <mergeCell ref="B225:B227"/>
    <mergeCell ref="E225:F225"/>
    <mergeCell ref="G225:I227"/>
    <mergeCell ref="I251:I252"/>
    <mergeCell ref="J251:J252"/>
    <mergeCell ref="F252:H252"/>
    <mergeCell ref="G231:H231"/>
    <mergeCell ref="J222:J227"/>
    <mergeCell ref="K222:K227"/>
    <mergeCell ref="B220:K220"/>
    <mergeCell ref="C221:D221"/>
    <mergeCell ref="E221:F221"/>
    <mergeCell ref="G221:I221"/>
    <mergeCell ref="E242:H242"/>
    <mergeCell ref="E243:H243"/>
    <mergeCell ref="E244:H244"/>
    <mergeCell ref="E245:H245"/>
    <mergeCell ref="E246:H246"/>
    <mergeCell ref="F251:H251"/>
    <mergeCell ref="E294:H294"/>
    <mergeCell ref="E295:H295"/>
    <mergeCell ref="E296:H296"/>
    <mergeCell ref="E297:H297"/>
    <mergeCell ref="E298:H298"/>
    <mergeCell ref="E299:H299"/>
    <mergeCell ref="E300:H300"/>
    <mergeCell ref="F304:K304"/>
    <mergeCell ref="F305:K305"/>
    <mergeCell ref="F306:K306"/>
    <mergeCell ref="F307:K307"/>
    <mergeCell ref="D353:E353"/>
    <mergeCell ref="D354:E354"/>
    <mergeCell ref="D355:E355"/>
    <mergeCell ref="D356:E356"/>
    <mergeCell ref="D358:E358"/>
    <mergeCell ref="D359:E359"/>
    <mergeCell ref="D360:E360"/>
  </mergeCells>
  <phoneticPr fontId="16" type="noConversion"/>
  <conditionalFormatting sqref="C222:C223">
    <cfRule type="containsText" dxfId="801" priority="191" operator="containsText" text="TBI">
      <formula>NOT(ISERROR(SEARCH("TBI",C222)))</formula>
    </cfRule>
  </conditionalFormatting>
  <conditionalFormatting sqref="C225:C226">
    <cfRule type="containsText" dxfId="800" priority="189" operator="containsText" text="TBI">
      <formula>NOT(ISERROR(SEARCH("TBI",C225)))</formula>
    </cfRule>
  </conditionalFormatting>
  <conditionalFormatting sqref="D231">
    <cfRule type="containsText" dxfId="799" priority="195" operator="containsText" text="TBI">
      <formula>NOT(ISERROR(SEARCH("TBI",D231)))</formula>
    </cfRule>
  </conditionalFormatting>
  <conditionalFormatting sqref="D34:E34">
    <cfRule type="cellIs" dxfId="798" priority="43" operator="lessThanOrEqual">
      <formula>3</formula>
    </cfRule>
    <cfRule type="cellIs" dxfId="797" priority="42" operator="lessThanOrEqual">
      <formula>2.57142857142857</formula>
    </cfRule>
    <cfRule type="cellIs" dxfId="796" priority="41" operator="lessThanOrEqual">
      <formula>2.14285714285714</formula>
    </cfRule>
  </conditionalFormatting>
  <conditionalFormatting sqref="D95:E95">
    <cfRule type="cellIs" dxfId="795" priority="35" operator="lessThanOrEqual">
      <formula>2.14285714285714</formula>
    </cfRule>
    <cfRule type="cellIs" dxfId="794" priority="36" operator="lessThanOrEqual">
      <formula>2.57142857142857</formula>
    </cfRule>
    <cfRule type="cellIs" dxfId="793" priority="37" operator="lessThanOrEqual">
      <formula>3</formula>
    </cfRule>
  </conditionalFormatting>
  <conditionalFormatting sqref="D119:E119">
    <cfRule type="cellIs" dxfId="792" priority="11" operator="lessThanOrEqual">
      <formula>2.57142857142857</formula>
    </cfRule>
    <cfRule type="cellIs" dxfId="791" priority="12" operator="lessThanOrEqual">
      <formula>3</formula>
    </cfRule>
    <cfRule type="cellIs" dxfId="790" priority="10" operator="lessThanOrEqual">
      <formula>2.14285714285714</formula>
    </cfRule>
  </conditionalFormatting>
  <conditionalFormatting sqref="D208:E208">
    <cfRule type="cellIs" dxfId="789" priority="29" operator="lessThanOrEqual">
      <formula>2.14285714285714</formula>
    </cfRule>
    <cfRule type="cellIs" dxfId="788" priority="30" operator="lessThanOrEqual">
      <formula>2.57142857142857</formula>
    </cfRule>
    <cfRule type="cellIs" dxfId="787" priority="31" operator="lessThanOrEqual">
      <formula>3</formula>
    </cfRule>
  </conditionalFormatting>
  <conditionalFormatting sqref="D223:E224 D227">
    <cfRule type="containsText" dxfId="786" priority="190" operator="containsText" text="TBI">
      <formula>NOT(ISERROR(SEARCH("TBI",D223)))</formula>
    </cfRule>
  </conditionalFormatting>
  <conditionalFormatting sqref="D228:E230">
    <cfRule type="containsText" dxfId="785" priority="196" operator="containsText" text="TBI">
      <formula>NOT(ISERROR(SEARCH("TBI",D228)))</formula>
    </cfRule>
  </conditionalFormatting>
  <conditionalFormatting sqref="D247:E247">
    <cfRule type="cellIs" dxfId="784" priority="23" operator="lessThanOrEqual">
      <formula>2.14285714285714</formula>
    </cfRule>
    <cfRule type="cellIs" dxfId="783" priority="24" operator="lessThanOrEqual">
      <formula>2.57142857142857</formula>
    </cfRule>
    <cfRule type="cellIs" dxfId="782" priority="25" operator="lessThanOrEqual">
      <formula>3</formula>
    </cfRule>
  </conditionalFormatting>
  <conditionalFormatting sqref="D301:E301">
    <cfRule type="cellIs" dxfId="781" priority="4" operator="lessThanOrEqual">
      <formula>2.14285714285714</formula>
    </cfRule>
    <cfRule type="cellIs" dxfId="780" priority="5" operator="lessThanOrEqual">
      <formula>2.57142857142857</formula>
    </cfRule>
    <cfRule type="cellIs" dxfId="779" priority="6" operator="lessThanOrEqual">
      <formula>3</formula>
    </cfRule>
  </conditionalFormatting>
  <conditionalFormatting sqref="D392:E392">
    <cfRule type="cellIs" dxfId="778" priority="19" operator="lessThanOrEqual">
      <formula>3</formula>
    </cfRule>
    <cfRule type="cellIs" dxfId="777" priority="17" operator="lessThanOrEqual">
      <formula>2.14285714285714</formula>
    </cfRule>
    <cfRule type="cellIs" dxfId="776" priority="18" operator="lessThanOrEqual">
      <formula>2.57142857142857</formula>
    </cfRule>
  </conditionalFormatting>
  <conditionalFormatting sqref="D11:H13">
    <cfRule type="notContainsBlanks" dxfId="775" priority="13">
      <formula>LEN(TRIM(D11))&gt;0</formula>
    </cfRule>
  </conditionalFormatting>
  <conditionalFormatting sqref="E34">
    <cfRule type="containsText" dxfId="774" priority="40" operator="containsText" text="Red">
      <formula>NOT(ISERROR(SEARCH("Red",E34)))</formula>
    </cfRule>
    <cfRule type="containsText" dxfId="773" priority="39" operator="containsText" text="Amber">
      <formula>NOT(ISERROR(SEARCH("Amber",E34)))</formula>
    </cfRule>
    <cfRule type="containsText" dxfId="772" priority="38" operator="containsText" text="Green">
      <formula>NOT(ISERROR(SEARCH("Green",E34)))</formula>
    </cfRule>
  </conditionalFormatting>
  <conditionalFormatting sqref="E95">
    <cfRule type="containsText" dxfId="771" priority="32" operator="containsText" text="Green">
      <formula>NOT(ISERROR(SEARCH("Green",E95)))</formula>
    </cfRule>
    <cfRule type="containsText" dxfId="770" priority="33" operator="containsText" text="Amber">
      <formula>NOT(ISERROR(SEARCH("Amber",E95)))</formula>
    </cfRule>
    <cfRule type="containsText" dxfId="769" priority="34" operator="containsText" text="Red">
      <formula>NOT(ISERROR(SEARCH("Red",E95)))</formula>
    </cfRule>
  </conditionalFormatting>
  <conditionalFormatting sqref="E119">
    <cfRule type="containsText" dxfId="768" priority="7" operator="containsText" text="Green">
      <formula>NOT(ISERROR(SEARCH("Green",E119)))</formula>
    </cfRule>
    <cfRule type="containsText" dxfId="767" priority="8" operator="containsText" text="Amber">
      <formula>NOT(ISERROR(SEARCH("Amber",E119)))</formula>
    </cfRule>
    <cfRule type="containsText" dxfId="766" priority="9" operator="containsText" text="Red">
      <formula>NOT(ISERROR(SEARCH("Red",E119)))</formula>
    </cfRule>
  </conditionalFormatting>
  <conditionalFormatting sqref="E208">
    <cfRule type="containsText" dxfId="765" priority="28" operator="containsText" text="Red">
      <formula>NOT(ISERROR(SEARCH("Red",E208)))</formula>
    </cfRule>
    <cfRule type="containsText" dxfId="764" priority="26" operator="containsText" text="Green">
      <formula>NOT(ISERROR(SEARCH("Green",E208)))</formula>
    </cfRule>
    <cfRule type="containsText" dxfId="763" priority="27" operator="containsText" text="Amber">
      <formula>NOT(ISERROR(SEARCH("Amber",E208)))</formula>
    </cfRule>
  </conditionalFormatting>
  <conditionalFormatting sqref="E225:E227">
    <cfRule type="containsText" dxfId="762" priority="188" operator="containsText" text="TBI">
      <formula>NOT(ISERROR(SEARCH("TBI",E225)))</formula>
    </cfRule>
  </conditionalFormatting>
  <conditionalFormatting sqref="E247">
    <cfRule type="containsText" dxfId="761" priority="20" operator="containsText" text="Green">
      <formula>NOT(ISERROR(SEARCH("Green",E247)))</formula>
    </cfRule>
    <cfRule type="containsText" dxfId="760" priority="22" operator="containsText" text="Red">
      <formula>NOT(ISERROR(SEARCH("Red",E247)))</formula>
    </cfRule>
    <cfRule type="containsText" dxfId="759" priority="21" operator="containsText" text="Amber">
      <formula>NOT(ISERROR(SEARCH("Amber",E247)))</formula>
    </cfRule>
  </conditionalFormatting>
  <conditionalFormatting sqref="E301">
    <cfRule type="containsText" dxfId="758" priority="1" operator="containsText" text="Green">
      <formula>NOT(ISERROR(SEARCH("Green",E301)))</formula>
    </cfRule>
    <cfRule type="containsText" dxfId="757" priority="3" operator="containsText" text="Red">
      <formula>NOT(ISERROR(SEARCH("Red",E301)))</formula>
    </cfRule>
    <cfRule type="containsText" dxfId="756" priority="2" operator="containsText" text="Amber">
      <formula>NOT(ISERROR(SEARCH("Amber",E301)))</formula>
    </cfRule>
  </conditionalFormatting>
  <conditionalFormatting sqref="E392">
    <cfRule type="containsText" dxfId="755" priority="16" operator="containsText" text="Red">
      <formula>NOT(ISERROR(SEARCH("Red",E392)))</formula>
    </cfRule>
    <cfRule type="containsText" dxfId="754" priority="15" operator="containsText" text="Amber">
      <formula>NOT(ISERROR(SEARCH("Amber",E392)))</formula>
    </cfRule>
    <cfRule type="containsText" dxfId="753" priority="14" operator="containsText" text="Green">
      <formula>NOT(ISERROR(SEARCH("Green",E392)))</formula>
    </cfRule>
  </conditionalFormatting>
  <conditionalFormatting sqref="H69">
    <cfRule type="cellIs" dxfId="752" priority="91" operator="lessThanOrEqual">
      <formula>3</formula>
    </cfRule>
    <cfRule type="cellIs" dxfId="751" priority="90" operator="lessThanOrEqual">
      <formula>2.57142857142857</formula>
    </cfRule>
    <cfRule type="cellIs" dxfId="750" priority="89" operator="lessThanOrEqual">
      <formula>2.14285714285714</formula>
    </cfRule>
  </conditionalFormatting>
  <conditionalFormatting sqref="H183">
    <cfRule type="cellIs" dxfId="749" priority="79" operator="lessThanOrEqual">
      <formula>3</formula>
    </cfRule>
    <cfRule type="cellIs" dxfId="748" priority="78" operator="lessThanOrEqual">
      <formula>2.57142857142857</formula>
    </cfRule>
    <cfRule type="cellIs" dxfId="747" priority="77" operator="lessThanOrEqual">
      <formula>2.14285714285714</formula>
    </cfRule>
  </conditionalFormatting>
  <conditionalFormatting sqref="H364">
    <cfRule type="cellIs" dxfId="746" priority="61" operator="lessThanOrEqual">
      <formula>3</formula>
    </cfRule>
    <cfRule type="cellIs" dxfId="745" priority="59" operator="lessThanOrEqual">
      <formula>2.14285714285714</formula>
    </cfRule>
    <cfRule type="cellIs" dxfId="744" priority="60" operator="lessThanOrEqual">
      <formula>2.57142857142857</formula>
    </cfRule>
  </conditionalFormatting>
  <conditionalFormatting sqref="H426">
    <cfRule type="cellIs" dxfId="743" priority="47" operator="lessThanOrEqual">
      <formula>2.14285714285714</formula>
    </cfRule>
    <cfRule type="cellIs" dxfId="742" priority="48" operator="lessThanOrEqual">
      <formula>2.57142857142857</formula>
    </cfRule>
    <cfRule type="cellIs" dxfId="741" priority="49" operator="lessThanOrEqual">
      <formula>3</formula>
    </cfRule>
  </conditionalFormatting>
  <conditionalFormatting sqref="N75">
    <cfRule type="cellIs" dxfId="740" priority="87" operator="lessThanOrEqual">
      <formula>2.57142857142857</formula>
    </cfRule>
    <cfRule type="cellIs" dxfId="739" priority="88" operator="lessThanOrEqual">
      <formula>3</formula>
    </cfRule>
    <cfRule type="cellIs" dxfId="738" priority="86" operator="lessThanOrEqual">
      <formula>2.14285714285714</formula>
    </cfRule>
  </conditionalFormatting>
  <conditionalFormatting sqref="N187:N188">
    <cfRule type="cellIs" dxfId="737" priority="76" operator="lessThanOrEqual">
      <formula>3</formula>
    </cfRule>
    <cfRule type="cellIs" dxfId="736" priority="74" operator="lessThanOrEqual">
      <formula>2.14285714285714</formula>
    </cfRule>
    <cfRule type="cellIs" dxfId="735" priority="75" operator="lessThanOrEqual">
      <formula>2.57142857142857</formula>
    </cfRule>
  </conditionalFormatting>
  <conditionalFormatting sqref="N369:N372">
    <cfRule type="cellIs" dxfId="734" priority="58" operator="lessThanOrEqual">
      <formula>3</formula>
    </cfRule>
    <cfRule type="cellIs" dxfId="733" priority="57" operator="lessThanOrEqual">
      <formula>2.57142857142857</formula>
    </cfRule>
    <cfRule type="cellIs" dxfId="732" priority="56" operator="lessThanOrEqual">
      <formula>2.14285714285714</formula>
    </cfRule>
  </conditionalFormatting>
  <conditionalFormatting sqref="N432">
    <cfRule type="cellIs" dxfId="731" priority="46" operator="lessThanOrEqual">
      <formula>3</formula>
    </cfRule>
    <cfRule type="cellIs" dxfId="730" priority="45" operator="lessThanOrEqual">
      <formula>2.57142857142857</formula>
    </cfRule>
    <cfRule type="cellIs" dxfId="729" priority="44" operator="lessThanOrEqual">
      <formula>2.14285714285714</formula>
    </cfRule>
  </conditionalFormatting>
  <dataValidations disablePrompts="1" count="1">
    <dataValidation type="list" allowBlank="1" showInputMessage="1" showErrorMessage="1" sqref="C89:C94 C35 C28:C33 C248 C241:C246 C386:C391 C393 C202:C207 C120 C113:C118 C302 C295:C300" xr:uid="{7ED2CA9D-76F6-49F9-B1FC-C60614AD79F2}">
      <formula1>"High, Medium, Low"</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9ECA2-176E-41EF-8CF9-CA7EA41AE314}">
  <sheetPr codeName="Sheet26">
    <tabColor theme="5" tint="0.59999389629810485"/>
  </sheetPr>
  <dimension ref="A1:J62"/>
  <sheetViews>
    <sheetView workbookViewId="0">
      <selection activeCell="B2" sqref="B2"/>
    </sheetView>
  </sheetViews>
  <sheetFormatPr defaultColWidth="9" defaultRowHeight="14.45"/>
  <cols>
    <col min="1" max="1" width="3.5" style="262" customWidth="1"/>
    <col min="2" max="3" width="40.625" style="262" customWidth="1"/>
    <col min="4" max="15" width="15.625" style="262" customWidth="1"/>
    <col min="16" max="16" width="16.125" style="262" customWidth="1"/>
    <col min="17" max="17" width="9" style="262" bestFit="1"/>
    <col min="18" max="18" width="16.625" style="262" customWidth="1"/>
    <col min="19" max="19" width="18.5" style="262" customWidth="1"/>
    <col min="20" max="16384" width="9" style="262"/>
  </cols>
  <sheetData>
    <row r="1" spans="1:10" ht="15" thickBot="1">
      <c r="A1" s="2"/>
      <c r="B1" s="2"/>
      <c r="C1" s="2"/>
      <c r="D1" s="2"/>
      <c r="E1" s="2"/>
      <c r="F1" s="2"/>
      <c r="G1" s="2"/>
      <c r="H1" s="2"/>
      <c r="I1" s="2"/>
      <c r="J1" s="2"/>
    </row>
    <row r="2" spans="1:10" s="710" customFormat="1" ht="18.95" thickBot="1">
      <c r="A2" s="707"/>
      <c r="B2" s="749" t="s">
        <v>527</v>
      </c>
      <c r="C2" s="711"/>
      <c r="D2" s="711"/>
    </row>
    <row r="4" spans="1:10" s="714" customFormat="1" ht="18.600000000000001">
      <c r="A4" s="715"/>
      <c r="B4" s="713" t="s">
        <v>893</v>
      </c>
      <c r="C4" s="715"/>
      <c r="D4" s="715"/>
      <c r="E4" s="715"/>
      <c r="F4" s="715"/>
      <c r="G4" s="715"/>
      <c r="H4" s="715"/>
    </row>
    <row r="5" spans="1:10" s="7" customFormat="1" ht="113.25" customHeight="1">
      <c r="A5" s="737"/>
      <c r="B5" s="1152" t="s">
        <v>1614</v>
      </c>
      <c r="C5" s="1152"/>
      <c r="D5" s="1152"/>
      <c r="E5" s="1152"/>
      <c r="F5" s="1152"/>
      <c r="G5" s="1152"/>
      <c r="H5" s="1152"/>
    </row>
    <row r="6" spans="1:10" s="7" customFormat="1"/>
    <row r="7" spans="1:10" s="718" customFormat="1" ht="18.600000000000001">
      <c r="A7" s="724"/>
      <c r="B7" s="724" t="s">
        <v>895</v>
      </c>
      <c r="C7" s="724"/>
      <c r="D7" s="724"/>
      <c r="E7" s="724"/>
      <c r="F7" s="724"/>
      <c r="G7" s="724"/>
      <c r="H7" s="724"/>
    </row>
    <row r="9" spans="1:10">
      <c r="A9" s="2"/>
      <c r="B9" s="2"/>
      <c r="C9" s="2"/>
      <c r="D9" s="1134" t="s">
        <v>479</v>
      </c>
      <c r="E9" s="1134"/>
      <c r="F9" s="1134"/>
      <c r="G9" s="1134"/>
      <c r="H9" s="1134"/>
      <c r="I9" s="1134"/>
      <c r="J9" s="1134"/>
    </row>
    <row r="10" spans="1:10" ht="29.1">
      <c r="A10" s="2"/>
      <c r="B10" s="521" t="s">
        <v>104</v>
      </c>
      <c r="C10" s="521" t="s">
        <v>226</v>
      </c>
      <c r="D10" s="719" t="s">
        <v>448</v>
      </c>
      <c r="E10" s="719" t="s">
        <v>1615</v>
      </c>
      <c r="F10" s="719" t="s">
        <v>269</v>
      </c>
      <c r="G10" s="719" t="s">
        <v>230</v>
      </c>
      <c r="H10" s="719" t="s">
        <v>460</v>
      </c>
      <c r="I10" s="719" t="s">
        <v>151</v>
      </c>
      <c r="J10" s="719" t="s">
        <v>465</v>
      </c>
    </row>
    <row r="11" spans="1:10">
      <c r="A11" s="2"/>
      <c r="B11" s="278" t="s">
        <v>528</v>
      </c>
      <c r="C11" s="297" t="s">
        <v>393</v>
      </c>
      <c r="D11" s="374" t="str" cm="1">
        <f t="array" ref="D11">_xlfn.XLOOKUP(1,($B11=$B$55:$B$58)*(D$10=$C$55:$C$58),$G$55:$G$58,"Not found",0,1)</f>
        <v>LG(H)</v>
      </c>
      <c r="E11" s="374"/>
      <c r="F11" s="374"/>
      <c r="G11" s="374"/>
      <c r="H11" s="374" t="str" cm="1">
        <f t="array" ref="H11">_xlfn.XLOOKUP(1,($B11=$B$59:$B$62)*(H$10=$C$59:$C$62),$G$59:$G$62,"Not found",0,1)</f>
        <v>LG(H)</v>
      </c>
      <c r="I11" s="374"/>
      <c r="J11" s="374"/>
    </row>
    <row r="12" spans="1:10">
      <c r="A12" s="2"/>
      <c r="B12" s="278" t="s">
        <v>529</v>
      </c>
      <c r="C12" s="297" t="s">
        <v>393</v>
      </c>
      <c r="D12" s="374" t="str" cm="1">
        <f t="array" ref="D12">_xlfn.XLOOKUP(1,($B12=$B$55:$B$58)*(D$10=$C$55:$C$58),$G$55:$G$58,"Not found",0,1)</f>
        <v>LG(H)</v>
      </c>
      <c r="E12" s="374" t="str" cm="1">
        <f t="array" ref="E12">_xlfn.XLOOKUP(1,($B12=$B$29:$B$43)*(E$10=$C$29:$C$43),$G$29:$G$43,"Not found",0,1)</f>
        <v>LG(L)</v>
      </c>
      <c r="F12" s="374" t="str" cm="1">
        <f t="array" ref="F12">_xlfn.XLOOKUP(1,($B12=$B$29:$B$43)*(F$10=$C$29:$C$43),$G$29:$G$43,"Not found",0,1)</f>
        <v>&lt;/&gt;</v>
      </c>
      <c r="G12" s="374" t="str" cm="1">
        <f t="array" ref="G12">_xlfn.XLOOKUP(1,($B12=$B$29:$B$43)*(G$10=$C$29:$C$43),$G$29:$G$43,"Not found",0,1)</f>
        <v>&lt;/&gt;</v>
      </c>
      <c r="H12" s="374" t="str" cm="1">
        <f t="array" ref="H12">_xlfn.XLOOKUP(1,($B12=$B$59:$B$62)*(H$10=$C$59:$C$62),$G$59:$G$62,"Not found",0,1)</f>
        <v>LG(H)</v>
      </c>
      <c r="I12" s="374" t="str" cm="1">
        <f t="array" ref="I12">_xlfn.XLOOKUP(1,($B12=$B$29:$B$43)*(I$10=$C$29:$C$43),$G$29:$G$43,"Not found",0,1)</f>
        <v>&lt;/&gt;</v>
      </c>
      <c r="J12" s="374" t="str" cm="1">
        <f t="array" ref="J12">_xlfn.XLOOKUP(1,($B12=$B$29:$B$43)*(J$10=$C$29:$C$43),$G$29:$G$43,"Not found",0,1)</f>
        <v>&lt;/&gt;</v>
      </c>
    </row>
    <row r="13" spans="1:10">
      <c r="A13" s="2"/>
      <c r="B13" s="278" t="s">
        <v>530</v>
      </c>
      <c r="C13" s="297" t="s">
        <v>393</v>
      </c>
      <c r="D13" s="374" t="str" cm="1">
        <f t="array" ref="D13">_xlfn.XLOOKUP(1,($B13=$B$55:$B$58)*(D$10=$C$55:$C$58),$G$55:$G$58,"Not found",0,1)</f>
        <v>LG(H)</v>
      </c>
      <c r="E13" s="374" t="str" cm="1">
        <f t="array" ref="E13">_xlfn.XLOOKUP(1,($B13=$B$29:$B$43)*(E$10=$C$29:$C$43),$G$29:$G$43,"Not found",0,1)</f>
        <v>LG(L)</v>
      </c>
      <c r="F13" s="374" t="str" cm="1">
        <f t="array" ref="F13">_xlfn.XLOOKUP(1,($B13=$B$29:$B$43)*(F$10=$C$29:$C$43),$G$29:$G$43,"Not found",0,1)</f>
        <v>&lt;/&gt;</v>
      </c>
      <c r="G13" s="374" t="str" cm="1">
        <f t="array" ref="G13">_xlfn.XLOOKUP(1,($B13=$B$29:$B$43)*(G$10=$C$29:$C$43),$G$29:$G$43,"Not found",0,1)</f>
        <v>&lt;/&gt;</v>
      </c>
      <c r="H13" s="374" t="str" cm="1">
        <f t="array" ref="H13">_xlfn.XLOOKUP(1,($B13=$B$59:$B$62)*(H$10=$C$59:$C$62),$G$59:$G$62,"Not found",0,1)</f>
        <v>LG(H)</v>
      </c>
      <c r="I13" s="374" t="str" cm="1">
        <f t="array" ref="I13">_xlfn.XLOOKUP(1,($B13=$B$29:$B$43)*(I$10=$C$29:$C$43),$G$29:$G$43,"Not found",0,1)</f>
        <v>&lt;/&gt;</v>
      </c>
      <c r="J13" s="374" t="str" cm="1">
        <f t="array" ref="J13">_xlfn.XLOOKUP(1,($B13=$B$29:$B$43)*(J$10=$C$29:$C$43),$G$29:$G$43,"Not found",0,1)</f>
        <v>&lt;/&gt;</v>
      </c>
    </row>
    <row r="14" spans="1:10">
      <c r="A14" s="2"/>
      <c r="B14" s="278" t="s">
        <v>531</v>
      </c>
      <c r="C14" s="297" t="s">
        <v>393</v>
      </c>
      <c r="D14" s="374" t="str" cm="1">
        <f t="array" ref="D14">_xlfn.XLOOKUP(1,($B14=$B$55:$B$58)*(D$10=$C$55:$C$58),$G$55:$G$58,"Not found",0,1)</f>
        <v>LG(H)</v>
      </c>
      <c r="E14" s="374" t="str" cm="1">
        <f t="array" ref="E14">_xlfn.XLOOKUP(1,($B14=$B$29:$B$43)*(E$10=$C$29:$C$43),$G$29:$G$43,"Not found",0,1)</f>
        <v>LG(L)</v>
      </c>
      <c r="F14" s="374" t="str" cm="1">
        <f t="array" ref="F14">_xlfn.XLOOKUP(1,($B14=$B$29:$B$43)*(F$10=$C$29:$C$43),$G$29:$G$43,"Not found",0,1)</f>
        <v>&lt;/&gt;</v>
      </c>
      <c r="G14" s="374" t="str" cm="1">
        <f t="array" ref="G14">_xlfn.XLOOKUP(1,($B14=$B$29:$B$43)*(G$10=$C$29:$C$43),$G$29:$G$43,"Not found",0,1)</f>
        <v>&lt;/&gt;</v>
      </c>
      <c r="H14" s="374" t="str" cm="1">
        <f t="array" ref="H14">_xlfn.XLOOKUP(1,($B14=$B$59:$B$62)*(H$10=$C$59:$C$62),$G$59:$G$62,"Not found",0,1)</f>
        <v>LG(H)</v>
      </c>
      <c r="I14" s="374" t="str" cm="1">
        <f t="array" ref="I14">_xlfn.XLOOKUP(1,($B14=$B$29:$B$43)*(I$10=$C$29:$C$43),$G$29:$G$43,"Not found",0,1)</f>
        <v>&lt;/&gt;</v>
      </c>
      <c r="J14" s="374" t="str" cm="1">
        <f t="array" ref="J14">_xlfn.XLOOKUP(1,($B14=$B$29:$B$43)*(J$10=$C$29:$C$43),$G$29:$G$43,"Not found",0,1)</f>
        <v>&lt;/&gt;</v>
      </c>
    </row>
    <row r="15" spans="1:10">
      <c r="A15" s="2"/>
      <c r="B15" s="800" t="s">
        <v>896</v>
      </c>
      <c r="C15" s="2"/>
      <c r="D15" s="2"/>
      <c r="E15" s="2"/>
      <c r="F15" s="2"/>
      <c r="G15" s="2"/>
      <c r="H15" s="2"/>
      <c r="I15" s="2"/>
      <c r="J15" s="2"/>
    </row>
    <row r="17" spans="1:10">
      <c r="A17" s="721"/>
      <c r="B17" s="722" t="s">
        <v>1616</v>
      </c>
      <c r="C17" s="721"/>
      <c r="D17" s="721"/>
      <c r="E17" s="721"/>
      <c r="F17" s="721"/>
      <c r="G17" s="721"/>
      <c r="H17" s="721"/>
      <c r="I17" s="2"/>
      <c r="J17" s="2"/>
    </row>
    <row r="18" spans="1:10">
      <c r="A18" s="727"/>
      <c r="B18" s="729" t="s">
        <v>897</v>
      </c>
      <c r="C18" s="727"/>
      <c r="D18" s="727"/>
      <c r="E18" s="727"/>
      <c r="F18" s="727"/>
      <c r="G18" s="727"/>
      <c r="H18" s="727"/>
      <c r="I18" s="2"/>
      <c r="J18" s="2"/>
    </row>
    <row r="19" spans="1:10">
      <c r="A19" s="2"/>
      <c r="B19" s="277" t="s">
        <v>898</v>
      </c>
      <c r="C19" s="277" t="s">
        <v>899</v>
      </c>
      <c r="D19" s="2"/>
      <c r="E19" s="2"/>
      <c r="F19" s="2"/>
      <c r="G19" s="2"/>
      <c r="H19" s="2"/>
      <c r="I19" s="2"/>
      <c r="J19" s="2"/>
    </row>
    <row r="20" spans="1:10">
      <c r="A20" s="2"/>
      <c r="B20" s="278" t="s">
        <v>1615</v>
      </c>
      <c r="C20" s="278" t="s">
        <v>1617</v>
      </c>
      <c r="D20" s="2"/>
      <c r="E20" s="2"/>
      <c r="F20" s="2"/>
      <c r="G20" s="2"/>
      <c r="H20" s="2"/>
      <c r="I20" s="2"/>
      <c r="J20" s="2"/>
    </row>
    <row r="21" spans="1:10">
      <c r="A21" s="2"/>
      <c r="B21" s="278" t="s">
        <v>269</v>
      </c>
      <c r="C21" s="278" t="s">
        <v>1618</v>
      </c>
      <c r="D21" s="2"/>
      <c r="E21" s="2"/>
      <c r="F21" s="2"/>
      <c r="G21" s="2"/>
      <c r="H21" s="2"/>
      <c r="I21" s="2"/>
      <c r="J21" s="2"/>
    </row>
    <row r="22" spans="1:10">
      <c r="A22" s="2"/>
      <c r="B22" s="278" t="s">
        <v>230</v>
      </c>
      <c r="C22" s="278" t="s">
        <v>1619</v>
      </c>
      <c r="D22" s="2"/>
      <c r="E22" s="2"/>
      <c r="F22" s="2"/>
      <c r="G22" s="2"/>
      <c r="H22" s="2"/>
      <c r="I22" s="2"/>
      <c r="J22" s="2"/>
    </row>
    <row r="23" spans="1:10">
      <c r="A23" s="2"/>
      <c r="B23" s="278" t="s">
        <v>1359</v>
      </c>
      <c r="C23" s="278" t="s">
        <v>992</v>
      </c>
      <c r="D23" s="2"/>
      <c r="E23" s="2"/>
      <c r="F23" s="2"/>
      <c r="G23" s="2"/>
      <c r="H23" s="2"/>
      <c r="I23" s="2"/>
      <c r="J23" s="2"/>
    </row>
    <row r="24" spans="1:10">
      <c r="A24" s="2"/>
      <c r="B24" s="278" t="s">
        <v>1379</v>
      </c>
      <c r="C24" s="278" t="s">
        <v>1620</v>
      </c>
      <c r="D24" s="2"/>
      <c r="E24" s="2"/>
      <c r="F24" s="2"/>
      <c r="G24" s="2"/>
      <c r="H24" s="2"/>
      <c r="I24" s="2"/>
      <c r="J24" s="2"/>
    </row>
    <row r="27" spans="1:10">
      <c r="A27" s="727"/>
      <c r="B27" s="728" t="s">
        <v>901</v>
      </c>
      <c r="C27" s="727"/>
      <c r="D27" s="727"/>
      <c r="E27" s="727"/>
      <c r="F27" s="727"/>
      <c r="G27" s="727"/>
      <c r="H27" s="727"/>
      <c r="I27" s="2"/>
      <c r="J27" s="2"/>
    </row>
    <row r="28" spans="1:10" ht="29.1">
      <c r="A28" s="2"/>
      <c r="B28" s="719" t="s">
        <v>902</v>
      </c>
      <c r="C28" s="719" t="s">
        <v>898</v>
      </c>
      <c r="D28" s="719" t="s">
        <v>899</v>
      </c>
      <c r="E28" s="719" t="s">
        <v>903</v>
      </c>
      <c r="F28" s="719" t="s">
        <v>904</v>
      </c>
      <c r="G28" s="774" t="s">
        <v>905</v>
      </c>
      <c r="H28" s="719" t="s">
        <v>924</v>
      </c>
      <c r="I28" s="719" t="s">
        <v>956</v>
      </c>
      <c r="J28" s="719" t="s">
        <v>927</v>
      </c>
    </row>
    <row r="29" spans="1:10">
      <c r="A29" s="2"/>
      <c r="B29" s="278" t="s">
        <v>529</v>
      </c>
      <c r="C29" s="278" t="s">
        <v>354</v>
      </c>
      <c r="D29" s="299" t="s">
        <v>1621</v>
      </c>
      <c r="E29" s="299" t="s">
        <v>906</v>
      </c>
      <c r="F29" s="278" t="s">
        <v>906</v>
      </c>
      <c r="G29" s="311" t="s">
        <v>961</v>
      </c>
      <c r="H29" s="640" t="s">
        <v>907</v>
      </c>
      <c r="I29" s="279" t="s">
        <v>907</v>
      </c>
      <c r="J29" s="279" t="s">
        <v>1622</v>
      </c>
    </row>
    <row r="30" spans="1:10">
      <c r="A30" s="2"/>
      <c r="B30" s="278" t="s">
        <v>530</v>
      </c>
      <c r="C30" s="278" t="s">
        <v>354</v>
      </c>
      <c r="D30" s="299" t="s">
        <v>1621</v>
      </c>
      <c r="E30" s="299" t="s">
        <v>906</v>
      </c>
      <c r="F30" s="278" t="s">
        <v>906</v>
      </c>
      <c r="G30" s="311" t="s">
        <v>961</v>
      </c>
      <c r="H30" s="640" t="s">
        <v>907</v>
      </c>
      <c r="I30" s="279" t="s">
        <v>907</v>
      </c>
      <c r="J30" s="279" t="s">
        <v>1622</v>
      </c>
    </row>
    <row r="31" spans="1:10">
      <c r="A31" s="2"/>
      <c r="B31" s="278" t="s">
        <v>531</v>
      </c>
      <c r="C31" s="278" t="s">
        <v>354</v>
      </c>
      <c r="D31" s="299" t="s">
        <v>1621</v>
      </c>
      <c r="E31" s="299" t="s">
        <v>906</v>
      </c>
      <c r="F31" s="278" t="s">
        <v>906</v>
      </c>
      <c r="G31" s="311" t="s">
        <v>961</v>
      </c>
      <c r="H31" s="640" t="s">
        <v>907</v>
      </c>
      <c r="I31" s="279" t="s">
        <v>907</v>
      </c>
      <c r="J31" s="279" t="s">
        <v>1622</v>
      </c>
    </row>
    <row r="32" spans="1:10">
      <c r="A32" s="2"/>
      <c r="B32" s="278" t="s">
        <v>529</v>
      </c>
      <c r="C32" s="278" t="s">
        <v>269</v>
      </c>
      <c r="D32" s="299" t="s">
        <v>1618</v>
      </c>
      <c r="E32" s="299" t="s">
        <v>906</v>
      </c>
      <c r="F32" s="278" t="s">
        <v>906</v>
      </c>
      <c r="G32" s="311" t="s">
        <v>473</v>
      </c>
      <c r="H32" s="640" t="s">
        <v>907</v>
      </c>
      <c r="I32" s="279" t="s">
        <v>907</v>
      </c>
      <c r="J32" s="279" t="s">
        <v>1622</v>
      </c>
    </row>
    <row r="33" spans="1:10">
      <c r="A33" s="2"/>
      <c r="B33" s="278" t="s">
        <v>530</v>
      </c>
      <c r="C33" s="278" t="s">
        <v>269</v>
      </c>
      <c r="D33" s="299" t="s">
        <v>1618</v>
      </c>
      <c r="E33" s="299" t="s">
        <v>906</v>
      </c>
      <c r="F33" s="278" t="s">
        <v>906</v>
      </c>
      <c r="G33" s="311" t="s">
        <v>473</v>
      </c>
      <c r="H33" s="640" t="s">
        <v>907</v>
      </c>
      <c r="I33" s="279" t="s">
        <v>907</v>
      </c>
      <c r="J33" s="279" t="s">
        <v>1622</v>
      </c>
    </row>
    <row r="34" spans="1:10">
      <c r="A34" s="2"/>
      <c r="B34" s="278" t="s">
        <v>531</v>
      </c>
      <c r="C34" s="278" t="s">
        <v>269</v>
      </c>
      <c r="D34" s="299" t="s">
        <v>1618</v>
      </c>
      <c r="E34" s="299" t="s">
        <v>906</v>
      </c>
      <c r="F34" s="278" t="s">
        <v>906</v>
      </c>
      <c r="G34" s="311" t="s">
        <v>473</v>
      </c>
      <c r="H34" s="640" t="s">
        <v>907</v>
      </c>
      <c r="I34" s="279" t="s">
        <v>907</v>
      </c>
      <c r="J34" s="279" t="s">
        <v>1622</v>
      </c>
    </row>
    <row r="35" spans="1:10">
      <c r="A35" s="2"/>
      <c r="B35" s="278" t="s">
        <v>529</v>
      </c>
      <c r="C35" s="278" t="s">
        <v>230</v>
      </c>
      <c r="D35" s="299" t="s">
        <v>1619</v>
      </c>
      <c r="E35" s="299" t="s">
        <v>906</v>
      </c>
      <c r="F35" s="278" t="s">
        <v>906</v>
      </c>
      <c r="G35" s="311" t="s">
        <v>473</v>
      </c>
      <c r="H35" s="640" t="s">
        <v>907</v>
      </c>
      <c r="I35" s="279" t="s">
        <v>907</v>
      </c>
      <c r="J35" s="279" t="s">
        <v>1622</v>
      </c>
    </row>
    <row r="36" spans="1:10">
      <c r="A36" s="2"/>
      <c r="B36" s="278" t="s">
        <v>530</v>
      </c>
      <c r="C36" s="278" t="s">
        <v>230</v>
      </c>
      <c r="D36" s="299" t="s">
        <v>1619</v>
      </c>
      <c r="E36" s="299" t="s">
        <v>906</v>
      </c>
      <c r="F36" s="278" t="s">
        <v>906</v>
      </c>
      <c r="G36" s="311" t="s">
        <v>473</v>
      </c>
      <c r="H36" s="640" t="s">
        <v>907</v>
      </c>
      <c r="I36" s="279" t="s">
        <v>907</v>
      </c>
      <c r="J36" s="279" t="s">
        <v>1622</v>
      </c>
    </row>
    <row r="37" spans="1:10">
      <c r="A37" s="2"/>
      <c r="B37" s="278" t="s">
        <v>531</v>
      </c>
      <c r="C37" s="278" t="s">
        <v>230</v>
      </c>
      <c r="D37" s="299" t="s">
        <v>1619</v>
      </c>
      <c r="E37" s="299" t="s">
        <v>906</v>
      </c>
      <c r="F37" s="278" t="s">
        <v>906</v>
      </c>
      <c r="G37" s="311" t="s">
        <v>473</v>
      </c>
      <c r="H37" s="640" t="s">
        <v>907</v>
      </c>
      <c r="I37" s="279" t="s">
        <v>907</v>
      </c>
      <c r="J37" s="279" t="s">
        <v>1622</v>
      </c>
    </row>
    <row r="38" spans="1:10">
      <c r="A38" s="2"/>
      <c r="B38" s="278" t="s">
        <v>529</v>
      </c>
      <c r="C38" s="278" t="s">
        <v>151</v>
      </c>
      <c r="D38" s="299" t="s">
        <v>1619</v>
      </c>
      <c r="E38" s="299" t="s">
        <v>906</v>
      </c>
      <c r="F38" s="278" t="s">
        <v>906</v>
      </c>
      <c r="G38" s="311" t="s">
        <v>473</v>
      </c>
      <c r="H38" s="640" t="s">
        <v>907</v>
      </c>
      <c r="I38" s="279" t="s">
        <v>907</v>
      </c>
      <c r="J38" s="279" t="s">
        <v>1622</v>
      </c>
    </row>
    <row r="39" spans="1:10">
      <c r="A39" s="2"/>
      <c r="B39" s="278" t="s">
        <v>530</v>
      </c>
      <c r="C39" s="278" t="s">
        <v>151</v>
      </c>
      <c r="D39" s="299" t="s">
        <v>1619</v>
      </c>
      <c r="E39" s="299" t="s">
        <v>906</v>
      </c>
      <c r="F39" s="278" t="s">
        <v>906</v>
      </c>
      <c r="G39" s="311" t="s">
        <v>473</v>
      </c>
      <c r="H39" s="640" t="s">
        <v>907</v>
      </c>
      <c r="I39" s="279" t="s">
        <v>907</v>
      </c>
      <c r="J39" s="279" t="s">
        <v>1622</v>
      </c>
    </row>
    <row r="40" spans="1:10">
      <c r="A40" s="2"/>
      <c r="B40" s="278" t="s">
        <v>531</v>
      </c>
      <c r="C40" s="278" t="s">
        <v>151</v>
      </c>
      <c r="D40" s="299" t="s">
        <v>1619</v>
      </c>
      <c r="E40" s="299" t="s">
        <v>906</v>
      </c>
      <c r="F40" s="278" t="s">
        <v>906</v>
      </c>
      <c r="G40" s="311" t="s">
        <v>473</v>
      </c>
      <c r="H40" s="640" t="s">
        <v>907</v>
      </c>
      <c r="I40" s="279" t="s">
        <v>907</v>
      </c>
      <c r="J40" s="279" t="s">
        <v>1622</v>
      </c>
    </row>
    <row r="41" spans="1:10">
      <c r="A41" s="2"/>
      <c r="B41" s="278" t="s">
        <v>529</v>
      </c>
      <c r="C41" s="278" t="s">
        <v>1379</v>
      </c>
      <c r="D41" s="299" t="s">
        <v>1620</v>
      </c>
      <c r="E41" s="299" t="s">
        <v>906</v>
      </c>
      <c r="F41" s="278" t="s">
        <v>906</v>
      </c>
      <c r="G41" s="311" t="s">
        <v>473</v>
      </c>
      <c r="H41" s="640" t="s">
        <v>907</v>
      </c>
      <c r="I41" s="279" t="s">
        <v>907</v>
      </c>
      <c r="J41" s="279" t="s">
        <v>1622</v>
      </c>
    </row>
    <row r="42" spans="1:10">
      <c r="A42" s="2"/>
      <c r="B42" s="278" t="s">
        <v>530</v>
      </c>
      <c r="C42" s="278" t="s">
        <v>1379</v>
      </c>
      <c r="D42" s="299" t="s">
        <v>1620</v>
      </c>
      <c r="E42" s="299" t="s">
        <v>906</v>
      </c>
      <c r="F42" s="278" t="s">
        <v>906</v>
      </c>
      <c r="G42" s="311" t="s">
        <v>473</v>
      </c>
      <c r="H42" s="640" t="s">
        <v>907</v>
      </c>
      <c r="I42" s="279" t="s">
        <v>907</v>
      </c>
      <c r="J42" s="279" t="s">
        <v>1622</v>
      </c>
    </row>
    <row r="43" spans="1:10">
      <c r="A43" s="2"/>
      <c r="B43" s="278" t="s">
        <v>531</v>
      </c>
      <c r="C43" s="278" t="s">
        <v>1379</v>
      </c>
      <c r="D43" s="299" t="s">
        <v>1620</v>
      </c>
      <c r="E43" s="299" t="s">
        <v>906</v>
      </c>
      <c r="F43" s="278" t="s">
        <v>906</v>
      </c>
      <c r="G43" s="311" t="s">
        <v>473</v>
      </c>
      <c r="H43" s="640" t="s">
        <v>907</v>
      </c>
      <c r="I43" s="279" t="s">
        <v>907</v>
      </c>
      <c r="J43" s="279" t="s">
        <v>1622</v>
      </c>
    </row>
    <row r="44" spans="1:10">
      <c r="A44" s="2"/>
      <c r="B44" s="18"/>
      <c r="C44" s="2"/>
      <c r="D44" s="2"/>
      <c r="E44" s="2"/>
      <c r="F44" s="2"/>
      <c r="G44" s="2"/>
      <c r="H44" s="2"/>
      <c r="I44" s="2"/>
      <c r="J44" s="2"/>
    </row>
    <row r="46" spans="1:10">
      <c r="A46" s="721"/>
      <c r="B46" s="722" t="s">
        <v>1623</v>
      </c>
      <c r="C46" s="721"/>
      <c r="D46" s="721"/>
      <c r="E46" s="721"/>
      <c r="F46" s="721"/>
      <c r="G46" s="721"/>
      <c r="H46" s="721"/>
      <c r="I46" s="2"/>
      <c r="J46" s="2"/>
    </row>
    <row r="47" spans="1:10">
      <c r="A47" s="727"/>
      <c r="B47" s="729" t="s">
        <v>897</v>
      </c>
      <c r="C47" s="727"/>
      <c r="D47" s="727"/>
      <c r="E47" s="727"/>
      <c r="F47" s="727"/>
      <c r="G47" s="727"/>
      <c r="H47" s="727"/>
      <c r="I47" s="2"/>
      <c r="J47" s="2"/>
    </row>
    <row r="48" spans="1:10">
      <c r="A48" s="2"/>
      <c r="B48" s="277" t="s">
        <v>898</v>
      </c>
      <c r="C48" s="277" t="s">
        <v>899</v>
      </c>
      <c r="D48" s="2"/>
      <c r="E48" s="2"/>
      <c r="F48" s="2"/>
      <c r="G48" s="2"/>
      <c r="H48" s="2"/>
      <c r="I48" s="2"/>
      <c r="J48" s="2"/>
    </row>
    <row r="49" spans="1:10">
      <c r="A49" s="2"/>
      <c r="B49" s="278" t="s">
        <v>448</v>
      </c>
      <c r="C49" s="278" t="s">
        <v>1624</v>
      </c>
      <c r="D49" s="2"/>
      <c r="E49" s="2"/>
      <c r="F49" s="2"/>
      <c r="G49" s="2"/>
      <c r="H49" s="2"/>
      <c r="I49" s="2"/>
      <c r="J49" s="2"/>
    </row>
    <row r="50" spans="1:10">
      <c r="A50" s="2"/>
      <c r="B50" s="278" t="s">
        <v>460</v>
      </c>
      <c r="C50" s="278" t="s">
        <v>1625</v>
      </c>
      <c r="D50" s="2"/>
      <c r="E50" s="2"/>
      <c r="F50" s="2"/>
      <c r="G50" s="2"/>
      <c r="H50" s="2"/>
      <c r="I50" s="2"/>
      <c r="J50" s="2"/>
    </row>
    <row r="53" spans="1:10">
      <c r="A53" s="727"/>
      <c r="B53" s="728" t="s">
        <v>901</v>
      </c>
      <c r="C53" s="727"/>
      <c r="D53" s="727"/>
      <c r="E53" s="727"/>
      <c r="F53" s="727"/>
      <c r="G53" s="727"/>
      <c r="H53" s="727"/>
      <c r="I53" s="2"/>
      <c r="J53" s="2"/>
    </row>
    <row r="54" spans="1:10" ht="29.1">
      <c r="A54" s="2"/>
      <c r="B54" s="277" t="s">
        <v>902</v>
      </c>
      <c r="C54" s="277" t="s">
        <v>898</v>
      </c>
      <c r="D54" s="277" t="s">
        <v>899</v>
      </c>
      <c r="E54" s="298" t="s">
        <v>903</v>
      </c>
      <c r="F54" s="277" t="s">
        <v>904</v>
      </c>
      <c r="G54" s="277" t="s">
        <v>905</v>
      </c>
      <c r="H54" s="277" t="s">
        <v>924</v>
      </c>
      <c r="I54" s="277" t="s">
        <v>956</v>
      </c>
      <c r="J54" s="277" t="s">
        <v>927</v>
      </c>
    </row>
    <row r="55" spans="1:10">
      <c r="A55" s="2"/>
      <c r="B55" s="278" t="s">
        <v>528</v>
      </c>
      <c r="C55" s="278" t="s">
        <v>448</v>
      </c>
      <c r="D55" s="278" t="s">
        <v>1624</v>
      </c>
      <c r="E55" s="299" t="s">
        <v>906</v>
      </c>
      <c r="F55" s="299" t="s">
        <v>906</v>
      </c>
      <c r="G55" s="297" t="s">
        <v>477</v>
      </c>
      <c r="H55" s="640" t="s">
        <v>907</v>
      </c>
      <c r="I55" s="279" t="s">
        <v>907</v>
      </c>
      <c r="J55" s="279" t="s">
        <v>907</v>
      </c>
    </row>
    <row r="56" spans="1:10">
      <c r="A56" s="2"/>
      <c r="B56" s="278" t="s">
        <v>529</v>
      </c>
      <c r="C56" s="278" t="s">
        <v>448</v>
      </c>
      <c r="D56" s="278" t="s">
        <v>1624</v>
      </c>
      <c r="E56" s="299" t="s">
        <v>906</v>
      </c>
      <c r="F56" s="278" t="s">
        <v>906</v>
      </c>
      <c r="G56" s="297" t="s">
        <v>477</v>
      </c>
      <c r="H56" s="640" t="s">
        <v>907</v>
      </c>
      <c r="I56" s="279" t="s">
        <v>907</v>
      </c>
      <c r="J56" s="279" t="s">
        <v>907</v>
      </c>
    </row>
    <row r="57" spans="1:10">
      <c r="A57" s="2"/>
      <c r="B57" s="278" t="s">
        <v>530</v>
      </c>
      <c r="C57" s="278" t="s">
        <v>448</v>
      </c>
      <c r="D57" s="278" t="s">
        <v>1624</v>
      </c>
      <c r="E57" s="299" t="s">
        <v>906</v>
      </c>
      <c r="F57" s="278" t="s">
        <v>906</v>
      </c>
      <c r="G57" s="297" t="s">
        <v>477</v>
      </c>
      <c r="H57" s="640" t="s">
        <v>907</v>
      </c>
      <c r="I57" s="279" t="s">
        <v>907</v>
      </c>
      <c r="J57" s="279" t="s">
        <v>907</v>
      </c>
    </row>
    <row r="58" spans="1:10">
      <c r="A58" s="2"/>
      <c r="B58" s="278" t="s">
        <v>531</v>
      </c>
      <c r="C58" s="278" t="s">
        <v>448</v>
      </c>
      <c r="D58" s="278" t="s">
        <v>1624</v>
      </c>
      <c r="E58" s="299" t="s">
        <v>906</v>
      </c>
      <c r="F58" s="278" t="s">
        <v>906</v>
      </c>
      <c r="G58" s="297" t="s">
        <v>477</v>
      </c>
      <c r="H58" s="640" t="s">
        <v>907</v>
      </c>
      <c r="I58" s="279" t="s">
        <v>907</v>
      </c>
      <c r="J58" s="279" t="s">
        <v>907</v>
      </c>
    </row>
    <row r="59" spans="1:10">
      <c r="A59" s="2"/>
      <c r="B59" s="278" t="s">
        <v>528</v>
      </c>
      <c r="C59" s="278" t="s">
        <v>460</v>
      </c>
      <c r="D59" s="299" t="s">
        <v>1625</v>
      </c>
      <c r="E59" s="299" t="s">
        <v>906</v>
      </c>
      <c r="F59" s="299" t="s">
        <v>906</v>
      </c>
      <c r="G59" s="297" t="s">
        <v>477</v>
      </c>
      <c r="H59" s="640" t="s">
        <v>907</v>
      </c>
      <c r="I59" s="279" t="s">
        <v>907</v>
      </c>
      <c r="J59" s="279" t="s">
        <v>907</v>
      </c>
    </row>
    <row r="60" spans="1:10">
      <c r="A60" s="2"/>
      <c r="B60" s="278" t="s">
        <v>529</v>
      </c>
      <c r="C60" s="278" t="s">
        <v>460</v>
      </c>
      <c r="D60" s="299" t="s">
        <v>1625</v>
      </c>
      <c r="E60" s="299" t="s">
        <v>906</v>
      </c>
      <c r="F60" s="278" t="s">
        <v>906</v>
      </c>
      <c r="G60" s="297" t="s">
        <v>477</v>
      </c>
      <c r="H60" s="640" t="s">
        <v>907</v>
      </c>
      <c r="I60" s="279" t="s">
        <v>907</v>
      </c>
      <c r="J60" s="279" t="s">
        <v>907</v>
      </c>
    </row>
    <row r="61" spans="1:10">
      <c r="A61" s="2"/>
      <c r="B61" s="278" t="s">
        <v>530</v>
      </c>
      <c r="C61" s="278" t="s">
        <v>460</v>
      </c>
      <c r="D61" s="299" t="s">
        <v>1625</v>
      </c>
      <c r="E61" s="299" t="s">
        <v>906</v>
      </c>
      <c r="F61" s="278" t="s">
        <v>906</v>
      </c>
      <c r="G61" s="297" t="s">
        <v>477</v>
      </c>
      <c r="H61" s="640" t="s">
        <v>907</v>
      </c>
      <c r="I61" s="279" t="s">
        <v>907</v>
      </c>
      <c r="J61" s="279" t="s">
        <v>907</v>
      </c>
    </row>
    <row r="62" spans="1:10">
      <c r="A62" s="2"/>
      <c r="B62" s="278" t="s">
        <v>531</v>
      </c>
      <c r="C62" s="278" t="s">
        <v>460</v>
      </c>
      <c r="D62" s="299" t="s">
        <v>1625</v>
      </c>
      <c r="E62" s="299" t="s">
        <v>906</v>
      </c>
      <c r="F62" s="278" t="s">
        <v>906</v>
      </c>
      <c r="G62" s="297" t="s">
        <v>477</v>
      </c>
      <c r="H62" s="640" t="s">
        <v>907</v>
      </c>
      <c r="I62" s="279" t="s">
        <v>907</v>
      </c>
      <c r="J62" s="279" t="s">
        <v>907</v>
      </c>
    </row>
  </sheetData>
  <sheetProtection algorithmName="SHA-512" hashValue="onG7CYUggip7iBIpqmKNB6tBHLarptgSK20YdAp9n2hzs8UTi8/bz+CBLZ51y10uG9z42o83+S51ZtAAD69n/Q==" saltValue="0Dc3oHP187FMsI3jlwN/Bg==" spinCount="100000" sheet="1" objects="1" scenarios="1"/>
  <dataConsolidate/>
  <mergeCells count="2">
    <mergeCell ref="D9:J9"/>
    <mergeCell ref="B5:H5"/>
  </mergeCells>
  <conditionalFormatting sqref="D11:J14">
    <cfRule type="notContainsBlanks" dxfId="728" priority="1">
      <formula>LEN(TRIM(D11))&gt;0</formula>
    </cfRule>
  </conditionalFormatting>
  <dataValidations count="1">
    <dataValidation type="list" allowBlank="1" showInputMessage="1" showErrorMessage="1" sqref="C45" xr:uid="{7908EF84-30C7-4956-9D0C-BEB965972C2B}">
      <formula1>"High, Medium, Low"</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EF3EE-1E2B-40B7-993F-2A0FF02F6108}">
  <sheetPr codeName="Sheet27">
    <tabColor theme="5" tint="0.59999389629810485"/>
  </sheetPr>
  <dimension ref="A1:J50"/>
  <sheetViews>
    <sheetView topLeftCell="A3" workbookViewId="0">
      <selection activeCell="B4" sqref="B4"/>
    </sheetView>
  </sheetViews>
  <sheetFormatPr defaultColWidth="9" defaultRowHeight="14.45"/>
  <cols>
    <col min="1" max="1" width="3.5" style="262" customWidth="1"/>
    <col min="2" max="3" width="40.625" style="262" customWidth="1"/>
    <col min="4" max="14" width="15.625" style="262" customWidth="1"/>
    <col min="15" max="15" width="18.5" style="262" customWidth="1"/>
    <col min="16" max="16384" width="9" style="262"/>
  </cols>
  <sheetData>
    <row r="1" spans="1:10" ht="15" thickBot="1">
      <c r="A1" s="2"/>
      <c r="B1" s="2"/>
      <c r="C1" s="2"/>
      <c r="D1" s="2"/>
      <c r="E1" s="2"/>
      <c r="F1" s="2"/>
      <c r="G1" s="2"/>
      <c r="H1" s="2"/>
      <c r="I1" s="2"/>
      <c r="J1" s="2"/>
    </row>
    <row r="2" spans="1:10" s="710" customFormat="1" ht="18.95" thickBot="1">
      <c r="A2" s="707"/>
      <c r="B2" s="749" t="s">
        <v>1626</v>
      </c>
      <c r="C2" s="711"/>
      <c r="D2" s="711"/>
    </row>
    <row r="4" spans="1:10" s="714" customFormat="1" ht="18.600000000000001">
      <c r="A4" s="715"/>
      <c r="B4" s="713" t="s">
        <v>893</v>
      </c>
      <c r="C4" s="715"/>
      <c r="D4" s="715"/>
      <c r="E4" s="715"/>
      <c r="F4" s="715"/>
      <c r="G4" s="715"/>
      <c r="H4" s="715"/>
    </row>
    <row r="5" spans="1:10" s="7" customFormat="1" ht="121.5" customHeight="1">
      <c r="A5" s="737"/>
      <c r="B5" s="1236" t="s">
        <v>1627</v>
      </c>
      <c r="C5" s="1236"/>
      <c r="D5" s="1236"/>
      <c r="E5" s="1236"/>
      <c r="F5" s="1236"/>
      <c r="G5" s="1236"/>
      <c r="H5" s="1236"/>
    </row>
    <row r="6" spans="1:10" s="7" customFormat="1"/>
    <row r="7" spans="1:10" s="718" customFormat="1" ht="18.600000000000001">
      <c r="A7" s="724"/>
      <c r="B7" s="724" t="s">
        <v>895</v>
      </c>
      <c r="C7" s="724"/>
      <c r="D7" s="724"/>
      <c r="E7" s="724"/>
      <c r="F7" s="724"/>
      <c r="G7" s="724"/>
      <c r="H7" s="724"/>
    </row>
    <row r="9" spans="1:10">
      <c r="A9" s="2"/>
      <c r="B9" s="2"/>
      <c r="C9" s="2"/>
      <c r="D9" s="1134" t="s">
        <v>479</v>
      </c>
      <c r="E9" s="1134"/>
      <c r="F9" s="1134"/>
      <c r="G9" s="2"/>
      <c r="H9" s="2"/>
      <c r="I9" s="2"/>
      <c r="J9" s="2"/>
    </row>
    <row r="10" spans="1:10">
      <c r="A10" s="2"/>
      <c r="B10" s="277" t="s">
        <v>104</v>
      </c>
      <c r="C10" s="277" t="s">
        <v>226</v>
      </c>
      <c r="D10" s="277" t="s">
        <v>448</v>
      </c>
      <c r="E10" s="277" t="s">
        <v>1615</v>
      </c>
      <c r="F10" s="277" t="s">
        <v>460</v>
      </c>
      <c r="G10" s="2"/>
      <c r="H10" s="2"/>
      <c r="I10" s="2"/>
      <c r="J10" s="2"/>
    </row>
    <row r="11" spans="1:10">
      <c r="A11" s="2"/>
      <c r="B11" s="278" t="s">
        <v>532</v>
      </c>
      <c r="C11" s="297" t="s">
        <v>533</v>
      </c>
      <c r="D11" s="374" t="str" cm="1">
        <f t="array" ref="D11">_xlfn.XLOOKUP(1,($B11=$B$41:$B$45)*(D$10=$C$41:$C$45),$G$41:$G$45,"Not found",0,1)</f>
        <v>LG(H)</v>
      </c>
      <c r="E11" s="374" t="str" cm="1">
        <f t="array" ref="E11">_xlfn.XLOOKUP(1,($B11=$B$25:$B$29)*(E$10=$C$25:$C$29),$G$25:$G$29,"Not found",0,1)</f>
        <v>LG(L)</v>
      </c>
      <c r="F11" s="374" t="str" cm="1">
        <f t="array" ref="F11">_xlfn.XLOOKUP(1,($B11=$B$46:$B$50)*(F$10=$C$46:$C$50),$G$46:$G$50,"Not found",0,1)</f>
        <v>LG(H)</v>
      </c>
      <c r="G11" s="2"/>
      <c r="H11" s="2"/>
      <c r="I11" s="2"/>
      <c r="J11" s="2"/>
    </row>
    <row r="12" spans="1:10">
      <c r="A12" s="2"/>
      <c r="B12" s="278" t="s">
        <v>534</v>
      </c>
      <c r="C12" s="297" t="s">
        <v>533</v>
      </c>
      <c r="D12" s="374" t="str" cm="1">
        <f t="array" ref="D12">_xlfn.XLOOKUP(1,($B12=$B$41:$B$45)*(D$10=$C$41:$C$45),$G$41:$G$45,"Not found",0,1)</f>
        <v>LG(H)</v>
      </c>
      <c r="E12" s="374" t="str" cm="1">
        <f t="array" ref="E12">_xlfn.XLOOKUP(1,($B12=$B$25:$B$29)*(E$10=$C$25:$C$29),$G$25:$G$29,"Not found",0,1)</f>
        <v>LG(L)</v>
      </c>
      <c r="F12" s="374" t="str" cm="1">
        <f t="array" ref="F12">_xlfn.XLOOKUP(1,($B12=$B$46:$B$50)*(F$10=$C$46:$C$50),$G$46:$G$50,"Not found",0,1)</f>
        <v>LG(H)</v>
      </c>
      <c r="G12" s="2"/>
      <c r="H12" s="2"/>
      <c r="I12" s="2"/>
      <c r="J12" s="2"/>
    </row>
    <row r="13" spans="1:10">
      <c r="A13" s="2"/>
      <c r="B13" s="278" t="s">
        <v>535</v>
      </c>
      <c r="C13" s="297" t="s">
        <v>533</v>
      </c>
      <c r="D13" s="374" t="str" cm="1">
        <f t="array" ref="D13">_xlfn.XLOOKUP(1,($B13=$B$41:$B$45)*(D$10=$C$41:$C$45),$G$41:$G$45,"Not found",0,1)</f>
        <v>LG(H)</v>
      </c>
      <c r="E13" s="374" t="str" cm="1">
        <f t="array" ref="E13">_xlfn.XLOOKUP(1,($B13=$B$25:$B$29)*(E$10=$C$25:$C$29),$G$25:$G$29,"Not found",0,1)</f>
        <v>LG(L)</v>
      </c>
      <c r="F13" s="374" t="str" cm="1">
        <f t="array" ref="F13">_xlfn.XLOOKUP(1,($B13=$B$46:$B$50)*(F$10=$C$46:$C$50),$G$46:$G$50,"Not found",0,1)</f>
        <v>LG(H)</v>
      </c>
      <c r="G13" s="2"/>
      <c r="H13" s="2"/>
      <c r="I13" s="2"/>
      <c r="J13" s="2"/>
    </row>
    <row r="14" spans="1:10">
      <c r="A14" s="2"/>
      <c r="B14" s="278" t="s">
        <v>536</v>
      </c>
      <c r="C14" s="297" t="s">
        <v>533</v>
      </c>
      <c r="D14" s="374" t="str" cm="1">
        <f t="array" ref="D14">_xlfn.XLOOKUP(1,($B14=$B$41:$B$45)*(D$10=$C$41:$C$45),$G$41:$G$45,"Not found",0,1)</f>
        <v>LG(H)</v>
      </c>
      <c r="E14" s="374" t="str" cm="1">
        <f t="array" ref="E14">_xlfn.XLOOKUP(1,($B14=$B$25:$B$29)*(E$10=$C$25:$C$29),$G$25:$G$29,"Not found",0,1)</f>
        <v>LG(L)</v>
      </c>
      <c r="F14" s="374" t="str" cm="1">
        <f t="array" ref="F14">_xlfn.XLOOKUP(1,($B14=$B$46:$B$50)*(F$10=$C$46:$C$50),$G$46:$G$50,"Not found",0,1)</f>
        <v>LG(H)</v>
      </c>
      <c r="G14" s="2"/>
      <c r="H14" s="2"/>
      <c r="I14" s="2"/>
      <c r="J14" s="2"/>
    </row>
    <row r="15" spans="1:10">
      <c r="A15" s="2"/>
      <c r="B15" s="278" t="s">
        <v>537</v>
      </c>
      <c r="C15" s="297" t="s">
        <v>533</v>
      </c>
      <c r="D15" s="374" t="str" cm="1">
        <f t="array" ref="D15">_xlfn.XLOOKUP(1,($B15=$B$41:$B$45)*(D$10=$C$41:$C$45),$G$41:$G$45,"Not found",0,1)</f>
        <v>LG(H)</v>
      </c>
      <c r="E15" s="374" t="s">
        <v>1348</v>
      </c>
      <c r="F15" s="374" t="str" cm="1">
        <f t="array" ref="F15">_xlfn.XLOOKUP(1,($B15=$B$46:$B$50)*(F$10=$C$46:$C$50),$G$46:$G$50,"Not found",0,1)</f>
        <v>LG(H)</v>
      </c>
      <c r="G15" s="2"/>
      <c r="H15" s="2"/>
      <c r="I15" s="2"/>
      <c r="J15" s="2"/>
    </row>
    <row r="16" spans="1:10">
      <c r="A16" s="2"/>
      <c r="B16" s="800" t="s">
        <v>896</v>
      </c>
      <c r="C16" s="2"/>
      <c r="D16" s="2"/>
      <c r="E16" s="2"/>
      <c r="F16" s="2"/>
      <c r="G16" s="2"/>
      <c r="H16" s="2"/>
      <c r="I16" s="2"/>
      <c r="J16" s="2"/>
    </row>
    <row r="17" spans="1:10">
      <c r="A17" s="2"/>
      <c r="B17" s="800"/>
      <c r="C17" s="2"/>
      <c r="D17" s="2"/>
      <c r="E17" s="2"/>
      <c r="F17" s="2"/>
      <c r="G17" s="2"/>
      <c r="H17" s="2"/>
      <c r="I17" s="2"/>
      <c r="J17" s="2"/>
    </row>
    <row r="18" spans="1:10">
      <c r="A18" s="721"/>
      <c r="B18" s="722" t="s">
        <v>898</v>
      </c>
      <c r="C18" s="721"/>
      <c r="D18" s="721"/>
      <c r="E18" s="721"/>
      <c r="F18" s="721"/>
      <c r="G18" s="721"/>
      <c r="H18" s="721"/>
      <c r="I18" s="2"/>
      <c r="J18" s="2"/>
    </row>
    <row r="19" spans="1:10">
      <c r="A19" s="727"/>
      <c r="B19" s="729" t="s">
        <v>897</v>
      </c>
      <c r="C19" s="727"/>
      <c r="D19" s="727"/>
      <c r="E19" s="727"/>
      <c r="F19" s="727"/>
      <c r="G19" s="727"/>
      <c r="H19" s="727"/>
      <c r="I19" s="2"/>
      <c r="J19" s="2"/>
    </row>
    <row r="20" spans="1:10">
      <c r="A20" s="2"/>
      <c r="B20" s="277" t="s">
        <v>898</v>
      </c>
      <c r="C20" s="277" t="s">
        <v>899</v>
      </c>
      <c r="D20" s="2"/>
      <c r="E20" s="2"/>
      <c r="F20" s="2"/>
      <c r="G20" s="2"/>
      <c r="H20" s="2"/>
      <c r="I20" s="2"/>
      <c r="J20" s="2"/>
    </row>
    <row r="21" spans="1:10">
      <c r="A21" s="2"/>
      <c r="B21" s="278" t="s">
        <v>1615</v>
      </c>
      <c r="C21" s="278" t="s">
        <v>1617</v>
      </c>
      <c r="D21" s="2"/>
      <c r="E21" s="2"/>
      <c r="F21" s="2"/>
      <c r="G21" s="2"/>
      <c r="H21" s="2"/>
      <c r="I21" s="2"/>
      <c r="J21" s="2"/>
    </row>
    <row r="24" spans="1:10">
      <c r="A24" s="727"/>
      <c r="B24" s="728" t="s">
        <v>901</v>
      </c>
      <c r="C24" s="727"/>
      <c r="D24" s="727"/>
      <c r="E24" s="727"/>
      <c r="F24" s="727"/>
      <c r="G24" s="727"/>
      <c r="H24" s="727"/>
      <c r="I24" s="2"/>
      <c r="J24" s="2"/>
    </row>
    <row r="25" spans="1:10" ht="29.1">
      <c r="A25" s="2"/>
      <c r="B25" s="719" t="s">
        <v>902</v>
      </c>
      <c r="C25" s="719" t="s">
        <v>898</v>
      </c>
      <c r="D25" s="719" t="s">
        <v>899</v>
      </c>
      <c r="E25" s="719" t="s">
        <v>903</v>
      </c>
      <c r="F25" s="719" t="s">
        <v>904</v>
      </c>
      <c r="G25" s="719" t="s">
        <v>905</v>
      </c>
      <c r="H25" s="719" t="s">
        <v>924</v>
      </c>
      <c r="I25" s="719" t="s">
        <v>956</v>
      </c>
      <c r="J25" s="719" t="s">
        <v>927</v>
      </c>
    </row>
    <row r="26" spans="1:10">
      <c r="A26" s="2"/>
      <c r="B26" s="278" t="s">
        <v>532</v>
      </c>
      <c r="C26" s="278" t="s">
        <v>354</v>
      </c>
      <c r="D26" s="299" t="s">
        <v>1621</v>
      </c>
      <c r="E26" s="299" t="s">
        <v>906</v>
      </c>
      <c r="F26" s="278" t="s">
        <v>906</v>
      </c>
      <c r="G26" s="300" t="s">
        <v>961</v>
      </c>
      <c r="H26" s="640" t="s">
        <v>907</v>
      </c>
      <c r="I26" s="640" t="s">
        <v>907</v>
      </c>
      <c r="J26" s="640" t="s">
        <v>1622</v>
      </c>
    </row>
    <row r="27" spans="1:10">
      <c r="A27" s="2"/>
      <c r="B27" s="278" t="s">
        <v>534</v>
      </c>
      <c r="C27" s="278" t="s">
        <v>354</v>
      </c>
      <c r="D27" s="299" t="s">
        <v>1621</v>
      </c>
      <c r="E27" s="299" t="s">
        <v>906</v>
      </c>
      <c r="F27" s="278" t="s">
        <v>906</v>
      </c>
      <c r="G27" s="300" t="s">
        <v>961</v>
      </c>
      <c r="H27" s="640" t="s">
        <v>907</v>
      </c>
      <c r="I27" s="640" t="s">
        <v>907</v>
      </c>
      <c r="J27" s="640" t="s">
        <v>1622</v>
      </c>
    </row>
    <row r="28" spans="1:10">
      <c r="A28" s="2"/>
      <c r="B28" s="278" t="s">
        <v>535</v>
      </c>
      <c r="C28" s="278" t="s">
        <v>354</v>
      </c>
      <c r="D28" s="299" t="s">
        <v>1621</v>
      </c>
      <c r="E28" s="299" t="s">
        <v>906</v>
      </c>
      <c r="F28" s="278" t="s">
        <v>906</v>
      </c>
      <c r="G28" s="300" t="s">
        <v>961</v>
      </c>
      <c r="H28" s="640" t="s">
        <v>907</v>
      </c>
      <c r="I28" s="640" t="s">
        <v>907</v>
      </c>
      <c r="J28" s="640" t="s">
        <v>1622</v>
      </c>
    </row>
    <row r="29" spans="1:10">
      <c r="A29" s="2"/>
      <c r="B29" s="278" t="s">
        <v>536</v>
      </c>
      <c r="C29" s="278" t="s">
        <v>354</v>
      </c>
      <c r="D29" s="299" t="s">
        <v>1621</v>
      </c>
      <c r="E29" s="299" t="s">
        <v>906</v>
      </c>
      <c r="F29" s="278" t="s">
        <v>906</v>
      </c>
      <c r="G29" s="300" t="s">
        <v>961</v>
      </c>
      <c r="H29" s="640" t="s">
        <v>907</v>
      </c>
      <c r="I29" s="640" t="s">
        <v>907</v>
      </c>
      <c r="J29" s="640" t="s">
        <v>1622</v>
      </c>
    </row>
    <row r="30" spans="1:10">
      <c r="A30" s="2"/>
      <c r="B30" s="18"/>
      <c r="C30" s="2"/>
      <c r="D30" s="2"/>
      <c r="E30" s="2"/>
      <c r="F30" s="2"/>
      <c r="G30" s="2"/>
      <c r="H30" s="2"/>
      <c r="I30" s="2"/>
      <c r="J30" s="2"/>
    </row>
    <row r="32" spans="1:10">
      <c r="A32" s="721"/>
      <c r="B32" s="722" t="s">
        <v>898</v>
      </c>
      <c r="C32" s="721"/>
      <c r="D32" s="721"/>
      <c r="E32" s="721"/>
      <c r="F32" s="721"/>
      <c r="G32" s="721"/>
      <c r="H32" s="721"/>
      <c r="I32" s="2"/>
      <c r="J32" s="2"/>
    </row>
    <row r="33" spans="1:10">
      <c r="A33" s="727"/>
      <c r="B33" s="729" t="s">
        <v>897</v>
      </c>
      <c r="C33" s="727"/>
      <c r="D33" s="727"/>
      <c r="E33" s="727"/>
      <c r="F33" s="727"/>
      <c r="G33" s="727"/>
      <c r="H33" s="727"/>
      <c r="I33" s="2"/>
      <c r="J33" s="2"/>
    </row>
    <row r="34" spans="1:10">
      <c r="A34" s="2"/>
      <c r="B34" s="277" t="s">
        <v>898</v>
      </c>
      <c r="C34" s="277" t="s">
        <v>899</v>
      </c>
      <c r="D34" s="2"/>
      <c r="E34" s="2"/>
      <c r="F34" s="2"/>
      <c r="G34" s="2"/>
      <c r="H34" s="2"/>
      <c r="I34" s="2"/>
      <c r="J34" s="2"/>
    </row>
    <row r="35" spans="1:10">
      <c r="A35" s="2"/>
      <c r="B35" s="278" t="s">
        <v>448</v>
      </c>
      <c r="C35" s="278" t="s">
        <v>1624</v>
      </c>
      <c r="D35" s="2"/>
      <c r="E35" s="2"/>
      <c r="F35" s="2"/>
      <c r="G35" s="2"/>
      <c r="H35" s="2"/>
      <c r="I35" s="2"/>
      <c r="J35" s="2"/>
    </row>
    <row r="36" spans="1:10">
      <c r="A36" s="2"/>
      <c r="B36" s="278" t="s">
        <v>460</v>
      </c>
      <c r="C36" s="278" t="s">
        <v>1625</v>
      </c>
      <c r="D36" s="2"/>
      <c r="E36" s="2"/>
      <c r="F36" s="2"/>
      <c r="G36" s="2"/>
      <c r="H36" s="2"/>
      <c r="I36" s="2"/>
      <c r="J36" s="2"/>
    </row>
    <row r="39" spans="1:10">
      <c r="A39" s="727"/>
      <c r="B39" s="728" t="s">
        <v>901</v>
      </c>
      <c r="C39" s="727"/>
      <c r="D39" s="727"/>
      <c r="E39" s="727"/>
      <c r="F39" s="727"/>
      <c r="G39" s="727"/>
      <c r="H39" s="727"/>
      <c r="I39" s="2"/>
      <c r="J39" s="2"/>
    </row>
    <row r="40" spans="1:10" ht="29.1">
      <c r="A40" s="2"/>
      <c r="B40" s="719" t="s">
        <v>902</v>
      </c>
      <c r="C40" s="719" t="s">
        <v>898</v>
      </c>
      <c r="D40" s="719" t="s">
        <v>899</v>
      </c>
      <c r="E40" s="719" t="s">
        <v>903</v>
      </c>
      <c r="F40" s="719" t="s">
        <v>904</v>
      </c>
      <c r="G40" s="719" t="s">
        <v>905</v>
      </c>
      <c r="H40" s="719" t="s">
        <v>924</v>
      </c>
      <c r="I40" s="719" t="s">
        <v>956</v>
      </c>
      <c r="J40" s="719" t="s">
        <v>927</v>
      </c>
    </row>
    <row r="41" spans="1:10">
      <c r="A41" s="2"/>
      <c r="B41" s="278" t="s">
        <v>532</v>
      </c>
      <c r="C41" s="278" t="s">
        <v>448</v>
      </c>
      <c r="D41" s="278" t="s">
        <v>1624</v>
      </c>
      <c r="E41" s="299" t="s">
        <v>906</v>
      </c>
      <c r="F41" s="278" t="s">
        <v>906</v>
      </c>
      <c r="G41" s="300" t="s">
        <v>477</v>
      </c>
      <c r="H41" s="640" t="s">
        <v>907</v>
      </c>
      <c r="I41" s="640" t="s">
        <v>907</v>
      </c>
      <c r="J41" s="640" t="s">
        <v>907</v>
      </c>
    </row>
    <row r="42" spans="1:10">
      <c r="A42" s="2"/>
      <c r="B42" s="278" t="s">
        <v>534</v>
      </c>
      <c r="C42" s="278" t="s">
        <v>448</v>
      </c>
      <c r="D42" s="278" t="s">
        <v>1624</v>
      </c>
      <c r="E42" s="299" t="s">
        <v>906</v>
      </c>
      <c r="F42" s="278" t="s">
        <v>906</v>
      </c>
      <c r="G42" s="300" t="s">
        <v>477</v>
      </c>
      <c r="H42" s="640" t="s">
        <v>907</v>
      </c>
      <c r="I42" s="640" t="s">
        <v>907</v>
      </c>
      <c r="J42" s="640" t="s">
        <v>907</v>
      </c>
    </row>
    <row r="43" spans="1:10">
      <c r="A43" s="2"/>
      <c r="B43" s="278" t="s">
        <v>535</v>
      </c>
      <c r="C43" s="278" t="s">
        <v>448</v>
      </c>
      <c r="D43" s="278" t="s">
        <v>1624</v>
      </c>
      <c r="E43" s="299" t="s">
        <v>906</v>
      </c>
      <c r="F43" s="278" t="s">
        <v>906</v>
      </c>
      <c r="G43" s="300" t="s">
        <v>477</v>
      </c>
      <c r="H43" s="640" t="s">
        <v>907</v>
      </c>
      <c r="I43" s="640" t="s">
        <v>907</v>
      </c>
      <c r="J43" s="640" t="s">
        <v>907</v>
      </c>
    </row>
    <row r="44" spans="1:10">
      <c r="A44" s="2"/>
      <c r="B44" s="278" t="s">
        <v>536</v>
      </c>
      <c r="C44" s="278" t="s">
        <v>448</v>
      </c>
      <c r="D44" s="278" t="s">
        <v>1624</v>
      </c>
      <c r="E44" s="299" t="s">
        <v>906</v>
      </c>
      <c r="F44" s="278" t="s">
        <v>906</v>
      </c>
      <c r="G44" s="300" t="s">
        <v>477</v>
      </c>
      <c r="H44" s="640" t="s">
        <v>907</v>
      </c>
      <c r="I44" s="640" t="s">
        <v>907</v>
      </c>
      <c r="J44" s="640" t="s">
        <v>907</v>
      </c>
    </row>
    <row r="45" spans="1:10">
      <c r="A45" s="2"/>
      <c r="B45" s="278" t="s">
        <v>537</v>
      </c>
      <c r="C45" s="278" t="s">
        <v>448</v>
      </c>
      <c r="D45" s="278" t="s">
        <v>1624</v>
      </c>
      <c r="E45" s="299" t="s">
        <v>906</v>
      </c>
      <c r="F45" s="278" t="s">
        <v>906</v>
      </c>
      <c r="G45" s="300" t="s">
        <v>477</v>
      </c>
      <c r="H45" s="640" t="s">
        <v>907</v>
      </c>
      <c r="I45" s="640" t="s">
        <v>907</v>
      </c>
      <c r="J45" s="640" t="s">
        <v>907</v>
      </c>
    </row>
    <row r="46" spans="1:10">
      <c r="A46" s="2"/>
      <c r="B46" s="278" t="s">
        <v>532</v>
      </c>
      <c r="C46" s="278" t="s">
        <v>460</v>
      </c>
      <c r="D46" s="299" t="s">
        <v>1625</v>
      </c>
      <c r="E46" s="299" t="s">
        <v>906</v>
      </c>
      <c r="F46" s="278" t="s">
        <v>906</v>
      </c>
      <c r="G46" s="300" t="s">
        <v>477</v>
      </c>
      <c r="H46" s="640" t="s">
        <v>907</v>
      </c>
      <c r="I46" s="640" t="s">
        <v>907</v>
      </c>
      <c r="J46" s="640" t="s">
        <v>907</v>
      </c>
    </row>
    <row r="47" spans="1:10">
      <c r="A47" s="2"/>
      <c r="B47" s="278" t="s">
        <v>534</v>
      </c>
      <c r="C47" s="278" t="s">
        <v>460</v>
      </c>
      <c r="D47" s="299" t="s">
        <v>1625</v>
      </c>
      <c r="E47" s="299" t="s">
        <v>906</v>
      </c>
      <c r="F47" s="278" t="s">
        <v>906</v>
      </c>
      <c r="G47" s="300" t="s">
        <v>477</v>
      </c>
      <c r="H47" s="640" t="s">
        <v>907</v>
      </c>
      <c r="I47" s="640" t="s">
        <v>907</v>
      </c>
      <c r="J47" s="640" t="s">
        <v>907</v>
      </c>
    </row>
    <row r="48" spans="1:10">
      <c r="A48" s="2"/>
      <c r="B48" s="278" t="s">
        <v>535</v>
      </c>
      <c r="C48" s="278" t="s">
        <v>460</v>
      </c>
      <c r="D48" s="299" t="s">
        <v>1625</v>
      </c>
      <c r="E48" s="299" t="s">
        <v>906</v>
      </c>
      <c r="F48" s="278" t="s">
        <v>906</v>
      </c>
      <c r="G48" s="300" t="s">
        <v>477</v>
      </c>
      <c r="H48" s="640" t="s">
        <v>907</v>
      </c>
      <c r="I48" s="640" t="s">
        <v>907</v>
      </c>
      <c r="J48" s="640" t="s">
        <v>907</v>
      </c>
    </row>
    <row r="49" spans="2:10">
      <c r="B49" s="278" t="s">
        <v>536</v>
      </c>
      <c r="C49" s="278" t="s">
        <v>460</v>
      </c>
      <c r="D49" s="299" t="s">
        <v>1625</v>
      </c>
      <c r="E49" s="299" t="s">
        <v>906</v>
      </c>
      <c r="F49" s="278" t="s">
        <v>906</v>
      </c>
      <c r="G49" s="300" t="s">
        <v>477</v>
      </c>
      <c r="H49" s="640" t="s">
        <v>907</v>
      </c>
      <c r="I49" s="640" t="s">
        <v>907</v>
      </c>
      <c r="J49" s="640" t="s">
        <v>907</v>
      </c>
    </row>
    <row r="50" spans="2:10">
      <c r="B50" s="278" t="s">
        <v>537</v>
      </c>
      <c r="C50" s="278" t="s">
        <v>460</v>
      </c>
      <c r="D50" s="299" t="s">
        <v>1625</v>
      </c>
      <c r="E50" s="299" t="s">
        <v>906</v>
      </c>
      <c r="F50" s="278" t="s">
        <v>906</v>
      </c>
      <c r="G50" s="300" t="s">
        <v>477</v>
      </c>
      <c r="H50" s="640" t="s">
        <v>907</v>
      </c>
      <c r="I50" s="640" t="s">
        <v>907</v>
      </c>
      <c r="J50" s="640" t="s">
        <v>907</v>
      </c>
    </row>
  </sheetData>
  <sheetProtection algorithmName="SHA-512" hashValue="5oGsopALLMRwbRe9oog7ZxHu1PyHC+IKDo1jUvEfKeiSTtMWc8+wpTyN7XoVDxccOW5NVosHn542xM5qIf0fyw==" saltValue="e9Tiy9uOmSxlkO6QMIillA==" spinCount="100000" sheet="1" objects="1" scenarios="1"/>
  <dataConsolidate/>
  <mergeCells count="2">
    <mergeCell ref="D9:F9"/>
    <mergeCell ref="B5:H5"/>
  </mergeCells>
  <conditionalFormatting sqref="D11:F15">
    <cfRule type="notContainsBlanks" dxfId="727" priority="1">
      <formula>LEN(TRIM(D11))&gt;0</formula>
    </cfRule>
  </conditionalFormatting>
  <dataValidations count="1">
    <dataValidation type="list" allowBlank="1" showInputMessage="1" showErrorMessage="1" sqref="C31" xr:uid="{DF68ECF3-4C98-4C0A-BB0C-2B69F8D54C7D}">
      <formula1>"High, Medium, Low"</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9F87-DDE8-4443-A7D8-893FE2B31812}">
  <sheetPr codeName="Sheet28">
    <tabColor theme="5" tint="0.59999389629810485"/>
  </sheetPr>
  <dimension ref="A1:K81"/>
  <sheetViews>
    <sheetView workbookViewId="0">
      <selection activeCell="B2" sqref="B2"/>
    </sheetView>
  </sheetViews>
  <sheetFormatPr defaultColWidth="9" defaultRowHeight="14.45"/>
  <cols>
    <col min="1" max="1" width="3.5" style="262" customWidth="1"/>
    <col min="2" max="3" width="40.625" style="262" customWidth="1"/>
    <col min="4" max="13" width="15.625" style="262" customWidth="1"/>
    <col min="14" max="16" width="16.125" style="262" customWidth="1"/>
    <col min="17" max="17" width="9" style="262"/>
    <col min="18" max="18" width="16.625" style="262" customWidth="1"/>
    <col min="19" max="19" width="18.5" style="262" customWidth="1"/>
    <col min="20" max="16384" width="9" style="262"/>
  </cols>
  <sheetData>
    <row r="1" spans="1:9" ht="15" thickBot="1">
      <c r="A1" s="2"/>
      <c r="B1" s="2"/>
      <c r="C1" s="2"/>
      <c r="D1" s="2"/>
      <c r="E1" s="2"/>
      <c r="F1" s="2"/>
      <c r="G1" s="2"/>
      <c r="H1" s="2"/>
      <c r="I1" s="2"/>
    </row>
    <row r="2" spans="1:9" s="710" customFormat="1" ht="18.95" thickBot="1">
      <c r="A2" s="707"/>
      <c r="B2" s="708" t="s">
        <v>1628</v>
      </c>
      <c r="C2" s="711"/>
      <c r="D2" s="711"/>
    </row>
    <row r="4" spans="1:9" s="714" customFormat="1" ht="18.600000000000001">
      <c r="A4" s="715"/>
      <c r="B4" s="713" t="s">
        <v>893</v>
      </c>
      <c r="C4" s="715"/>
      <c r="D4" s="715"/>
      <c r="E4" s="715"/>
      <c r="F4" s="715"/>
      <c r="G4" s="715"/>
      <c r="H4" s="715"/>
    </row>
    <row r="5" spans="1:9" s="7" customFormat="1" ht="120" customHeight="1">
      <c r="A5" s="737"/>
      <c r="B5" s="1236" t="s">
        <v>1627</v>
      </c>
      <c r="C5" s="1236"/>
      <c r="D5" s="1236"/>
      <c r="E5" s="1236"/>
      <c r="F5" s="1236"/>
      <c r="G5" s="1236"/>
      <c r="H5" s="1236"/>
    </row>
    <row r="6" spans="1:9" s="7" customFormat="1"/>
    <row r="7" spans="1:9" s="718" customFormat="1" ht="18.600000000000001">
      <c r="A7" s="724"/>
      <c r="B7" s="724" t="s">
        <v>895</v>
      </c>
      <c r="C7" s="724"/>
      <c r="D7" s="724"/>
      <c r="E7" s="724"/>
      <c r="F7" s="724"/>
      <c r="G7" s="724"/>
      <c r="H7" s="724"/>
    </row>
    <row r="9" spans="1:9">
      <c r="A9" s="2"/>
      <c r="B9" s="2"/>
      <c r="C9" s="2"/>
      <c r="D9" s="1134" t="s">
        <v>479</v>
      </c>
      <c r="E9" s="1134"/>
      <c r="F9" s="1134"/>
      <c r="G9" s="1134"/>
      <c r="H9" s="1134"/>
      <c r="I9" s="1134"/>
    </row>
    <row r="10" spans="1:9">
      <c r="A10" s="2"/>
      <c r="B10" s="277" t="s">
        <v>104</v>
      </c>
      <c r="C10" s="277" t="s">
        <v>226</v>
      </c>
      <c r="D10" s="277" t="s">
        <v>448</v>
      </c>
      <c r="E10" s="277" t="s">
        <v>1615</v>
      </c>
      <c r="F10" s="277" t="s">
        <v>269</v>
      </c>
      <c r="G10" s="277" t="s">
        <v>230</v>
      </c>
      <c r="H10" s="277" t="s">
        <v>460</v>
      </c>
      <c r="I10" s="277" t="s">
        <v>151</v>
      </c>
    </row>
    <row r="11" spans="1:9">
      <c r="A11" s="2"/>
      <c r="B11" s="278" t="s">
        <v>538</v>
      </c>
      <c r="C11" s="297" t="s">
        <v>382</v>
      </c>
      <c r="D11" s="374" t="str" cm="1">
        <f t="array" ref="D11">_xlfn.XLOOKUP(1,($B11=$B$66:$B$81)*(D$10=$C$66:$C$81),$G$66:$G$81,"Not found",0,1)</f>
        <v>LG(H)</v>
      </c>
      <c r="E11" s="374" t="str" cm="1">
        <f t="array" ref="E11">_xlfn.XLOOKUP(1,($B11=$B$31:$B$48)*(E$10=$C$31:$C$48),$G$31:$G$48,"Not found",0,1)</f>
        <v>LG(L)</v>
      </c>
      <c r="F11" s="374" t="str" cm="1">
        <f t="array" ref="F11">_xlfn.XLOOKUP(1,($B11=$B$31:$B$48)*(F$10=$C$31:$C$48),$G$31:$G$48,"Not found",0,1)</f>
        <v>&lt;/&gt;</v>
      </c>
      <c r="G11" s="374" t="str" cm="1">
        <f t="array" ref="G11">_xlfn.XLOOKUP(1,($B11=$B$31:$B$48)*(G$10=$C$31:$C$48),$G$31:$G$48,"Not found",0,1)</f>
        <v>&lt;/&gt;</v>
      </c>
      <c r="H11" s="374" t="str" cm="1">
        <f t="array" ref="H11">_xlfn.XLOOKUP(1,($B11=$B$66:$B$81)*(H$10=$C$66:$C$81),$G$66:$G$81,"Not found",0,1)</f>
        <v>LG(H)</v>
      </c>
      <c r="I11" s="374" t="str" cm="1">
        <f t="array" ref="I11">_xlfn.XLOOKUP(1,($B11=$B$31:$B$54)*(I$10=$C$31:$C$54),$G$31:$G$54,"Not found",0,1)</f>
        <v>&lt;/&gt;</v>
      </c>
    </row>
    <row r="12" spans="1:9">
      <c r="A12" s="2"/>
      <c r="B12" s="278" t="s">
        <v>539</v>
      </c>
      <c r="C12" s="297" t="s">
        <v>382</v>
      </c>
      <c r="D12" s="374" t="str" cm="1">
        <f t="array" ref="D12">_xlfn.XLOOKUP(1,($B12=$B$66:$B$81)*(D$10=$C$66:$C$81),$G$66:$G$81,"Not found",0,1)</f>
        <v>LG(H)</v>
      </c>
      <c r="E12" s="374" t="str" cm="1">
        <f t="array" ref="E12">_xlfn.XLOOKUP(1,($B12=$B$31:$B$48)*(E$10=$C$31:$C$48),$G$31:$G$48,"Not found",0,1)</f>
        <v>LG(L)</v>
      </c>
      <c r="F12" s="374" t="str" cm="1">
        <f t="array" ref="F12">_xlfn.XLOOKUP(1,($B12=$B$31:$B$48)*(F$10=$C$31:$C$48),$G$31:$G$48,"Not found",0,1)</f>
        <v>&lt;/&gt;</v>
      </c>
      <c r="G12" s="374" t="str" cm="1">
        <f t="array" ref="G12">_xlfn.XLOOKUP(1,($B12=$B$31:$B$48)*(G$10=$C$31:$C$48),$G$31:$G$48,"Not found",0,1)</f>
        <v>&lt;/&gt;</v>
      </c>
      <c r="H12" s="374" t="str" cm="1">
        <f t="array" ref="H12">_xlfn.XLOOKUP(1,($B12=$B$74:$B$85)*(H$10=$C$74:$C$85),$G$74:$G$85,"Not found",0,1)</f>
        <v>LG(H)</v>
      </c>
      <c r="I12" s="374" t="str" cm="1">
        <f t="array" ref="I12">_xlfn.XLOOKUP(1,($B12=$B$31:$B$54)*(I$10=$C$31:$C$54),$G$31:$G$54,"Not found",0,1)</f>
        <v>&lt;/&gt;</v>
      </c>
    </row>
    <row r="13" spans="1:9">
      <c r="A13" s="2"/>
      <c r="B13" s="278" t="s">
        <v>540</v>
      </c>
      <c r="C13" s="297" t="s">
        <v>382</v>
      </c>
      <c r="D13" s="374" t="str" cm="1">
        <f t="array" ref="D13">_xlfn.XLOOKUP(1,($B13=$B$66:$B$81)*(D$10=$C$66:$C$81),$G$66:$G$81,"Not found",0,1)</f>
        <v>LG(H)</v>
      </c>
      <c r="E13" s="374" t="str" cm="1">
        <f t="array" ref="E13">_xlfn.XLOOKUP(1,($B13=$B$31:$B$48)*(E$10=$C$31:$C$48),$G$31:$G$48,"Not found",0,1)</f>
        <v>LG(L)</v>
      </c>
      <c r="F13" s="374" t="str" cm="1">
        <f t="array" ref="F13">_xlfn.XLOOKUP(1,($B13=$B$31:$B$48)*(F$10=$C$31:$C$48),$G$31:$G$48,"Not found",0,1)</f>
        <v>&lt;/&gt;</v>
      </c>
      <c r="G13" s="374" t="str" cm="1">
        <f t="array" ref="G13">_xlfn.XLOOKUP(1,($B13=$B$31:$B$48)*(G$10=$C$31:$C$48),$G$31:$G$48,"Not found",0,1)</f>
        <v>&lt;/&gt;</v>
      </c>
      <c r="H13" s="374" t="str" cm="1">
        <f t="array" ref="H13">_xlfn.XLOOKUP(1,($B13=$B$74:$B$85)*(H$10=$C$74:$C$85),$G$74:$G$85,"Not found",0,1)</f>
        <v>LG(H)</v>
      </c>
      <c r="I13" s="374" t="str" cm="1">
        <f t="array" ref="I13">_xlfn.XLOOKUP(1,($B13=$B$31:$B$54)*(I$10=$C$31:$C$54),$G$31:$G$54,"Not found",0,1)</f>
        <v>&lt;/&gt;</v>
      </c>
    </row>
    <row r="14" spans="1:9">
      <c r="A14" s="2"/>
      <c r="B14" s="278" t="s">
        <v>541</v>
      </c>
      <c r="C14" s="297" t="s">
        <v>382</v>
      </c>
      <c r="D14" s="374" t="str" cm="1">
        <f t="array" ref="D14">_xlfn.XLOOKUP(1,($B14=$B$66:$B$81)*(D$10=$C$66:$C$81),$G$66:$G$81,"Not found",0,1)</f>
        <v>LG(H)</v>
      </c>
      <c r="E14" s="374"/>
      <c r="F14" s="374"/>
      <c r="G14" s="374"/>
      <c r="H14" s="374" t="str" cm="1">
        <f t="array" ref="H14">_xlfn.XLOOKUP(1,($B14=$B$74:$B$85)*(H$10=$C$74:$C$85),$G$74:$G$85,"Not found",0,1)</f>
        <v>LG(H)</v>
      </c>
      <c r="I14" s="374"/>
    </row>
    <row r="15" spans="1:9">
      <c r="A15" s="2"/>
      <c r="B15" s="278" t="s">
        <v>542</v>
      </c>
      <c r="C15" s="297" t="s">
        <v>382</v>
      </c>
      <c r="D15" s="374" t="str" cm="1">
        <f t="array" ref="D15">_xlfn.XLOOKUP(1,($B15=$B$66:$B$81)*(D$10=$C$66:$C$81),$G$66:$G$81,"Not found",0,1)</f>
        <v>LG(H)</v>
      </c>
      <c r="E15" s="374" t="str" cm="1">
        <f t="array" ref="E15">_xlfn.XLOOKUP(1,($B15=$B$31:$B$48)*(E$10=$C$31:$C$48),$G$31:$G$48,"Not found",0,1)</f>
        <v>LG(L)</v>
      </c>
      <c r="F15" s="374" t="str" cm="1">
        <f t="array" ref="F15">_xlfn.XLOOKUP(1,($B15=$B$31:$B$48)*(F$10=$C$31:$C$48),$G$31:$G$48,"Not found",0,1)</f>
        <v>&lt;/&gt;</v>
      </c>
      <c r="G15" s="374" t="str" cm="1">
        <f t="array" ref="G15">_xlfn.XLOOKUP(1,($B15=$B$31:$B$48)*(G$10=$C$31:$C$48),$G$31:$G$48,"Not found",0,1)</f>
        <v>&lt;/&gt;</v>
      </c>
      <c r="H15" s="374" t="str" cm="1">
        <f t="array" ref="H15">_xlfn.XLOOKUP(1,($B15=$B$74:$B$85)*(H$10=$C$74:$C$85),$G$74:$G$85,"Not found",0,1)</f>
        <v>LG(H)</v>
      </c>
      <c r="I15" s="374" t="str" cm="1">
        <f t="array" ref="I15">_xlfn.XLOOKUP(1,($B15=$B$31:$B$54)*(I$10=$C$31:$C$54),$G$31:$G$54,"Not found",0,1)</f>
        <v>&lt;/&gt;</v>
      </c>
    </row>
    <row r="16" spans="1:9">
      <c r="A16" s="2"/>
      <c r="B16" s="278" t="s">
        <v>543</v>
      </c>
      <c r="C16" s="297" t="s">
        <v>382</v>
      </c>
      <c r="D16" s="374" t="str" cm="1">
        <f t="array" ref="D16">_xlfn.XLOOKUP(1,($B16=$B$66:$B$81)*(D$10=$C$66:$C$81),$G$66:$G$81,"Not found",0,1)</f>
        <v>LG(H)</v>
      </c>
      <c r="E16" s="374" t="str" cm="1">
        <f t="array" ref="E16">_xlfn.XLOOKUP(1,($B16=$B$31:$B$48)*(E$10=$C$31:$C$48),$G$31:$G$48,"Not found",0,1)</f>
        <v>LG(L)</v>
      </c>
      <c r="F16" s="374" t="str" cm="1">
        <f t="array" ref="F16">_xlfn.XLOOKUP(1,($B16=$B$31:$B$48)*(F$10=$C$31:$C$48),$G$31:$G$48,"Not found",0,1)</f>
        <v>&lt;/&gt;</v>
      </c>
      <c r="G16" s="374" t="str" cm="1">
        <f t="array" ref="G16">_xlfn.XLOOKUP(1,($B16=$B$31:$B$48)*(G$10=$C$31:$C$48),$G$31:$G$48,"Not found",0,1)</f>
        <v>&lt;/&gt;</v>
      </c>
      <c r="H16" s="374" t="str" cm="1">
        <f t="array" ref="H16">_xlfn.XLOOKUP(1,($B16=$B$74:$B$85)*(H$10=$C$74:$C$85),$G$74:$G$85,"Not found",0,1)</f>
        <v>LG(H)</v>
      </c>
      <c r="I16" s="374" t="str" cm="1">
        <f t="array" ref="I16">_xlfn.XLOOKUP(1,($B16=$B$31:$B$54)*(I$10=$C$31:$C$54),$G$31:$G$54,"Not found",0,1)</f>
        <v>&lt;/&gt;</v>
      </c>
    </row>
    <row r="17" spans="1:10">
      <c r="A17" s="2"/>
      <c r="B17" s="278" t="s">
        <v>544</v>
      </c>
      <c r="C17" s="297" t="s">
        <v>382</v>
      </c>
      <c r="D17" s="374" t="str" cm="1">
        <f t="array" ref="D17">_xlfn.XLOOKUP(1,($B17=$B$66:$B$81)*(D$10=$C$66:$C$81),$G$66:$G$81,"Not found",0,1)</f>
        <v>LG(H)</v>
      </c>
      <c r="E17" s="374" t="str" cm="1">
        <f t="array" ref="E17">_xlfn.XLOOKUP(1,($B17=$B$31:$B$48)*(E$10=$C$31:$C$48),$G$31:$G$48,"Not found",0,1)</f>
        <v>LG(L)</v>
      </c>
      <c r="F17" s="374" t="str" cm="1">
        <f t="array" ref="F17">_xlfn.XLOOKUP(1,($B17=$B$31:$B$48)*(F$10=$C$31:$C$48),$G$31:$G$48,"Not found",0,1)</f>
        <v>&lt;/&gt;</v>
      </c>
      <c r="G17" s="374" t="str" cm="1">
        <f t="array" ref="G17">_xlfn.XLOOKUP(1,($B17=$B$31:$B$48)*(G$10=$C$31:$C$48),$G$31:$G$48,"Not found",0,1)</f>
        <v>&lt;/&gt;</v>
      </c>
      <c r="H17" s="374" t="str" cm="1">
        <f t="array" ref="H17">_xlfn.XLOOKUP(1,($B17=$B$74:$B$85)*(H$10=$C$74:$C$85),$G$74:$G$85,"Not found",0,1)</f>
        <v>LG(H)</v>
      </c>
      <c r="I17" s="374" t="str" cm="1">
        <f t="array" ref="I17">_xlfn.XLOOKUP(1,($B17=$B$31:$B$54)*(I$10=$C$31:$C$54),$G$31:$G$54,"Not found",0,1)</f>
        <v>&lt;/&gt;</v>
      </c>
      <c r="J17" s="2"/>
    </row>
    <row r="18" spans="1:10">
      <c r="A18" s="2"/>
      <c r="B18" s="278" t="s">
        <v>545</v>
      </c>
      <c r="C18" s="297" t="s">
        <v>382</v>
      </c>
      <c r="D18" s="374" t="str" cm="1">
        <f t="array" ref="D18">_xlfn.XLOOKUP(1,($B18=$B$66:$B$81)*(D$10=$C$66:$C$81),$G$66:$G$81,"Not found",0,1)</f>
        <v>LG(H)</v>
      </c>
      <c r="E18" s="374"/>
      <c r="F18" s="374"/>
      <c r="G18" s="374"/>
      <c r="H18" s="374" t="str" cm="1">
        <f t="array" ref="H18">_xlfn.XLOOKUP(1,($B18=$B$74:$B$85)*(H$10=$C$74:$C$85),$G$74:$G$85,"Not found",0,1)</f>
        <v>LG(H)</v>
      </c>
      <c r="I18" s="374"/>
      <c r="J18" s="2"/>
    </row>
    <row r="19" spans="1:10">
      <c r="A19" s="2"/>
      <c r="B19" s="800" t="s">
        <v>896</v>
      </c>
      <c r="C19" s="2"/>
      <c r="D19" s="2"/>
      <c r="E19" s="2"/>
      <c r="F19" s="2"/>
      <c r="G19" s="2"/>
      <c r="H19" s="2"/>
      <c r="I19" s="2"/>
      <c r="J19" s="2"/>
    </row>
    <row r="20" spans="1:10">
      <c r="A20" s="2"/>
      <c r="B20" s="800"/>
      <c r="C20" s="2"/>
      <c r="D20" s="2"/>
      <c r="E20" s="2"/>
      <c r="F20" s="2"/>
      <c r="G20" s="2"/>
      <c r="H20" s="2"/>
      <c r="I20" s="2"/>
      <c r="J20" s="2"/>
    </row>
    <row r="21" spans="1:10">
      <c r="A21" s="721"/>
      <c r="B21" s="722" t="s">
        <v>898</v>
      </c>
      <c r="C21" s="721"/>
      <c r="D21" s="721"/>
      <c r="E21" s="721"/>
      <c r="F21" s="721"/>
      <c r="G21" s="721"/>
      <c r="H21" s="721"/>
      <c r="I21" s="2"/>
      <c r="J21" s="2"/>
    </row>
    <row r="22" spans="1:10">
      <c r="A22" s="727"/>
      <c r="B22" s="729" t="s">
        <v>897</v>
      </c>
      <c r="C22" s="727"/>
      <c r="D22" s="727"/>
      <c r="E22" s="727"/>
      <c r="F22" s="727"/>
      <c r="G22" s="727"/>
      <c r="H22" s="727"/>
      <c r="I22" s="2"/>
      <c r="J22" s="2"/>
    </row>
    <row r="23" spans="1:10">
      <c r="A23" s="2"/>
      <c r="B23" s="277" t="s">
        <v>898</v>
      </c>
      <c r="C23" s="277" t="s">
        <v>899</v>
      </c>
      <c r="D23" s="2"/>
      <c r="E23" s="2"/>
      <c r="F23" s="2"/>
      <c r="G23" s="2"/>
      <c r="H23" s="2"/>
      <c r="I23" s="2"/>
      <c r="J23" s="2"/>
    </row>
    <row r="24" spans="1:10">
      <c r="A24" s="2"/>
      <c r="B24" s="278" t="s">
        <v>1615</v>
      </c>
      <c r="C24" s="278" t="s">
        <v>1617</v>
      </c>
      <c r="D24" s="2"/>
      <c r="E24" s="2"/>
      <c r="F24" s="2"/>
      <c r="G24" s="2"/>
      <c r="H24" s="2"/>
      <c r="I24" s="2"/>
      <c r="J24" s="2"/>
    </row>
    <row r="25" spans="1:10">
      <c r="A25" s="2"/>
      <c r="B25" s="278" t="s">
        <v>269</v>
      </c>
      <c r="C25" s="278" t="s">
        <v>1618</v>
      </c>
      <c r="D25" s="2"/>
      <c r="E25" s="2"/>
      <c r="F25" s="2"/>
      <c r="G25" s="2"/>
      <c r="H25" s="2"/>
      <c r="I25" s="2"/>
      <c r="J25" s="2"/>
    </row>
    <row r="26" spans="1:10">
      <c r="A26" s="2"/>
      <c r="B26" s="278" t="s">
        <v>230</v>
      </c>
      <c r="C26" s="278" t="s">
        <v>1619</v>
      </c>
      <c r="D26" s="2"/>
      <c r="E26" s="2"/>
      <c r="F26" s="2"/>
      <c r="G26" s="2"/>
      <c r="H26" s="2"/>
      <c r="I26" s="2"/>
      <c r="J26" s="2"/>
    </row>
    <row r="27" spans="1:10">
      <c r="A27" s="2"/>
      <c r="B27" s="278" t="s">
        <v>151</v>
      </c>
      <c r="C27" s="278" t="s">
        <v>992</v>
      </c>
      <c r="D27" s="2"/>
      <c r="E27" s="2"/>
      <c r="F27" s="2"/>
      <c r="G27" s="2"/>
      <c r="H27" s="2"/>
      <c r="I27" s="2"/>
      <c r="J27" s="2"/>
    </row>
    <row r="29" spans="1:10">
      <c r="A29" s="727"/>
      <c r="B29" s="728" t="s">
        <v>901</v>
      </c>
      <c r="C29" s="727"/>
      <c r="D29" s="727"/>
      <c r="E29" s="727"/>
      <c r="F29" s="727"/>
      <c r="G29" s="727"/>
      <c r="H29" s="727"/>
      <c r="I29" s="2"/>
      <c r="J29" s="2"/>
    </row>
    <row r="30" spans="1:10" ht="29.1">
      <c r="A30" s="2"/>
      <c r="B30" s="719" t="s">
        <v>902</v>
      </c>
      <c r="C30" s="719" t="s">
        <v>898</v>
      </c>
      <c r="D30" s="719" t="s">
        <v>899</v>
      </c>
      <c r="E30" s="719" t="s">
        <v>903</v>
      </c>
      <c r="F30" s="719" t="s">
        <v>904</v>
      </c>
      <c r="G30" s="719" t="s">
        <v>905</v>
      </c>
      <c r="H30" s="719" t="s">
        <v>924</v>
      </c>
      <c r="I30" s="719" t="s">
        <v>956</v>
      </c>
      <c r="J30" s="719" t="s">
        <v>927</v>
      </c>
    </row>
    <row r="31" spans="1:10">
      <c r="A31" s="2"/>
      <c r="B31" s="278" t="s">
        <v>538</v>
      </c>
      <c r="C31" s="278" t="s">
        <v>354</v>
      </c>
      <c r="D31" s="299" t="s">
        <v>1621</v>
      </c>
      <c r="E31" s="299" t="s">
        <v>906</v>
      </c>
      <c r="F31" s="278" t="s">
        <v>906</v>
      </c>
      <c r="G31" s="300" t="s">
        <v>961</v>
      </c>
      <c r="H31" s="640" t="s">
        <v>907</v>
      </c>
      <c r="I31" s="640" t="s">
        <v>907</v>
      </c>
      <c r="J31" s="640" t="s">
        <v>1622</v>
      </c>
    </row>
    <row r="32" spans="1:10">
      <c r="A32" s="2"/>
      <c r="B32" s="278" t="s">
        <v>539</v>
      </c>
      <c r="C32" s="278" t="s">
        <v>354</v>
      </c>
      <c r="D32" s="299" t="s">
        <v>1621</v>
      </c>
      <c r="E32" s="299" t="s">
        <v>906</v>
      </c>
      <c r="F32" s="278" t="s">
        <v>906</v>
      </c>
      <c r="G32" s="300" t="s">
        <v>961</v>
      </c>
      <c r="H32" s="640" t="s">
        <v>907</v>
      </c>
      <c r="I32" s="640" t="s">
        <v>907</v>
      </c>
      <c r="J32" s="640" t="s">
        <v>1622</v>
      </c>
    </row>
    <row r="33" spans="2:11">
      <c r="B33" s="278" t="s">
        <v>540</v>
      </c>
      <c r="C33" s="278" t="s">
        <v>354</v>
      </c>
      <c r="D33" s="299" t="s">
        <v>1621</v>
      </c>
      <c r="E33" s="299" t="s">
        <v>906</v>
      </c>
      <c r="F33" s="278" t="s">
        <v>906</v>
      </c>
      <c r="G33" s="300" t="s">
        <v>961</v>
      </c>
      <c r="H33" s="640" t="s">
        <v>907</v>
      </c>
      <c r="I33" s="640" t="s">
        <v>907</v>
      </c>
      <c r="J33" s="640" t="s">
        <v>1622</v>
      </c>
      <c r="K33" s="2"/>
    </row>
    <row r="34" spans="2:11">
      <c r="B34" s="278" t="s">
        <v>542</v>
      </c>
      <c r="C34" s="278" t="s">
        <v>354</v>
      </c>
      <c r="D34" s="299" t="s">
        <v>1621</v>
      </c>
      <c r="E34" s="299" t="s">
        <v>906</v>
      </c>
      <c r="F34" s="278" t="s">
        <v>906</v>
      </c>
      <c r="G34" s="300" t="s">
        <v>961</v>
      </c>
      <c r="H34" s="640" t="s">
        <v>907</v>
      </c>
      <c r="I34" s="640" t="s">
        <v>907</v>
      </c>
      <c r="J34" s="640" t="s">
        <v>1622</v>
      </c>
      <c r="K34" s="2"/>
    </row>
    <row r="35" spans="2:11">
      <c r="B35" s="278" t="s">
        <v>543</v>
      </c>
      <c r="C35" s="278" t="s">
        <v>354</v>
      </c>
      <c r="D35" s="299" t="s">
        <v>1621</v>
      </c>
      <c r="E35" s="299" t="s">
        <v>906</v>
      </c>
      <c r="F35" s="278" t="s">
        <v>906</v>
      </c>
      <c r="G35" s="300" t="s">
        <v>961</v>
      </c>
      <c r="H35" s="640" t="s">
        <v>907</v>
      </c>
      <c r="I35" s="640" t="s">
        <v>907</v>
      </c>
      <c r="J35" s="640" t="s">
        <v>1622</v>
      </c>
      <c r="K35" s="2"/>
    </row>
    <row r="36" spans="2:11">
      <c r="B36" s="278" t="s">
        <v>544</v>
      </c>
      <c r="C36" s="278" t="s">
        <v>354</v>
      </c>
      <c r="D36" s="299" t="s">
        <v>1621</v>
      </c>
      <c r="E36" s="299" t="s">
        <v>906</v>
      </c>
      <c r="F36" s="278" t="s">
        <v>906</v>
      </c>
      <c r="G36" s="300" t="s">
        <v>961</v>
      </c>
      <c r="H36" s="640" t="s">
        <v>907</v>
      </c>
      <c r="I36" s="640" t="s">
        <v>907</v>
      </c>
      <c r="J36" s="640" t="s">
        <v>1622</v>
      </c>
      <c r="K36" s="2"/>
    </row>
    <row r="37" spans="2:11">
      <c r="B37" s="278" t="s">
        <v>538</v>
      </c>
      <c r="C37" s="278" t="s">
        <v>269</v>
      </c>
      <c r="D37" s="299" t="s">
        <v>1618</v>
      </c>
      <c r="E37" s="299" t="s">
        <v>906</v>
      </c>
      <c r="F37" s="278" t="s">
        <v>906</v>
      </c>
      <c r="G37" s="300" t="s">
        <v>473</v>
      </c>
      <c r="H37" s="640" t="s">
        <v>907</v>
      </c>
      <c r="I37" s="640" t="s">
        <v>907</v>
      </c>
      <c r="J37" s="640" t="s">
        <v>1622</v>
      </c>
      <c r="K37" s="2"/>
    </row>
    <row r="38" spans="2:11">
      <c r="B38" s="278" t="s">
        <v>539</v>
      </c>
      <c r="C38" s="278" t="s">
        <v>269</v>
      </c>
      <c r="D38" s="299" t="s">
        <v>1618</v>
      </c>
      <c r="E38" s="299" t="s">
        <v>906</v>
      </c>
      <c r="F38" s="278" t="s">
        <v>906</v>
      </c>
      <c r="G38" s="300" t="s">
        <v>473</v>
      </c>
      <c r="H38" s="640" t="s">
        <v>907</v>
      </c>
      <c r="I38" s="640" t="s">
        <v>907</v>
      </c>
      <c r="J38" s="640" t="s">
        <v>1622</v>
      </c>
      <c r="K38" s="2"/>
    </row>
    <row r="39" spans="2:11">
      <c r="B39" s="278" t="s">
        <v>540</v>
      </c>
      <c r="C39" s="278" t="s">
        <v>269</v>
      </c>
      <c r="D39" s="299" t="s">
        <v>1618</v>
      </c>
      <c r="E39" s="299" t="s">
        <v>906</v>
      </c>
      <c r="F39" s="278" t="s">
        <v>906</v>
      </c>
      <c r="G39" s="300" t="s">
        <v>473</v>
      </c>
      <c r="H39" s="640" t="s">
        <v>907</v>
      </c>
      <c r="I39" s="640" t="s">
        <v>907</v>
      </c>
      <c r="J39" s="640" t="s">
        <v>1622</v>
      </c>
      <c r="K39" s="2"/>
    </row>
    <row r="40" spans="2:11">
      <c r="B40" s="278" t="s">
        <v>542</v>
      </c>
      <c r="C40" s="278" t="s">
        <v>269</v>
      </c>
      <c r="D40" s="299" t="s">
        <v>1618</v>
      </c>
      <c r="E40" s="299" t="s">
        <v>906</v>
      </c>
      <c r="F40" s="278" t="s">
        <v>906</v>
      </c>
      <c r="G40" s="300" t="s">
        <v>473</v>
      </c>
      <c r="H40" s="640" t="s">
        <v>907</v>
      </c>
      <c r="I40" s="640" t="s">
        <v>907</v>
      </c>
      <c r="J40" s="640" t="s">
        <v>1622</v>
      </c>
      <c r="K40" s="2"/>
    </row>
    <row r="41" spans="2:11">
      <c r="B41" s="278" t="s">
        <v>543</v>
      </c>
      <c r="C41" s="278" t="s">
        <v>269</v>
      </c>
      <c r="D41" s="299" t="s">
        <v>1618</v>
      </c>
      <c r="E41" s="299" t="s">
        <v>906</v>
      </c>
      <c r="F41" s="278" t="s">
        <v>906</v>
      </c>
      <c r="G41" s="300" t="s">
        <v>473</v>
      </c>
      <c r="H41" s="640" t="s">
        <v>907</v>
      </c>
      <c r="I41" s="640" t="s">
        <v>907</v>
      </c>
      <c r="J41" s="640" t="s">
        <v>1622</v>
      </c>
      <c r="K41" s="2"/>
    </row>
    <row r="42" spans="2:11">
      <c r="B42" s="278" t="s">
        <v>544</v>
      </c>
      <c r="C42" s="278" t="s">
        <v>269</v>
      </c>
      <c r="D42" s="299" t="s">
        <v>1618</v>
      </c>
      <c r="E42" s="299" t="s">
        <v>906</v>
      </c>
      <c r="F42" s="278" t="s">
        <v>906</v>
      </c>
      <c r="G42" s="300" t="s">
        <v>473</v>
      </c>
      <c r="H42" s="640" t="s">
        <v>907</v>
      </c>
      <c r="I42" s="640" t="s">
        <v>907</v>
      </c>
      <c r="J42" s="640" t="s">
        <v>1622</v>
      </c>
      <c r="K42" s="2"/>
    </row>
    <row r="43" spans="2:11">
      <c r="B43" s="278" t="s">
        <v>538</v>
      </c>
      <c r="C43" s="278" t="s">
        <v>230</v>
      </c>
      <c r="D43" s="299" t="s">
        <v>1619</v>
      </c>
      <c r="E43" s="299" t="s">
        <v>906</v>
      </c>
      <c r="F43" s="278" t="s">
        <v>906</v>
      </c>
      <c r="G43" s="300" t="s">
        <v>473</v>
      </c>
      <c r="H43" s="640" t="s">
        <v>907</v>
      </c>
      <c r="I43" s="640" t="s">
        <v>907</v>
      </c>
      <c r="J43" s="640" t="s">
        <v>1622</v>
      </c>
      <c r="K43" s="2"/>
    </row>
    <row r="44" spans="2:11">
      <c r="B44" s="278" t="s">
        <v>539</v>
      </c>
      <c r="C44" s="278" t="s">
        <v>230</v>
      </c>
      <c r="D44" s="299" t="s">
        <v>1619</v>
      </c>
      <c r="E44" s="299" t="s">
        <v>906</v>
      </c>
      <c r="F44" s="278" t="s">
        <v>906</v>
      </c>
      <c r="G44" s="300" t="s">
        <v>473</v>
      </c>
      <c r="H44" s="640" t="s">
        <v>907</v>
      </c>
      <c r="I44" s="640" t="s">
        <v>907</v>
      </c>
      <c r="J44" s="640" t="s">
        <v>1622</v>
      </c>
      <c r="K44" s="2"/>
    </row>
    <row r="45" spans="2:11">
      <c r="B45" s="278" t="s">
        <v>540</v>
      </c>
      <c r="C45" s="278" t="s">
        <v>230</v>
      </c>
      <c r="D45" s="299" t="s">
        <v>1619</v>
      </c>
      <c r="E45" s="299" t="s">
        <v>906</v>
      </c>
      <c r="F45" s="278" t="s">
        <v>906</v>
      </c>
      <c r="G45" s="300" t="s">
        <v>473</v>
      </c>
      <c r="H45" s="640" t="s">
        <v>907</v>
      </c>
      <c r="I45" s="640" t="s">
        <v>907</v>
      </c>
      <c r="J45" s="640" t="s">
        <v>1622</v>
      </c>
      <c r="K45" s="2"/>
    </row>
    <row r="46" spans="2:11">
      <c r="B46" s="278" t="s">
        <v>542</v>
      </c>
      <c r="C46" s="278" t="s">
        <v>230</v>
      </c>
      <c r="D46" s="299" t="s">
        <v>1619</v>
      </c>
      <c r="E46" s="299" t="s">
        <v>906</v>
      </c>
      <c r="F46" s="278" t="s">
        <v>906</v>
      </c>
      <c r="G46" s="300" t="s">
        <v>473</v>
      </c>
      <c r="H46" s="640" t="s">
        <v>907</v>
      </c>
      <c r="I46" s="640" t="s">
        <v>907</v>
      </c>
      <c r="J46" s="640" t="s">
        <v>1622</v>
      </c>
      <c r="K46" s="2"/>
    </row>
    <row r="47" spans="2:11">
      <c r="B47" s="278" t="s">
        <v>543</v>
      </c>
      <c r="C47" s="278" t="s">
        <v>230</v>
      </c>
      <c r="D47" s="299" t="s">
        <v>1619</v>
      </c>
      <c r="E47" s="299" t="s">
        <v>906</v>
      </c>
      <c r="F47" s="278" t="s">
        <v>906</v>
      </c>
      <c r="G47" s="300" t="s">
        <v>473</v>
      </c>
      <c r="H47" s="640" t="s">
        <v>907</v>
      </c>
      <c r="I47" s="640" t="s">
        <v>907</v>
      </c>
      <c r="J47" s="640" t="s">
        <v>1622</v>
      </c>
      <c r="K47" s="2"/>
    </row>
    <row r="48" spans="2:11">
      <c r="B48" s="278" t="s">
        <v>544</v>
      </c>
      <c r="C48" s="278" t="s">
        <v>230</v>
      </c>
      <c r="D48" s="299" t="s">
        <v>1619</v>
      </c>
      <c r="E48" s="299" t="s">
        <v>906</v>
      </c>
      <c r="F48" s="278" t="s">
        <v>906</v>
      </c>
      <c r="G48" s="300" t="s">
        <v>473</v>
      </c>
      <c r="H48" s="640" t="s">
        <v>907</v>
      </c>
      <c r="I48" s="640" t="s">
        <v>907</v>
      </c>
      <c r="J48" s="640" t="s">
        <v>1622</v>
      </c>
      <c r="K48" s="2"/>
    </row>
    <row r="49" spans="1:11">
      <c r="A49" s="2"/>
      <c r="B49" s="278" t="s">
        <v>538</v>
      </c>
      <c r="C49" s="278" t="s">
        <v>151</v>
      </c>
      <c r="D49" s="299" t="s">
        <v>1619</v>
      </c>
      <c r="E49" s="299" t="s">
        <v>906</v>
      </c>
      <c r="F49" s="278" t="s">
        <v>906</v>
      </c>
      <c r="G49" s="300" t="s">
        <v>473</v>
      </c>
      <c r="H49" s="640" t="s">
        <v>907</v>
      </c>
      <c r="I49" s="640" t="s">
        <v>907</v>
      </c>
      <c r="J49" s="640" t="s">
        <v>1622</v>
      </c>
      <c r="K49" s="2"/>
    </row>
    <row r="50" spans="1:11">
      <c r="A50" s="2"/>
      <c r="B50" s="278" t="s">
        <v>539</v>
      </c>
      <c r="C50" s="278" t="s">
        <v>151</v>
      </c>
      <c r="D50" s="299" t="s">
        <v>1619</v>
      </c>
      <c r="E50" s="299" t="s">
        <v>906</v>
      </c>
      <c r="F50" s="278" t="s">
        <v>906</v>
      </c>
      <c r="G50" s="300" t="s">
        <v>473</v>
      </c>
      <c r="H50" s="640" t="s">
        <v>907</v>
      </c>
      <c r="I50" s="640" t="s">
        <v>907</v>
      </c>
      <c r="J50" s="640" t="s">
        <v>1622</v>
      </c>
      <c r="K50" s="2"/>
    </row>
    <row r="51" spans="1:11">
      <c r="A51" s="2"/>
      <c r="B51" s="278" t="s">
        <v>540</v>
      </c>
      <c r="C51" s="278" t="s">
        <v>151</v>
      </c>
      <c r="D51" s="299" t="s">
        <v>1619</v>
      </c>
      <c r="E51" s="299" t="s">
        <v>906</v>
      </c>
      <c r="F51" s="278" t="s">
        <v>906</v>
      </c>
      <c r="G51" s="300" t="s">
        <v>473</v>
      </c>
      <c r="H51" s="640" t="s">
        <v>907</v>
      </c>
      <c r="I51" s="640" t="s">
        <v>907</v>
      </c>
      <c r="J51" s="640" t="s">
        <v>1622</v>
      </c>
      <c r="K51" s="2"/>
    </row>
    <row r="52" spans="1:11">
      <c r="A52" s="2"/>
      <c r="B52" s="278" t="s">
        <v>542</v>
      </c>
      <c r="C52" s="278" t="s">
        <v>151</v>
      </c>
      <c r="D52" s="299" t="s">
        <v>1619</v>
      </c>
      <c r="E52" s="299" t="s">
        <v>906</v>
      </c>
      <c r="F52" s="278" t="s">
        <v>906</v>
      </c>
      <c r="G52" s="300" t="s">
        <v>473</v>
      </c>
      <c r="H52" s="640" t="s">
        <v>907</v>
      </c>
      <c r="I52" s="640" t="s">
        <v>907</v>
      </c>
      <c r="J52" s="640" t="s">
        <v>1622</v>
      </c>
      <c r="K52" s="2"/>
    </row>
    <row r="53" spans="1:11">
      <c r="A53" s="2"/>
      <c r="B53" s="278" t="s">
        <v>543</v>
      </c>
      <c r="C53" s="278" t="s">
        <v>151</v>
      </c>
      <c r="D53" s="299" t="s">
        <v>1619</v>
      </c>
      <c r="E53" s="299" t="s">
        <v>906</v>
      </c>
      <c r="F53" s="278" t="s">
        <v>906</v>
      </c>
      <c r="G53" s="300" t="s">
        <v>473</v>
      </c>
      <c r="H53" s="640" t="s">
        <v>907</v>
      </c>
      <c r="I53" s="640" t="s">
        <v>907</v>
      </c>
      <c r="J53" s="640" t="s">
        <v>1622</v>
      </c>
      <c r="K53" s="2"/>
    </row>
    <row r="54" spans="1:11">
      <c r="A54" s="2"/>
      <c r="B54" s="278" t="s">
        <v>544</v>
      </c>
      <c r="C54" s="278" t="s">
        <v>151</v>
      </c>
      <c r="D54" s="299" t="s">
        <v>1619</v>
      </c>
      <c r="E54" s="299" t="s">
        <v>906</v>
      </c>
      <c r="F54" s="278" t="s">
        <v>906</v>
      </c>
      <c r="G54" s="300" t="s">
        <v>473</v>
      </c>
      <c r="H54" s="640" t="s">
        <v>907</v>
      </c>
      <c r="I54" s="640" t="s">
        <v>907</v>
      </c>
      <c r="J54" s="640" t="s">
        <v>1622</v>
      </c>
      <c r="K54" s="2"/>
    </row>
    <row r="55" spans="1:11">
      <c r="A55" s="2"/>
      <c r="B55" s="18"/>
      <c r="C55" s="2"/>
      <c r="D55" s="2"/>
      <c r="E55" s="2"/>
      <c r="F55" s="2"/>
      <c r="G55" s="2"/>
      <c r="H55" s="2"/>
      <c r="I55" s="2"/>
      <c r="J55" s="2"/>
      <c r="K55" s="2"/>
    </row>
    <row r="57" spans="1:11">
      <c r="A57" s="721"/>
      <c r="B57" s="722" t="s">
        <v>898</v>
      </c>
      <c r="C57" s="721"/>
      <c r="D57" s="721"/>
      <c r="E57" s="721"/>
      <c r="F57" s="721"/>
      <c r="G57" s="721"/>
      <c r="H57" s="721"/>
      <c r="I57" s="2"/>
      <c r="J57" s="2"/>
      <c r="K57" s="2"/>
    </row>
    <row r="58" spans="1:11">
      <c r="A58" s="727"/>
      <c r="B58" s="729" t="s">
        <v>897</v>
      </c>
      <c r="C58" s="727"/>
      <c r="D58" s="727"/>
      <c r="E58" s="727"/>
      <c r="F58" s="727"/>
      <c r="G58" s="727"/>
      <c r="H58" s="727"/>
      <c r="I58" s="2"/>
      <c r="J58" s="2"/>
      <c r="K58" s="2"/>
    </row>
    <row r="59" spans="1:11">
      <c r="A59" s="2"/>
      <c r="B59" s="277" t="s">
        <v>898</v>
      </c>
      <c r="C59" s="277" t="s">
        <v>899</v>
      </c>
      <c r="D59" s="2"/>
      <c r="E59" s="2"/>
      <c r="F59" s="2"/>
      <c r="G59" s="2"/>
      <c r="H59" s="2"/>
      <c r="I59" s="2"/>
      <c r="J59" s="2"/>
      <c r="K59" s="2"/>
    </row>
    <row r="60" spans="1:11">
      <c r="A60" s="2"/>
      <c r="B60" s="278" t="s">
        <v>448</v>
      </c>
      <c r="C60" s="278" t="s">
        <v>1624</v>
      </c>
      <c r="D60" s="2"/>
      <c r="E60" s="2"/>
      <c r="F60" s="2"/>
      <c r="G60" s="2"/>
      <c r="H60" s="2"/>
      <c r="I60" s="2"/>
      <c r="J60" s="2"/>
      <c r="K60" s="2"/>
    </row>
    <row r="61" spans="1:11">
      <c r="A61" s="2"/>
      <c r="B61" s="278" t="s">
        <v>460</v>
      </c>
      <c r="C61" s="278" t="s">
        <v>1625</v>
      </c>
      <c r="D61" s="2"/>
      <c r="E61" s="2"/>
      <c r="F61" s="2"/>
      <c r="G61" s="2"/>
      <c r="H61" s="2"/>
      <c r="I61" s="2"/>
      <c r="J61" s="2"/>
      <c r="K61" s="2"/>
    </row>
    <row r="64" spans="1:11">
      <c r="A64" s="727"/>
      <c r="B64" s="728" t="s">
        <v>901</v>
      </c>
      <c r="C64" s="727"/>
      <c r="D64" s="727"/>
      <c r="E64" s="727"/>
      <c r="F64" s="727"/>
      <c r="G64" s="727"/>
      <c r="H64" s="727"/>
      <c r="I64" s="2"/>
      <c r="J64" s="2"/>
      <c r="K64" s="2"/>
    </row>
    <row r="65" spans="2:10" ht="29.1">
      <c r="B65" s="719" t="s">
        <v>902</v>
      </c>
      <c r="C65" s="719" t="s">
        <v>898</v>
      </c>
      <c r="D65" s="719" t="s">
        <v>899</v>
      </c>
      <c r="E65" s="719" t="s">
        <v>903</v>
      </c>
      <c r="F65" s="719" t="s">
        <v>904</v>
      </c>
      <c r="G65" s="719" t="s">
        <v>905</v>
      </c>
      <c r="H65" s="719" t="s">
        <v>924</v>
      </c>
      <c r="I65" s="719" t="s">
        <v>956</v>
      </c>
      <c r="J65" s="719" t="s">
        <v>927</v>
      </c>
    </row>
    <row r="66" spans="2:10">
      <c r="B66" s="278" t="s">
        <v>538</v>
      </c>
      <c r="C66" s="278" t="s">
        <v>448</v>
      </c>
      <c r="D66" s="278" t="s">
        <v>1624</v>
      </c>
      <c r="E66" s="299" t="s">
        <v>906</v>
      </c>
      <c r="F66" s="299" t="s">
        <v>906</v>
      </c>
      <c r="G66" s="297" t="s">
        <v>477</v>
      </c>
      <c r="H66" s="640" t="s">
        <v>907</v>
      </c>
      <c r="I66" s="640" t="s">
        <v>907</v>
      </c>
      <c r="J66" s="640" t="s">
        <v>907</v>
      </c>
    </row>
    <row r="67" spans="2:10">
      <c r="B67" s="278" t="s">
        <v>539</v>
      </c>
      <c r="C67" s="278" t="s">
        <v>448</v>
      </c>
      <c r="D67" s="278" t="s">
        <v>1624</v>
      </c>
      <c r="E67" s="299" t="s">
        <v>906</v>
      </c>
      <c r="F67" s="278" t="s">
        <v>906</v>
      </c>
      <c r="G67" s="297" t="s">
        <v>477</v>
      </c>
      <c r="H67" s="640" t="s">
        <v>907</v>
      </c>
      <c r="I67" s="640" t="s">
        <v>907</v>
      </c>
      <c r="J67" s="640" t="s">
        <v>907</v>
      </c>
    </row>
    <row r="68" spans="2:10">
      <c r="B68" s="278" t="s">
        <v>540</v>
      </c>
      <c r="C68" s="278" t="s">
        <v>448</v>
      </c>
      <c r="D68" s="278" t="s">
        <v>1624</v>
      </c>
      <c r="E68" s="299" t="s">
        <v>906</v>
      </c>
      <c r="F68" s="278" t="s">
        <v>906</v>
      </c>
      <c r="G68" s="297" t="s">
        <v>477</v>
      </c>
      <c r="H68" s="640" t="s">
        <v>907</v>
      </c>
      <c r="I68" s="640" t="s">
        <v>907</v>
      </c>
      <c r="J68" s="640" t="s">
        <v>907</v>
      </c>
    </row>
    <row r="69" spans="2:10">
      <c r="B69" s="278" t="s">
        <v>541</v>
      </c>
      <c r="C69" s="278" t="s">
        <v>448</v>
      </c>
      <c r="D69" s="278" t="s">
        <v>1624</v>
      </c>
      <c r="E69" s="299" t="s">
        <v>906</v>
      </c>
      <c r="F69" s="278" t="s">
        <v>906</v>
      </c>
      <c r="G69" s="297" t="s">
        <v>477</v>
      </c>
      <c r="H69" s="640" t="s">
        <v>907</v>
      </c>
      <c r="I69" s="640" t="s">
        <v>907</v>
      </c>
      <c r="J69" s="640" t="s">
        <v>907</v>
      </c>
    </row>
    <row r="70" spans="2:10">
      <c r="B70" s="278" t="s">
        <v>542</v>
      </c>
      <c r="C70" s="278" t="s">
        <v>448</v>
      </c>
      <c r="D70" s="278" t="s">
        <v>1624</v>
      </c>
      <c r="E70" s="299" t="s">
        <v>906</v>
      </c>
      <c r="F70" s="278" t="s">
        <v>906</v>
      </c>
      <c r="G70" s="297" t="s">
        <v>477</v>
      </c>
      <c r="H70" s="640" t="s">
        <v>907</v>
      </c>
      <c r="I70" s="640" t="s">
        <v>907</v>
      </c>
      <c r="J70" s="640" t="s">
        <v>907</v>
      </c>
    </row>
    <row r="71" spans="2:10">
      <c r="B71" s="278" t="s">
        <v>543</v>
      </c>
      <c r="C71" s="278" t="s">
        <v>448</v>
      </c>
      <c r="D71" s="278" t="s">
        <v>1624</v>
      </c>
      <c r="E71" s="299" t="s">
        <v>906</v>
      </c>
      <c r="F71" s="278" t="s">
        <v>906</v>
      </c>
      <c r="G71" s="297" t="s">
        <v>477</v>
      </c>
      <c r="H71" s="640" t="s">
        <v>907</v>
      </c>
      <c r="I71" s="640" t="s">
        <v>907</v>
      </c>
      <c r="J71" s="640" t="s">
        <v>907</v>
      </c>
    </row>
    <row r="72" spans="2:10">
      <c r="B72" s="278" t="s">
        <v>544</v>
      </c>
      <c r="C72" s="278" t="s">
        <v>448</v>
      </c>
      <c r="D72" s="278" t="s">
        <v>1624</v>
      </c>
      <c r="E72" s="299" t="s">
        <v>906</v>
      </c>
      <c r="F72" s="278" t="s">
        <v>906</v>
      </c>
      <c r="G72" s="297" t="s">
        <v>477</v>
      </c>
      <c r="H72" s="640" t="s">
        <v>907</v>
      </c>
      <c r="I72" s="640" t="s">
        <v>907</v>
      </c>
      <c r="J72" s="640" t="s">
        <v>907</v>
      </c>
    </row>
    <row r="73" spans="2:10">
      <c r="B73" s="278" t="s">
        <v>545</v>
      </c>
      <c r="C73" s="278" t="s">
        <v>448</v>
      </c>
      <c r="D73" s="278" t="s">
        <v>1624</v>
      </c>
      <c r="E73" s="299" t="s">
        <v>906</v>
      </c>
      <c r="F73" s="278" t="s">
        <v>906</v>
      </c>
      <c r="G73" s="297" t="s">
        <v>477</v>
      </c>
      <c r="H73" s="640" t="s">
        <v>907</v>
      </c>
      <c r="I73" s="640" t="s">
        <v>907</v>
      </c>
      <c r="J73" s="640" t="s">
        <v>907</v>
      </c>
    </row>
    <row r="74" spans="2:10">
      <c r="B74" s="278" t="s">
        <v>538</v>
      </c>
      <c r="C74" s="278" t="s">
        <v>460</v>
      </c>
      <c r="D74" s="299" t="s">
        <v>1625</v>
      </c>
      <c r="E74" s="299" t="s">
        <v>906</v>
      </c>
      <c r="F74" s="299" t="s">
        <v>906</v>
      </c>
      <c r="G74" s="297" t="s">
        <v>477</v>
      </c>
      <c r="H74" s="640" t="s">
        <v>907</v>
      </c>
      <c r="I74" s="640" t="s">
        <v>907</v>
      </c>
      <c r="J74" s="640" t="s">
        <v>907</v>
      </c>
    </row>
    <row r="75" spans="2:10">
      <c r="B75" s="278" t="s">
        <v>539</v>
      </c>
      <c r="C75" s="278" t="s">
        <v>460</v>
      </c>
      <c r="D75" s="299" t="s">
        <v>1625</v>
      </c>
      <c r="E75" s="299" t="s">
        <v>906</v>
      </c>
      <c r="F75" s="278" t="s">
        <v>906</v>
      </c>
      <c r="G75" s="297" t="s">
        <v>477</v>
      </c>
      <c r="H75" s="640" t="s">
        <v>907</v>
      </c>
      <c r="I75" s="640" t="s">
        <v>907</v>
      </c>
      <c r="J75" s="640" t="s">
        <v>907</v>
      </c>
    </row>
    <row r="76" spans="2:10">
      <c r="B76" s="278" t="s">
        <v>540</v>
      </c>
      <c r="C76" s="278" t="s">
        <v>460</v>
      </c>
      <c r="D76" s="299" t="s">
        <v>1625</v>
      </c>
      <c r="E76" s="299" t="s">
        <v>906</v>
      </c>
      <c r="F76" s="278" t="s">
        <v>906</v>
      </c>
      <c r="G76" s="297" t="s">
        <v>477</v>
      </c>
      <c r="H76" s="640" t="s">
        <v>907</v>
      </c>
      <c r="I76" s="640" t="s">
        <v>907</v>
      </c>
      <c r="J76" s="640" t="s">
        <v>907</v>
      </c>
    </row>
    <row r="77" spans="2:10">
      <c r="B77" s="278" t="s">
        <v>541</v>
      </c>
      <c r="C77" s="278" t="s">
        <v>460</v>
      </c>
      <c r="D77" s="299" t="s">
        <v>1625</v>
      </c>
      <c r="E77" s="299" t="s">
        <v>906</v>
      </c>
      <c r="F77" s="278" t="s">
        <v>906</v>
      </c>
      <c r="G77" s="297" t="s">
        <v>477</v>
      </c>
      <c r="H77" s="640" t="s">
        <v>907</v>
      </c>
      <c r="I77" s="640" t="s">
        <v>907</v>
      </c>
      <c r="J77" s="640" t="s">
        <v>907</v>
      </c>
    </row>
    <row r="78" spans="2:10">
      <c r="B78" s="278" t="s">
        <v>542</v>
      </c>
      <c r="C78" s="278" t="s">
        <v>460</v>
      </c>
      <c r="D78" s="299" t="s">
        <v>1625</v>
      </c>
      <c r="E78" s="299" t="s">
        <v>906</v>
      </c>
      <c r="F78" s="278" t="s">
        <v>906</v>
      </c>
      <c r="G78" s="297" t="s">
        <v>477</v>
      </c>
      <c r="H78" s="640" t="s">
        <v>907</v>
      </c>
      <c r="I78" s="640" t="s">
        <v>907</v>
      </c>
      <c r="J78" s="640" t="s">
        <v>907</v>
      </c>
    </row>
    <row r="79" spans="2:10">
      <c r="B79" s="278" t="s">
        <v>543</v>
      </c>
      <c r="C79" s="278" t="s">
        <v>460</v>
      </c>
      <c r="D79" s="299" t="s">
        <v>1625</v>
      </c>
      <c r="E79" s="299" t="s">
        <v>906</v>
      </c>
      <c r="F79" s="278" t="s">
        <v>906</v>
      </c>
      <c r="G79" s="297" t="s">
        <v>477</v>
      </c>
      <c r="H79" s="640" t="s">
        <v>907</v>
      </c>
      <c r="I79" s="640" t="s">
        <v>907</v>
      </c>
      <c r="J79" s="640" t="s">
        <v>907</v>
      </c>
    </row>
    <row r="80" spans="2:10">
      <c r="B80" s="278" t="s">
        <v>544</v>
      </c>
      <c r="C80" s="278" t="s">
        <v>460</v>
      </c>
      <c r="D80" s="299" t="s">
        <v>1625</v>
      </c>
      <c r="E80" s="299" t="s">
        <v>906</v>
      </c>
      <c r="F80" s="278" t="s">
        <v>906</v>
      </c>
      <c r="G80" s="297" t="s">
        <v>477</v>
      </c>
      <c r="H80" s="640" t="s">
        <v>907</v>
      </c>
      <c r="I80" s="640" t="s">
        <v>907</v>
      </c>
      <c r="J80" s="640" t="s">
        <v>907</v>
      </c>
    </row>
    <row r="81" spans="2:10">
      <c r="B81" s="278" t="s">
        <v>545</v>
      </c>
      <c r="C81" s="278" t="s">
        <v>460</v>
      </c>
      <c r="D81" s="299" t="s">
        <v>1625</v>
      </c>
      <c r="E81" s="299" t="s">
        <v>906</v>
      </c>
      <c r="F81" s="278" t="s">
        <v>906</v>
      </c>
      <c r="G81" s="297" t="s">
        <v>477</v>
      </c>
      <c r="H81" s="640" t="s">
        <v>907</v>
      </c>
      <c r="I81" s="640" t="s">
        <v>907</v>
      </c>
      <c r="J81" s="640" t="s">
        <v>907</v>
      </c>
    </row>
  </sheetData>
  <sheetProtection algorithmName="SHA-512" hashValue="rTD/1NPI460mfuhUS5KOsvWuj31d90elT5y5hE8tgHR90DgbTwFrwPp8KJFTRojDOraY6lQDzTGln/6yBQUwWQ==" saltValue="HR34X8QGgmqxGsClskAKaw==" spinCount="100000" sheet="1" objects="1" scenarios="1"/>
  <dataConsolidate/>
  <mergeCells count="2">
    <mergeCell ref="D9:I9"/>
    <mergeCell ref="B5:H5"/>
  </mergeCells>
  <conditionalFormatting sqref="D11:I18">
    <cfRule type="notContainsBlanks" dxfId="726" priority="1">
      <formula>LEN(TRIM(D11))&gt;0</formula>
    </cfRule>
  </conditionalFormatting>
  <dataValidations count="1">
    <dataValidation type="list" allowBlank="1" showInputMessage="1" showErrorMessage="1" sqref="C56" xr:uid="{EE99D08A-7266-41C4-9D63-0200A10B71F1}">
      <formula1>"High, Medium, Low"</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E819-F1D5-4475-B2D2-A46140F1FCA4}">
  <sheetPr>
    <tabColor rgb="FF002060"/>
  </sheetPr>
  <dimension ref="B1:T188"/>
  <sheetViews>
    <sheetView zoomScaleNormal="100" workbookViewId="0"/>
  </sheetViews>
  <sheetFormatPr defaultColWidth="9" defaultRowHeight="14.45"/>
  <cols>
    <col min="1" max="1" width="3.5" style="3" customWidth="1"/>
    <col min="2" max="3" width="8.625" style="3" customWidth="1"/>
    <col min="4" max="4" width="8.625" style="24" customWidth="1"/>
    <col min="5" max="10" width="8.625" style="3" customWidth="1"/>
    <col min="11" max="16384" width="9" style="3"/>
  </cols>
  <sheetData>
    <row r="1" spans="2:20" ht="30.95">
      <c r="B1" s="658" t="s">
        <v>17</v>
      </c>
    </row>
    <row r="2" spans="2:20" ht="15" thickBot="1">
      <c r="B2" s="660"/>
      <c r="C2" s="660"/>
      <c r="D2" s="660"/>
    </row>
    <row r="3" spans="2:20" ht="18.600000000000001">
      <c r="B3" s="822" t="s">
        <v>84</v>
      </c>
      <c r="C3" s="822"/>
      <c r="D3" s="822"/>
      <c r="E3" s="842"/>
      <c r="F3" s="842"/>
      <c r="G3" s="842"/>
      <c r="H3" s="842"/>
      <c r="I3" s="842"/>
      <c r="J3" s="842"/>
      <c r="K3" s="842"/>
      <c r="L3" s="842"/>
      <c r="M3" s="842"/>
      <c r="N3" s="842"/>
      <c r="O3" s="842"/>
      <c r="P3" s="842"/>
      <c r="Q3" s="842"/>
      <c r="R3" s="842"/>
      <c r="S3" s="842"/>
      <c r="T3" s="841"/>
    </row>
    <row r="4" spans="2:20" ht="15" customHeight="1">
      <c r="B4" s="1052" t="s">
        <v>85</v>
      </c>
      <c r="C4" s="1053"/>
      <c r="D4" s="1053"/>
      <c r="E4" s="1053"/>
      <c r="F4" s="1053"/>
      <c r="G4" s="1053"/>
      <c r="H4" s="1053"/>
      <c r="I4" s="1053"/>
      <c r="J4" s="1053"/>
      <c r="K4" s="1053"/>
      <c r="L4" s="1053"/>
      <c r="M4" s="1053"/>
      <c r="N4" s="1053"/>
      <c r="O4" s="1053"/>
      <c r="P4" s="1053"/>
      <c r="Q4" s="1053"/>
      <c r="R4" s="1053"/>
      <c r="S4" s="1053"/>
      <c r="T4" s="1054"/>
    </row>
    <row r="5" spans="2:20" ht="15" customHeight="1">
      <c r="B5" s="1052"/>
      <c r="C5" s="1053"/>
      <c r="D5" s="1053"/>
      <c r="E5" s="1053"/>
      <c r="F5" s="1053"/>
      <c r="G5" s="1053"/>
      <c r="H5" s="1053"/>
      <c r="I5" s="1053"/>
      <c r="J5" s="1053"/>
      <c r="K5" s="1053"/>
      <c r="L5" s="1053"/>
      <c r="M5" s="1053"/>
      <c r="N5" s="1053"/>
      <c r="O5" s="1053"/>
      <c r="P5" s="1053"/>
      <c r="Q5" s="1053"/>
      <c r="R5" s="1053"/>
      <c r="S5" s="1053"/>
      <c r="T5" s="1054"/>
    </row>
    <row r="6" spans="2:20" ht="15" customHeight="1">
      <c r="B6" s="1052"/>
      <c r="C6" s="1053"/>
      <c r="D6" s="1053"/>
      <c r="E6" s="1053"/>
      <c r="F6" s="1053"/>
      <c r="G6" s="1053"/>
      <c r="H6" s="1053"/>
      <c r="I6" s="1053"/>
      <c r="J6" s="1053"/>
      <c r="K6" s="1053"/>
      <c r="L6" s="1053"/>
      <c r="M6" s="1053"/>
      <c r="N6" s="1053"/>
      <c r="O6" s="1053"/>
      <c r="P6" s="1053"/>
      <c r="Q6" s="1053"/>
      <c r="R6" s="1053"/>
      <c r="S6" s="1053"/>
      <c r="T6" s="1054"/>
    </row>
    <row r="7" spans="2:20" s="825" customFormat="1" ht="15" customHeight="1">
      <c r="B7" s="1052"/>
      <c r="C7" s="1053"/>
      <c r="D7" s="1053"/>
      <c r="E7" s="1053"/>
      <c r="F7" s="1053"/>
      <c r="G7" s="1053"/>
      <c r="H7" s="1053"/>
      <c r="I7" s="1053"/>
      <c r="J7" s="1053"/>
      <c r="K7" s="1053"/>
      <c r="L7" s="1053"/>
      <c r="M7" s="1053"/>
      <c r="N7" s="1053"/>
      <c r="O7" s="1053"/>
      <c r="P7" s="1053"/>
      <c r="Q7" s="1053"/>
      <c r="R7" s="1053"/>
      <c r="S7" s="1053"/>
      <c r="T7" s="1054"/>
    </row>
    <row r="8" spans="2:20" s="825" customFormat="1" ht="15.95">
      <c r="B8" s="827"/>
      <c r="C8" s="1056" t="s">
        <v>86</v>
      </c>
      <c r="D8" s="1056"/>
      <c r="E8" s="1039" t="s">
        <v>87</v>
      </c>
      <c r="F8" s="1039"/>
      <c r="G8" s="1039"/>
      <c r="H8" s="1039" t="s">
        <v>88</v>
      </c>
      <c r="I8" s="1039"/>
      <c r="J8" s="1039"/>
      <c r="K8" s="1039"/>
      <c r="L8" s="1039"/>
      <c r="M8" s="1039"/>
      <c r="N8" s="1039"/>
      <c r="O8" s="1039"/>
      <c r="P8" s="1039"/>
      <c r="Q8" s="1039"/>
      <c r="R8" s="1039"/>
      <c r="S8" s="1039"/>
      <c r="T8" s="826"/>
    </row>
    <row r="9" spans="2:20" s="825" customFormat="1" ht="15.75" customHeight="1">
      <c r="B9" s="827"/>
      <c r="C9" s="1030" t="s">
        <v>89</v>
      </c>
      <c r="D9" s="1030"/>
      <c r="E9" s="1030" t="s">
        <v>90</v>
      </c>
      <c r="F9" s="1030"/>
      <c r="G9" s="1030"/>
      <c r="H9" s="1030" t="s">
        <v>91</v>
      </c>
      <c r="I9" s="1030"/>
      <c r="J9" s="1030"/>
      <c r="K9" s="1030"/>
      <c r="L9" s="1030"/>
      <c r="M9" s="1030"/>
      <c r="N9" s="1030"/>
      <c r="O9" s="1030"/>
      <c r="P9" s="1030"/>
      <c r="Q9" s="1030"/>
      <c r="R9" s="1030"/>
      <c r="S9" s="1030"/>
      <c r="T9" s="826"/>
    </row>
    <row r="10" spans="2:20" s="825" customFormat="1" ht="15.75" customHeight="1">
      <c r="B10" s="827"/>
      <c r="C10" s="1030"/>
      <c r="D10" s="1030"/>
      <c r="E10" s="1030"/>
      <c r="F10" s="1030"/>
      <c r="G10" s="1030"/>
      <c r="H10" s="1030"/>
      <c r="I10" s="1030"/>
      <c r="J10" s="1030"/>
      <c r="K10" s="1030"/>
      <c r="L10" s="1030"/>
      <c r="M10" s="1030"/>
      <c r="N10" s="1030"/>
      <c r="O10" s="1030"/>
      <c r="P10" s="1030"/>
      <c r="Q10" s="1030"/>
      <c r="R10" s="1030"/>
      <c r="S10" s="1030"/>
      <c r="T10" s="826"/>
    </row>
    <row r="11" spans="2:20" s="825" customFormat="1" ht="15.75" customHeight="1">
      <c r="B11" s="827"/>
      <c r="C11" s="1030"/>
      <c r="D11" s="1030"/>
      <c r="E11" s="1030"/>
      <c r="F11" s="1030"/>
      <c r="G11" s="1030"/>
      <c r="H11" s="1030"/>
      <c r="I11" s="1030"/>
      <c r="J11" s="1030"/>
      <c r="K11" s="1030"/>
      <c r="L11" s="1030"/>
      <c r="M11" s="1030"/>
      <c r="N11" s="1030"/>
      <c r="O11" s="1030"/>
      <c r="P11" s="1030"/>
      <c r="Q11" s="1030"/>
      <c r="R11" s="1030"/>
      <c r="S11" s="1030"/>
      <c r="T11" s="826"/>
    </row>
    <row r="12" spans="2:20" s="825" customFormat="1" ht="15.75" customHeight="1">
      <c r="B12" s="827"/>
      <c r="C12" s="1030"/>
      <c r="D12" s="1030"/>
      <c r="E12" s="1030"/>
      <c r="F12" s="1030"/>
      <c r="G12" s="1030"/>
      <c r="H12" s="1030"/>
      <c r="I12" s="1030"/>
      <c r="J12" s="1030"/>
      <c r="K12" s="1030"/>
      <c r="L12" s="1030"/>
      <c r="M12" s="1030"/>
      <c r="N12" s="1030"/>
      <c r="O12" s="1030"/>
      <c r="P12" s="1030"/>
      <c r="Q12" s="1030"/>
      <c r="R12" s="1030"/>
      <c r="S12" s="1030"/>
      <c r="T12" s="826"/>
    </row>
    <row r="13" spans="2:20" s="825" customFormat="1" ht="15.75" customHeight="1">
      <c r="B13" s="827"/>
      <c r="C13" s="1030"/>
      <c r="D13" s="1030"/>
      <c r="E13" s="1030"/>
      <c r="F13" s="1030"/>
      <c r="G13" s="1030"/>
      <c r="H13" s="1030"/>
      <c r="I13" s="1030"/>
      <c r="J13" s="1030"/>
      <c r="K13" s="1030"/>
      <c r="L13" s="1030"/>
      <c r="M13" s="1030"/>
      <c r="N13" s="1030"/>
      <c r="O13" s="1030"/>
      <c r="P13" s="1030"/>
      <c r="Q13" s="1030"/>
      <c r="R13" s="1030"/>
      <c r="S13" s="1030"/>
      <c r="T13" s="826"/>
    </row>
    <row r="14" spans="2:20" s="825" customFormat="1" ht="15.75" customHeight="1">
      <c r="B14" s="827"/>
      <c r="C14" s="1030"/>
      <c r="D14" s="1030"/>
      <c r="E14" s="1030"/>
      <c r="F14" s="1030"/>
      <c r="G14" s="1030"/>
      <c r="H14" s="1030"/>
      <c r="I14" s="1030"/>
      <c r="J14" s="1030"/>
      <c r="K14" s="1030"/>
      <c r="L14" s="1030"/>
      <c r="M14" s="1030"/>
      <c r="N14" s="1030"/>
      <c r="O14" s="1030"/>
      <c r="P14" s="1030"/>
      <c r="Q14" s="1030"/>
      <c r="R14" s="1030"/>
      <c r="S14" s="1030"/>
      <c r="T14" s="826"/>
    </row>
    <row r="15" spans="2:20" s="825" customFormat="1" ht="15.75" customHeight="1">
      <c r="B15" s="827"/>
      <c r="C15" s="1030"/>
      <c r="D15" s="1030"/>
      <c r="E15" s="1030"/>
      <c r="F15" s="1030"/>
      <c r="G15" s="1030"/>
      <c r="H15" s="1030"/>
      <c r="I15" s="1030"/>
      <c r="J15" s="1030"/>
      <c r="K15" s="1030"/>
      <c r="L15" s="1030"/>
      <c r="M15" s="1030"/>
      <c r="N15" s="1030"/>
      <c r="O15" s="1030"/>
      <c r="P15" s="1030"/>
      <c r="Q15" s="1030"/>
      <c r="R15" s="1030"/>
      <c r="S15" s="1030"/>
      <c r="T15" s="826"/>
    </row>
    <row r="16" spans="2:20" s="825" customFormat="1" ht="15.75" customHeight="1">
      <c r="B16" s="827"/>
      <c r="C16" s="1030"/>
      <c r="D16" s="1030"/>
      <c r="E16" s="1030"/>
      <c r="F16" s="1030"/>
      <c r="G16" s="1030"/>
      <c r="H16" s="1030"/>
      <c r="I16" s="1030"/>
      <c r="J16" s="1030"/>
      <c r="K16" s="1030"/>
      <c r="L16" s="1030"/>
      <c r="M16" s="1030"/>
      <c r="N16" s="1030"/>
      <c r="O16" s="1030"/>
      <c r="P16" s="1030"/>
      <c r="Q16" s="1030"/>
      <c r="R16" s="1030"/>
      <c r="S16" s="1030"/>
      <c r="T16" s="826"/>
    </row>
    <row r="17" spans="2:20" s="825" customFormat="1" ht="15.75" customHeight="1">
      <c r="B17" s="827"/>
      <c r="C17" s="1030"/>
      <c r="D17" s="1030"/>
      <c r="E17" s="1030"/>
      <c r="F17" s="1030"/>
      <c r="G17" s="1030"/>
      <c r="H17" s="1030"/>
      <c r="I17" s="1030"/>
      <c r="J17" s="1030"/>
      <c r="K17" s="1030"/>
      <c r="L17" s="1030"/>
      <c r="M17" s="1030"/>
      <c r="N17" s="1030"/>
      <c r="O17" s="1030"/>
      <c r="P17" s="1030"/>
      <c r="Q17" s="1030"/>
      <c r="R17" s="1030"/>
      <c r="S17" s="1030"/>
      <c r="T17" s="826"/>
    </row>
    <row r="18" spans="2:20" s="825" customFormat="1" ht="15.75" customHeight="1">
      <c r="B18" s="827"/>
      <c r="C18" s="1030"/>
      <c r="D18" s="1030"/>
      <c r="E18" s="1030"/>
      <c r="F18" s="1030"/>
      <c r="G18" s="1030"/>
      <c r="H18" s="1030"/>
      <c r="I18" s="1030"/>
      <c r="J18" s="1030"/>
      <c r="K18" s="1030"/>
      <c r="L18" s="1030"/>
      <c r="M18" s="1030"/>
      <c r="N18" s="1030"/>
      <c r="O18" s="1030"/>
      <c r="P18" s="1030"/>
      <c r="Q18" s="1030"/>
      <c r="R18" s="1030"/>
      <c r="S18" s="1030"/>
      <c r="T18" s="826"/>
    </row>
    <row r="19" spans="2:20" s="825" customFormat="1" ht="15.75" customHeight="1">
      <c r="B19" s="827"/>
      <c r="C19" s="1030"/>
      <c r="D19" s="1030"/>
      <c r="E19" s="1030"/>
      <c r="F19" s="1030"/>
      <c r="G19" s="1030"/>
      <c r="H19" s="1030"/>
      <c r="I19" s="1030"/>
      <c r="J19" s="1030"/>
      <c r="K19" s="1030"/>
      <c r="L19" s="1030"/>
      <c r="M19" s="1030"/>
      <c r="N19" s="1030"/>
      <c r="O19" s="1030"/>
      <c r="P19" s="1030"/>
      <c r="Q19" s="1030"/>
      <c r="R19" s="1030"/>
      <c r="S19" s="1030"/>
      <c r="T19" s="826"/>
    </row>
    <row r="20" spans="2:20" s="825" customFormat="1" ht="15.75" customHeight="1">
      <c r="B20" s="827"/>
      <c r="C20" s="1030"/>
      <c r="D20" s="1030"/>
      <c r="E20" s="1030"/>
      <c r="F20" s="1030"/>
      <c r="G20" s="1030"/>
      <c r="H20" s="1030"/>
      <c r="I20" s="1030"/>
      <c r="J20" s="1030"/>
      <c r="K20" s="1030"/>
      <c r="L20" s="1030"/>
      <c r="M20" s="1030"/>
      <c r="N20" s="1030"/>
      <c r="O20" s="1030"/>
      <c r="P20" s="1030"/>
      <c r="Q20" s="1030"/>
      <c r="R20" s="1030"/>
      <c r="S20" s="1030"/>
      <c r="T20" s="826"/>
    </row>
    <row r="21" spans="2:20" s="825" customFormat="1" ht="15.75" customHeight="1">
      <c r="B21" s="827"/>
      <c r="C21" s="1030"/>
      <c r="D21" s="1030"/>
      <c r="E21" s="1030"/>
      <c r="F21" s="1030"/>
      <c r="G21" s="1030"/>
      <c r="H21" s="1030"/>
      <c r="I21" s="1030"/>
      <c r="J21" s="1030"/>
      <c r="K21" s="1030"/>
      <c r="L21" s="1030"/>
      <c r="M21" s="1030"/>
      <c r="N21" s="1030"/>
      <c r="O21" s="1030"/>
      <c r="P21" s="1030"/>
      <c r="Q21" s="1030"/>
      <c r="R21" s="1030"/>
      <c r="S21" s="1030"/>
      <c r="T21" s="826"/>
    </row>
    <row r="22" spans="2:20" s="825" customFormat="1" ht="15.75" customHeight="1">
      <c r="B22" s="827"/>
      <c r="C22" s="1030"/>
      <c r="D22" s="1030"/>
      <c r="E22" s="1030"/>
      <c r="F22" s="1030"/>
      <c r="G22" s="1030"/>
      <c r="H22" s="1030"/>
      <c r="I22" s="1030"/>
      <c r="J22" s="1030"/>
      <c r="K22" s="1030"/>
      <c r="L22" s="1030"/>
      <c r="M22" s="1030"/>
      <c r="N22" s="1030"/>
      <c r="O22" s="1030"/>
      <c r="P22" s="1030"/>
      <c r="Q22" s="1030"/>
      <c r="R22" s="1030"/>
      <c r="S22" s="1030"/>
      <c r="T22" s="826"/>
    </row>
    <row r="23" spans="2:20" s="825" customFormat="1" ht="15.75" customHeight="1">
      <c r="B23" s="827"/>
      <c r="C23" s="1030"/>
      <c r="D23" s="1030"/>
      <c r="E23" s="1030"/>
      <c r="F23" s="1030"/>
      <c r="G23" s="1030"/>
      <c r="H23" s="1030"/>
      <c r="I23" s="1030"/>
      <c r="J23" s="1030"/>
      <c r="K23" s="1030"/>
      <c r="L23" s="1030"/>
      <c r="M23" s="1030"/>
      <c r="N23" s="1030"/>
      <c r="O23" s="1030"/>
      <c r="P23" s="1030"/>
      <c r="Q23" s="1030"/>
      <c r="R23" s="1030"/>
      <c r="S23" s="1030"/>
      <c r="T23" s="826"/>
    </row>
    <row r="24" spans="2:20" s="825" customFormat="1" ht="15.75" customHeight="1">
      <c r="B24" s="827"/>
      <c r="C24" s="1030"/>
      <c r="D24" s="1030"/>
      <c r="E24" s="1030"/>
      <c r="F24" s="1030"/>
      <c r="G24" s="1030"/>
      <c r="H24" s="1030"/>
      <c r="I24" s="1030"/>
      <c r="J24" s="1030"/>
      <c r="K24" s="1030"/>
      <c r="L24" s="1030"/>
      <c r="M24" s="1030"/>
      <c r="N24" s="1030"/>
      <c r="O24" s="1030"/>
      <c r="P24" s="1030"/>
      <c r="Q24" s="1030"/>
      <c r="R24" s="1030"/>
      <c r="S24" s="1030"/>
      <c r="T24" s="826"/>
    </row>
    <row r="25" spans="2:20" s="825" customFormat="1" ht="15.75" customHeight="1">
      <c r="B25" s="827"/>
      <c r="C25" s="1030"/>
      <c r="D25" s="1030"/>
      <c r="E25" s="1030"/>
      <c r="F25" s="1030"/>
      <c r="G25" s="1030"/>
      <c r="H25" s="1030"/>
      <c r="I25" s="1030"/>
      <c r="J25" s="1030"/>
      <c r="K25" s="1030"/>
      <c r="L25" s="1030"/>
      <c r="M25" s="1030"/>
      <c r="N25" s="1030"/>
      <c r="O25" s="1030"/>
      <c r="P25" s="1030"/>
      <c r="Q25" s="1030"/>
      <c r="R25" s="1030"/>
      <c r="S25" s="1030"/>
      <c r="T25" s="826"/>
    </row>
    <row r="26" spans="2:20" s="825" customFormat="1" ht="15.95">
      <c r="B26" s="827"/>
      <c r="C26" s="1030"/>
      <c r="D26" s="1030"/>
      <c r="E26" s="1030"/>
      <c r="F26" s="1030"/>
      <c r="G26" s="1030"/>
      <c r="H26" s="1030"/>
      <c r="I26" s="1030"/>
      <c r="J26" s="1030"/>
      <c r="K26" s="1030"/>
      <c r="L26" s="1030"/>
      <c r="M26" s="1030"/>
      <c r="N26" s="1030"/>
      <c r="O26" s="1030"/>
      <c r="P26" s="1030"/>
      <c r="Q26" s="1030"/>
      <c r="R26" s="1030"/>
      <c r="S26" s="1030"/>
      <c r="T26" s="826"/>
    </row>
    <row r="27" spans="2:20" s="825" customFormat="1" ht="15.95">
      <c r="B27" s="827"/>
      <c r="C27" s="1030"/>
      <c r="D27" s="1030"/>
      <c r="E27" s="1030"/>
      <c r="F27" s="1030"/>
      <c r="G27" s="1030"/>
      <c r="H27" s="1030"/>
      <c r="I27" s="1030"/>
      <c r="J27" s="1030"/>
      <c r="K27" s="1030"/>
      <c r="L27" s="1030"/>
      <c r="M27" s="1030"/>
      <c r="N27" s="1030"/>
      <c r="O27" s="1030"/>
      <c r="P27" s="1030"/>
      <c r="Q27" s="1030"/>
      <c r="R27" s="1030"/>
      <c r="S27" s="1030"/>
      <c r="T27" s="826"/>
    </row>
    <row r="28" spans="2:20" s="825" customFormat="1" ht="15" customHeight="1">
      <c r="B28" s="827"/>
      <c r="C28" s="1030" t="s">
        <v>92</v>
      </c>
      <c r="D28" s="1030"/>
      <c r="E28" s="1030" t="s">
        <v>93</v>
      </c>
      <c r="F28" s="1030"/>
      <c r="G28" s="1030"/>
      <c r="H28" s="1030" t="s">
        <v>94</v>
      </c>
      <c r="I28" s="1030"/>
      <c r="J28" s="1030"/>
      <c r="K28" s="1030"/>
      <c r="L28" s="1030"/>
      <c r="M28" s="1030"/>
      <c r="N28" s="1030"/>
      <c r="O28" s="1030"/>
      <c r="P28" s="1030"/>
      <c r="Q28" s="1030"/>
      <c r="R28" s="1030"/>
      <c r="S28" s="1030"/>
      <c r="T28" s="826"/>
    </row>
    <row r="29" spans="2:20" s="825" customFormat="1" ht="15" customHeight="1">
      <c r="B29" s="827"/>
      <c r="C29" s="1030"/>
      <c r="D29" s="1030"/>
      <c r="E29" s="1030"/>
      <c r="F29" s="1030"/>
      <c r="G29" s="1030"/>
      <c r="H29" s="1030"/>
      <c r="I29" s="1030"/>
      <c r="J29" s="1030"/>
      <c r="K29" s="1030"/>
      <c r="L29" s="1030"/>
      <c r="M29" s="1030"/>
      <c r="N29" s="1030"/>
      <c r="O29" s="1030"/>
      <c r="P29" s="1030"/>
      <c r="Q29" s="1030"/>
      <c r="R29" s="1030"/>
      <c r="S29" s="1030"/>
      <c r="T29" s="826"/>
    </row>
    <row r="30" spans="2:20" s="825" customFormat="1" ht="15" customHeight="1">
      <c r="B30" s="827"/>
      <c r="C30" s="1030"/>
      <c r="D30" s="1030"/>
      <c r="E30" s="1030"/>
      <c r="F30" s="1030"/>
      <c r="G30" s="1030"/>
      <c r="H30" s="1030"/>
      <c r="I30" s="1030"/>
      <c r="J30" s="1030"/>
      <c r="K30" s="1030"/>
      <c r="L30" s="1030"/>
      <c r="M30" s="1030"/>
      <c r="N30" s="1030"/>
      <c r="O30" s="1030"/>
      <c r="P30" s="1030"/>
      <c r="Q30" s="1030"/>
      <c r="R30" s="1030"/>
      <c r="S30" s="1030"/>
      <c r="T30" s="826"/>
    </row>
    <row r="31" spans="2:20" s="825" customFormat="1" ht="15" customHeight="1">
      <c r="B31" s="827"/>
      <c r="C31" s="1030"/>
      <c r="D31" s="1030"/>
      <c r="E31" s="1030"/>
      <c r="F31" s="1030"/>
      <c r="G31" s="1030"/>
      <c r="H31" s="1030"/>
      <c r="I31" s="1030"/>
      <c r="J31" s="1030"/>
      <c r="K31" s="1030"/>
      <c r="L31" s="1030"/>
      <c r="M31" s="1030"/>
      <c r="N31" s="1030"/>
      <c r="O31" s="1030"/>
      <c r="P31" s="1030"/>
      <c r="Q31" s="1030"/>
      <c r="R31" s="1030"/>
      <c r="S31" s="1030"/>
      <c r="T31" s="826"/>
    </row>
    <row r="32" spans="2:20" s="825" customFormat="1" ht="15" customHeight="1">
      <c r="B32" s="827"/>
      <c r="C32" s="1030"/>
      <c r="D32" s="1030"/>
      <c r="E32" s="1030"/>
      <c r="F32" s="1030"/>
      <c r="G32" s="1030"/>
      <c r="H32" s="1030"/>
      <c r="I32" s="1030"/>
      <c r="J32" s="1030"/>
      <c r="K32" s="1030"/>
      <c r="L32" s="1030"/>
      <c r="M32" s="1030"/>
      <c r="N32" s="1030"/>
      <c r="O32" s="1030"/>
      <c r="P32" s="1030"/>
      <c r="Q32" s="1030"/>
      <c r="R32" s="1030"/>
      <c r="S32" s="1030"/>
      <c r="T32" s="826"/>
    </row>
    <row r="33" spans="2:20" s="825" customFormat="1" ht="15" customHeight="1">
      <c r="B33" s="827"/>
      <c r="C33" s="1030"/>
      <c r="D33" s="1030"/>
      <c r="E33" s="1030"/>
      <c r="F33" s="1030"/>
      <c r="G33" s="1030"/>
      <c r="H33" s="1030"/>
      <c r="I33" s="1030"/>
      <c r="J33" s="1030"/>
      <c r="K33" s="1030"/>
      <c r="L33" s="1030"/>
      <c r="M33" s="1030"/>
      <c r="N33" s="1030"/>
      <c r="O33" s="1030"/>
      <c r="P33" s="1030"/>
      <c r="Q33" s="1030"/>
      <c r="R33" s="1030"/>
      <c r="S33" s="1030"/>
      <c r="T33" s="826"/>
    </row>
    <row r="34" spans="2:20" s="825" customFormat="1" ht="15" customHeight="1">
      <c r="B34" s="827"/>
      <c r="C34" s="1030"/>
      <c r="D34" s="1030"/>
      <c r="E34" s="1030"/>
      <c r="F34" s="1030"/>
      <c r="G34" s="1030"/>
      <c r="H34" s="1030"/>
      <c r="I34" s="1030"/>
      <c r="J34" s="1030"/>
      <c r="K34" s="1030"/>
      <c r="L34" s="1030"/>
      <c r="M34" s="1030"/>
      <c r="N34" s="1030"/>
      <c r="O34" s="1030"/>
      <c r="P34" s="1030"/>
      <c r="Q34" s="1030"/>
      <c r="R34" s="1030"/>
      <c r="S34" s="1030"/>
      <c r="T34" s="826"/>
    </row>
    <row r="35" spans="2:20" s="825" customFormat="1" ht="15" customHeight="1">
      <c r="B35" s="827"/>
      <c r="C35" s="1030"/>
      <c r="D35" s="1030"/>
      <c r="E35" s="1030"/>
      <c r="F35" s="1030"/>
      <c r="G35" s="1030"/>
      <c r="H35" s="1030"/>
      <c r="I35" s="1030"/>
      <c r="J35" s="1030"/>
      <c r="K35" s="1030"/>
      <c r="L35" s="1030"/>
      <c r="M35" s="1030"/>
      <c r="N35" s="1030"/>
      <c r="O35" s="1030"/>
      <c r="P35" s="1030"/>
      <c r="Q35" s="1030"/>
      <c r="R35" s="1030"/>
      <c r="S35" s="1030"/>
      <c r="T35" s="826"/>
    </row>
    <row r="36" spans="2:20" s="825" customFormat="1" ht="15.95">
      <c r="B36" s="827"/>
      <c r="C36" s="1030"/>
      <c r="D36" s="1030"/>
      <c r="E36" s="1030"/>
      <c r="F36" s="1030"/>
      <c r="G36" s="1030"/>
      <c r="H36" s="1030"/>
      <c r="I36" s="1030"/>
      <c r="J36" s="1030"/>
      <c r="K36" s="1030"/>
      <c r="L36" s="1030"/>
      <c r="M36" s="1030"/>
      <c r="N36" s="1030"/>
      <c r="O36" s="1030"/>
      <c r="P36" s="1030"/>
      <c r="Q36" s="1030"/>
      <c r="R36" s="1030"/>
      <c r="S36" s="1030"/>
      <c r="T36" s="826"/>
    </row>
    <row r="37" spans="2:20" s="825" customFormat="1" ht="15" customHeight="1">
      <c r="B37" s="827"/>
      <c r="C37" s="1030" t="s">
        <v>95</v>
      </c>
      <c r="D37" s="1030"/>
      <c r="E37" s="1030" t="s">
        <v>96</v>
      </c>
      <c r="F37" s="1030"/>
      <c r="G37" s="1030"/>
      <c r="H37" s="1030" t="s">
        <v>97</v>
      </c>
      <c r="I37" s="1030"/>
      <c r="J37" s="1030"/>
      <c r="K37" s="1030"/>
      <c r="L37" s="1030"/>
      <c r="M37" s="1030"/>
      <c r="N37" s="1030"/>
      <c r="O37" s="1030"/>
      <c r="P37" s="1030"/>
      <c r="Q37" s="1030"/>
      <c r="R37" s="1030"/>
      <c r="S37" s="1030"/>
      <c r="T37" s="826"/>
    </row>
    <row r="38" spans="2:20" s="825" customFormat="1" ht="15" customHeight="1">
      <c r="B38" s="827"/>
      <c r="C38" s="1030"/>
      <c r="D38" s="1030"/>
      <c r="E38" s="1030"/>
      <c r="F38" s="1030"/>
      <c r="G38" s="1030"/>
      <c r="H38" s="1030"/>
      <c r="I38" s="1030"/>
      <c r="J38" s="1030"/>
      <c r="K38" s="1030"/>
      <c r="L38" s="1030"/>
      <c r="M38" s="1030"/>
      <c r="N38" s="1030"/>
      <c r="O38" s="1030"/>
      <c r="P38" s="1030"/>
      <c r="Q38" s="1030"/>
      <c r="R38" s="1030"/>
      <c r="S38" s="1030"/>
      <c r="T38" s="826"/>
    </row>
    <row r="39" spans="2:20" s="825" customFormat="1" ht="15" customHeight="1">
      <c r="B39" s="827"/>
      <c r="C39" s="1030"/>
      <c r="D39" s="1030"/>
      <c r="E39" s="1030"/>
      <c r="F39" s="1030"/>
      <c r="G39" s="1030"/>
      <c r="H39" s="1030"/>
      <c r="I39" s="1030"/>
      <c r="J39" s="1030"/>
      <c r="K39" s="1030"/>
      <c r="L39" s="1030"/>
      <c r="M39" s="1030"/>
      <c r="N39" s="1030"/>
      <c r="O39" s="1030"/>
      <c r="P39" s="1030"/>
      <c r="Q39" s="1030"/>
      <c r="R39" s="1030"/>
      <c r="S39" s="1030"/>
      <c r="T39" s="826"/>
    </row>
    <row r="40" spans="2:20" s="825" customFormat="1" ht="15" customHeight="1">
      <c r="B40" s="827"/>
      <c r="C40" s="1030"/>
      <c r="D40" s="1030"/>
      <c r="E40" s="1030"/>
      <c r="F40" s="1030"/>
      <c r="G40" s="1030"/>
      <c r="H40" s="1030"/>
      <c r="I40" s="1030"/>
      <c r="J40" s="1030"/>
      <c r="K40" s="1030"/>
      <c r="L40" s="1030"/>
      <c r="M40" s="1030"/>
      <c r="N40" s="1030"/>
      <c r="O40" s="1030"/>
      <c r="P40" s="1030"/>
      <c r="Q40" s="1030"/>
      <c r="R40" s="1030"/>
      <c r="S40" s="1030"/>
      <c r="T40" s="826"/>
    </row>
    <row r="41" spans="2:20" s="825" customFormat="1" ht="15" customHeight="1">
      <c r="B41" s="827"/>
      <c r="C41" s="1030"/>
      <c r="D41" s="1030"/>
      <c r="E41" s="1030"/>
      <c r="F41" s="1030"/>
      <c r="G41" s="1030"/>
      <c r="H41" s="1030"/>
      <c r="I41" s="1030"/>
      <c r="J41" s="1030"/>
      <c r="K41" s="1030"/>
      <c r="L41" s="1030"/>
      <c r="M41" s="1030"/>
      <c r="N41" s="1030"/>
      <c r="O41" s="1030"/>
      <c r="P41" s="1030"/>
      <c r="Q41" s="1030"/>
      <c r="R41" s="1030"/>
      <c r="S41" s="1030"/>
      <c r="T41" s="826"/>
    </row>
    <row r="42" spans="2:20" s="825" customFormat="1" ht="15" customHeight="1">
      <c r="B42" s="827"/>
      <c r="C42" s="1030"/>
      <c r="D42" s="1030"/>
      <c r="E42" s="1030"/>
      <c r="F42" s="1030"/>
      <c r="G42" s="1030"/>
      <c r="H42" s="1030"/>
      <c r="I42" s="1030"/>
      <c r="J42" s="1030"/>
      <c r="K42" s="1030"/>
      <c r="L42" s="1030"/>
      <c r="M42" s="1030"/>
      <c r="N42" s="1030"/>
      <c r="O42" s="1030"/>
      <c r="P42" s="1030"/>
      <c r="Q42" s="1030"/>
      <c r="R42" s="1030"/>
      <c r="S42" s="1030"/>
      <c r="T42" s="826"/>
    </row>
    <row r="43" spans="2:20" s="825" customFormat="1" ht="15" customHeight="1">
      <c r="B43" s="827"/>
      <c r="C43" s="1030"/>
      <c r="D43" s="1030"/>
      <c r="E43" s="1030"/>
      <c r="F43" s="1030"/>
      <c r="G43" s="1030"/>
      <c r="H43" s="1030"/>
      <c r="I43" s="1030"/>
      <c r="J43" s="1030"/>
      <c r="K43" s="1030"/>
      <c r="L43" s="1030"/>
      <c r="M43" s="1030"/>
      <c r="N43" s="1030"/>
      <c r="O43" s="1030"/>
      <c r="P43" s="1030"/>
      <c r="Q43" s="1030"/>
      <c r="R43" s="1030"/>
      <c r="S43" s="1030"/>
      <c r="T43" s="826"/>
    </row>
    <row r="44" spans="2:20" s="825" customFormat="1" ht="15" customHeight="1" thickBot="1">
      <c r="B44" s="828"/>
      <c r="C44" s="836"/>
      <c r="D44" s="836"/>
      <c r="E44" s="836"/>
      <c r="F44" s="836"/>
      <c r="G44" s="836"/>
      <c r="H44" s="836"/>
      <c r="I44" s="836"/>
      <c r="J44" s="836"/>
      <c r="K44" s="836"/>
      <c r="L44" s="836"/>
      <c r="M44" s="836"/>
      <c r="N44" s="836"/>
      <c r="O44" s="836"/>
      <c r="P44" s="836"/>
      <c r="Q44" s="836"/>
      <c r="R44" s="836"/>
      <c r="S44" s="836"/>
      <c r="T44" s="830"/>
    </row>
    <row r="45" spans="2:20" ht="15" customHeight="1" thickBot="1"/>
    <row r="46" spans="2:20" ht="18.600000000000001">
      <c r="B46" s="822" t="s">
        <v>98</v>
      </c>
      <c r="C46" s="842"/>
      <c r="D46" s="843"/>
      <c r="E46" s="842"/>
      <c r="F46" s="842"/>
      <c r="G46" s="842"/>
      <c r="H46" s="842"/>
      <c r="I46" s="842"/>
      <c r="J46" s="842"/>
      <c r="K46" s="842"/>
      <c r="L46" s="842"/>
      <c r="M46" s="842"/>
      <c r="N46" s="842"/>
      <c r="O46" s="842"/>
      <c r="P46" s="842"/>
      <c r="Q46" s="842"/>
      <c r="R46" s="842"/>
      <c r="S46" s="842"/>
      <c r="T46" s="841"/>
    </row>
    <row r="47" spans="2:20" ht="15.75" customHeight="1">
      <c r="B47" s="1007" t="s">
        <v>99</v>
      </c>
      <c r="C47" s="1008"/>
      <c r="D47" s="1008"/>
      <c r="E47" s="1008"/>
      <c r="F47" s="1008"/>
      <c r="G47" s="1008"/>
      <c r="H47" s="1008"/>
      <c r="I47" s="1008"/>
      <c r="J47" s="1008"/>
      <c r="K47" s="1008"/>
      <c r="L47" s="1008"/>
      <c r="M47" s="1008"/>
      <c r="N47" s="1008"/>
      <c r="O47" s="1008"/>
      <c r="P47" s="1008"/>
      <c r="Q47" s="1008"/>
      <c r="R47" s="1008"/>
      <c r="S47" s="1008"/>
      <c r="T47" s="1009"/>
    </row>
    <row r="48" spans="2:20" ht="15" customHeight="1">
      <c r="B48" s="1007"/>
      <c r="C48" s="1008"/>
      <c r="D48" s="1008"/>
      <c r="E48" s="1008"/>
      <c r="F48" s="1008"/>
      <c r="G48" s="1008"/>
      <c r="H48" s="1008"/>
      <c r="I48" s="1008"/>
      <c r="J48" s="1008"/>
      <c r="K48" s="1008"/>
      <c r="L48" s="1008"/>
      <c r="M48" s="1008"/>
      <c r="N48" s="1008"/>
      <c r="O48" s="1008"/>
      <c r="P48" s="1008"/>
      <c r="Q48" s="1008"/>
      <c r="R48" s="1008"/>
      <c r="S48" s="1008"/>
      <c r="T48" s="1009"/>
    </row>
    <row r="49" spans="2:20" ht="15.75" customHeight="1">
      <c r="B49" s="1007"/>
      <c r="C49" s="1008"/>
      <c r="D49" s="1008"/>
      <c r="E49" s="1008"/>
      <c r="F49" s="1008"/>
      <c r="G49" s="1008"/>
      <c r="H49" s="1008"/>
      <c r="I49" s="1008"/>
      <c r="J49" s="1008"/>
      <c r="K49" s="1008"/>
      <c r="L49" s="1008"/>
      <c r="M49" s="1008"/>
      <c r="N49" s="1008"/>
      <c r="O49" s="1008"/>
      <c r="P49" s="1008"/>
      <c r="Q49" s="1008"/>
      <c r="R49" s="1008"/>
      <c r="S49" s="1008"/>
      <c r="T49" s="1009"/>
    </row>
    <row r="50" spans="2:20">
      <c r="B50" s="858"/>
      <c r="T50" s="845"/>
    </row>
    <row r="51" spans="2:20">
      <c r="B51" s="858"/>
      <c r="T51" s="845"/>
    </row>
    <row r="52" spans="2:20">
      <c r="B52" s="858"/>
      <c r="T52" s="845"/>
    </row>
    <row r="53" spans="2:20">
      <c r="B53" s="858"/>
      <c r="T53" s="845"/>
    </row>
    <row r="54" spans="2:20">
      <c r="B54" s="858"/>
      <c r="T54" s="845"/>
    </row>
    <row r="55" spans="2:20">
      <c r="B55" s="858"/>
      <c r="T55" s="845"/>
    </row>
    <row r="56" spans="2:20">
      <c r="B56" s="858"/>
      <c r="T56" s="845"/>
    </row>
    <row r="57" spans="2:20">
      <c r="B57" s="858"/>
      <c r="T57" s="845"/>
    </row>
    <row r="58" spans="2:20">
      <c r="B58" s="858"/>
      <c r="T58" s="845"/>
    </row>
    <row r="59" spans="2:20">
      <c r="B59" s="858"/>
      <c r="T59" s="845"/>
    </row>
    <row r="60" spans="2:20">
      <c r="B60" s="858"/>
      <c r="T60" s="845"/>
    </row>
    <row r="61" spans="2:20">
      <c r="B61" s="858"/>
      <c r="T61" s="845"/>
    </row>
    <row r="62" spans="2:20">
      <c r="B62" s="858"/>
      <c r="T62" s="845"/>
    </row>
    <row r="63" spans="2:20">
      <c r="B63" s="858"/>
      <c r="T63" s="845"/>
    </row>
    <row r="64" spans="2:20">
      <c r="B64" s="858"/>
      <c r="T64" s="845"/>
    </row>
    <row r="65" spans="2:20">
      <c r="B65" s="858"/>
      <c r="T65" s="845"/>
    </row>
    <row r="66" spans="2:20">
      <c r="B66" s="858"/>
      <c r="T66" s="845"/>
    </row>
    <row r="67" spans="2:20">
      <c r="B67" s="858"/>
      <c r="T67" s="845"/>
    </row>
    <row r="68" spans="2:20">
      <c r="B68" s="858"/>
      <c r="T68" s="845"/>
    </row>
    <row r="69" spans="2:20">
      <c r="B69" s="858"/>
      <c r="T69" s="845"/>
    </row>
    <row r="70" spans="2:20">
      <c r="B70" s="858"/>
      <c r="T70" s="845"/>
    </row>
    <row r="71" spans="2:20">
      <c r="B71" s="858"/>
      <c r="T71" s="845"/>
    </row>
    <row r="72" spans="2:20">
      <c r="B72" s="858"/>
      <c r="T72" s="845"/>
    </row>
    <row r="73" spans="2:20">
      <c r="B73" s="858"/>
      <c r="T73" s="845"/>
    </row>
    <row r="74" spans="2:20">
      <c r="B74" s="1057" t="s">
        <v>100</v>
      </c>
      <c r="C74" s="1014"/>
      <c r="D74" s="1014"/>
      <c r="E74" s="547"/>
      <c r="T74" s="845"/>
    </row>
    <row r="75" spans="2:20">
      <c r="B75" s="858"/>
      <c r="T75" s="845"/>
    </row>
    <row r="76" spans="2:20" ht="15" customHeight="1">
      <c r="B76" s="858"/>
      <c r="C76" s="1031" t="s">
        <v>101</v>
      </c>
      <c r="D76" s="1031"/>
      <c r="E76" s="1055" t="s">
        <v>102</v>
      </c>
      <c r="F76" s="1055"/>
      <c r="G76" s="1055"/>
      <c r="H76" s="1055"/>
      <c r="I76" s="1055"/>
      <c r="J76" s="1055"/>
      <c r="K76" s="1055"/>
      <c r="L76" s="1055"/>
      <c r="M76" s="1055" t="s">
        <v>103</v>
      </c>
      <c r="N76" s="1055"/>
      <c r="O76" s="1055"/>
      <c r="P76" s="1055"/>
      <c r="Q76" s="1055"/>
      <c r="R76" s="1055" t="s">
        <v>104</v>
      </c>
      <c r="S76" s="1055"/>
      <c r="T76" s="845"/>
    </row>
    <row r="77" spans="2:20" s="825" customFormat="1" ht="15.75" customHeight="1">
      <c r="B77" s="827"/>
      <c r="C77" s="1031"/>
      <c r="D77" s="1031"/>
      <c r="E77" s="1055"/>
      <c r="F77" s="1055"/>
      <c r="G77" s="1055"/>
      <c r="H77" s="1055"/>
      <c r="I77" s="1055"/>
      <c r="J77" s="1055"/>
      <c r="K77" s="1055"/>
      <c r="L77" s="1055"/>
      <c r="M77" s="1055"/>
      <c r="N77" s="1055"/>
      <c r="O77" s="1055"/>
      <c r="P77" s="1055"/>
      <c r="Q77" s="1055"/>
      <c r="R77" s="1055"/>
      <c r="S77" s="1055"/>
      <c r="T77" s="826"/>
    </row>
    <row r="78" spans="2:20" s="825" customFormat="1" ht="15.75" customHeight="1">
      <c r="B78" s="827"/>
      <c r="C78" s="1030" t="s">
        <v>105</v>
      </c>
      <c r="D78" s="1030"/>
      <c r="E78" s="1045" t="s">
        <v>106</v>
      </c>
      <c r="F78" s="1045"/>
      <c r="G78" s="1045"/>
      <c r="H78" s="1045"/>
      <c r="I78" s="1045"/>
      <c r="J78" s="1045"/>
      <c r="K78" s="1045"/>
      <c r="L78" s="1045"/>
      <c r="M78" s="1030" t="s">
        <v>107</v>
      </c>
      <c r="N78" s="1030"/>
      <c r="O78" s="1030"/>
      <c r="P78" s="1030"/>
      <c r="Q78" s="1030"/>
      <c r="R78" s="1030" t="s">
        <v>108</v>
      </c>
      <c r="S78" s="1030"/>
      <c r="T78" s="826"/>
    </row>
    <row r="79" spans="2:20" s="825" customFormat="1" ht="15.95">
      <c r="B79" s="827"/>
      <c r="C79" s="1030"/>
      <c r="D79" s="1030"/>
      <c r="E79" s="1045" t="s">
        <v>109</v>
      </c>
      <c r="F79" s="1045"/>
      <c r="G79" s="1045"/>
      <c r="H79" s="1045"/>
      <c r="I79" s="1045"/>
      <c r="J79" s="1045"/>
      <c r="K79" s="1045"/>
      <c r="L79" s="1045"/>
      <c r="M79" s="1030"/>
      <c r="N79" s="1030"/>
      <c r="O79" s="1030"/>
      <c r="P79" s="1030"/>
      <c r="Q79" s="1030"/>
      <c r="R79" s="1030"/>
      <c r="S79" s="1030"/>
      <c r="T79" s="826"/>
    </row>
    <row r="80" spans="2:20" s="825" customFormat="1" ht="15.95">
      <c r="B80" s="827"/>
      <c r="C80" s="1030"/>
      <c r="D80" s="1030"/>
      <c r="E80" s="1045" t="s">
        <v>110</v>
      </c>
      <c r="F80" s="1045"/>
      <c r="G80" s="1045"/>
      <c r="H80" s="1045"/>
      <c r="I80" s="1045"/>
      <c r="J80" s="1045"/>
      <c r="K80" s="1045"/>
      <c r="L80" s="1045"/>
      <c r="M80" s="1030"/>
      <c r="N80" s="1030"/>
      <c r="O80" s="1030"/>
      <c r="P80" s="1030"/>
      <c r="Q80" s="1030"/>
      <c r="R80" s="1030"/>
      <c r="S80" s="1030"/>
      <c r="T80" s="826"/>
    </row>
    <row r="81" spans="2:20" s="825" customFormat="1" ht="15.95">
      <c r="B81" s="827"/>
      <c r="C81" s="1030"/>
      <c r="D81" s="1030"/>
      <c r="E81" s="1045" t="s">
        <v>111</v>
      </c>
      <c r="F81" s="1045"/>
      <c r="G81" s="1045"/>
      <c r="H81" s="1045"/>
      <c r="I81" s="1045"/>
      <c r="J81" s="1045"/>
      <c r="K81" s="1045"/>
      <c r="L81" s="1045"/>
      <c r="M81" s="1030"/>
      <c r="N81" s="1030"/>
      <c r="O81" s="1030"/>
      <c r="P81" s="1030"/>
      <c r="Q81" s="1030"/>
      <c r="R81" s="1030"/>
      <c r="S81" s="1030"/>
      <c r="T81" s="826"/>
    </row>
    <row r="82" spans="2:20" s="825" customFormat="1" ht="15.95">
      <c r="B82" s="827"/>
      <c r="C82" s="1030"/>
      <c r="D82" s="1030"/>
      <c r="E82" s="1045" t="s">
        <v>112</v>
      </c>
      <c r="F82" s="1045"/>
      <c r="G82" s="1045"/>
      <c r="H82" s="1045"/>
      <c r="I82" s="1045"/>
      <c r="J82" s="1045"/>
      <c r="K82" s="1045"/>
      <c r="L82" s="1045"/>
      <c r="M82" s="1030"/>
      <c r="N82" s="1030"/>
      <c r="O82" s="1030"/>
      <c r="P82" s="1030"/>
      <c r="Q82" s="1030"/>
      <c r="R82" s="1030"/>
      <c r="S82" s="1030"/>
      <c r="T82" s="826"/>
    </row>
    <row r="83" spans="2:20" s="825" customFormat="1" ht="15.95">
      <c r="B83" s="827"/>
      <c r="C83" s="1030"/>
      <c r="D83" s="1030"/>
      <c r="E83" s="1045" t="s">
        <v>113</v>
      </c>
      <c r="F83" s="1045"/>
      <c r="G83" s="1045"/>
      <c r="H83" s="1045"/>
      <c r="I83" s="1045"/>
      <c r="J83" s="1045"/>
      <c r="K83" s="1045"/>
      <c r="L83" s="1045"/>
      <c r="M83" s="1030"/>
      <c r="N83" s="1030"/>
      <c r="O83" s="1030"/>
      <c r="P83" s="1030"/>
      <c r="Q83" s="1030"/>
      <c r="R83" s="1030"/>
      <c r="S83" s="1030"/>
      <c r="T83" s="826"/>
    </row>
    <row r="84" spans="2:20" s="825" customFormat="1" ht="15.95">
      <c r="B84" s="827"/>
      <c r="C84" s="1030"/>
      <c r="D84" s="1030"/>
      <c r="E84" s="1045" t="s">
        <v>114</v>
      </c>
      <c r="F84" s="1045"/>
      <c r="G84" s="1045"/>
      <c r="H84" s="1045"/>
      <c r="I84" s="1045"/>
      <c r="J84" s="1045"/>
      <c r="K84" s="1045"/>
      <c r="L84" s="1045"/>
      <c r="M84" s="1030"/>
      <c r="N84" s="1030"/>
      <c r="O84" s="1030"/>
      <c r="P84" s="1030"/>
      <c r="Q84" s="1030"/>
      <c r="R84" s="1030"/>
      <c r="S84" s="1030"/>
      <c r="T84" s="826"/>
    </row>
    <row r="85" spans="2:20" s="825" customFormat="1" ht="15.95">
      <c r="B85" s="827"/>
      <c r="C85" s="1030"/>
      <c r="D85" s="1030"/>
      <c r="E85" s="1045" t="s">
        <v>115</v>
      </c>
      <c r="F85" s="1045"/>
      <c r="G85" s="1045"/>
      <c r="H85" s="1045"/>
      <c r="I85" s="1045"/>
      <c r="J85" s="1045"/>
      <c r="K85" s="1045"/>
      <c r="L85" s="1045"/>
      <c r="M85" s="1030"/>
      <c r="N85" s="1030"/>
      <c r="O85" s="1030"/>
      <c r="P85" s="1030"/>
      <c r="Q85" s="1030"/>
      <c r="R85" s="1030"/>
      <c r="S85" s="1030"/>
      <c r="T85" s="826"/>
    </row>
    <row r="86" spans="2:20" s="825" customFormat="1" ht="15.95">
      <c r="B86" s="827"/>
      <c r="C86" s="1030"/>
      <c r="D86" s="1030"/>
      <c r="E86" s="1045" t="s">
        <v>116</v>
      </c>
      <c r="F86" s="1045"/>
      <c r="G86" s="1045"/>
      <c r="H86" s="1045"/>
      <c r="I86" s="1045"/>
      <c r="J86" s="1045"/>
      <c r="K86" s="1045"/>
      <c r="L86" s="1045"/>
      <c r="M86" s="1030"/>
      <c r="N86" s="1030"/>
      <c r="O86" s="1030"/>
      <c r="P86" s="1030"/>
      <c r="Q86" s="1030"/>
      <c r="R86" s="1030"/>
      <c r="S86" s="1030"/>
      <c r="T86" s="826"/>
    </row>
    <row r="87" spans="2:20" s="825" customFormat="1" ht="15.95">
      <c r="B87" s="827"/>
      <c r="C87" s="1030"/>
      <c r="D87" s="1030"/>
      <c r="E87" s="1045" t="s">
        <v>117</v>
      </c>
      <c r="F87" s="1045"/>
      <c r="G87" s="1045"/>
      <c r="H87" s="1045"/>
      <c r="I87" s="1045"/>
      <c r="J87" s="1045"/>
      <c r="K87" s="1045"/>
      <c r="L87" s="1045"/>
      <c r="M87" s="1030"/>
      <c r="N87" s="1030"/>
      <c r="O87" s="1030"/>
      <c r="P87" s="1030"/>
      <c r="Q87" s="1030"/>
      <c r="R87" s="1030"/>
      <c r="S87" s="1030"/>
      <c r="T87" s="826"/>
    </row>
    <row r="88" spans="2:20" s="825" customFormat="1" ht="15.95">
      <c r="B88" s="827"/>
      <c r="C88" s="1030"/>
      <c r="D88" s="1030"/>
      <c r="E88" s="1045" t="s">
        <v>118</v>
      </c>
      <c r="F88" s="1045"/>
      <c r="G88" s="1045"/>
      <c r="H88" s="1045"/>
      <c r="I88" s="1045"/>
      <c r="J88" s="1045"/>
      <c r="K88" s="1045"/>
      <c r="L88" s="1045"/>
      <c r="M88" s="1030"/>
      <c r="N88" s="1030"/>
      <c r="O88" s="1030"/>
      <c r="P88" s="1030"/>
      <c r="Q88" s="1030"/>
      <c r="R88" s="1030"/>
      <c r="S88" s="1030"/>
      <c r="T88" s="826"/>
    </row>
    <row r="89" spans="2:20" s="825" customFormat="1" ht="15.75" customHeight="1">
      <c r="B89" s="827"/>
      <c r="C89" s="1046" t="s">
        <v>119</v>
      </c>
      <c r="D89" s="1047"/>
      <c r="E89" s="1045" t="s">
        <v>120</v>
      </c>
      <c r="F89" s="1045"/>
      <c r="G89" s="1045"/>
      <c r="H89" s="1045"/>
      <c r="I89" s="1045"/>
      <c r="J89" s="1045"/>
      <c r="K89" s="1045"/>
      <c r="L89" s="1045"/>
      <c r="M89" s="1030" t="s">
        <v>121</v>
      </c>
      <c r="N89" s="1030"/>
      <c r="O89" s="1030"/>
      <c r="P89" s="1030"/>
      <c r="Q89" s="1030"/>
      <c r="R89" s="1030" t="s">
        <v>108</v>
      </c>
      <c r="S89" s="1030"/>
      <c r="T89" s="826"/>
    </row>
    <row r="90" spans="2:20" s="825" customFormat="1" ht="15.95">
      <c r="B90" s="827"/>
      <c r="C90" s="1050"/>
      <c r="D90" s="1051"/>
      <c r="E90" s="1045" t="s">
        <v>122</v>
      </c>
      <c r="F90" s="1045"/>
      <c r="G90" s="1045"/>
      <c r="H90" s="1045"/>
      <c r="I90" s="1045"/>
      <c r="J90" s="1045"/>
      <c r="K90" s="1045"/>
      <c r="L90" s="1045"/>
      <c r="M90" s="1030"/>
      <c r="N90" s="1030"/>
      <c r="O90" s="1030"/>
      <c r="P90" s="1030"/>
      <c r="Q90" s="1030"/>
      <c r="R90" s="1030"/>
      <c r="S90" s="1030"/>
      <c r="T90" s="826"/>
    </row>
    <row r="91" spans="2:20" s="825" customFormat="1" ht="15.75" customHeight="1">
      <c r="B91" s="827"/>
      <c r="C91" s="1046" t="s">
        <v>123</v>
      </c>
      <c r="D91" s="1047"/>
      <c r="E91" s="1045" t="s">
        <v>124</v>
      </c>
      <c r="F91" s="1045"/>
      <c r="G91" s="1045"/>
      <c r="H91" s="1045"/>
      <c r="I91" s="1045"/>
      <c r="J91" s="1045"/>
      <c r="K91" s="1045"/>
      <c r="L91" s="1045"/>
      <c r="M91" s="1030" t="s">
        <v>121</v>
      </c>
      <c r="N91" s="1030"/>
      <c r="O91" s="1030"/>
      <c r="P91" s="1030"/>
      <c r="Q91" s="1030"/>
      <c r="R91" s="1030" t="s">
        <v>108</v>
      </c>
      <c r="S91" s="1030"/>
      <c r="T91" s="826"/>
    </row>
    <row r="92" spans="2:20" s="825" customFormat="1" ht="15.95">
      <c r="B92" s="827"/>
      <c r="C92" s="1048"/>
      <c r="D92" s="1049"/>
      <c r="E92" s="1045" t="s">
        <v>125</v>
      </c>
      <c r="F92" s="1045"/>
      <c r="G92" s="1045"/>
      <c r="H92" s="1045"/>
      <c r="I92" s="1045"/>
      <c r="J92" s="1045"/>
      <c r="K92" s="1045"/>
      <c r="L92" s="1045"/>
      <c r="M92" s="1030"/>
      <c r="N92" s="1030"/>
      <c r="O92" s="1030"/>
      <c r="P92" s="1030"/>
      <c r="Q92" s="1030"/>
      <c r="R92" s="1030"/>
      <c r="S92" s="1030"/>
      <c r="T92" s="826"/>
    </row>
    <row r="93" spans="2:20" s="825" customFormat="1" ht="15.95">
      <c r="B93" s="827"/>
      <c r="C93" s="1048"/>
      <c r="D93" s="1049"/>
      <c r="E93" s="1045" t="s">
        <v>126</v>
      </c>
      <c r="F93" s="1045"/>
      <c r="G93" s="1045"/>
      <c r="H93" s="1045"/>
      <c r="I93" s="1045"/>
      <c r="J93" s="1045"/>
      <c r="K93" s="1045"/>
      <c r="L93" s="1045"/>
      <c r="M93" s="1030"/>
      <c r="N93" s="1030"/>
      <c r="O93" s="1030"/>
      <c r="P93" s="1030"/>
      <c r="Q93" s="1030"/>
      <c r="R93" s="1030"/>
      <c r="S93" s="1030"/>
      <c r="T93" s="826"/>
    </row>
    <row r="94" spans="2:20" s="825" customFormat="1" ht="15.95">
      <c r="B94" s="827"/>
      <c r="C94" s="1050"/>
      <c r="D94" s="1051"/>
      <c r="E94" s="1045" t="s">
        <v>127</v>
      </c>
      <c r="F94" s="1045"/>
      <c r="G94" s="1045"/>
      <c r="H94" s="1045"/>
      <c r="I94" s="1045"/>
      <c r="J94" s="1045"/>
      <c r="K94" s="1045"/>
      <c r="L94" s="1045"/>
      <c r="M94" s="1030"/>
      <c r="N94" s="1030"/>
      <c r="O94" s="1030"/>
      <c r="P94" s="1030"/>
      <c r="Q94" s="1030"/>
      <c r="R94" s="1030"/>
      <c r="S94" s="1030"/>
      <c r="T94" s="826"/>
    </row>
    <row r="95" spans="2:20" s="825" customFormat="1" ht="15.75" customHeight="1">
      <c r="B95" s="827"/>
      <c r="C95" s="1046" t="s">
        <v>128</v>
      </c>
      <c r="D95" s="1047"/>
      <c r="E95" s="1045" t="s">
        <v>129</v>
      </c>
      <c r="F95" s="1045"/>
      <c r="G95" s="1045"/>
      <c r="H95" s="1045"/>
      <c r="I95" s="1045"/>
      <c r="J95" s="1045"/>
      <c r="K95" s="1045"/>
      <c r="L95" s="1045"/>
      <c r="M95" s="1030" t="s">
        <v>130</v>
      </c>
      <c r="N95" s="1030"/>
      <c r="O95" s="1030"/>
      <c r="P95" s="1030"/>
      <c r="Q95" s="1030"/>
      <c r="R95" s="1030" t="s">
        <v>108</v>
      </c>
      <c r="S95" s="1030"/>
      <c r="T95" s="826"/>
    </row>
    <row r="96" spans="2:20" s="825" customFormat="1" ht="15.95">
      <c r="B96" s="827"/>
      <c r="C96" s="1048"/>
      <c r="D96" s="1049"/>
      <c r="E96" s="1045" t="s">
        <v>131</v>
      </c>
      <c r="F96" s="1045"/>
      <c r="G96" s="1045"/>
      <c r="H96" s="1045"/>
      <c r="I96" s="1045"/>
      <c r="J96" s="1045"/>
      <c r="K96" s="1045"/>
      <c r="L96" s="1045"/>
      <c r="M96" s="1030"/>
      <c r="N96" s="1030"/>
      <c r="O96" s="1030"/>
      <c r="P96" s="1030"/>
      <c r="Q96" s="1030"/>
      <c r="R96" s="1030"/>
      <c r="S96" s="1030"/>
      <c r="T96" s="826"/>
    </row>
    <row r="97" spans="2:20" s="825" customFormat="1" ht="15.95">
      <c r="B97" s="827"/>
      <c r="C97" s="1050"/>
      <c r="D97" s="1051"/>
      <c r="E97" s="1045" t="s">
        <v>132</v>
      </c>
      <c r="F97" s="1045"/>
      <c r="G97" s="1045"/>
      <c r="H97" s="1045"/>
      <c r="I97" s="1045"/>
      <c r="J97" s="1045"/>
      <c r="K97" s="1045"/>
      <c r="L97" s="1045"/>
      <c r="M97" s="1030"/>
      <c r="N97" s="1030"/>
      <c r="O97" s="1030"/>
      <c r="P97" s="1030"/>
      <c r="Q97" s="1030"/>
      <c r="R97" s="1030"/>
      <c r="S97" s="1030"/>
      <c r="T97" s="826"/>
    </row>
    <row r="98" spans="2:20" s="825" customFormat="1" ht="15.75" customHeight="1">
      <c r="B98" s="827"/>
      <c r="C98" s="1046" t="s">
        <v>133</v>
      </c>
      <c r="D98" s="1047"/>
      <c r="E98" s="1045" t="s">
        <v>134</v>
      </c>
      <c r="F98" s="1045"/>
      <c r="G98" s="1045"/>
      <c r="H98" s="1045"/>
      <c r="I98" s="1045"/>
      <c r="J98" s="1045"/>
      <c r="K98" s="1045"/>
      <c r="L98" s="1045"/>
      <c r="M98" s="1030" t="s">
        <v>135</v>
      </c>
      <c r="N98" s="1030"/>
      <c r="O98" s="1030"/>
      <c r="P98" s="1030"/>
      <c r="Q98" s="1030"/>
      <c r="R98" s="1030" t="s">
        <v>108</v>
      </c>
      <c r="S98" s="1030"/>
      <c r="T98" s="826"/>
    </row>
    <row r="99" spans="2:20" s="825" customFormat="1" ht="15.95">
      <c r="B99" s="827"/>
      <c r="C99" s="1048"/>
      <c r="D99" s="1049"/>
      <c r="E99" s="1045" t="s">
        <v>136</v>
      </c>
      <c r="F99" s="1045"/>
      <c r="G99" s="1045"/>
      <c r="H99" s="1045"/>
      <c r="I99" s="1045"/>
      <c r="J99" s="1045"/>
      <c r="K99" s="1045"/>
      <c r="L99" s="1045"/>
      <c r="M99" s="1030"/>
      <c r="N99" s="1030"/>
      <c r="O99" s="1030"/>
      <c r="P99" s="1030"/>
      <c r="Q99" s="1030"/>
      <c r="R99" s="1030"/>
      <c r="S99" s="1030"/>
      <c r="T99" s="826"/>
    </row>
    <row r="100" spans="2:20" s="825" customFormat="1" ht="15.95">
      <c r="B100" s="827"/>
      <c r="C100" s="1048"/>
      <c r="D100" s="1049"/>
      <c r="E100" s="1045" t="s">
        <v>137</v>
      </c>
      <c r="F100" s="1045"/>
      <c r="G100" s="1045"/>
      <c r="H100" s="1045"/>
      <c r="I100" s="1045"/>
      <c r="J100" s="1045"/>
      <c r="K100" s="1045"/>
      <c r="L100" s="1045"/>
      <c r="M100" s="1030"/>
      <c r="N100" s="1030"/>
      <c r="O100" s="1030"/>
      <c r="P100" s="1030"/>
      <c r="Q100" s="1030"/>
      <c r="R100" s="1030"/>
      <c r="S100" s="1030"/>
      <c r="T100" s="826"/>
    </row>
    <row r="101" spans="2:20" s="825" customFormat="1" ht="15.95">
      <c r="B101" s="827"/>
      <c r="C101" s="1048"/>
      <c r="D101" s="1049"/>
      <c r="E101" s="1045" t="s">
        <v>138</v>
      </c>
      <c r="F101" s="1045"/>
      <c r="G101" s="1045"/>
      <c r="H101" s="1045"/>
      <c r="I101" s="1045"/>
      <c r="J101" s="1045"/>
      <c r="K101" s="1045"/>
      <c r="L101" s="1045"/>
      <c r="M101" s="1030"/>
      <c r="N101" s="1030"/>
      <c r="O101" s="1030"/>
      <c r="P101" s="1030"/>
      <c r="Q101" s="1030"/>
      <c r="R101" s="1030"/>
      <c r="S101" s="1030"/>
      <c r="T101" s="826"/>
    </row>
    <row r="102" spans="2:20" s="825" customFormat="1" ht="15.95">
      <c r="B102" s="827"/>
      <c r="C102" s="1048"/>
      <c r="D102" s="1049"/>
      <c r="E102" s="1045" t="s">
        <v>139</v>
      </c>
      <c r="F102" s="1045"/>
      <c r="G102" s="1045"/>
      <c r="H102" s="1045"/>
      <c r="I102" s="1045"/>
      <c r="J102" s="1045"/>
      <c r="K102" s="1045"/>
      <c r="L102" s="1045"/>
      <c r="M102" s="1030"/>
      <c r="N102" s="1030"/>
      <c r="O102" s="1030"/>
      <c r="P102" s="1030"/>
      <c r="Q102" s="1030"/>
      <c r="R102" s="1030"/>
      <c r="S102" s="1030"/>
      <c r="T102" s="826"/>
    </row>
    <row r="103" spans="2:20" s="825" customFormat="1" ht="15.95">
      <c r="B103" s="827"/>
      <c r="C103" s="1050"/>
      <c r="D103" s="1051"/>
      <c r="E103" s="1045" t="s">
        <v>140</v>
      </c>
      <c r="F103" s="1045"/>
      <c r="G103" s="1045"/>
      <c r="H103" s="1045"/>
      <c r="I103" s="1045"/>
      <c r="J103" s="1045"/>
      <c r="K103" s="1045"/>
      <c r="L103" s="1045"/>
      <c r="M103" s="1030"/>
      <c r="N103" s="1030"/>
      <c r="O103" s="1030"/>
      <c r="P103" s="1030"/>
      <c r="Q103" s="1030"/>
      <c r="R103" s="1030"/>
      <c r="S103" s="1030"/>
      <c r="T103" s="826"/>
    </row>
    <row r="104" spans="2:20" s="825" customFormat="1" ht="15.75" customHeight="1">
      <c r="B104" s="827"/>
      <c r="C104" s="1046" t="s">
        <v>141</v>
      </c>
      <c r="D104" s="1047"/>
      <c r="E104" s="1045" t="s">
        <v>142</v>
      </c>
      <c r="F104" s="1045"/>
      <c r="G104" s="1045"/>
      <c r="H104" s="1045"/>
      <c r="I104" s="1045"/>
      <c r="J104" s="1045"/>
      <c r="K104" s="1045"/>
      <c r="L104" s="1045"/>
      <c r="M104" s="1030" t="s">
        <v>135</v>
      </c>
      <c r="N104" s="1030"/>
      <c r="O104" s="1030"/>
      <c r="P104" s="1030"/>
      <c r="Q104" s="1030"/>
      <c r="R104" s="1030" t="s">
        <v>108</v>
      </c>
      <c r="S104" s="1030"/>
      <c r="T104" s="826"/>
    </row>
    <row r="105" spans="2:20" s="825" customFormat="1" ht="15.95">
      <c r="B105" s="827"/>
      <c r="C105" s="1048"/>
      <c r="D105" s="1049"/>
      <c r="E105" s="1045" t="s">
        <v>143</v>
      </c>
      <c r="F105" s="1045"/>
      <c r="G105" s="1045"/>
      <c r="H105" s="1045"/>
      <c r="I105" s="1045"/>
      <c r="J105" s="1045"/>
      <c r="K105" s="1045"/>
      <c r="L105" s="1045"/>
      <c r="M105" s="1030"/>
      <c r="N105" s="1030"/>
      <c r="O105" s="1030"/>
      <c r="P105" s="1030"/>
      <c r="Q105" s="1030"/>
      <c r="R105" s="1030"/>
      <c r="S105" s="1030"/>
      <c r="T105" s="826"/>
    </row>
    <row r="106" spans="2:20" s="825" customFormat="1" ht="15.95">
      <c r="B106" s="827"/>
      <c r="C106" s="1048"/>
      <c r="D106" s="1049"/>
      <c r="E106" s="1045" t="s">
        <v>144</v>
      </c>
      <c r="F106" s="1045"/>
      <c r="G106" s="1045"/>
      <c r="H106" s="1045"/>
      <c r="I106" s="1045"/>
      <c r="J106" s="1045"/>
      <c r="K106" s="1045"/>
      <c r="L106" s="1045"/>
      <c r="M106" s="1030"/>
      <c r="N106" s="1030"/>
      <c r="O106" s="1030"/>
      <c r="P106" s="1030"/>
      <c r="Q106" s="1030"/>
      <c r="R106" s="1030"/>
      <c r="S106" s="1030"/>
      <c r="T106" s="826"/>
    </row>
    <row r="107" spans="2:20" s="825" customFormat="1" ht="15.95">
      <c r="B107" s="827"/>
      <c r="C107" s="1048"/>
      <c r="D107" s="1049"/>
      <c r="E107" s="1045" t="s">
        <v>145</v>
      </c>
      <c r="F107" s="1045"/>
      <c r="G107" s="1045"/>
      <c r="H107" s="1045"/>
      <c r="I107" s="1045"/>
      <c r="J107" s="1045"/>
      <c r="K107" s="1045"/>
      <c r="L107" s="1045"/>
      <c r="M107" s="1030"/>
      <c r="N107" s="1030"/>
      <c r="O107" s="1030"/>
      <c r="P107" s="1030"/>
      <c r="Q107" s="1030"/>
      <c r="R107" s="1030"/>
      <c r="S107" s="1030"/>
      <c r="T107" s="826"/>
    </row>
    <row r="108" spans="2:20" s="825" customFormat="1" ht="15.95">
      <c r="B108" s="827"/>
      <c r="C108" s="1048"/>
      <c r="D108" s="1049"/>
      <c r="E108" s="1045" t="s">
        <v>146</v>
      </c>
      <c r="F108" s="1045"/>
      <c r="G108" s="1045"/>
      <c r="H108" s="1045"/>
      <c r="I108" s="1045"/>
      <c r="J108" s="1045"/>
      <c r="K108" s="1045"/>
      <c r="L108" s="1045"/>
      <c r="M108" s="1030"/>
      <c r="N108" s="1030"/>
      <c r="O108" s="1030"/>
      <c r="P108" s="1030"/>
      <c r="Q108" s="1030"/>
      <c r="R108" s="1030"/>
      <c r="S108" s="1030"/>
      <c r="T108" s="826"/>
    </row>
    <row r="109" spans="2:20" s="825" customFormat="1" ht="15.95">
      <c r="B109" s="827"/>
      <c r="C109" s="1050"/>
      <c r="D109" s="1051"/>
      <c r="E109" s="1045" t="s">
        <v>147</v>
      </c>
      <c r="F109" s="1045"/>
      <c r="G109" s="1045"/>
      <c r="H109" s="1045"/>
      <c r="I109" s="1045"/>
      <c r="J109" s="1045"/>
      <c r="K109" s="1045"/>
      <c r="L109" s="1045"/>
      <c r="M109" s="1030"/>
      <c r="N109" s="1030"/>
      <c r="O109" s="1030"/>
      <c r="P109" s="1030"/>
      <c r="Q109" s="1030"/>
      <c r="R109" s="1030"/>
      <c r="S109" s="1030"/>
      <c r="T109" s="826"/>
    </row>
    <row r="110" spans="2:20" s="825" customFormat="1" ht="15.75" customHeight="1">
      <c r="B110" s="827"/>
      <c r="C110" s="1046" t="s">
        <v>148</v>
      </c>
      <c r="D110" s="1047"/>
      <c r="E110" s="1045" t="s">
        <v>149</v>
      </c>
      <c r="F110" s="1045"/>
      <c r="G110" s="1045"/>
      <c r="H110" s="1045"/>
      <c r="I110" s="1045"/>
      <c r="J110" s="1045"/>
      <c r="K110" s="1045"/>
      <c r="L110" s="1045"/>
      <c r="M110" s="1030" t="s">
        <v>150</v>
      </c>
      <c r="N110" s="1030"/>
      <c r="O110" s="1030"/>
      <c r="P110" s="1030"/>
      <c r="Q110" s="1030"/>
      <c r="R110" s="1030" t="s">
        <v>151</v>
      </c>
      <c r="S110" s="1030"/>
      <c r="T110" s="826"/>
    </row>
    <row r="111" spans="2:20" s="825" customFormat="1" ht="15.95">
      <c r="B111" s="827"/>
      <c r="C111" s="1048"/>
      <c r="D111" s="1049"/>
      <c r="E111" s="1045" t="s">
        <v>152</v>
      </c>
      <c r="F111" s="1045"/>
      <c r="G111" s="1045"/>
      <c r="H111" s="1045"/>
      <c r="I111" s="1045"/>
      <c r="J111" s="1045"/>
      <c r="K111" s="1045"/>
      <c r="L111" s="1045"/>
      <c r="M111" s="1030"/>
      <c r="N111" s="1030"/>
      <c r="O111" s="1030"/>
      <c r="P111" s="1030"/>
      <c r="Q111" s="1030"/>
      <c r="R111" s="1030"/>
      <c r="S111" s="1030"/>
      <c r="T111" s="826"/>
    </row>
    <row r="112" spans="2:20" s="825" customFormat="1" ht="15.95">
      <c r="B112" s="827"/>
      <c r="C112" s="1050"/>
      <c r="D112" s="1051"/>
      <c r="E112" s="1045" t="s">
        <v>153</v>
      </c>
      <c r="F112" s="1045"/>
      <c r="G112" s="1045"/>
      <c r="H112" s="1045"/>
      <c r="I112" s="1045"/>
      <c r="J112" s="1045"/>
      <c r="K112" s="1045"/>
      <c r="L112" s="1045"/>
      <c r="M112" s="1030"/>
      <c r="N112" s="1030"/>
      <c r="O112" s="1030"/>
      <c r="P112" s="1030"/>
      <c r="Q112" s="1030"/>
      <c r="R112" s="1030"/>
      <c r="S112" s="1030"/>
      <c r="T112" s="826"/>
    </row>
    <row r="113" spans="2:20" s="825" customFormat="1" ht="15.75" customHeight="1">
      <c r="B113" s="827"/>
      <c r="C113" s="1046" t="s">
        <v>154</v>
      </c>
      <c r="D113" s="1047"/>
      <c r="E113" s="1045" t="s">
        <v>155</v>
      </c>
      <c r="F113" s="1045"/>
      <c r="G113" s="1045"/>
      <c r="H113" s="1045"/>
      <c r="I113" s="1045"/>
      <c r="J113" s="1045"/>
      <c r="K113" s="1045"/>
      <c r="L113" s="1045"/>
      <c r="M113" s="1030" t="s">
        <v>156</v>
      </c>
      <c r="N113" s="1030"/>
      <c r="O113" s="1030"/>
      <c r="P113" s="1030"/>
      <c r="Q113" s="1030"/>
      <c r="R113" s="1030" t="s">
        <v>108</v>
      </c>
      <c r="S113" s="1030"/>
      <c r="T113" s="826"/>
    </row>
    <row r="114" spans="2:20" s="825" customFormat="1" ht="15.95">
      <c r="B114" s="827"/>
      <c r="C114" s="1048"/>
      <c r="D114" s="1049"/>
      <c r="E114" s="1045" t="s">
        <v>157</v>
      </c>
      <c r="F114" s="1045"/>
      <c r="G114" s="1045"/>
      <c r="H114" s="1045"/>
      <c r="I114" s="1045"/>
      <c r="J114" s="1045"/>
      <c r="K114" s="1045"/>
      <c r="L114" s="1045"/>
      <c r="M114" s="1030"/>
      <c r="N114" s="1030"/>
      <c r="O114" s="1030"/>
      <c r="P114" s="1030"/>
      <c r="Q114" s="1030"/>
      <c r="R114" s="1030"/>
      <c r="S114" s="1030"/>
      <c r="T114" s="826"/>
    </row>
    <row r="115" spans="2:20" s="825" customFormat="1" ht="15.95">
      <c r="B115" s="827"/>
      <c r="C115" s="1048"/>
      <c r="D115" s="1049"/>
      <c r="E115" s="1045" t="s">
        <v>158</v>
      </c>
      <c r="F115" s="1045"/>
      <c r="G115" s="1045"/>
      <c r="H115" s="1045"/>
      <c r="I115" s="1045"/>
      <c r="J115" s="1045"/>
      <c r="K115" s="1045"/>
      <c r="L115" s="1045"/>
      <c r="M115" s="1030"/>
      <c r="N115" s="1030"/>
      <c r="O115" s="1030"/>
      <c r="P115" s="1030"/>
      <c r="Q115" s="1030"/>
      <c r="R115" s="1030"/>
      <c r="S115" s="1030"/>
      <c r="T115" s="826"/>
    </row>
    <row r="116" spans="2:20" s="825" customFormat="1" ht="15.95">
      <c r="B116" s="827"/>
      <c r="C116" s="1050"/>
      <c r="D116" s="1051"/>
      <c r="E116" s="1045" t="s">
        <v>159</v>
      </c>
      <c r="F116" s="1045"/>
      <c r="G116" s="1045"/>
      <c r="H116" s="1045"/>
      <c r="I116" s="1045"/>
      <c r="J116" s="1045"/>
      <c r="K116" s="1045"/>
      <c r="L116" s="1045"/>
      <c r="M116" s="1030"/>
      <c r="N116" s="1030"/>
      <c r="O116" s="1030"/>
      <c r="P116" s="1030"/>
      <c r="Q116" s="1030"/>
      <c r="R116" s="1030"/>
      <c r="S116" s="1030"/>
      <c r="T116" s="826"/>
    </row>
    <row r="117" spans="2:20" s="825" customFormat="1" ht="16.5" thickBot="1">
      <c r="B117" s="828"/>
      <c r="C117" s="829"/>
      <c r="D117" s="836"/>
      <c r="E117" s="829"/>
      <c r="F117" s="829"/>
      <c r="G117" s="829"/>
      <c r="H117" s="829"/>
      <c r="I117" s="829"/>
      <c r="J117" s="829"/>
      <c r="K117" s="829"/>
      <c r="L117" s="829"/>
      <c r="M117" s="829"/>
      <c r="N117" s="829"/>
      <c r="O117" s="829"/>
      <c r="P117" s="829"/>
      <c r="Q117" s="829"/>
      <c r="R117" s="847"/>
      <c r="S117" s="847"/>
      <c r="T117" s="830"/>
    </row>
    <row r="118" spans="2:20" s="825" customFormat="1" ht="15.95">
      <c r="D118" s="835"/>
      <c r="R118" s="3"/>
      <c r="S118" s="3"/>
    </row>
    <row r="119" spans="2:20" s="825" customFormat="1" ht="16.5" thickBot="1">
      <c r="D119" s="835"/>
      <c r="R119" s="3"/>
      <c r="S119" s="3"/>
    </row>
    <row r="120" spans="2:20" s="825" customFormat="1" ht="18.600000000000001">
      <c r="B120" s="822" t="s">
        <v>160</v>
      </c>
      <c r="C120" s="877"/>
      <c r="D120" s="877"/>
      <c r="E120" s="878"/>
      <c r="F120" s="878"/>
      <c r="G120" s="878"/>
      <c r="H120" s="878"/>
      <c r="I120" s="878"/>
      <c r="J120" s="878"/>
      <c r="K120" s="878"/>
      <c r="L120" s="878"/>
      <c r="M120" s="878"/>
      <c r="N120" s="878"/>
      <c r="O120" s="878"/>
      <c r="P120" s="878"/>
      <c r="Q120" s="878"/>
      <c r="R120" s="878"/>
      <c r="S120" s="878"/>
      <c r="T120" s="879"/>
    </row>
    <row r="121" spans="2:20" s="825" customFormat="1" ht="15.95">
      <c r="B121" s="1007" t="s">
        <v>161</v>
      </c>
      <c r="C121" s="1008"/>
      <c r="D121" s="1008"/>
      <c r="E121" s="1008"/>
      <c r="F121" s="1008"/>
      <c r="G121" s="1008"/>
      <c r="H121" s="1008"/>
      <c r="I121" s="1008"/>
      <c r="J121" s="1008"/>
      <c r="K121" s="1008"/>
      <c r="L121" s="1008"/>
      <c r="M121" s="1008"/>
      <c r="N121" s="1008"/>
      <c r="O121" s="1008"/>
      <c r="P121" s="1008"/>
      <c r="Q121" s="1008"/>
      <c r="R121" s="1008"/>
      <c r="S121" s="1008"/>
      <c r="T121" s="1009"/>
    </row>
    <row r="122" spans="2:20" s="825" customFormat="1" ht="15.95">
      <c r="B122" s="1007"/>
      <c r="C122" s="1008"/>
      <c r="D122" s="1008"/>
      <c r="E122" s="1008"/>
      <c r="F122" s="1008"/>
      <c r="G122" s="1008"/>
      <c r="H122" s="1008"/>
      <c r="I122" s="1008"/>
      <c r="J122" s="1008"/>
      <c r="K122" s="1008"/>
      <c r="L122" s="1008"/>
      <c r="M122" s="1008"/>
      <c r="N122" s="1008"/>
      <c r="O122" s="1008"/>
      <c r="P122" s="1008"/>
      <c r="Q122" s="1008"/>
      <c r="R122" s="1008"/>
      <c r="S122" s="1008"/>
      <c r="T122" s="1009"/>
    </row>
    <row r="123" spans="2:20" s="825" customFormat="1" ht="15.95">
      <c r="B123" s="1007"/>
      <c r="C123" s="1008"/>
      <c r="D123" s="1008"/>
      <c r="E123" s="1008"/>
      <c r="F123" s="1008"/>
      <c r="G123" s="1008"/>
      <c r="H123" s="1008"/>
      <c r="I123" s="1008"/>
      <c r="J123" s="1008"/>
      <c r="K123" s="1008"/>
      <c r="L123" s="1008"/>
      <c r="M123" s="1008"/>
      <c r="N123" s="1008"/>
      <c r="O123" s="1008"/>
      <c r="P123" s="1008"/>
      <c r="Q123" s="1008"/>
      <c r="R123" s="1008"/>
      <c r="S123" s="1008"/>
      <c r="T123" s="1009"/>
    </row>
    <row r="124" spans="2:20" s="825" customFormat="1" ht="15.95">
      <c r="B124" s="1007"/>
      <c r="C124" s="1008"/>
      <c r="D124" s="1008"/>
      <c r="E124" s="1008"/>
      <c r="F124" s="1008"/>
      <c r="G124" s="1008"/>
      <c r="H124" s="1008"/>
      <c r="I124" s="1008"/>
      <c r="J124" s="1008"/>
      <c r="K124" s="1008"/>
      <c r="L124" s="1008"/>
      <c r="M124" s="1008"/>
      <c r="N124" s="1008"/>
      <c r="O124" s="1008"/>
      <c r="P124" s="1008"/>
      <c r="Q124" s="1008"/>
      <c r="R124" s="1008"/>
      <c r="S124" s="1008"/>
      <c r="T124" s="1009"/>
    </row>
    <row r="125" spans="2:20" s="825" customFormat="1" ht="15.95">
      <c r="B125" s="1007"/>
      <c r="C125" s="1008"/>
      <c r="D125" s="1008"/>
      <c r="E125" s="1008"/>
      <c r="F125" s="1008"/>
      <c r="G125" s="1008"/>
      <c r="H125" s="1008"/>
      <c r="I125" s="1008"/>
      <c r="J125" s="1008"/>
      <c r="K125" s="1008"/>
      <c r="L125" s="1008"/>
      <c r="M125" s="1008"/>
      <c r="N125" s="1008"/>
      <c r="O125" s="1008"/>
      <c r="P125" s="1008"/>
      <c r="Q125" s="1008"/>
      <c r="R125" s="1008"/>
      <c r="S125" s="1008"/>
      <c r="T125" s="1009"/>
    </row>
    <row r="126" spans="2:20" s="825" customFormat="1" ht="15.95">
      <c r="B126" s="1007"/>
      <c r="C126" s="1008"/>
      <c r="D126" s="1008"/>
      <c r="E126" s="1008"/>
      <c r="F126" s="1008"/>
      <c r="G126" s="1008"/>
      <c r="H126" s="1008"/>
      <c r="I126" s="1008"/>
      <c r="J126" s="1008"/>
      <c r="K126" s="1008"/>
      <c r="L126" s="1008"/>
      <c r="M126" s="1008"/>
      <c r="N126" s="1008"/>
      <c r="O126" s="1008"/>
      <c r="P126" s="1008"/>
      <c r="Q126" s="1008"/>
      <c r="R126" s="1008"/>
      <c r="S126" s="1008"/>
      <c r="T126" s="1009"/>
    </row>
    <row r="127" spans="2:20" s="825" customFormat="1" ht="15.95">
      <c r="B127" s="1007"/>
      <c r="C127" s="1008"/>
      <c r="D127" s="1008"/>
      <c r="E127" s="1008"/>
      <c r="F127" s="1008"/>
      <c r="G127" s="1008"/>
      <c r="H127" s="1008"/>
      <c r="I127" s="1008"/>
      <c r="J127" s="1008"/>
      <c r="K127" s="1008"/>
      <c r="L127" s="1008"/>
      <c r="M127" s="1008"/>
      <c r="N127" s="1008"/>
      <c r="O127" s="1008"/>
      <c r="P127" s="1008"/>
      <c r="Q127" s="1008"/>
      <c r="R127" s="1008"/>
      <c r="S127" s="1008"/>
      <c r="T127" s="1009"/>
    </row>
    <row r="128" spans="2:20" s="825" customFormat="1" ht="15.95">
      <c r="B128" s="1007"/>
      <c r="C128" s="1008"/>
      <c r="D128" s="1008"/>
      <c r="E128" s="1008"/>
      <c r="F128" s="1008"/>
      <c r="G128" s="1008"/>
      <c r="H128" s="1008"/>
      <c r="I128" s="1008"/>
      <c r="J128" s="1008"/>
      <c r="K128" s="1008"/>
      <c r="L128" s="1008"/>
      <c r="M128" s="1008"/>
      <c r="N128" s="1008"/>
      <c r="O128" s="1008"/>
      <c r="P128" s="1008"/>
      <c r="Q128" s="1008"/>
      <c r="R128" s="1008"/>
      <c r="S128" s="1008"/>
      <c r="T128" s="1009"/>
    </row>
    <row r="129" spans="2:20" s="825" customFormat="1" ht="15.95">
      <c r="B129" s="1007"/>
      <c r="C129" s="1008"/>
      <c r="D129" s="1008"/>
      <c r="E129" s="1008"/>
      <c r="F129" s="1008"/>
      <c r="G129" s="1008"/>
      <c r="H129" s="1008"/>
      <c r="I129" s="1008"/>
      <c r="J129" s="1008"/>
      <c r="K129" s="1008"/>
      <c r="L129" s="1008"/>
      <c r="M129" s="1008"/>
      <c r="N129" s="1008"/>
      <c r="O129" s="1008"/>
      <c r="P129" s="1008"/>
      <c r="Q129" s="1008"/>
      <c r="R129" s="1008"/>
      <c r="S129" s="1008"/>
      <c r="T129" s="1009"/>
    </row>
    <row r="130" spans="2:20" s="825" customFormat="1" ht="16.5" thickBot="1">
      <c r="B130" s="1010"/>
      <c r="C130" s="1011"/>
      <c r="D130" s="1011"/>
      <c r="E130" s="1011"/>
      <c r="F130" s="1011"/>
      <c r="G130" s="1011"/>
      <c r="H130" s="1011"/>
      <c r="I130" s="1011"/>
      <c r="J130" s="1011"/>
      <c r="K130" s="1011"/>
      <c r="L130" s="1011"/>
      <c r="M130" s="1011"/>
      <c r="N130" s="1011"/>
      <c r="O130" s="1011"/>
      <c r="P130" s="1011"/>
      <c r="Q130" s="1011"/>
      <c r="R130" s="1011"/>
      <c r="S130" s="1011"/>
      <c r="T130" s="1012"/>
    </row>
    <row r="131" spans="2:20" s="825" customFormat="1" ht="16.5" thickBot="1">
      <c r="B131" s="835"/>
      <c r="C131" s="835"/>
      <c r="D131" s="835"/>
    </row>
    <row r="132" spans="2:20" s="825" customFormat="1" ht="18.600000000000001">
      <c r="B132" s="822" t="s">
        <v>162</v>
      </c>
      <c r="C132" s="877"/>
      <c r="D132" s="877"/>
      <c r="E132" s="878"/>
      <c r="F132" s="878"/>
      <c r="G132" s="878"/>
      <c r="H132" s="878"/>
      <c r="I132" s="878"/>
      <c r="J132" s="878"/>
      <c r="K132" s="878"/>
      <c r="L132" s="878"/>
      <c r="M132" s="878"/>
      <c r="N132" s="878"/>
      <c r="O132" s="878"/>
      <c r="P132" s="878"/>
      <c r="Q132" s="878"/>
      <c r="R132" s="878"/>
      <c r="S132" s="878"/>
      <c r="T132" s="879"/>
    </row>
    <row r="133" spans="2:20" s="825" customFormat="1" ht="15.75" customHeight="1">
      <c r="B133" s="1007" t="s">
        <v>163</v>
      </c>
      <c r="C133" s="1008"/>
      <c r="D133" s="1008"/>
      <c r="E133" s="1008"/>
      <c r="F133" s="1008"/>
      <c r="G133" s="1008"/>
      <c r="H133" s="1008"/>
      <c r="I133" s="1008"/>
      <c r="J133" s="1008"/>
      <c r="K133" s="1008"/>
      <c r="L133" s="1008"/>
      <c r="M133" s="1008"/>
      <c r="N133" s="1008"/>
      <c r="O133" s="1008"/>
      <c r="P133" s="1008"/>
      <c r="Q133" s="1008"/>
      <c r="R133" s="1008"/>
      <c r="S133" s="1008"/>
      <c r="T133" s="1009"/>
    </row>
    <row r="134" spans="2:20" s="825" customFormat="1" ht="15.95">
      <c r="B134" s="1007"/>
      <c r="C134" s="1008"/>
      <c r="D134" s="1008"/>
      <c r="E134" s="1008"/>
      <c r="F134" s="1008"/>
      <c r="G134" s="1008"/>
      <c r="H134" s="1008"/>
      <c r="I134" s="1008"/>
      <c r="J134" s="1008"/>
      <c r="K134" s="1008"/>
      <c r="L134" s="1008"/>
      <c r="M134" s="1008"/>
      <c r="N134" s="1008"/>
      <c r="O134" s="1008"/>
      <c r="P134" s="1008"/>
      <c r="Q134" s="1008"/>
      <c r="R134" s="1008"/>
      <c r="S134" s="1008"/>
      <c r="T134" s="1009"/>
    </row>
    <row r="135" spans="2:20" s="825" customFormat="1" ht="15.95">
      <c r="B135" s="1007"/>
      <c r="C135" s="1008"/>
      <c r="D135" s="1008"/>
      <c r="E135" s="1008"/>
      <c r="F135" s="1008"/>
      <c r="G135" s="1008"/>
      <c r="H135" s="1008"/>
      <c r="I135" s="1008"/>
      <c r="J135" s="1008"/>
      <c r="K135" s="1008"/>
      <c r="L135" s="1008"/>
      <c r="M135" s="1008"/>
      <c r="N135" s="1008"/>
      <c r="O135" s="1008"/>
      <c r="P135" s="1008"/>
      <c r="Q135" s="1008"/>
      <c r="R135" s="1008"/>
      <c r="S135" s="1008"/>
      <c r="T135" s="1009"/>
    </row>
    <row r="136" spans="2:20" s="825" customFormat="1" ht="15.95">
      <c r="B136" s="1007"/>
      <c r="C136" s="1008"/>
      <c r="D136" s="1008"/>
      <c r="E136" s="1008"/>
      <c r="F136" s="1008"/>
      <c r="G136" s="1008"/>
      <c r="H136" s="1008"/>
      <c r="I136" s="1008"/>
      <c r="J136" s="1008"/>
      <c r="K136" s="1008"/>
      <c r="L136" s="1008"/>
      <c r="M136" s="1008"/>
      <c r="N136" s="1008"/>
      <c r="O136" s="1008"/>
      <c r="P136" s="1008"/>
      <c r="Q136" s="1008"/>
      <c r="R136" s="1008"/>
      <c r="S136" s="1008"/>
      <c r="T136" s="1009"/>
    </row>
    <row r="137" spans="2:20" s="825" customFormat="1" ht="15.95">
      <c r="B137" s="1007"/>
      <c r="C137" s="1008"/>
      <c r="D137" s="1008"/>
      <c r="E137" s="1008"/>
      <c r="F137" s="1008"/>
      <c r="G137" s="1008"/>
      <c r="H137" s="1008"/>
      <c r="I137" s="1008"/>
      <c r="J137" s="1008"/>
      <c r="K137" s="1008"/>
      <c r="L137" s="1008"/>
      <c r="M137" s="1008"/>
      <c r="N137" s="1008"/>
      <c r="O137" s="1008"/>
      <c r="P137" s="1008"/>
      <c r="Q137" s="1008"/>
      <c r="R137" s="1008"/>
      <c r="S137" s="1008"/>
      <c r="T137" s="1009"/>
    </row>
    <row r="138" spans="2:20" s="825" customFormat="1" ht="15.95">
      <c r="B138" s="1007"/>
      <c r="C138" s="1008"/>
      <c r="D138" s="1008"/>
      <c r="E138" s="1008"/>
      <c r="F138" s="1008"/>
      <c r="G138" s="1008"/>
      <c r="H138" s="1008"/>
      <c r="I138" s="1008"/>
      <c r="J138" s="1008"/>
      <c r="K138" s="1008"/>
      <c r="L138" s="1008"/>
      <c r="M138" s="1008"/>
      <c r="N138" s="1008"/>
      <c r="O138" s="1008"/>
      <c r="P138" s="1008"/>
      <c r="Q138" s="1008"/>
      <c r="R138" s="1008"/>
      <c r="S138" s="1008"/>
      <c r="T138" s="1009"/>
    </row>
    <row r="139" spans="2:20" s="825" customFormat="1" ht="15.95">
      <c r="B139" s="1007"/>
      <c r="C139" s="1008"/>
      <c r="D139" s="1008"/>
      <c r="E139" s="1008"/>
      <c r="F139" s="1008"/>
      <c r="G139" s="1008"/>
      <c r="H139" s="1008"/>
      <c r="I139" s="1008"/>
      <c r="J139" s="1008"/>
      <c r="K139" s="1008"/>
      <c r="L139" s="1008"/>
      <c r="M139" s="1008"/>
      <c r="N139" s="1008"/>
      <c r="O139" s="1008"/>
      <c r="P139" s="1008"/>
      <c r="Q139" s="1008"/>
      <c r="R139" s="1008"/>
      <c r="S139" s="1008"/>
      <c r="T139" s="1009"/>
    </row>
    <row r="140" spans="2:20" s="825" customFormat="1" ht="15.95">
      <c r="B140" s="1007"/>
      <c r="C140" s="1008"/>
      <c r="D140" s="1008"/>
      <c r="E140" s="1008"/>
      <c r="F140" s="1008"/>
      <c r="G140" s="1008"/>
      <c r="H140" s="1008"/>
      <c r="I140" s="1008"/>
      <c r="J140" s="1008"/>
      <c r="K140" s="1008"/>
      <c r="L140" s="1008"/>
      <c r="M140" s="1008"/>
      <c r="N140" s="1008"/>
      <c r="O140" s="1008"/>
      <c r="P140" s="1008"/>
      <c r="Q140" s="1008"/>
      <c r="R140" s="1008"/>
      <c r="S140" s="1008"/>
      <c r="T140" s="1009"/>
    </row>
    <row r="141" spans="2:20" s="825" customFormat="1" ht="15.95">
      <c r="B141" s="1007"/>
      <c r="C141" s="1008"/>
      <c r="D141" s="1008"/>
      <c r="E141" s="1008"/>
      <c r="F141" s="1008"/>
      <c r="G141" s="1008"/>
      <c r="H141" s="1008"/>
      <c r="I141" s="1008"/>
      <c r="J141" s="1008"/>
      <c r="K141" s="1008"/>
      <c r="L141" s="1008"/>
      <c r="M141" s="1008"/>
      <c r="N141" s="1008"/>
      <c r="O141" s="1008"/>
      <c r="P141" s="1008"/>
      <c r="Q141" s="1008"/>
      <c r="R141" s="1008"/>
      <c r="S141" s="1008"/>
      <c r="T141" s="1009"/>
    </row>
    <row r="142" spans="2:20" s="825" customFormat="1" ht="15.95">
      <c r="B142" s="1007"/>
      <c r="C142" s="1008"/>
      <c r="D142" s="1008"/>
      <c r="E142" s="1008"/>
      <c r="F142" s="1008"/>
      <c r="G142" s="1008"/>
      <c r="H142" s="1008"/>
      <c r="I142" s="1008"/>
      <c r="J142" s="1008"/>
      <c r="K142" s="1008"/>
      <c r="L142" s="1008"/>
      <c r="M142" s="1008"/>
      <c r="N142" s="1008"/>
      <c r="O142" s="1008"/>
      <c r="P142" s="1008"/>
      <c r="Q142" s="1008"/>
      <c r="R142" s="1008"/>
      <c r="S142" s="1008"/>
      <c r="T142" s="1009"/>
    </row>
    <row r="143" spans="2:20" s="825" customFormat="1" ht="15.75" customHeight="1">
      <c r="B143" s="1042" t="s">
        <v>164</v>
      </c>
      <c r="C143" s="1043"/>
      <c r="D143" s="1043"/>
      <c r="E143" s="1043"/>
      <c r="F143" s="1043"/>
      <c r="G143" s="1043"/>
      <c r="H143" s="1043"/>
      <c r="I143" s="1043"/>
      <c r="J143" s="1043"/>
      <c r="K143" s="1043"/>
      <c r="L143" s="1043"/>
      <c r="M143" s="1043"/>
      <c r="N143" s="1043"/>
      <c r="O143" s="1043"/>
      <c r="P143" s="1043"/>
      <c r="Q143" s="1043"/>
      <c r="R143" s="1043"/>
      <c r="S143" s="1043"/>
      <c r="T143" s="1044"/>
    </row>
    <row r="144" spans="2:20" s="825" customFormat="1" ht="15.75" customHeight="1">
      <c r="B144" s="1042"/>
      <c r="C144" s="1043"/>
      <c r="D144" s="1043"/>
      <c r="E144" s="1043"/>
      <c r="F144" s="1043"/>
      <c r="G144" s="1043"/>
      <c r="H144" s="1043"/>
      <c r="I144" s="1043"/>
      <c r="J144" s="1043"/>
      <c r="K144" s="1043"/>
      <c r="L144" s="1043"/>
      <c r="M144" s="1043"/>
      <c r="N144" s="1043"/>
      <c r="O144" s="1043"/>
      <c r="P144" s="1043"/>
      <c r="Q144" s="1043"/>
      <c r="R144" s="1043"/>
      <c r="S144" s="1043"/>
      <c r="T144" s="1044"/>
    </row>
    <row r="145" spans="2:20" s="825" customFormat="1" ht="15.75" customHeight="1">
      <c r="B145" s="1042"/>
      <c r="C145" s="1043"/>
      <c r="D145" s="1043"/>
      <c r="E145" s="1043"/>
      <c r="F145" s="1043"/>
      <c r="G145" s="1043"/>
      <c r="H145" s="1043"/>
      <c r="I145" s="1043"/>
      <c r="J145" s="1043"/>
      <c r="K145" s="1043"/>
      <c r="L145" s="1043"/>
      <c r="M145" s="1043"/>
      <c r="N145" s="1043"/>
      <c r="O145" s="1043"/>
      <c r="P145" s="1043"/>
      <c r="Q145" s="1043"/>
      <c r="R145" s="1043"/>
      <c r="S145" s="1043"/>
      <c r="T145" s="1044"/>
    </row>
    <row r="146" spans="2:20" s="825" customFormat="1" ht="15.75" customHeight="1">
      <c r="B146" s="1042"/>
      <c r="C146" s="1043"/>
      <c r="D146" s="1043"/>
      <c r="E146" s="1043"/>
      <c r="F146" s="1043"/>
      <c r="G146" s="1043"/>
      <c r="H146" s="1043"/>
      <c r="I146" s="1043"/>
      <c r="J146" s="1043"/>
      <c r="K146" s="1043"/>
      <c r="L146" s="1043"/>
      <c r="M146" s="1043"/>
      <c r="N146" s="1043"/>
      <c r="O146" s="1043"/>
      <c r="P146" s="1043"/>
      <c r="Q146" s="1043"/>
      <c r="R146" s="1043"/>
      <c r="S146" s="1043"/>
      <c r="T146" s="1044"/>
    </row>
    <row r="147" spans="2:20" s="825" customFormat="1" ht="15.75" customHeight="1">
      <c r="B147" s="1042"/>
      <c r="C147" s="1043"/>
      <c r="D147" s="1043"/>
      <c r="E147" s="1043"/>
      <c r="F147" s="1043"/>
      <c r="G147" s="1043"/>
      <c r="H147" s="1043"/>
      <c r="I147" s="1043"/>
      <c r="J147" s="1043"/>
      <c r="K147" s="1043"/>
      <c r="L147" s="1043"/>
      <c r="M147" s="1043"/>
      <c r="N147" s="1043"/>
      <c r="O147" s="1043"/>
      <c r="P147" s="1043"/>
      <c r="Q147" s="1043"/>
      <c r="R147" s="1043"/>
      <c r="S147" s="1043"/>
      <c r="T147" s="1044"/>
    </row>
    <row r="148" spans="2:20" s="825" customFormat="1" ht="15.95">
      <c r="B148" s="1042"/>
      <c r="C148" s="1043"/>
      <c r="D148" s="1043"/>
      <c r="E148" s="1043"/>
      <c r="F148" s="1043"/>
      <c r="G148" s="1043"/>
      <c r="H148" s="1043"/>
      <c r="I148" s="1043"/>
      <c r="J148" s="1043"/>
      <c r="K148" s="1043"/>
      <c r="L148" s="1043"/>
      <c r="M148" s="1043"/>
      <c r="N148" s="1043"/>
      <c r="O148" s="1043"/>
      <c r="P148" s="1043"/>
      <c r="Q148" s="1043"/>
      <c r="R148" s="1043"/>
      <c r="S148" s="1043"/>
      <c r="T148" s="1044"/>
    </row>
    <row r="149" spans="2:20" s="825" customFormat="1" ht="15.95">
      <c r="B149" s="1042"/>
      <c r="C149" s="1043"/>
      <c r="D149" s="1043"/>
      <c r="E149" s="1043"/>
      <c r="F149" s="1043"/>
      <c r="G149" s="1043"/>
      <c r="H149" s="1043"/>
      <c r="I149" s="1043"/>
      <c r="J149" s="1043"/>
      <c r="K149" s="1043"/>
      <c r="L149" s="1043"/>
      <c r="M149" s="1043"/>
      <c r="N149" s="1043"/>
      <c r="O149" s="1043"/>
      <c r="P149" s="1043"/>
      <c r="Q149" s="1043"/>
      <c r="R149" s="1043"/>
      <c r="S149" s="1043"/>
      <c r="T149" s="1044"/>
    </row>
    <row r="150" spans="2:20" s="825" customFormat="1" ht="15.95">
      <c r="B150" s="827"/>
      <c r="C150" s="1039" t="s">
        <v>165</v>
      </c>
      <c r="D150" s="1039"/>
      <c r="E150" s="1039" t="s">
        <v>166</v>
      </c>
      <c r="F150" s="1039"/>
      <c r="G150" s="1039"/>
      <c r="H150" s="1039"/>
      <c r="I150" s="1039"/>
      <c r="J150" s="1039" t="s">
        <v>167</v>
      </c>
      <c r="K150" s="1039"/>
      <c r="L150" s="1039"/>
      <c r="M150" s="1039"/>
      <c r="N150" s="1039"/>
      <c r="O150" s="1039" t="s">
        <v>168</v>
      </c>
      <c r="P150" s="1039"/>
      <c r="Q150" s="1039"/>
      <c r="R150" s="1039"/>
      <c r="T150" s="826"/>
    </row>
    <row r="151" spans="2:20" s="825" customFormat="1" ht="15.95">
      <c r="B151" s="827"/>
      <c r="C151" s="1038" t="s">
        <v>169</v>
      </c>
      <c r="D151" s="1038"/>
      <c r="E151" s="1040" t="s">
        <v>170</v>
      </c>
      <c r="F151" s="1040"/>
      <c r="G151" s="1040"/>
      <c r="H151" s="1040"/>
      <c r="I151" s="1040"/>
      <c r="J151" s="1040" t="s">
        <v>171</v>
      </c>
      <c r="K151" s="1040"/>
      <c r="L151" s="1040"/>
      <c r="M151" s="1040"/>
      <c r="N151" s="1040"/>
      <c r="O151" s="1040" t="s">
        <v>172</v>
      </c>
      <c r="P151" s="1040"/>
      <c r="Q151" s="1040"/>
      <c r="R151" s="1040"/>
      <c r="T151" s="826"/>
    </row>
    <row r="152" spans="2:20" s="825" customFormat="1" ht="15.95">
      <c r="B152" s="827"/>
      <c r="C152" s="1038"/>
      <c r="D152" s="1038"/>
      <c r="E152" s="1040"/>
      <c r="F152" s="1040"/>
      <c r="G152" s="1040"/>
      <c r="H152" s="1040"/>
      <c r="I152" s="1040"/>
      <c r="J152" s="1040"/>
      <c r="K152" s="1040"/>
      <c r="L152" s="1040"/>
      <c r="M152" s="1040"/>
      <c r="N152" s="1040"/>
      <c r="O152" s="1040"/>
      <c r="P152" s="1040"/>
      <c r="Q152" s="1040"/>
      <c r="R152" s="1040"/>
      <c r="T152" s="826"/>
    </row>
    <row r="153" spans="2:20" s="825" customFormat="1" ht="15.95">
      <c r="B153" s="827"/>
      <c r="C153" s="1038"/>
      <c r="D153" s="1038"/>
      <c r="E153" s="1040"/>
      <c r="F153" s="1040"/>
      <c r="G153" s="1040"/>
      <c r="H153" s="1040"/>
      <c r="I153" s="1040"/>
      <c r="J153" s="1040"/>
      <c r="K153" s="1040"/>
      <c r="L153" s="1040"/>
      <c r="M153" s="1040"/>
      <c r="N153" s="1040"/>
      <c r="O153" s="1040"/>
      <c r="P153" s="1040"/>
      <c r="Q153" s="1040"/>
      <c r="R153" s="1040"/>
      <c r="T153" s="826"/>
    </row>
    <row r="154" spans="2:20" s="825" customFormat="1" ht="15.95">
      <c r="B154" s="827"/>
      <c r="C154" s="1038"/>
      <c r="D154" s="1038"/>
      <c r="E154" s="1040"/>
      <c r="F154" s="1040"/>
      <c r="G154" s="1040"/>
      <c r="H154" s="1040"/>
      <c r="I154" s="1040"/>
      <c r="J154" s="1040"/>
      <c r="K154" s="1040"/>
      <c r="L154" s="1040"/>
      <c r="M154" s="1040"/>
      <c r="N154" s="1040"/>
      <c r="O154" s="1040"/>
      <c r="P154" s="1040"/>
      <c r="Q154" s="1040"/>
      <c r="R154" s="1040"/>
      <c r="T154" s="826"/>
    </row>
    <row r="155" spans="2:20" s="825" customFormat="1" ht="15.95">
      <c r="B155" s="827"/>
      <c r="C155" s="1038" t="s">
        <v>173</v>
      </c>
      <c r="D155" s="1038"/>
      <c r="E155" s="1040" t="s">
        <v>174</v>
      </c>
      <c r="F155" s="1040"/>
      <c r="G155" s="1040"/>
      <c r="H155" s="1040"/>
      <c r="I155" s="1040"/>
      <c r="J155" s="1040" t="s">
        <v>175</v>
      </c>
      <c r="K155" s="1040"/>
      <c r="L155" s="1040"/>
      <c r="M155" s="1040"/>
      <c r="N155" s="1040"/>
      <c r="O155" s="1040" t="s">
        <v>176</v>
      </c>
      <c r="P155" s="1040"/>
      <c r="Q155" s="1040"/>
      <c r="R155" s="1040"/>
      <c r="T155" s="826"/>
    </row>
    <row r="156" spans="2:20" s="825" customFormat="1" ht="15.95">
      <c r="B156" s="827"/>
      <c r="C156" s="1038"/>
      <c r="D156" s="1038"/>
      <c r="E156" s="1040"/>
      <c r="F156" s="1040"/>
      <c r="G156" s="1040"/>
      <c r="H156" s="1040"/>
      <c r="I156" s="1040"/>
      <c r="J156" s="1040"/>
      <c r="K156" s="1040"/>
      <c r="L156" s="1040"/>
      <c r="M156" s="1040"/>
      <c r="N156" s="1040"/>
      <c r="O156" s="1040"/>
      <c r="P156" s="1040"/>
      <c r="Q156" s="1040"/>
      <c r="R156" s="1040"/>
      <c r="T156" s="826"/>
    </row>
    <row r="157" spans="2:20" s="825" customFormat="1" ht="15.95">
      <c r="B157" s="827"/>
      <c r="C157" s="1038"/>
      <c r="D157" s="1038"/>
      <c r="E157" s="1040"/>
      <c r="F157" s="1040"/>
      <c r="G157" s="1040"/>
      <c r="H157" s="1040"/>
      <c r="I157" s="1040"/>
      <c r="J157" s="1040"/>
      <c r="K157" s="1040"/>
      <c r="L157" s="1040"/>
      <c r="M157" s="1040"/>
      <c r="N157" s="1040"/>
      <c r="O157" s="1040"/>
      <c r="P157" s="1040"/>
      <c r="Q157" s="1040"/>
      <c r="R157" s="1040"/>
      <c r="T157" s="826"/>
    </row>
    <row r="158" spans="2:20" s="825" customFormat="1" ht="15.95">
      <c r="B158" s="827"/>
      <c r="C158" s="1038" t="s">
        <v>177</v>
      </c>
      <c r="D158" s="1038"/>
      <c r="E158" s="1040" t="s">
        <v>178</v>
      </c>
      <c r="F158" s="1040"/>
      <c r="G158" s="1040"/>
      <c r="H158" s="1040"/>
      <c r="I158" s="1040"/>
      <c r="J158" s="1040" t="s">
        <v>179</v>
      </c>
      <c r="K158" s="1040"/>
      <c r="L158" s="1040"/>
      <c r="M158" s="1040"/>
      <c r="N158" s="1040"/>
      <c r="O158" s="1040" t="s">
        <v>180</v>
      </c>
      <c r="P158" s="1040"/>
      <c r="Q158" s="1040"/>
      <c r="R158" s="1040"/>
      <c r="T158" s="826"/>
    </row>
    <row r="159" spans="2:20" s="825" customFormat="1" ht="15.95">
      <c r="B159" s="827"/>
      <c r="C159" s="1038"/>
      <c r="D159" s="1038"/>
      <c r="E159" s="1040"/>
      <c r="F159" s="1040"/>
      <c r="G159" s="1040"/>
      <c r="H159" s="1040"/>
      <c r="I159" s="1040"/>
      <c r="J159" s="1040"/>
      <c r="K159" s="1040"/>
      <c r="L159" s="1040"/>
      <c r="M159" s="1040"/>
      <c r="N159" s="1040"/>
      <c r="O159" s="1040"/>
      <c r="P159" s="1040"/>
      <c r="Q159" s="1040"/>
      <c r="R159" s="1040"/>
      <c r="T159" s="826"/>
    </row>
    <row r="160" spans="2:20" s="825" customFormat="1" ht="15.95">
      <c r="B160" s="827"/>
      <c r="C160" s="1038" t="s">
        <v>181</v>
      </c>
      <c r="D160" s="1038"/>
      <c r="E160" s="1040" t="s">
        <v>182</v>
      </c>
      <c r="F160" s="1040"/>
      <c r="G160" s="1040"/>
      <c r="H160" s="1040"/>
      <c r="I160" s="1040"/>
      <c r="J160" s="1040" t="s">
        <v>183</v>
      </c>
      <c r="K160" s="1040"/>
      <c r="L160" s="1040"/>
      <c r="M160" s="1040"/>
      <c r="N160" s="1040"/>
      <c r="O160" s="1040" t="s">
        <v>184</v>
      </c>
      <c r="P160" s="1040"/>
      <c r="Q160" s="1040"/>
      <c r="R160" s="1040"/>
      <c r="T160" s="826"/>
    </row>
    <row r="161" spans="2:20" s="825" customFormat="1" ht="15.95">
      <c r="B161" s="827"/>
      <c r="C161" s="1038"/>
      <c r="D161" s="1038"/>
      <c r="E161" s="1040"/>
      <c r="F161" s="1040"/>
      <c r="G161" s="1040"/>
      <c r="H161" s="1040"/>
      <c r="I161" s="1040"/>
      <c r="J161" s="1040"/>
      <c r="K161" s="1040"/>
      <c r="L161" s="1040"/>
      <c r="M161" s="1040"/>
      <c r="N161" s="1040"/>
      <c r="O161" s="1040"/>
      <c r="P161" s="1040"/>
      <c r="Q161" s="1040"/>
      <c r="R161" s="1040"/>
      <c r="T161" s="826"/>
    </row>
    <row r="162" spans="2:20" s="825" customFormat="1" ht="15.95">
      <c r="B162" s="827"/>
      <c r="C162" s="1038" t="s">
        <v>185</v>
      </c>
      <c r="D162" s="1038"/>
      <c r="E162" s="1040" t="s">
        <v>186</v>
      </c>
      <c r="F162" s="1040"/>
      <c r="G162" s="1040"/>
      <c r="H162" s="1040"/>
      <c r="I162" s="1040"/>
      <c r="J162" s="1040" t="s">
        <v>187</v>
      </c>
      <c r="K162" s="1040"/>
      <c r="L162" s="1040"/>
      <c r="M162" s="1040"/>
      <c r="N162" s="1040"/>
      <c r="O162" s="1040" t="s">
        <v>188</v>
      </c>
      <c r="P162" s="1040"/>
      <c r="Q162" s="1040"/>
      <c r="R162" s="1040"/>
      <c r="T162" s="826"/>
    </row>
    <row r="163" spans="2:20" s="825" customFormat="1" ht="15.95">
      <c r="B163" s="827"/>
      <c r="C163" s="1038"/>
      <c r="D163" s="1038"/>
      <c r="E163" s="1040"/>
      <c r="F163" s="1040"/>
      <c r="G163" s="1040"/>
      <c r="H163" s="1040"/>
      <c r="I163" s="1040"/>
      <c r="J163" s="1040"/>
      <c r="K163" s="1040"/>
      <c r="L163" s="1040"/>
      <c r="M163" s="1040"/>
      <c r="N163" s="1040"/>
      <c r="O163" s="1040"/>
      <c r="P163" s="1040"/>
      <c r="Q163" s="1040"/>
      <c r="R163" s="1040"/>
      <c r="T163" s="826"/>
    </row>
    <row r="164" spans="2:20" s="825" customFormat="1" ht="15.95">
      <c r="B164" s="827"/>
      <c r="C164" s="1038" t="s">
        <v>189</v>
      </c>
      <c r="D164" s="1038"/>
      <c r="E164" s="1040" t="s">
        <v>190</v>
      </c>
      <c r="F164" s="1040"/>
      <c r="G164" s="1040"/>
      <c r="H164" s="1040"/>
      <c r="I164" s="1040"/>
      <c r="J164" s="1040" t="s">
        <v>191</v>
      </c>
      <c r="K164" s="1040"/>
      <c r="L164" s="1040"/>
      <c r="M164" s="1040"/>
      <c r="N164" s="1040"/>
      <c r="O164" s="1040" t="s">
        <v>192</v>
      </c>
      <c r="P164" s="1040"/>
      <c r="Q164" s="1040"/>
      <c r="R164" s="1040"/>
      <c r="T164" s="826"/>
    </row>
    <row r="165" spans="2:20" s="825" customFormat="1" ht="15.95">
      <c r="B165" s="827"/>
      <c r="C165" s="1038"/>
      <c r="D165" s="1038"/>
      <c r="E165" s="1040"/>
      <c r="F165" s="1040"/>
      <c r="G165" s="1040"/>
      <c r="H165" s="1040"/>
      <c r="I165" s="1040"/>
      <c r="J165" s="1040"/>
      <c r="K165" s="1040"/>
      <c r="L165" s="1040"/>
      <c r="M165" s="1040"/>
      <c r="N165" s="1040"/>
      <c r="O165" s="1040"/>
      <c r="P165" s="1040"/>
      <c r="Q165" s="1040"/>
      <c r="R165" s="1040"/>
      <c r="T165" s="826"/>
    </row>
    <row r="166" spans="2:20" s="825" customFormat="1" ht="15.95">
      <c r="B166" s="827"/>
      <c r="C166" s="1038"/>
      <c r="D166" s="1038"/>
      <c r="E166" s="1040"/>
      <c r="F166" s="1040"/>
      <c r="G166" s="1040"/>
      <c r="H166" s="1040"/>
      <c r="I166" s="1040"/>
      <c r="J166" s="1040"/>
      <c r="K166" s="1040"/>
      <c r="L166" s="1040"/>
      <c r="M166" s="1040"/>
      <c r="N166" s="1040"/>
      <c r="O166" s="1040"/>
      <c r="P166" s="1040"/>
      <c r="Q166" s="1040"/>
      <c r="R166" s="1040"/>
      <c r="T166" s="826"/>
    </row>
    <row r="167" spans="2:20" s="825" customFormat="1" ht="15.95">
      <c r="B167" s="827"/>
      <c r="C167" s="1038"/>
      <c r="D167" s="1038"/>
      <c r="E167" s="1040"/>
      <c r="F167" s="1040"/>
      <c r="G167" s="1040"/>
      <c r="H167" s="1040"/>
      <c r="I167" s="1040"/>
      <c r="J167" s="1040"/>
      <c r="K167" s="1040"/>
      <c r="L167" s="1040"/>
      <c r="M167" s="1040"/>
      <c r="N167" s="1040"/>
      <c r="O167" s="1040"/>
      <c r="P167" s="1040"/>
      <c r="Q167" s="1040"/>
      <c r="R167" s="1040"/>
      <c r="T167" s="826"/>
    </row>
    <row r="168" spans="2:20" s="825" customFormat="1" ht="15.95">
      <c r="B168" s="827"/>
      <c r="C168" s="1038"/>
      <c r="D168" s="1038"/>
      <c r="E168" s="1040"/>
      <c r="F168" s="1040"/>
      <c r="G168" s="1040"/>
      <c r="H168" s="1040"/>
      <c r="I168" s="1040"/>
      <c r="J168" s="1040"/>
      <c r="K168" s="1040"/>
      <c r="L168" s="1040"/>
      <c r="M168" s="1040"/>
      <c r="N168" s="1040"/>
      <c r="O168" s="1040"/>
      <c r="P168" s="1040"/>
      <c r="Q168" s="1040"/>
      <c r="R168" s="1040"/>
      <c r="T168" s="826"/>
    </row>
    <row r="169" spans="2:20" s="825" customFormat="1" ht="15.95">
      <c r="B169" s="827"/>
      <c r="C169" s="1038"/>
      <c r="D169" s="1038"/>
      <c r="E169" s="1040"/>
      <c r="F169" s="1040"/>
      <c r="G169" s="1040"/>
      <c r="H169" s="1040"/>
      <c r="I169" s="1040"/>
      <c r="J169" s="1040"/>
      <c r="K169" s="1040"/>
      <c r="L169" s="1040"/>
      <c r="M169" s="1040"/>
      <c r="N169" s="1040"/>
      <c r="O169" s="1040"/>
      <c r="P169" s="1040"/>
      <c r="Q169" s="1040"/>
      <c r="R169" s="1040"/>
      <c r="T169" s="826"/>
    </row>
    <row r="170" spans="2:20" s="825" customFormat="1" ht="15.95">
      <c r="B170" s="827"/>
      <c r="C170" s="1038"/>
      <c r="D170" s="1038"/>
      <c r="E170" s="1040"/>
      <c r="F170" s="1040"/>
      <c r="G170" s="1040"/>
      <c r="H170" s="1040"/>
      <c r="I170" s="1040"/>
      <c r="J170" s="1040"/>
      <c r="K170" s="1040"/>
      <c r="L170" s="1040"/>
      <c r="M170" s="1040"/>
      <c r="N170" s="1040"/>
      <c r="O170" s="1040"/>
      <c r="P170" s="1040"/>
      <c r="Q170" s="1040"/>
      <c r="R170" s="1040"/>
      <c r="T170" s="826"/>
    </row>
    <row r="171" spans="2:20" s="825" customFormat="1" ht="15.95">
      <c r="B171" s="827"/>
      <c r="C171" s="880" t="s">
        <v>193</v>
      </c>
      <c r="T171" s="826"/>
    </row>
    <row r="172" spans="2:20" s="825" customFormat="1" ht="15.95">
      <c r="B172" s="827"/>
      <c r="C172" s="832"/>
      <c r="D172" s="832"/>
      <c r="E172" s="832"/>
      <c r="T172" s="826"/>
    </row>
    <row r="173" spans="2:20" s="825" customFormat="1" ht="15.95">
      <c r="B173" s="827"/>
      <c r="C173" s="1041" t="s">
        <v>194</v>
      </c>
      <c r="D173" s="1041"/>
      <c r="E173" s="832"/>
      <c r="T173" s="826"/>
    </row>
    <row r="174" spans="2:20" s="825" customFormat="1" ht="15.95">
      <c r="B174" s="881"/>
      <c r="C174" s="1041"/>
      <c r="D174" s="1041"/>
      <c r="E174" s="832"/>
      <c r="T174" s="826"/>
    </row>
    <row r="175" spans="2:20" s="825" customFormat="1" ht="15.95">
      <c r="B175" s="827"/>
      <c r="C175" s="876" t="s">
        <v>166</v>
      </c>
      <c r="D175" s="876">
        <v>3</v>
      </c>
      <c r="E175" s="832"/>
      <c r="T175" s="826"/>
    </row>
    <row r="176" spans="2:20" s="825" customFormat="1" ht="15.95">
      <c r="B176" s="827"/>
      <c r="C176" s="876" t="s">
        <v>167</v>
      </c>
      <c r="D176" s="876">
        <v>2</v>
      </c>
      <c r="E176" s="832"/>
      <c r="T176" s="826"/>
    </row>
    <row r="177" spans="2:20" s="825" customFormat="1" ht="15.95">
      <c r="B177" s="827"/>
      <c r="C177" s="876" t="s">
        <v>168</v>
      </c>
      <c r="D177" s="876">
        <v>1</v>
      </c>
      <c r="E177" s="832"/>
      <c r="T177" s="826"/>
    </row>
    <row r="178" spans="2:20" s="825" customFormat="1" ht="15.95">
      <c r="B178" s="827"/>
      <c r="C178" s="880" t="s">
        <v>193</v>
      </c>
      <c r="D178" s="832"/>
      <c r="E178" s="832"/>
      <c r="T178" s="826"/>
    </row>
    <row r="179" spans="2:20" s="825" customFormat="1" ht="15.95">
      <c r="B179" s="827"/>
      <c r="C179" s="840"/>
      <c r="D179" s="840"/>
      <c r="T179" s="826"/>
    </row>
    <row r="180" spans="2:20" s="825" customFormat="1" ht="15.95">
      <c r="B180" s="839"/>
      <c r="C180" s="1039" t="s">
        <v>195</v>
      </c>
      <c r="D180" s="1039"/>
      <c r="E180" s="1039"/>
      <c r="T180" s="826"/>
    </row>
    <row r="181" spans="2:20" s="825" customFormat="1" ht="15.95">
      <c r="B181" s="827"/>
      <c r="C181" s="876" t="s">
        <v>196</v>
      </c>
      <c r="D181" s="1038" t="s">
        <v>197</v>
      </c>
      <c r="E181" s="1038"/>
      <c r="T181" s="826"/>
    </row>
    <row r="182" spans="2:20" s="825" customFormat="1" ht="15.95">
      <c r="B182" s="827"/>
      <c r="C182" s="876" t="s">
        <v>198</v>
      </c>
      <c r="D182" s="1038" t="s">
        <v>199</v>
      </c>
      <c r="E182" s="1038"/>
      <c r="T182" s="826"/>
    </row>
    <row r="183" spans="2:20" s="825" customFormat="1" ht="15.95">
      <c r="B183" s="827"/>
      <c r="C183" s="876" t="s">
        <v>200</v>
      </c>
      <c r="D183" s="1038" t="s">
        <v>201</v>
      </c>
      <c r="E183" s="1038"/>
      <c r="T183" s="826"/>
    </row>
    <row r="184" spans="2:20" s="825" customFormat="1" ht="16.5" thickBot="1">
      <c r="B184" s="828"/>
      <c r="C184" s="829"/>
      <c r="D184" s="882"/>
      <c r="E184" s="829"/>
      <c r="F184" s="829"/>
      <c r="G184" s="829"/>
      <c r="H184" s="829"/>
      <c r="I184" s="829"/>
      <c r="J184" s="829"/>
      <c r="K184" s="829"/>
      <c r="L184" s="829"/>
      <c r="M184" s="829"/>
      <c r="N184" s="829"/>
      <c r="O184" s="829"/>
      <c r="P184" s="829"/>
      <c r="Q184" s="829"/>
      <c r="R184" s="829"/>
      <c r="S184" s="829"/>
      <c r="T184" s="830"/>
    </row>
    <row r="185" spans="2:20" s="825" customFormat="1" ht="15.95">
      <c r="B185" s="834"/>
      <c r="C185" s="834"/>
      <c r="D185" s="840"/>
    </row>
    <row r="186" spans="2:20" s="825" customFormat="1" ht="15.95">
      <c r="D186" s="835"/>
    </row>
    <row r="187" spans="2:20" s="825" customFormat="1" ht="15.95">
      <c r="D187" s="835"/>
    </row>
    <row r="188" spans="2:20" s="825" customFormat="1" ht="15.95">
      <c r="D188" s="835"/>
    </row>
  </sheetData>
  <sheetProtection algorithmName="SHA-512" hashValue="xW8kLGOMOuTuNRnGYTeGc1RH4Juyq9F0V96y92cyxNfm7Weiq2xFQc0G20IQlzKkEpuCEpRKTeg2/bwNKGGFlw==" saltValue="7aKnsDM3aSxmKrRjNxHaRg==" spinCount="100000" sheet="1" objects="1" scenarios="1"/>
  <mergeCells count="118">
    <mergeCell ref="E81:L81"/>
    <mergeCell ref="E82:L82"/>
    <mergeCell ref="E83:L83"/>
    <mergeCell ref="E88:L88"/>
    <mergeCell ref="C28:D36"/>
    <mergeCell ref="C37:D43"/>
    <mergeCell ref="E37:G43"/>
    <mergeCell ref="E9:G27"/>
    <mergeCell ref="E28:G36"/>
    <mergeCell ref="B74:D74"/>
    <mergeCell ref="C78:D88"/>
    <mergeCell ref="C9:D27"/>
    <mergeCell ref="C76:D77"/>
    <mergeCell ref="C89:D90"/>
    <mergeCell ref="C91:D94"/>
    <mergeCell ref="C95:D97"/>
    <mergeCell ref="E89:L89"/>
    <mergeCell ref="E90:L90"/>
    <mergeCell ref="E95:L95"/>
    <mergeCell ref="E96:L96"/>
    <mergeCell ref="E84:L84"/>
    <mergeCell ref="E85:L85"/>
    <mergeCell ref="E86:L86"/>
    <mergeCell ref="E87:L87"/>
    <mergeCell ref="E97:L97"/>
    <mergeCell ref="C98:D103"/>
    <mergeCell ref="C104:D109"/>
    <mergeCell ref="C110:D112"/>
    <mergeCell ref="E98:L98"/>
    <mergeCell ref="E99:L99"/>
    <mergeCell ref="E100:L100"/>
    <mergeCell ref="E103:L103"/>
    <mergeCell ref="E104:L104"/>
    <mergeCell ref="E105:L105"/>
    <mergeCell ref="E106:L106"/>
    <mergeCell ref="E101:L101"/>
    <mergeCell ref="E102:L102"/>
    <mergeCell ref="B4:T7"/>
    <mergeCell ref="H9:S27"/>
    <mergeCell ref="H8:S8"/>
    <mergeCell ref="H28:S36"/>
    <mergeCell ref="H37:S43"/>
    <mergeCell ref="B47:T49"/>
    <mergeCell ref="M76:Q77"/>
    <mergeCell ref="E76:L77"/>
    <mergeCell ref="E8:G8"/>
    <mergeCell ref="C8:D8"/>
    <mergeCell ref="R76:S77"/>
    <mergeCell ref="R78:S88"/>
    <mergeCell ref="R89:S90"/>
    <mergeCell ref="R91:S94"/>
    <mergeCell ref="R95:S97"/>
    <mergeCell ref="R98:S103"/>
    <mergeCell ref="R104:S109"/>
    <mergeCell ref="E107:L107"/>
    <mergeCell ref="E110:L110"/>
    <mergeCell ref="M110:Q112"/>
    <mergeCell ref="E108:L108"/>
    <mergeCell ref="E109:L109"/>
    <mergeCell ref="M98:Q103"/>
    <mergeCell ref="M95:Q97"/>
    <mergeCell ref="M91:Q94"/>
    <mergeCell ref="E91:L91"/>
    <mergeCell ref="E92:L92"/>
    <mergeCell ref="E93:L93"/>
    <mergeCell ref="E94:L94"/>
    <mergeCell ref="M78:Q88"/>
    <mergeCell ref="M89:Q90"/>
    <mergeCell ref="M104:Q109"/>
    <mergeCell ref="E78:L78"/>
    <mergeCell ref="E79:L79"/>
    <mergeCell ref="E80:L80"/>
    <mergeCell ref="J150:N150"/>
    <mergeCell ref="O150:R150"/>
    <mergeCell ref="C151:D154"/>
    <mergeCell ref="E151:I154"/>
    <mergeCell ref="J151:N154"/>
    <mergeCell ref="O151:R154"/>
    <mergeCell ref="R110:S112"/>
    <mergeCell ref="R113:S116"/>
    <mergeCell ref="B121:T130"/>
    <mergeCell ref="B133:T142"/>
    <mergeCell ref="B143:T149"/>
    <mergeCell ref="E115:L115"/>
    <mergeCell ref="E116:L116"/>
    <mergeCell ref="E111:L111"/>
    <mergeCell ref="E112:L112"/>
    <mergeCell ref="E113:L113"/>
    <mergeCell ref="E114:L114"/>
    <mergeCell ref="M113:Q116"/>
    <mergeCell ref="C150:D150"/>
    <mergeCell ref="E150:I150"/>
    <mergeCell ref="C113:D116"/>
    <mergeCell ref="C160:D161"/>
    <mergeCell ref="E160:I161"/>
    <mergeCell ref="J160:N161"/>
    <mergeCell ref="O160:R161"/>
    <mergeCell ref="C162:D163"/>
    <mergeCell ref="E162:I163"/>
    <mergeCell ref="J162:N163"/>
    <mergeCell ref="O162:R163"/>
    <mergeCell ref="J155:N157"/>
    <mergeCell ref="O155:R157"/>
    <mergeCell ref="C158:D159"/>
    <mergeCell ref="E158:I159"/>
    <mergeCell ref="J158:N159"/>
    <mergeCell ref="O158:R159"/>
    <mergeCell ref="E155:I157"/>
    <mergeCell ref="C155:D157"/>
    <mergeCell ref="D182:E182"/>
    <mergeCell ref="D183:E183"/>
    <mergeCell ref="C180:E180"/>
    <mergeCell ref="C164:D170"/>
    <mergeCell ref="E164:I170"/>
    <mergeCell ref="J164:N170"/>
    <mergeCell ref="O164:R170"/>
    <mergeCell ref="C173:D174"/>
    <mergeCell ref="D181:E18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906A-040C-442D-923B-498A3A8351BE}">
  <sheetPr codeName="Sheet29">
    <tabColor theme="5" tint="0.59999389629810485"/>
  </sheetPr>
  <dimension ref="A1:W184"/>
  <sheetViews>
    <sheetView workbookViewId="0">
      <selection activeCell="B2" sqref="B2"/>
    </sheetView>
  </sheetViews>
  <sheetFormatPr defaultColWidth="8.625" defaultRowHeight="14.45"/>
  <cols>
    <col min="1" max="1" width="3.5" style="262" customWidth="1"/>
    <col min="2" max="3" width="40.625" style="262" customWidth="1"/>
    <col min="4" max="14" width="15.625" style="262" customWidth="1"/>
    <col min="15" max="16" width="16.125" style="262" customWidth="1"/>
    <col min="17" max="17" width="9" style="262" bestFit="1" customWidth="1"/>
    <col min="18" max="18" width="16.625" style="262" customWidth="1"/>
    <col min="19" max="19" width="18.5" style="262" customWidth="1"/>
    <col min="20" max="16384" width="8.625" style="262"/>
  </cols>
  <sheetData>
    <row r="1" spans="1:9" ht="15" thickBot="1">
      <c r="A1" s="2"/>
      <c r="B1" s="2"/>
      <c r="C1" s="2"/>
      <c r="D1" s="2"/>
      <c r="E1" s="2"/>
      <c r="F1" s="2"/>
      <c r="G1" s="2"/>
      <c r="H1" s="2"/>
      <c r="I1" s="2"/>
    </row>
    <row r="2" spans="1:9" s="710" customFormat="1" ht="18.95" thickBot="1">
      <c r="A2" s="707"/>
      <c r="B2" s="708" t="s">
        <v>400</v>
      </c>
      <c r="C2" s="711"/>
      <c r="D2" s="711"/>
    </row>
    <row r="4" spans="1:9" s="714" customFormat="1" ht="18.600000000000001">
      <c r="A4" s="715"/>
      <c r="B4" s="713" t="s">
        <v>893</v>
      </c>
      <c r="C4" s="715"/>
      <c r="D4" s="715"/>
      <c r="E4" s="715"/>
      <c r="F4" s="715"/>
      <c r="G4" s="715"/>
      <c r="H4" s="715"/>
    </row>
    <row r="5" spans="1:9" ht="156.75" customHeight="1">
      <c r="A5" s="716"/>
      <c r="B5" s="1152" t="s">
        <v>1629</v>
      </c>
      <c r="C5" s="1152"/>
      <c r="D5" s="1152"/>
      <c r="E5" s="1152"/>
      <c r="F5" s="1152"/>
      <c r="G5" s="1152"/>
      <c r="H5" s="1152"/>
      <c r="I5" s="2"/>
    </row>
    <row r="7" spans="1:9" s="718" customFormat="1" ht="18.600000000000001">
      <c r="A7" s="724"/>
      <c r="B7" s="724" t="s">
        <v>895</v>
      </c>
      <c r="C7" s="724"/>
      <c r="D7" s="724"/>
      <c r="E7" s="724"/>
      <c r="F7" s="724"/>
      <c r="G7" s="724"/>
      <c r="H7" s="724"/>
    </row>
    <row r="9" spans="1:9">
      <c r="A9" s="2"/>
      <c r="B9" s="2"/>
      <c r="C9" s="2"/>
      <c r="D9" s="1134" t="s">
        <v>479</v>
      </c>
      <c r="E9" s="1134"/>
      <c r="F9" s="1134"/>
      <c r="G9" s="1134"/>
      <c r="H9" s="1134"/>
      <c r="I9" s="2"/>
    </row>
    <row r="10" spans="1:9">
      <c r="A10" s="2"/>
      <c r="B10" s="277" t="s">
        <v>104</v>
      </c>
      <c r="C10" s="277" t="s">
        <v>226</v>
      </c>
      <c r="D10" s="277" t="s">
        <v>448</v>
      </c>
      <c r="E10" s="277" t="s">
        <v>449</v>
      </c>
      <c r="F10" s="277" t="s">
        <v>452</v>
      </c>
      <c r="G10" s="277" t="s">
        <v>455</v>
      </c>
      <c r="H10" s="277" t="s">
        <v>456</v>
      </c>
      <c r="I10" s="2"/>
    </row>
    <row r="11" spans="1:9">
      <c r="A11" s="2"/>
      <c r="B11" s="278" t="s">
        <v>547</v>
      </c>
      <c r="C11" s="297" t="s">
        <v>401</v>
      </c>
      <c r="D11" s="374" t="s">
        <v>477</v>
      </c>
      <c r="E11" s="374"/>
      <c r="F11" s="374"/>
      <c r="G11" s="374"/>
      <c r="H11" s="374" t="s">
        <v>990</v>
      </c>
      <c r="I11" s="2"/>
    </row>
    <row r="12" spans="1:9">
      <c r="A12" s="2"/>
      <c r="B12" s="278" t="s">
        <v>548</v>
      </c>
      <c r="C12" s="297" t="s">
        <v>401</v>
      </c>
      <c r="D12" s="374" t="s">
        <v>477</v>
      </c>
      <c r="E12" s="374"/>
      <c r="F12" s="374"/>
      <c r="G12" s="374"/>
      <c r="H12" s="374" t="s">
        <v>990</v>
      </c>
      <c r="I12" s="2"/>
    </row>
    <row r="13" spans="1:9">
      <c r="A13" s="2"/>
      <c r="B13" s="278" t="s">
        <v>549</v>
      </c>
      <c r="C13" s="297" t="s">
        <v>401</v>
      </c>
      <c r="D13" s="374" t="s">
        <v>477</v>
      </c>
      <c r="E13" s="374" cm="1">
        <f t="array" ref="E13">_xlfn.XLOOKUP(1,($B13=$B$169:$B$175)*(E$10=$C$169:$C$175),$G$169:$G$175,"Not found",0,1)</f>
        <v>-571.23119460082467</v>
      </c>
      <c r="F13" s="374"/>
      <c r="G13" s="374"/>
      <c r="H13" s="374" cm="1">
        <f t="array" aca="1" ref="H13" ca="1">_xlfn.XLOOKUP(1,($B13=$B$169:$B$175)*(H$10=$C$169:$C$175),$G$169:$G$175,"Not found",0,1)</f>
        <v>-340.51102246374137</v>
      </c>
      <c r="I13" s="2"/>
    </row>
    <row r="14" spans="1:9">
      <c r="A14" s="2"/>
      <c r="B14" s="278" t="s">
        <v>550</v>
      </c>
      <c r="C14" s="297" t="s">
        <v>401</v>
      </c>
      <c r="D14" s="374" t="s">
        <v>477</v>
      </c>
      <c r="E14" s="374" cm="1">
        <f t="array" ref="E14">_xlfn.XLOOKUP(1,($B14=$B$169:$B$175)*(E$10=$C$169:$C$175),$G$169:$G$175,"Not found",0,1)</f>
        <v>-642.63509392592778</v>
      </c>
      <c r="F14" s="374"/>
      <c r="G14" s="374"/>
      <c r="H14" s="374" cm="1">
        <f t="array" aca="1" ref="H14" ca="1">_xlfn.XLOOKUP(1,($B14=$B$169:$B$175)*(H$10=$C$169:$C$175),$G$169:$G$175,"Not found",0,1)</f>
        <v>-340.51102246374137</v>
      </c>
      <c r="I14" s="2"/>
    </row>
    <row r="15" spans="1:9">
      <c r="A15" s="2"/>
      <c r="B15" s="278" t="s">
        <v>551</v>
      </c>
      <c r="C15" s="297" t="s">
        <v>552</v>
      </c>
      <c r="D15" s="374" t="s">
        <v>477</v>
      </c>
      <c r="E15" s="374"/>
      <c r="F15" s="374"/>
      <c r="G15" s="374"/>
      <c r="H15" s="374"/>
      <c r="I15" s="2"/>
    </row>
    <row r="16" spans="1:9">
      <c r="A16" s="2"/>
      <c r="B16" s="278" t="s">
        <v>553</v>
      </c>
      <c r="C16" s="297" t="s">
        <v>401</v>
      </c>
      <c r="D16" s="374" t="s">
        <v>477</v>
      </c>
      <c r="E16" s="374"/>
      <c r="F16" s="374" t="s">
        <v>473</v>
      </c>
      <c r="G16" s="374"/>
      <c r="H16" s="374"/>
      <c r="I16" s="2"/>
    </row>
    <row r="17" spans="1:9">
      <c r="A17" s="2"/>
      <c r="B17" s="278" t="s">
        <v>554</v>
      </c>
      <c r="C17" s="297" t="s">
        <v>401</v>
      </c>
      <c r="D17" s="374" t="s">
        <v>477</v>
      </c>
      <c r="E17" s="374"/>
      <c r="F17" s="374" t="s">
        <v>473</v>
      </c>
      <c r="G17" s="374"/>
      <c r="H17" s="374"/>
      <c r="I17" s="2"/>
    </row>
    <row r="18" spans="1:9">
      <c r="A18" s="2"/>
      <c r="B18" s="278" t="s">
        <v>555</v>
      </c>
      <c r="C18" s="297" t="s">
        <v>401</v>
      </c>
      <c r="D18" s="374" t="s">
        <v>477</v>
      </c>
      <c r="E18" s="374"/>
      <c r="F18" s="374"/>
      <c r="G18" s="374"/>
      <c r="H18" s="374"/>
      <c r="I18" s="2"/>
    </row>
    <row r="19" spans="1:9">
      <c r="A19" s="2"/>
      <c r="B19" s="278" t="s">
        <v>556</v>
      </c>
      <c r="C19" s="297" t="s">
        <v>557</v>
      </c>
      <c r="D19" s="374" t="s">
        <v>477</v>
      </c>
      <c r="E19" s="374"/>
      <c r="F19" s="374"/>
      <c r="G19" s="374" t="s">
        <v>477</v>
      </c>
      <c r="H19" s="374" cm="1">
        <f t="array" aca="1" ref="H19" ca="1">_xlfn.XLOOKUP(1,($B19=$B$169:$B$175)*(H$10=$C$169:$C$175),$G$169:$G$175,"Not found",0,1)</f>
        <v>141281.99922497108</v>
      </c>
      <c r="I19" s="2"/>
    </row>
    <row r="20" spans="1:9">
      <c r="A20" s="2"/>
      <c r="B20" s="278" t="s">
        <v>558</v>
      </c>
      <c r="C20" s="297" t="s">
        <v>559</v>
      </c>
      <c r="D20" s="374" t="s">
        <v>477</v>
      </c>
      <c r="E20" s="374"/>
      <c r="F20" s="374"/>
      <c r="G20" s="374"/>
      <c r="H20" s="374"/>
      <c r="I20" s="2"/>
    </row>
    <row r="21" spans="1:9">
      <c r="A21" s="2"/>
      <c r="B21" s="800" t="s">
        <v>896</v>
      </c>
      <c r="C21" s="2"/>
      <c r="D21" s="2"/>
      <c r="E21" s="2"/>
      <c r="F21" s="2"/>
      <c r="G21" s="2"/>
      <c r="H21" s="2"/>
      <c r="I21" s="2"/>
    </row>
    <row r="23" spans="1:9">
      <c r="A23" s="721"/>
      <c r="B23" s="722" t="s">
        <v>1630</v>
      </c>
      <c r="C23" s="721"/>
      <c r="D23" s="721"/>
      <c r="E23" s="721"/>
      <c r="F23" s="721"/>
      <c r="G23" s="721"/>
      <c r="H23" s="721"/>
      <c r="I23" s="2"/>
    </row>
    <row r="24" spans="1:9">
      <c r="A24" s="727"/>
      <c r="B24" s="729" t="s">
        <v>897</v>
      </c>
      <c r="C24" s="727"/>
      <c r="D24" s="727"/>
      <c r="E24" s="727"/>
      <c r="F24" s="727"/>
      <c r="G24" s="727"/>
      <c r="H24" s="727"/>
      <c r="I24" s="2"/>
    </row>
    <row r="25" spans="1:9">
      <c r="A25" s="2"/>
      <c r="B25" s="277" t="s">
        <v>898</v>
      </c>
      <c r="C25" s="277" t="s">
        <v>899</v>
      </c>
      <c r="D25" s="2"/>
      <c r="E25" s="2"/>
      <c r="F25" s="2"/>
      <c r="G25" s="2"/>
      <c r="H25" s="2"/>
      <c r="I25" s="2"/>
    </row>
    <row r="26" spans="1:9">
      <c r="A26" s="2"/>
      <c r="B26" s="278" t="s">
        <v>1630</v>
      </c>
      <c r="C26" s="278" t="s">
        <v>1631</v>
      </c>
      <c r="D26" s="2"/>
      <c r="E26" s="2"/>
      <c r="F26" s="2"/>
      <c r="G26" s="2"/>
      <c r="H26" s="2"/>
      <c r="I26" s="2"/>
    </row>
    <row r="27" spans="1:9">
      <c r="A27" s="2"/>
      <c r="B27" s="16"/>
      <c r="C27" s="2"/>
      <c r="D27" s="2"/>
      <c r="E27" s="2"/>
      <c r="F27" s="2"/>
      <c r="G27" s="2"/>
      <c r="H27" s="2"/>
      <c r="I27" s="2"/>
    </row>
    <row r="28" spans="1:9">
      <c r="A28" s="727"/>
      <c r="B28" s="728" t="s">
        <v>911</v>
      </c>
      <c r="C28" s="727"/>
      <c r="D28" s="727"/>
      <c r="E28" s="727"/>
      <c r="F28" s="727"/>
      <c r="G28" s="727"/>
      <c r="H28" s="727"/>
      <c r="I28" s="2"/>
    </row>
    <row r="29" spans="1:9">
      <c r="A29" s="725"/>
      <c r="B29" s="726" t="s">
        <v>912</v>
      </c>
      <c r="C29" s="725"/>
      <c r="D29" s="725"/>
      <c r="E29" s="725"/>
      <c r="F29" s="725"/>
      <c r="G29" s="725"/>
      <c r="H29" s="725"/>
      <c r="I29" s="2"/>
    </row>
    <row r="30" spans="1:9" ht="29.1">
      <c r="A30" s="2"/>
      <c r="B30" s="719" t="s">
        <v>913</v>
      </c>
      <c r="C30" s="719" t="s">
        <v>914</v>
      </c>
      <c r="D30" s="719" t="s">
        <v>915</v>
      </c>
      <c r="E30" s="719" t="s">
        <v>916</v>
      </c>
      <c r="F30" s="719" t="s">
        <v>917</v>
      </c>
      <c r="G30" s="719" t="s">
        <v>918</v>
      </c>
      <c r="H30" s="719" t="s">
        <v>919</v>
      </c>
      <c r="I30" s="2"/>
    </row>
    <row r="31" spans="1:9">
      <c r="A31" s="2"/>
      <c r="B31" s="278">
        <v>130</v>
      </c>
      <c r="C31" s="281" t="s">
        <v>1632</v>
      </c>
      <c r="D31" s="279" t="s">
        <v>907</v>
      </c>
      <c r="E31" s="278">
        <v>2024</v>
      </c>
      <c r="F31" s="278" t="s">
        <v>1047</v>
      </c>
      <c r="G31" s="278" t="s">
        <v>1047</v>
      </c>
      <c r="H31" s="278" t="s">
        <v>906</v>
      </c>
      <c r="I31" s="2"/>
    </row>
    <row r="32" spans="1:9">
      <c r="A32" s="2"/>
      <c r="B32" s="278">
        <v>78</v>
      </c>
      <c r="C32" s="281" t="s">
        <v>1633</v>
      </c>
      <c r="D32" s="279" t="s">
        <v>907</v>
      </c>
      <c r="E32" s="278">
        <v>2022</v>
      </c>
      <c r="F32" s="278" t="s">
        <v>1634</v>
      </c>
      <c r="G32" s="278" t="s">
        <v>1635</v>
      </c>
      <c r="H32" s="278" t="s">
        <v>906</v>
      </c>
      <c r="I32" s="2"/>
    </row>
    <row r="33" spans="1:12">
      <c r="A33" s="2"/>
      <c r="B33" s="278">
        <v>80</v>
      </c>
      <c r="C33" s="281" t="s">
        <v>1636</v>
      </c>
      <c r="D33" s="279" t="s">
        <v>907</v>
      </c>
      <c r="E33" s="278">
        <v>2021</v>
      </c>
      <c r="F33" s="278" t="s">
        <v>1047</v>
      </c>
      <c r="G33" s="278" t="s">
        <v>820</v>
      </c>
      <c r="H33" s="278" t="s">
        <v>906</v>
      </c>
      <c r="I33" s="2"/>
      <c r="J33" s="2"/>
      <c r="K33" s="2"/>
      <c r="L33" s="2"/>
    </row>
    <row r="34" spans="1:12">
      <c r="A34" s="2"/>
      <c r="B34" s="16"/>
      <c r="C34" s="2"/>
      <c r="D34" s="2"/>
      <c r="E34" s="2"/>
      <c r="F34" s="2"/>
      <c r="G34" s="2"/>
      <c r="H34" s="2"/>
      <c r="I34" s="2"/>
      <c r="J34" s="2"/>
      <c r="K34" s="2"/>
      <c r="L34" s="2"/>
    </row>
    <row r="35" spans="1:12">
      <c r="A35" s="725"/>
      <c r="B35" s="726" t="s">
        <v>924</v>
      </c>
      <c r="C35" s="725"/>
      <c r="D35" s="725"/>
      <c r="E35" s="725"/>
      <c r="F35" s="725"/>
      <c r="G35" s="725"/>
      <c r="H35" s="725"/>
      <c r="I35" s="2"/>
      <c r="J35" s="2"/>
      <c r="K35" s="2"/>
      <c r="L35" s="2"/>
    </row>
    <row r="36" spans="1:12">
      <c r="A36" s="2"/>
      <c r="B36" s="277" t="s">
        <v>165</v>
      </c>
      <c r="C36" s="277" t="s">
        <v>925</v>
      </c>
      <c r="D36" s="277" t="s">
        <v>926</v>
      </c>
      <c r="E36" s="1134" t="s">
        <v>927</v>
      </c>
      <c r="F36" s="1134"/>
      <c r="G36" s="1134"/>
      <c r="H36" s="1134"/>
      <c r="I36" s="2"/>
      <c r="J36" s="2"/>
      <c r="K36" s="2"/>
      <c r="L36" s="2"/>
    </row>
    <row r="37" spans="1:12">
      <c r="A37" s="2"/>
      <c r="B37" s="278" t="s">
        <v>169</v>
      </c>
      <c r="C37" s="281" t="s">
        <v>167</v>
      </c>
      <c r="D37" s="278">
        <f>VLOOKUP(C37,METHODOLOGY!$C$175:$D$177,2,FALSE)</f>
        <v>2</v>
      </c>
      <c r="E37" s="1087" t="str">
        <f>_xlfn.XLOOKUP(C37,METHODOLOGY!$E$150:$O$150,METHODOLOGY!$E$151:$O$151,"",0,1)</f>
        <v>The monetary values are recommended / referenced in other, well recognised and accepted guidance / tools relevant to another sector.</v>
      </c>
      <c r="F37" s="1087"/>
      <c r="G37" s="1087"/>
      <c r="H37" s="1087"/>
      <c r="I37" s="2"/>
      <c r="J37" s="2"/>
      <c r="K37" s="2"/>
      <c r="L37" s="2"/>
    </row>
    <row r="38" spans="1:12">
      <c r="A38" s="2"/>
      <c r="B38" s="278" t="s">
        <v>173</v>
      </c>
      <c r="C38" s="281" t="s">
        <v>167</v>
      </c>
      <c r="D38" s="278">
        <f>VLOOKUP(C38,METHODOLOGY!$C$175:$D$177,2,FALSE)</f>
        <v>2</v>
      </c>
      <c r="E38" s="1087" t="str">
        <f>_xlfn.XLOOKUP(C38,METHODOLOGY!$E$150:$O$150,METHODOLOGY!$E$155:$O$155,"",0,1)</f>
        <v>Study has some limitations which may impact on the robustness of the value.</v>
      </c>
      <c r="F38" s="1087"/>
      <c r="G38" s="1087"/>
      <c r="H38" s="1087"/>
      <c r="I38" s="2"/>
      <c r="J38" s="2"/>
      <c r="K38" s="2"/>
      <c r="L38" s="2"/>
    </row>
    <row r="39" spans="1:12">
      <c r="A39" s="2"/>
      <c r="B39" s="278" t="s">
        <v>177</v>
      </c>
      <c r="C39" s="281" t="s">
        <v>166</v>
      </c>
      <c r="D39" s="278">
        <f>VLOOKUP(C39,METHODOLOGY!$C$175:$D$177,2,FALSE)</f>
        <v>3</v>
      </c>
      <c r="E39" s="1087" t="str">
        <f>_xlfn.XLOOKUP(C39,METHODOLOGY!$E$150:$O$150,METHODOLOGY!$E$158:$O$158,"",0,1)</f>
        <v>0 – 5 years</v>
      </c>
      <c r="F39" s="1087"/>
      <c r="G39" s="1087"/>
      <c r="H39" s="1087"/>
      <c r="I39" s="2"/>
      <c r="J39" s="2"/>
      <c r="K39" s="2"/>
      <c r="L39" s="2"/>
    </row>
    <row r="40" spans="1:12">
      <c r="A40" s="2"/>
      <c r="B40" s="278" t="s">
        <v>181</v>
      </c>
      <c r="C40" s="281" t="s">
        <v>167</v>
      </c>
      <c r="D40" s="278">
        <f>VLOOKUP(C40,METHODOLOGY!$C$175:$D$177,2,FALSE)</f>
        <v>2</v>
      </c>
      <c r="E40" s="1087" t="str">
        <f>_xlfn.XLOOKUP(C40,METHODOLOGY!$E$150:$O$150,METHODOLOGY!$E$160:$O$160,"",0,1)</f>
        <v>Less geographically relevant e.g. Europe or relevant to a specific UK region</v>
      </c>
      <c r="F40" s="1087"/>
      <c r="G40" s="1087"/>
      <c r="H40" s="1087"/>
      <c r="I40" s="2"/>
      <c r="J40" s="2"/>
      <c r="K40" s="2"/>
      <c r="L40" s="2"/>
    </row>
    <row r="41" spans="1:12">
      <c r="A41" s="2"/>
      <c r="B41" s="278" t="s">
        <v>928</v>
      </c>
      <c r="C41" s="281" t="s">
        <v>167</v>
      </c>
      <c r="D41" s="278">
        <f>VLOOKUP(C41,METHODOLOGY!$C$175:$D$177,2,FALSE)</f>
        <v>2</v>
      </c>
      <c r="E41" s="1087" t="str">
        <f>_xlfn.XLOOKUP(C41,METHODOLOGY!$E$150:$O$150,METHODOLOGY!$E$162:$O$162,"",0,1)</f>
        <v>Meta-analysis or limited understanding of what the value represents.</v>
      </c>
      <c r="F41" s="1087"/>
      <c r="G41" s="1087"/>
      <c r="H41" s="1087"/>
      <c r="I41" s="2"/>
      <c r="J41" s="2"/>
      <c r="K41" s="2"/>
      <c r="L41" s="2"/>
    </row>
    <row r="42" spans="1:12">
      <c r="A42" s="2"/>
      <c r="B42" s="278" t="s">
        <v>189</v>
      </c>
      <c r="C42" s="281" t="s">
        <v>168</v>
      </c>
      <c r="D42" s="278">
        <f>VLOOKUP(C42,METHODOLOGY!$C$175:$D$177,2,FALSE)</f>
        <v>1</v>
      </c>
      <c r="E42" s="1087" t="str">
        <f>_xlfn.XLOOKUP(C42,METHODOLOGY!$E$150:$O$150,METHODOLOGY!$E$164:$O$164,"",0,1)</f>
        <v xml:space="preserve">The original valuation can be used with significant modification e.g. several additional data inputs are required to use the original source. The calculation is complex or introduces significant uncertainty. </v>
      </c>
      <c r="F42" s="1087"/>
      <c r="G42" s="1087"/>
      <c r="H42" s="1087"/>
      <c r="I42" s="2"/>
      <c r="J42" s="2"/>
      <c r="K42" s="2"/>
      <c r="L42" s="2"/>
    </row>
    <row r="43" spans="1:12">
      <c r="A43" s="2"/>
      <c r="B43" s="2"/>
      <c r="C43" s="282" t="s">
        <v>924</v>
      </c>
      <c r="D43" s="326">
        <f>IF(AND(D42=1,AVERAGE(D37:D42)&gt;2.14285714285714),2.14285714285714,IF(AND(D42=2,AVERAGE(D37:D42)&gt;2.57142857142857),2.57142857142857,AVERAGE(D37:D42)))</f>
        <v>2</v>
      </c>
      <c r="E43" s="270" t="str">
        <f>IF(D43&lt;=2.14285714285714,"Red",IF(D43&lt;=2.57142857142857,"Amber",IF(D43&lt;=3,"Green")))</f>
        <v>Red</v>
      </c>
      <c r="F43" s="2"/>
      <c r="G43" s="2"/>
      <c r="H43" s="2"/>
      <c r="I43" s="2"/>
      <c r="J43" s="2"/>
      <c r="K43" s="2"/>
      <c r="L43" s="2"/>
    </row>
    <row r="46" spans="1:12">
      <c r="A46" s="725"/>
      <c r="B46" s="726" t="s">
        <v>929</v>
      </c>
      <c r="C46" s="725"/>
      <c r="D46" s="725"/>
      <c r="E46" s="725"/>
      <c r="F46" s="725"/>
      <c r="G46" s="725"/>
      <c r="H46" s="725"/>
      <c r="I46" s="2"/>
      <c r="J46" s="2"/>
      <c r="K46" s="2"/>
      <c r="L46" s="2"/>
    </row>
    <row r="47" spans="1:12">
      <c r="A47" s="2"/>
      <c r="B47" s="277" t="s">
        <v>913</v>
      </c>
      <c r="C47" s="277" t="s">
        <v>1089</v>
      </c>
      <c r="D47" s="277" t="s">
        <v>902</v>
      </c>
      <c r="E47" s="277" t="s">
        <v>331</v>
      </c>
      <c r="F47" s="277" t="s">
        <v>226</v>
      </c>
      <c r="G47" s="1157" t="s">
        <v>930</v>
      </c>
      <c r="H47" s="1157"/>
      <c r="I47" s="1157"/>
      <c r="J47" s="1157"/>
      <c r="K47" s="1157"/>
      <c r="L47" s="1157"/>
    </row>
    <row r="48" spans="1:12">
      <c r="A48" s="2"/>
      <c r="B48" s="278">
        <v>78</v>
      </c>
      <c r="C48" s="278" t="s">
        <v>1630</v>
      </c>
      <c r="D48" s="278" t="s">
        <v>1637</v>
      </c>
      <c r="E48" s="278">
        <v>8684</v>
      </c>
      <c r="F48" s="364" t="s">
        <v>1638</v>
      </c>
      <c r="G48" s="1158" t="s">
        <v>1639</v>
      </c>
      <c r="H48" s="1158"/>
      <c r="I48" s="1158"/>
      <c r="J48" s="1158"/>
      <c r="K48" s="1158"/>
      <c r="L48" s="1158"/>
    </row>
    <row r="49" spans="1:12">
      <c r="A49" s="2"/>
      <c r="B49" s="278">
        <v>78</v>
      </c>
      <c r="C49" s="278" t="s">
        <v>1630</v>
      </c>
      <c r="D49" s="278" t="s">
        <v>1637</v>
      </c>
      <c r="E49" s="278">
        <v>3276497</v>
      </c>
      <c r="F49" s="278" t="s">
        <v>1640</v>
      </c>
      <c r="G49" s="1095" t="s">
        <v>1641</v>
      </c>
      <c r="H49" s="1095"/>
      <c r="I49" s="1095"/>
      <c r="J49" s="1095"/>
      <c r="K49" s="1095"/>
      <c r="L49" s="1095"/>
    </row>
    <row r="50" spans="1:12">
      <c r="A50" s="2"/>
      <c r="B50" s="278">
        <v>78</v>
      </c>
      <c r="C50" s="278" t="s">
        <v>1630</v>
      </c>
      <c r="D50" s="278" t="s">
        <v>1637</v>
      </c>
      <c r="E50" s="278">
        <v>75347.06</v>
      </c>
      <c r="F50" s="278" t="s">
        <v>1642</v>
      </c>
      <c r="G50" s="1095" t="s">
        <v>1643</v>
      </c>
      <c r="H50" s="1095"/>
      <c r="I50" s="1095"/>
      <c r="J50" s="1095"/>
      <c r="K50" s="1095"/>
      <c r="L50" s="1095"/>
    </row>
    <row r="51" spans="1:12" ht="33.950000000000003" customHeight="1">
      <c r="A51" s="2"/>
      <c r="B51" s="278">
        <v>130</v>
      </c>
      <c r="C51" s="278" t="s">
        <v>1630</v>
      </c>
      <c r="D51" s="278" t="s">
        <v>1637</v>
      </c>
      <c r="E51" s="278">
        <v>27.07</v>
      </c>
      <c r="F51" s="375" t="s">
        <v>1644</v>
      </c>
      <c r="G51" s="1095" t="s">
        <v>1645</v>
      </c>
      <c r="H51" s="1095"/>
      <c r="I51" s="1095"/>
      <c r="J51" s="1095"/>
      <c r="K51" s="1095"/>
      <c r="L51" s="1095"/>
    </row>
    <row r="52" spans="1:12">
      <c r="A52" s="2"/>
      <c r="B52" s="278">
        <v>80</v>
      </c>
      <c r="C52" s="278" t="s">
        <v>1630</v>
      </c>
      <c r="D52" s="278" t="s">
        <v>1637</v>
      </c>
      <c r="E52" s="489">
        <v>0.125</v>
      </c>
      <c r="F52" s="375" t="s">
        <v>1646</v>
      </c>
      <c r="G52" s="1095" t="s">
        <v>1647</v>
      </c>
      <c r="H52" s="1095"/>
      <c r="I52" s="1095"/>
      <c r="J52" s="1095"/>
      <c r="K52" s="1095"/>
      <c r="L52" s="1095"/>
    </row>
    <row r="53" spans="1:12">
      <c r="A53" s="2"/>
      <c r="B53" s="2"/>
      <c r="C53" s="2"/>
      <c r="D53" s="2"/>
      <c r="E53" s="2"/>
      <c r="F53" s="2"/>
      <c r="G53" s="2"/>
      <c r="H53" s="2"/>
      <c r="I53" s="2"/>
      <c r="J53" s="2"/>
      <c r="K53" s="2"/>
      <c r="L53" s="2"/>
    </row>
    <row r="54" spans="1:12">
      <c r="A54" s="2"/>
      <c r="B54" s="2"/>
      <c r="C54" s="2"/>
      <c r="D54" s="2"/>
      <c r="E54" s="2"/>
      <c r="F54" s="2"/>
      <c r="G54" s="2"/>
      <c r="H54" s="2"/>
      <c r="I54" s="2"/>
      <c r="J54" s="2"/>
      <c r="K54" s="2"/>
      <c r="L54" s="2"/>
    </row>
    <row r="55" spans="1:12">
      <c r="A55" s="725"/>
      <c r="B55" s="726" t="s">
        <v>936</v>
      </c>
      <c r="C55" s="725"/>
      <c r="D55" s="725"/>
      <c r="E55" s="725"/>
      <c r="F55" s="725"/>
      <c r="G55" s="725"/>
      <c r="H55" s="725"/>
      <c r="I55" s="2"/>
      <c r="J55" s="2"/>
      <c r="K55" s="2"/>
      <c r="L55" s="2"/>
    </row>
    <row r="56" spans="1:12">
      <c r="A56" s="2"/>
      <c r="B56" s="277" t="s">
        <v>936</v>
      </c>
      <c r="C56" s="277" t="s">
        <v>331</v>
      </c>
      <c r="D56" s="277" t="s">
        <v>226</v>
      </c>
      <c r="E56" s="277" t="s">
        <v>1648</v>
      </c>
      <c r="F56" s="1157" t="s">
        <v>1649</v>
      </c>
      <c r="G56" s="1157"/>
      <c r="H56" s="1157"/>
      <c r="I56" s="1157"/>
      <c r="J56" s="1157"/>
      <c r="K56" s="1157"/>
      <c r="L56" s="1157"/>
    </row>
    <row r="57" spans="1:12">
      <c r="A57" s="2"/>
      <c r="B57" s="334" t="s">
        <v>1650</v>
      </c>
      <c r="C57" s="490">
        <f>E50/E48</f>
        <v>8.6765384615384615</v>
      </c>
      <c r="D57" s="295" t="s">
        <v>1651</v>
      </c>
      <c r="E57" s="295" t="s">
        <v>1652</v>
      </c>
      <c r="F57" s="1171"/>
      <c r="G57" s="1171"/>
      <c r="H57" s="1171"/>
      <c r="I57" s="1171"/>
      <c r="J57" s="1171"/>
      <c r="K57" s="1171"/>
      <c r="L57" s="1171"/>
    </row>
    <row r="58" spans="1:12">
      <c r="A58" s="2"/>
      <c r="B58" s="334" t="s">
        <v>1650</v>
      </c>
      <c r="C58" s="490">
        <f>C57*277.78</f>
        <v>2410.1688538461535</v>
      </c>
      <c r="D58" s="295" t="s">
        <v>1653</v>
      </c>
      <c r="E58" s="295" t="s">
        <v>1652</v>
      </c>
      <c r="F58" s="1171" t="s">
        <v>1654</v>
      </c>
      <c r="G58" s="1171"/>
      <c r="H58" s="1171"/>
      <c r="I58" s="1171"/>
      <c r="J58" s="1171"/>
      <c r="K58" s="1171"/>
      <c r="L58" s="1171"/>
    </row>
    <row r="59" spans="1:12">
      <c r="A59" s="2"/>
      <c r="B59" s="334" t="s">
        <v>1655</v>
      </c>
      <c r="C59" s="490">
        <f>C58*E51</f>
        <v>65243.27087361538</v>
      </c>
      <c r="D59" s="295" t="s">
        <v>1656</v>
      </c>
      <c r="E59" s="295" t="s">
        <v>1652</v>
      </c>
      <c r="F59" s="1171"/>
      <c r="G59" s="1171"/>
      <c r="H59" s="1171"/>
      <c r="I59" s="1171"/>
      <c r="J59" s="1171"/>
      <c r="K59" s="1171"/>
      <c r="L59" s="1171"/>
    </row>
    <row r="60" spans="1:12">
      <c r="A60" s="2"/>
      <c r="B60" s="334" t="s">
        <v>1655</v>
      </c>
      <c r="C60" s="490">
        <f>C59/100</f>
        <v>652.43270873615381</v>
      </c>
      <c r="D60" s="295" t="s">
        <v>1657</v>
      </c>
      <c r="E60" s="295" t="s">
        <v>1652</v>
      </c>
      <c r="F60" s="1171"/>
      <c r="G60" s="1171"/>
      <c r="H60" s="1171"/>
      <c r="I60" s="1171"/>
      <c r="J60" s="1171"/>
      <c r="K60" s="1171"/>
      <c r="L60" s="1171"/>
    </row>
    <row r="61" spans="1:12">
      <c r="A61" s="2"/>
      <c r="B61" s="334" t="s">
        <v>1655</v>
      </c>
      <c r="C61" s="490">
        <f>C60/1.125</f>
        <v>579.94018554324782</v>
      </c>
      <c r="D61" s="295" t="s">
        <v>1657</v>
      </c>
      <c r="E61" s="295" t="s">
        <v>1658</v>
      </c>
      <c r="F61" s="1171" t="s">
        <v>1659</v>
      </c>
      <c r="G61" s="1171"/>
      <c r="H61" s="1171"/>
      <c r="I61" s="1171"/>
      <c r="J61" s="1171"/>
      <c r="K61" s="1171"/>
      <c r="L61" s="1171"/>
    </row>
    <row r="62" spans="1:12">
      <c r="A62" s="2"/>
      <c r="B62" s="3"/>
      <c r="C62" s="129"/>
      <c r="D62" s="24"/>
      <c r="E62" s="252"/>
      <c r="F62" s="252"/>
      <c r="G62" s="252"/>
      <c r="H62" s="252"/>
      <c r="I62" s="252"/>
      <c r="J62" s="252"/>
      <c r="K62" s="252"/>
      <c r="L62" s="2"/>
    </row>
    <row r="64" spans="1:12">
      <c r="A64" s="727"/>
      <c r="B64" s="728" t="s">
        <v>943</v>
      </c>
      <c r="C64" s="727"/>
      <c r="D64" s="727"/>
      <c r="E64" s="727"/>
      <c r="F64" s="727"/>
      <c r="G64" s="727"/>
      <c r="H64" s="727"/>
      <c r="I64" s="2"/>
      <c r="J64" s="2"/>
      <c r="K64" s="2"/>
      <c r="L64" s="2"/>
    </row>
    <row r="65" spans="1:12">
      <c r="A65" s="725"/>
      <c r="B65" s="726" t="s">
        <v>912</v>
      </c>
      <c r="C65" s="725"/>
      <c r="D65" s="725"/>
      <c r="E65" s="725"/>
      <c r="F65" s="725"/>
      <c r="G65" s="725"/>
      <c r="H65" s="725"/>
      <c r="I65" s="2"/>
      <c r="J65" s="2"/>
      <c r="K65" s="2"/>
      <c r="L65" s="2"/>
    </row>
    <row r="66" spans="1:12" ht="29.1">
      <c r="A66" s="2"/>
      <c r="B66" s="719" t="s">
        <v>913</v>
      </c>
      <c r="C66" s="719" t="s">
        <v>914</v>
      </c>
      <c r="D66" s="719" t="s">
        <v>915</v>
      </c>
      <c r="E66" s="719" t="s">
        <v>916</v>
      </c>
      <c r="F66" s="719" t="s">
        <v>917</v>
      </c>
      <c r="G66" s="719" t="s">
        <v>918</v>
      </c>
      <c r="H66" s="719" t="s">
        <v>919</v>
      </c>
      <c r="I66" s="2"/>
      <c r="J66" s="2"/>
      <c r="K66" s="2"/>
      <c r="L66" s="2"/>
    </row>
    <row r="67" spans="1:12">
      <c r="A67" s="2"/>
      <c r="B67" s="278">
        <v>130</v>
      </c>
      <c r="C67" s="281" t="s">
        <v>1632</v>
      </c>
      <c r="D67" s="279" t="s">
        <v>907</v>
      </c>
      <c r="E67" s="278">
        <v>2024</v>
      </c>
      <c r="F67" s="278" t="s">
        <v>1047</v>
      </c>
      <c r="G67" s="278" t="s">
        <v>1047</v>
      </c>
      <c r="H67" s="278" t="s">
        <v>906</v>
      </c>
      <c r="I67" s="2"/>
      <c r="J67" s="2"/>
      <c r="K67" s="2"/>
      <c r="L67" s="2"/>
    </row>
    <row r="68" spans="1:12">
      <c r="A68" s="2"/>
      <c r="B68" s="278">
        <v>81</v>
      </c>
      <c r="C68" s="281" t="s">
        <v>1660</v>
      </c>
      <c r="D68" s="279" t="s">
        <v>907</v>
      </c>
      <c r="E68" s="278" t="s">
        <v>1661</v>
      </c>
      <c r="F68" s="278" t="s">
        <v>1047</v>
      </c>
      <c r="G68" s="278" t="s">
        <v>1047</v>
      </c>
      <c r="H68" s="278" t="s">
        <v>906</v>
      </c>
      <c r="I68" s="2"/>
      <c r="J68" s="2"/>
      <c r="K68" s="2"/>
      <c r="L68" s="2"/>
    </row>
    <row r="69" spans="1:12">
      <c r="A69" s="2"/>
      <c r="B69" s="278">
        <v>80</v>
      </c>
      <c r="C69" s="281" t="s">
        <v>1636</v>
      </c>
      <c r="D69" s="279" t="s">
        <v>907</v>
      </c>
      <c r="E69" s="278">
        <v>2021</v>
      </c>
      <c r="F69" s="278" t="s">
        <v>1047</v>
      </c>
      <c r="G69" s="278" t="s">
        <v>820</v>
      </c>
      <c r="H69" s="278" t="s">
        <v>906</v>
      </c>
      <c r="I69" s="2"/>
      <c r="J69" s="2"/>
      <c r="K69" s="2"/>
      <c r="L69" s="2"/>
    </row>
    <row r="70" spans="1:12">
      <c r="A70" s="2"/>
      <c r="B70" s="16"/>
      <c r="C70" s="2"/>
      <c r="D70" s="2"/>
      <c r="E70" s="2"/>
      <c r="F70" s="2"/>
      <c r="G70" s="2"/>
      <c r="H70" s="2"/>
      <c r="I70" s="2"/>
      <c r="J70" s="2"/>
      <c r="K70" s="2"/>
      <c r="L70" s="2"/>
    </row>
    <row r="71" spans="1:12">
      <c r="A71" s="725"/>
      <c r="B71" s="726" t="s">
        <v>924</v>
      </c>
      <c r="C71" s="725"/>
      <c r="D71" s="725"/>
      <c r="E71" s="725"/>
      <c r="F71" s="725"/>
      <c r="G71" s="725"/>
      <c r="H71" s="725"/>
      <c r="I71" s="2"/>
      <c r="J71" s="2"/>
      <c r="K71" s="2"/>
      <c r="L71" s="2"/>
    </row>
    <row r="72" spans="1:12">
      <c r="A72" s="2"/>
      <c r="B72" s="277" t="s">
        <v>165</v>
      </c>
      <c r="C72" s="663" t="s">
        <v>925</v>
      </c>
      <c r="D72" s="277" t="s">
        <v>926</v>
      </c>
      <c r="E72" s="1134" t="s">
        <v>927</v>
      </c>
      <c r="F72" s="1134"/>
      <c r="G72" s="1134"/>
      <c r="H72" s="1134"/>
      <c r="I72" s="2"/>
      <c r="J72" s="2"/>
      <c r="K72" s="2"/>
      <c r="L72" s="2"/>
    </row>
    <row r="73" spans="1:12">
      <c r="A73" s="2"/>
      <c r="B73" s="278" t="s">
        <v>169</v>
      </c>
      <c r="C73" s="281" t="s">
        <v>167</v>
      </c>
      <c r="D73" s="278">
        <f>VLOOKUP(C73,METHODOLOGY!$C$175:$D$177,2,FALSE)</f>
        <v>2</v>
      </c>
      <c r="E73" s="1087" t="str">
        <f>_xlfn.XLOOKUP(C73,METHODOLOGY!$E$150:$O$150,METHODOLOGY!$E$151:$O$151,"",0,1)</f>
        <v>The monetary values are recommended / referenced in other, well recognised and accepted guidance / tools relevant to another sector.</v>
      </c>
      <c r="F73" s="1087"/>
      <c r="G73" s="1087"/>
      <c r="H73" s="1087"/>
      <c r="I73" s="2"/>
      <c r="J73" s="2"/>
      <c r="K73" s="2"/>
      <c r="L73" s="2"/>
    </row>
    <row r="74" spans="1:12">
      <c r="A74" s="2"/>
      <c r="B74" s="278" t="s">
        <v>173</v>
      </c>
      <c r="C74" s="281" t="s">
        <v>167</v>
      </c>
      <c r="D74" s="278">
        <f>VLOOKUP(C74,METHODOLOGY!$C$175:$D$177,2,FALSE)</f>
        <v>2</v>
      </c>
      <c r="E74" s="1087" t="str">
        <f>_xlfn.XLOOKUP(C74,METHODOLOGY!$E$150:$O$150,METHODOLOGY!$E$155:$O$155,"",0,1)</f>
        <v>Study has some limitations which may impact on the robustness of the value.</v>
      </c>
      <c r="F74" s="1087"/>
      <c r="G74" s="1087"/>
      <c r="H74" s="1087"/>
      <c r="I74" s="2"/>
      <c r="J74" s="2"/>
      <c r="K74" s="2"/>
      <c r="L74" s="2"/>
    </row>
    <row r="75" spans="1:12">
      <c r="A75" s="2"/>
      <c r="B75" s="278" t="s">
        <v>177</v>
      </c>
      <c r="C75" s="281" t="s">
        <v>168</v>
      </c>
      <c r="D75" s="278">
        <f>VLOOKUP(C75,METHODOLOGY!$C$175:$D$177,2,FALSE)</f>
        <v>1</v>
      </c>
      <c r="E75" s="1087" t="str">
        <f>_xlfn.XLOOKUP(C75,METHODOLOGY!$E$150:$O$150,METHODOLOGY!$E$158:$O$158,"",0,1)</f>
        <v>&gt;10 years</v>
      </c>
      <c r="F75" s="1087"/>
      <c r="G75" s="1087"/>
      <c r="H75" s="1087"/>
      <c r="I75" s="2"/>
      <c r="J75" s="2"/>
      <c r="K75" s="2"/>
      <c r="L75" s="2"/>
    </row>
    <row r="76" spans="1:12">
      <c r="A76" s="2"/>
      <c r="B76" s="278" t="s">
        <v>181</v>
      </c>
      <c r="C76" s="281" t="s">
        <v>167</v>
      </c>
      <c r="D76" s="278">
        <f>VLOOKUP(C76,METHODOLOGY!$C$175:$D$177,2,FALSE)</f>
        <v>2</v>
      </c>
      <c r="E76" s="1087" t="str">
        <f>_xlfn.XLOOKUP(C76,METHODOLOGY!$E$150:$O$150,METHODOLOGY!$E$160:$O$160,"",0,1)</f>
        <v>Less geographically relevant e.g. Europe or relevant to a specific UK region</v>
      </c>
      <c r="F76" s="1087"/>
      <c r="G76" s="1087"/>
      <c r="H76" s="1087"/>
      <c r="I76" s="2"/>
      <c r="J76" s="2"/>
      <c r="K76" s="2"/>
      <c r="L76" s="2"/>
    </row>
    <row r="77" spans="1:12">
      <c r="A77" s="2"/>
      <c r="B77" s="278" t="s">
        <v>928</v>
      </c>
      <c r="C77" s="281" t="s">
        <v>167</v>
      </c>
      <c r="D77" s="278">
        <f>VLOOKUP(C77,METHODOLOGY!$C$175:$D$177,2,FALSE)</f>
        <v>2</v>
      </c>
      <c r="E77" s="1087" t="str">
        <f>_xlfn.XLOOKUP(C77,METHODOLOGY!$E$150:$O$150,METHODOLOGY!$E$162:$O$162,"",0,1)</f>
        <v>Meta-analysis or limited understanding of what the value represents.</v>
      </c>
      <c r="F77" s="1087"/>
      <c r="G77" s="1087"/>
      <c r="H77" s="1087"/>
      <c r="I77" s="2"/>
      <c r="J77" s="2"/>
      <c r="K77" s="2"/>
      <c r="L77" s="2"/>
    </row>
    <row r="78" spans="1:12">
      <c r="A78" s="2"/>
      <c r="B78" s="278" t="s">
        <v>189</v>
      </c>
      <c r="C78" s="281" t="s">
        <v>168</v>
      </c>
      <c r="D78" s="278">
        <f>VLOOKUP(C78,METHODOLOGY!$C$175:$D$177,2,FALSE)</f>
        <v>1</v>
      </c>
      <c r="E78" s="1087" t="str">
        <f>_xlfn.XLOOKUP(C78,METHODOLOGY!$E$150:$O$150,METHODOLOGY!$E$164:$O$164,"",0,1)</f>
        <v xml:space="preserve">The original valuation can be used with significant modification e.g. several additional data inputs are required to use the original source. The calculation is complex or introduces significant uncertainty. </v>
      </c>
      <c r="F78" s="1087"/>
      <c r="G78" s="1087"/>
      <c r="H78" s="1087"/>
      <c r="I78" s="2"/>
      <c r="J78" s="2"/>
      <c r="K78" s="2"/>
      <c r="L78" s="2"/>
    </row>
    <row r="79" spans="1:12">
      <c r="A79" s="2"/>
      <c r="B79" s="2"/>
      <c r="C79" s="282" t="s">
        <v>924</v>
      </c>
      <c r="D79" s="326">
        <f>IF(AND(D78=1,AVERAGE(D73:D78)&gt;2.14285714285714),2.14285714285714,IF(AND(D78=2,AVERAGE(D73:D78)&gt;2.57142857142857),2.57142857142857,AVERAGE(D73:D78)))</f>
        <v>1.6666666666666667</v>
      </c>
      <c r="E79" s="270" t="str">
        <f>IF(D79&lt;=2.14285714285714,"Red",IF(D79&lt;=2.57142857142857,"Amber",IF(D79&lt;=3,"Green")))</f>
        <v>Red</v>
      </c>
      <c r="F79" s="2"/>
      <c r="G79" s="2"/>
      <c r="H79" s="2"/>
      <c r="I79" s="2"/>
      <c r="J79" s="2"/>
      <c r="K79" s="2"/>
      <c r="L79" s="2"/>
    </row>
    <row r="82" spans="1:12">
      <c r="A82" s="725"/>
      <c r="B82" s="726" t="s">
        <v>929</v>
      </c>
      <c r="C82" s="725"/>
      <c r="D82" s="725"/>
      <c r="E82" s="725"/>
      <c r="F82" s="725"/>
      <c r="G82" s="725"/>
      <c r="H82" s="725"/>
      <c r="I82" s="2"/>
      <c r="J82" s="2"/>
      <c r="K82" s="2"/>
      <c r="L82" s="2"/>
    </row>
    <row r="83" spans="1:12">
      <c r="A83" s="2"/>
      <c r="B83" s="277" t="s">
        <v>913</v>
      </c>
      <c r="C83" s="277" t="s">
        <v>1089</v>
      </c>
      <c r="D83" s="277" t="s">
        <v>902</v>
      </c>
      <c r="E83" s="277" t="s">
        <v>331</v>
      </c>
      <c r="F83" s="277" t="s">
        <v>226</v>
      </c>
      <c r="G83" s="1157" t="s">
        <v>930</v>
      </c>
      <c r="H83" s="1157"/>
      <c r="I83" s="1157"/>
      <c r="J83" s="1157"/>
      <c r="K83" s="1157"/>
      <c r="L83" s="1157"/>
    </row>
    <row r="84" spans="1:12">
      <c r="A84" s="2"/>
      <c r="B84" s="278">
        <v>81</v>
      </c>
      <c r="C84" s="278" t="s">
        <v>1630</v>
      </c>
      <c r="D84" s="278" t="s">
        <v>1637</v>
      </c>
      <c r="E84" s="365" t="s">
        <v>1662</v>
      </c>
      <c r="F84" s="278" t="s">
        <v>1663</v>
      </c>
      <c r="G84" s="1158" t="s">
        <v>1664</v>
      </c>
      <c r="H84" s="1158"/>
      <c r="I84" s="1158"/>
      <c r="J84" s="1158"/>
      <c r="K84" s="1158"/>
      <c r="L84" s="1158"/>
    </row>
    <row r="85" spans="1:12">
      <c r="A85" s="2"/>
      <c r="B85" s="278">
        <v>81</v>
      </c>
      <c r="C85" s="278" t="s">
        <v>1630</v>
      </c>
      <c r="D85" s="278" t="s">
        <v>1637</v>
      </c>
      <c r="E85" s="365" t="s">
        <v>1665</v>
      </c>
      <c r="F85" s="278" t="s">
        <v>1663</v>
      </c>
      <c r="G85" s="1095" t="s">
        <v>1666</v>
      </c>
      <c r="H85" s="1095"/>
      <c r="I85" s="1095"/>
      <c r="J85" s="1095"/>
      <c r="K85" s="1095"/>
      <c r="L85" s="1095"/>
    </row>
    <row r="86" spans="1:12" ht="33.950000000000003" customHeight="1">
      <c r="A86" s="2"/>
      <c r="B86" s="278">
        <v>130</v>
      </c>
      <c r="C86" s="278" t="s">
        <v>1630</v>
      </c>
      <c r="D86" s="278" t="s">
        <v>1637</v>
      </c>
      <c r="E86" s="278">
        <v>27.07</v>
      </c>
      <c r="F86" s="375" t="s">
        <v>1644</v>
      </c>
      <c r="G86" s="1095" t="s">
        <v>1645</v>
      </c>
      <c r="H86" s="1095"/>
      <c r="I86" s="1095"/>
      <c r="J86" s="1095"/>
      <c r="K86" s="1095"/>
      <c r="L86" s="1095"/>
    </row>
    <row r="87" spans="1:12">
      <c r="A87" s="2"/>
      <c r="B87" s="278">
        <v>80</v>
      </c>
      <c r="C87" s="278" t="s">
        <v>1630</v>
      </c>
      <c r="D87" s="278" t="s">
        <v>1637</v>
      </c>
      <c r="E87" s="489">
        <v>0.125</v>
      </c>
      <c r="F87" s="375" t="s">
        <v>1646</v>
      </c>
      <c r="G87" s="1095" t="s">
        <v>1647</v>
      </c>
      <c r="H87" s="1095"/>
      <c r="I87" s="1095"/>
      <c r="J87" s="1095"/>
      <c r="K87" s="1095"/>
      <c r="L87" s="1095"/>
    </row>
    <row r="89" spans="1:12">
      <c r="A89" s="725"/>
      <c r="B89" s="726" t="s">
        <v>936</v>
      </c>
      <c r="C89" s="725"/>
      <c r="D89" s="725"/>
      <c r="E89" s="725"/>
      <c r="F89" s="725"/>
      <c r="G89" s="725"/>
      <c r="H89" s="725"/>
      <c r="I89" s="2"/>
      <c r="J89" s="2"/>
      <c r="K89" s="2"/>
      <c r="L89" s="2"/>
    </row>
    <row r="90" spans="1:12">
      <c r="A90" s="2"/>
      <c r="B90" s="277" t="s">
        <v>936</v>
      </c>
      <c r="C90" s="277" t="s">
        <v>331</v>
      </c>
      <c r="D90" s="277" t="s">
        <v>226</v>
      </c>
      <c r="E90" s="277" t="s">
        <v>1648</v>
      </c>
      <c r="F90" s="1157" t="s">
        <v>1649</v>
      </c>
      <c r="G90" s="1157"/>
      <c r="H90" s="1157"/>
      <c r="I90" s="1157"/>
      <c r="J90" s="1157"/>
      <c r="K90" s="1157"/>
      <c r="L90" s="1157"/>
    </row>
    <row r="91" spans="1:12">
      <c r="A91" s="2"/>
      <c r="B91" s="334" t="s">
        <v>1667</v>
      </c>
      <c r="C91" s="490">
        <f>AVERAGE(0.55, 0.86)</f>
        <v>0.70500000000000007</v>
      </c>
      <c r="D91" s="295" t="s">
        <v>1663</v>
      </c>
      <c r="E91" s="295" t="s">
        <v>1652</v>
      </c>
      <c r="F91" s="1171" t="s">
        <v>1668</v>
      </c>
      <c r="G91" s="1171"/>
      <c r="H91" s="1171"/>
      <c r="I91" s="1171"/>
      <c r="J91" s="1171"/>
      <c r="K91" s="1171"/>
      <c r="L91" s="1171"/>
    </row>
    <row r="92" spans="1:12">
      <c r="A92" s="2"/>
      <c r="B92" s="334" t="s">
        <v>1667</v>
      </c>
      <c r="C92" s="490">
        <f>C91*1000</f>
        <v>705.00000000000011</v>
      </c>
      <c r="D92" s="295" t="s">
        <v>1653</v>
      </c>
      <c r="E92" s="295" t="s">
        <v>1652</v>
      </c>
      <c r="F92" s="1171"/>
      <c r="G92" s="1171"/>
      <c r="H92" s="1171"/>
      <c r="I92" s="1171"/>
      <c r="J92" s="1171"/>
      <c r="K92" s="1171"/>
      <c r="L92" s="1171"/>
    </row>
    <row r="93" spans="1:12">
      <c r="A93" s="2"/>
      <c r="B93" s="334" t="s">
        <v>1655</v>
      </c>
      <c r="C93" s="490">
        <f>C92*E86</f>
        <v>19084.350000000002</v>
      </c>
      <c r="D93" s="295" t="s">
        <v>1656</v>
      </c>
      <c r="E93" s="295" t="s">
        <v>1652</v>
      </c>
      <c r="F93" s="1171"/>
      <c r="G93" s="1171"/>
      <c r="H93" s="1171"/>
      <c r="I93" s="1171"/>
      <c r="J93" s="1171"/>
      <c r="K93" s="1171"/>
      <c r="L93" s="1171"/>
    </row>
    <row r="94" spans="1:12">
      <c r="A94" s="2"/>
      <c r="B94" s="334" t="s">
        <v>1655</v>
      </c>
      <c r="C94" s="490">
        <f>C93/100</f>
        <v>190.84350000000003</v>
      </c>
      <c r="D94" s="295" t="s">
        <v>1657</v>
      </c>
      <c r="E94" s="295" t="s">
        <v>1652</v>
      </c>
      <c r="F94" s="1171"/>
      <c r="G94" s="1171"/>
      <c r="H94" s="1171"/>
      <c r="I94" s="1171"/>
      <c r="J94" s="1171"/>
      <c r="K94" s="1171"/>
      <c r="L94" s="1171"/>
    </row>
    <row r="95" spans="1:12">
      <c r="A95" s="2"/>
      <c r="B95" s="334" t="s">
        <v>1655</v>
      </c>
      <c r="C95" s="490">
        <f>C94/1.125</f>
        <v>169.63866666666669</v>
      </c>
      <c r="D95" s="295" t="s">
        <v>1657</v>
      </c>
      <c r="E95" s="295" t="s">
        <v>1658</v>
      </c>
      <c r="F95" s="1171" t="s">
        <v>1659</v>
      </c>
      <c r="G95" s="1171"/>
      <c r="H95" s="1171"/>
      <c r="I95" s="1171"/>
      <c r="J95" s="1171"/>
      <c r="K95" s="1171"/>
      <c r="L95" s="1171"/>
    </row>
    <row r="96" spans="1:12">
      <c r="A96" s="2"/>
      <c r="B96" s="3"/>
      <c r="C96" s="129"/>
      <c r="D96" s="24"/>
      <c r="E96" s="252"/>
      <c r="F96" s="252"/>
      <c r="G96" s="252"/>
      <c r="H96" s="252"/>
      <c r="I96" s="252"/>
      <c r="J96" s="252"/>
      <c r="K96" s="252"/>
      <c r="L96" s="2"/>
    </row>
    <row r="98" spans="1:12">
      <c r="A98" s="721"/>
      <c r="B98" s="722" t="s">
        <v>455</v>
      </c>
      <c r="C98" s="721"/>
      <c r="D98" s="721"/>
      <c r="E98" s="721"/>
      <c r="F98" s="721"/>
      <c r="G98" s="721"/>
      <c r="H98" s="721"/>
      <c r="I98" s="2"/>
      <c r="J98" s="2"/>
      <c r="K98" s="2"/>
      <c r="L98" s="2"/>
    </row>
    <row r="99" spans="1:12">
      <c r="A99" s="727"/>
      <c r="B99" s="729" t="s">
        <v>897</v>
      </c>
      <c r="C99" s="727"/>
      <c r="D99" s="727"/>
      <c r="E99" s="727"/>
      <c r="F99" s="727"/>
      <c r="G99" s="727"/>
      <c r="H99" s="727"/>
      <c r="I99" s="2"/>
      <c r="J99" s="2"/>
      <c r="K99" s="2"/>
      <c r="L99" s="2"/>
    </row>
    <row r="100" spans="1:12">
      <c r="A100" s="2"/>
      <c r="B100" s="277" t="s">
        <v>898</v>
      </c>
      <c r="C100" s="277" t="s">
        <v>899</v>
      </c>
      <c r="D100" s="2"/>
      <c r="E100" s="2"/>
      <c r="F100" s="2"/>
      <c r="G100" s="2"/>
      <c r="H100" s="2"/>
      <c r="I100" s="2"/>
      <c r="J100" s="2"/>
      <c r="K100" s="2"/>
      <c r="L100" s="2"/>
    </row>
    <row r="101" spans="1:12">
      <c r="A101" s="2"/>
      <c r="B101" s="278" t="s">
        <v>455</v>
      </c>
      <c r="C101" s="278" t="s">
        <v>1669</v>
      </c>
      <c r="D101" s="2"/>
      <c r="E101" s="2"/>
      <c r="F101" s="2"/>
      <c r="G101" s="2"/>
      <c r="H101" s="2"/>
      <c r="I101" s="2"/>
      <c r="J101" s="2"/>
      <c r="K101" s="2"/>
      <c r="L101" s="2"/>
    </row>
    <row r="102" spans="1:12">
      <c r="A102" s="2"/>
      <c r="B102" s="16"/>
      <c r="C102" s="2"/>
      <c r="D102" s="2"/>
      <c r="E102" s="2"/>
      <c r="F102" s="2"/>
      <c r="G102" s="2"/>
      <c r="H102" s="2"/>
      <c r="I102" s="2"/>
      <c r="J102" s="2"/>
      <c r="K102" s="2"/>
      <c r="L102" s="2"/>
    </row>
    <row r="103" spans="1:12">
      <c r="A103" s="727"/>
      <c r="B103" s="728" t="s">
        <v>1028</v>
      </c>
      <c r="C103" s="727"/>
      <c r="D103" s="727"/>
      <c r="E103" s="727"/>
      <c r="F103" s="727"/>
      <c r="G103" s="727"/>
      <c r="H103" s="727"/>
      <c r="I103" s="2"/>
      <c r="J103" s="2"/>
      <c r="K103" s="2"/>
      <c r="L103" s="2"/>
    </row>
    <row r="104" spans="1:12">
      <c r="A104" s="2"/>
      <c r="B104" s="1095" t="s">
        <v>1670</v>
      </c>
      <c r="C104" s="1095"/>
      <c r="D104" s="2"/>
      <c r="E104" s="2"/>
      <c r="F104" s="2"/>
      <c r="G104" s="2"/>
      <c r="H104" s="2"/>
      <c r="I104" s="2"/>
      <c r="J104" s="2"/>
      <c r="K104" s="2"/>
      <c r="L104" s="2"/>
    </row>
    <row r="105" spans="1:12">
      <c r="A105" s="2"/>
      <c r="B105" s="1095"/>
      <c r="C105" s="1095"/>
      <c r="D105" s="2"/>
      <c r="E105" s="2"/>
      <c r="F105" s="2"/>
      <c r="G105" s="2"/>
      <c r="H105" s="2"/>
      <c r="I105" s="2"/>
      <c r="J105" s="2"/>
      <c r="K105" s="2"/>
      <c r="L105" s="2"/>
    </row>
    <row r="106" spans="1:12">
      <c r="A106" s="2"/>
      <c r="B106" s="1095"/>
      <c r="C106" s="1095"/>
      <c r="D106" s="2"/>
      <c r="E106" s="2"/>
      <c r="F106" s="2"/>
      <c r="G106" s="2"/>
      <c r="H106" s="2"/>
      <c r="I106" s="2"/>
      <c r="J106" s="2"/>
      <c r="K106" s="2"/>
      <c r="L106" s="2"/>
    </row>
    <row r="107" spans="1:12">
      <c r="A107" s="2"/>
      <c r="B107" s="1095"/>
      <c r="C107" s="1095"/>
      <c r="D107" s="2"/>
      <c r="E107" s="2"/>
      <c r="F107" s="2"/>
      <c r="G107" s="2"/>
      <c r="H107" s="2"/>
      <c r="I107" s="2"/>
      <c r="J107" s="2"/>
      <c r="K107" s="2"/>
      <c r="L107" s="2"/>
    </row>
    <row r="108" spans="1:12">
      <c r="A108" s="2"/>
      <c r="B108" s="1095"/>
      <c r="C108" s="1095"/>
      <c r="D108" s="2"/>
      <c r="E108" s="2"/>
      <c r="F108" s="2"/>
      <c r="G108" s="2"/>
      <c r="H108" s="2"/>
      <c r="I108" s="2"/>
      <c r="J108" s="2"/>
      <c r="K108" s="2"/>
      <c r="L108" s="2"/>
    </row>
    <row r="109" spans="1:12">
      <c r="A109" s="2"/>
      <c r="B109" s="1095"/>
      <c r="C109" s="1095"/>
      <c r="D109" s="2"/>
      <c r="E109" s="2"/>
      <c r="F109" s="2"/>
      <c r="G109" s="2"/>
      <c r="H109" s="2"/>
      <c r="I109" s="2"/>
      <c r="J109" s="2"/>
      <c r="K109" s="2"/>
      <c r="L109" s="2"/>
    </row>
    <row r="110" spans="1:12">
      <c r="A110" s="2"/>
      <c r="B110" s="1095"/>
      <c r="C110" s="1095"/>
      <c r="D110" s="2"/>
      <c r="E110" s="2"/>
      <c r="F110" s="2"/>
      <c r="G110" s="2"/>
      <c r="H110" s="2"/>
      <c r="I110" s="2"/>
      <c r="J110" s="2"/>
      <c r="K110" s="2"/>
      <c r="L110" s="2"/>
    </row>
    <row r="111" spans="1:12">
      <c r="A111" s="2"/>
      <c r="B111" s="16"/>
      <c r="C111" s="2"/>
      <c r="D111" s="2"/>
      <c r="E111" s="2"/>
      <c r="F111" s="2"/>
      <c r="G111" s="2"/>
      <c r="H111" s="2"/>
      <c r="I111" s="2"/>
      <c r="J111" s="2"/>
      <c r="K111" s="2"/>
      <c r="L111" s="2"/>
    </row>
    <row r="112" spans="1:12">
      <c r="A112" s="725"/>
      <c r="B112" s="726" t="s">
        <v>912</v>
      </c>
      <c r="C112" s="725"/>
      <c r="D112" s="725"/>
      <c r="E112" s="725"/>
      <c r="F112" s="725"/>
      <c r="G112" s="725"/>
      <c r="H112" s="725"/>
      <c r="I112" s="2"/>
      <c r="J112" s="2"/>
      <c r="K112" s="2"/>
      <c r="L112" s="2"/>
    </row>
    <row r="113" spans="1:12" ht="29.1">
      <c r="A113" s="2"/>
      <c r="B113" s="719" t="s">
        <v>913</v>
      </c>
      <c r="C113" s="719" t="s">
        <v>914</v>
      </c>
      <c r="D113" s="719" t="s">
        <v>915</v>
      </c>
      <c r="E113" s="719" t="s">
        <v>916</v>
      </c>
      <c r="F113" s="719" t="s">
        <v>917</v>
      </c>
      <c r="G113" s="719" t="s">
        <v>918</v>
      </c>
      <c r="H113" s="719" t="s">
        <v>919</v>
      </c>
      <c r="I113" s="2"/>
      <c r="J113" s="2"/>
      <c r="K113" s="2"/>
      <c r="L113" s="2"/>
    </row>
    <row r="114" spans="1:12">
      <c r="A114" s="2"/>
      <c r="B114" s="278">
        <v>19</v>
      </c>
      <c r="C114" s="281" t="s">
        <v>1671</v>
      </c>
      <c r="D114" s="279" t="s">
        <v>1182</v>
      </c>
      <c r="E114" s="278">
        <v>2023</v>
      </c>
      <c r="F114" s="278" t="s">
        <v>1047</v>
      </c>
      <c r="G114" s="278" t="s">
        <v>1672</v>
      </c>
      <c r="H114" s="278" t="s">
        <v>1673</v>
      </c>
      <c r="I114" s="2"/>
      <c r="J114" s="2"/>
      <c r="K114" s="2"/>
      <c r="L114" s="2"/>
    </row>
    <row r="115" spans="1:12">
      <c r="A115" s="2"/>
      <c r="B115" s="278">
        <v>111</v>
      </c>
      <c r="C115" s="281" t="s">
        <v>1674</v>
      </c>
      <c r="D115" s="279" t="s">
        <v>907</v>
      </c>
      <c r="E115" s="278">
        <v>2017</v>
      </c>
      <c r="F115" s="278" t="s">
        <v>1675</v>
      </c>
      <c r="G115" s="278" t="s">
        <v>1676</v>
      </c>
      <c r="H115" s="278" t="s">
        <v>906</v>
      </c>
      <c r="I115" s="2"/>
      <c r="J115" s="2"/>
      <c r="K115" s="2"/>
      <c r="L115" s="2"/>
    </row>
    <row r="116" spans="1:12">
      <c r="A116" s="2"/>
      <c r="B116" s="278">
        <v>128</v>
      </c>
      <c r="C116" s="281" t="s">
        <v>1677</v>
      </c>
      <c r="D116" s="279" t="s">
        <v>907</v>
      </c>
      <c r="E116" s="278">
        <v>2024</v>
      </c>
      <c r="F116" s="278" t="s">
        <v>1047</v>
      </c>
      <c r="G116" s="278" t="s">
        <v>1457</v>
      </c>
      <c r="H116" s="278" t="s">
        <v>906</v>
      </c>
      <c r="I116" s="2"/>
      <c r="J116" s="2"/>
      <c r="K116" s="2"/>
      <c r="L116" s="2"/>
    </row>
    <row r="117" spans="1:12">
      <c r="A117" s="2"/>
      <c r="B117" s="278">
        <v>129</v>
      </c>
      <c r="C117" s="281" t="s">
        <v>1678</v>
      </c>
      <c r="D117" s="279" t="s">
        <v>907</v>
      </c>
      <c r="E117" s="278">
        <v>2024</v>
      </c>
      <c r="F117" s="278" t="s">
        <v>1047</v>
      </c>
      <c r="G117" s="278" t="s">
        <v>1457</v>
      </c>
      <c r="H117" s="278" t="s">
        <v>906</v>
      </c>
      <c r="I117" s="2"/>
      <c r="J117" s="2"/>
      <c r="K117" s="2"/>
      <c r="L117" s="2"/>
    </row>
    <row r="118" spans="1:12">
      <c r="A118" s="2"/>
      <c r="B118" s="16"/>
      <c r="C118" s="2"/>
      <c r="D118" s="2"/>
      <c r="E118" s="2"/>
      <c r="F118" s="2"/>
      <c r="G118" s="2"/>
      <c r="H118" s="2"/>
      <c r="I118" s="2"/>
      <c r="J118" s="2"/>
      <c r="K118" s="2"/>
      <c r="L118" s="2"/>
    </row>
    <row r="120" spans="1:12">
      <c r="A120" s="721"/>
      <c r="B120" s="722" t="s">
        <v>456</v>
      </c>
      <c r="C120" s="721"/>
      <c r="D120" s="721"/>
      <c r="E120" s="721"/>
      <c r="F120" s="721"/>
      <c r="G120" s="721"/>
      <c r="H120" s="721"/>
      <c r="I120" s="2"/>
      <c r="J120" s="2"/>
      <c r="K120" s="2"/>
      <c r="L120" s="2"/>
    </row>
    <row r="121" spans="1:12">
      <c r="A121" s="727"/>
      <c r="B121" s="729" t="s">
        <v>897</v>
      </c>
      <c r="C121" s="727"/>
      <c r="D121" s="727"/>
      <c r="E121" s="727"/>
      <c r="F121" s="727"/>
      <c r="G121" s="727"/>
      <c r="H121" s="727"/>
      <c r="I121" s="2"/>
      <c r="J121" s="2"/>
      <c r="K121" s="2"/>
      <c r="L121" s="2"/>
    </row>
    <row r="122" spans="1:12">
      <c r="A122" s="2"/>
      <c r="B122" s="277" t="s">
        <v>898</v>
      </c>
      <c r="C122" s="277" t="s">
        <v>899</v>
      </c>
      <c r="D122" s="2"/>
      <c r="E122" s="2"/>
      <c r="F122" s="2"/>
      <c r="G122" s="2"/>
      <c r="H122" s="2"/>
      <c r="I122" s="2"/>
      <c r="J122" s="2"/>
      <c r="K122" s="2"/>
      <c r="L122" s="2"/>
    </row>
    <row r="123" spans="1:12">
      <c r="A123" s="2"/>
      <c r="B123" s="278" t="s">
        <v>456</v>
      </c>
      <c r="C123" s="278" t="s">
        <v>1679</v>
      </c>
      <c r="D123" s="2"/>
      <c r="E123" s="2"/>
      <c r="F123" s="2"/>
      <c r="G123" s="2"/>
      <c r="H123" s="2"/>
      <c r="I123" s="2"/>
      <c r="J123" s="2"/>
      <c r="K123" s="2"/>
      <c r="L123" s="2"/>
    </row>
    <row r="124" spans="1:12">
      <c r="A124" s="2"/>
      <c r="B124" s="16"/>
      <c r="C124" s="2"/>
      <c r="D124" s="2"/>
      <c r="E124" s="2"/>
      <c r="F124" s="2"/>
      <c r="G124" s="2"/>
      <c r="H124" s="2"/>
      <c r="I124" s="2"/>
      <c r="J124" s="2"/>
      <c r="K124" s="2"/>
      <c r="L124" s="2"/>
    </row>
    <row r="125" spans="1:12">
      <c r="A125" s="727"/>
      <c r="B125" s="728" t="s">
        <v>1039</v>
      </c>
      <c r="C125" s="727"/>
      <c r="D125" s="727"/>
      <c r="E125" s="727"/>
      <c r="F125" s="727"/>
      <c r="G125" s="727"/>
      <c r="H125" s="727"/>
      <c r="I125" s="2"/>
      <c r="J125" s="2"/>
      <c r="K125" s="2"/>
      <c r="L125" s="2"/>
    </row>
    <row r="126" spans="1:12">
      <c r="A126" s="725"/>
      <c r="B126" s="726" t="s">
        <v>912</v>
      </c>
      <c r="C126" s="725"/>
      <c r="D126" s="725"/>
      <c r="E126" s="725"/>
      <c r="F126" s="725"/>
      <c r="G126" s="725"/>
      <c r="H126" s="725"/>
      <c r="I126" s="2"/>
      <c r="J126" s="2"/>
      <c r="K126" s="2"/>
      <c r="L126" s="2"/>
    </row>
    <row r="127" spans="1:12" ht="29.1">
      <c r="A127" s="2"/>
      <c r="B127" s="719" t="s">
        <v>913</v>
      </c>
      <c r="C127" s="719" t="s">
        <v>914</v>
      </c>
      <c r="D127" s="719" t="s">
        <v>915</v>
      </c>
      <c r="E127" s="719" t="s">
        <v>916</v>
      </c>
      <c r="F127" s="719" t="s">
        <v>917</v>
      </c>
      <c r="G127" s="719" t="s">
        <v>918</v>
      </c>
      <c r="H127" s="719" t="s">
        <v>919</v>
      </c>
      <c r="I127" s="2"/>
      <c r="J127" s="2"/>
      <c r="K127" s="2"/>
      <c r="L127" s="2"/>
    </row>
    <row r="128" spans="1:12">
      <c r="A128" s="2"/>
      <c r="B128" s="278">
        <v>110</v>
      </c>
      <c r="C128" s="281" t="s">
        <v>1680</v>
      </c>
      <c r="D128" s="648" t="s">
        <v>907</v>
      </c>
      <c r="E128" s="278" t="s">
        <v>923</v>
      </c>
      <c r="F128" s="278" t="s">
        <v>1681</v>
      </c>
      <c r="G128" s="278" t="s">
        <v>1047</v>
      </c>
      <c r="H128" s="278" t="s">
        <v>906</v>
      </c>
      <c r="I128" s="2"/>
      <c r="J128" s="2"/>
      <c r="K128" s="2"/>
      <c r="L128" s="2"/>
    </row>
    <row r="129" spans="1:12">
      <c r="A129" s="2"/>
      <c r="B129" s="16"/>
      <c r="C129" s="2"/>
      <c r="D129" s="2"/>
      <c r="E129" s="2"/>
      <c r="F129" s="2"/>
      <c r="G129" s="2"/>
      <c r="H129" s="2"/>
      <c r="I129" s="2"/>
      <c r="J129" s="2"/>
      <c r="K129" s="2"/>
      <c r="L129" s="2"/>
    </row>
    <row r="130" spans="1:12">
      <c r="A130" s="725"/>
      <c r="B130" s="726" t="s">
        <v>924</v>
      </c>
      <c r="C130" s="725"/>
      <c r="D130" s="725"/>
      <c r="E130" s="725"/>
      <c r="F130" s="725"/>
      <c r="G130" s="725"/>
      <c r="H130" s="725"/>
      <c r="I130" s="2"/>
      <c r="J130" s="2"/>
      <c r="K130" s="2"/>
      <c r="L130" s="2"/>
    </row>
    <row r="131" spans="1:12">
      <c r="A131" s="2"/>
      <c r="B131" s="277" t="s">
        <v>165</v>
      </c>
      <c r="C131" s="277" t="s">
        <v>925</v>
      </c>
      <c r="D131" s="277" t="s">
        <v>926</v>
      </c>
      <c r="E131" s="1134" t="s">
        <v>927</v>
      </c>
      <c r="F131" s="1134"/>
      <c r="G131" s="1134"/>
      <c r="H131" s="1134"/>
      <c r="I131" s="2"/>
      <c r="J131" s="2"/>
      <c r="K131" s="2"/>
      <c r="L131" s="2"/>
    </row>
    <row r="132" spans="1:12">
      <c r="A132" s="2"/>
      <c r="B132" s="278" t="s">
        <v>169</v>
      </c>
      <c r="C132" s="278" t="s">
        <v>166</v>
      </c>
      <c r="D132" s="278">
        <f>VLOOKUP(C132,METHODOLOGY!$C$175:$D$177,2,FALSE)</f>
        <v>3</v>
      </c>
      <c r="E132" s="1087" t="str">
        <f>_xlfn.XLOOKUP(C132,METHODOLOGY!$E$150:$O$150,METHODOLOGY!$E$151:$O$151,"",0,1)</f>
        <v>Monetary values have been peer reviewed or are recommended / referenced in other, well recognised and accepted guidance / tools relevant to the water sector.</v>
      </c>
      <c r="F132" s="1087"/>
      <c r="G132" s="1087"/>
      <c r="H132" s="1087"/>
      <c r="I132" s="2"/>
      <c r="J132" s="2"/>
      <c r="K132" s="2"/>
      <c r="L132" s="2"/>
    </row>
    <row r="133" spans="1:12">
      <c r="A133" s="2"/>
      <c r="B133" s="278" t="s">
        <v>173</v>
      </c>
      <c r="C133" s="278" t="s">
        <v>167</v>
      </c>
      <c r="D133" s="278">
        <f>VLOOKUP(C133,METHODOLOGY!$C$175:$D$177,2,FALSE)</f>
        <v>2</v>
      </c>
      <c r="E133" s="1087" t="str">
        <f>_xlfn.XLOOKUP(C133,METHODOLOGY!$E$150:$O$150,METHODOLOGY!$E$155:$O$155,"",0,1)</f>
        <v>Study has some limitations which may impact on the robustness of the value.</v>
      </c>
      <c r="F133" s="1087"/>
      <c r="G133" s="1087"/>
      <c r="H133" s="1087"/>
      <c r="I133" s="2"/>
      <c r="J133" s="2"/>
      <c r="K133" s="2"/>
      <c r="L133" s="2"/>
    </row>
    <row r="134" spans="1:12">
      <c r="A134" s="2"/>
      <c r="B134" s="278" t="s">
        <v>177</v>
      </c>
      <c r="C134" s="278" t="s">
        <v>167</v>
      </c>
      <c r="D134" s="278">
        <f>VLOOKUP(C134,METHODOLOGY!$C$175:$D$177,2,FALSE)</f>
        <v>2</v>
      </c>
      <c r="E134" s="1087" t="str">
        <f>_xlfn.XLOOKUP(C134,METHODOLOGY!$E$150:$O$150,METHODOLOGY!$E$158:$O$158,"",0,1)</f>
        <v>6-10 years</v>
      </c>
      <c r="F134" s="1087"/>
      <c r="G134" s="1087"/>
      <c r="H134" s="1087"/>
      <c r="I134" s="2"/>
      <c r="J134" s="2"/>
      <c r="K134" s="2"/>
      <c r="L134" s="2"/>
    </row>
    <row r="135" spans="1:12">
      <c r="A135" s="2"/>
      <c r="B135" s="278" t="s">
        <v>181</v>
      </c>
      <c r="C135" s="278" t="s">
        <v>167</v>
      </c>
      <c r="D135" s="278">
        <f>VLOOKUP(C135,METHODOLOGY!$C$175:$D$177,2,FALSE)</f>
        <v>2</v>
      </c>
      <c r="E135" s="1087" t="str">
        <f>_xlfn.XLOOKUP(C135,METHODOLOGY!$E$150:$O$150,METHODOLOGY!$E$160:$O$160,"",0,1)</f>
        <v>Less geographically relevant e.g. Europe or relevant to a specific UK region</v>
      </c>
      <c r="F135" s="1087"/>
      <c r="G135" s="1087"/>
      <c r="H135" s="1087"/>
      <c r="I135" s="2"/>
      <c r="J135" s="2"/>
      <c r="K135" s="2"/>
      <c r="L135" s="2"/>
    </row>
    <row r="136" spans="1:12">
      <c r="A136" s="2"/>
      <c r="B136" s="278" t="s">
        <v>928</v>
      </c>
      <c r="C136" s="278" t="s">
        <v>167</v>
      </c>
      <c r="D136" s="278">
        <f>VLOOKUP(C136,METHODOLOGY!$C$175:$D$177,2,FALSE)</f>
        <v>2</v>
      </c>
      <c r="E136" s="1087" t="str">
        <f>_xlfn.XLOOKUP(C136,METHODOLOGY!$E$150:$O$150,METHODOLOGY!$E$162:$O$162,"",0,1)</f>
        <v>Meta-analysis or limited understanding of what the value represents.</v>
      </c>
      <c r="F136" s="1087"/>
      <c r="G136" s="1087"/>
      <c r="H136" s="1087"/>
      <c r="I136" s="2"/>
      <c r="J136" s="2"/>
      <c r="K136" s="2"/>
      <c r="L136" s="2"/>
    </row>
    <row r="137" spans="1:12">
      <c r="A137" s="2"/>
      <c r="B137" s="278" t="s">
        <v>189</v>
      </c>
      <c r="C137" s="278" t="s">
        <v>168</v>
      </c>
      <c r="D137" s="278">
        <f>VLOOKUP(C137,METHODOLOGY!$C$175:$D$177,2,FALSE)</f>
        <v>1</v>
      </c>
      <c r="E137" s="1087" t="str">
        <f>_xlfn.XLOOKUP(C137,METHODOLOGY!$E$150:$O$150,METHODOLOGY!$E$164:$O$164,"",0,1)</f>
        <v xml:space="preserve">The original valuation can be used with significant modification e.g. several additional data inputs are required to use the original source. The calculation is complex or introduces significant uncertainty. </v>
      </c>
      <c r="F137" s="1087"/>
      <c r="G137" s="1087"/>
      <c r="H137" s="1087"/>
      <c r="I137" s="2"/>
      <c r="J137" s="2"/>
      <c r="K137" s="2"/>
      <c r="L137" s="2"/>
    </row>
    <row r="138" spans="1:12">
      <c r="A138" s="2"/>
      <c r="B138" s="2"/>
      <c r="C138" s="282" t="s">
        <v>924</v>
      </c>
      <c r="D138" s="326">
        <f>IF(AND(D137=1,AVERAGE(D132:D137)&gt;2.14285714285714),2.14285714285714,IF(AND(D137=2,AVERAGE(D132:D137)&gt;2.57142857142857),2.57142857142857,AVERAGE(D132:D137)))</f>
        <v>2</v>
      </c>
      <c r="E138" s="270" t="str">
        <f>IF(D138&lt;=2.14285714285714,"Red",IF(D138&lt;=2.57142857142857,"Amber",IF(D138&lt;=3,"Green")))</f>
        <v>Red</v>
      </c>
      <c r="F138" s="2"/>
      <c r="G138" s="2"/>
      <c r="H138" s="2"/>
      <c r="I138" s="2"/>
      <c r="J138" s="2"/>
      <c r="K138" s="2"/>
      <c r="L138" s="2"/>
    </row>
    <row r="141" spans="1:12">
      <c r="A141" s="725"/>
      <c r="B141" s="726" t="s">
        <v>929</v>
      </c>
      <c r="C141" s="725"/>
      <c r="D141" s="725"/>
      <c r="E141" s="725"/>
      <c r="F141" s="725"/>
      <c r="G141" s="725"/>
      <c r="H141" s="725"/>
      <c r="I141" s="2"/>
      <c r="J141" s="2"/>
      <c r="K141" s="2"/>
      <c r="L141" s="2"/>
    </row>
    <row r="142" spans="1:12">
      <c r="A142" s="2"/>
      <c r="B142" s="277" t="s">
        <v>913</v>
      </c>
      <c r="C142" s="277" t="s">
        <v>1089</v>
      </c>
      <c r="D142" s="277" t="s">
        <v>902</v>
      </c>
      <c r="E142" s="277" t="s">
        <v>331</v>
      </c>
      <c r="F142" s="277" t="s">
        <v>226</v>
      </c>
      <c r="G142" s="1157" t="s">
        <v>930</v>
      </c>
      <c r="H142" s="1157"/>
      <c r="I142" s="1157"/>
      <c r="J142" s="1157"/>
      <c r="K142" s="1157"/>
      <c r="L142" s="1157"/>
    </row>
    <row r="143" spans="1:12">
      <c r="A143" s="2"/>
      <c r="B143" s="278">
        <v>110</v>
      </c>
      <c r="C143" s="278" t="s">
        <v>456</v>
      </c>
      <c r="D143" s="278" t="s">
        <v>1682</v>
      </c>
      <c r="E143" s="365">
        <v>40186</v>
      </c>
      <c r="F143" s="278" t="s">
        <v>1683</v>
      </c>
      <c r="G143" s="1158" t="s">
        <v>1684</v>
      </c>
      <c r="H143" s="1095"/>
      <c r="I143" s="1095"/>
      <c r="J143" s="1095"/>
      <c r="K143" s="1095"/>
      <c r="L143" s="1095"/>
    </row>
    <row r="144" spans="1:12">
      <c r="A144" s="2"/>
      <c r="B144" s="278">
        <v>110</v>
      </c>
      <c r="C144" s="278" t="s">
        <v>456</v>
      </c>
      <c r="D144" s="278" t="s">
        <v>1682</v>
      </c>
      <c r="E144" s="365">
        <f>13.45*10^6</f>
        <v>13450000</v>
      </c>
      <c r="F144" s="278" t="s">
        <v>416</v>
      </c>
      <c r="G144" s="1095" t="s">
        <v>1685</v>
      </c>
      <c r="H144" s="1095"/>
      <c r="I144" s="1095"/>
      <c r="J144" s="1095"/>
      <c r="K144" s="1095"/>
      <c r="L144" s="1095"/>
    </row>
    <row r="145" spans="1:23">
      <c r="A145" s="2"/>
      <c r="B145" s="278">
        <v>78</v>
      </c>
      <c r="C145" s="278" t="s">
        <v>456</v>
      </c>
      <c r="D145" s="278" t="s">
        <v>1637</v>
      </c>
      <c r="E145" s="365">
        <v>8684</v>
      </c>
      <c r="F145" s="278" t="s">
        <v>1638</v>
      </c>
      <c r="G145" s="1095" t="s">
        <v>1686</v>
      </c>
      <c r="H145" s="1095"/>
      <c r="I145" s="1095"/>
      <c r="J145" s="1095"/>
      <c r="K145" s="1095"/>
      <c r="L145" s="1095"/>
      <c r="M145" s="2"/>
      <c r="N145" s="2"/>
      <c r="O145" s="2"/>
      <c r="P145" s="2"/>
      <c r="Q145" s="2"/>
      <c r="R145" s="2"/>
      <c r="S145" s="2"/>
      <c r="T145" s="2"/>
      <c r="U145" s="2"/>
      <c r="V145" s="2"/>
      <c r="W145" s="2"/>
    </row>
    <row r="146" spans="1:23">
      <c r="A146" s="2"/>
      <c r="B146" s="214">
        <v>78</v>
      </c>
      <c r="C146" s="214" t="s">
        <v>456</v>
      </c>
      <c r="D146" s="214" t="s">
        <v>1637</v>
      </c>
      <c r="E146" s="359">
        <v>3276497</v>
      </c>
      <c r="F146" s="214" t="s">
        <v>1640</v>
      </c>
      <c r="G146" s="1103" t="s">
        <v>1686</v>
      </c>
      <c r="H146" s="1103"/>
      <c r="I146" s="1103"/>
      <c r="J146" s="1103"/>
      <c r="K146" s="1103"/>
      <c r="L146" s="1103"/>
      <c r="M146" s="2"/>
      <c r="N146" s="2"/>
      <c r="O146" s="2"/>
      <c r="P146" s="2"/>
      <c r="Q146" s="2"/>
      <c r="R146" s="2"/>
      <c r="S146" s="2"/>
      <c r="T146" s="2"/>
      <c r="U146" s="2"/>
      <c r="V146" s="2"/>
      <c r="W146" s="2"/>
    </row>
    <row r="147" spans="1:23">
      <c r="A147" s="2"/>
      <c r="B147" s="278">
        <v>78</v>
      </c>
      <c r="C147" s="278" t="s">
        <v>456</v>
      </c>
      <c r="D147" s="278" t="s">
        <v>1637</v>
      </c>
      <c r="E147" s="365">
        <v>75347.06</v>
      </c>
      <c r="F147" s="278" t="s">
        <v>1642</v>
      </c>
      <c r="G147" s="1095" t="s">
        <v>1686</v>
      </c>
      <c r="H147" s="1095"/>
      <c r="I147" s="1095"/>
      <c r="J147" s="1095"/>
      <c r="K147" s="1095"/>
      <c r="L147" s="1095"/>
      <c r="M147" s="2"/>
      <c r="N147" s="2"/>
      <c r="O147" s="2"/>
      <c r="P147" s="2"/>
      <c r="Q147" s="2"/>
      <c r="R147" s="2"/>
      <c r="S147" s="2"/>
      <c r="T147" s="2"/>
      <c r="U147" s="2"/>
      <c r="V147" s="2"/>
      <c r="W147" s="2"/>
    </row>
    <row r="148" spans="1:23">
      <c r="A148" s="2"/>
      <c r="B148" s="2"/>
      <c r="C148" s="2"/>
      <c r="D148" s="2"/>
      <c r="E148" s="218"/>
      <c r="F148" s="2"/>
      <c r="G148" s="1013"/>
      <c r="H148" s="1013"/>
      <c r="I148" s="1013"/>
      <c r="J148" s="1013"/>
      <c r="K148" s="1013"/>
      <c r="L148" s="1013"/>
      <c r="M148" s="2"/>
      <c r="N148" s="2"/>
      <c r="O148" s="2"/>
      <c r="P148" s="2"/>
      <c r="Q148" s="2"/>
      <c r="R148" s="2"/>
      <c r="S148" s="2"/>
      <c r="T148" s="2"/>
      <c r="U148" s="2"/>
      <c r="V148" s="2"/>
      <c r="W148" s="2"/>
    </row>
    <row r="149" spans="1:23">
      <c r="A149" s="2"/>
      <c r="B149" s="2"/>
      <c r="C149" s="2"/>
      <c r="D149" s="2"/>
      <c r="E149" s="218"/>
      <c r="F149" s="2"/>
      <c r="G149" s="1013"/>
      <c r="H149" s="1013"/>
      <c r="I149" s="1013"/>
      <c r="J149" s="1013"/>
      <c r="K149" s="1013"/>
      <c r="L149" s="1013"/>
      <c r="M149" s="2"/>
      <c r="N149" s="2"/>
      <c r="O149" s="2"/>
      <c r="P149" s="2"/>
      <c r="Q149" s="2"/>
      <c r="R149" s="2"/>
      <c r="S149" s="2"/>
      <c r="T149" s="2"/>
      <c r="U149" s="2"/>
      <c r="V149" s="2"/>
      <c r="W149" s="2"/>
    </row>
    <row r="150" spans="1:23" ht="147.75" customHeight="1">
      <c r="A150" s="2"/>
      <c r="B150" s="2"/>
      <c r="C150" s="2"/>
      <c r="D150" s="2"/>
      <c r="E150" s="491"/>
      <c r="F150" s="6"/>
      <c r="G150" s="24"/>
      <c r="H150" s="24"/>
      <c r="I150" s="24"/>
      <c r="J150" s="24"/>
      <c r="K150" s="24"/>
      <c r="L150" s="24"/>
      <c r="M150" s="2"/>
      <c r="N150" s="2"/>
      <c r="O150" s="2"/>
      <c r="P150" s="2"/>
      <c r="Q150" s="2"/>
      <c r="R150" s="2"/>
      <c r="S150" s="2"/>
      <c r="T150" s="2"/>
      <c r="U150" s="2"/>
      <c r="V150" s="2"/>
      <c r="W150" s="2"/>
    </row>
    <row r="151" spans="1:23" ht="185.45" customHeight="1">
      <c r="A151" s="2"/>
      <c r="B151" s="2"/>
      <c r="C151" s="2"/>
      <c r="D151" s="2"/>
      <c r="E151" s="2"/>
      <c r="F151" s="2"/>
      <c r="G151" s="2"/>
      <c r="H151" s="2"/>
      <c r="I151" s="2"/>
      <c r="J151" s="2"/>
      <c r="K151" s="2"/>
      <c r="L151" s="2"/>
      <c r="M151" s="2"/>
      <c r="N151" s="2"/>
      <c r="O151" s="2"/>
      <c r="P151" s="2"/>
      <c r="Q151" s="2"/>
      <c r="R151" s="2"/>
      <c r="S151" s="2"/>
      <c r="T151" s="2"/>
      <c r="U151" s="2"/>
      <c r="V151" s="2"/>
      <c r="W151" s="2"/>
    </row>
    <row r="152" spans="1:23">
      <c r="A152" s="725"/>
      <c r="B152" s="726" t="s">
        <v>936</v>
      </c>
      <c r="C152" s="725"/>
      <c r="D152" s="725"/>
      <c r="E152" s="725"/>
      <c r="F152" s="725"/>
      <c r="G152" s="725"/>
      <c r="H152" s="725"/>
      <c r="I152" s="2"/>
      <c r="J152" s="2"/>
      <c r="K152" s="2"/>
      <c r="L152" s="2"/>
      <c r="M152" s="2"/>
      <c r="N152" s="2"/>
      <c r="O152" s="2"/>
      <c r="P152" s="2"/>
      <c r="Q152" s="2"/>
      <c r="R152" s="2"/>
      <c r="S152" s="2"/>
      <c r="T152" s="2"/>
      <c r="U152" s="2"/>
      <c r="V152" s="2"/>
      <c r="W152" s="2"/>
    </row>
    <row r="153" spans="1:23">
      <c r="A153" s="2"/>
      <c r="B153" s="277" t="s">
        <v>936</v>
      </c>
      <c r="C153" s="277" t="s">
        <v>331</v>
      </c>
      <c r="D153" s="277" t="s">
        <v>226</v>
      </c>
      <c r="E153" s="1157" t="s">
        <v>1649</v>
      </c>
      <c r="F153" s="1157"/>
      <c r="G153" s="1157"/>
      <c r="H153" s="1157"/>
      <c r="I153" s="1157"/>
      <c r="J153" s="1157"/>
      <c r="K153" s="1157"/>
      <c r="L153" s="2"/>
      <c r="M153" s="2"/>
      <c r="N153" s="2"/>
      <c r="O153" s="2"/>
      <c r="P153" s="2"/>
      <c r="Q153" s="2"/>
      <c r="R153" s="2"/>
      <c r="S153" s="2"/>
      <c r="T153" s="2"/>
      <c r="U153" s="2"/>
      <c r="V153" s="2"/>
      <c r="W153" s="2"/>
    </row>
    <row r="154" spans="1:23">
      <c r="A154" s="2"/>
      <c r="B154" s="334" t="s">
        <v>1687</v>
      </c>
      <c r="C154" s="418">
        <f>E143*10^6</f>
        <v>40186000000</v>
      </c>
      <c r="D154" s="334" t="s">
        <v>1688</v>
      </c>
      <c r="E154" s="1172"/>
      <c r="F154" s="1173"/>
      <c r="G154" s="1173"/>
      <c r="H154" s="1173"/>
      <c r="I154" s="1173"/>
      <c r="J154" s="1173"/>
      <c r="K154" s="1174"/>
      <c r="L154" s="2"/>
      <c r="M154" s="2"/>
      <c r="N154" s="2"/>
      <c r="O154" s="2"/>
      <c r="P154" s="2"/>
      <c r="Q154" s="2"/>
      <c r="R154" s="2"/>
      <c r="S154" s="2"/>
      <c r="T154" s="2"/>
      <c r="U154" s="2"/>
      <c r="V154" s="2"/>
      <c r="W154" s="2"/>
    </row>
    <row r="155" spans="1:23">
      <c r="A155" s="2"/>
      <c r="B155" s="334" t="s">
        <v>1689</v>
      </c>
      <c r="C155" s="492">
        <f>E144/C154</f>
        <v>3.3469367441397503E-4</v>
      </c>
      <c r="D155" s="334" t="s">
        <v>1690</v>
      </c>
      <c r="E155" s="1172"/>
      <c r="F155" s="1173"/>
      <c r="G155" s="1173"/>
      <c r="H155" s="1173"/>
      <c r="I155" s="1173"/>
      <c r="J155" s="1173"/>
      <c r="K155" s="1174"/>
      <c r="L155" s="2"/>
      <c r="M155" s="2"/>
      <c r="N155" s="2"/>
      <c r="O155" s="2"/>
      <c r="P155" s="2"/>
      <c r="Q155" s="2"/>
      <c r="R155" s="2"/>
      <c r="S155" s="2"/>
      <c r="T155" s="2"/>
      <c r="U155" s="2"/>
      <c r="V155" s="2"/>
      <c r="W155" s="2"/>
    </row>
    <row r="156" spans="1:23">
      <c r="A156" s="2"/>
      <c r="B156" s="334" t="s">
        <v>1691</v>
      </c>
      <c r="C156" s="490">
        <f>E147*277.778</f>
        <v>20929755.632680003</v>
      </c>
      <c r="D156" s="334" t="s">
        <v>1688</v>
      </c>
      <c r="E156" s="1172" t="s">
        <v>1692</v>
      </c>
      <c r="F156" s="1173"/>
      <c r="G156" s="1173"/>
      <c r="H156" s="1173"/>
      <c r="I156" s="1173"/>
      <c r="J156" s="1173"/>
      <c r="K156" s="1174"/>
      <c r="L156" s="2"/>
      <c r="M156" s="2"/>
      <c r="N156" s="2"/>
      <c r="O156" s="2"/>
      <c r="P156" s="2"/>
      <c r="Q156" s="2"/>
      <c r="R156" s="2"/>
      <c r="S156" s="2"/>
      <c r="T156" s="2"/>
      <c r="U156" s="2"/>
      <c r="V156" s="2"/>
      <c r="W156" s="2"/>
    </row>
    <row r="157" spans="1:23">
      <c r="A157" s="2"/>
      <c r="B157" s="334" t="s">
        <v>1693</v>
      </c>
      <c r="C157" s="490">
        <f>C156/E145</f>
        <v>2410.151500769231</v>
      </c>
      <c r="D157" s="334" t="s">
        <v>1694</v>
      </c>
      <c r="E157" s="1172"/>
      <c r="F157" s="1173"/>
      <c r="G157" s="1173"/>
      <c r="H157" s="1173"/>
      <c r="I157" s="1173"/>
      <c r="J157" s="1173"/>
      <c r="K157" s="1174"/>
      <c r="L157" s="2"/>
      <c r="M157" s="2"/>
      <c r="N157" s="2"/>
      <c r="O157" s="2"/>
      <c r="P157" s="2"/>
      <c r="Q157" s="2"/>
      <c r="R157" s="2"/>
      <c r="S157" s="2"/>
      <c r="T157" s="2"/>
      <c r="U157" s="2"/>
      <c r="V157" s="2"/>
      <c r="W157" s="2"/>
    </row>
    <row r="158" spans="1:23">
      <c r="A158" s="2"/>
      <c r="B158" s="334" t="s">
        <v>1695</v>
      </c>
      <c r="C158" s="490">
        <f>C157*C155</f>
        <v>0.80666246168681033</v>
      </c>
      <c r="D158" s="334" t="s">
        <v>1696</v>
      </c>
      <c r="E158" s="1172" t="s">
        <v>1697</v>
      </c>
      <c r="F158" s="1173"/>
      <c r="G158" s="1173"/>
      <c r="H158" s="1173"/>
      <c r="I158" s="1173"/>
      <c r="J158" s="1173"/>
      <c r="K158" s="1174"/>
      <c r="L158" s="2"/>
      <c r="M158" s="2"/>
      <c r="N158" s="2"/>
      <c r="O158" s="2"/>
      <c r="P158" s="2"/>
      <c r="Q158" s="2"/>
      <c r="R158" s="2"/>
      <c r="S158" s="2"/>
      <c r="T158" s="2"/>
      <c r="U158" s="2"/>
      <c r="V158" s="2"/>
      <c r="W158" s="2"/>
    </row>
    <row r="159" spans="1:23">
      <c r="A159" s="2"/>
      <c r="B159" s="334" t="s">
        <v>1698</v>
      </c>
      <c r="C159" s="490">
        <f>C155*10^6</f>
        <v>334.69367441397503</v>
      </c>
      <c r="D159" s="334" t="s">
        <v>1699</v>
      </c>
      <c r="E159" s="1172" t="s">
        <v>1700</v>
      </c>
      <c r="F159" s="1173"/>
      <c r="G159" s="1173"/>
      <c r="H159" s="1173"/>
      <c r="I159" s="1173"/>
      <c r="J159" s="1173"/>
      <c r="K159" s="1174"/>
      <c r="L159" s="2"/>
      <c r="M159" s="2"/>
      <c r="N159" s="2"/>
      <c r="O159" s="2"/>
      <c r="P159" s="2"/>
      <c r="Q159" s="2"/>
      <c r="R159" s="2"/>
      <c r="S159" s="2"/>
      <c r="T159" s="2"/>
      <c r="U159" s="2"/>
      <c r="V159" s="2"/>
      <c r="W159" s="2"/>
    </row>
    <row r="161" spans="1:23">
      <c r="A161" s="2"/>
      <c r="B161" s="323" t="s">
        <v>1701</v>
      </c>
      <c r="C161" s="324"/>
      <c r="D161" s="324"/>
      <c r="E161" s="324"/>
      <c r="F161" s="324"/>
      <c r="G161" s="324"/>
      <c r="H161" s="324"/>
      <c r="I161" s="324"/>
      <c r="J161" s="324"/>
      <c r="K161" s="325"/>
      <c r="L161" s="2"/>
      <c r="M161" s="2"/>
      <c r="N161" s="2"/>
      <c r="O161" s="2"/>
      <c r="P161" s="2"/>
      <c r="Q161" s="2"/>
      <c r="R161" s="2"/>
      <c r="S161" s="2"/>
      <c r="T161" s="2"/>
      <c r="U161" s="2"/>
      <c r="V161" s="2"/>
      <c r="W161" s="2"/>
    </row>
    <row r="162" spans="1:23">
      <c r="A162" s="2"/>
      <c r="B162" s="334" t="s">
        <v>1193</v>
      </c>
      <c r="C162" s="301">
        <f ca="1">'Carbon values'!$H$16</f>
        <v>376</v>
      </c>
      <c r="D162" s="2"/>
      <c r="E162" s="2"/>
      <c r="F162" s="2"/>
      <c r="G162" s="2"/>
      <c r="H162" s="2"/>
      <c r="I162" s="2"/>
      <c r="J162" s="2"/>
      <c r="K162" s="2"/>
      <c r="L162" s="2"/>
      <c r="M162" s="2"/>
      <c r="N162" s="2"/>
      <c r="O162" s="2"/>
      <c r="P162" s="2"/>
      <c r="Q162" s="2"/>
      <c r="R162" s="2"/>
      <c r="S162" s="2"/>
      <c r="T162" s="2"/>
      <c r="U162" s="2"/>
      <c r="V162" s="2"/>
      <c r="W162" s="2"/>
    </row>
    <row r="163" spans="1:23">
      <c r="A163" s="2"/>
      <c r="B163" s="277" t="s">
        <v>902</v>
      </c>
      <c r="C163" s="277" t="s">
        <v>331</v>
      </c>
      <c r="D163" s="277" t="s">
        <v>226</v>
      </c>
      <c r="E163" s="1157" t="s">
        <v>1649</v>
      </c>
      <c r="F163" s="1157"/>
      <c r="G163" s="1157"/>
      <c r="H163" s="1157"/>
      <c r="I163" s="1157"/>
      <c r="J163" s="1157"/>
      <c r="K163" s="1157"/>
      <c r="L163" s="2"/>
      <c r="M163" s="2"/>
      <c r="N163" s="2"/>
      <c r="O163" s="2"/>
      <c r="P163" s="2"/>
      <c r="Q163" s="2"/>
      <c r="R163" s="2"/>
      <c r="S163" s="2"/>
      <c r="T163" s="2"/>
      <c r="U163" s="2"/>
      <c r="V163" s="2"/>
      <c r="W163" s="2"/>
    </row>
    <row r="164" spans="1:23">
      <c r="A164" s="2"/>
      <c r="B164" s="295" t="s">
        <v>549</v>
      </c>
      <c r="C164" s="301">
        <f ca="1">C158*C162</f>
        <v>303.30508559424067</v>
      </c>
      <c r="D164" s="334" t="s">
        <v>1702</v>
      </c>
      <c r="E164" s="1326" t="s">
        <v>1703</v>
      </c>
      <c r="F164" s="1327"/>
      <c r="G164" s="1327"/>
      <c r="H164" s="1327"/>
      <c r="I164" s="1327"/>
      <c r="J164" s="1327"/>
      <c r="K164" s="1328"/>
      <c r="L164" s="2"/>
      <c r="M164" s="2"/>
      <c r="N164" s="2"/>
      <c r="O164" s="2"/>
      <c r="P164" s="2"/>
      <c r="Q164" s="2"/>
      <c r="R164" s="2"/>
      <c r="S164" s="2"/>
      <c r="T164" s="2"/>
      <c r="U164" s="2"/>
      <c r="V164" s="2"/>
      <c r="W164" s="2"/>
    </row>
    <row r="165" spans="1:23">
      <c r="A165" s="2"/>
      <c r="B165" s="295" t="s">
        <v>550</v>
      </c>
      <c r="C165" s="301">
        <f ca="1">C158*C162</f>
        <v>303.30508559424067</v>
      </c>
      <c r="D165" s="334" t="s">
        <v>1702</v>
      </c>
      <c r="E165" s="1329"/>
      <c r="F165" s="1330"/>
      <c r="G165" s="1330"/>
      <c r="H165" s="1330"/>
      <c r="I165" s="1330"/>
      <c r="J165" s="1330"/>
      <c r="K165" s="1331"/>
      <c r="L165" s="2"/>
      <c r="M165" s="2"/>
      <c r="N165" s="2"/>
      <c r="O165" s="2"/>
      <c r="P165" s="2"/>
      <c r="Q165" s="2"/>
      <c r="R165" s="2"/>
      <c r="S165" s="2"/>
      <c r="T165" s="2"/>
      <c r="U165" s="2"/>
      <c r="V165" s="2"/>
      <c r="W165" s="2"/>
    </row>
    <row r="166" spans="1:23" ht="27.95" customHeight="1">
      <c r="A166" s="2"/>
      <c r="B166" s="334" t="s">
        <v>556</v>
      </c>
      <c r="C166" s="301">
        <f ca="1">C159*C162</f>
        <v>125844.82157965461</v>
      </c>
      <c r="D166" s="334" t="s">
        <v>1704</v>
      </c>
      <c r="E166" s="1325" t="s">
        <v>1705</v>
      </c>
      <c r="F166" s="1325"/>
      <c r="G166" s="1325"/>
      <c r="H166" s="1325"/>
      <c r="I166" s="1325"/>
      <c r="J166" s="1325"/>
      <c r="K166" s="1325"/>
      <c r="L166" s="2"/>
      <c r="M166" s="2"/>
      <c r="N166" s="2"/>
      <c r="O166" s="2"/>
      <c r="P166" s="2"/>
      <c r="Q166" s="2"/>
      <c r="R166" s="2"/>
      <c r="S166" s="2"/>
      <c r="T166" s="2"/>
      <c r="U166" s="2"/>
      <c r="V166" s="2"/>
      <c r="W166" s="2"/>
    </row>
    <row r="167" spans="1:23">
      <c r="A167" s="2"/>
      <c r="B167" s="3"/>
      <c r="C167" s="129"/>
      <c r="D167" s="24"/>
      <c r="E167" s="252"/>
      <c r="F167" s="252"/>
      <c r="G167" s="252"/>
      <c r="H167" s="252"/>
      <c r="I167" s="252"/>
      <c r="J167" s="252"/>
      <c r="K167" s="252"/>
      <c r="L167" s="2"/>
      <c r="M167" s="2"/>
      <c r="N167" s="2"/>
      <c r="O167" s="2"/>
      <c r="P167" s="2"/>
      <c r="Q167" s="2"/>
      <c r="R167" s="2"/>
      <c r="S167" s="2"/>
      <c r="T167" s="2"/>
      <c r="U167" s="2"/>
      <c r="V167" s="2"/>
      <c r="W167" s="2"/>
    </row>
    <row r="168" spans="1:23">
      <c r="A168" s="727"/>
      <c r="B168" s="728" t="s">
        <v>901</v>
      </c>
      <c r="C168" s="727"/>
      <c r="D168" s="727"/>
      <c r="E168" s="727"/>
      <c r="F168" s="727"/>
      <c r="G168" s="727"/>
      <c r="H168" s="727"/>
      <c r="I168" s="2"/>
      <c r="J168" s="2"/>
      <c r="K168" s="2"/>
      <c r="L168" s="2"/>
      <c r="M168" s="2"/>
      <c r="N168" s="2"/>
      <c r="O168" s="2"/>
      <c r="P168" s="2"/>
      <c r="Q168" s="2"/>
      <c r="R168" s="2"/>
      <c r="S168" s="2"/>
      <c r="T168" s="2"/>
      <c r="U168" s="2"/>
      <c r="V168" s="2"/>
      <c r="W168" s="2"/>
    </row>
    <row r="169" spans="1:23" ht="29.1">
      <c r="A169" s="2"/>
      <c r="B169" s="719" t="s">
        <v>902</v>
      </c>
      <c r="C169" s="719" t="s">
        <v>898</v>
      </c>
      <c r="D169" s="719" t="s">
        <v>899</v>
      </c>
      <c r="E169" s="719" t="s">
        <v>903</v>
      </c>
      <c r="F169" s="719" t="s">
        <v>904</v>
      </c>
      <c r="G169" s="719" t="s">
        <v>905</v>
      </c>
      <c r="H169" s="719" t="s">
        <v>924</v>
      </c>
      <c r="I169" s="719" t="s">
        <v>956</v>
      </c>
      <c r="J169" s="719" t="s">
        <v>927</v>
      </c>
      <c r="K169" s="2"/>
      <c r="L169" s="2"/>
      <c r="M169" s="2"/>
      <c r="N169" s="2"/>
      <c r="O169" s="2"/>
      <c r="P169" s="2"/>
      <c r="Q169" s="2"/>
      <c r="R169" s="2"/>
      <c r="S169" s="2"/>
      <c r="T169" s="2"/>
      <c r="U169" s="2"/>
      <c r="V169" s="2"/>
      <c r="W169" s="2"/>
    </row>
    <row r="170" spans="1:23">
      <c r="A170" s="2"/>
      <c r="B170" s="278" t="s">
        <v>549</v>
      </c>
      <c r="C170" s="278" t="s">
        <v>449</v>
      </c>
      <c r="D170" s="299" t="s">
        <v>1631</v>
      </c>
      <c r="E170" s="299" t="s">
        <v>957</v>
      </c>
      <c r="F170" s="278" t="str" cm="1">
        <f t="array" ref="F170">_xlfn.XLOOKUP(1,($D$178:$D$184=B170)*($E$178:$E$184=C170),$B$178:$B$184,"Not found",0,1)</f>
        <v>23-1</v>
      </c>
      <c r="G170" s="300">
        <f>VLOOKUP(F170,$B$178:$L$184,11,FALSE)</f>
        <v>-571.23119460082467</v>
      </c>
      <c r="H170" s="326">
        <f>D43</f>
        <v>2</v>
      </c>
      <c r="I170" s="300" t="s">
        <v>1706</v>
      </c>
      <c r="J170" s="300" t="s">
        <v>1707</v>
      </c>
      <c r="K170" s="2"/>
      <c r="L170" s="2"/>
      <c r="M170" s="2"/>
      <c r="N170" s="2"/>
      <c r="O170" s="2"/>
      <c r="P170" s="2"/>
      <c r="Q170" s="2"/>
      <c r="R170" s="2"/>
      <c r="S170" s="2"/>
      <c r="T170" s="2"/>
      <c r="U170" s="2"/>
      <c r="V170" s="2"/>
      <c r="W170" s="2"/>
    </row>
    <row r="171" spans="1:23">
      <c r="A171" s="2"/>
      <c r="B171" s="278" t="s">
        <v>550</v>
      </c>
      <c r="C171" s="278" t="s">
        <v>449</v>
      </c>
      <c r="D171" s="299" t="s">
        <v>1631</v>
      </c>
      <c r="E171" s="299" t="s">
        <v>957</v>
      </c>
      <c r="F171" s="278" t="str" cm="1">
        <f t="array" ref="F171">_xlfn.XLOOKUP(1,($D$178:$D$184=B171)*($E$178:$E$184=C171),$B$178:$B$184,"Not found",0,1)</f>
        <v>23-2</v>
      </c>
      <c r="G171" s="300">
        <f>VLOOKUP(F171,$B$178:$L$184,11,FALSE)</f>
        <v>-642.63509392592778</v>
      </c>
      <c r="H171" s="326">
        <f>D43</f>
        <v>2</v>
      </c>
      <c r="I171" s="300" t="s">
        <v>1706</v>
      </c>
      <c r="J171" s="300" t="s">
        <v>1707</v>
      </c>
      <c r="K171" s="2"/>
      <c r="L171" s="2"/>
      <c r="M171" s="2"/>
      <c r="N171" s="2"/>
      <c r="O171" s="2"/>
      <c r="P171" s="2"/>
      <c r="Q171" s="2"/>
      <c r="R171" s="2"/>
      <c r="S171" s="2"/>
      <c r="T171" s="2"/>
      <c r="U171" s="2"/>
      <c r="V171" s="2"/>
      <c r="W171" s="2"/>
    </row>
    <row r="172" spans="1:23">
      <c r="A172" s="2"/>
      <c r="B172" s="278" t="s">
        <v>549</v>
      </c>
      <c r="C172" s="278" t="s">
        <v>456</v>
      </c>
      <c r="D172" s="299" t="s">
        <v>1679</v>
      </c>
      <c r="E172" t="s">
        <v>1427</v>
      </c>
      <c r="F172" s="278" t="str" cm="1">
        <f t="array" ref="F172">_xlfn.XLOOKUP(1,($D$178:$D$184=B172)*($E$178:$E$184=C172),$B$178:$B$184,"Not found",0,1)</f>
        <v>23-5</v>
      </c>
      <c r="G172" s="300">
        <f ca="1">VLOOKUP(F172,$B$178:$L$184,11,FALSE)</f>
        <v>-340.51102246374137</v>
      </c>
      <c r="H172" s="326">
        <f>D138</f>
        <v>2</v>
      </c>
      <c r="I172" s="300" t="s">
        <v>1708</v>
      </c>
      <c r="J172" s="300" t="s">
        <v>1709</v>
      </c>
      <c r="K172" s="2"/>
      <c r="L172" s="2"/>
      <c r="M172" s="2"/>
      <c r="N172" s="2"/>
      <c r="O172" s="2"/>
      <c r="P172" s="2"/>
      <c r="Q172" s="2"/>
      <c r="R172" s="2"/>
      <c r="S172" s="2"/>
      <c r="T172" s="2"/>
      <c r="U172" s="2"/>
      <c r="V172" s="2"/>
      <c r="W172" s="2"/>
    </row>
    <row r="173" spans="1:23">
      <c r="A173" s="2"/>
      <c r="B173" s="278" t="s">
        <v>550</v>
      </c>
      <c r="C173" s="278" t="s">
        <v>456</v>
      </c>
      <c r="D173" s="299" t="s">
        <v>1679</v>
      </c>
      <c r="E173" s="299" t="s">
        <v>1427</v>
      </c>
      <c r="F173" s="278" t="str" cm="1">
        <f t="array" ref="F173">_xlfn.XLOOKUP(1,($D$178:$D$184=B173)*($E$178:$E$184=C173),$B$178:$B$184,"Not found",0,1)</f>
        <v>23-6</v>
      </c>
      <c r="G173" s="300">
        <f ca="1">VLOOKUP(F173,$B$178:$L$184,11,FALSE)</f>
        <v>-340.51102246374137</v>
      </c>
      <c r="H173" s="326">
        <f>D138</f>
        <v>2</v>
      </c>
      <c r="I173" s="300" t="s">
        <v>1708</v>
      </c>
      <c r="J173" s="300" t="s">
        <v>1709</v>
      </c>
      <c r="K173" s="2"/>
      <c r="L173" s="2"/>
      <c r="M173" s="2"/>
      <c r="N173" s="2"/>
      <c r="O173" s="2"/>
      <c r="P173" s="2"/>
      <c r="Q173" s="2"/>
      <c r="R173" s="2"/>
      <c r="S173" s="2"/>
      <c r="T173" s="2"/>
      <c r="U173" s="2"/>
      <c r="V173" s="2"/>
      <c r="W173" s="2"/>
    </row>
    <row r="174" spans="1:23">
      <c r="A174" s="2"/>
      <c r="B174" s="278" t="s">
        <v>556</v>
      </c>
      <c r="C174" s="278" t="s">
        <v>456</v>
      </c>
      <c r="D174" s="299" t="s">
        <v>1679</v>
      </c>
      <c r="E174" s="299" t="s">
        <v>1427</v>
      </c>
      <c r="F174" s="278" t="str" cm="1">
        <f t="array" ref="F174">_xlfn.XLOOKUP(1,($D$178:$D$184=B174)*($E$178:$E$184=C174),$B$178:$B$184,"Not found",0,1)</f>
        <v>23-7</v>
      </c>
      <c r="G174" s="300">
        <f ca="1">VLOOKUP(F174,$B$178:$L$184,11,FALSE)</f>
        <v>141281.99922497108</v>
      </c>
      <c r="H174" s="326">
        <f>D138</f>
        <v>2</v>
      </c>
      <c r="I174" s="300" t="s">
        <v>1612</v>
      </c>
      <c r="J174" s="300" t="s">
        <v>1709</v>
      </c>
      <c r="K174" s="2"/>
      <c r="L174" s="2"/>
      <c r="M174" s="2"/>
      <c r="N174" s="2"/>
      <c r="O174" s="2"/>
      <c r="P174" s="2"/>
      <c r="Q174" s="2"/>
      <c r="R174" s="2"/>
      <c r="S174" s="2"/>
      <c r="T174" s="2"/>
      <c r="U174" s="2"/>
      <c r="V174" s="2"/>
      <c r="W174" s="2"/>
    </row>
    <row r="175" spans="1:23">
      <c r="A175" s="2"/>
      <c r="B175" s="18"/>
      <c r="C175" s="2"/>
      <c r="D175" s="2"/>
      <c r="E175" s="2"/>
      <c r="F175" s="2"/>
      <c r="G175" s="2"/>
      <c r="H175" s="2"/>
      <c r="I175" s="2"/>
      <c r="J175" s="2"/>
      <c r="K175" s="2"/>
      <c r="L175" s="2"/>
      <c r="M175" s="2"/>
      <c r="N175" s="2"/>
      <c r="O175" s="2"/>
      <c r="P175" s="2"/>
      <c r="Q175" s="2"/>
      <c r="R175" s="2"/>
      <c r="S175" s="2"/>
      <c r="T175" s="2"/>
      <c r="U175" s="2"/>
      <c r="V175" s="2"/>
      <c r="W175" s="2"/>
    </row>
    <row r="176" spans="1:23">
      <c r="A176" s="725"/>
      <c r="B176" s="726" t="s">
        <v>962</v>
      </c>
      <c r="C176" s="725"/>
      <c r="D176" s="725"/>
      <c r="E176" s="725"/>
      <c r="F176" s="725"/>
      <c r="G176" s="725"/>
      <c r="H176" s="725"/>
      <c r="I176" s="2"/>
      <c r="J176" s="2"/>
      <c r="K176" s="2"/>
      <c r="L176" s="2"/>
      <c r="M176" s="2"/>
      <c r="N176" s="2"/>
      <c r="O176" s="2"/>
      <c r="P176" s="2"/>
      <c r="Q176" s="2"/>
      <c r="R176" s="2"/>
      <c r="S176" s="2"/>
      <c r="T176" s="2"/>
      <c r="U176" s="2"/>
      <c r="V176" s="2"/>
      <c r="W176" s="2"/>
    </row>
    <row r="177" spans="2:23">
      <c r="B177" s="277" t="s">
        <v>904</v>
      </c>
      <c r="C177" s="277" t="s">
        <v>62</v>
      </c>
      <c r="D177" s="277" t="s">
        <v>902</v>
      </c>
      <c r="E177" s="277" t="s">
        <v>898</v>
      </c>
      <c r="F177" s="277" t="s">
        <v>916</v>
      </c>
      <c r="G177" s="277" t="s">
        <v>963</v>
      </c>
      <c r="H177" s="277" t="s">
        <v>964</v>
      </c>
      <c r="I177" s="277" t="s">
        <v>965</v>
      </c>
      <c r="J177" s="277" t="s">
        <v>966</v>
      </c>
      <c r="K177" s="277" t="s">
        <v>967</v>
      </c>
      <c r="L177" s="277" t="s">
        <v>968</v>
      </c>
      <c r="M177" s="277" t="s">
        <v>956</v>
      </c>
      <c r="N177" s="277" t="s">
        <v>969</v>
      </c>
      <c r="O177" s="277" t="s">
        <v>970</v>
      </c>
      <c r="P177" s="277" t="s">
        <v>927</v>
      </c>
      <c r="Q177" s="277" t="s">
        <v>913</v>
      </c>
      <c r="R177" s="277" t="s">
        <v>914</v>
      </c>
      <c r="S177" s="277" t="s">
        <v>915</v>
      </c>
      <c r="T177" s="277" t="s">
        <v>916</v>
      </c>
      <c r="U177" s="277" t="s">
        <v>917</v>
      </c>
      <c r="V177" s="277" t="s">
        <v>918</v>
      </c>
      <c r="W177" s="277" t="s">
        <v>919</v>
      </c>
    </row>
    <row r="178" spans="2:23">
      <c r="B178" s="302" t="s">
        <v>1710</v>
      </c>
      <c r="C178" s="278" t="s">
        <v>546</v>
      </c>
      <c r="D178" s="278" t="s">
        <v>549</v>
      </c>
      <c r="E178" s="278" t="s">
        <v>449</v>
      </c>
      <c r="F178" s="299">
        <f>E$31</f>
        <v>2024</v>
      </c>
      <c r="G178" s="278">
        <v>2024</v>
      </c>
      <c r="H178" s="278">
        <f>'COMPANY INPUT'!$C$16</f>
        <v>2023</v>
      </c>
      <c r="I178" s="278">
        <f>VLOOKUP(G178,'GDP Deflators'!$H$13:$I$86,2,FALSE)</f>
        <v>101.52460002617836</v>
      </c>
      <c r="J178" s="278">
        <f>VLOOKUP(H178,'GDP Deflators'!$H$13:$I$86,2,FALSE)</f>
        <v>100</v>
      </c>
      <c r="K178" s="300">
        <f>-C61</f>
        <v>-579.94018554324782</v>
      </c>
      <c r="L178" s="746">
        <f t="shared" ref="L178:L184" si="0">K178*(J178/I178)</f>
        <v>-571.23119460082467</v>
      </c>
      <c r="M178" s="300" t="str">
        <f>I170</f>
        <v>Energy price</v>
      </c>
      <c r="N178" s="326">
        <f>H170</f>
        <v>2</v>
      </c>
      <c r="O178" s="278" t="s">
        <v>718</v>
      </c>
      <c r="P178" s="300" t="str">
        <f>J170</f>
        <v>Source selected for consistency so we can use the volume of gas value for other calculations</v>
      </c>
      <c r="Q178" s="299">
        <f t="shared" ref="Q178:W179" si="1">B$31</f>
        <v>130</v>
      </c>
      <c r="R178" s="299" t="str">
        <f t="shared" si="1"/>
        <v>DESNZ (2024) Prices of fuels purchased by non-domestic consumers in the UK</v>
      </c>
      <c r="S178" s="299" t="str">
        <f t="shared" si="1"/>
        <v>/</v>
      </c>
      <c r="T178" s="299">
        <f t="shared" si="1"/>
        <v>2024</v>
      </c>
      <c r="U178" s="299" t="str">
        <f t="shared" si="1"/>
        <v>UK</v>
      </c>
      <c r="V178" s="299" t="str">
        <f t="shared" si="1"/>
        <v>UK</v>
      </c>
      <c r="W178" s="299" t="str">
        <f t="shared" si="1"/>
        <v>N/A</v>
      </c>
    </row>
    <row r="179" spans="2:23">
      <c r="B179" s="302" t="s">
        <v>1711</v>
      </c>
      <c r="C179" s="278" t="s">
        <v>546</v>
      </c>
      <c r="D179" s="299" t="s">
        <v>550</v>
      </c>
      <c r="E179" s="278" t="s">
        <v>449</v>
      </c>
      <c r="F179" s="299">
        <f>E$31</f>
        <v>2024</v>
      </c>
      <c r="G179" s="278">
        <v>2024</v>
      </c>
      <c r="H179" s="278">
        <f>'COMPANY INPUT'!$C$16</f>
        <v>2023</v>
      </c>
      <c r="I179" s="278">
        <f>VLOOKUP(G179,'GDP Deflators'!$H$13:$I$86,2,FALSE)</f>
        <v>101.52460002617836</v>
      </c>
      <c r="J179" s="278">
        <f>VLOOKUP(H179,'GDP Deflators'!$H$13:$I$86,2,FALSE)</f>
        <v>100</v>
      </c>
      <c r="K179" s="300">
        <f>-C60</f>
        <v>-652.43270873615381</v>
      </c>
      <c r="L179" s="746">
        <f t="shared" si="0"/>
        <v>-642.63509392592778</v>
      </c>
      <c r="M179" s="300" t="str">
        <f>I170</f>
        <v>Energy price</v>
      </c>
      <c r="N179" s="326">
        <f>H171</f>
        <v>2</v>
      </c>
      <c r="O179" s="278" t="s">
        <v>718</v>
      </c>
      <c r="P179" s="300" t="str">
        <f>J171</f>
        <v>Source selected for consistency so we can use the volume of gas value for other calculations</v>
      </c>
      <c r="Q179" s="299">
        <f t="shared" si="1"/>
        <v>130</v>
      </c>
      <c r="R179" s="299" t="str">
        <f t="shared" si="1"/>
        <v>DESNZ (2024) Prices of fuels purchased by non-domestic consumers in the UK</v>
      </c>
      <c r="S179" s="299" t="str">
        <f t="shared" si="1"/>
        <v>/</v>
      </c>
      <c r="T179" s="299">
        <f t="shared" si="1"/>
        <v>2024</v>
      </c>
      <c r="U179" s="299" t="str">
        <f t="shared" si="1"/>
        <v>UK</v>
      </c>
      <c r="V179" s="299" t="str">
        <f t="shared" si="1"/>
        <v>UK</v>
      </c>
      <c r="W179" s="299" t="str">
        <f t="shared" si="1"/>
        <v>N/A</v>
      </c>
    </row>
    <row r="180" spans="2:23">
      <c r="B180" s="302" t="s">
        <v>1712</v>
      </c>
      <c r="C180" s="278" t="s">
        <v>546</v>
      </c>
      <c r="D180" s="299" t="s">
        <v>549</v>
      </c>
      <c r="E180" s="278" t="s">
        <v>449</v>
      </c>
      <c r="F180" s="299">
        <f>E$67</f>
        <v>2024</v>
      </c>
      <c r="G180" s="278">
        <v>2024</v>
      </c>
      <c r="H180" s="278">
        <f>'COMPANY INPUT'!$C$16</f>
        <v>2023</v>
      </c>
      <c r="I180" s="278">
        <f>VLOOKUP(G180,'GDP Deflators'!$H$13:$I$86,2,FALSE)</f>
        <v>101.52460002617836</v>
      </c>
      <c r="J180" s="278">
        <f>VLOOKUP(H180,'GDP Deflators'!$H$13:$I$86,2,FALSE)</f>
        <v>100</v>
      </c>
      <c r="K180" s="300">
        <f>-C95</f>
        <v>-169.63866666666669</v>
      </c>
      <c r="L180" s="746">
        <f t="shared" si="0"/>
        <v>-167.09119427500818</v>
      </c>
      <c r="M180" s="278" t="s">
        <v>1706</v>
      </c>
      <c r="N180" s="326">
        <f>D$79</f>
        <v>1.6666666666666667</v>
      </c>
      <c r="O180" s="278" t="s">
        <v>717</v>
      </c>
      <c r="P180" s="278" t="s">
        <v>1713</v>
      </c>
      <c r="Q180" s="299">
        <f t="shared" ref="Q180:W181" si="2">B$67</f>
        <v>130</v>
      </c>
      <c r="R180" s="299" t="str">
        <f t="shared" si="2"/>
        <v>DESNZ (2024) Prices of fuels purchased by non-domestic consumers in the UK</v>
      </c>
      <c r="S180" s="299" t="str">
        <f t="shared" si="2"/>
        <v>/</v>
      </c>
      <c r="T180" s="299">
        <f t="shared" si="2"/>
        <v>2024</v>
      </c>
      <c r="U180" s="299" t="str">
        <f t="shared" si="2"/>
        <v>UK</v>
      </c>
      <c r="V180" s="299" t="str">
        <f t="shared" si="2"/>
        <v>UK</v>
      </c>
      <c r="W180" s="299" t="str">
        <f t="shared" si="2"/>
        <v>N/A</v>
      </c>
    </row>
    <row r="181" spans="2:23">
      <c r="B181" s="302" t="s">
        <v>1714</v>
      </c>
      <c r="C181" s="278" t="s">
        <v>546</v>
      </c>
      <c r="D181" s="299" t="s">
        <v>550</v>
      </c>
      <c r="E181" s="278" t="s">
        <v>449</v>
      </c>
      <c r="F181" s="299">
        <f>E$67</f>
        <v>2024</v>
      </c>
      <c r="G181" s="278">
        <v>2024</v>
      </c>
      <c r="H181" s="278">
        <f>'COMPANY INPUT'!$C$16</f>
        <v>2023</v>
      </c>
      <c r="I181" s="278">
        <f>VLOOKUP(G181,'GDP Deflators'!$H$13:$I$86,2,FALSE)</f>
        <v>101.52460002617836</v>
      </c>
      <c r="J181" s="278">
        <f>VLOOKUP(H181,'GDP Deflators'!$H$13:$I$86,2,FALSE)</f>
        <v>100</v>
      </c>
      <c r="K181" s="300">
        <f>-C94</f>
        <v>-190.84350000000003</v>
      </c>
      <c r="L181" s="746">
        <f t="shared" si="0"/>
        <v>-187.97759355938419</v>
      </c>
      <c r="M181" s="278" t="s">
        <v>1706</v>
      </c>
      <c r="N181" s="326">
        <f>D$79</f>
        <v>1.6666666666666667</v>
      </c>
      <c r="O181" s="278" t="s">
        <v>717</v>
      </c>
      <c r="P181" s="278" t="s">
        <v>1713</v>
      </c>
      <c r="Q181" s="299">
        <f t="shared" si="2"/>
        <v>130</v>
      </c>
      <c r="R181" s="299" t="str">
        <f t="shared" si="2"/>
        <v>DESNZ (2024) Prices of fuels purchased by non-domestic consumers in the UK</v>
      </c>
      <c r="S181" s="299" t="str">
        <f t="shared" si="2"/>
        <v>/</v>
      </c>
      <c r="T181" s="299">
        <f t="shared" si="2"/>
        <v>2024</v>
      </c>
      <c r="U181" s="299" t="str">
        <f t="shared" si="2"/>
        <v>UK</v>
      </c>
      <c r="V181" s="299" t="str">
        <f t="shared" si="2"/>
        <v>UK</v>
      </c>
      <c r="W181" s="299" t="str">
        <f t="shared" si="2"/>
        <v>N/A</v>
      </c>
    </row>
    <row r="182" spans="2:23">
      <c r="B182" s="302" t="s">
        <v>1715</v>
      </c>
      <c r="C182" s="278" t="s">
        <v>546</v>
      </c>
      <c r="D182" s="299" t="s">
        <v>549</v>
      </c>
      <c r="E182" s="278" t="s">
        <v>456</v>
      </c>
      <c r="F182" s="299" t="str">
        <f>E$128</f>
        <v>Unknown</v>
      </c>
      <c r="G182" s="278">
        <v>2020</v>
      </c>
      <c r="H182" s="278">
        <f>'COMPANY INPUT'!$C$16</f>
        <v>2023</v>
      </c>
      <c r="I182" s="278">
        <f>VLOOKUP(G182,'GDP Deflators'!$H$13:$I$86,2,FALSE)</f>
        <v>89.073499999999996</v>
      </c>
      <c r="J182" s="278">
        <f>VLOOKUP(H182,'GDP Deflators'!$H$13:$I$86,2,FALSE)</f>
        <v>100</v>
      </c>
      <c r="K182" s="300">
        <f ca="1">-C164</f>
        <v>-303.30508559424067</v>
      </c>
      <c r="L182" s="746">
        <f t="shared" ca="1" si="0"/>
        <v>-340.51102246374137</v>
      </c>
      <c r="M182" s="300" t="str">
        <f>I172</f>
        <v>Damage cost avoided</v>
      </c>
      <c r="N182" s="326">
        <f>H172</f>
        <v>2</v>
      </c>
      <c r="O182" s="278" t="s">
        <v>718</v>
      </c>
      <c r="P182" s="300" t="str">
        <f>J172</f>
        <v>Best source available</v>
      </c>
      <c r="Q182" s="299">
        <f t="shared" ref="Q182:W184" si="3">B$128</f>
        <v>110</v>
      </c>
      <c r="R182" s="299" t="str">
        <f t="shared" si="3"/>
        <v>IRENA (unknown) Avoided emissions calculator</v>
      </c>
      <c r="S182" s="299" t="str">
        <f t="shared" si="3"/>
        <v>/</v>
      </c>
      <c r="T182" s="299" t="str">
        <f t="shared" si="3"/>
        <v>Unknown</v>
      </c>
      <c r="U182" s="299" t="str">
        <f t="shared" si="3"/>
        <v>Global</v>
      </c>
      <c r="V182" s="299" t="str">
        <f t="shared" si="3"/>
        <v>UK</v>
      </c>
      <c r="W182" s="299" t="str">
        <f t="shared" si="3"/>
        <v>N/A</v>
      </c>
    </row>
    <row r="183" spans="2:23">
      <c r="B183" s="302" t="s">
        <v>1716</v>
      </c>
      <c r="C183" s="278" t="s">
        <v>546</v>
      </c>
      <c r="D183" s="299" t="s">
        <v>550</v>
      </c>
      <c r="E183" s="278" t="s">
        <v>456</v>
      </c>
      <c r="F183" s="299" t="str">
        <f>E$128</f>
        <v>Unknown</v>
      </c>
      <c r="G183" s="278">
        <v>2020</v>
      </c>
      <c r="H183" s="278">
        <f>'COMPANY INPUT'!$C$16</f>
        <v>2023</v>
      </c>
      <c r="I183" s="278">
        <f>VLOOKUP(G183,'GDP Deflators'!$H$13:$I$86,2,FALSE)</f>
        <v>89.073499999999996</v>
      </c>
      <c r="J183" s="278">
        <f>VLOOKUP(H183,'GDP Deflators'!$H$13:$I$86,2,FALSE)</f>
        <v>100</v>
      </c>
      <c r="K183" s="300">
        <f ca="1">-C165</f>
        <v>-303.30508559424067</v>
      </c>
      <c r="L183" s="746">
        <f t="shared" ca="1" si="0"/>
        <v>-340.51102246374137</v>
      </c>
      <c r="M183" s="300" t="str">
        <f>I173</f>
        <v>Damage cost avoided</v>
      </c>
      <c r="N183" s="326">
        <f>H173</f>
        <v>2</v>
      </c>
      <c r="O183" s="278" t="s">
        <v>718</v>
      </c>
      <c r="P183" s="300" t="str">
        <f>J173</f>
        <v>Best source available</v>
      </c>
      <c r="Q183" s="299">
        <f t="shared" si="3"/>
        <v>110</v>
      </c>
      <c r="R183" s="299" t="str">
        <f t="shared" si="3"/>
        <v>IRENA (unknown) Avoided emissions calculator</v>
      </c>
      <c r="S183" s="299" t="str">
        <f t="shared" si="3"/>
        <v>/</v>
      </c>
      <c r="T183" s="299" t="str">
        <f t="shared" si="3"/>
        <v>Unknown</v>
      </c>
      <c r="U183" s="299" t="str">
        <f t="shared" si="3"/>
        <v>Global</v>
      </c>
      <c r="V183" s="299" t="str">
        <f t="shared" si="3"/>
        <v>UK</v>
      </c>
      <c r="W183" s="299" t="str">
        <f t="shared" si="3"/>
        <v>N/A</v>
      </c>
    </row>
    <row r="184" spans="2:23">
      <c r="B184" s="302" t="s">
        <v>1717</v>
      </c>
      <c r="C184" s="278" t="s">
        <v>546</v>
      </c>
      <c r="D184" s="299" t="s">
        <v>556</v>
      </c>
      <c r="E184" s="278" t="s">
        <v>456</v>
      </c>
      <c r="F184" s="299" t="str">
        <f>E$128</f>
        <v>Unknown</v>
      </c>
      <c r="G184" s="278">
        <v>2020</v>
      </c>
      <c r="H184" s="278">
        <f>'COMPANY INPUT'!$C$16</f>
        <v>2023</v>
      </c>
      <c r="I184" s="278">
        <f>VLOOKUP(G184,'GDP Deflators'!$H$13:$I$86,2,FALSE)</f>
        <v>89.073499999999996</v>
      </c>
      <c r="J184" s="278">
        <f>VLOOKUP(H184,'GDP Deflators'!$H$13:$I$86,2,FALSE)</f>
        <v>100</v>
      </c>
      <c r="K184" s="300">
        <f ca="1">C166</f>
        <v>125844.82157965461</v>
      </c>
      <c r="L184" s="746">
        <f t="shared" ca="1" si="0"/>
        <v>141281.99922497108</v>
      </c>
      <c r="M184" s="300" t="str">
        <f>I174</f>
        <v>Damage cost</v>
      </c>
      <c r="N184" s="326">
        <f>H174</f>
        <v>2</v>
      </c>
      <c r="O184" s="278" t="s">
        <v>718</v>
      </c>
      <c r="P184" s="300" t="str">
        <f>J174</f>
        <v>Best source available</v>
      </c>
      <c r="Q184" s="299">
        <f t="shared" si="3"/>
        <v>110</v>
      </c>
      <c r="R184" s="299" t="str">
        <f t="shared" si="3"/>
        <v>IRENA (unknown) Avoided emissions calculator</v>
      </c>
      <c r="S184" s="299" t="str">
        <f t="shared" si="3"/>
        <v>/</v>
      </c>
      <c r="T184" s="299" t="str">
        <f t="shared" si="3"/>
        <v>Unknown</v>
      </c>
      <c r="U184" s="299" t="str">
        <f t="shared" si="3"/>
        <v>Global</v>
      </c>
      <c r="V184" s="299" t="str">
        <f t="shared" si="3"/>
        <v>UK</v>
      </c>
      <c r="W184" s="299" t="str">
        <f t="shared" si="3"/>
        <v>N/A</v>
      </c>
    </row>
  </sheetData>
  <sheetProtection algorithmName="SHA-512" hashValue="TDVf0hig+GEhwgj3S7wo+hZXEBxn2j6JYeIKCfvvkODSkhOWu7XbGlZZiYsZF3Zi5nalFRMO8oawSgAViHclBA==" saltValue="OdWVL/Cu2mWgjq8viIs7uA==" spinCount="100000" sheet="1" objects="1" scenarios="1"/>
  <mergeCells count="65">
    <mergeCell ref="E135:H135"/>
    <mergeCell ref="E136:H136"/>
    <mergeCell ref="E137:H137"/>
    <mergeCell ref="E78:H78"/>
    <mergeCell ref="E131:H131"/>
    <mergeCell ref="E132:H132"/>
    <mergeCell ref="E133:H133"/>
    <mergeCell ref="E134:H134"/>
    <mergeCell ref="G83:L83"/>
    <mergeCell ref="G84:L84"/>
    <mergeCell ref="G85:L85"/>
    <mergeCell ref="G87:L87"/>
    <mergeCell ref="F90:L90"/>
    <mergeCell ref="F91:L91"/>
    <mergeCell ref="F92:L92"/>
    <mergeCell ref="F93:L93"/>
    <mergeCell ref="E73:H73"/>
    <mergeCell ref="E74:H74"/>
    <mergeCell ref="E75:H75"/>
    <mergeCell ref="E76:H76"/>
    <mergeCell ref="E77:H77"/>
    <mergeCell ref="E39:H39"/>
    <mergeCell ref="E40:H40"/>
    <mergeCell ref="E41:H41"/>
    <mergeCell ref="E42:H42"/>
    <mergeCell ref="E72:H72"/>
    <mergeCell ref="D9:H9"/>
    <mergeCell ref="B5:H5"/>
    <mergeCell ref="E36:H36"/>
    <mergeCell ref="E37:H37"/>
    <mergeCell ref="E38:H38"/>
    <mergeCell ref="B104:C110"/>
    <mergeCell ref="G47:L47"/>
    <mergeCell ref="G48:L48"/>
    <mergeCell ref="G49:L49"/>
    <mergeCell ref="G50:L50"/>
    <mergeCell ref="G86:L86"/>
    <mergeCell ref="G51:L51"/>
    <mergeCell ref="G52:L52"/>
    <mergeCell ref="F56:L56"/>
    <mergeCell ref="F57:L57"/>
    <mergeCell ref="F58:L58"/>
    <mergeCell ref="F59:L59"/>
    <mergeCell ref="F60:L60"/>
    <mergeCell ref="F61:L61"/>
    <mergeCell ref="F94:L94"/>
    <mergeCell ref="F95:L95"/>
    <mergeCell ref="E156:K156"/>
    <mergeCell ref="E157:K157"/>
    <mergeCell ref="E166:K166"/>
    <mergeCell ref="E163:K163"/>
    <mergeCell ref="E159:K159"/>
    <mergeCell ref="E158:K158"/>
    <mergeCell ref="E164:K165"/>
    <mergeCell ref="E153:K153"/>
    <mergeCell ref="E154:K154"/>
    <mergeCell ref="E155:K155"/>
    <mergeCell ref="G142:L142"/>
    <mergeCell ref="G143:L143"/>
    <mergeCell ref="G144:L144"/>
    <mergeCell ref="G149:L149"/>
    <mergeCell ref="G146:L146"/>
    <mergeCell ref="G147:L147"/>
    <mergeCell ref="G148:L148"/>
    <mergeCell ref="G145:L145"/>
  </mergeCells>
  <conditionalFormatting sqref="D43:E43">
    <cfRule type="cellIs" dxfId="725" priority="17" operator="lessThanOrEqual">
      <formula>2.14285714285714</formula>
    </cfRule>
    <cfRule type="cellIs" dxfId="724" priority="18" operator="lessThanOrEqual">
      <formula>2.57142857142857</formula>
    </cfRule>
    <cfRule type="cellIs" dxfId="723" priority="19" operator="lessThanOrEqual">
      <formula>3</formula>
    </cfRule>
  </conditionalFormatting>
  <conditionalFormatting sqref="D79:E79">
    <cfRule type="cellIs" dxfId="722" priority="11" operator="lessThanOrEqual">
      <formula>2.14285714285714</formula>
    </cfRule>
    <cfRule type="cellIs" dxfId="721" priority="12" operator="lessThanOrEqual">
      <formula>2.57142857142857</formula>
    </cfRule>
    <cfRule type="cellIs" dxfId="720" priority="13" operator="lessThanOrEqual">
      <formula>3</formula>
    </cfRule>
  </conditionalFormatting>
  <conditionalFormatting sqref="D138:E138">
    <cfRule type="cellIs" dxfId="719" priority="5" operator="lessThanOrEqual">
      <formula>2.14285714285714</formula>
    </cfRule>
    <cfRule type="cellIs" dxfId="718" priority="6" operator="lessThanOrEqual">
      <formula>2.57142857142857</formula>
    </cfRule>
    <cfRule type="cellIs" dxfId="717" priority="7" operator="lessThanOrEqual">
      <formula>3</formula>
    </cfRule>
  </conditionalFormatting>
  <conditionalFormatting sqref="D11:H20">
    <cfRule type="notContainsBlanks" dxfId="716" priority="1">
      <formula>LEN(TRIM(D11))&gt;0</formula>
    </cfRule>
  </conditionalFormatting>
  <conditionalFormatting sqref="E43">
    <cfRule type="containsText" dxfId="715" priority="14" operator="containsText" text="Green">
      <formula>NOT(ISERROR(SEARCH("Green",E43)))</formula>
    </cfRule>
    <cfRule type="containsText" dxfId="714" priority="15" operator="containsText" text="Amber">
      <formula>NOT(ISERROR(SEARCH("Amber",E43)))</formula>
    </cfRule>
    <cfRule type="containsText" dxfId="713" priority="16" operator="containsText" text="Red">
      <formula>NOT(ISERROR(SEARCH("Red",E43)))</formula>
    </cfRule>
  </conditionalFormatting>
  <conditionalFormatting sqref="E79">
    <cfRule type="containsText" dxfId="712" priority="8" operator="containsText" text="Green">
      <formula>NOT(ISERROR(SEARCH("Green",E79)))</formula>
    </cfRule>
    <cfRule type="containsText" dxfId="711" priority="9" operator="containsText" text="Amber">
      <formula>NOT(ISERROR(SEARCH("Amber",E79)))</formula>
    </cfRule>
    <cfRule type="containsText" dxfId="710" priority="10" operator="containsText" text="Red">
      <formula>NOT(ISERROR(SEARCH("Red",E79)))</formula>
    </cfRule>
  </conditionalFormatting>
  <conditionalFormatting sqref="E138">
    <cfRule type="containsText" dxfId="709" priority="2" operator="containsText" text="Green">
      <formula>NOT(ISERROR(SEARCH("Green",E138)))</formula>
    </cfRule>
    <cfRule type="containsText" dxfId="708" priority="3" operator="containsText" text="Amber">
      <formula>NOT(ISERROR(SEARCH("Amber",E138)))</formula>
    </cfRule>
    <cfRule type="containsText" dxfId="707" priority="4" operator="containsText" text="Red">
      <formula>NOT(ISERROR(SEARCH("Red",E138)))</formula>
    </cfRule>
  </conditionalFormatting>
  <conditionalFormatting sqref="H170:H174">
    <cfRule type="cellIs" dxfId="706" priority="23" operator="lessThanOrEqual">
      <formula>2.14285714285714</formula>
    </cfRule>
    <cfRule type="cellIs" dxfId="705" priority="24" operator="lessThanOrEqual">
      <formula>2.57142857142857</formula>
    </cfRule>
    <cfRule type="cellIs" dxfId="704" priority="25" operator="lessThanOrEqual">
      <formula>3</formula>
    </cfRule>
  </conditionalFormatting>
  <conditionalFormatting sqref="N178:N184">
    <cfRule type="cellIs" dxfId="703" priority="20" operator="lessThanOrEqual">
      <formula>2.14285714285714</formula>
    </cfRule>
    <cfRule type="cellIs" dxfId="702" priority="21" operator="lessThanOrEqual">
      <formula>2.57142857142857</formula>
    </cfRule>
    <cfRule type="cellIs" dxfId="701" priority="22" operator="lessThanOrEqual">
      <formula>3</formula>
    </cfRule>
  </conditionalFormatting>
  <dataValidations disablePrompts="1" count="1">
    <dataValidation type="list" allowBlank="1" showInputMessage="1" showErrorMessage="1" sqref="C73:C78 C44 C37:C42 C80 C139 C132:C137" xr:uid="{8A9D8BD2-5A20-461C-9E75-A0976FA41ECC}">
      <formula1>"High, Medium, Low"</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D92EA-31B6-4829-877A-55BBF56D7EC3}">
  <sheetPr codeName="Sheet30">
    <tabColor theme="5" tint="0.59999389629810485"/>
  </sheetPr>
  <dimension ref="A1:W213"/>
  <sheetViews>
    <sheetView workbookViewId="0"/>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8" ht="15" thickBot="1"/>
    <row r="2" spans="1:8" s="710" customFormat="1" ht="18.95" thickBot="1">
      <c r="A2" s="707"/>
      <c r="B2" s="708" t="s">
        <v>402</v>
      </c>
      <c r="C2" s="711"/>
      <c r="D2" s="711"/>
    </row>
    <row r="4" spans="1:8" s="714" customFormat="1" ht="18.600000000000001">
      <c r="A4" s="715"/>
      <c r="B4" s="713" t="s">
        <v>893</v>
      </c>
      <c r="C4" s="715"/>
      <c r="D4" s="715"/>
      <c r="E4" s="715"/>
      <c r="F4" s="715"/>
      <c r="G4" s="715"/>
      <c r="H4" s="715"/>
    </row>
    <row r="5" spans="1:8" s="262" customFormat="1" ht="116.25" customHeight="1">
      <c r="A5" s="716"/>
      <c r="B5" s="1236" t="s">
        <v>1718</v>
      </c>
      <c r="C5" s="1236"/>
      <c r="D5" s="1236"/>
      <c r="E5" s="1236"/>
      <c r="F5" s="1236"/>
      <c r="G5" s="1236"/>
      <c r="H5" s="1236"/>
    </row>
    <row r="6" spans="1:8" s="262" customFormat="1">
      <c r="A6" s="2"/>
      <c r="B6" s="2"/>
      <c r="C6" s="2"/>
      <c r="D6" s="2"/>
      <c r="E6" s="2"/>
      <c r="F6" s="2"/>
      <c r="G6" s="2"/>
      <c r="H6" s="2"/>
    </row>
    <row r="7" spans="1:8" s="718" customFormat="1" ht="18.600000000000001">
      <c r="A7" s="724"/>
      <c r="B7" s="724" t="s">
        <v>895</v>
      </c>
      <c r="C7" s="724"/>
      <c r="D7" s="724"/>
      <c r="E7" s="724"/>
      <c r="F7" s="724"/>
      <c r="G7" s="724"/>
      <c r="H7" s="724"/>
    </row>
    <row r="9" spans="1:8">
      <c r="D9" s="1134" t="s">
        <v>479</v>
      </c>
      <c r="E9" s="1134"/>
      <c r="F9" s="1134"/>
      <c r="G9" s="1134"/>
    </row>
    <row r="10" spans="1:8">
      <c r="B10" s="277" t="s">
        <v>104</v>
      </c>
      <c r="C10" s="277" t="s">
        <v>226</v>
      </c>
      <c r="D10" s="277" t="s">
        <v>448</v>
      </c>
      <c r="E10" s="277" t="s">
        <v>452</v>
      </c>
      <c r="F10" s="277" t="s">
        <v>456</v>
      </c>
      <c r="G10" s="277" t="s">
        <v>151</v>
      </c>
    </row>
    <row r="11" spans="1:8">
      <c r="B11" s="278" t="s">
        <v>561</v>
      </c>
      <c r="C11" s="297" t="s">
        <v>401</v>
      </c>
      <c r="D11" s="374" cm="1">
        <f t="array" ref="D11">_xlfn.XLOOKUP(1,($B11=$B$194:$B$203)*(D$10=$C$194:$C$203),$G$194:$G$203,"Not found",0,1)</f>
        <v>26.594539641661218</v>
      </c>
      <c r="E11" s="374" cm="1">
        <f t="array" ref="E11">_xlfn.XLOOKUP(1,($B11=$B$194:$B$203)*(E$10=$C$194:$C$203),$G$194:$G$203,"Not found",0,1)</f>
        <v>78.609239310897351</v>
      </c>
      <c r="F11" s="374" cm="1">
        <f t="array" aca="1" ref="F11" ca="1">_xlfn.XLOOKUP(1,($B11=$B$194:$B$203)*(F$10=$C$194:$C$203),$G$194:$G$203,"Not found",0,1)</f>
        <v>577.83211719432938</v>
      </c>
      <c r="G11" s="374" t="str" cm="1">
        <f t="array" ref="G11">_xlfn.XLOOKUP(1,($B11=$B$194:$B$203)*(G$10=$C$194:$C$203),$G$194:$G$203,"Not found",0,1)</f>
        <v>LG(H)</v>
      </c>
    </row>
    <row r="12" spans="1:8">
      <c r="B12" s="278" t="s">
        <v>562</v>
      </c>
      <c r="C12" s="297" t="s">
        <v>401</v>
      </c>
      <c r="D12" s="374" t="s">
        <v>961</v>
      </c>
      <c r="E12" s="374" cm="1">
        <f t="array" ref="E12">_xlfn.XLOOKUP(1,($B12=$B$194:$B$203)*(E$10=$C$194:$C$203),$G$194:$G$203,"Not found",0,1)</f>
        <v>78.609239310897351</v>
      </c>
      <c r="F12" s="374"/>
      <c r="G12" s="374"/>
    </row>
    <row r="13" spans="1:8">
      <c r="B13" s="278" t="s">
        <v>563</v>
      </c>
      <c r="C13" s="297" t="s">
        <v>401</v>
      </c>
      <c r="D13" s="374" cm="1">
        <f t="array" ref="D13">_xlfn.XLOOKUP(1,($B13=$B$194:$B$203)*(D$10=$C$194:$C$203),$G$194:$G$203,"Not found",0,1)</f>
        <v>108.34812446602719</v>
      </c>
      <c r="E13" s="374" cm="1">
        <f t="array" ref="E13">_xlfn.XLOOKUP(1,($B13=$B$194:$B$203)*(E$10=$C$194:$C$203),$G$194:$G$203,"Not found",0,1)</f>
        <v>78.609239310897351</v>
      </c>
      <c r="F13" s="374" cm="1">
        <f t="array" aca="1" ref="F13" ca="1">_xlfn.XLOOKUP(1,($B13=$B$194:$B$203)*(F$10=$C$194:$C$203),$G$194:$G$203,"Not found",0,1)</f>
        <v>170.13468652292769</v>
      </c>
      <c r="G13" s="374" t="str" cm="1">
        <f t="array" ref="G13">_xlfn.XLOOKUP(1,($B13=$B$194:$B$203)*(G$10=$C$194:$C$203),$G$194:$G$203,"Not found",0,1)</f>
        <v>LG(H)</v>
      </c>
    </row>
    <row r="14" spans="1:8">
      <c r="B14" s="278" t="s">
        <v>564</v>
      </c>
      <c r="C14" s="297" t="s">
        <v>552</v>
      </c>
      <c r="D14" s="374"/>
      <c r="E14" s="374"/>
      <c r="F14" s="374"/>
      <c r="G14" s="374"/>
    </row>
    <row r="15" spans="1:8">
      <c r="B15" s="800" t="s">
        <v>896</v>
      </c>
    </row>
    <row r="17" spans="1:8">
      <c r="A17" s="721"/>
      <c r="B17" s="722" t="s">
        <v>448</v>
      </c>
      <c r="C17" s="721"/>
      <c r="D17" s="721"/>
      <c r="E17" s="721"/>
      <c r="F17" s="721"/>
      <c r="G17" s="721"/>
      <c r="H17" s="721"/>
    </row>
    <row r="18" spans="1:8">
      <c r="A18" s="727"/>
      <c r="B18" s="729" t="s">
        <v>897</v>
      </c>
      <c r="C18" s="727"/>
      <c r="D18" s="727"/>
      <c r="E18" s="727"/>
      <c r="F18" s="727"/>
      <c r="G18" s="727"/>
      <c r="H18" s="727"/>
    </row>
    <row r="19" spans="1:8">
      <c r="B19" s="277" t="s">
        <v>898</v>
      </c>
      <c r="C19" s="277" t="s">
        <v>899</v>
      </c>
    </row>
    <row r="20" spans="1:8">
      <c r="B20" s="278" t="s">
        <v>448</v>
      </c>
      <c r="C20" s="278" t="s">
        <v>1719</v>
      </c>
    </row>
    <row r="21" spans="1:8">
      <c r="B21" s="16"/>
    </row>
    <row r="22" spans="1:8">
      <c r="A22" s="727"/>
      <c r="B22" s="728" t="s">
        <v>911</v>
      </c>
      <c r="C22" s="727"/>
      <c r="D22" s="727"/>
      <c r="E22" s="727"/>
      <c r="F22" s="727"/>
      <c r="G22" s="727"/>
      <c r="H22" s="727"/>
    </row>
    <row r="23" spans="1:8">
      <c r="A23" s="725"/>
      <c r="B23" s="726" t="s">
        <v>912</v>
      </c>
      <c r="C23" s="725"/>
      <c r="D23" s="725"/>
      <c r="E23" s="725"/>
      <c r="F23" s="725"/>
      <c r="G23" s="725"/>
      <c r="H23" s="725"/>
    </row>
    <row r="24" spans="1:8" ht="29.1">
      <c r="B24" s="719" t="s">
        <v>913</v>
      </c>
      <c r="C24" s="719" t="s">
        <v>914</v>
      </c>
      <c r="D24" s="719" t="s">
        <v>915</v>
      </c>
      <c r="E24" s="719" t="s">
        <v>916</v>
      </c>
      <c r="F24" s="719" t="s">
        <v>917</v>
      </c>
      <c r="G24" s="719" t="s">
        <v>918</v>
      </c>
      <c r="H24" s="719" t="s">
        <v>919</v>
      </c>
    </row>
    <row r="25" spans="1:8">
      <c r="B25" s="278">
        <v>102</v>
      </c>
      <c r="C25" s="278" t="s">
        <v>1720</v>
      </c>
      <c r="D25" s="279" t="s">
        <v>907</v>
      </c>
      <c r="E25" s="278">
        <v>2024</v>
      </c>
      <c r="F25" s="278" t="s">
        <v>1047</v>
      </c>
      <c r="G25" s="278" t="s">
        <v>1457</v>
      </c>
      <c r="H25" s="278">
        <v>255</v>
      </c>
    </row>
    <row r="26" spans="1:8">
      <c r="B26" s="16"/>
    </row>
    <row r="27" spans="1:8">
      <c r="A27" s="725"/>
      <c r="B27" s="726" t="s">
        <v>924</v>
      </c>
      <c r="C27" s="725"/>
      <c r="D27" s="725"/>
      <c r="E27" s="725"/>
      <c r="F27" s="725"/>
      <c r="G27" s="725"/>
      <c r="H27" s="725"/>
    </row>
    <row r="28" spans="1:8">
      <c r="B28" s="277" t="s">
        <v>165</v>
      </c>
      <c r="C28" s="277" t="s">
        <v>925</v>
      </c>
      <c r="D28" s="277" t="s">
        <v>926</v>
      </c>
      <c r="E28" s="1134" t="s">
        <v>927</v>
      </c>
      <c r="F28" s="1134"/>
      <c r="G28" s="1134"/>
      <c r="H28" s="1134"/>
    </row>
    <row r="29" spans="1:8">
      <c r="B29" s="278" t="s">
        <v>169</v>
      </c>
      <c r="C29" s="278" t="s">
        <v>167</v>
      </c>
      <c r="D29" s="278">
        <f>VLOOKUP(C29,METHODOLOGY!$C$175:$D$177,2,FALSE)</f>
        <v>2</v>
      </c>
      <c r="E29" s="1087" t="str">
        <f>_xlfn.XLOOKUP(C29,METHODOLOGY!$E$150:$O$150,METHODOLOGY!$E$151:$O$151,"",0,1)</f>
        <v>The monetary values are recommended / referenced in other, well recognised and accepted guidance / tools relevant to another sector.</v>
      </c>
      <c r="F29" s="1087"/>
      <c r="G29" s="1087"/>
      <c r="H29" s="1087"/>
    </row>
    <row r="30" spans="1:8">
      <c r="B30" s="278" t="s">
        <v>173</v>
      </c>
      <c r="C30" s="278" t="s">
        <v>166</v>
      </c>
      <c r="D30" s="278">
        <f>VLOOKUP(C30,METHODOLOGY!$C$175:$D$177,2,FALSE)</f>
        <v>3</v>
      </c>
      <c r="E30" s="1087" t="str">
        <f>_xlfn.XLOOKUP(C30,METHODOLOGY!$E$150:$O$150,METHODOLOGY!$E$155:$O$155,"",0,1)</f>
        <v>Study has few limitations and is considered robust.</v>
      </c>
      <c r="F30" s="1087"/>
      <c r="G30" s="1087"/>
      <c r="H30" s="1087"/>
    </row>
    <row r="31" spans="1:8">
      <c r="B31" s="278" t="s">
        <v>177</v>
      </c>
      <c r="C31" s="278" t="s">
        <v>166</v>
      </c>
      <c r="D31" s="278">
        <f>VLOOKUP(C31,METHODOLOGY!$C$175:$D$177,2,FALSE)</f>
        <v>3</v>
      </c>
      <c r="E31" s="1087" t="str">
        <f>_xlfn.XLOOKUP(C31,METHODOLOGY!$E$150:$O$150,METHODOLOGY!$E$158:$O$158,"",0,1)</f>
        <v>0 – 5 years</v>
      </c>
      <c r="F31" s="1087"/>
      <c r="G31" s="1087"/>
      <c r="H31" s="1087"/>
    </row>
    <row r="32" spans="1:8">
      <c r="B32" s="278" t="s">
        <v>181</v>
      </c>
      <c r="C32" s="278" t="s">
        <v>166</v>
      </c>
      <c r="D32" s="278">
        <f>VLOOKUP(C32,METHODOLOGY!$C$175:$D$177,2,FALSE)</f>
        <v>3</v>
      </c>
      <c r="E32" s="1087" t="str">
        <f>_xlfn.XLOOKUP(C32,METHODOLOGY!$E$150:$O$150,METHODOLOGY!$E$160:$O$160,"",0,1)</f>
        <v>Geographically relevant to UK</v>
      </c>
      <c r="F32" s="1087"/>
      <c r="G32" s="1087"/>
      <c r="H32" s="1087"/>
    </row>
    <row r="33" spans="1:23">
      <c r="B33" s="278" t="s">
        <v>928</v>
      </c>
      <c r="C33" s="278" t="s">
        <v>166</v>
      </c>
      <c r="D33" s="278">
        <f>VLOOKUP(C33,METHODOLOGY!$C$175:$D$177,2,FALSE)</f>
        <v>3</v>
      </c>
      <c r="E33" s="1087" t="str">
        <f>_xlfn.XLOOKUP(C33,METHODOLOGY!$E$150:$O$150,METHODOLOGY!$E$162:$O$162,"",0,1)</f>
        <v>Clear understanding of the valuation method and how the value should be applied.</v>
      </c>
      <c r="F33" s="1087"/>
      <c r="G33" s="1087"/>
      <c r="H33" s="1087"/>
    </row>
    <row r="34" spans="1:23">
      <c r="B34" s="278" t="s">
        <v>189</v>
      </c>
      <c r="C34" s="278" t="s">
        <v>166</v>
      </c>
      <c r="D34" s="278">
        <f>VLOOKUP(C34,METHODOLOGY!$C$175:$D$177,2,FALSE)</f>
        <v>3</v>
      </c>
      <c r="E34" s="1087" t="str">
        <f>_xlfn.XLOOKUP(C34,METHODOLOGY!$E$150:$O$150,METHODOLOGY!$E$164:$O$164,"",0,1)</f>
        <v xml:space="preserve">The original valuation can be used with no or very simple modification e.g. change units from ha to km2, applying inflation. </v>
      </c>
      <c r="F34" s="1087"/>
      <c r="G34" s="1087"/>
      <c r="H34" s="1087"/>
    </row>
    <row r="35" spans="1:23">
      <c r="C35" s="282" t="s">
        <v>924</v>
      </c>
      <c r="D35" s="326">
        <f>IF(AND(D34=1,AVERAGE(D29:D34)&gt;2.14285714285714),2.14285714285714,IF(AND(D34=2,AVERAGE(D29:D34)&gt;2.57142857142857),2.57142857142857,AVERAGE(D29:D34)))</f>
        <v>2.8333333333333335</v>
      </c>
      <c r="E35" s="270" t="str">
        <f>IF(D35&lt;=2.14285714285714,"Red",IF(D35&lt;=2.57142857142857,"Amber",IF(D35&lt;=3,"Green")))</f>
        <v>Green</v>
      </c>
    </row>
    <row r="38" spans="1:23">
      <c r="A38" s="725"/>
      <c r="B38" s="726" t="s">
        <v>929</v>
      </c>
      <c r="C38" s="725"/>
      <c r="D38" s="725"/>
      <c r="E38" s="725"/>
      <c r="F38" s="725"/>
      <c r="G38" s="725"/>
      <c r="H38" s="725"/>
    </row>
    <row r="39" spans="1:23">
      <c r="B39" s="277" t="s">
        <v>913</v>
      </c>
      <c r="C39" s="277" t="s">
        <v>1089</v>
      </c>
      <c r="D39" s="277" t="s">
        <v>902</v>
      </c>
      <c r="E39" s="277" t="s">
        <v>331</v>
      </c>
      <c r="F39" s="277" t="s">
        <v>226</v>
      </c>
      <c r="G39" s="1164" t="s">
        <v>930</v>
      </c>
      <c r="H39" s="1165"/>
      <c r="I39" s="1165"/>
      <c r="J39" s="1165"/>
      <c r="K39" s="1165"/>
      <c r="L39" s="1166"/>
    </row>
    <row r="40" spans="1:23" ht="62.25" customHeight="1">
      <c r="B40" s="338">
        <v>102</v>
      </c>
      <c r="C40" s="338" t="s">
        <v>448</v>
      </c>
      <c r="D40" s="342" t="s">
        <v>561</v>
      </c>
      <c r="E40" s="338">
        <v>27</v>
      </c>
      <c r="F40" s="403" t="s">
        <v>305</v>
      </c>
      <c r="G40" s="1123" t="s">
        <v>1721</v>
      </c>
      <c r="H40" s="1124"/>
      <c r="I40" s="1124"/>
      <c r="J40" s="1124"/>
      <c r="K40" s="1124"/>
      <c r="L40" s="1125"/>
    </row>
    <row r="41" spans="1:23" ht="43.5">
      <c r="B41" s="338">
        <v>102</v>
      </c>
      <c r="C41" s="338" t="s">
        <v>448</v>
      </c>
      <c r="D41" s="342" t="s">
        <v>563</v>
      </c>
      <c r="E41" s="338">
        <v>110</v>
      </c>
      <c r="F41" s="403" t="s">
        <v>305</v>
      </c>
      <c r="G41" s="1123" t="s">
        <v>1722</v>
      </c>
      <c r="H41" s="1119"/>
      <c r="I41" s="1119"/>
      <c r="J41" s="1119"/>
      <c r="K41" s="1119"/>
      <c r="L41" s="1091"/>
    </row>
    <row r="43" spans="1:23" s="262" customFormat="1">
      <c r="A43" s="727"/>
      <c r="B43" s="728" t="s">
        <v>943</v>
      </c>
      <c r="C43" s="727"/>
      <c r="D43" s="727"/>
      <c r="E43" s="727"/>
      <c r="F43" s="727"/>
      <c r="G43" s="727"/>
      <c r="H43" s="727"/>
      <c r="I43" s="2"/>
      <c r="J43" s="2"/>
      <c r="K43" s="2"/>
      <c r="L43" s="2"/>
      <c r="M43" s="2"/>
      <c r="N43" s="2"/>
      <c r="O43" s="2"/>
      <c r="P43" s="2"/>
      <c r="Q43" s="2"/>
      <c r="R43" s="2"/>
      <c r="S43" s="2"/>
      <c r="T43" s="2"/>
      <c r="U43" s="2"/>
      <c r="V43" s="2"/>
      <c r="W43" s="2"/>
    </row>
    <row r="44" spans="1:23" s="262" customFormat="1">
      <c r="A44" s="725"/>
      <c r="B44" s="726" t="s">
        <v>912</v>
      </c>
      <c r="C44" s="725"/>
      <c r="D44" s="725"/>
      <c r="E44" s="725"/>
      <c r="F44" s="725"/>
      <c r="G44" s="725"/>
      <c r="H44" s="725"/>
      <c r="I44" s="2"/>
      <c r="J44" s="2"/>
      <c r="K44" s="2"/>
      <c r="L44" s="2"/>
      <c r="M44" s="2"/>
      <c r="N44" s="2"/>
      <c r="O44" s="2"/>
      <c r="P44" s="2"/>
      <c r="Q44" s="2"/>
      <c r="R44" s="2"/>
      <c r="S44" s="2"/>
      <c r="T44" s="2"/>
      <c r="U44" s="2"/>
      <c r="V44" s="2"/>
      <c r="W44" s="2"/>
    </row>
    <row r="45" spans="1:23" ht="29.1">
      <c r="B45" s="719" t="s">
        <v>913</v>
      </c>
      <c r="C45" s="719" t="s">
        <v>914</v>
      </c>
      <c r="D45" s="719" t="s">
        <v>915</v>
      </c>
      <c r="E45" s="719" t="s">
        <v>916</v>
      </c>
      <c r="F45" s="719" t="s">
        <v>917</v>
      </c>
      <c r="G45" s="719" t="s">
        <v>918</v>
      </c>
      <c r="H45" s="719" t="s">
        <v>919</v>
      </c>
    </row>
    <row r="46" spans="1:23">
      <c r="B46" s="278">
        <v>103</v>
      </c>
      <c r="C46" s="278" t="s">
        <v>1723</v>
      </c>
      <c r="D46" s="279" t="s">
        <v>907</v>
      </c>
      <c r="E46" s="278">
        <v>2018</v>
      </c>
      <c r="F46" s="278" t="s">
        <v>1047</v>
      </c>
      <c r="G46" s="278" t="s">
        <v>1457</v>
      </c>
      <c r="H46" s="278" t="s">
        <v>906</v>
      </c>
    </row>
    <row r="47" spans="1:23">
      <c r="B47" s="16"/>
    </row>
    <row r="48" spans="1:23" s="262" customFormat="1">
      <c r="A48" s="725"/>
      <c r="B48" s="726" t="s">
        <v>924</v>
      </c>
      <c r="C48" s="725"/>
      <c r="D48" s="725"/>
      <c r="E48" s="725"/>
      <c r="F48" s="725"/>
      <c r="G48" s="725"/>
      <c r="H48" s="725"/>
      <c r="I48" s="2"/>
      <c r="J48" s="2"/>
      <c r="K48" s="2"/>
      <c r="L48" s="2"/>
      <c r="M48" s="2"/>
      <c r="N48" s="2"/>
      <c r="O48" s="2"/>
      <c r="P48" s="2"/>
      <c r="Q48" s="2"/>
      <c r="R48" s="2"/>
      <c r="S48" s="2"/>
      <c r="T48" s="2"/>
      <c r="U48" s="2"/>
      <c r="V48" s="2"/>
      <c r="W48" s="2"/>
    </row>
    <row r="49" spans="1:23">
      <c r="B49" s="277" t="s">
        <v>165</v>
      </c>
      <c r="C49" s="277" t="s">
        <v>925</v>
      </c>
      <c r="D49" s="277" t="s">
        <v>926</v>
      </c>
      <c r="E49" s="1134" t="s">
        <v>927</v>
      </c>
      <c r="F49" s="1134"/>
      <c r="G49" s="1134"/>
      <c r="H49" s="1134"/>
    </row>
    <row r="50" spans="1:23">
      <c r="B50" s="278" t="s">
        <v>169</v>
      </c>
      <c r="C50" s="278" t="s">
        <v>167</v>
      </c>
      <c r="D50" s="278">
        <f>VLOOKUP(C50,METHODOLOGY!$C$175:$D$177,2,FALSE)</f>
        <v>2</v>
      </c>
      <c r="E50" s="1087" t="str">
        <f>_xlfn.XLOOKUP(C50,METHODOLOGY!$E$150:$O$150,METHODOLOGY!$E$151:$O$151,"",0,1)</f>
        <v>The monetary values are recommended / referenced in other, well recognised and accepted guidance / tools relevant to another sector.</v>
      </c>
      <c r="F50" s="1087"/>
      <c r="G50" s="1087"/>
      <c r="H50" s="1087"/>
    </row>
    <row r="51" spans="1:23">
      <c r="B51" s="278" t="s">
        <v>173</v>
      </c>
      <c r="C51" s="278" t="s">
        <v>167</v>
      </c>
      <c r="D51" s="278">
        <f>VLOOKUP(C51,METHODOLOGY!$C$175:$D$177,2,FALSE)</f>
        <v>2</v>
      </c>
      <c r="E51" s="1087" t="str">
        <f>_xlfn.XLOOKUP(C51,METHODOLOGY!$E$150:$O$150,METHODOLOGY!$E$155:$O$155,"",0,1)</f>
        <v>Study has some limitations which may impact on the robustness of the value.</v>
      </c>
      <c r="F51" s="1087"/>
      <c r="G51" s="1087"/>
      <c r="H51" s="1087"/>
    </row>
    <row r="52" spans="1:23">
      <c r="B52" s="278" t="s">
        <v>177</v>
      </c>
      <c r="C52" s="278" t="s">
        <v>167</v>
      </c>
      <c r="D52" s="278">
        <f>VLOOKUP(C52,METHODOLOGY!$C$175:$D$177,2,FALSE)</f>
        <v>2</v>
      </c>
      <c r="E52" s="1087" t="str">
        <f>_xlfn.XLOOKUP(C52,METHODOLOGY!$E$150:$O$150,METHODOLOGY!$E$158:$O$158,"",0,1)</f>
        <v>6-10 years</v>
      </c>
      <c r="F52" s="1087"/>
      <c r="G52" s="1087"/>
      <c r="H52" s="1087"/>
    </row>
    <row r="53" spans="1:23">
      <c r="B53" s="278" t="s">
        <v>181</v>
      </c>
      <c r="C53" s="278" t="s">
        <v>166</v>
      </c>
      <c r="D53" s="278">
        <f>VLOOKUP(C53,METHODOLOGY!$C$175:$D$177,2,FALSE)</f>
        <v>3</v>
      </c>
      <c r="E53" s="1087" t="str">
        <f>_xlfn.XLOOKUP(C53,METHODOLOGY!$E$150:$O$150,METHODOLOGY!$E$160:$O$160,"",0,1)</f>
        <v>Geographically relevant to UK</v>
      </c>
      <c r="F53" s="1087"/>
      <c r="G53" s="1087"/>
      <c r="H53" s="1087"/>
    </row>
    <row r="54" spans="1:23">
      <c r="B54" s="278" t="s">
        <v>928</v>
      </c>
      <c r="C54" s="278" t="s">
        <v>167</v>
      </c>
      <c r="D54" s="278">
        <f>VLOOKUP(C54,METHODOLOGY!$C$175:$D$177,2,FALSE)</f>
        <v>2</v>
      </c>
      <c r="E54" s="1087" t="str">
        <f>_xlfn.XLOOKUP(C54,METHODOLOGY!$E$150:$O$150,METHODOLOGY!$E$162:$O$162,"",0,1)</f>
        <v>Meta-analysis or limited understanding of what the value represents.</v>
      </c>
      <c r="F54" s="1087"/>
      <c r="G54" s="1087"/>
      <c r="H54" s="1087"/>
    </row>
    <row r="55" spans="1:23">
      <c r="B55" s="278" t="s">
        <v>189</v>
      </c>
      <c r="C55" s="278" t="s">
        <v>166</v>
      </c>
      <c r="D55" s="278">
        <f>VLOOKUP(C55,METHODOLOGY!$C$175:$D$177,2,FALSE)</f>
        <v>3</v>
      </c>
      <c r="E55" s="1087" t="str">
        <f>_xlfn.XLOOKUP(C55,METHODOLOGY!$E$150:$O$150,METHODOLOGY!$E$164:$O$164,"",0,1)</f>
        <v xml:space="preserve">The original valuation can be used with no or very simple modification e.g. change units from ha to km2, applying inflation. </v>
      </c>
      <c r="F55" s="1087"/>
      <c r="G55" s="1087"/>
      <c r="H55" s="1087"/>
    </row>
    <row r="56" spans="1:23">
      <c r="C56" s="282" t="s">
        <v>924</v>
      </c>
      <c r="D56" s="326">
        <f>IF(AND(D55=1,AVERAGE(D50:D55)&gt;2.14285714285714),2.14285714285714,IF(AND(D55=2,AVERAGE(D50:D55)&gt;2.57142857142857),2.57142857142857,AVERAGE(D50:D55)))</f>
        <v>2.3333333333333335</v>
      </c>
      <c r="E56" s="270" t="str">
        <f>IF(D56&lt;=2.14285714285714,"Red",IF(D56&lt;=2.57142857142857,"Amber",IF(D56&lt;=3,"Green")))</f>
        <v>Amber</v>
      </c>
    </row>
    <row r="59" spans="1:23" s="262" customFormat="1">
      <c r="A59" s="725"/>
      <c r="B59" s="726" t="s">
        <v>929</v>
      </c>
      <c r="C59" s="725"/>
      <c r="D59" s="725"/>
      <c r="E59" s="725"/>
      <c r="F59" s="725"/>
      <c r="G59" s="725"/>
      <c r="H59" s="725"/>
      <c r="I59" s="2"/>
      <c r="J59" s="2"/>
      <c r="K59" s="2"/>
      <c r="L59" s="2"/>
      <c r="M59" s="2"/>
      <c r="N59" s="2"/>
      <c r="O59" s="2"/>
      <c r="P59" s="2"/>
      <c r="Q59" s="2"/>
      <c r="R59" s="2"/>
      <c r="S59" s="2"/>
      <c r="T59" s="2"/>
      <c r="U59" s="2"/>
      <c r="V59" s="2"/>
      <c r="W59" s="2"/>
    </row>
    <row r="60" spans="1:23">
      <c r="B60" s="277" t="s">
        <v>913</v>
      </c>
      <c r="C60" s="277" t="s">
        <v>1089</v>
      </c>
      <c r="D60" s="277" t="s">
        <v>902</v>
      </c>
      <c r="E60" s="277" t="s">
        <v>331</v>
      </c>
      <c r="F60" s="277" t="s">
        <v>226</v>
      </c>
      <c r="G60" s="1164" t="s">
        <v>930</v>
      </c>
      <c r="H60" s="1165"/>
      <c r="I60" s="1165"/>
      <c r="J60" s="1165"/>
      <c r="K60" s="1165"/>
      <c r="L60" s="1166"/>
    </row>
    <row r="61" spans="1:23" ht="49.5" customHeight="1">
      <c r="B61" s="338">
        <v>103</v>
      </c>
      <c r="C61" s="338" t="s">
        <v>448</v>
      </c>
      <c r="D61" s="342" t="s">
        <v>561</v>
      </c>
      <c r="E61" s="338">
        <v>25</v>
      </c>
      <c r="F61" s="403" t="s">
        <v>305</v>
      </c>
      <c r="G61" s="1158" t="s">
        <v>1724</v>
      </c>
      <c r="H61" s="1095"/>
      <c r="I61" s="1180" t="s">
        <v>1725</v>
      </c>
      <c r="J61" s="1181"/>
      <c r="K61" s="1181"/>
      <c r="L61" s="1182"/>
    </row>
    <row r="62" spans="1:23" ht="41.25" customHeight="1">
      <c r="B62" s="338">
        <v>103</v>
      </c>
      <c r="C62" s="338" t="s">
        <v>448</v>
      </c>
      <c r="D62" s="342" t="s">
        <v>561</v>
      </c>
      <c r="E62" s="338">
        <v>35</v>
      </c>
      <c r="F62" s="403" t="s">
        <v>305</v>
      </c>
      <c r="G62" s="1158" t="s">
        <v>1726</v>
      </c>
      <c r="H62" s="1095"/>
      <c r="I62" s="1241"/>
      <c r="J62" s="1013"/>
      <c r="K62" s="1013"/>
      <c r="L62" s="1242"/>
    </row>
    <row r="63" spans="1:23" ht="39.75" customHeight="1">
      <c r="B63" s="338">
        <v>103</v>
      </c>
      <c r="C63" s="338" t="s">
        <v>448</v>
      </c>
      <c r="D63" s="342" t="s">
        <v>561</v>
      </c>
      <c r="E63" s="338">
        <v>84.4</v>
      </c>
      <c r="F63" s="403" t="s">
        <v>305</v>
      </c>
      <c r="G63" s="1158" t="s">
        <v>1727</v>
      </c>
      <c r="H63" s="1095"/>
      <c r="I63" s="1241"/>
      <c r="J63" s="1013"/>
      <c r="K63" s="1013"/>
      <c r="L63" s="1242"/>
    </row>
    <row r="64" spans="1:23" ht="42" customHeight="1">
      <c r="B64" s="338">
        <v>102</v>
      </c>
      <c r="C64" s="338" t="s">
        <v>448</v>
      </c>
      <c r="D64" s="342" t="s">
        <v>563</v>
      </c>
      <c r="E64" s="338">
        <v>90</v>
      </c>
      <c r="F64" s="403" t="s">
        <v>305</v>
      </c>
      <c r="G64" s="1158" t="s">
        <v>1728</v>
      </c>
      <c r="H64" s="1095"/>
      <c r="I64" s="1183"/>
      <c r="J64" s="1184"/>
      <c r="K64" s="1184"/>
      <c r="L64" s="1185"/>
    </row>
    <row r="66" spans="1:23" s="262" customFormat="1">
      <c r="A66" s="721"/>
      <c r="B66" s="722" t="s">
        <v>452</v>
      </c>
      <c r="C66" s="721"/>
      <c r="D66" s="721"/>
      <c r="E66" s="721"/>
      <c r="F66" s="721"/>
      <c r="G66" s="721"/>
      <c r="H66" s="721"/>
      <c r="I66" s="2"/>
      <c r="J66" s="2"/>
      <c r="K66" s="2"/>
      <c r="L66" s="2"/>
      <c r="M66" s="2"/>
      <c r="N66" s="2"/>
      <c r="O66" s="2"/>
      <c r="P66" s="2"/>
      <c r="Q66" s="2"/>
      <c r="R66" s="2"/>
      <c r="S66" s="2"/>
      <c r="T66" s="2"/>
      <c r="U66" s="2"/>
      <c r="V66" s="2"/>
      <c r="W66" s="2"/>
    </row>
    <row r="67" spans="1:23" s="262" customFormat="1">
      <c r="A67" s="727"/>
      <c r="B67" s="729" t="s">
        <v>897</v>
      </c>
      <c r="C67" s="727"/>
      <c r="D67" s="727"/>
      <c r="E67" s="727"/>
      <c r="F67" s="727"/>
      <c r="G67" s="727"/>
      <c r="H67" s="727"/>
      <c r="I67" s="2"/>
      <c r="J67" s="2"/>
      <c r="K67" s="2"/>
      <c r="L67" s="2"/>
      <c r="M67" s="2"/>
      <c r="N67" s="2"/>
      <c r="O67" s="2"/>
      <c r="P67" s="2"/>
      <c r="Q67" s="2"/>
      <c r="R67" s="2"/>
      <c r="S67" s="2"/>
      <c r="T67" s="2"/>
      <c r="U67" s="2"/>
      <c r="V67" s="2"/>
      <c r="W67" s="2"/>
    </row>
    <row r="68" spans="1:23">
      <c r="B68" s="277" t="s">
        <v>898</v>
      </c>
      <c r="C68" s="277" t="s">
        <v>899</v>
      </c>
    </row>
    <row r="69" spans="1:23">
      <c r="B69" s="278" t="s">
        <v>452</v>
      </c>
      <c r="C69" s="278" t="s">
        <v>1729</v>
      </c>
    </row>
    <row r="70" spans="1:23">
      <c r="B70" s="16"/>
    </row>
    <row r="71" spans="1:23" s="262" customFormat="1">
      <c r="A71" s="727"/>
      <c r="B71" s="728" t="s">
        <v>1028</v>
      </c>
      <c r="C71" s="727"/>
      <c r="D71" s="727"/>
      <c r="E71" s="727"/>
      <c r="F71" s="727"/>
      <c r="G71" s="727"/>
      <c r="H71" s="727"/>
      <c r="I71" s="2"/>
      <c r="J71" s="2"/>
      <c r="K71" s="2"/>
      <c r="L71" s="2"/>
      <c r="M71" s="2"/>
      <c r="N71" s="2"/>
      <c r="O71" s="2"/>
      <c r="P71" s="2"/>
      <c r="Q71" s="2"/>
      <c r="R71" s="2"/>
      <c r="S71" s="2"/>
      <c r="T71" s="2"/>
      <c r="U71" s="2"/>
      <c r="V71" s="2"/>
      <c r="W71" s="2"/>
    </row>
    <row r="72" spans="1:23" s="262" customFormat="1">
      <c r="A72" s="725"/>
      <c r="B72" s="726" t="s">
        <v>912</v>
      </c>
      <c r="C72" s="725"/>
      <c r="D72" s="725"/>
      <c r="E72" s="725"/>
      <c r="F72" s="725"/>
      <c r="G72" s="725"/>
      <c r="H72" s="725"/>
      <c r="I72" s="2"/>
      <c r="J72" s="2"/>
      <c r="K72" s="2"/>
      <c r="L72" s="2"/>
      <c r="M72" s="2"/>
      <c r="N72" s="2"/>
      <c r="O72" s="2"/>
      <c r="P72" s="2"/>
      <c r="Q72" s="2"/>
      <c r="R72" s="2"/>
      <c r="S72" s="2"/>
      <c r="T72" s="2"/>
      <c r="U72" s="2"/>
      <c r="V72" s="2"/>
      <c r="W72" s="2"/>
    </row>
    <row r="73" spans="1:23" ht="29.1">
      <c r="B73" s="719" t="s">
        <v>913</v>
      </c>
      <c r="C73" s="719" t="s">
        <v>914</v>
      </c>
      <c r="D73" s="719" t="s">
        <v>915</v>
      </c>
      <c r="E73" s="719" t="s">
        <v>916</v>
      </c>
      <c r="F73" s="719" t="s">
        <v>917</v>
      </c>
      <c r="G73" s="719" t="s">
        <v>918</v>
      </c>
      <c r="H73" s="719" t="s">
        <v>919</v>
      </c>
    </row>
    <row r="74" spans="1:23">
      <c r="B74" s="278">
        <v>104</v>
      </c>
      <c r="C74" s="278" t="s">
        <v>1730</v>
      </c>
      <c r="D74" s="279" t="s">
        <v>907</v>
      </c>
      <c r="E74" s="278">
        <v>2023</v>
      </c>
      <c r="F74" s="278" t="s">
        <v>1047</v>
      </c>
      <c r="G74" s="278" t="s">
        <v>1457</v>
      </c>
      <c r="H74" s="278" t="s">
        <v>906</v>
      </c>
    </row>
    <row r="75" spans="1:23">
      <c r="B75" s="278">
        <v>105</v>
      </c>
      <c r="C75" s="278" t="s">
        <v>1731</v>
      </c>
      <c r="D75" s="279" t="s">
        <v>907</v>
      </c>
      <c r="E75" s="278">
        <v>2025</v>
      </c>
      <c r="F75" s="278" t="s">
        <v>1047</v>
      </c>
      <c r="G75" s="278" t="s">
        <v>1457</v>
      </c>
      <c r="H75" s="278" t="s">
        <v>906</v>
      </c>
    </row>
    <row r="76" spans="1:23">
      <c r="B76" s="278">
        <v>106</v>
      </c>
      <c r="C76" s="278" t="s">
        <v>1732</v>
      </c>
      <c r="D76" s="279" t="s">
        <v>907</v>
      </c>
      <c r="E76" s="278">
        <v>2023</v>
      </c>
      <c r="F76" s="278" t="s">
        <v>1047</v>
      </c>
      <c r="G76" s="278" t="s">
        <v>1457</v>
      </c>
      <c r="H76" s="278" t="s">
        <v>906</v>
      </c>
    </row>
    <row r="77" spans="1:23">
      <c r="B77" s="16"/>
    </row>
    <row r="78" spans="1:23" s="262" customFormat="1">
      <c r="A78" s="725"/>
      <c r="B78" s="726" t="s">
        <v>924</v>
      </c>
      <c r="C78" s="725"/>
      <c r="D78" s="725"/>
      <c r="E78" s="725"/>
      <c r="F78" s="725"/>
      <c r="G78" s="725"/>
      <c r="H78" s="725"/>
      <c r="I78" s="2"/>
      <c r="J78" s="2"/>
      <c r="K78" s="2"/>
      <c r="L78" s="2"/>
      <c r="M78" s="2"/>
      <c r="N78" s="2"/>
      <c r="O78" s="2"/>
      <c r="P78" s="2"/>
      <c r="Q78" s="2"/>
      <c r="R78" s="2"/>
      <c r="S78" s="2"/>
      <c r="T78" s="2"/>
      <c r="U78" s="2"/>
      <c r="V78" s="2"/>
      <c r="W78" s="2"/>
    </row>
    <row r="79" spans="1:23">
      <c r="B79" s="277" t="s">
        <v>165</v>
      </c>
      <c r="C79" s="277" t="s">
        <v>925</v>
      </c>
      <c r="D79" s="277" t="s">
        <v>926</v>
      </c>
      <c r="E79" s="1134" t="s">
        <v>927</v>
      </c>
      <c r="F79" s="1134"/>
      <c r="G79" s="1134"/>
      <c r="H79" s="1134"/>
    </row>
    <row r="80" spans="1:23">
      <c r="B80" s="278" t="s">
        <v>169</v>
      </c>
      <c r="C80" s="278" t="s">
        <v>166</v>
      </c>
      <c r="D80" s="278">
        <f>VLOOKUP(C80,METHODOLOGY!$C$175:$D$177,2,FALSE)</f>
        <v>3</v>
      </c>
      <c r="E80" s="1087" t="str">
        <f>_xlfn.XLOOKUP(C80,METHODOLOGY!$E$150:$O$150,METHODOLOGY!$E$151:$O$151,"",0,1)</f>
        <v>Monetary values have been peer reviewed or are recommended / referenced in other, well recognised and accepted guidance / tools relevant to the water sector.</v>
      </c>
      <c r="F80" s="1087"/>
      <c r="G80" s="1087"/>
      <c r="H80" s="1087"/>
    </row>
    <row r="81" spans="1:23">
      <c r="B81" s="278" t="s">
        <v>173</v>
      </c>
      <c r="C81" s="278" t="s">
        <v>166</v>
      </c>
      <c r="D81" s="278">
        <f>VLOOKUP(C81,METHODOLOGY!$C$175:$D$177,2,FALSE)</f>
        <v>3</v>
      </c>
      <c r="E81" s="1087" t="str">
        <f>_xlfn.XLOOKUP(C81,METHODOLOGY!$E$150:$O$150,METHODOLOGY!$E$155:$O$155,"",0,1)</f>
        <v>Study has few limitations and is considered robust.</v>
      </c>
      <c r="F81" s="1087"/>
      <c r="G81" s="1087"/>
      <c r="H81" s="1087"/>
    </row>
    <row r="82" spans="1:23">
      <c r="B82" s="278" t="s">
        <v>177</v>
      </c>
      <c r="C82" s="278" t="s">
        <v>166</v>
      </c>
      <c r="D82" s="278">
        <f>VLOOKUP(C82,METHODOLOGY!$C$175:$D$177,2,FALSE)</f>
        <v>3</v>
      </c>
      <c r="E82" s="1087" t="str">
        <f>_xlfn.XLOOKUP(C82,METHODOLOGY!$E$150:$O$150,METHODOLOGY!$E$158:$O$158,"",0,1)</f>
        <v>0 – 5 years</v>
      </c>
      <c r="F82" s="1087"/>
      <c r="G82" s="1087"/>
      <c r="H82" s="1087"/>
    </row>
    <row r="83" spans="1:23">
      <c r="B83" s="278" t="s">
        <v>181</v>
      </c>
      <c r="C83" s="278" t="s">
        <v>166</v>
      </c>
      <c r="D83" s="278">
        <f>VLOOKUP(C83,METHODOLOGY!$C$175:$D$177,2,FALSE)</f>
        <v>3</v>
      </c>
      <c r="E83" s="1087" t="str">
        <f>_xlfn.XLOOKUP(C83,METHODOLOGY!$E$150:$O$150,METHODOLOGY!$E$160:$O$160,"",0,1)</f>
        <v>Geographically relevant to UK</v>
      </c>
      <c r="F83" s="1087"/>
      <c r="G83" s="1087"/>
      <c r="H83" s="1087"/>
    </row>
    <row r="84" spans="1:23">
      <c r="B84" s="278" t="s">
        <v>928</v>
      </c>
      <c r="C84" s="278" t="s">
        <v>166</v>
      </c>
      <c r="D84" s="278">
        <f>VLOOKUP(C84,METHODOLOGY!$C$175:$D$177,2,FALSE)</f>
        <v>3</v>
      </c>
      <c r="E84" s="1087" t="str">
        <f>_xlfn.XLOOKUP(C84,METHODOLOGY!$E$150:$O$150,METHODOLOGY!$E$162:$O$162,"",0,1)</f>
        <v>Clear understanding of the valuation method and how the value should be applied.</v>
      </c>
      <c r="F84" s="1087"/>
      <c r="G84" s="1087"/>
      <c r="H84" s="1087"/>
    </row>
    <row r="85" spans="1:23">
      <c r="B85" s="278" t="s">
        <v>189</v>
      </c>
      <c r="C85" s="278" t="s">
        <v>168</v>
      </c>
      <c r="D85" s="278">
        <f>VLOOKUP(C85,METHODOLOGY!$C$175:$D$177,2,FALSE)</f>
        <v>1</v>
      </c>
      <c r="E85" s="1087" t="str">
        <f>_xlfn.XLOOKUP(C85,METHODOLOGY!$E$150:$O$150,METHODOLOGY!$E$164:$O$164,"",0,1)</f>
        <v xml:space="preserve">The original valuation can be used with significant modification e.g. several additional data inputs are required to use the original source. The calculation is complex or introduces significant uncertainty. </v>
      </c>
      <c r="F85" s="1087"/>
      <c r="G85" s="1087"/>
      <c r="H85" s="1087"/>
    </row>
    <row r="86" spans="1:23">
      <c r="C86" s="282" t="s">
        <v>924</v>
      </c>
      <c r="D86" s="326">
        <f>IF(AND(D85=1,AVERAGE(D80:D85)&gt;2.14285714285714),2.14285714285714,IF(AND(D85=2,AVERAGE(D80:D85)&gt;2.57142857142857),2.57142857142857,AVERAGE(D80:D85)))</f>
        <v>2.1428571428571401</v>
      </c>
      <c r="E86" s="270" t="str">
        <f>IF(D86&lt;=2.14285714285714,"Red",IF(D86&lt;=2.57142857142857,"Amber",IF(D86&lt;=3,"Green")))</f>
        <v>Red</v>
      </c>
    </row>
    <row r="89" spans="1:23" s="262" customFormat="1">
      <c r="A89" s="725"/>
      <c r="B89" s="726" t="s">
        <v>929</v>
      </c>
      <c r="C89" s="725"/>
      <c r="D89" s="725"/>
      <c r="E89" s="725"/>
      <c r="F89" s="725"/>
      <c r="G89" s="725"/>
      <c r="H89" s="725"/>
      <c r="I89" s="2"/>
      <c r="J89" s="2"/>
      <c r="K89" s="2"/>
      <c r="L89" s="2"/>
      <c r="M89" s="2"/>
      <c r="N89" s="2"/>
      <c r="O89" s="2"/>
      <c r="P89" s="2"/>
      <c r="Q89" s="2"/>
      <c r="R89" s="2"/>
      <c r="S89" s="2"/>
      <c r="T89" s="2"/>
      <c r="U89" s="2"/>
      <c r="V89" s="2"/>
      <c r="W89" s="2"/>
    </row>
    <row r="90" spans="1:23">
      <c r="B90" s="277" t="s">
        <v>913</v>
      </c>
      <c r="C90" s="277" t="s">
        <v>1089</v>
      </c>
      <c r="D90" s="277" t="s">
        <v>902</v>
      </c>
      <c r="E90" s="277" t="s">
        <v>331</v>
      </c>
      <c r="F90" s="277" t="s">
        <v>226</v>
      </c>
      <c r="G90" s="1164" t="s">
        <v>930</v>
      </c>
      <c r="H90" s="1165"/>
      <c r="I90" s="1165"/>
      <c r="J90" s="1165"/>
      <c r="K90" s="1165"/>
      <c r="L90" s="1166"/>
    </row>
    <row r="91" spans="1:23" ht="57.95">
      <c r="B91" s="338">
        <v>104</v>
      </c>
      <c r="C91" s="338" t="s">
        <v>452</v>
      </c>
      <c r="D91" s="342" t="s">
        <v>1733</v>
      </c>
      <c r="E91" s="493">
        <v>0.25</v>
      </c>
      <c r="F91" s="403" t="s">
        <v>1734</v>
      </c>
      <c r="G91" s="1142" t="s">
        <v>1735</v>
      </c>
      <c r="H91" s="1150"/>
      <c r="I91" s="1150"/>
      <c r="J91" s="1150"/>
      <c r="K91" s="1150"/>
      <c r="L91" s="1151"/>
    </row>
    <row r="92" spans="1:23" ht="57.95">
      <c r="B92" s="338">
        <v>104</v>
      </c>
      <c r="C92" s="338" t="s">
        <v>452</v>
      </c>
      <c r="D92" s="342" t="s">
        <v>1733</v>
      </c>
      <c r="E92" s="338">
        <v>11</v>
      </c>
      <c r="F92" s="403" t="s">
        <v>1736</v>
      </c>
      <c r="G92" s="1142" t="s">
        <v>1737</v>
      </c>
      <c r="H92" s="1150"/>
      <c r="I92" s="1150"/>
      <c r="J92" s="1150"/>
      <c r="K92" s="1150"/>
      <c r="L92" s="1151"/>
    </row>
    <row r="93" spans="1:23" ht="26.25" customHeight="1">
      <c r="B93" s="338">
        <v>104</v>
      </c>
      <c r="C93" s="338" t="s">
        <v>452</v>
      </c>
      <c r="D93" s="342" t="s">
        <v>1733</v>
      </c>
      <c r="E93" s="338">
        <v>11</v>
      </c>
      <c r="F93" s="403" t="s">
        <v>1736</v>
      </c>
      <c r="G93" s="1142" t="s">
        <v>1738</v>
      </c>
      <c r="H93" s="1150"/>
      <c r="I93" s="1150"/>
      <c r="J93" s="1150"/>
      <c r="K93" s="1150"/>
      <c r="L93" s="1151"/>
    </row>
    <row r="94" spans="1:23" ht="29.25" customHeight="1">
      <c r="B94" s="338">
        <v>104</v>
      </c>
      <c r="C94" s="338" t="s">
        <v>452</v>
      </c>
      <c r="D94" s="342" t="s">
        <v>1733</v>
      </c>
      <c r="E94" s="338">
        <v>0.6</v>
      </c>
      <c r="F94" s="403" t="s">
        <v>1736</v>
      </c>
      <c r="G94" s="1142" t="s">
        <v>1739</v>
      </c>
      <c r="H94" s="1150"/>
      <c r="I94" s="1150"/>
      <c r="J94" s="1150"/>
      <c r="K94" s="1150"/>
      <c r="L94" s="1151"/>
    </row>
    <row r="95" spans="1:23" ht="57.95">
      <c r="B95" s="338">
        <v>106</v>
      </c>
      <c r="C95" s="338" t="s">
        <v>452</v>
      </c>
      <c r="D95" s="342" t="s">
        <v>1733</v>
      </c>
      <c r="E95" s="493">
        <v>0.34</v>
      </c>
      <c r="F95" s="403" t="s">
        <v>1740</v>
      </c>
      <c r="G95" s="1142" t="s">
        <v>1741</v>
      </c>
      <c r="H95" s="1150"/>
      <c r="I95" s="1150"/>
      <c r="J95" s="1150"/>
      <c r="K95" s="1150"/>
      <c r="L95" s="1151"/>
    </row>
    <row r="96" spans="1:23" ht="57.95">
      <c r="B96" s="338">
        <v>106</v>
      </c>
      <c r="C96" s="338" t="s">
        <v>452</v>
      </c>
      <c r="D96" s="342" t="s">
        <v>1733</v>
      </c>
      <c r="E96" s="493">
        <v>0.45500000000000002</v>
      </c>
      <c r="F96" s="403" t="s">
        <v>1740</v>
      </c>
      <c r="G96" s="1142" t="s">
        <v>1742</v>
      </c>
      <c r="H96" s="1150"/>
      <c r="I96" s="1150"/>
      <c r="J96" s="1150"/>
      <c r="K96" s="1150"/>
      <c r="L96" s="1151"/>
    </row>
    <row r="97" spans="2:12" ht="57.95">
      <c r="B97" s="338">
        <v>106</v>
      </c>
      <c r="C97" s="338" t="s">
        <v>452</v>
      </c>
      <c r="D97" s="342" t="s">
        <v>1733</v>
      </c>
      <c r="E97" s="493">
        <v>0.6</v>
      </c>
      <c r="F97" s="403" t="s">
        <v>1740</v>
      </c>
      <c r="G97" s="1142" t="s">
        <v>1743</v>
      </c>
      <c r="H97" s="1150"/>
      <c r="I97" s="1150"/>
      <c r="J97" s="1150"/>
      <c r="K97" s="1150"/>
      <c r="L97" s="1151"/>
    </row>
    <row r="98" spans="2:12" ht="57.95">
      <c r="B98" s="338">
        <v>105</v>
      </c>
      <c r="C98" s="338" t="s">
        <v>452</v>
      </c>
      <c r="D98" s="342" t="s">
        <v>1733</v>
      </c>
      <c r="E98" s="401">
        <f>AVERAGE(C104:C115)</f>
        <v>339.3</v>
      </c>
      <c r="F98" s="403" t="s">
        <v>305</v>
      </c>
      <c r="G98" s="1142" t="s">
        <v>1744</v>
      </c>
      <c r="H98" s="1150"/>
      <c r="I98" s="1150"/>
      <c r="J98" s="1150"/>
      <c r="K98" s="1150"/>
      <c r="L98" s="1151"/>
    </row>
    <row r="99" spans="2:12" ht="57.95">
      <c r="B99" s="338">
        <v>105</v>
      </c>
      <c r="C99" s="338" t="s">
        <v>452</v>
      </c>
      <c r="D99" s="342" t="s">
        <v>1733</v>
      </c>
      <c r="E99" s="401">
        <f>AVERAGE(D104:D115)</f>
        <v>352.58333333333331</v>
      </c>
      <c r="F99" s="403" t="s">
        <v>305</v>
      </c>
      <c r="G99" s="1142" t="s">
        <v>1745</v>
      </c>
      <c r="H99" s="1150"/>
      <c r="I99" s="1150"/>
      <c r="J99" s="1150"/>
      <c r="K99" s="1150"/>
      <c r="L99" s="1151"/>
    </row>
    <row r="100" spans="2:12" ht="27.95" customHeight="1">
      <c r="B100" s="338">
        <v>105</v>
      </c>
      <c r="C100" s="338" t="s">
        <v>452</v>
      </c>
      <c r="D100" s="342" t="s">
        <v>1733</v>
      </c>
      <c r="E100" s="401">
        <f>AVERAGE(E104:E115)</f>
        <v>450.58333333333331</v>
      </c>
      <c r="F100" s="403" t="s">
        <v>305</v>
      </c>
      <c r="G100" s="1142" t="s">
        <v>1746</v>
      </c>
      <c r="H100" s="1150"/>
      <c r="I100" s="1150"/>
      <c r="J100" s="1150"/>
      <c r="K100" s="1150"/>
      <c r="L100" s="1151"/>
    </row>
    <row r="102" spans="2:12">
      <c r="B102" s="16" t="s">
        <v>1747</v>
      </c>
    </row>
    <row r="103" spans="2:12">
      <c r="B103" s="277" t="s">
        <v>1748</v>
      </c>
      <c r="C103" s="277" t="s">
        <v>1749</v>
      </c>
      <c r="D103" s="277" t="s">
        <v>1750</v>
      </c>
      <c r="E103" s="277" t="s">
        <v>1751</v>
      </c>
      <c r="F103" s="277" t="s">
        <v>226</v>
      </c>
    </row>
    <row r="104" spans="2:12">
      <c r="B104" s="494">
        <v>45658</v>
      </c>
      <c r="C104" s="401">
        <v>356</v>
      </c>
      <c r="D104" s="401">
        <v>325</v>
      </c>
      <c r="E104" s="401">
        <v>472</v>
      </c>
      <c r="F104" s="403" t="s">
        <v>305</v>
      </c>
      <c r="G104" s="19"/>
    </row>
    <row r="105" spans="2:12">
      <c r="B105" s="494">
        <v>45627</v>
      </c>
      <c r="C105" s="401"/>
      <c r="D105" s="401">
        <v>324</v>
      </c>
      <c r="E105" s="401">
        <v>455</v>
      </c>
      <c r="F105" s="403" t="s">
        <v>305</v>
      </c>
      <c r="G105" s="19"/>
    </row>
    <row r="106" spans="2:12">
      <c r="B106" s="494">
        <v>45597</v>
      </c>
      <c r="C106" s="401">
        <v>342</v>
      </c>
      <c r="D106" s="401">
        <v>327</v>
      </c>
      <c r="E106" s="401">
        <v>452</v>
      </c>
      <c r="F106" s="403" t="s">
        <v>305</v>
      </c>
      <c r="G106" s="19"/>
    </row>
    <row r="107" spans="2:12">
      <c r="B107" s="494">
        <v>45566</v>
      </c>
      <c r="C107" s="401">
        <v>341</v>
      </c>
      <c r="D107" s="401">
        <v>341</v>
      </c>
      <c r="E107" s="401">
        <v>455</v>
      </c>
      <c r="F107" s="403" t="s">
        <v>305</v>
      </c>
      <c r="G107" s="19"/>
    </row>
    <row r="108" spans="2:12">
      <c r="B108" s="494">
        <v>45536</v>
      </c>
      <c r="C108" s="401">
        <v>336</v>
      </c>
      <c r="D108" s="401">
        <v>352</v>
      </c>
      <c r="E108" s="401">
        <v>464</v>
      </c>
      <c r="F108" s="403" t="s">
        <v>305</v>
      </c>
      <c r="G108" s="19"/>
    </row>
    <row r="109" spans="2:12">
      <c r="B109" s="494">
        <v>45505</v>
      </c>
      <c r="C109" s="401">
        <v>338</v>
      </c>
      <c r="D109" s="401">
        <v>358</v>
      </c>
      <c r="E109" s="401">
        <v>471</v>
      </c>
      <c r="F109" s="403" t="s">
        <v>305</v>
      </c>
      <c r="G109" s="19"/>
    </row>
    <row r="110" spans="2:12">
      <c r="B110" s="494">
        <v>45474</v>
      </c>
      <c r="C110" s="401">
        <v>338</v>
      </c>
      <c r="D110" s="401">
        <v>361</v>
      </c>
      <c r="E110" s="401">
        <v>465</v>
      </c>
      <c r="F110" s="403" t="s">
        <v>305</v>
      </c>
      <c r="G110" s="19"/>
    </row>
    <row r="111" spans="2:12">
      <c r="B111" s="494">
        <v>45444</v>
      </c>
      <c r="C111" s="401">
        <v>333</v>
      </c>
      <c r="D111" s="401">
        <v>365</v>
      </c>
      <c r="E111" s="401">
        <v>449</v>
      </c>
      <c r="F111" s="403" t="s">
        <v>305</v>
      </c>
    </row>
    <row r="112" spans="2:12">
      <c r="B112" s="494">
        <v>45413</v>
      </c>
      <c r="C112" s="401">
        <v>333</v>
      </c>
      <c r="D112" s="401">
        <v>364</v>
      </c>
      <c r="E112" s="401">
        <v>430</v>
      </c>
      <c r="F112" s="403" t="s">
        <v>305</v>
      </c>
    </row>
    <row r="113" spans="1:23">
      <c r="B113" s="494">
        <v>45383</v>
      </c>
      <c r="C113" s="401">
        <v>337</v>
      </c>
      <c r="D113" s="401">
        <v>369</v>
      </c>
      <c r="E113" s="401">
        <v>431</v>
      </c>
      <c r="F113" s="403" t="s">
        <v>305</v>
      </c>
    </row>
    <row r="114" spans="1:23">
      <c r="B114" s="494">
        <v>45352</v>
      </c>
      <c r="C114" s="401">
        <v>339</v>
      </c>
      <c r="D114" s="401">
        <v>370</v>
      </c>
      <c r="E114" s="401">
        <v>432</v>
      </c>
      <c r="F114" s="403" t="s">
        <v>305</v>
      </c>
    </row>
    <row r="115" spans="1:23">
      <c r="B115" s="494">
        <v>45323</v>
      </c>
      <c r="C115" s="401"/>
      <c r="D115" s="401">
        <v>375</v>
      </c>
      <c r="E115" s="401">
        <v>431</v>
      </c>
      <c r="F115" s="403" t="s">
        <v>305</v>
      </c>
    </row>
    <row r="117" spans="1:23" s="262" customFormat="1">
      <c r="A117" s="725"/>
      <c r="B117" s="726" t="s">
        <v>936</v>
      </c>
      <c r="C117" s="725"/>
      <c r="D117" s="725"/>
      <c r="E117" s="725"/>
      <c r="F117" s="725"/>
      <c r="G117" s="725"/>
      <c r="H117" s="725"/>
      <c r="I117" s="2"/>
      <c r="J117" s="2"/>
      <c r="K117" s="2"/>
      <c r="L117" s="2"/>
      <c r="M117" s="2"/>
      <c r="N117" s="2"/>
      <c r="O117" s="2"/>
      <c r="P117" s="2"/>
      <c r="Q117" s="2"/>
      <c r="R117" s="2"/>
      <c r="S117" s="2"/>
      <c r="T117" s="2"/>
      <c r="U117" s="2"/>
      <c r="V117" s="2"/>
      <c r="W117" s="2"/>
    </row>
    <row r="118" spans="1:23" s="262" customFormat="1">
      <c r="A118" s="2"/>
      <c r="B118" s="277" t="s">
        <v>936</v>
      </c>
      <c r="C118" s="277" t="s">
        <v>1752</v>
      </c>
      <c r="D118" s="277" t="s">
        <v>1753</v>
      </c>
      <c r="E118" s="277" t="s">
        <v>1754</v>
      </c>
      <c r="F118" s="277" t="s">
        <v>1100</v>
      </c>
      <c r="G118" s="277" t="s">
        <v>226</v>
      </c>
      <c r="H118" s="1128" t="s">
        <v>1649</v>
      </c>
      <c r="I118" s="1129"/>
      <c r="J118" s="1130"/>
      <c r="K118" s="2"/>
      <c r="L118" s="2"/>
      <c r="M118" s="2"/>
      <c r="N118" s="2"/>
      <c r="O118" s="2"/>
      <c r="P118" s="2"/>
      <c r="Q118" s="2"/>
      <c r="R118" s="2"/>
      <c r="S118" s="2"/>
      <c r="T118" s="2"/>
      <c r="U118" s="2"/>
      <c r="V118" s="2"/>
      <c r="W118" s="2"/>
    </row>
    <row r="119" spans="1:23" s="262" customFormat="1">
      <c r="A119" s="2"/>
      <c r="B119" s="334" t="s">
        <v>1755</v>
      </c>
      <c r="C119" s="334">
        <f>E92</f>
        <v>11</v>
      </c>
      <c r="D119" s="334">
        <f>E93</f>
        <v>11</v>
      </c>
      <c r="E119" s="336">
        <f>E94</f>
        <v>0.6</v>
      </c>
      <c r="F119" s="336"/>
      <c r="G119" s="295" t="s">
        <v>1736</v>
      </c>
      <c r="H119" s="1332"/>
      <c r="I119" s="1333"/>
      <c r="J119" s="1334"/>
      <c r="K119" s="2"/>
      <c r="L119" s="2"/>
      <c r="M119" s="2"/>
      <c r="N119" s="2"/>
      <c r="O119" s="2"/>
      <c r="P119" s="2"/>
      <c r="Q119" s="2"/>
      <c r="R119" s="2"/>
      <c r="S119" s="2"/>
      <c r="T119" s="2"/>
      <c r="U119" s="2"/>
      <c r="V119" s="2"/>
      <c r="W119" s="2"/>
    </row>
    <row r="120" spans="1:23" s="262" customFormat="1">
      <c r="A120" s="2"/>
      <c r="B120" s="334" t="s">
        <v>1756</v>
      </c>
      <c r="C120" s="334">
        <f>(C119/1000)*100</f>
        <v>1.0999999999999999</v>
      </c>
      <c r="D120" s="334">
        <f>(D119/1000)*100</f>
        <v>1.0999999999999999</v>
      </c>
      <c r="E120" s="334">
        <f>(E119/1000)*100</f>
        <v>0.06</v>
      </c>
      <c r="F120" s="334"/>
      <c r="G120" s="295" t="s">
        <v>1757</v>
      </c>
      <c r="H120" s="1172" t="s">
        <v>1758</v>
      </c>
      <c r="I120" s="1173"/>
      <c r="J120" s="1174"/>
      <c r="K120" s="2"/>
      <c r="L120" s="2"/>
      <c r="M120" s="2"/>
      <c r="N120" s="2"/>
      <c r="O120" s="2"/>
      <c r="P120" s="2"/>
      <c r="Q120" s="2"/>
      <c r="R120" s="2"/>
      <c r="S120" s="2"/>
      <c r="T120" s="2"/>
      <c r="U120" s="2"/>
      <c r="V120" s="2"/>
      <c r="W120" s="2"/>
    </row>
    <row r="121" spans="1:23" s="262" customFormat="1">
      <c r="A121" s="2"/>
      <c r="B121" s="334" t="s">
        <v>1759</v>
      </c>
      <c r="C121" s="334">
        <f>C120/$E91</f>
        <v>4.3999999999999995</v>
      </c>
      <c r="D121" s="334">
        <f>D120/$E91</f>
        <v>4.3999999999999995</v>
      </c>
      <c r="E121" s="334">
        <f>E120/$E91</f>
        <v>0.24</v>
      </c>
      <c r="F121" s="334"/>
      <c r="G121" s="295" t="s">
        <v>1760</v>
      </c>
      <c r="H121" s="1332"/>
      <c r="I121" s="1333"/>
      <c r="J121" s="1334"/>
      <c r="K121" s="2"/>
      <c r="L121" s="2"/>
      <c r="M121" s="2"/>
      <c r="N121" s="2"/>
      <c r="O121" s="2"/>
      <c r="P121" s="2"/>
      <c r="Q121" s="2"/>
      <c r="R121" s="2"/>
      <c r="S121" s="2"/>
      <c r="T121" s="2"/>
      <c r="U121" s="2"/>
      <c r="V121" s="2"/>
      <c r="W121" s="2"/>
    </row>
    <row r="122" spans="1:23" s="262" customFormat="1">
      <c r="A122" s="2"/>
      <c r="B122" s="334" t="s">
        <v>1761</v>
      </c>
      <c r="C122" s="334">
        <f>(C121/100)*1000</f>
        <v>44</v>
      </c>
      <c r="D122" s="334">
        <f>(D121/100)*1000</f>
        <v>44</v>
      </c>
      <c r="E122" s="334">
        <f>(E121/100)*1000</f>
        <v>2.4</v>
      </c>
      <c r="F122" s="334"/>
      <c r="G122" s="295" t="s">
        <v>1736</v>
      </c>
      <c r="H122" s="1332"/>
      <c r="I122" s="1333"/>
      <c r="J122" s="1334"/>
      <c r="K122" s="2"/>
      <c r="L122" s="2"/>
      <c r="M122" s="2"/>
      <c r="N122" s="2"/>
      <c r="O122" s="2"/>
      <c r="P122" s="2"/>
      <c r="Q122" s="2"/>
      <c r="R122" s="2"/>
      <c r="S122" s="2"/>
      <c r="T122" s="2"/>
      <c r="U122" s="2"/>
      <c r="V122" s="2"/>
      <c r="W122" s="2"/>
    </row>
    <row r="123" spans="1:23" s="262" customFormat="1">
      <c r="A123" s="2"/>
      <c r="B123" s="334" t="s">
        <v>1762</v>
      </c>
      <c r="C123" s="495">
        <f>E95</f>
        <v>0.34</v>
      </c>
      <c r="D123" s="495">
        <f>E96</f>
        <v>0.45500000000000002</v>
      </c>
      <c r="E123" s="495">
        <f>E97</f>
        <v>0.6</v>
      </c>
      <c r="F123" s="495"/>
      <c r="G123" s="295" t="s">
        <v>1646</v>
      </c>
      <c r="H123" s="1332"/>
      <c r="I123" s="1333"/>
      <c r="J123" s="1334"/>
      <c r="K123" s="2"/>
      <c r="L123" s="2"/>
      <c r="M123" s="2"/>
      <c r="N123" s="2"/>
      <c r="O123" s="2"/>
      <c r="P123" s="2"/>
      <c r="Q123" s="2"/>
      <c r="R123" s="2"/>
      <c r="S123" s="2"/>
      <c r="T123" s="2"/>
      <c r="U123" s="2"/>
      <c r="V123" s="2"/>
      <c r="W123" s="2"/>
    </row>
    <row r="124" spans="1:23" s="262" customFormat="1">
      <c r="A124" s="2"/>
      <c r="B124" s="334" t="s">
        <v>1763</v>
      </c>
      <c r="C124" s="334">
        <f>(C122/1000)/C123</f>
        <v>0.12941176470588234</v>
      </c>
      <c r="D124" s="334">
        <f>(D122/1000)/D123</f>
        <v>9.6703296703296693E-2</v>
      </c>
      <c r="E124" s="334">
        <f>(E122/1000)/E123</f>
        <v>4.0000000000000001E-3</v>
      </c>
      <c r="F124" s="334"/>
      <c r="G124" s="295" t="s">
        <v>1764</v>
      </c>
      <c r="H124" s="1332"/>
      <c r="I124" s="1333"/>
      <c r="J124" s="1334"/>
      <c r="K124" s="2"/>
      <c r="L124" s="2"/>
      <c r="M124" s="2"/>
      <c r="N124" s="2"/>
      <c r="O124" s="2"/>
      <c r="P124" s="2"/>
      <c r="Q124" s="2"/>
      <c r="R124" s="2"/>
      <c r="S124" s="2"/>
      <c r="T124" s="2"/>
      <c r="U124" s="2"/>
      <c r="V124" s="2"/>
      <c r="W124" s="2"/>
    </row>
    <row r="125" spans="1:23" s="262" customFormat="1">
      <c r="A125" s="2"/>
      <c r="B125" s="334" t="s">
        <v>1765</v>
      </c>
      <c r="C125" s="355">
        <f>E98</f>
        <v>339.3</v>
      </c>
      <c r="D125" s="355">
        <f>E99</f>
        <v>352.58333333333331</v>
      </c>
      <c r="E125" s="355">
        <f>E100</f>
        <v>450.58333333333331</v>
      </c>
      <c r="F125" s="355"/>
      <c r="G125" s="295" t="s">
        <v>305</v>
      </c>
      <c r="H125" s="1332"/>
      <c r="I125" s="1333"/>
      <c r="J125" s="1334"/>
      <c r="K125" s="2"/>
      <c r="L125" s="2"/>
      <c r="M125" s="2"/>
      <c r="N125" s="2"/>
      <c r="O125" s="2"/>
      <c r="P125" s="2"/>
      <c r="Q125" s="2"/>
      <c r="R125" s="2"/>
      <c r="S125" s="2"/>
      <c r="T125" s="2"/>
      <c r="U125" s="2"/>
      <c r="V125" s="2"/>
      <c r="W125" s="2"/>
    </row>
    <row r="126" spans="1:23" s="262" customFormat="1">
      <c r="A126" s="2"/>
      <c r="B126" s="334" t="s">
        <v>1766</v>
      </c>
      <c r="C126" s="355">
        <f>C124*C125</f>
        <v>43.909411764705879</v>
      </c>
      <c r="D126" s="496">
        <f>D124*D125</f>
        <v>34.095970695970692</v>
      </c>
      <c r="E126" s="496">
        <f>E124*E125</f>
        <v>1.8023333333333333</v>
      </c>
      <c r="F126" s="496"/>
      <c r="G126" s="295" t="s">
        <v>305</v>
      </c>
      <c r="H126" s="1172" t="s">
        <v>1767</v>
      </c>
      <c r="I126" s="1173"/>
      <c r="J126" s="1174"/>
      <c r="K126" s="2"/>
      <c r="L126" s="2"/>
      <c r="M126" s="2"/>
      <c r="N126" s="2"/>
      <c r="O126" s="2"/>
      <c r="P126" s="2"/>
      <c r="Q126" s="2"/>
      <c r="R126" s="2"/>
      <c r="S126" s="2"/>
      <c r="T126" s="2"/>
      <c r="U126" s="2"/>
      <c r="V126" s="2"/>
      <c r="W126" s="2"/>
    </row>
    <row r="127" spans="1:23" s="262" customFormat="1">
      <c r="A127" s="2"/>
      <c r="B127" s="334" t="s">
        <v>1100</v>
      </c>
      <c r="C127" s="496"/>
      <c r="D127" s="496"/>
      <c r="E127" s="496"/>
      <c r="F127" s="496">
        <f>SUM(C126:E126)</f>
        <v>79.807715794009908</v>
      </c>
      <c r="G127" s="295" t="s">
        <v>305</v>
      </c>
      <c r="H127" s="1332"/>
      <c r="I127" s="1333"/>
      <c r="J127" s="1334"/>
      <c r="K127" s="2"/>
      <c r="L127" s="2"/>
      <c r="M127" s="2"/>
      <c r="N127" s="2"/>
      <c r="O127" s="2"/>
      <c r="P127" s="2"/>
      <c r="Q127" s="2"/>
      <c r="R127" s="2"/>
      <c r="S127" s="2"/>
      <c r="T127" s="2"/>
      <c r="U127" s="2"/>
      <c r="V127" s="2"/>
      <c r="W127" s="2"/>
    </row>
    <row r="128" spans="1:23" s="262" customFormat="1">
      <c r="A128" s="2"/>
      <c r="B128" s="3"/>
      <c r="C128" s="129"/>
      <c r="D128" s="24"/>
      <c r="E128" s="252"/>
      <c r="F128" s="252"/>
      <c r="G128" s="252"/>
      <c r="H128" s="252"/>
      <c r="I128" s="252"/>
      <c r="J128" s="252"/>
      <c r="K128" s="2"/>
      <c r="L128" s="2"/>
      <c r="M128" s="2"/>
      <c r="N128" s="2"/>
      <c r="O128" s="2"/>
      <c r="P128" s="2"/>
      <c r="Q128" s="2"/>
      <c r="R128" s="2"/>
      <c r="S128" s="2"/>
      <c r="T128" s="2"/>
      <c r="U128" s="2"/>
      <c r="V128" s="2"/>
      <c r="W128" s="2"/>
    </row>
    <row r="129" spans="1:14" s="262" customFormat="1">
      <c r="A129" s="721"/>
      <c r="B129" s="722" t="s">
        <v>456</v>
      </c>
      <c r="C129" s="721"/>
      <c r="D129" s="721"/>
      <c r="E129" s="721"/>
      <c r="F129" s="721"/>
      <c r="G129" s="721"/>
      <c r="H129" s="721"/>
      <c r="I129" s="2"/>
      <c r="J129" s="2"/>
      <c r="K129" s="2"/>
      <c r="L129" s="2"/>
      <c r="M129" s="2"/>
      <c r="N129" s="2"/>
    </row>
    <row r="130" spans="1:14" s="262" customFormat="1">
      <c r="A130" s="727"/>
      <c r="B130" s="729" t="s">
        <v>897</v>
      </c>
      <c r="C130" s="727"/>
      <c r="D130" s="727"/>
      <c r="E130" s="727"/>
      <c r="F130" s="727"/>
      <c r="G130" s="727"/>
      <c r="H130" s="727"/>
      <c r="I130" s="2"/>
      <c r="J130" s="2"/>
      <c r="K130" s="2"/>
      <c r="L130" s="2"/>
      <c r="M130" s="2"/>
      <c r="N130" s="2"/>
    </row>
    <row r="131" spans="1:14" s="262" customFormat="1">
      <c r="A131" s="2"/>
      <c r="B131" s="277" t="s">
        <v>898</v>
      </c>
      <c r="C131" s="277" t="s">
        <v>899</v>
      </c>
      <c r="D131" s="2"/>
      <c r="E131" s="2"/>
      <c r="F131" s="2"/>
      <c r="G131" s="2"/>
      <c r="H131" s="2"/>
      <c r="I131" s="2"/>
      <c r="J131" s="2"/>
      <c r="K131" s="2"/>
      <c r="L131" s="2"/>
      <c r="M131" s="2"/>
      <c r="N131" s="2"/>
    </row>
    <row r="132" spans="1:14" s="262" customFormat="1">
      <c r="A132" s="2"/>
      <c r="B132" s="278" t="s">
        <v>456</v>
      </c>
      <c r="C132" s="278" t="s">
        <v>1679</v>
      </c>
      <c r="D132" s="2"/>
      <c r="E132" s="2"/>
      <c r="F132" s="2"/>
      <c r="G132" s="2"/>
      <c r="H132" s="2"/>
      <c r="I132" s="2"/>
      <c r="J132" s="2"/>
      <c r="K132" s="2"/>
      <c r="L132" s="2"/>
      <c r="M132" s="2"/>
      <c r="N132" s="2"/>
    </row>
    <row r="133" spans="1:14" s="262" customFormat="1">
      <c r="A133" s="2"/>
      <c r="B133" s="16"/>
      <c r="C133" s="2"/>
      <c r="D133" s="2"/>
      <c r="E133" s="2"/>
      <c r="F133" s="2"/>
      <c r="G133" s="2"/>
      <c r="H133" s="2"/>
      <c r="I133" s="2"/>
      <c r="J133" s="2"/>
      <c r="K133" s="2"/>
      <c r="L133" s="2"/>
      <c r="M133" s="2"/>
      <c r="N133" s="2"/>
    </row>
    <row r="134" spans="1:14" s="262" customFormat="1">
      <c r="A134" s="727"/>
      <c r="B134" s="728" t="s">
        <v>1039</v>
      </c>
      <c r="C134" s="727"/>
      <c r="D134" s="727"/>
      <c r="E134" s="727"/>
      <c r="F134" s="727"/>
      <c r="G134" s="727"/>
      <c r="H134" s="727"/>
      <c r="I134" s="2"/>
      <c r="J134" s="2"/>
      <c r="K134" s="2"/>
      <c r="L134" s="2"/>
      <c r="M134" s="2"/>
      <c r="N134" s="2"/>
    </row>
    <row r="135" spans="1:14" s="262" customFormat="1">
      <c r="A135" s="725"/>
      <c r="B135" s="726" t="s">
        <v>912</v>
      </c>
      <c r="C135" s="725"/>
      <c r="D135" s="725"/>
      <c r="E135" s="725"/>
      <c r="F135" s="725"/>
      <c r="G135" s="725"/>
      <c r="H135" s="725"/>
      <c r="I135" s="2"/>
      <c r="J135" s="2"/>
      <c r="K135" s="2"/>
      <c r="L135" s="2"/>
      <c r="M135" s="2"/>
      <c r="N135" s="2"/>
    </row>
    <row r="136" spans="1:14" s="262" customFormat="1" ht="29.1">
      <c r="A136" s="2"/>
      <c r="B136" s="719" t="s">
        <v>913</v>
      </c>
      <c r="C136" s="719" t="s">
        <v>914</v>
      </c>
      <c r="D136" s="719" t="s">
        <v>915</v>
      </c>
      <c r="E136" s="719" t="s">
        <v>916</v>
      </c>
      <c r="F136" s="719" t="s">
        <v>917</v>
      </c>
      <c r="G136" s="719" t="s">
        <v>918</v>
      </c>
      <c r="H136" s="719" t="s">
        <v>919</v>
      </c>
      <c r="I136" s="2"/>
      <c r="J136" s="2"/>
      <c r="K136" s="2"/>
      <c r="L136" s="2"/>
      <c r="M136" s="2"/>
      <c r="N136" s="2"/>
    </row>
    <row r="137" spans="1:14" s="262" customFormat="1">
      <c r="A137" s="2"/>
      <c r="B137" s="278">
        <v>109</v>
      </c>
      <c r="C137" s="278" t="s">
        <v>1768</v>
      </c>
      <c r="D137" s="279" t="s">
        <v>907</v>
      </c>
      <c r="E137" s="278">
        <v>2013</v>
      </c>
      <c r="F137" s="278" t="s">
        <v>1769</v>
      </c>
      <c r="G137" s="278" t="s">
        <v>1769</v>
      </c>
      <c r="H137" s="278" t="s">
        <v>906</v>
      </c>
      <c r="I137" s="2"/>
      <c r="J137" s="2"/>
      <c r="K137" s="2"/>
      <c r="L137" s="2"/>
      <c r="M137" s="2"/>
      <c r="N137" s="2"/>
    </row>
    <row r="138" spans="1:14" s="262" customFormat="1">
      <c r="A138" s="2"/>
      <c r="B138" s="278">
        <v>107</v>
      </c>
      <c r="C138" s="278" t="s">
        <v>1770</v>
      </c>
      <c r="D138" s="279" t="s">
        <v>907</v>
      </c>
      <c r="E138" s="278">
        <v>2020</v>
      </c>
      <c r="F138" s="278" t="s">
        <v>1771</v>
      </c>
      <c r="G138" s="278" t="s">
        <v>1772</v>
      </c>
      <c r="H138" s="278" t="s">
        <v>923</v>
      </c>
      <c r="I138" s="2"/>
      <c r="J138" s="2"/>
      <c r="K138" s="2"/>
      <c r="L138" s="2"/>
      <c r="M138" s="2"/>
      <c r="N138" s="2"/>
    </row>
    <row r="139" spans="1:14" s="262" customFormat="1">
      <c r="A139" s="2"/>
      <c r="B139" s="278">
        <v>108</v>
      </c>
      <c r="C139" s="278" t="s">
        <v>1773</v>
      </c>
      <c r="D139" s="279" t="s">
        <v>907</v>
      </c>
      <c r="E139" s="278">
        <v>2016</v>
      </c>
      <c r="F139" s="278" t="s">
        <v>1047</v>
      </c>
      <c r="G139" s="278" t="s">
        <v>1047</v>
      </c>
      <c r="H139" s="278" t="s">
        <v>906</v>
      </c>
      <c r="I139" s="2"/>
      <c r="J139" s="2"/>
      <c r="K139" s="2"/>
      <c r="L139" s="2"/>
      <c r="M139" s="2"/>
      <c r="N139" s="2"/>
    </row>
    <row r="140" spans="1:14" s="262" customFormat="1">
      <c r="A140" s="2"/>
      <c r="B140" s="16"/>
      <c r="C140" s="2"/>
      <c r="D140" s="2"/>
      <c r="E140" s="2"/>
      <c r="F140" s="2"/>
      <c r="G140" s="2"/>
      <c r="H140" s="2"/>
      <c r="I140" s="2"/>
      <c r="J140" s="2"/>
      <c r="K140" s="2"/>
      <c r="L140" s="2"/>
      <c r="M140" s="2"/>
      <c r="N140" s="2"/>
    </row>
    <row r="141" spans="1:14" s="262" customFormat="1">
      <c r="A141" s="725"/>
      <c r="B141" s="726" t="s">
        <v>924</v>
      </c>
      <c r="C141" s="725"/>
      <c r="D141" s="725"/>
      <c r="E141" s="725"/>
      <c r="F141" s="725"/>
      <c r="G141" s="725"/>
      <c r="H141" s="725"/>
      <c r="I141" s="2"/>
      <c r="J141" s="2"/>
      <c r="K141" s="2"/>
      <c r="L141" s="2"/>
      <c r="M141" s="2"/>
      <c r="N141" s="2"/>
    </row>
    <row r="142" spans="1:14" s="262" customFormat="1">
      <c r="A142" s="2"/>
      <c r="B142" s="277" t="s">
        <v>165</v>
      </c>
      <c r="C142" s="277" t="s">
        <v>925</v>
      </c>
      <c r="D142" s="277" t="s">
        <v>926</v>
      </c>
      <c r="E142" s="1134" t="s">
        <v>927</v>
      </c>
      <c r="F142" s="1134"/>
      <c r="G142" s="1134"/>
      <c r="H142" s="1134"/>
      <c r="I142" s="2"/>
      <c r="J142" s="2"/>
      <c r="K142" s="2"/>
      <c r="L142" s="2"/>
      <c r="M142" s="2"/>
      <c r="N142" s="2"/>
    </row>
    <row r="143" spans="1:14" s="262" customFormat="1">
      <c r="A143" s="2"/>
      <c r="B143" s="278" t="s">
        <v>169</v>
      </c>
      <c r="C143" s="278" t="s">
        <v>167</v>
      </c>
      <c r="D143" s="278">
        <f>VLOOKUP(C143,METHODOLOGY!$C$175:$D$177,2,FALSE)</f>
        <v>2</v>
      </c>
      <c r="E143" s="1087" t="str">
        <f>_xlfn.XLOOKUP(C143,METHODOLOGY!$E$150:$O$150,METHODOLOGY!$E$151:$O$151,"",0,1)</f>
        <v>The monetary values are recommended / referenced in other, well recognised and accepted guidance / tools relevant to another sector.</v>
      </c>
      <c r="F143" s="1087"/>
      <c r="G143" s="1087"/>
      <c r="H143" s="1087"/>
      <c r="I143" s="2"/>
      <c r="J143" s="2"/>
      <c r="K143" s="2"/>
      <c r="L143" s="2"/>
      <c r="M143" s="2"/>
      <c r="N143" s="2"/>
    </row>
    <row r="144" spans="1:14" s="262" customFormat="1">
      <c r="A144" s="2"/>
      <c r="B144" s="278" t="s">
        <v>173</v>
      </c>
      <c r="C144" s="278" t="s">
        <v>167</v>
      </c>
      <c r="D144" s="278">
        <f>VLOOKUP(C144,METHODOLOGY!$C$175:$D$177,2,FALSE)</f>
        <v>2</v>
      </c>
      <c r="E144" s="1087" t="str">
        <f>_xlfn.XLOOKUP(C144,METHODOLOGY!$E$150:$O$150,METHODOLOGY!$E$155:$O$155,"",0,1)</f>
        <v>Study has some limitations which may impact on the robustness of the value.</v>
      </c>
      <c r="F144" s="1087"/>
      <c r="G144" s="1087"/>
      <c r="H144" s="1087"/>
      <c r="I144" s="2"/>
      <c r="J144" s="2"/>
      <c r="K144" s="2"/>
      <c r="L144" s="2"/>
      <c r="M144" s="2"/>
      <c r="N144" s="2"/>
    </row>
    <row r="145" spans="1:16" s="262" customFormat="1">
      <c r="A145" s="2"/>
      <c r="B145" s="278" t="s">
        <v>177</v>
      </c>
      <c r="C145" s="278" t="s">
        <v>168</v>
      </c>
      <c r="D145" s="278">
        <f>VLOOKUP(C145,METHODOLOGY!$C$175:$D$177,2,FALSE)</f>
        <v>1</v>
      </c>
      <c r="E145" s="1087" t="str">
        <f>_xlfn.XLOOKUP(C145,METHODOLOGY!$E$150:$O$150,METHODOLOGY!$E$158:$O$158,"",0,1)</f>
        <v>&gt;10 years</v>
      </c>
      <c r="F145" s="1087"/>
      <c r="G145" s="1087"/>
      <c r="H145" s="1087"/>
      <c r="I145" s="2"/>
      <c r="J145" s="2"/>
      <c r="K145" s="2"/>
      <c r="L145" s="2"/>
      <c r="M145" s="2"/>
      <c r="N145" s="2"/>
      <c r="O145" s="2"/>
      <c r="P145" s="2"/>
    </row>
    <row r="146" spans="1:16" s="262" customFormat="1">
      <c r="A146" s="2"/>
      <c r="B146" s="278" t="s">
        <v>181</v>
      </c>
      <c r="C146" s="278" t="s">
        <v>167</v>
      </c>
      <c r="D146" s="278">
        <f>VLOOKUP(C146,METHODOLOGY!$C$175:$D$177,2,FALSE)</f>
        <v>2</v>
      </c>
      <c r="E146" s="1087" t="str">
        <f>_xlfn.XLOOKUP(C146,METHODOLOGY!$E$150:$O$150,METHODOLOGY!$E$160:$O$160,"",0,1)</f>
        <v>Less geographically relevant e.g. Europe or relevant to a specific UK region</v>
      </c>
      <c r="F146" s="1087"/>
      <c r="G146" s="1087"/>
      <c r="H146" s="1087"/>
      <c r="I146" s="2"/>
      <c r="J146" s="2"/>
      <c r="K146" s="2"/>
      <c r="L146" s="2"/>
      <c r="M146" s="2"/>
      <c r="N146" s="2"/>
      <c r="O146" s="2"/>
      <c r="P146" s="2"/>
    </row>
    <row r="147" spans="1:16" s="262" customFormat="1">
      <c r="A147" s="2"/>
      <c r="B147" s="278" t="s">
        <v>928</v>
      </c>
      <c r="C147" s="278" t="s">
        <v>167</v>
      </c>
      <c r="D147" s="278">
        <f>VLOOKUP(C147,METHODOLOGY!$C$175:$D$177,2,FALSE)</f>
        <v>2</v>
      </c>
      <c r="E147" s="1087" t="str">
        <f>_xlfn.XLOOKUP(C147,METHODOLOGY!$E$150:$O$150,METHODOLOGY!$E$162:$O$162,"",0,1)</f>
        <v>Meta-analysis or limited understanding of what the value represents.</v>
      </c>
      <c r="F147" s="1087"/>
      <c r="G147" s="1087"/>
      <c r="H147" s="1087"/>
      <c r="I147" s="2"/>
      <c r="J147" s="2"/>
      <c r="K147" s="2"/>
      <c r="L147" s="2"/>
      <c r="M147" s="2"/>
      <c r="N147" s="2"/>
      <c r="O147" s="2"/>
      <c r="P147" s="2"/>
    </row>
    <row r="148" spans="1:16" s="262" customFormat="1">
      <c r="A148" s="2"/>
      <c r="B148" s="278" t="s">
        <v>189</v>
      </c>
      <c r="C148" s="278" t="s">
        <v>168</v>
      </c>
      <c r="D148" s="278">
        <f>VLOOKUP(C148,METHODOLOGY!$C$175:$D$177,2,FALSE)</f>
        <v>1</v>
      </c>
      <c r="E148" s="1087" t="str">
        <f>_xlfn.XLOOKUP(C148,METHODOLOGY!$E$150:$O$150,METHODOLOGY!$E$164:$O$164,"",0,1)</f>
        <v xml:space="preserve">The original valuation can be used with significant modification e.g. several additional data inputs are required to use the original source. The calculation is complex or introduces significant uncertainty. </v>
      </c>
      <c r="F148" s="1087"/>
      <c r="G148" s="1087"/>
      <c r="H148" s="1087"/>
      <c r="I148" s="2"/>
      <c r="J148" s="2"/>
      <c r="K148" s="2"/>
      <c r="L148" s="2"/>
      <c r="M148" s="2"/>
      <c r="N148" s="2"/>
      <c r="O148" s="2"/>
      <c r="P148" s="2"/>
    </row>
    <row r="149" spans="1:16" s="262" customFormat="1">
      <c r="A149" s="2"/>
      <c r="B149" s="2"/>
      <c r="C149" s="282" t="s">
        <v>924</v>
      </c>
      <c r="D149" s="326">
        <f>IF(AND(D148=1,AVERAGE(D143:D148)&gt;2.14285714285714),2.14285714285714,IF(AND(D148=2,AVERAGE(D143:D148)&gt;2.57142857142857),2.57142857142857,AVERAGE(D143:D148)))</f>
        <v>1.6666666666666667</v>
      </c>
      <c r="E149" s="270" t="str">
        <f>IF(D149&lt;=2.14285714285714,"Red",IF(D149&lt;=2.57142857142857,"Amber",IF(D149&lt;=3,"Green")))</f>
        <v>Red</v>
      </c>
      <c r="F149" s="2"/>
      <c r="G149" s="2"/>
      <c r="H149" s="2"/>
      <c r="I149" s="2"/>
      <c r="J149" s="2"/>
      <c r="K149" s="2"/>
      <c r="L149" s="2"/>
      <c r="M149" s="2"/>
      <c r="N149" s="2"/>
      <c r="O149" s="2"/>
      <c r="P149" s="2"/>
    </row>
    <row r="150" spans="1:16" s="262" customFormat="1">
      <c r="A150" s="2"/>
      <c r="B150" s="2"/>
      <c r="C150" s="2"/>
      <c r="D150" s="2"/>
      <c r="E150" s="2"/>
      <c r="F150" s="2"/>
      <c r="G150" s="2"/>
      <c r="H150" s="2"/>
      <c r="I150" s="2"/>
      <c r="J150" s="2"/>
      <c r="K150" s="2"/>
      <c r="L150" s="2"/>
      <c r="M150" s="2"/>
      <c r="N150" s="2"/>
      <c r="O150" s="2"/>
      <c r="P150" s="2"/>
    </row>
    <row r="151" spans="1:16" s="262" customFormat="1">
      <c r="A151" s="2"/>
      <c r="B151" s="2"/>
      <c r="C151" s="2"/>
      <c r="D151" s="2"/>
      <c r="E151" s="2"/>
      <c r="F151" s="2"/>
      <c r="G151" s="2"/>
      <c r="H151" s="2"/>
      <c r="I151" s="2"/>
      <c r="J151" s="2"/>
      <c r="K151" s="2"/>
      <c r="L151" s="2"/>
      <c r="M151" s="2"/>
      <c r="N151" s="2"/>
      <c r="O151" s="2"/>
      <c r="P151" s="2"/>
    </row>
    <row r="152" spans="1:16" s="262" customFormat="1">
      <c r="A152" s="725"/>
      <c r="B152" s="726" t="s">
        <v>929</v>
      </c>
      <c r="C152" s="725"/>
      <c r="D152" s="725"/>
      <c r="E152" s="725"/>
      <c r="F152" s="725"/>
      <c r="G152" s="725"/>
      <c r="H152" s="725"/>
      <c r="I152" s="2"/>
      <c r="J152" s="2"/>
      <c r="K152" s="2"/>
      <c r="L152" s="2"/>
      <c r="M152" s="2"/>
      <c r="N152" s="2"/>
      <c r="O152" s="2"/>
      <c r="P152" s="2"/>
    </row>
    <row r="153" spans="1:16" s="262" customFormat="1">
      <c r="A153" s="2"/>
      <c r="B153" s="277" t="s">
        <v>913</v>
      </c>
      <c r="C153" s="277" t="s">
        <v>1089</v>
      </c>
      <c r="D153" s="277" t="s">
        <v>902</v>
      </c>
      <c r="E153" s="277" t="s">
        <v>331</v>
      </c>
      <c r="F153" s="277" t="s">
        <v>226</v>
      </c>
      <c r="G153" s="1164" t="s">
        <v>930</v>
      </c>
      <c r="H153" s="1165"/>
      <c r="I153" s="1165"/>
      <c r="J153" s="1165"/>
      <c r="K153" s="1165"/>
      <c r="L153" s="1166"/>
      <c r="M153" s="2"/>
      <c r="N153" s="2"/>
      <c r="O153" s="2"/>
      <c r="P153" s="2"/>
    </row>
    <row r="154" spans="1:16" s="262" customFormat="1">
      <c r="A154" s="2"/>
      <c r="B154" s="338">
        <v>107</v>
      </c>
      <c r="C154" s="338" t="s">
        <v>456</v>
      </c>
      <c r="D154" s="338" t="s">
        <v>1774</v>
      </c>
      <c r="E154" s="497">
        <v>400</v>
      </c>
      <c r="F154" s="403" t="s">
        <v>1775</v>
      </c>
      <c r="G154" s="1142" t="s">
        <v>1776</v>
      </c>
      <c r="H154" s="1150"/>
      <c r="I154" s="1150"/>
      <c r="J154" s="1150"/>
      <c r="K154" s="1150"/>
      <c r="L154" s="1151"/>
      <c r="M154" s="2"/>
      <c r="N154" s="2"/>
      <c r="O154" s="2"/>
      <c r="P154" s="2"/>
    </row>
    <row r="155" spans="1:16" s="262" customFormat="1">
      <c r="A155" s="2"/>
      <c r="B155" s="338">
        <v>108</v>
      </c>
      <c r="C155" s="338" t="s">
        <v>456</v>
      </c>
      <c r="D155" s="338" t="s">
        <v>1774</v>
      </c>
      <c r="E155" s="358" t="s">
        <v>1777</v>
      </c>
      <c r="F155" s="403" t="s">
        <v>1778</v>
      </c>
      <c r="G155" s="1142" t="s">
        <v>1779</v>
      </c>
      <c r="H155" s="1150"/>
      <c r="I155" s="1150"/>
      <c r="J155" s="1150"/>
      <c r="K155" s="1150"/>
      <c r="L155" s="1151"/>
      <c r="M155" s="2"/>
      <c r="N155" s="2"/>
      <c r="O155" s="2"/>
      <c r="P155" s="2"/>
    </row>
    <row r="156" spans="1:16" s="262" customFormat="1">
      <c r="A156" s="2"/>
      <c r="B156" s="338">
        <v>109</v>
      </c>
      <c r="C156" s="338" t="s">
        <v>456</v>
      </c>
      <c r="D156" s="338" t="s">
        <v>1780</v>
      </c>
      <c r="E156" s="338">
        <v>0.28749999999999998</v>
      </c>
      <c r="F156" s="403" t="s">
        <v>1736</v>
      </c>
      <c r="G156" s="1142" t="s">
        <v>1781</v>
      </c>
      <c r="H156" s="1150"/>
      <c r="I156" s="1150"/>
      <c r="J156" s="1150"/>
      <c r="K156" s="1150"/>
      <c r="L156" s="1151"/>
      <c r="M156" s="2"/>
      <c r="N156" s="2"/>
      <c r="O156" s="2"/>
      <c r="P156" s="2"/>
    </row>
    <row r="157" spans="1:16" s="262" customFormat="1" ht="14.25" customHeight="1">
      <c r="A157" s="2"/>
      <c r="B157" s="338">
        <v>109</v>
      </c>
      <c r="C157" s="338" t="s">
        <v>456</v>
      </c>
      <c r="D157" s="342" t="s">
        <v>1782</v>
      </c>
      <c r="E157" s="338">
        <v>1.64</v>
      </c>
      <c r="F157" s="403" t="s">
        <v>1736</v>
      </c>
      <c r="G157" s="1142" t="s">
        <v>1783</v>
      </c>
      <c r="H157" s="1150"/>
      <c r="I157" s="1150"/>
      <c r="J157" s="1150"/>
      <c r="K157" s="1150"/>
      <c r="L157" s="1151"/>
      <c r="M157" s="2"/>
      <c r="N157" s="2"/>
      <c r="O157" s="2"/>
      <c r="P157" s="2"/>
    </row>
    <row r="158" spans="1:16" s="262" customFormat="1" ht="186.75" customHeight="1">
      <c r="A158" s="2"/>
      <c r="B158" s="2"/>
      <c r="C158" s="2"/>
      <c r="D158" s="2"/>
      <c r="E158" s="2"/>
      <c r="F158" s="2"/>
      <c r="G158" s="2"/>
      <c r="H158" s="2"/>
      <c r="I158" s="2"/>
      <c r="J158" s="2"/>
      <c r="K158" s="2"/>
      <c r="L158" s="2"/>
      <c r="M158" s="2"/>
      <c r="N158" s="2"/>
      <c r="O158" s="2"/>
      <c r="P158" s="2"/>
    </row>
    <row r="159" spans="1:16" s="262" customFormat="1" ht="170.45" customHeight="1">
      <c r="A159" s="2"/>
      <c r="B159" s="16"/>
      <c r="C159" s="2"/>
      <c r="D159" s="2"/>
      <c r="E159" s="2"/>
      <c r="F159" s="2"/>
      <c r="G159" s="2"/>
      <c r="H159" s="2"/>
      <c r="I159" s="2"/>
      <c r="J159" s="2"/>
      <c r="K159" s="2"/>
      <c r="L159" s="2"/>
      <c r="M159" s="2"/>
      <c r="N159" s="2"/>
      <c r="O159" s="2"/>
      <c r="P159" s="2"/>
    </row>
    <row r="160" spans="1:16" s="262" customFormat="1">
      <c r="A160" s="725"/>
      <c r="B160" s="726" t="s">
        <v>936</v>
      </c>
      <c r="C160" s="725"/>
      <c r="D160" s="725"/>
      <c r="E160" s="725"/>
      <c r="F160" s="725"/>
      <c r="G160" s="725"/>
      <c r="H160" s="725"/>
      <c r="I160" s="2"/>
      <c r="J160" s="2"/>
      <c r="K160" s="2"/>
      <c r="L160" s="2"/>
      <c r="M160" s="2"/>
      <c r="N160" s="2"/>
      <c r="O160" s="2"/>
      <c r="P160" s="2"/>
    </row>
    <row r="161" spans="2:16" s="262" customFormat="1">
      <c r="B161" s="323" t="s">
        <v>1784</v>
      </c>
      <c r="C161" s="324"/>
      <c r="D161" s="324"/>
      <c r="E161" s="324"/>
      <c r="F161" s="324"/>
      <c r="G161" s="324"/>
      <c r="H161" s="324"/>
      <c r="I161" s="324"/>
      <c r="J161" s="324"/>
      <c r="K161" s="325"/>
      <c r="L161" s="2"/>
      <c r="M161" s="2"/>
      <c r="N161" s="2"/>
      <c r="O161" s="2"/>
      <c r="P161" s="2"/>
    </row>
    <row r="162" spans="2:16" s="262" customFormat="1">
      <c r="B162" s="277" t="s">
        <v>936</v>
      </c>
      <c r="C162" s="277" t="s">
        <v>331</v>
      </c>
      <c r="D162" s="277" t="s">
        <v>226</v>
      </c>
      <c r="E162" s="1157" t="s">
        <v>1649</v>
      </c>
      <c r="F162" s="1157"/>
      <c r="G162" s="1157"/>
      <c r="H162" s="1157"/>
      <c r="I162" s="1157"/>
      <c r="J162" s="1157"/>
      <c r="K162" s="1157"/>
      <c r="L162" s="2"/>
      <c r="M162" s="2"/>
      <c r="N162" s="2"/>
      <c r="O162" s="2"/>
      <c r="P162" s="2"/>
    </row>
    <row r="163" spans="2:16" s="262" customFormat="1">
      <c r="B163" s="334" t="s">
        <v>1785</v>
      </c>
      <c r="C163" s="365">
        <f>E154/1000</f>
        <v>0.4</v>
      </c>
      <c r="D163" t="s">
        <v>1786</v>
      </c>
      <c r="E163" s="1171"/>
      <c r="F163" s="1171"/>
      <c r="G163" s="1171"/>
      <c r="H163" s="1171"/>
      <c r="I163" s="1171"/>
      <c r="J163" s="1171"/>
      <c r="K163" s="1171"/>
      <c r="L163" s="2"/>
      <c r="M163" s="2"/>
      <c r="N163" s="2"/>
      <c r="O163" s="2"/>
      <c r="P163" s="2"/>
    </row>
    <row r="164" spans="2:16" s="262" customFormat="1">
      <c r="B164" s="334" t="s">
        <v>1787</v>
      </c>
      <c r="C164" s="498">
        <f>AVERAGE(20%, 35%)</f>
        <v>0.27500000000000002</v>
      </c>
      <c r="D164" s="295" t="s">
        <v>1646</v>
      </c>
      <c r="E164" s="1171"/>
      <c r="F164" s="1171"/>
      <c r="G164" s="1171"/>
      <c r="H164" s="1171"/>
      <c r="I164" s="1171"/>
      <c r="J164" s="1171"/>
      <c r="K164" s="1171"/>
      <c r="L164" s="2"/>
      <c r="M164" s="2"/>
      <c r="N164" s="2"/>
      <c r="O164" s="2"/>
      <c r="P164" s="2"/>
    </row>
    <row r="165" spans="2:16" s="262" customFormat="1" ht="29.1">
      <c r="B165" s="334" t="s">
        <v>1788</v>
      </c>
      <c r="C165" s="499">
        <f>C163/C164</f>
        <v>1.4545454545454546</v>
      </c>
      <c r="D165" s="295" t="s">
        <v>1789</v>
      </c>
      <c r="E165" s="1171"/>
      <c r="F165" s="1171"/>
      <c r="G165" s="1171"/>
      <c r="H165" s="1171"/>
      <c r="I165" s="1171"/>
      <c r="J165" s="1171"/>
      <c r="K165" s="1171"/>
      <c r="L165" s="2"/>
      <c r="M165" s="2"/>
      <c r="N165" s="2"/>
      <c r="O165" s="2"/>
      <c r="P165" s="2"/>
    </row>
    <row r="166" spans="2:16" s="262" customFormat="1">
      <c r="B166" s="2"/>
      <c r="C166" s="2"/>
      <c r="D166" s="2"/>
      <c r="E166" s="2"/>
      <c r="F166" s="2"/>
      <c r="G166" s="2"/>
      <c r="H166" s="2"/>
      <c r="I166" s="2"/>
      <c r="J166" s="2"/>
      <c r="K166" s="2"/>
      <c r="L166" s="2"/>
      <c r="M166" s="2"/>
      <c r="N166" s="2"/>
      <c r="O166" s="2"/>
      <c r="P166" s="2"/>
    </row>
    <row r="167" spans="2:16" s="262" customFormat="1">
      <c r="B167" s="323" t="s">
        <v>1790</v>
      </c>
      <c r="C167" s="324"/>
      <c r="D167" s="324"/>
      <c r="E167" s="324"/>
      <c r="F167" s="324"/>
      <c r="G167" s="324"/>
      <c r="H167" s="324"/>
      <c r="I167" s="324"/>
      <c r="J167" s="324"/>
      <c r="K167" s="325"/>
      <c r="L167" s="2"/>
      <c r="M167" s="2"/>
      <c r="N167" s="2"/>
      <c r="O167" s="2"/>
      <c r="P167" s="2"/>
    </row>
    <row r="168" spans="2:16" s="262" customFormat="1">
      <c r="B168" s="277" t="s">
        <v>936</v>
      </c>
      <c r="C168" s="277" t="s">
        <v>331</v>
      </c>
      <c r="D168" s="277" t="s">
        <v>226</v>
      </c>
      <c r="E168" s="1157" t="s">
        <v>1649</v>
      </c>
      <c r="F168" s="1157"/>
      <c r="G168" s="1157"/>
      <c r="H168" s="1157"/>
      <c r="I168" s="1157"/>
      <c r="J168" s="1157"/>
      <c r="K168" s="1157"/>
      <c r="L168" s="2"/>
      <c r="M168" s="2"/>
      <c r="N168" s="2"/>
      <c r="O168" s="2"/>
      <c r="P168" s="2"/>
    </row>
    <row r="169" spans="2:16" s="262" customFormat="1">
      <c r="B169" s="295" t="s">
        <v>1791</v>
      </c>
      <c r="C169" s="365">
        <f>E156*298</f>
        <v>85.674999999999997</v>
      </c>
      <c r="D169" s="295" t="s">
        <v>1775</v>
      </c>
      <c r="E169" s="1171" t="s">
        <v>1792</v>
      </c>
      <c r="F169" s="1171"/>
      <c r="G169" s="1171"/>
      <c r="H169" s="1171"/>
      <c r="I169" s="1171"/>
      <c r="J169" s="1171"/>
      <c r="K169" s="1171"/>
      <c r="L169" s="2"/>
      <c r="M169" s="2"/>
      <c r="N169" s="2"/>
      <c r="O169" s="2"/>
      <c r="P169" s="2"/>
    </row>
    <row r="170" spans="2:16" s="262" customFormat="1">
      <c r="B170" s="334" t="s">
        <v>1793</v>
      </c>
      <c r="C170" s="499">
        <f>C169/1000</f>
        <v>8.5675000000000001E-2</v>
      </c>
      <c r="D170" s="295" t="s">
        <v>1794</v>
      </c>
      <c r="E170" s="1171"/>
      <c r="F170" s="1171"/>
      <c r="G170" s="1171"/>
      <c r="H170" s="1171"/>
      <c r="I170" s="1171"/>
      <c r="J170" s="1171"/>
      <c r="K170" s="1171"/>
      <c r="L170" s="2"/>
      <c r="M170" s="2"/>
      <c r="N170" s="2"/>
      <c r="O170" s="2"/>
      <c r="P170" s="2"/>
    </row>
    <row r="171" spans="2:16" s="262" customFormat="1">
      <c r="B171" s="3"/>
      <c r="C171" s="129"/>
      <c r="D171" s="24"/>
      <c r="E171" s="252"/>
      <c r="F171" s="252"/>
      <c r="G171" s="252"/>
      <c r="H171" s="252"/>
      <c r="I171" s="252"/>
      <c r="J171" s="252"/>
      <c r="K171" s="252"/>
      <c r="L171" s="2"/>
      <c r="M171" s="2"/>
      <c r="N171" s="2"/>
      <c r="O171" s="2"/>
      <c r="P171" s="2"/>
    </row>
    <row r="172" spans="2:16" s="262" customFormat="1">
      <c r="B172" s="323" t="s">
        <v>1795</v>
      </c>
      <c r="C172" s="324"/>
      <c r="D172" s="324"/>
      <c r="E172" s="324"/>
      <c r="F172" s="324"/>
      <c r="G172" s="324"/>
      <c r="H172" s="324"/>
      <c r="I172" s="324"/>
      <c r="J172" s="324"/>
      <c r="K172" s="325"/>
      <c r="L172" s="2"/>
      <c r="M172" s="2"/>
      <c r="N172" s="2"/>
      <c r="O172" s="2"/>
      <c r="P172" s="2"/>
    </row>
    <row r="173" spans="2:16" s="262" customFormat="1">
      <c r="B173" s="277" t="s">
        <v>936</v>
      </c>
      <c r="C173" s="277" t="s">
        <v>331</v>
      </c>
      <c r="D173" s="277" t="s">
        <v>226</v>
      </c>
      <c r="E173" s="1157" t="s">
        <v>1649</v>
      </c>
      <c r="F173" s="1157"/>
      <c r="G173" s="1157"/>
      <c r="H173" s="1157"/>
      <c r="I173" s="1157"/>
      <c r="J173" s="1157"/>
      <c r="K173" s="1157"/>
      <c r="L173" s="2"/>
      <c r="M173" s="2"/>
      <c r="N173" s="2"/>
      <c r="O173" s="2"/>
      <c r="P173" s="2"/>
    </row>
    <row r="174" spans="2:16" s="262" customFormat="1">
      <c r="B174" s="295" t="s">
        <v>1791</v>
      </c>
      <c r="C174" s="365">
        <f>E157*298</f>
        <v>488.71999999999997</v>
      </c>
      <c r="D174" s="295" t="s">
        <v>1775</v>
      </c>
      <c r="E174" s="1172" t="s">
        <v>1792</v>
      </c>
      <c r="F174" s="1173"/>
      <c r="G174" s="1173"/>
      <c r="H174" s="1173"/>
      <c r="I174" s="1173"/>
      <c r="J174" s="1173"/>
      <c r="K174" s="1174"/>
      <c r="L174" s="2"/>
      <c r="M174" s="2"/>
      <c r="N174" s="2"/>
      <c r="O174" s="2"/>
      <c r="P174" s="2"/>
    </row>
    <row r="175" spans="2:16" s="262" customFormat="1">
      <c r="B175" s="334" t="s">
        <v>1793</v>
      </c>
      <c r="C175" s="499">
        <f>C174/1000</f>
        <v>0.48871999999999999</v>
      </c>
      <c r="D175" s="295" t="s">
        <v>1794</v>
      </c>
      <c r="E175" s="1171"/>
      <c r="F175" s="1171"/>
      <c r="G175" s="1171"/>
      <c r="H175" s="1171"/>
      <c r="I175" s="1171"/>
      <c r="J175" s="1171"/>
      <c r="K175" s="1171"/>
      <c r="L175" s="2"/>
      <c r="M175" s="2"/>
      <c r="N175" s="2"/>
      <c r="O175" s="2"/>
      <c r="P175" s="2"/>
    </row>
    <row r="176" spans="2:16" s="262" customFormat="1">
      <c r="B176" s="3"/>
      <c r="C176" s="129"/>
      <c r="D176" s="24"/>
      <c r="E176" s="252"/>
      <c r="F176" s="252"/>
      <c r="G176" s="252"/>
      <c r="H176" s="252"/>
      <c r="I176" s="252"/>
      <c r="J176" s="252"/>
      <c r="K176" s="252"/>
      <c r="L176" s="2"/>
      <c r="M176" s="2"/>
      <c r="N176" s="2"/>
      <c r="O176" s="2"/>
      <c r="P176" s="2"/>
    </row>
    <row r="177" spans="2:16" s="262" customFormat="1">
      <c r="B177" s="323" t="s">
        <v>1796</v>
      </c>
      <c r="C177" s="324"/>
      <c r="D177" s="324"/>
      <c r="E177" s="324"/>
      <c r="F177" s="324"/>
      <c r="G177" s="324"/>
      <c r="H177" s="324"/>
      <c r="I177" s="324"/>
      <c r="J177" s="324"/>
      <c r="K177" s="325"/>
      <c r="L177" s="2"/>
      <c r="M177" s="2"/>
      <c r="N177" s="2"/>
      <c r="O177" s="2"/>
      <c r="P177" s="2"/>
    </row>
    <row r="178" spans="2:16" s="262" customFormat="1">
      <c r="B178" s="277" t="s">
        <v>1797</v>
      </c>
      <c r="C178" s="277" t="s">
        <v>331</v>
      </c>
      <c r="D178" s="277" t="s">
        <v>226</v>
      </c>
      <c r="E178" s="1157" t="s">
        <v>1649</v>
      </c>
      <c r="F178" s="1157"/>
      <c r="G178" s="1157"/>
      <c r="H178" s="1157"/>
      <c r="I178" s="1157"/>
      <c r="J178" s="1157"/>
      <c r="K178" s="1157"/>
      <c r="L178" s="2"/>
      <c r="M178" s="2"/>
      <c r="N178" s="2"/>
      <c r="O178" s="2"/>
      <c r="P178" s="2"/>
    </row>
    <row r="179" spans="2:16" s="262" customFormat="1">
      <c r="B179" s="295" t="s">
        <v>1798</v>
      </c>
      <c r="C179" s="499">
        <f>C165</f>
        <v>1.4545454545454546</v>
      </c>
      <c r="D179" s="295" t="s">
        <v>1799</v>
      </c>
      <c r="E179" s="1172"/>
      <c r="F179" s="1173"/>
      <c r="G179" s="1173"/>
      <c r="H179" s="1173"/>
      <c r="I179" s="1173"/>
      <c r="J179" s="1173"/>
      <c r="K179" s="1174"/>
      <c r="L179" s="2"/>
      <c r="M179" s="2"/>
      <c r="N179" s="2"/>
      <c r="O179" s="2"/>
      <c r="P179" s="2"/>
    </row>
    <row r="180" spans="2:16" s="262" customFormat="1">
      <c r="B180" s="334" t="s">
        <v>1800</v>
      </c>
      <c r="C180" s="499">
        <f>C170</f>
        <v>8.5675000000000001E-2</v>
      </c>
      <c r="D180" s="295" t="s">
        <v>1799</v>
      </c>
      <c r="E180" s="1171"/>
      <c r="F180" s="1171"/>
      <c r="G180" s="1171"/>
      <c r="H180" s="1171"/>
      <c r="I180" s="1171"/>
      <c r="J180" s="1171"/>
      <c r="K180" s="1171"/>
      <c r="L180" s="2"/>
      <c r="M180" s="2"/>
      <c r="N180" s="2"/>
      <c r="O180" s="2"/>
      <c r="P180" s="2"/>
    </row>
    <row r="181" spans="2:16" s="262" customFormat="1">
      <c r="B181" s="334" t="s">
        <v>1801</v>
      </c>
      <c r="C181" s="499">
        <f>C170</f>
        <v>8.5675000000000001E-2</v>
      </c>
      <c r="D181" s="295" t="s">
        <v>1799</v>
      </c>
      <c r="E181" s="1171" t="s">
        <v>1802</v>
      </c>
      <c r="F181" s="1171"/>
      <c r="G181" s="1171"/>
      <c r="H181" s="1171"/>
      <c r="I181" s="1171"/>
      <c r="J181" s="1171"/>
      <c r="K181" s="1171"/>
      <c r="L181" s="2"/>
      <c r="M181" s="2"/>
      <c r="N181" s="2"/>
      <c r="O181" s="2"/>
      <c r="P181" s="2"/>
    </row>
    <row r="182" spans="2:16" s="262" customFormat="1">
      <c r="B182" s="334" t="s">
        <v>1795</v>
      </c>
      <c r="C182" s="499">
        <f>C175</f>
        <v>0.48871999999999999</v>
      </c>
      <c r="D182" s="295" t="s">
        <v>1799</v>
      </c>
      <c r="E182" s="1171"/>
      <c r="F182" s="1171"/>
      <c r="G182" s="1171"/>
      <c r="H182" s="1171"/>
      <c r="I182" s="1171"/>
      <c r="J182" s="1171"/>
      <c r="K182" s="1171"/>
      <c r="L182" s="2"/>
      <c r="M182" s="2"/>
      <c r="N182" s="2"/>
      <c r="O182" s="2"/>
      <c r="P182" s="2"/>
    </row>
    <row r="183" spans="2:16" s="262" customFormat="1">
      <c r="B183" s="334" t="s">
        <v>561</v>
      </c>
      <c r="C183" s="499">
        <f>C179-C180</f>
        <v>1.3688704545454546</v>
      </c>
      <c r="D183" s="295" t="s">
        <v>1799</v>
      </c>
      <c r="E183" s="1171"/>
      <c r="F183" s="1171"/>
      <c r="G183" s="1171"/>
      <c r="H183" s="1171"/>
      <c r="I183" s="1171"/>
      <c r="J183" s="1171"/>
      <c r="K183" s="1171"/>
      <c r="L183" s="2"/>
      <c r="M183" s="2"/>
      <c r="N183" s="2"/>
      <c r="O183" s="2"/>
      <c r="P183" s="2"/>
    </row>
    <row r="184" spans="2:16" s="262" customFormat="1">
      <c r="B184" s="334" t="s">
        <v>562</v>
      </c>
      <c r="C184" s="499">
        <f>C181-C180</f>
        <v>0</v>
      </c>
      <c r="D184" s="295" t="s">
        <v>1799</v>
      </c>
      <c r="E184" s="1171"/>
      <c r="F184" s="1171"/>
      <c r="G184" s="1171"/>
      <c r="H184" s="1171"/>
      <c r="I184" s="1171"/>
      <c r="J184" s="1171"/>
      <c r="K184" s="1171"/>
      <c r="L184" s="2"/>
      <c r="M184" s="2"/>
      <c r="N184" s="2"/>
      <c r="O184" s="2"/>
      <c r="P184" s="2"/>
    </row>
    <row r="185" spans="2:16" s="262" customFormat="1">
      <c r="B185" s="334" t="s">
        <v>563</v>
      </c>
      <c r="C185" s="499">
        <f>C182-C180</f>
        <v>0.40304499999999999</v>
      </c>
      <c r="D185" s="295" t="s">
        <v>1799</v>
      </c>
      <c r="E185" s="1171"/>
      <c r="F185" s="1171"/>
      <c r="G185" s="1171"/>
      <c r="H185" s="1171"/>
      <c r="I185" s="1171"/>
      <c r="J185" s="1171"/>
      <c r="K185" s="1171"/>
      <c r="L185" s="2"/>
      <c r="M185" s="2"/>
      <c r="N185" s="2"/>
      <c r="O185" s="2"/>
      <c r="P185" s="2"/>
    </row>
    <row r="186" spans="2:16" s="262" customFormat="1">
      <c r="B186" s="3"/>
      <c r="C186" s="129"/>
      <c r="D186" s="24"/>
      <c r="E186" s="252"/>
      <c r="F186" s="252"/>
      <c r="G186" s="252"/>
      <c r="H186" s="252"/>
      <c r="I186" s="252"/>
      <c r="J186" s="252"/>
      <c r="K186" s="252"/>
      <c r="L186" s="2"/>
      <c r="M186" s="2"/>
      <c r="N186" s="2"/>
      <c r="O186" s="2"/>
      <c r="P186" s="2"/>
    </row>
    <row r="187" spans="2:16" s="262" customFormat="1">
      <c r="B187" s="323" t="s">
        <v>1803</v>
      </c>
      <c r="C187" s="324"/>
      <c r="D187" s="324"/>
      <c r="E187" s="324"/>
      <c r="F187" s="324"/>
      <c r="G187" s="324"/>
      <c r="H187" s="324"/>
      <c r="I187" s="324"/>
      <c r="J187" s="324"/>
      <c r="K187" s="325"/>
      <c r="L187" s="2"/>
      <c r="M187" s="2"/>
      <c r="N187" s="2"/>
      <c r="O187" s="2"/>
      <c r="P187" s="2"/>
    </row>
    <row r="188" spans="2:16" s="262" customFormat="1">
      <c r="B188" s="334" t="s">
        <v>1193</v>
      </c>
      <c r="C188" s="301">
        <f ca="1">'Carbon values'!$H$16</f>
        <v>376</v>
      </c>
      <c r="D188" s="2"/>
      <c r="E188" s="2"/>
      <c r="F188" s="2"/>
      <c r="G188" s="2"/>
      <c r="H188" s="2"/>
      <c r="I188" s="2"/>
      <c r="J188" s="2"/>
      <c r="K188" s="2"/>
      <c r="L188" s="2"/>
      <c r="M188" s="2"/>
      <c r="N188" s="2"/>
      <c r="O188" s="2"/>
      <c r="P188" s="2"/>
    </row>
    <row r="189" spans="2:16" s="262" customFormat="1">
      <c r="B189" s="277" t="s">
        <v>902</v>
      </c>
      <c r="C189" s="277" t="s">
        <v>331</v>
      </c>
      <c r="D189" s="277" t="s">
        <v>226</v>
      </c>
      <c r="E189" s="1157" t="s">
        <v>1649</v>
      </c>
      <c r="F189" s="1157"/>
      <c r="G189" s="1157"/>
      <c r="H189" s="1157"/>
      <c r="I189" s="1157"/>
      <c r="J189" s="1157"/>
      <c r="K189" s="1157"/>
      <c r="L189" s="2"/>
      <c r="M189" s="2"/>
      <c r="N189" s="2"/>
      <c r="O189" s="2"/>
      <c r="P189" s="2"/>
    </row>
    <row r="190" spans="2:16" s="262" customFormat="1">
      <c r="B190" s="295" t="s">
        <v>561</v>
      </c>
      <c r="C190" s="301">
        <f ca="1">C183*C188</f>
        <v>514.695290909091</v>
      </c>
      <c r="D190" s="295" t="s">
        <v>1702</v>
      </c>
      <c r="E190" s="1172"/>
      <c r="F190" s="1173"/>
      <c r="G190" s="1173"/>
      <c r="H190" s="1173"/>
      <c r="I190" s="1173"/>
      <c r="J190" s="1173"/>
      <c r="K190" s="1174"/>
      <c r="L190" s="2"/>
      <c r="M190" s="2"/>
      <c r="N190" s="2"/>
      <c r="O190" s="2"/>
      <c r="P190" s="2"/>
    </row>
    <row r="191" spans="2:16" s="262" customFormat="1">
      <c r="B191" s="334" t="s">
        <v>563</v>
      </c>
      <c r="C191" s="499">
        <f ca="1">C185*C188</f>
        <v>151.54491999999999</v>
      </c>
      <c r="D191" s="295" t="s">
        <v>1702</v>
      </c>
      <c r="E191" s="1171"/>
      <c r="F191" s="1171"/>
      <c r="G191" s="1171"/>
      <c r="H191" s="1171"/>
      <c r="I191" s="1171"/>
      <c r="J191" s="1171"/>
      <c r="K191" s="1171"/>
      <c r="L191" s="2"/>
      <c r="M191" s="2"/>
      <c r="N191" s="2"/>
      <c r="O191" s="2"/>
      <c r="P191" s="2"/>
    </row>
    <row r="192" spans="2:16" s="262" customFormat="1">
      <c r="B192" s="3"/>
      <c r="C192" s="129"/>
      <c r="D192" s="24"/>
      <c r="E192" s="252"/>
      <c r="F192" s="252"/>
      <c r="G192" s="252"/>
      <c r="H192" s="252"/>
      <c r="I192" s="252"/>
      <c r="J192" s="252"/>
      <c r="K192" s="252"/>
      <c r="L192" s="2"/>
      <c r="M192" s="2"/>
      <c r="N192" s="2"/>
      <c r="O192" s="2"/>
      <c r="P192" s="2"/>
    </row>
    <row r="193" spans="1:23">
      <c r="A193" s="727"/>
      <c r="B193" s="728" t="s">
        <v>901</v>
      </c>
      <c r="C193" s="727"/>
      <c r="D193" s="727"/>
      <c r="E193" s="727"/>
      <c r="F193" s="727"/>
      <c r="G193" s="727"/>
      <c r="H193" s="727"/>
    </row>
    <row r="194" spans="1:23" ht="29.1">
      <c r="B194" s="719" t="s">
        <v>902</v>
      </c>
      <c r="C194" s="719" t="s">
        <v>898</v>
      </c>
      <c r="D194" s="719" t="s">
        <v>899</v>
      </c>
      <c r="E194" s="719" t="s">
        <v>903</v>
      </c>
      <c r="F194" s="719" t="s">
        <v>904</v>
      </c>
      <c r="G194" s="719" t="s">
        <v>905</v>
      </c>
      <c r="H194" s="719" t="s">
        <v>924</v>
      </c>
      <c r="I194" s="719" t="s">
        <v>956</v>
      </c>
      <c r="J194" s="719" t="s">
        <v>927</v>
      </c>
    </row>
    <row r="195" spans="1:23">
      <c r="B195" s="278" t="s">
        <v>561</v>
      </c>
      <c r="C195" s="278" t="s">
        <v>448</v>
      </c>
      <c r="D195" s="299" t="s">
        <v>1719</v>
      </c>
      <c r="E195" s="299" t="s">
        <v>957</v>
      </c>
      <c r="F195" s="278" t="str" cm="1">
        <f t="array" ref="F195">_xlfn.XLOOKUP(1,($D$207:$D$213=B195)*($E$207:$E$213=C195),$B$207:$B$213,"Not found",0,1)</f>
        <v>24-1</v>
      </c>
      <c r="G195" s="300">
        <f t="shared" ref="G195:G201" si="0">VLOOKUP(F195,$B$207:$L$214,11,FALSE)</f>
        <v>26.594539641661218</v>
      </c>
      <c r="H195" s="326">
        <f>$D$35</f>
        <v>2.8333333333333335</v>
      </c>
      <c r="I195" s="300" t="s">
        <v>1804</v>
      </c>
      <c r="J195" s="300" t="s">
        <v>1805</v>
      </c>
    </row>
    <row r="196" spans="1:23">
      <c r="B196" s="278" t="s">
        <v>563</v>
      </c>
      <c r="C196" s="278" t="s">
        <v>448</v>
      </c>
      <c r="D196" s="299" t="s">
        <v>1719</v>
      </c>
      <c r="E196" s="299" t="s">
        <v>957</v>
      </c>
      <c r="F196" s="278" t="str" cm="1">
        <f t="array" ref="F196">_xlfn.XLOOKUP(1,($D$207:$D$213=B196)*($E$207:$E$213=C196),$B$207:$B$213,"Not found",0,1)</f>
        <v>24-2</v>
      </c>
      <c r="G196" s="300">
        <f t="shared" si="0"/>
        <v>108.34812446602719</v>
      </c>
      <c r="H196" s="326">
        <f>$D$35</f>
        <v>2.8333333333333335</v>
      </c>
      <c r="I196" s="300" t="s">
        <v>1804</v>
      </c>
      <c r="J196" s="300" t="s">
        <v>1805</v>
      </c>
    </row>
    <row r="197" spans="1:23">
      <c r="B197" s="278" t="s">
        <v>561</v>
      </c>
      <c r="C197" s="278" t="s">
        <v>452</v>
      </c>
      <c r="D197" s="278" t="s">
        <v>1729</v>
      </c>
      <c r="E197" s="299" t="s">
        <v>1202</v>
      </c>
      <c r="F197" s="278" t="str" cm="1">
        <f t="array" ref="F197">_xlfn.XLOOKUP(1,($D$207:$D$213=B197)*($E$207:$E$213=C197),$B$207:$B$213,"Not found",0,1)</f>
        <v>24-3</v>
      </c>
      <c r="G197" s="300">
        <f t="shared" si="0"/>
        <v>78.609239310897351</v>
      </c>
      <c r="H197" s="326">
        <f>$D$86</f>
        <v>2.1428571428571401</v>
      </c>
      <c r="I197" s="300" t="s">
        <v>1806</v>
      </c>
      <c r="J197" s="300" t="s">
        <v>1807</v>
      </c>
    </row>
    <row r="198" spans="1:23">
      <c r="B198" s="278" t="s">
        <v>562</v>
      </c>
      <c r="C198" s="278" t="s">
        <v>452</v>
      </c>
      <c r="D198" s="278" t="s">
        <v>1729</v>
      </c>
      <c r="E198" s="299" t="s">
        <v>1202</v>
      </c>
      <c r="F198" s="278" t="str" cm="1">
        <f t="array" ref="F198">_xlfn.XLOOKUP(1,($D$207:$D$213=B198)*($E$207:$E$213=C198),$B$207:$B$213,"Not found",0,1)</f>
        <v>24-4</v>
      </c>
      <c r="G198" s="300">
        <f t="shared" si="0"/>
        <v>78.609239310897351</v>
      </c>
      <c r="H198" s="326">
        <f>$D$86</f>
        <v>2.1428571428571401</v>
      </c>
      <c r="I198" s="300" t="s">
        <v>1806</v>
      </c>
      <c r="J198" s="300" t="s">
        <v>1807</v>
      </c>
    </row>
    <row r="199" spans="1:23">
      <c r="B199" s="278" t="s">
        <v>563</v>
      </c>
      <c r="C199" s="278" t="s">
        <v>452</v>
      </c>
      <c r="D199" s="278" t="s">
        <v>1729</v>
      </c>
      <c r="E199" s="299" t="s">
        <v>1202</v>
      </c>
      <c r="F199" s="278" t="str" cm="1">
        <f t="array" ref="F199">_xlfn.XLOOKUP(1,($D$207:$D$213=B199)*($E$207:$E$213=C199),$B$207:$B$213,"Not found",0,1)</f>
        <v>24-5</v>
      </c>
      <c r="G199" s="300">
        <f t="shared" si="0"/>
        <v>78.609239310897351</v>
      </c>
      <c r="H199" s="326">
        <f>$D$86</f>
        <v>2.1428571428571401</v>
      </c>
      <c r="I199" s="300" t="s">
        <v>1806</v>
      </c>
      <c r="J199" s="300" t="s">
        <v>1807</v>
      </c>
    </row>
    <row r="200" spans="1:23">
      <c r="B200" s="278" t="s">
        <v>561</v>
      </c>
      <c r="C200" s="278" t="s">
        <v>456</v>
      </c>
      <c r="D200" s="299" t="s">
        <v>1679</v>
      </c>
      <c r="E200" s="299" t="s">
        <v>1427</v>
      </c>
      <c r="F200" s="278" t="str" cm="1">
        <f t="array" ref="F200">_xlfn.XLOOKUP(1,($D$207:$D$213=B200)*($E$207:$E$213=C200),$B$207:$B$213,"Not found",0,1)</f>
        <v>24-6</v>
      </c>
      <c r="G200" s="300">
        <f t="shared" ca="1" si="0"/>
        <v>577.83211719432938</v>
      </c>
      <c r="H200" s="326">
        <f>$D$149</f>
        <v>1.6666666666666667</v>
      </c>
      <c r="I200" s="300" t="s">
        <v>1396</v>
      </c>
      <c r="J200" s="300" t="s">
        <v>1808</v>
      </c>
    </row>
    <row r="201" spans="1:23">
      <c r="B201" s="278" t="s">
        <v>563</v>
      </c>
      <c r="C201" s="278" t="s">
        <v>456</v>
      </c>
      <c r="D201" s="299" t="s">
        <v>1679</v>
      </c>
      <c r="E201" s="299" t="s">
        <v>1427</v>
      </c>
      <c r="F201" s="278" t="str" cm="1">
        <f t="array" ref="F201">_xlfn.XLOOKUP(1,($D$207:$D$213=B201)*($E$207:$E$213=C201),$B$207:$B$213,"Not found",0,1)</f>
        <v>24-7</v>
      </c>
      <c r="G201" s="300">
        <f t="shared" ca="1" si="0"/>
        <v>170.13468652292769</v>
      </c>
      <c r="H201" s="326">
        <f>$D$149</f>
        <v>1.6666666666666667</v>
      </c>
      <c r="I201" s="300" t="s">
        <v>1396</v>
      </c>
      <c r="J201" s="300" t="s">
        <v>1808</v>
      </c>
    </row>
    <row r="202" spans="1:23">
      <c r="B202" s="278" t="s">
        <v>561</v>
      </c>
      <c r="C202" s="278" t="s">
        <v>151</v>
      </c>
      <c r="D202" s="299" t="s">
        <v>1809</v>
      </c>
      <c r="E202" s="299" t="s">
        <v>906</v>
      </c>
      <c r="F202" s="278" t="s">
        <v>907</v>
      </c>
      <c r="G202" s="300" t="s">
        <v>477</v>
      </c>
      <c r="H202" s="640" t="s">
        <v>907</v>
      </c>
      <c r="I202" s="640" t="s">
        <v>907</v>
      </c>
      <c r="J202" s="640" t="s">
        <v>907</v>
      </c>
    </row>
    <row r="203" spans="1:23">
      <c r="B203" s="278" t="s">
        <v>563</v>
      </c>
      <c r="C203" s="278" t="s">
        <v>151</v>
      </c>
      <c r="D203" s="299" t="s">
        <v>1809</v>
      </c>
      <c r="E203" s="299" t="s">
        <v>906</v>
      </c>
      <c r="F203" s="278" t="s">
        <v>907</v>
      </c>
      <c r="G203" s="300" t="s">
        <v>477</v>
      </c>
      <c r="H203" s="640" t="s">
        <v>907</v>
      </c>
      <c r="I203" s="640" t="s">
        <v>907</v>
      </c>
      <c r="J203" s="640" t="s">
        <v>907</v>
      </c>
    </row>
    <row r="204" spans="1:23">
      <c r="B204" s="18"/>
    </row>
    <row r="205" spans="1:23">
      <c r="A205" s="725"/>
      <c r="B205" s="726" t="s">
        <v>962</v>
      </c>
      <c r="C205" s="725"/>
      <c r="D205" s="725"/>
      <c r="E205" s="725"/>
      <c r="F205" s="725"/>
      <c r="G205" s="725"/>
      <c r="H205" s="725"/>
    </row>
    <row r="206" spans="1:23">
      <c r="B206" s="277" t="s">
        <v>904</v>
      </c>
      <c r="C206" s="277" t="s">
        <v>62</v>
      </c>
      <c r="D206" s="277" t="s">
        <v>902</v>
      </c>
      <c r="E206" s="277" t="s">
        <v>898</v>
      </c>
      <c r="F206" s="277" t="s">
        <v>916</v>
      </c>
      <c r="G206" s="277" t="s">
        <v>963</v>
      </c>
      <c r="H206" s="277" t="s">
        <v>964</v>
      </c>
      <c r="I206" s="277" t="s">
        <v>965</v>
      </c>
      <c r="J206" s="277" t="s">
        <v>966</v>
      </c>
      <c r="K206" s="277" t="s">
        <v>967</v>
      </c>
      <c r="L206" s="277" t="s">
        <v>968</v>
      </c>
      <c r="M206" s="277" t="s">
        <v>956</v>
      </c>
      <c r="N206" s="277" t="s">
        <v>969</v>
      </c>
      <c r="O206" s="277" t="s">
        <v>970</v>
      </c>
      <c r="P206" s="277" t="s">
        <v>927</v>
      </c>
      <c r="Q206" s="277" t="s">
        <v>913</v>
      </c>
      <c r="R206" s="277" t="s">
        <v>914</v>
      </c>
      <c r="S206" s="277" t="s">
        <v>915</v>
      </c>
      <c r="T206" s="277" t="s">
        <v>916</v>
      </c>
      <c r="U206" s="277" t="s">
        <v>917</v>
      </c>
      <c r="V206" s="277" t="s">
        <v>918</v>
      </c>
      <c r="W206" s="277" t="s">
        <v>919</v>
      </c>
    </row>
    <row r="207" spans="1:23">
      <c r="B207" s="302" t="s">
        <v>1810</v>
      </c>
      <c r="C207" s="278" t="s">
        <v>560</v>
      </c>
      <c r="D207" s="278" t="s">
        <v>561</v>
      </c>
      <c r="E207" s="278" t="s">
        <v>448</v>
      </c>
      <c r="F207" s="299">
        <f>E$25</f>
        <v>2024</v>
      </c>
      <c r="G207" s="278">
        <v>2024</v>
      </c>
      <c r="H207" s="278">
        <f>'COMPANY INPUT'!$C$16</f>
        <v>2023</v>
      </c>
      <c r="I207" s="278">
        <f>VLOOKUP(G207,'GDP Deflators'!$H$13:$I$86,2,FALSE)</f>
        <v>101.52460002617836</v>
      </c>
      <c r="J207" s="278">
        <f>VLOOKUP(H207,'GDP Deflators'!$H$13:$I$86,2,FALSE)</f>
        <v>100</v>
      </c>
      <c r="K207" s="385">
        <f>E40</f>
        <v>27</v>
      </c>
      <c r="L207" s="746">
        <f t="shared" ref="L207:L213" si="1">K207*(J207/I207)</f>
        <v>26.594539641661218</v>
      </c>
      <c r="M207" s="300" t="str">
        <f t="shared" ref="M207:M213" si="2">I195</f>
        <v>Gate fees</v>
      </c>
      <c r="N207" s="326">
        <f t="shared" ref="N207:N213" si="3">H195</f>
        <v>2.8333333333333335</v>
      </c>
      <c r="O207" s="278" t="s">
        <v>718</v>
      </c>
      <c r="P207" s="300" t="str">
        <f t="shared" ref="P207:P213" si="4">J195</f>
        <v>Recent reputable source</v>
      </c>
      <c r="Q207" s="299">
        <f t="shared" ref="Q207:W208" si="5">B$25</f>
        <v>102</v>
      </c>
      <c r="R207" s="299" t="str">
        <f t="shared" si="5"/>
        <v>WRAP (2024) Gate Fees Report 2023/24</v>
      </c>
      <c r="S207" s="299" t="str">
        <f t="shared" si="5"/>
        <v>/</v>
      </c>
      <c r="T207" s="299">
        <f t="shared" si="5"/>
        <v>2024</v>
      </c>
      <c r="U207" s="299" t="str">
        <f t="shared" si="5"/>
        <v>UK</v>
      </c>
      <c r="V207" s="299" t="str">
        <f t="shared" si="5"/>
        <v>UK wide</v>
      </c>
      <c r="W207" s="299">
        <f t="shared" si="5"/>
        <v>255</v>
      </c>
    </row>
    <row r="208" spans="1:23">
      <c r="B208" s="302" t="s">
        <v>1811</v>
      </c>
      <c r="C208" s="278" t="s">
        <v>560</v>
      </c>
      <c r="D208" s="278" t="s">
        <v>563</v>
      </c>
      <c r="E208" s="278" t="s">
        <v>448</v>
      </c>
      <c r="F208" s="299">
        <f>E$25</f>
        <v>2024</v>
      </c>
      <c r="G208" s="278">
        <v>2024</v>
      </c>
      <c r="H208" s="278">
        <f>'COMPANY INPUT'!$C$16</f>
        <v>2023</v>
      </c>
      <c r="I208" s="278">
        <f>VLOOKUP(G208,'GDP Deflators'!$H$13:$I$86,2,FALSE)</f>
        <v>101.52460002617836</v>
      </c>
      <c r="J208" s="278">
        <f>VLOOKUP(H208,'GDP Deflators'!$H$13:$I$86,2,FALSE)</f>
        <v>100</v>
      </c>
      <c r="K208" s="385">
        <f>E41</f>
        <v>110</v>
      </c>
      <c r="L208" s="746">
        <f t="shared" si="1"/>
        <v>108.34812446602719</v>
      </c>
      <c r="M208" s="300" t="str">
        <f t="shared" si="2"/>
        <v>Gate fees</v>
      </c>
      <c r="N208" s="326">
        <f t="shared" si="3"/>
        <v>2.8333333333333335</v>
      </c>
      <c r="O208" s="278" t="s">
        <v>718</v>
      </c>
      <c r="P208" s="300" t="str">
        <f t="shared" si="4"/>
        <v>Recent reputable source</v>
      </c>
      <c r="Q208" s="299">
        <f t="shared" si="5"/>
        <v>102</v>
      </c>
      <c r="R208" s="299" t="str">
        <f t="shared" si="5"/>
        <v>WRAP (2024) Gate Fees Report 2023/24</v>
      </c>
      <c r="S208" s="299" t="str">
        <f t="shared" si="5"/>
        <v>/</v>
      </c>
      <c r="T208" s="299">
        <f t="shared" si="5"/>
        <v>2024</v>
      </c>
      <c r="U208" s="299" t="str">
        <f t="shared" si="5"/>
        <v>UK</v>
      </c>
      <c r="V208" s="299" t="str">
        <f t="shared" si="5"/>
        <v>UK wide</v>
      </c>
      <c r="W208" s="299">
        <f t="shared" si="5"/>
        <v>255</v>
      </c>
    </row>
    <row r="209" spans="2:23">
      <c r="B209" s="302" t="s">
        <v>1812</v>
      </c>
      <c r="C209" s="278" t="s">
        <v>560</v>
      </c>
      <c r="D209" s="278" t="s">
        <v>561</v>
      </c>
      <c r="E209" s="278" t="s">
        <v>452</v>
      </c>
      <c r="F209" s="299">
        <f>E$74</f>
        <v>2023</v>
      </c>
      <c r="G209" s="278">
        <v>2024</v>
      </c>
      <c r="H209" s="278">
        <f>'COMPANY INPUT'!$C$16</f>
        <v>2023</v>
      </c>
      <c r="I209" s="278">
        <f>VLOOKUP(G209,'GDP Deflators'!$H$13:$I$86,2,FALSE)</f>
        <v>101.52460002617836</v>
      </c>
      <c r="J209" s="278">
        <f>VLOOKUP(H209,'GDP Deflators'!$H$13:$I$86,2,FALSE)</f>
        <v>100</v>
      </c>
      <c r="K209" s="385">
        <f>F$127</f>
        <v>79.807715794009908</v>
      </c>
      <c r="L209" s="746">
        <f t="shared" si="1"/>
        <v>78.609239310897351</v>
      </c>
      <c r="M209" s="300" t="str">
        <f t="shared" si="2"/>
        <v>Market value</v>
      </c>
      <c r="N209" s="326">
        <f t="shared" si="3"/>
        <v>2.1428571428571401</v>
      </c>
      <c r="O209" s="278" t="s">
        <v>718</v>
      </c>
      <c r="P209" s="300" t="str">
        <f t="shared" si="4"/>
        <v>Recent market value equivalent</v>
      </c>
      <c r="Q209" s="299">
        <f t="shared" ref="Q209:W211" si="6">B$74</f>
        <v>104</v>
      </c>
      <c r="R209" s="299" t="str">
        <f t="shared" si="6"/>
        <v>AHDB (2023) Nutrient Management Guide (RB209) Section 2 Organic Materials</v>
      </c>
      <c r="S209" s="299" t="str">
        <f t="shared" si="6"/>
        <v>/</v>
      </c>
      <c r="T209" s="299">
        <f t="shared" si="6"/>
        <v>2023</v>
      </c>
      <c r="U209" s="299" t="str">
        <f t="shared" si="6"/>
        <v>UK</v>
      </c>
      <c r="V209" s="299" t="str">
        <f t="shared" si="6"/>
        <v>UK wide</v>
      </c>
      <c r="W209" s="299" t="str">
        <f t="shared" si="6"/>
        <v>N/A</v>
      </c>
    </row>
    <row r="210" spans="2:23">
      <c r="B210" s="302" t="s">
        <v>1813</v>
      </c>
      <c r="C210" s="278" t="s">
        <v>560</v>
      </c>
      <c r="D210" s="278" t="s">
        <v>562</v>
      </c>
      <c r="E210" s="278" t="s">
        <v>452</v>
      </c>
      <c r="F210" s="299">
        <f>E$74</f>
        <v>2023</v>
      </c>
      <c r="G210" s="278">
        <v>2024</v>
      </c>
      <c r="H210" s="278">
        <f>'COMPANY INPUT'!$C$16</f>
        <v>2023</v>
      </c>
      <c r="I210" s="278">
        <f>VLOOKUP(G210,'GDP Deflators'!$H$13:$I$86,2,FALSE)</f>
        <v>101.52460002617836</v>
      </c>
      <c r="J210" s="278">
        <f>VLOOKUP(H210,'GDP Deflators'!$H$13:$I$86,2,FALSE)</f>
        <v>100</v>
      </c>
      <c r="K210" s="385">
        <f>F$127</f>
        <v>79.807715794009908</v>
      </c>
      <c r="L210" s="746">
        <f t="shared" si="1"/>
        <v>78.609239310897351</v>
      </c>
      <c r="M210" s="300" t="str">
        <f t="shared" si="2"/>
        <v>Market value</v>
      </c>
      <c r="N210" s="326">
        <f t="shared" si="3"/>
        <v>2.1428571428571401</v>
      </c>
      <c r="O210" s="278" t="s">
        <v>718</v>
      </c>
      <c r="P210" s="300" t="str">
        <f t="shared" si="4"/>
        <v>Recent market value equivalent</v>
      </c>
      <c r="Q210" s="299">
        <f t="shared" si="6"/>
        <v>104</v>
      </c>
      <c r="R210" s="299" t="str">
        <f t="shared" si="6"/>
        <v>AHDB (2023) Nutrient Management Guide (RB209) Section 2 Organic Materials</v>
      </c>
      <c r="S210" s="299" t="str">
        <f t="shared" si="6"/>
        <v>/</v>
      </c>
      <c r="T210" s="299">
        <f t="shared" si="6"/>
        <v>2023</v>
      </c>
      <c r="U210" s="299" t="str">
        <f t="shared" si="6"/>
        <v>UK</v>
      </c>
      <c r="V210" s="299" t="str">
        <f t="shared" si="6"/>
        <v>UK wide</v>
      </c>
      <c r="W210" s="299" t="str">
        <f t="shared" si="6"/>
        <v>N/A</v>
      </c>
    </row>
    <row r="211" spans="2:23">
      <c r="B211" s="302" t="s">
        <v>1814</v>
      </c>
      <c r="C211" s="278" t="s">
        <v>560</v>
      </c>
      <c r="D211" s="278" t="s">
        <v>563</v>
      </c>
      <c r="E211" s="278" t="s">
        <v>452</v>
      </c>
      <c r="F211" s="299">
        <f>E$74</f>
        <v>2023</v>
      </c>
      <c r="G211" s="278">
        <v>2024</v>
      </c>
      <c r="H211" s="278">
        <f>'COMPANY INPUT'!$C$16</f>
        <v>2023</v>
      </c>
      <c r="I211" s="278">
        <f>VLOOKUP(G211,'GDP Deflators'!$H$13:$I$86,2,FALSE)</f>
        <v>101.52460002617836</v>
      </c>
      <c r="J211" s="278">
        <f>VLOOKUP(H211,'GDP Deflators'!$H$13:$I$86,2,FALSE)</f>
        <v>100</v>
      </c>
      <c r="K211" s="385">
        <f>F$127</f>
        <v>79.807715794009908</v>
      </c>
      <c r="L211" s="746">
        <f t="shared" si="1"/>
        <v>78.609239310897351</v>
      </c>
      <c r="M211" s="300" t="str">
        <f t="shared" si="2"/>
        <v>Market value</v>
      </c>
      <c r="N211" s="326">
        <f t="shared" si="3"/>
        <v>2.1428571428571401</v>
      </c>
      <c r="O211" s="278" t="s">
        <v>718</v>
      </c>
      <c r="P211" s="300" t="str">
        <f t="shared" si="4"/>
        <v>Recent market value equivalent</v>
      </c>
      <c r="Q211" s="299">
        <f t="shared" si="6"/>
        <v>104</v>
      </c>
      <c r="R211" s="299" t="str">
        <f t="shared" si="6"/>
        <v>AHDB (2023) Nutrient Management Guide (RB209) Section 2 Organic Materials</v>
      </c>
      <c r="S211" s="299" t="str">
        <f t="shared" si="6"/>
        <v>/</v>
      </c>
      <c r="T211" s="299">
        <f t="shared" si="6"/>
        <v>2023</v>
      </c>
      <c r="U211" s="299" t="str">
        <f t="shared" si="6"/>
        <v>UK</v>
      </c>
      <c r="V211" s="299" t="str">
        <f t="shared" si="6"/>
        <v>UK wide</v>
      </c>
      <c r="W211" s="299" t="str">
        <f t="shared" si="6"/>
        <v>N/A</v>
      </c>
    </row>
    <row r="212" spans="2:23">
      <c r="B212" s="302" t="s">
        <v>1815</v>
      </c>
      <c r="C212" s="278" t="s">
        <v>560</v>
      </c>
      <c r="D212" s="278" t="s">
        <v>561</v>
      </c>
      <c r="E212" s="278" t="s">
        <v>456</v>
      </c>
      <c r="F212" s="299">
        <f>E$137</f>
        <v>2013</v>
      </c>
      <c r="G212" s="278">
        <v>2020</v>
      </c>
      <c r="H212" s="278">
        <f>'COMPANY INPUT'!$C$16</f>
        <v>2023</v>
      </c>
      <c r="I212" s="278">
        <f>VLOOKUP(G212,'GDP Deflators'!$H$13:$I$86,2,FALSE)</f>
        <v>89.073499999999996</v>
      </c>
      <c r="J212" s="278">
        <f>VLOOKUP(H212,'GDP Deflators'!$H$13:$I$86,2,FALSE)</f>
        <v>100</v>
      </c>
      <c r="K212" s="385">
        <f ca="1">C190</f>
        <v>514.695290909091</v>
      </c>
      <c r="L212" s="746">
        <f t="shared" ca="1" si="1"/>
        <v>577.83211719432938</v>
      </c>
      <c r="M212" s="300" t="str">
        <f t="shared" si="2"/>
        <v>Abatement cost</v>
      </c>
      <c r="N212" s="326">
        <f t="shared" si="3"/>
        <v>1.6666666666666667</v>
      </c>
      <c r="O212" s="278" t="s">
        <v>718</v>
      </c>
      <c r="P212" s="300" t="str">
        <f t="shared" si="4"/>
        <v>Best available source</v>
      </c>
      <c r="Q212" s="299">
        <f t="shared" ref="Q212:W213" si="7">B$137</f>
        <v>109</v>
      </c>
      <c r="R212" s="299" t="str">
        <f t="shared" si="7"/>
        <v>Pradel &amp; Reverdy (2013) Assessing GHG emissions from sludge treatment and disposal routes: the method behind GESTABoues tool</v>
      </c>
      <c r="S212" s="299" t="str">
        <f t="shared" si="7"/>
        <v>/</v>
      </c>
      <c r="T212" s="299">
        <f t="shared" si="7"/>
        <v>2013</v>
      </c>
      <c r="U212" s="299" t="str">
        <f t="shared" si="7"/>
        <v>France</v>
      </c>
      <c r="V212" s="299" t="str">
        <f t="shared" si="7"/>
        <v>France</v>
      </c>
      <c r="W212" s="299" t="str">
        <f t="shared" si="7"/>
        <v>N/A</v>
      </c>
    </row>
    <row r="213" spans="2:23">
      <c r="B213" s="302" t="s">
        <v>1816</v>
      </c>
      <c r="C213" s="278" t="s">
        <v>560</v>
      </c>
      <c r="D213" s="299" t="s">
        <v>563</v>
      </c>
      <c r="E213" s="299" t="s">
        <v>456</v>
      </c>
      <c r="F213" s="299">
        <f>E$137</f>
        <v>2013</v>
      </c>
      <c r="G213" s="278">
        <v>2020</v>
      </c>
      <c r="H213" s="278">
        <f>'COMPANY INPUT'!$C$16</f>
        <v>2023</v>
      </c>
      <c r="I213" s="278">
        <f>VLOOKUP(G213,'GDP Deflators'!$H$13:$I$86,2,FALSE)</f>
        <v>89.073499999999996</v>
      </c>
      <c r="J213" s="278">
        <f>VLOOKUP(H213,'GDP Deflators'!$H$13:$I$86,2,FALSE)</f>
        <v>100</v>
      </c>
      <c r="K213" s="385">
        <f ca="1">C191</f>
        <v>151.54491999999999</v>
      </c>
      <c r="L213" s="746">
        <f t="shared" ca="1" si="1"/>
        <v>170.13468652292769</v>
      </c>
      <c r="M213" s="300" t="str">
        <f t="shared" si="2"/>
        <v>Abatement cost</v>
      </c>
      <c r="N213" s="326">
        <f t="shared" si="3"/>
        <v>1.6666666666666667</v>
      </c>
      <c r="O213" s="278" t="s">
        <v>718</v>
      </c>
      <c r="P213" s="300" t="str">
        <f t="shared" si="4"/>
        <v>Best available source</v>
      </c>
      <c r="Q213" s="299">
        <f t="shared" si="7"/>
        <v>109</v>
      </c>
      <c r="R213" s="299" t="str">
        <f t="shared" si="7"/>
        <v>Pradel &amp; Reverdy (2013) Assessing GHG emissions from sludge treatment and disposal routes: the method behind GESTABoues tool</v>
      </c>
      <c r="S213" s="299" t="str">
        <f t="shared" si="7"/>
        <v>/</v>
      </c>
      <c r="T213" s="299">
        <f t="shared" si="7"/>
        <v>2013</v>
      </c>
      <c r="U213" s="299" t="str">
        <f t="shared" si="7"/>
        <v>France</v>
      </c>
      <c r="V213" s="299" t="str">
        <f t="shared" si="7"/>
        <v>France</v>
      </c>
      <c r="W213" s="299" t="str">
        <f t="shared" si="7"/>
        <v>N/A</v>
      </c>
    </row>
  </sheetData>
  <sheetProtection algorithmName="SHA-512" hashValue="UQ9ZrHHQ15lRkEho4mgOg2TL7SLngQi76e1EsE8p2kA6Ti+l8E8RXtEHuOVRSiMlAk5GJGBerogpXDYX/IggCQ==" saltValue="tcmUMm7D6xOk2es181QfSw==" spinCount="100000" sheet="1" objects="1" scenarios="1"/>
  <dataConsolidate/>
  <mergeCells count="86">
    <mergeCell ref="E147:H147"/>
    <mergeCell ref="E148:H148"/>
    <mergeCell ref="E142:H142"/>
    <mergeCell ref="E143:H143"/>
    <mergeCell ref="E144:H144"/>
    <mergeCell ref="E145:H145"/>
    <mergeCell ref="E146:H146"/>
    <mergeCell ref="E54:H54"/>
    <mergeCell ref="E55:H55"/>
    <mergeCell ref="E79:H79"/>
    <mergeCell ref="E80:H80"/>
    <mergeCell ref="G60:L60"/>
    <mergeCell ref="E49:H49"/>
    <mergeCell ref="E50:H50"/>
    <mergeCell ref="E51:H51"/>
    <mergeCell ref="E52:H52"/>
    <mergeCell ref="E53:H53"/>
    <mergeCell ref="G41:L41"/>
    <mergeCell ref="G40:L40"/>
    <mergeCell ref="G39:L39"/>
    <mergeCell ref="E32:H32"/>
    <mergeCell ref="E33:H33"/>
    <mergeCell ref="E34:H34"/>
    <mergeCell ref="B5:H5"/>
    <mergeCell ref="E28:H28"/>
    <mergeCell ref="E29:H29"/>
    <mergeCell ref="E30:H30"/>
    <mergeCell ref="E31:H31"/>
    <mergeCell ref="D9:G9"/>
    <mergeCell ref="G92:L92"/>
    <mergeCell ref="G93:L93"/>
    <mergeCell ref="G94:L94"/>
    <mergeCell ref="G98:L98"/>
    <mergeCell ref="G99:L99"/>
    <mergeCell ref="G95:L95"/>
    <mergeCell ref="G96:L96"/>
    <mergeCell ref="G97:L97"/>
    <mergeCell ref="G91:L91"/>
    <mergeCell ref="G61:H61"/>
    <mergeCell ref="G62:H62"/>
    <mergeCell ref="G63:H63"/>
    <mergeCell ref="G64:H64"/>
    <mergeCell ref="I61:L64"/>
    <mergeCell ref="E81:H81"/>
    <mergeCell ref="E82:H82"/>
    <mergeCell ref="E83:H83"/>
    <mergeCell ref="E84:H84"/>
    <mergeCell ref="E85:H85"/>
    <mergeCell ref="G90:L90"/>
    <mergeCell ref="G100:L100"/>
    <mergeCell ref="G157:L157"/>
    <mergeCell ref="G153:L153"/>
    <mergeCell ref="G154:L154"/>
    <mergeCell ref="G155:L155"/>
    <mergeCell ref="G156:L156"/>
    <mergeCell ref="H118:J118"/>
    <mergeCell ref="H119:J119"/>
    <mergeCell ref="H120:J120"/>
    <mergeCell ref="H121:J121"/>
    <mergeCell ref="H122:J122"/>
    <mergeCell ref="H123:J123"/>
    <mergeCell ref="H124:J124"/>
    <mergeCell ref="H125:J125"/>
    <mergeCell ref="H126:J126"/>
    <mergeCell ref="H127:J127"/>
    <mergeCell ref="E180:K180"/>
    <mergeCell ref="E165:K165"/>
    <mergeCell ref="E169:K169"/>
    <mergeCell ref="E170:K170"/>
    <mergeCell ref="E162:K162"/>
    <mergeCell ref="E163:K163"/>
    <mergeCell ref="E164:K164"/>
    <mergeCell ref="E175:K175"/>
    <mergeCell ref="E178:K178"/>
    <mergeCell ref="E179:K179"/>
    <mergeCell ref="E168:K168"/>
    <mergeCell ref="E173:K173"/>
    <mergeCell ref="E174:K174"/>
    <mergeCell ref="E189:K189"/>
    <mergeCell ref="E190:K190"/>
    <mergeCell ref="E191:K191"/>
    <mergeCell ref="E181:K181"/>
    <mergeCell ref="E182:K182"/>
    <mergeCell ref="E183:K183"/>
    <mergeCell ref="E184:K184"/>
    <mergeCell ref="E185:K185"/>
  </mergeCells>
  <conditionalFormatting sqref="D35:E35">
    <cfRule type="cellIs" dxfId="700" priority="23" operator="lessThanOrEqual">
      <formula>2.14285714285714</formula>
    </cfRule>
    <cfRule type="cellIs" dxfId="699" priority="24" operator="lessThanOrEqual">
      <formula>2.57142857142857</formula>
    </cfRule>
    <cfRule type="cellIs" dxfId="698" priority="25" operator="lessThanOrEqual">
      <formula>3</formula>
    </cfRule>
  </conditionalFormatting>
  <conditionalFormatting sqref="D56:E56">
    <cfRule type="cellIs" dxfId="697" priority="17" operator="lessThanOrEqual">
      <formula>2.14285714285714</formula>
    </cfRule>
    <cfRule type="cellIs" dxfId="696" priority="18" operator="lessThanOrEqual">
      <formula>2.57142857142857</formula>
    </cfRule>
    <cfRule type="cellIs" dxfId="695" priority="19" operator="lessThanOrEqual">
      <formula>3</formula>
    </cfRule>
  </conditionalFormatting>
  <conditionalFormatting sqref="D86:E86">
    <cfRule type="cellIs" dxfId="694" priority="11" operator="lessThanOrEqual">
      <formula>2.14285714285714</formula>
    </cfRule>
    <cfRule type="cellIs" dxfId="693" priority="12" operator="lessThanOrEqual">
      <formula>2.57142857142857</formula>
    </cfRule>
    <cfRule type="cellIs" dxfId="692" priority="13" operator="lessThanOrEqual">
      <formula>3</formula>
    </cfRule>
  </conditionalFormatting>
  <conditionalFormatting sqref="D149:E149">
    <cfRule type="cellIs" dxfId="691" priority="5" operator="lessThanOrEqual">
      <formula>2.14285714285714</formula>
    </cfRule>
    <cfRule type="cellIs" dxfId="690" priority="6" operator="lessThanOrEqual">
      <formula>2.57142857142857</formula>
    </cfRule>
    <cfRule type="cellIs" dxfId="689" priority="7" operator="lessThanOrEqual">
      <formula>3</formula>
    </cfRule>
  </conditionalFormatting>
  <conditionalFormatting sqref="D11:G14">
    <cfRule type="notContainsBlanks" dxfId="688" priority="1">
      <formula>LEN(TRIM(D11))&gt;0</formula>
    </cfRule>
  </conditionalFormatting>
  <conditionalFormatting sqref="E35">
    <cfRule type="containsText" dxfId="687" priority="20" operator="containsText" text="Green">
      <formula>NOT(ISERROR(SEARCH("Green",E35)))</formula>
    </cfRule>
    <cfRule type="containsText" dxfId="686" priority="21" operator="containsText" text="Amber">
      <formula>NOT(ISERROR(SEARCH("Amber",E35)))</formula>
    </cfRule>
    <cfRule type="containsText" dxfId="685" priority="22" operator="containsText" text="Red">
      <formula>NOT(ISERROR(SEARCH("Red",E35)))</formula>
    </cfRule>
  </conditionalFormatting>
  <conditionalFormatting sqref="E56">
    <cfRule type="containsText" dxfId="684" priority="14" operator="containsText" text="Green">
      <formula>NOT(ISERROR(SEARCH("Green",E56)))</formula>
    </cfRule>
    <cfRule type="containsText" dxfId="683" priority="15" operator="containsText" text="Amber">
      <formula>NOT(ISERROR(SEARCH("Amber",E56)))</formula>
    </cfRule>
    <cfRule type="containsText" dxfId="682" priority="16" operator="containsText" text="Red">
      <formula>NOT(ISERROR(SEARCH("Red",E56)))</formula>
    </cfRule>
  </conditionalFormatting>
  <conditionalFormatting sqref="E86">
    <cfRule type="containsText" dxfId="681" priority="8" operator="containsText" text="Green">
      <formula>NOT(ISERROR(SEARCH("Green",E86)))</formula>
    </cfRule>
    <cfRule type="containsText" dxfId="680" priority="9" operator="containsText" text="Amber">
      <formula>NOT(ISERROR(SEARCH("Amber",E86)))</formula>
    </cfRule>
    <cfRule type="containsText" dxfId="679" priority="10" operator="containsText" text="Red">
      <formula>NOT(ISERROR(SEARCH("Red",E86)))</formula>
    </cfRule>
  </conditionalFormatting>
  <conditionalFormatting sqref="E149">
    <cfRule type="containsText" dxfId="678" priority="2" operator="containsText" text="Green">
      <formula>NOT(ISERROR(SEARCH("Green",E149)))</formula>
    </cfRule>
    <cfRule type="containsText" dxfId="677" priority="3" operator="containsText" text="Amber">
      <formula>NOT(ISERROR(SEARCH("Amber",E149)))</formula>
    </cfRule>
    <cfRule type="containsText" dxfId="676" priority="4" operator="containsText" text="Red">
      <formula>NOT(ISERROR(SEARCH("Red",E149)))</formula>
    </cfRule>
  </conditionalFormatting>
  <conditionalFormatting sqref="H195:H201">
    <cfRule type="cellIs" dxfId="675" priority="29" operator="lessThanOrEqual">
      <formula>2.14285714285714</formula>
    </cfRule>
    <cfRule type="cellIs" dxfId="674" priority="30" operator="lessThanOrEqual">
      <formula>2.57142857142857</formula>
    </cfRule>
    <cfRule type="cellIs" dxfId="673" priority="31" operator="lessThanOrEqual">
      <formula>3</formula>
    </cfRule>
  </conditionalFormatting>
  <conditionalFormatting sqref="N207:N213">
    <cfRule type="cellIs" dxfId="672" priority="26" operator="lessThanOrEqual">
      <formula>2.14285714285714</formula>
    </cfRule>
    <cfRule type="cellIs" dxfId="671" priority="27" operator="lessThanOrEqual">
      <formula>2.57142857142857</formula>
    </cfRule>
    <cfRule type="cellIs" dxfId="670" priority="28" operator="lessThanOrEqual">
      <formula>3</formula>
    </cfRule>
  </conditionalFormatting>
  <dataValidations disablePrompts="1" count="1">
    <dataValidation type="list" allowBlank="1" showInputMessage="1" showErrorMessage="1" sqref="C214 C36 C29:C34 C87 C80:C85 C57 C50:C55 C150 C143:C148" xr:uid="{7CF53217-0C94-4EFC-8CCF-84A06EDFFEC7}">
      <formula1>"High, Medium, Low"</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F9BA-8334-40E9-9D45-F1C4ECEE81A9}">
  <sheetPr codeName="Sheet31">
    <tabColor theme="5" tint="0.59999389629810485"/>
  </sheetPr>
  <dimension ref="A1:J27"/>
  <sheetViews>
    <sheetView workbookViewId="0"/>
  </sheetViews>
  <sheetFormatPr defaultColWidth="9" defaultRowHeight="14.45"/>
  <cols>
    <col min="1" max="1" width="3.5" style="262" customWidth="1"/>
    <col min="2" max="3" width="40.625" style="262" customWidth="1"/>
    <col min="4" max="17" width="15.625" style="262" customWidth="1"/>
    <col min="18" max="18" width="16.625" style="262" customWidth="1"/>
    <col min="19" max="19" width="18.5" style="262" customWidth="1"/>
    <col min="20" max="16384" width="9" style="262"/>
  </cols>
  <sheetData>
    <row r="1" spans="1:10" ht="15" thickBot="1">
      <c r="A1" s="2"/>
      <c r="B1" s="2"/>
      <c r="C1" s="2"/>
      <c r="D1" s="2"/>
      <c r="E1" s="2"/>
      <c r="F1" s="2"/>
      <c r="G1" s="2"/>
      <c r="H1" s="2"/>
      <c r="I1" s="2"/>
      <c r="J1" s="2"/>
    </row>
    <row r="2" spans="1:10" s="750" customFormat="1" ht="18.95" thickBot="1">
      <c r="A2" s="748"/>
      <c r="B2" s="749" t="s">
        <v>403</v>
      </c>
      <c r="C2" s="749"/>
      <c r="D2" s="749"/>
    </row>
    <row r="4" spans="1:10" s="714" customFormat="1" ht="18.600000000000001">
      <c r="A4" s="715"/>
      <c r="B4" s="713" t="s">
        <v>893</v>
      </c>
      <c r="C4" s="715"/>
      <c r="D4" s="715"/>
      <c r="E4" s="715"/>
      <c r="F4" s="715"/>
      <c r="G4" s="715"/>
      <c r="H4" s="715"/>
    </row>
    <row r="5" spans="1:10" s="7" customFormat="1" ht="95.25" customHeight="1">
      <c r="A5" s="737"/>
      <c r="B5" s="1152" t="s">
        <v>1817</v>
      </c>
      <c r="C5" s="1152"/>
      <c r="D5" s="1152"/>
      <c r="E5" s="1152"/>
      <c r="F5" s="1152"/>
      <c r="G5" s="1152"/>
      <c r="H5" s="1152"/>
    </row>
    <row r="6" spans="1:10" s="7" customFormat="1"/>
    <row r="7" spans="1:10" s="718" customFormat="1" ht="18.600000000000001">
      <c r="A7" s="724"/>
      <c r="B7" s="724" t="s">
        <v>895</v>
      </c>
      <c r="C7" s="724"/>
      <c r="D7" s="724"/>
      <c r="E7" s="724"/>
      <c r="F7" s="724"/>
      <c r="G7" s="724"/>
      <c r="H7" s="724"/>
    </row>
    <row r="9" spans="1:10">
      <c r="A9" s="2"/>
      <c r="B9" s="2"/>
      <c r="C9" s="2"/>
      <c r="D9" s="414" t="s">
        <v>479</v>
      </c>
      <c r="E9" s="414"/>
      <c r="F9" s="2"/>
      <c r="G9" s="2"/>
      <c r="H9" s="2"/>
      <c r="I9" s="2"/>
      <c r="J9" s="2"/>
    </row>
    <row r="10" spans="1:10">
      <c r="A10" s="2"/>
      <c r="B10" s="277" t="s">
        <v>104</v>
      </c>
      <c r="C10" s="277" t="s">
        <v>711</v>
      </c>
      <c r="D10" s="277" t="s">
        <v>448</v>
      </c>
      <c r="E10" s="277" t="s">
        <v>460</v>
      </c>
      <c r="F10" s="2"/>
      <c r="G10" s="2"/>
      <c r="H10" s="2"/>
      <c r="I10" s="2"/>
      <c r="J10" s="2"/>
    </row>
    <row r="11" spans="1:10">
      <c r="A11" s="2"/>
      <c r="B11" s="278" t="s">
        <v>565</v>
      </c>
      <c r="C11" s="278" t="s">
        <v>404</v>
      </c>
      <c r="D11" s="374" t="str" cm="1">
        <f t="array" ref="D11">_xlfn.XLOOKUP(1,($B11=$B$22:$B$28)*(D$10=$C$22:$C$28),$G$22:$G$28,"Not found",0,1)</f>
        <v>LG(H)</v>
      </c>
      <c r="E11" s="374" t="str" cm="1">
        <f t="array" ref="E11">_xlfn.XLOOKUP(1,($B11=$B$22:$B$28)*(E$10=$C$22:$C$28),$G$22:$G$28,"Not found",0,1)</f>
        <v>LG(H)</v>
      </c>
      <c r="F11" s="2"/>
      <c r="G11" s="2"/>
      <c r="H11" s="2"/>
      <c r="I11" s="2"/>
      <c r="J11" s="2"/>
    </row>
    <row r="12" spans="1:10">
      <c r="A12" s="2"/>
      <c r="B12" s="278" t="s">
        <v>566</v>
      </c>
      <c r="C12" s="278" t="s">
        <v>404</v>
      </c>
      <c r="D12" s="374" t="str" cm="1">
        <f t="array" ref="D12">_xlfn.XLOOKUP(1,($B12=$B$22:$B$28)*(D$10=$C$22:$C$28),$G$22:$G$28,"Not found",0,1)</f>
        <v>LG(H)</v>
      </c>
      <c r="E12" s="374" t="str" cm="1">
        <f t="array" ref="E12">_xlfn.XLOOKUP(1,($B12=$B$22:$B$28)*(E$10=$C$22:$C$28),$G$22:$G$28,"Not found",0,1)</f>
        <v>LG(H)</v>
      </c>
      <c r="F12" s="2"/>
      <c r="G12" s="2"/>
      <c r="H12" s="2"/>
      <c r="I12" s="2"/>
      <c r="J12" s="2"/>
    </row>
    <row r="13" spans="1:10">
      <c r="A13" s="2"/>
      <c r="B13" s="800" t="s">
        <v>896</v>
      </c>
      <c r="C13" s="2"/>
      <c r="D13" s="2"/>
      <c r="E13" s="2"/>
      <c r="F13" s="2"/>
      <c r="G13" s="2"/>
      <c r="H13" s="2"/>
      <c r="I13" s="2"/>
      <c r="J13" s="2"/>
    </row>
    <row r="14" spans="1:10">
      <c r="A14" s="2"/>
      <c r="B14" s="800"/>
      <c r="C14" s="2"/>
      <c r="D14" s="2"/>
      <c r="E14" s="2"/>
      <c r="F14" s="2"/>
      <c r="G14" s="2"/>
      <c r="H14" s="2"/>
      <c r="I14" s="2"/>
      <c r="J14" s="2"/>
    </row>
    <row r="15" spans="1:10">
      <c r="A15" s="721"/>
      <c r="B15" s="722" t="s">
        <v>1818</v>
      </c>
      <c r="C15" s="721"/>
      <c r="D15" s="721"/>
      <c r="E15" s="721"/>
      <c r="F15" s="721"/>
      <c r="G15" s="721"/>
      <c r="H15" s="721"/>
      <c r="I15" s="2"/>
      <c r="J15" s="2"/>
    </row>
    <row r="16" spans="1:10">
      <c r="A16" s="727"/>
      <c r="B16" s="729" t="s">
        <v>897</v>
      </c>
      <c r="C16" s="727"/>
      <c r="D16" s="727"/>
      <c r="E16" s="727"/>
      <c r="F16" s="727"/>
      <c r="G16" s="727"/>
      <c r="H16" s="727"/>
      <c r="I16" s="2"/>
      <c r="J16" s="2"/>
    </row>
    <row r="17" spans="1:10">
      <c r="A17" s="2"/>
      <c r="B17" s="277" t="s">
        <v>898</v>
      </c>
      <c r="C17" s="277" t="s">
        <v>899</v>
      </c>
      <c r="D17" s="2"/>
      <c r="E17" s="2"/>
      <c r="F17" s="2"/>
      <c r="G17" s="2"/>
      <c r="H17" s="2"/>
      <c r="I17" s="2"/>
      <c r="J17" s="2"/>
    </row>
    <row r="18" spans="1:10">
      <c r="A18" s="2"/>
      <c r="B18" s="278" t="s">
        <v>448</v>
      </c>
      <c r="C18" s="278" t="s">
        <v>1819</v>
      </c>
      <c r="D18" s="2"/>
      <c r="E18" s="2"/>
      <c r="F18" s="2"/>
      <c r="G18" s="2"/>
      <c r="H18" s="2"/>
      <c r="I18" s="2"/>
      <c r="J18" s="2"/>
    </row>
    <row r="19" spans="1:10">
      <c r="A19" s="2"/>
      <c r="B19" s="278" t="s">
        <v>460</v>
      </c>
      <c r="C19" s="278" t="s">
        <v>1820</v>
      </c>
      <c r="D19" s="2"/>
      <c r="E19" s="2"/>
      <c r="F19" s="2"/>
      <c r="G19" s="2"/>
      <c r="H19" s="2"/>
      <c r="I19" s="2"/>
      <c r="J19" s="2"/>
    </row>
    <row r="20" spans="1:10">
      <c r="A20" s="2"/>
      <c r="B20" s="16"/>
      <c r="C20" s="2"/>
      <c r="D20" s="2"/>
      <c r="E20" s="2"/>
      <c r="F20" s="2"/>
      <c r="G20" s="2"/>
      <c r="H20" s="2"/>
      <c r="I20" s="2"/>
      <c r="J20" s="2"/>
    </row>
    <row r="21" spans="1:10">
      <c r="A21" s="727"/>
      <c r="B21" s="728" t="s">
        <v>901</v>
      </c>
      <c r="C21" s="727"/>
      <c r="D21" s="727"/>
      <c r="E21" s="727"/>
      <c r="F21" s="727"/>
      <c r="G21" s="727"/>
      <c r="H21" s="727"/>
      <c r="I21" s="2"/>
      <c r="J21" s="2"/>
    </row>
    <row r="22" spans="1:10" ht="30" customHeight="1">
      <c r="A22" s="2"/>
      <c r="B22" s="719" t="s">
        <v>902</v>
      </c>
      <c r="C22" s="719" t="s">
        <v>898</v>
      </c>
      <c r="D22" s="719" t="s">
        <v>899</v>
      </c>
      <c r="E22" s="719" t="s">
        <v>903</v>
      </c>
      <c r="F22" s="719" t="s">
        <v>904</v>
      </c>
      <c r="G22" s="719" t="s">
        <v>905</v>
      </c>
      <c r="H22" s="719" t="s">
        <v>924</v>
      </c>
      <c r="I22" s="719" t="s">
        <v>956</v>
      </c>
      <c r="J22" s="719" t="s">
        <v>927</v>
      </c>
    </row>
    <row r="23" spans="1:10">
      <c r="A23" s="2"/>
      <c r="B23" s="278" t="s">
        <v>565</v>
      </c>
      <c r="C23" s="299" t="s">
        <v>448</v>
      </c>
      <c r="D23" s="278" t="s">
        <v>1819</v>
      </c>
      <c r="E23" s="299" t="s">
        <v>906</v>
      </c>
      <c r="F23" s="279" t="s">
        <v>907</v>
      </c>
      <c r="G23" s="300" t="s">
        <v>477</v>
      </c>
      <c r="H23" s="640" t="s">
        <v>907</v>
      </c>
      <c r="I23" s="640" t="s">
        <v>907</v>
      </c>
      <c r="J23" s="640" t="s">
        <v>907</v>
      </c>
    </row>
    <row r="24" spans="1:10">
      <c r="A24" s="2"/>
      <c r="B24" s="278" t="s">
        <v>566</v>
      </c>
      <c r="C24" s="299" t="s">
        <v>448</v>
      </c>
      <c r="D24" s="278" t="s">
        <v>1819</v>
      </c>
      <c r="E24" s="299" t="s">
        <v>906</v>
      </c>
      <c r="F24" s="279" t="s">
        <v>907</v>
      </c>
      <c r="G24" s="300" t="s">
        <v>477</v>
      </c>
      <c r="H24" s="640" t="s">
        <v>907</v>
      </c>
      <c r="I24" s="640" t="s">
        <v>907</v>
      </c>
      <c r="J24" s="640" t="s">
        <v>907</v>
      </c>
    </row>
    <row r="25" spans="1:10">
      <c r="A25" s="2"/>
      <c r="B25" s="278" t="s">
        <v>565</v>
      </c>
      <c r="C25" s="299" t="s">
        <v>460</v>
      </c>
      <c r="D25" s="278" t="s">
        <v>1127</v>
      </c>
      <c r="E25" s="299" t="s">
        <v>906</v>
      </c>
      <c r="F25" s="279" t="s">
        <v>907</v>
      </c>
      <c r="G25" s="300" t="s">
        <v>477</v>
      </c>
      <c r="H25" s="640" t="s">
        <v>907</v>
      </c>
      <c r="I25" s="640" t="s">
        <v>907</v>
      </c>
      <c r="J25" s="640" t="s">
        <v>907</v>
      </c>
    </row>
    <row r="26" spans="1:10">
      <c r="A26" s="2"/>
      <c r="B26" s="278" t="s">
        <v>566</v>
      </c>
      <c r="C26" s="299" t="s">
        <v>460</v>
      </c>
      <c r="D26" s="278" t="s">
        <v>1127</v>
      </c>
      <c r="E26" s="299" t="s">
        <v>906</v>
      </c>
      <c r="F26" s="279" t="s">
        <v>907</v>
      </c>
      <c r="G26" s="300" t="s">
        <v>477</v>
      </c>
      <c r="H26" s="640" t="s">
        <v>907</v>
      </c>
      <c r="I26" s="640" t="s">
        <v>907</v>
      </c>
      <c r="J26" s="640" t="s">
        <v>907</v>
      </c>
    </row>
    <row r="27" spans="1:10">
      <c r="A27" s="2"/>
      <c r="B27" s="16"/>
      <c r="C27" s="2"/>
      <c r="D27" s="2"/>
      <c r="E27" s="2"/>
      <c r="F27" s="2"/>
      <c r="G27" s="2"/>
      <c r="H27" s="2"/>
      <c r="I27" s="2"/>
      <c r="J27" s="2"/>
    </row>
  </sheetData>
  <sheetProtection algorithmName="SHA-512" hashValue="T/DxsVKvkr7nskFXbLHXKThmbTC5KAUefcJpZPkzucfdffjiJCYKipXQ9JTy2KJxvYRON1aEIAG5OYxDru1AIg==" saltValue="zyFbRbEMFeL/1aROPZI70w==" spinCount="100000" sheet="1" objects="1" scenarios="1"/>
  <dataConsolidate/>
  <mergeCells count="1">
    <mergeCell ref="B5:H5"/>
  </mergeCells>
  <conditionalFormatting sqref="D11:E12">
    <cfRule type="notContainsBlanks" dxfId="669" priority="1">
      <formula>LEN(TRIM(D11))&gt;0</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D0F48-8DA8-4A86-A256-573F69430273}">
  <sheetPr codeName="Sheet32">
    <tabColor theme="5" tint="0.59999389629810485"/>
  </sheetPr>
  <dimension ref="A1:W123"/>
  <sheetViews>
    <sheetView workbookViewId="0"/>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10" ht="15" thickBot="1"/>
    <row r="2" spans="1:10" s="710" customFormat="1" ht="18.95" thickBot="1">
      <c r="A2" s="707"/>
      <c r="B2" s="749" t="s">
        <v>406</v>
      </c>
      <c r="C2" s="711"/>
      <c r="D2" s="711"/>
    </row>
    <row r="4" spans="1:10" s="714" customFormat="1" ht="18.600000000000001">
      <c r="A4" s="715"/>
      <c r="B4" s="713" t="s">
        <v>893</v>
      </c>
      <c r="C4" s="715"/>
      <c r="D4" s="715"/>
      <c r="E4" s="715"/>
      <c r="F4" s="715"/>
      <c r="G4" s="715"/>
      <c r="H4" s="715"/>
    </row>
    <row r="5" spans="1:10" s="7" customFormat="1" ht="260.25" customHeight="1">
      <c r="A5" s="737"/>
      <c r="B5" s="1152" t="s">
        <v>1821</v>
      </c>
      <c r="C5" s="1152"/>
      <c r="D5" s="1152"/>
      <c r="E5" s="1152"/>
      <c r="F5" s="1152"/>
      <c r="G5" s="1152"/>
      <c r="H5" s="1152"/>
    </row>
    <row r="6" spans="1:10" s="7" customFormat="1"/>
    <row r="7" spans="1:10" s="718" customFormat="1" ht="18.600000000000001">
      <c r="A7" s="724"/>
      <c r="B7" s="724" t="s">
        <v>895</v>
      </c>
      <c r="C7" s="724"/>
      <c r="D7" s="724"/>
      <c r="E7" s="724"/>
      <c r="F7" s="724"/>
      <c r="G7" s="724"/>
      <c r="H7" s="724"/>
    </row>
    <row r="9" spans="1:10">
      <c r="D9" s="1179" t="s">
        <v>479</v>
      </c>
      <c r="E9" s="1179"/>
      <c r="F9" s="1179"/>
      <c r="G9" s="1179"/>
      <c r="H9" s="1179"/>
      <c r="I9" s="1179"/>
      <c r="J9" s="1179"/>
    </row>
    <row r="10" spans="1:10" ht="29.1">
      <c r="B10" s="763" t="s">
        <v>104</v>
      </c>
      <c r="C10" s="521" t="s">
        <v>226</v>
      </c>
      <c r="D10" s="719" t="s">
        <v>448</v>
      </c>
      <c r="E10" s="719" t="s">
        <v>354</v>
      </c>
      <c r="F10" s="719" t="s">
        <v>1822</v>
      </c>
      <c r="G10" s="719" t="s">
        <v>230</v>
      </c>
      <c r="H10" s="719" t="s">
        <v>460</v>
      </c>
      <c r="I10" s="719" t="s">
        <v>151</v>
      </c>
      <c r="J10" s="719" t="s">
        <v>465</v>
      </c>
    </row>
    <row r="11" spans="1:10">
      <c r="B11" s="299" t="s">
        <v>149</v>
      </c>
      <c r="C11" s="297" t="s">
        <v>372</v>
      </c>
      <c r="D11" s="374" t="s">
        <v>477</v>
      </c>
      <c r="E11" s="374" t="str" cm="1">
        <f t="array" ref="E11">_xlfn.XLOOKUP(1,($B11=$B$108:$B$110)*(E$10=$C$108:$C$110),$G$108:$G$110,"Not found",0,1)</f>
        <v>LG(L)</v>
      </c>
      <c r="F11" s="374" t="s">
        <v>473</v>
      </c>
      <c r="G11" s="374" t="s">
        <v>473</v>
      </c>
      <c r="H11" s="374" t="str" cm="1">
        <f t="array" ref="H11">_xlfn.XLOOKUP(1,($B11=$B$119:$B$122)*(H$10=$C$119:$C$122),$G$119:$G$122,"Not found",0,1)</f>
        <v>LG(H)</v>
      </c>
      <c r="I11" s="374" cm="1">
        <f t="array" ref="I11">_xlfn.XLOOKUP(1,($B11=$B$91:$B$93)*(I$10=$C$91:$C$93),$G$91:$G$93,"Not found",0,1)</f>
        <v>5189803.1432367079</v>
      </c>
      <c r="J11" s="374" t="s">
        <v>473</v>
      </c>
    </row>
    <row r="12" spans="1:10">
      <c r="B12" s="299" t="s">
        <v>152</v>
      </c>
      <c r="C12" s="297" t="s">
        <v>372</v>
      </c>
      <c r="D12" s="374" t="s">
        <v>477</v>
      </c>
      <c r="E12" s="374" t="str" cm="1">
        <f t="array" ref="E12">_xlfn.XLOOKUP(1,($B12=$B$108:$B$110)*(E$10=$C$108:$C$110),$G$108:$G$110,"Not found",0,1)</f>
        <v>LG(L)</v>
      </c>
      <c r="F12" s="374" t="s">
        <v>473</v>
      </c>
      <c r="G12" s="374" t="s">
        <v>473</v>
      </c>
      <c r="H12" s="374" t="str" cm="1">
        <f t="array" ref="H12">_xlfn.XLOOKUP(1,($B12=$B$119:$B$122)*(H$10=$C$119:$C$122),$G$119:$G$122,"Not found",0,1)</f>
        <v>LG(H)</v>
      </c>
      <c r="I12" s="374" cm="1">
        <f t="array" ref="I12">_xlfn.XLOOKUP(1,($B12=$B$91:$B$93)*(I$10=$C$91:$C$93),$G$91:$G$93,"Not found",0,1)</f>
        <v>3378596.677140676</v>
      </c>
      <c r="J12" s="374" t="s">
        <v>473</v>
      </c>
    </row>
    <row r="13" spans="1:10">
      <c r="B13" s="299" t="s">
        <v>153</v>
      </c>
      <c r="C13" s="297" t="s">
        <v>372</v>
      </c>
      <c r="D13" s="374" t="s">
        <v>477</v>
      </c>
      <c r="E13" s="374" t="str" cm="1">
        <f t="array" ref="E13">_xlfn.XLOOKUP(1,($B13=$B$108:$B$110)*(E$10=$C$108:$C$110),$G$108:$G$110,"Not found",0,1)</f>
        <v>LG(L)</v>
      </c>
      <c r="F13" s="374" t="s">
        <v>473</v>
      </c>
      <c r="G13" s="374" t="s">
        <v>473</v>
      </c>
      <c r="H13" s="374" t="str" cm="1">
        <f t="array" ref="H13">_xlfn.XLOOKUP(1,($B13=$B$119:$B$122)*(H$10=$C$119:$C$122),$G$119:$G$122,"Not found",0,1)</f>
        <v>LG(H)</v>
      </c>
      <c r="I13" s="374" cm="1">
        <f t="array" ref="I13">_xlfn.XLOOKUP(1,($B13=$B$91:$B$93)*(I$10=$C$91:$C$93),$G$91:$G$93,"Not found",0,1)</f>
        <v>1567390.2110446433</v>
      </c>
      <c r="J13" s="374" t="s">
        <v>473</v>
      </c>
    </row>
    <row r="14" spans="1:10">
      <c r="B14" s="299" t="s">
        <v>567</v>
      </c>
      <c r="C14" s="297" t="s">
        <v>372</v>
      </c>
      <c r="D14" s="374" t="s">
        <v>477</v>
      </c>
      <c r="E14" s="374"/>
      <c r="F14" s="374"/>
      <c r="G14" s="374"/>
      <c r="H14" s="374" t="str" cm="1">
        <f t="array" ref="H14">_xlfn.XLOOKUP(1,($B14=$B$119:$B$122)*(H$10=$C$119:$C$122),$G$119:$G$122,"Not found",0,1)</f>
        <v>LG(H)</v>
      </c>
      <c r="I14" s="374"/>
      <c r="J14" s="374"/>
    </row>
    <row r="15" spans="1:10">
      <c r="B15" s="800" t="s">
        <v>896</v>
      </c>
    </row>
    <row r="17" spans="1:13">
      <c r="A17" s="721"/>
      <c r="B17" s="722" t="s">
        <v>151</v>
      </c>
      <c r="C17" s="721"/>
      <c r="D17" s="721"/>
      <c r="E17" s="721"/>
      <c r="F17" s="721"/>
      <c r="G17" s="721"/>
      <c r="H17" s="721"/>
    </row>
    <row r="18" spans="1:13">
      <c r="A18" s="727"/>
      <c r="B18" s="729" t="s">
        <v>897</v>
      </c>
      <c r="C18" s="727"/>
      <c r="D18" s="727"/>
      <c r="E18" s="727"/>
      <c r="F18" s="727"/>
      <c r="G18" s="727"/>
      <c r="H18" s="727"/>
    </row>
    <row r="19" spans="1:13">
      <c r="B19" s="277" t="s">
        <v>898</v>
      </c>
      <c r="C19" s="277" t="s">
        <v>899</v>
      </c>
    </row>
    <row r="20" spans="1:13">
      <c r="B20" s="278" t="s">
        <v>151</v>
      </c>
      <c r="C20" s="278" t="s">
        <v>1823</v>
      </c>
    </row>
    <row r="21" spans="1:13">
      <c r="B21" s="16"/>
    </row>
    <row r="22" spans="1:13">
      <c r="A22" s="727"/>
      <c r="B22" s="728" t="s">
        <v>911</v>
      </c>
      <c r="C22" s="727"/>
      <c r="D22" s="727"/>
      <c r="E22" s="727"/>
      <c r="F22" s="727"/>
      <c r="G22" s="727"/>
      <c r="H22" s="727"/>
    </row>
    <row r="23" spans="1:13">
      <c r="A23" s="725"/>
      <c r="B23" s="726" t="s">
        <v>912</v>
      </c>
      <c r="C23" s="725"/>
      <c r="D23" s="725"/>
      <c r="E23" s="725"/>
      <c r="F23" s="725"/>
      <c r="G23" s="725"/>
      <c r="H23" s="725"/>
    </row>
    <row r="24" spans="1:13" ht="29.1">
      <c r="B24" s="719" t="s">
        <v>913</v>
      </c>
      <c r="C24" s="719" t="s">
        <v>914</v>
      </c>
      <c r="D24" s="719" t="s">
        <v>915</v>
      </c>
      <c r="E24" s="719" t="s">
        <v>916</v>
      </c>
      <c r="F24" s="719" t="s">
        <v>917</v>
      </c>
      <c r="G24" s="719" t="s">
        <v>918</v>
      </c>
      <c r="H24" s="719" t="s">
        <v>919</v>
      </c>
    </row>
    <row r="25" spans="1:13">
      <c r="B25" s="278">
        <v>16</v>
      </c>
      <c r="C25" s="278" t="s">
        <v>1824</v>
      </c>
      <c r="D25" s="278"/>
      <c r="E25" s="278">
        <v>2023</v>
      </c>
      <c r="F25" s="278" t="s">
        <v>1048</v>
      </c>
      <c r="G25" s="278" t="s">
        <v>1048</v>
      </c>
      <c r="H25" s="278">
        <v>16295</v>
      </c>
    </row>
    <row r="26" spans="1:13">
      <c r="B26" s="16"/>
    </row>
    <row r="27" spans="1:13">
      <c r="A27" s="725"/>
      <c r="B27" s="726" t="s">
        <v>924</v>
      </c>
      <c r="C27" s="725"/>
      <c r="D27" s="725"/>
      <c r="E27" s="725"/>
      <c r="F27" s="725"/>
      <c r="G27" s="725"/>
      <c r="H27" s="725"/>
    </row>
    <row r="28" spans="1:13">
      <c r="B28" s="277" t="s">
        <v>165</v>
      </c>
      <c r="C28" s="277" t="s">
        <v>925</v>
      </c>
      <c r="D28" s="277" t="s">
        <v>926</v>
      </c>
      <c r="E28" s="1134" t="s">
        <v>927</v>
      </c>
      <c r="F28" s="1134"/>
      <c r="G28" s="1134"/>
      <c r="H28" s="1134"/>
    </row>
    <row r="29" spans="1:13">
      <c r="B29" s="278" t="s">
        <v>169</v>
      </c>
      <c r="C29" s="278" t="s">
        <v>166</v>
      </c>
      <c r="D29" s="278">
        <f>VLOOKUP(C29,METHODOLOGY!$C$175:$D$177,2,FALSE)</f>
        <v>3</v>
      </c>
      <c r="E29" s="1087" t="str">
        <f>_xlfn.XLOOKUP(C29,METHODOLOGY!$E$150:$O$150,METHODOLOGY!$E$151:$O$151,"",0,1)</f>
        <v>Monetary values have been peer reviewed or are recommended / referenced in other, well recognised and accepted guidance / tools relevant to the water sector.</v>
      </c>
      <c r="F29" s="1087"/>
      <c r="G29" s="1087"/>
      <c r="H29" s="1087"/>
    </row>
    <row r="30" spans="1:13">
      <c r="B30" s="278" t="s">
        <v>173</v>
      </c>
      <c r="C30" s="278" t="s">
        <v>166</v>
      </c>
      <c r="D30" s="278">
        <f>VLOOKUP(C30,METHODOLOGY!$C$175:$D$177,2,FALSE)</f>
        <v>3</v>
      </c>
      <c r="E30" s="1087" t="str">
        <f>_xlfn.XLOOKUP(C30,METHODOLOGY!$E$150:$O$150,METHODOLOGY!$E$155:$O$155,"",0,1)</f>
        <v>Study has few limitations and is considered robust.</v>
      </c>
      <c r="F30" s="1087"/>
      <c r="G30" s="1087"/>
      <c r="H30" s="1087"/>
    </row>
    <row r="31" spans="1:13">
      <c r="B31" s="278" t="s">
        <v>177</v>
      </c>
      <c r="C31" s="278" t="s">
        <v>166</v>
      </c>
      <c r="D31" s="278">
        <f>VLOOKUP(C31,METHODOLOGY!$C$175:$D$177,2,FALSE)</f>
        <v>3</v>
      </c>
      <c r="E31" s="1087" t="str">
        <f>_xlfn.XLOOKUP(C31,METHODOLOGY!$E$150:$O$150,METHODOLOGY!$E$158:$O$158,"",0,1)</f>
        <v>0 – 5 years</v>
      </c>
      <c r="F31" s="1087"/>
      <c r="G31" s="1087"/>
      <c r="H31" s="1087"/>
      <c r="J31" s="632"/>
      <c r="M31" s="631"/>
    </row>
    <row r="32" spans="1:13">
      <c r="B32" s="278" t="s">
        <v>181</v>
      </c>
      <c r="C32" s="278" t="s">
        <v>166</v>
      </c>
      <c r="D32" s="278">
        <f>VLOOKUP(C32,METHODOLOGY!$C$175:$D$177,2,FALSE)</f>
        <v>3</v>
      </c>
      <c r="E32" s="1087" t="str">
        <f>_xlfn.XLOOKUP(C32,METHODOLOGY!$E$150:$O$150,METHODOLOGY!$E$160:$O$160,"",0,1)</f>
        <v>Geographically relevant to UK</v>
      </c>
      <c r="F32" s="1087"/>
      <c r="G32" s="1087"/>
      <c r="H32" s="1087"/>
    </row>
    <row r="33" spans="1:12">
      <c r="B33" s="278" t="s">
        <v>928</v>
      </c>
      <c r="C33" s="278" t="s">
        <v>167</v>
      </c>
      <c r="D33" s="278">
        <f>VLOOKUP(C33,METHODOLOGY!$C$175:$D$177,2,FALSE)</f>
        <v>2</v>
      </c>
      <c r="E33" s="1087" t="str">
        <f>_xlfn.XLOOKUP(C33,METHODOLOGY!$E$150:$O$150,METHODOLOGY!$E$162:$O$162,"",0,1)</f>
        <v>Meta-analysis or limited understanding of what the value represents.</v>
      </c>
      <c r="F33" s="1087"/>
      <c r="G33" s="1087"/>
      <c r="H33" s="1087"/>
      <c r="J33" s="143"/>
    </row>
    <row r="34" spans="1:12">
      <c r="B34" s="278" t="s">
        <v>189</v>
      </c>
      <c r="C34" s="278" t="s">
        <v>168</v>
      </c>
      <c r="D34" s="278">
        <f>VLOOKUP(C34,METHODOLOGY!$C$175:$D$177,2,FALSE)</f>
        <v>1</v>
      </c>
      <c r="E34" s="1087" t="str">
        <f>_xlfn.XLOOKUP(C34,METHODOLOGY!$E$150:$O$150,METHODOLOGY!$E$164:$O$164,"",0,1)</f>
        <v xml:space="preserve">The original valuation can be used with significant modification e.g. several additional data inputs are required to use the original source. The calculation is complex or introduces significant uncertainty. </v>
      </c>
      <c r="F34" s="1087"/>
      <c r="G34" s="1087"/>
      <c r="H34" s="1087"/>
      <c r="J34" s="143"/>
    </row>
    <row r="35" spans="1:12">
      <c r="C35" s="282" t="s">
        <v>924</v>
      </c>
      <c r="D35" s="326">
        <f>IF(AND(D34=1,AVERAGE(D29:D34)&gt;2.14285714285714),2.14285714285714,IF(AND(D34=2,AVERAGE(D29:D34)&gt;2.57142857142857),2.57142857142857,AVERAGE(D29:D34)))</f>
        <v>2.1428571428571401</v>
      </c>
      <c r="E35" s="270" t="str">
        <f>IF(D35&lt;=2.14285714285714,"Red",IF(D35&lt;=2.57142857142857,"Amber",IF(D35&lt;=3,"Green")))</f>
        <v>Red</v>
      </c>
    </row>
    <row r="37" spans="1:12">
      <c r="A37" s="725"/>
      <c r="B37" s="726" t="s">
        <v>929</v>
      </c>
      <c r="C37" s="725"/>
      <c r="D37" s="725"/>
      <c r="E37" s="725"/>
      <c r="F37" s="725"/>
      <c r="G37" s="725"/>
      <c r="H37" s="725"/>
    </row>
    <row r="38" spans="1:12">
      <c r="B38" s="277" t="s">
        <v>913</v>
      </c>
      <c r="C38" s="277" t="s">
        <v>1089</v>
      </c>
      <c r="D38" s="277" t="s">
        <v>902</v>
      </c>
      <c r="E38" s="277" t="s">
        <v>331</v>
      </c>
      <c r="F38" s="277" t="s">
        <v>226</v>
      </c>
      <c r="G38" s="1157" t="s">
        <v>930</v>
      </c>
      <c r="H38" s="1157"/>
      <c r="I38" s="1157"/>
      <c r="J38" s="1157"/>
      <c r="K38" s="1157"/>
      <c r="L38" s="1157"/>
    </row>
    <row r="39" spans="1:12" ht="43.5">
      <c r="B39" s="278">
        <v>16</v>
      </c>
      <c r="C39" s="278" t="str">
        <f t="shared" ref="C39:C46" si="0">$B$20</f>
        <v>Quality of place</v>
      </c>
      <c r="D39" s="685"/>
      <c r="E39" s="278">
        <v>97</v>
      </c>
      <c r="F39" s="459" t="s">
        <v>1825</v>
      </c>
      <c r="G39" s="1158" t="s">
        <v>1826</v>
      </c>
      <c r="H39" s="1095"/>
      <c r="I39" s="1095"/>
      <c r="J39" s="1095"/>
      <c r="K39" s="1095"/>
      <c r="L39" s="1095"/>
    </row>
    <row r="40" spans="1:12" ht="43.5">
      <c r="B40" s="278">
        <v>16</v>
      </c>
      <c r="C40" s="278" t="str">
        <f t="shared" si="0"/>
        <v>Quality of place</v>
      </c>
      <c r="D40" s="685"/>
      <c r="E40" s="278">
        <v>80</v>
      </c>
      <c r="F40" s="459" t="s">
        <v>1825</v>
      </c>
      <c r="G40" s="1158" t="s">
        <v>1827</v>
      </c>
      <c r="H40" s="1095"/>
      <c r="I40" s="1095"/>
      <c r="J40" s="1095"/>
      <c r="K40" s="1095"/>
      <c r="L40" s="1095"/>
    </row>
    <row r="41" spans="1:12" ht="43.5">
      <c r="B41" s="278">
        <v>16</v>
      </c>
      <c r="C41" s="278" t="str">
        <f t="shared" si="0"/>
        <v>Quality of place</v>
      </c>
      <c r="D41" s="685"/>
      <c r="E41" s="278">
        <v>45</v>
      </c>
      <c r="F41" s="459" t="s">
        <v>1825</v>
      </c>
      <c r="G41" s="1158" t="s">
        <v>1828</v>
      </c>
      <c r="H41" s="1095"/>
      <c r="I41" s="1095"/>
      <c r="J41" s="1095"/>
      <c r="K41" s="1095"/>
      <c r="L41" s="1095"/>
    </row>
    <row r="42" spans="1:12" ht="43.5">
      <c r="B42" s="278">
        <v>16</v>
      </c>
      <c r="C42" s="278" t="str">
        <f t="shared" si="0"/>
        <v>Quality of place</v>
      </c>
      <c r="D42" s="685"/>
      <c r="E42" s="278">
        <v>37</v>
      </c>
      <c r="F42" s="459" t="s">
        <v>1825</v>
      </c>
      <c r="G42" s="1158" t="s">
        <v>1829</v>
      </c>
      <c r="H42" s="1095"/>
      <c r="I42" s="1095"/>
      <c r="J42" s="1095"/>
      <c r="K42" s="1095"/>
      <c r="L42" s="1095"/>
    </row>
    <row r="43" spans="1:12" ht="43.5">
      <c r="B43" s="278">
        <v>16</v>
      </c>
      <c r="C43" s="278" t="str">
        <f t="shared" si="0"/>
        <v>Quality of place</v>
      </c>
      <c r="D43" s="685"/>
      <c r="E43" s="281">
        <v>3751</v>
      </c>
      <c r="F43" s="459" t="s">
        <v>1830</v>
      </c>
      <c r="G43" s="1158" t="s">
        <v>1831</v>
      </c>
      <c r="H43" s="1095"/>
      <c r="I43" s="1095"/>
      <c r="J43" s="1095"/>
      <c r="K43" s="1095"/>
      <c r="L43" s="1095"/>
    </row>
    <row r="44" spans="1:12" ht="43.5">
      <c r="B44" s="278">
        <v>16</v>
      </c>
      <c r="C44" s="278" t="str">
        <f t="shared" si="0"/>
        <v>Quality of place</v>
      </c>
      <c r="D44" s="685"/>
      <c r="E44" s="281">
        <v>3325</v>
      </c>
      <c r="F44" s="459" t="s">
        <v>1830</v>
      </c>
      <c r="G44" s="1158" t="s">
        <v>1832</v>
      </c>
      <c r="H44" s="1095"/>
      <c r="I44" s="1095"/>
      <c r="J44" s="1095"/>
      <c r="K44" s="1095"/>
      <c r="L44" s="1095"/>
    </row>
    <row r="45" spans="1:12" ht="43.5">
      <c r="B45" s="278">
        <v>16</v>
      </c>
      <c r="C45" s="278" t="str">
        <f t="shared" si="0"/>
        <v>Quality of place</v>
      </c>
      <c r="D45" s="685"/>
      <c r="E45" s="281">
        <v>2574</v>
      </c>
      <c r="F45" s="459" t="s">
        <v>1830</v>
      </c>
      <c r="G45" s="1158" t="s">
        <v>1833</v>
      </c>
      <c r="H45" s="1095"/>
      <c r="I45" s="1095"/>
      <c r="J45" s="1095"/>
      <c r="K45" s="1095"/>
      <c r="L45" s="1095"/>
    </row>
    <row r="46" spans="1:12" ht="43.5">
      <c r="B46" s="278">
        <v>16</v>
      </c>
      <c r="C46" s="278" t="str">
        <f t="shared" si="0"/>
        <v>Quality of place</v>
      </c>
      <c r="D46" s="685"/>
      <c r="E46" s="281">
        <v>1641</v>
      </c>
      <c r="F46" s="459" t="s">
        <v>1830</v>
      </c>
      <c r="G46" s="1158" t="s">
        <v>1834</v>
      </c>
      <c r="H46" s="1095"/>
      <c r="I46" s="1095"/>
      <c r="J46" s="1095"/>
      <c r="K46" s="1095"/>
      <c r="L46" s="1095"/>
    </row>
    <row r="47" spans="1:12" ht="29.1">
      <c r="B47" s="278">
        <v>131</v>
      </c>
      <c r="C47" s="278" t="str">
        <f>$B$20</f>
        <v>Quality of place</v>
      </c>
      <c r="D47" s="383"/>
      <c r="E47" s="278">
        <v>13031045.390000001</v>
      </c>
      <c r="F47" s="416" t="s">
        <v>1835</v>
      </c>
      <c r="G47" s="1180" t="s">
        <v>1836</v>
      </c>
      <c r="H47" s="1196"/>
      <c r="I47" s="1196"/>
      <c r="J47" s="1196"/>
      <c r="K47" s="1196"/>
      <c r="L47" s="1238"/>
    </row>
    <row r="48" spans="1:12" ht="29.1">
      <c r="B48" s="278">
        <v>131</v>
      </c>
      <c r="C48" s="278" t="str">
        <f>$B$20</f>
        <v>Quality of place</v>
      </c>
      <c r="D48" s="383"/>
      <c r="E48" s="278">
        <v>2073654.28</v>
      </c>
      <c r="F48" s="416" t="s">
        <v>1837</v>
      </c>
      <c r="G48" s="1213"/>
      <c r="H48" s="1214"/>
      <c r="I48" s="1214"/>
      <c r="J48" s="1214"/>
      <c r="K48" s="1214"/>
      <c r="L48" s="1239"/>
    </row>
    <row r="62" spans="1:12">
      <c r="A62" s="725"/>
      <c r="B62" s="726" t="s">
        <v>936</v>
      </c>
      <c r="C62" s="725"/>
      <c r="D62" s="725"/>
      <c r="E62" s="725"/>
      <c r="F62" s="725"/>
      <c r="G62" s="725"/>
      <c r="H62" s="725"/>
    </row>
    <row r="63" spans="1:12">
      <c r="B63" s="277" t="s">
        <v>913</v>
      </c>
      <c r="C63" s="277" t="s">
        <v>1089</v>
      </c>
      <c r="D63" s="277" t="s">
        <v>902</v>
      </c>
      <c r="E63" s="277" t="s">
        <v>331</v>
      </c>
      <c r="F63" s="277" t="s">
        <v>226</v>
      </c>
      <c r="G63" s="1157" t="s">
        <v>930</v>
      </c>
      <c r="H63" s="1157"/>
      <c r="I63" s="1157"/>
      <c r="J63" s="1157"/>
      <c r="K63" s="1157"/>
      <c r="L63" s="1157"/>
    </row>
    <row r="64" spans="1:12" ht="57.95">
      <c r="B64" s="278">
        <v>16</v>
      </c>
      <c r="C64" s="278" t="str">
        <f>$B$20</f>
        <v>Quality of place</v>
      </c>
      <c r="D64" s="383" t="s">
        <v>149</v>
      </c>
      <c r="E64" s="281">
        <f>E65+(E65-E66)</f>
        <v>149</v>
      </c>
      <c r="F64" s="459" t="s">
        <v>1825</v>
      </c>
      <c r="G64" s="1158" t="s">
        <v>1838</v>
      </c>
      <c r="H64" s="1095"/>
      <c r="I64" s="1095"/>
      <c r="J64" s="1095"/>
      <c r="K64" s="1095"/>
      <c r="L64" s="1095"/>
    </row>
    <row r="65" spans="2:12" ht="57.95">
      <c r="B65" s="278">
        <v>16</v>
      </c>
      <c r="C65" s="278" t="str">
        <f>$B$20</f>
        <v>Quality of place</v>
      </c>
      <c r="D65" s="383" t="s">
        <v>152</v>
      </c>
      <c r="E65" s="281">
        <f>E39</f>
        <v>97</v>
      </c>
      <c r="F65" s="459" t="s">
        <v>1825</v>
      </c>
      <c r="G65" s="1158" t="s">
        <v>1839</v>
      </c>
      <c r="H65" s="1095"/>
      <c r="I65" s="1095"/>
      <c r="J65" s="1095"/>
      <c r="K65" s="1095"/>
      <c r="L65" s="1095"/>
    </row>
    <row r="66" spans="2:12" ht="57.95">
      <c r="B66" s="278">
        <v>16</v>
      </c>
      <c r="C66" s="278" t="str">
        <f>$B$20</f>
        <v>Quality of place</v>
      </c>
      <c r="D66" s="383" t="s">
        <v>153</v>
      </c>
      <c r="E66" s="281">
        <f>E41</f>
        <v>45</v>
      </c>
      <c r="F66" s="459" t="s">
        <v>1825</v>
      </c>
      <c r="G66" s="1158" t="s">
        <v>1840</v>
      </c>
      <c r="H66" s="1095"/>
      <c r="I66" s="1095"/>
      <c r="J66" s="1095"/>
      <c r="K66" s="1095"/>
      <c r="L66" s="1095"/>
    </row>
    <row r="67" spans="2:12">
      <c r="B67" s="686"/>
      <c r="C67" s="676"/>
      <c r="D67" s="676"/>
      <c r="E67" s="676"/>
      <c r="F67" s="676"/>
      <c r="G67" s="625"/>
      <c r="H67" s="625"/>
      <c r="I67" s="625"/>
      <c r="J67" s="625"/>
      <c r="K67" s="625"/>
      <c r="L67" s="625"/>
    </row>
    <row r="68" spans="2:12">
      <c r="B68" s="277" t="s">
        <v>331</v>
      </c>
      <c r="C68" s="1335" t="s">
        <v>226</v>
      </c>
      <c r="D68" s="1335"/>
      <c r="E68" s="1335"/>
      <c r="F68" s="1335"/>
      <c r="G68" s="1336"/>
      <c r="H68" s="1336"/>
      <c r="I68" s="1336"/>
      <c r="J68" s="1336"/>
      <c r="K68" s="1336"/>
      <c r="L68" s="1336"/>
    </row>
    <row r="69" spans="2:12">
      <c r="B69" s="440">
        <f>SUM('Company data'!C69:C79)*1000</f>
        <v>24144004.121639516</v>
      </c>
      <c r="C69" s="1325" t="s">
        <v>1841</v>
      </c>
      <c r="D69" s="1325"/>
      <c r="E69" s="1325"/>
      <c r="F69" s="1325"/>
      <c r="G69" s="1337"/>
      <c r="H69" s="1013"/>
      <c r="I69" s="1013"/>
      <c r="J69" s="1013"/>
      <c r="K69" s="1013"/>
      <c r="L69" s="1013"/>
    </row>
    <row r="70" spans="2:12">
      <c r="B70" s="440">
        <f>SUM('Company data'!D69:D79)*1000</f>
        <v>1068124.2764480999</v>
      </c>
      <c r="C70" s="1325" t="s">
        <v>1842</v>
      </c>
      <c r="D70" s="1325"/>
      <c r="E70" s="1325"/>
      <c r="F70" s="1325"/>
      <c r="G70" s="1337"/>
      <c r="H70" s="1338"/>
      <c r="I70" s="1338"/>
      <c r="J70" s="1338"/>
      <c r="K70" s="1338"/>
      <c r="L70" s="1338"/>
    </row>
    <row r="71" spans="2:12">
      <c r="B71" s="687"/>
      <c r="C71" s="676"/>
      <c r="D71" s="676"/>
      <c r="E71" s="676"/>
      <c r="F71" s="676"/>
      <c r="G71" s="624"/>
      <c r="H71" s="625"/>
      <c r="I71" s="625"/>
      <c r="J71" s="625"/>
      <c r="K71" s="625"/>
      <c r="L71" s="625"/>
    </row>
    <row r="72" spans="2:12">
      <c r="B72" s="277" t="s">
        <v>331</v>
      </c>
      <c r="C72" s="1335" t="s">
        <v>226</v>
      </c>
      <c r="D72" s="1335"/>
      <c r="E72" s="1335"/>
      <c r="F72" s="1335"/>
      <c r="G72" s="1157" t="s">
        <v>930</v>
      </c>
      <c r="H72" s="1157"/>
      <c r="I72" s="1157"/>
      <c r="J72" s="1157"/>
      <c r="K72" s="1157"/>
      <c r="L72" s="1157"/>
    </row>
    <row r="73" spans="2:12" ht="14.45" customHeight="1">
      <c r="B73" s="635">
        <f>E47/259</f>
        <v>50312.916563706567</v>
      </c>
      <c r="C73" s="1325" t="s">
        <v>1843</v>
      </c>
      <c r="D73" s="1325"/>
      <c r="E73" s="1325"/>
      <c r="F73" s="1325"/>
      <c r="G73" s="1158" t="s">
        <v>1844</v>
      </c>
      <c r="H73" s="1095"/>
      <c r="I73" s="1095"/>
      <c r="J73" s="1095"/>
      <c r="K73" s="1095"/>
      <c r="L73" s="1095"/>
    </row>
    <row r="74" spans="2:12" ht="14.45" customHeight="1">
      <c r="B74" s="635">
        <f>E48/259</f>
        <v>8006.387181467182</v>
      </c>
      <c r="C74" s="1325" t="s">
        <v>1845</v>
      </c>
      <c r="D74" s="1325"/>
      <c r="E74" s="1325"/>
      <c r="F74" s="1325"/>
      <c r="G74" s="1158" t="s">
        <v>1844</v>
      </c>
      <c r="H74" s="1095"/>
      <c r="I74" s="1095"/>
      <c r="J74" s="1095"/>
      <c r="K74" s="1095"/>
      <c r="L74" s="1095"/>
    </row>
    <row r="75" spans="2:12">
      <c r="B75" s="635">
        <f>SUM(B73:B74)</f>
        <v>58319.303745173747</v>
      </c>
      <c r="C75" s="1325" t="s">
        <v>1846</v>
      </c>
      <c r="D75" s="1325"/>
      <c r="E75" s="1325"/>
      <c r="F75" s="1325"/>
      <c r="G75" s="1158"/>
      <c r="H75" s="1095"/>
      <c r="I75" s="1095"/>
      <c r="J75" s="1095"/>
      <c r="K75" s="1095"/>
      <c r="L75" s="1095"/>
    </row>
    <row r="76" spans="2:12" ht="14.45" customHeight="1">
      <c r="B76" s="635">
        <f>B69/B75</f>
        <v>413.9967827314394</v>
      </c>
      <c r="C76" s="1325" t="s">
        <v>1847</v>
      </c>
      <c r="D76" s="1325"/>
      <c r="E76" s="1325"/>
      <c r="F76" s="1325"/>
      <c r="G76" s="1158" t="s">
        <v>1848</v>
      </c>
      <c r="H76" s="1095"/>
      <c r="I76" s="1095"/>
      <c r="J76" s="1095"/>
      <c r="K76" s="1095"/>
      <c r="L76" s="1095"/>
    </row>
    <row r="77" spans="2:12" ht="33.950000000000003" customHeight="1">
      <c r="B77" s="635">
        <f>B76*(PI()*5^2)</f>
        <v>32515.231280972494</v>
      </c>
      <c r="C77" s="1325" t="s">
        <v>1849</v>
      </c>
      <c r="D77" s="1325"/>
      <c r="E77" s="1325"/>
      <c r="F77" s="1325"/>
      <c r="G77" s="1158" t="s">
        <v>1850</v>
      </c>
      <c r="H77" s="1095"/>
      <c r="I77" s="1095"/>
      <c r="J77" s="1095"/>
      <c r="K77" s="1095"/>
      <c r="L77" s="1095"/>
    </row>
    <row r="78" spans="2:12">
      <c r="B78" s="688"/>
      <c r="C78" s="689"/>
      <c r="D78" s="689"/>
      <c r="E78" s="689"/>
      <c r="F78" s="689"/>
      <c r="G78" s="624"/>
      <c r="H78" s="625"/>
      <c r="I78" s="625"/>
      <c r="J78" s="625"/>
      <c r="K78" s="625"/>
      <c r="L78" s="625"/>
    </row>
    <row r="79" spans="2:12">
      <c r="B79" s="690" t="s">
        <v>331</v>
      </c>
      <c r="C79" s="1335" t="s">
        <v>226</v>
      </c>
      <c r="D79" s="1335"/>
      <c r="E79" s="1335"/>
      <c r="F79" s="1335"/>
      <c r="G79" s="691"/>
      <c r="H79" s="267"/>
      <c r="I79" s="267"/>
      <c r="J79" s="267"/>
      <c r="K79" s="267"/>
      <c r="L79" s="267"/>
    </row>
    <row r="80" spans="2:12">
      <c r="B80" s="692">
        <f>B$77*E64</f>
        <v>4844769.4608649015</v>
      </c>
      <c r="C80" s="1325" t="s">
        <v>1851</v>
      </c>
      <c r="D80" s="1325"/>
      <c r="E80" s="1325"/>
      <c r="F80" s="1325"/>
      <c r="G80" s="693"/>
      <c r="H80" s="694"/>
      <c r="I80" s="694"/>
      <c r="J80" s="694"/>
      <c r="K80" s="694"/>
      <c r="L80" s="694"/>
    </row>
    <row r="81" spans="1:23">
      <c r="B81" s="692">
        <f>B$77*E65</f>
        <v>3153977.434254332</v>
      </c>
      <c r="C81" s="1325" t="s">
        <v>1852</v>
      </c>
      <c r="D81" s="1325"/>
      <c r="E81" s="1325"/>
      <c r="F81" s="1325"/>
      <c r="G81" s="693"/>
      <c r="H81" s="625"/>
      <c r="I81" s="694"/>
      <c r="J81" s="625"/>
      <c r="K81" s="625"/>
      <c r="L81" s="625"/>
    </row>
    <row r="82" spans="1:23">
      <c r="B82" s="692">
        <f>B$77*E66</f>
        <v>1463185.4076437622</v>
      </c>
      <c r="C82" s="1325" t="s">
        <v>1853</v>
      </c>
      <c r="D82" s="1325"/>
      <c r="E82" s="1325"/>
      <c r="F82" s="1325"/>
      <c r="G82" s="693"/>
      <c r="H82" s="625"/>
      <c r="I82" s="694"/>
      <c r="J82" s="625"/>
      <c r="K82" s="625"/>
      <c r="L82" s="625"/>
    </row>
    <row r="83" spans="1:23">
      <c r="B83" s="626"/>
      <c r="C83" s="130"/>
      <c r="D83" s="130"/>
      <c r="E83" s="130"/>
      <c r="F83" s="130"/>
      <c r="G83" s="624"/>
      <c r="H83" s="625"/>
      <c r="I83" s="625"/>
      <c r="J83" s="625"/>
      <c r="K83" s="625"/>
      <c r="L83" s="625"/>
    </row>
    <row r="84" spans="1:23">
      <c r="B84" s="277" t="s">
        <v>902</v>
      </c>
      <c r="C84" s="277" t="s">
        <v>331</v>
      </c>
      <c r="D84" s="277" t="s">
        <v>226</v>
      </c>
      <c r="E84" s="1"/>
      <c r="F84" s="1"/>
      <c r="G84" s="1"/>
      <c r="H84" s="1"/>
      <c r="I84" s="1"/>
      <c r="J84" s="267"/>
      <c r="K84" s="267"/>
      <c r="L84" s="267"/>
    </row>
    <row r="85" spans="1:23" ht="29.1">
      <c r="B85" s="383" t="s">
        <v>149</v>
      </c>
      <c r="C85" s="440">
        <f>B80</f>
        <v>4844769.4608649015</v>
      </c>
      <c r="D85" s="500" t="s">
        <v>1854</v>
      </c>
      <c r="E85" s="201"/>
      <c r="F85" s="201"/>
      <c r="G85" s="201"/>
      <c r="H85" s="201"/>
      <c r="I85" s="1"/>
      <c r="J85" s="6"/>
      <c r="K85" s="6"/>
      <c r="L85" s="6"/>
    </row>
    <row r="86" spans="1:23" ht="29.1">
      <c r="B86" s="383" t="s">
        <v>152</v>
      </c>
      <c r="C86" s="440">
        <f>B81</f>
        <v>3153977.434254332</v>
      </c>
      <c r="D86" s="500" t="s">
        <v>1854</v>
      </c>
      <c r="E86" s="201"/>
      <c r="F86" s="201"/>
      <c r="G86" s="201"/>
      <c r="H86" s="201"/>
      <c r="I86" s="1"/>
      <c r="J86" s="6"/>
      <c r="K86" s="6"/>
      <c r="L86" s="6"/>
    </row>
    <row r="87" spans="1:23" ht="29.1">
      <c r="B87" s="383" t="s">
        <v>153</v>
      </c>
      <c r="C87" s="440">
        <f>B82</f>
        <v>1463185.4076437622</v>
      </c>
      <c r="D87" s="500" t="s">
        <v>1854</v>
      </c>
      <c r="E87" s="201"/>
      <c r="F87" s="201"/>
      <c r="G87" s="201"/>
      <c r="H87" s="201"/>
      <c r="I87" s="1"/>
      <c r="J87" s="6"/>
      <c r="K87" s="6"/>
      <c r="L87" s="6"/>
    </row>
    <row r="89" spans="1:23">
      <c r="A89" s="727"/>
      <c r="B89" s="728" t="s">
        <v>901</v>
      </c>
      <c r="C89" s="727"/>
      <c r="D89" s="727"/>
      <c r="E89" s="727"/>
      <c r="F89" s="727"/>
      <c r="G89" s="727"/>
      <c r="H89" s="727"/>
    </row>
    <row r="90" spans="1:23" ht="29.1">
      <c r="B90" s="719" t="s">
        <v>902</v>
      </c>
      <c r="C90" s="719" t="s">
        <v>898</v>
      </c>
      <c r="D90" s="719" t="s">
        <v>899</v>
      </c>
      <c r="E90" s="719" t="s">
        <v>903</v>
      </c>
      <c r="F90" s="719" t="s">
        <v>904</v>
      </c>
      <c r="G90" s="719" t="s">
        <v>905</v>
      </c>
      <c r="H90" s="752" t="s">
        <v>924</v>
      </c>
      <c r="I90" s="752" t="s">
        <v>956</v>
      </c>
      <c r="J90" s="752" t="s">
        <v>927</v>
      </c>
    </row>
    <row r="91" spans="1:23" ht="57.95">
      <c r="B91" s="383" t="s">
        <v>149</v>
      </c>
      <c r="C91" s="299" t="str">
        <f>$B$20</f>
        <v>Quality of place</v>
      </c>
      <c r="D91" s="383" t="str">
        <f>$C$20</f>
        <v>Negative impact on quality of place from pollution incidents</v>
      </c>
      <c r="E91" s="383" t="s">
        <v>911</v>
      </c>
      <c r="F91" s="278" t="str" cm="1">
        <f t="array" ref="F91">_xlfn.XLOOKUP(1,(D97:D99=B91)*(E97:E99=C91),B97:B99,"Not found",0,1)</f>
        <v>26-1</v>
      </c>
      <c r="G91" s="330">
        <f>VLOOKUP(F91,B97:L100,11,FALSE)</f>
        <v>5189803.1432367079</v>
      </c>
      <c r="H91" s="1120">
        <f>$D$35</f>
        <v>2.1428571428571401</v>
      </c>
      <c r="I91" s="1149" t="s">
        <v>1059</v>
      </c>
      <c r="J91" s="1149" t="s">
        <v>1138</v>
      </c>
    </row>
    <row r="92" spans="1:23" ht="57.95">
      <c r="B92" s="383" t="s">
        <v>152</v>
      </c>
      <c r="C92" s="299" t="str">
        <f t="shared" ref="C92:C93" si="1">$B$20</f>
        <v>Quality of place</v>
      </c>
      <c r="D92" s="383" t="str">
        <f t="shared" ref="D92:D93" si="2">$C$20</f>
        <v>Negative impact on quality of place from pollution incidents</v>
      </c>
      <c r="E92" s="383" t="s">
        <v>911</v>
      </c>
      <c r="F92" s="278" t="str" cm="1">
        <f t="array" ref="F92">_xlfn.XLOOKUP(1,(D98:D100=B92)*(E98:E100=C92),B98:B100,"Not found",0,1)</f>
        <v>26-2</v>
      </c>
      <c r="G92" s="330">
        <f>VLOOKUP(F92,B98:L101,11,FALSE)</f>
        <v>3378596.677140676</v>
      </c>
      <c r="H92" s="1121"/>
      <c r="I92" s="1149"/>
      <c r="J92" s="1149"/>
    </row>
    <row r="93" spans="1:23" ht="57.95">
      <c r="B93" s="383" t="s">
        <v>153</v>
      </c>
      <c r="C93" s="299" t="str">
        <f t="shared" si="1"/>
        <v>Quality of place</v>
      </c>
      <c r="D93" s="383" t="str">
        <f t="shared" si="2"/>
        <v>Negative impact on quality of place from pollution incidents</v>
      </c>
      <c r="E93" s="383" t="s">
        <v>911</v>
      </c>
      <c r="F93" s="278" t="str" cm="1">
        <f t="array" ref="F93">_xlfn.XLOOKUP(1,(D99:D101=B93)*(E99:E101=C93),B99:B101,"Not found",0,1)</f>
        <v>26-3</v>
      </c>
      <c r="G93" s="330">
        <f>VLOOKUP(F93,B99:L102,11,FALSE)</f>
        <v>1567390.2110446433</v>
      </c>
      <c r="H93" s="1122"/>
      <c r="I93" s="1149"/>
      <c r="J93" s="1149"/>
    </row>
    <row r="94" spans="1:23">
      <c r="B94" s="18"/>
    </row>
    <row r="95" spans="1:23">
      <c r="A95" s="725"/>
      <c r="B95" s="726" t="s">
        <v>962</v>
      </c>
      <c r="C95" s="725"/>
      <c r="D95" s="725"/>
      <c r="E95" s="725"/>
      <c r="F95" s="725"/>
      <c r="G95" s="725"/>
      <c r="H95" s="725"/>
    </row>
    <row r="96" spans="1:23">
      <c r="B96" s="277" t="s">
        <v>904</v>
      </c>
      <c r="C96" s="277" t="s">
        <v>62</v>
      </c>
      <c r="D96" s="277" t="s">
        <v>902</v>
      </c>
      <c r="E96" s="277" t="s">
        <v>898</v>
      </c>
      <c r="F96" s="277" t="s">
        <v>916</v>
      </c>
      <c r="G96" s="277" t="s">
        <v>963</v>
      </c>
      <c r="H96" s="277" t="s">
        <v>964</v>
      </c>
      <c r="I96" s="277" t="s">
        <v>965</v>
      </c>
      <c r="J96" s="277" t="s">
        <v>966</v>
      </c>
      <c r="K96" s="277" t="s">
        <v>967</v>
      </c>
      <c r="L96" s="277" t="s">
        <v>968</v>
      </c>
      <c r="M96" s="277" t="s">
        <v>956</v>
      </c>
      <c r="N96" s="277" t="s">
        <v>969</v>
      </c>
      <c r="O96" s="277" t="s">
        <v>970</v>
      </c>
      <c r="P96" s="277" t="s">
        <v>927</v>
      </c>
      <c r="Q96" s="277" t="s">
        <v>913</v>
      </c>
      <c r="R96" s="277" t="s">
        <v>914</v>
      </c>
      <c r="S96" s="277" t="s">
        <v>915</v>
      </c>
      <c r="T96" s="277" t="s">
        <v>916</v>
      </c>
      <c r="U96" s="277" t="s">
        <v>917</v>
      </c>
      <c r="V96" s="277" t="s">
        <v>918</v>
      </c>
      <c r="W96" s="277" t="s">
        <v>919</v>
      </c>
    </row>
    <row r="97" spans="1:23" ht="57.95">
      <c r="B97" s="302" t="s">
        <v>1855</v>
      </c>
      <c r="C97" s="383" t="s">
        <v>406</v>
      </c>
      <c r="D97" s="383" t="s">
        <v>149</v>
      </c>
      <c r="E97" s="383" t="str">
        <f t="shared" ref="E97:E99" si="3">$B$20</f>
        <v>Quality of place</v>
      </c>
      <c r="F97" s="299">
        <v>2023</v>
      </c>
      <c r="G97" s="278">
        <v>2022</v>
      </c>
      <c r="H97" s="278">
        <f>'COMPANY INPUT'!$C$16</f>
        <v>2023</v>
      </c>
      <c r="I97" s="278">
        <f>VLOOKUP(G97,'GDP Deflators'!$H$13:$I$86,2,FALSE)</f>
        <v>93.351699999999994</v>
      </c>
      <c r="J97" s="278">
        <f>VLOOKUP(H97,'GDP Deflators'!$H$13:$I$86,2,FALSE)</f>
        <v>100</v>
      </c>
      <c r="K97" s="385">
        <f>C85</f>
        <v>4844769.4608649015</v>
      </c>
      <c r="L97" s="746">
        <f>K97*(J97/I97)</f>
        <v>5189803.1432367079</v>
      </c>
      <c r="M97" s="278" t="str">
        <f>$I$91</f>
        <v>Willingness to Accept</v>
      </c>
      <c r="N97" s="326">
        <f>$H$91</f>
        <v>2.1428571428571401</v>
      </c>
      <c r="O97" s="278" t="s">
        <v>718</v>
      </c>
      <c r="P97" s="278" t="str">
        <f>$J$91</f>
        <v>Ofwat collaborative customer research source</v>
      </c>
      <c r="Q97" s="299">
        <f>$B$25</f>
        <v>16</v>
      </c>
      <c r="R97" s="278" t="str">
        <f>$C$25</f>
        <v xml:space="preserve">Ofwat - PR24: Using collaborative customer research to set outcome delivery incentive rates </v>
      </c>
      <c r="S97" s="278"/>
      <c r="T97" s="278">
        <f t="shared" ref="T97:T99" si="4">$E$25</f>
        <v>2023</v>
      </c>
      <c r="U97" s="278" t="str">
        <f>$F$25</f>
        <v>England and Wales</v>
      </c>
      <c r="V97" s="278" t="str">
        <f>$G$25</f>
        <v>England and Wales</v>
      </c>
      <c r="W97" s="278">
        <f>$H$25</f>
        <v>16295</v>
      </c>
    </row>
    <row r="98" spans="1:23" ht="57.95">
      <c r="B98" s="302" t="s">
        <v>1856</v>
      </c>
      <c r="C98" s="383" t="s">
        <v>406</v>
      </c>
      <c r="D98" s="383" t="s">
        <v>152</v>
      </c>
      <c r="E98" s="383" t="str">
        <f t="shared" si="3"/>
        <v>Quality of place</v>
      </c>
      <c r="F98" s="299">
        <v>2023</v>
      </c>
      <c r="G98" s="278">
        <v>2022</v>
      </c>
      <c r="H98" s="278">
        <f>'COMPANY INPUT'!$C$16</f>
        <v>2023</v>
      </c>
      <c r="I98" s="278">
        <f>VLOOKUP(G98,'GDP Deflators'!$H$13:$I$86,2,FALSE)</f>
        <v>93.351699999999994</v>
      </c>
      <c r="J98" s="278">
        <f>VLOOKUP(H98,'GDP Deflators'!$H$13:$I$86,2,FALSE)</f>
        <v>100</v>
      </c>
      <c r="K98" s="385">
        <f>C86</f>
        <v>3153977.434254332</v>
      </c>
      <c r="L98" s="746">
        <f t="shared" ref="L98:L99" si="5">K98*(J98/I98)</f>
        <v>3378596.677140676</v>
      </c>
      <c r="M98" s="278" t="str">
        <f>$I$91</f>
        <v>Willingness to Accept</v>
      </c>
      <c r="N98" s="326">
        <f>$H$91</f>
        <v>2.1428571428571401</v>
      </c>
      <c r="O98" s="278" t="s">
        <v>718</v>
      </c>
      <c r="P98" s="278" t="str">
        <f>$J$91</f>
        <v>Ofwat collaborative customer research source</v>
      </c>
      <c r="Q98" s="299">
        <f t="shared" ref="Q98:Q99" si="6">$B$25</f>
        <v>16</v>
      </c>
      <c r="R98" s="278" t="str">
        <f t="shared" ref="R98:R99" si="7">$C$25</f>
        <v xml:space="preserve">Ofwat - PR24: Using collaborative customer research to set outcome delivery incentive rates </v>
      </c>
      <c r="S98" s="278"/>
      <c r="T98" s="278">
        <f t="shared" si="4"/>
        <v>2023</v>
      </c>
      <c r="U98" s="278" t="str">
        <f t="shared" ref="U98:U99" si="8">$F$25</f>
        <v>England and Wales</v>
      </c>
      <c r="V98" s="278" t="str">
        <f t="shared" ref="V98:V99" si="9">$G$25</f>
        <v>England and Wales</v>
      </c>
      <c r="W98" s="278">
        <f t="shared" ref="W98:W99" si="10">$H$25</f>
        <v>16295</v>
      </c>
    </row>
    <row r="99" spans="1:23" ht="57.95">
      <c r="B99" s="302" t="s">
        <v>1857</v>
      </c>
      <c r="C99" s="383" t="s">
        <v>406</v>
      </c>
      <c r="D99" s="383" t="s">
        <v>153</v>
      </c>
      <c r="E99" s="383" t="str">
        <f t="shared" si="3"/>
        <v>Quality of place</v>
      </c>
      <c r="F99" s="299">
        <v>2023</v>
      </c>
      <c r="G99" s="278">
        <v>2022</v>
      </c>
      <c r="H99" s="278">
        <f>'COMPANY INPUT'!$C$16</f>
        <v>2023</v>
      </c>
      <c r="I99" s="278">
        <f>VLOOKUP(G99,'GDP Deflators'!$H$13:$I$86,2,FALSE)</f>
        <v>93.351699999999994</v>
      </c>
      <c r="J99" s="278">
        <f>VLOOKUP(H99,'GDP Deflators'!$H$13:$I$86,2,FALSE)</f>
        <v>100</v>
      </c>
      <c r="K99" s="385">
        <f>C87</f>
        <v>1463185.4076437622</v>
      </c>
      <c r="L99" s="746">
        <f t="shared" si="5"/>
        <v>1567390.2110446433</v>
      </c>
      <c r="M99" s="278" t="str">
        <f>$I$91</f>
        <v>Willingness to Accept</v>
      </c>
      <c r="N99" s="326">
        <f>$H$91</f>
        <v>2.1428571428571401</v>
      </c>
      <c r="O99" s="278" t="s">
        <v>718</v>
      </c>
      <c r="P99" s="278" t="str">
        <f>$J$91</f>
        <v>Ofwat collaborative customer research source</v>
      </c>
      <c r="Q99" s="299">
        <f t="shared" si="6"/>
        <v>16</v>
      </c>
      <c r="R99" s="278" t="str">
        <f t="shared" si="7"/>
        <v xml:space="preserve">Ofwat - PR24: Using collaborative customer research to set outcome delivery incentive rates </v>
      </c>
      <c r="S99" s="278"/>
      <c r="T99" s="278">
        <f t="shared" si="4"/>
        <v>2023</v>
      </c>
      <c r="U99" s="278" t="str">
        <f t="shared" si="8"/>
        <v>England and Wales</v>
      </c>
      <c r="V99" s="278" t="str">
        <f t="shared" si="9"/>
        <v>England and Wales</v>
      </c>
      <c r="W99" s="278">
        <f t="shared" si="10"/>
        <v>16295</v>
      </c>
    </row>
    <row r="101" spans="1:23">
      <c r="A101" s="721"/>
      <c r="B101" s="722" t="s">
        <v>354</v>
      </c>
      <c r="C101" s="721"/>
      <c r="D101" s="721"/>
      <c r="E101" s="721"/>
      <c r="F101" s="721"/>
      <c r="G101" s="721"/>
      <c r="H101" s="721"/>
    </row>
    <row r="102" spans="1:23">
      <c r="A102" s="727"/>
      <c r="B102" s="729" t="s">
        <v>897</v>
      </c>
      <c r="C102" s="727"/>
      <c r="D102" s="727"/>
      <c r="E102" s="727"/>
      <c r="F102" s="727"/>
      <c r="G102" s="727"/>
      <c r="H102" s="727"/>
    </row>
    <row r="103" spans="1:23">
      <c r="B103" s="277" t="s">
        <v>898</v>
      </c>
      <c r="C103" s="277" t="s">
        <v>899</v>
      </c>
    </row>
    <row r="104" spans="1:23">
      <c r="B104" s="278" t="s">
        <v>354</v>
      </c>
      <c r="C104" s="278" t="s">
        <v>1858</v>
      </c>
    </row>
    <row r="105" spans="1:23">
      <c r="B105" s="16"/>
    </row>
    <row r="106" spans="1:23">
      <c r="A106" s="727"/>
      <c r="B106" s="728" t="s">
        <v>901</v>
      </c>
      <c r="C106" s="727"/>
      <c r="D106" s="727"/>
      <c r="E106" s="727"/>
      <c r="F106" s="727"/>
      <c r="G106" s="727"/>
      <c r="H106" s="727"/>
    </row>
    <row r="107" spans="1:23" ht="29.1">
      <c r="B107" s="719" t="s">
        <v>902</v>
      </c>
      <c r="C107" s="719" t="s">
        <v>898</v>
      </c>
      <c r="D107" s="719" t="s">
        <v>899</v>
      </c>
      <c r="E107" s="719" t="s">
        <v>903</v>
      </c>
      <c r="F107" s="719" t="s">
        <v>904</v>
      </c>
      <c r="G107" s="719" t="s">
        <v>905</v>
      </c>
      <c r="H107" s="719" t="s">
        <v>970</v>
      </c>
      <c r="I107" s="1342" t="s">
        <v>1649</v>
      </c>
      <c r="J107" s="1342"/>
      <c r="K107" s="1342"/>
    </row>
    <row r="108" spans="1:23" ht="57.95">
      <c r="B108" s="383" t="s">
        <v>149</v>
      </c>
      <c r="C108" s="299" t="str">
        <f t="shared" ref="C108:C110" si="11">$B$104</f>
        <v>Water quality</v>
      </c>
      <c r="D108" s="375" t="str">
        <f t="shared" ref="D108:D110" si="12">$C$104</f>
        <v>Reduction in water quality as a result of pollution incident</v>
      </c>
      <c r="E108" s="299" t="s">
        <v>906</v>
      </c>
      <c r="F108" s="279" t="s">
        <v>907</v>
      </c>
      <c r="G108" s="300" t="s">
        <v>961</v>
      </c>
      <c r="H108" s="300" t="s">
        <v>718</v>
      </c>
      <c r="I108" s="1095" t="s">
        <v>1859</v>
      </c>
      <c r="J108" s="1095"/>
      <c r="K108" s="1095"/>
    </row>
    <row r="109" spans="1:23" ht="57.95">
      <c r="B109" s="383" t="s">
        <v>152</v>
      </c>
      <c r="C109" s="299" t="str">
        <f t="shared" si="11"/>
        <v>Water quality</v>
      </c>
      <c r="D109" s="375" t="str">
        <f t="shared" si="12"/>
        <v>Reduction in water quality as a result of pollution incident</v>
      </c>
      <c r="E109" s="299" t="s">
        <v>906</v>
      </c>
      <c r="F109" s="279" t="s">
        <v>907</v>
      </c>
      <c r="G109" s="300" t="s">
        <v>961</v>
      </c>
      <c r="H109" s="300" t="s">
        <v>718</v>
      </c>
      <c r="I109" s="1095"/>
      <c r="J109" s="1095"/>
      <c r="K109" s="1095"/>
    </row>
    <row r="110" spans="1:23" ht="57.95">
      <c r="B110" s="383" t="s">
        <v>153</v>
      </c>
      <c r="C110" s="299" t="str">
        <f t="shared" si="11"/>
        <v>Water quality</v>
      </c>
      <c r="D110" s="375" t="str">
        <f t="shared" si="12"/>
        <v>Reduction in water quality as a result of pollution incident</v>
      </c>
      <c r="E110" s="299" t="s">
        <v>906</v>
      </c>
      <c r="F110" s="279" t="s">
        <v>907</v>
      </c>
      <c r="G110" s="300" t="s">
        <v>961</v>
      </c>
      <c r="H110" s="300" t="s">
        <v>718</v>
      </c>
      <c r="I110" s="1095"/>
      <c r="J110" s="1095"/>
      <c r="K110" s="1095"/>
    </row>
    <row r="112" spans="1:23">
      <c r="A112" s="721"/>
      <c r="B112" s="722" t="s">
        <v>460</v>
      </c>
      <c r="C112" s="721"/>
      <c r="D112" s="721"/>
      <c r="E112" s="721"/>
      <c r="F112" s="721"/>
      <c r="G112" s="721"/>
      <c r="H112" s="721"/>
    </row>
    <row r="113" spans="1:13">
      <c r="A113" s="727"/>
      <c r="B113" s="729" t="s">
        <v>897</v>
      </c>
      <c r="C113" s="727"/>
      <c r="D113" s="727"/>
      <c r="E113" s="727"/>
      <c r="F113" s="727"/>
      <c r="G113" s="727"/>
      <c r="H113" s="727"/>
    </row>
    <row r="114" spans="1:13">
      <c r="B114" s="277" t="s">
        <v>898</v>
      </c>
      <c r="C114" s="277" t="s">
        <v>899</v>
      </c>
    </row>
    <row r="115" spans="1:13">
      <c r="B115" s="278" t="s">
        <v>460</v>
      </c>
      <c r="C115" s="278" t="s">
        <v>1860</v>
      </c>
    </row>
    <row r="116" spans="1:13">
      <c r="B116" s="16"/>
    </row>
    <row r="117" spans="1:13">
      <c r="A117" s="727"/>
      <c r="B117" s="728" t="s">
        <v>901</v>
      </c>
      <c r="C117" s="727"/>
      <c r="D117" s="727"/>
      <c r="E117" s="727"/>
      <c r="F117" s="727"/>
      <c r="G117" s="727"/>
      <c r="H117" s="727"/>
    </row>
    <row r="118" spans="1:13" ht="29.1">
      <c r="B118" s="719" t="s">
        <v>902</v>
      </c>
      <c r="C118" s="719" t="s">
        <v>898</v>
      </c>
      <c r="D118" s="719" t="s">
        <v>899</v>
      </c>
      <c r="E118" s="719" t="s">
        <v>903</v>
      </c>
      <c r="F118" s="719" t="s">
        <v>904</v>
      </c>
      <c r="G118" s="719" t="s">
        <v>905</v>
      </c>
      <c r="H118" s="719" t="s">
        <v>924</v>
      </c>
      <c r="I118" s="719" t="s">
        <v>956</v>
      </c>
      <c r="J118" s="719" t="s">
        <v>927</v>
      </c>
      <c r="K118" s="1"/>
      <c r="L118" s="1"/>
      <c r="M118" s="1"/>
    </row>
    <row r="119" spans="1:13" ht="57.95">
      <c r="B119" s="383" t="s">
        <v>149</v>
      </c>
      <c r="C119" s="299" t="str">
        <f t="shared" ref="C119:C122" si="13">$B$115</f>
        <v>Trust</v>
      </c>
      <c r="D119" s="375" t="str">
        <f t="shared" ref="D119:D122" si="14">$C$115</f>
        <v>Reduction in customer trust as a result of pollution incident</v>
      </c>
      <c r="E119" s="299" t="s">
        <v>906</v>
      </c>
      <c r="F119" s="279" t="s">
        <v>907</v>
      </c>
      <c r="G119" s="300" t="s">
        <v>477</v>
      </c>
      <c r="H119" s="640" t="s">
        <v>907</v>
      </c>
      <c r="I119" s="640" t="s">
        <v>907</v>
      </c>
      <c r="J119" s="1339" t="s">
        <v>1859</v>
      </c>
      <c r="K119" s="1"/>
      <c r="L119" s="1"/>
      <c r="M119" s="1"/>
    </row>
    <row r="120" spans="1:13" ht="57.95">
      <c r="B120" s="383" t="s">
        <v>152</v>
      </c>
      <c r="C120" s="299" t="str">
        <f t="shared" si="13"/>
        <v>Trust</v>
      </c>
      <c r="D120" s="375" t="str">
        <f t="shared" si="14"/>
        <v>Reduction in customer trust as a result of pollution incident</v>
      </c>
      <c r="E120" s="299" t="s">
        <v>906</v>
      </c>
      <c r="F120" s="279" t="s">
        <v>907</v>
      </c>
      <c r="G120" s="300" t="s">
        <v>477</v>
      </c>
      <c r="H120" s="640" t="s">
        <v>907</v>
      </c>
      <c r="I120" s="640" t="s">
        <v>907</v>
      </c>
      <c r="J120" s="1340"/>
      <c r="K120" s="1"/>
      <c r="L120" s="1"/>
      <c r="M120" s="1"/>
    </row>
    <row r="121" spans="1:13" ht="57.95">
      <c r="B121" s="383" t="s">
        <v>153</v>
      </c>
      <c r="C121" s="299" t="str">
        <f t="shared" si="13"/>
        <v>Trust</v>
      </c>
      <c r="D121" s="375" t="str">
        <f t="shared" si="14"/>
        <v>Reduction in customer trust as a result of pollution incident</v>
      </c>
      <c r="E121" s="299" t="s">
        <v>906</v>
      </c>
      <c r="F121" s="279" t="s">
        <v>907</v>
      </c>
      <c r="G121" s="300" t="s">
        <v>477</v>
      </c>
      <c r="H121" s="640" t="s">
        <v>907</v>
      </c>
      <c r="I121" s="640" t="s">
        <v>907</v>
      </c>
      <c r="J121" s="1340"/>
      <c r="K121" s="1"/>
      <c r="L121" s="1"/>
      <c r="M121" s="1"/>
    </row>
    <row r="122" spans="1:13" ht="57.95">
      <c r="B122" s="383" t="s">
        <v>567</v>
      </c>
      <c r="C122" s="299" t="str">
        <f t="shared" si="13"/>
        <v>Trust</v>
      </c>
      <c r="D122" s="375" t="str">
        <f t="shared" si="14"/>
        <v>Reduction in customer trust as a result of pollution incident</v>
      </c>
      <c r="E122" s="299" t="s">
        <v>906</v>
      </c>
      <c r="F122" s="279" t="s">
        <v>907</v>
      </c>
      <c r="G122" s="300" t="s">
        <v>477</v>
      </c>
      <c r="H122" s="640" t="s">
        <v>907</v>
      </c>
      <c r="I122" s="640" t="s">
        <v>907</v>
      </c>
      <c r="J122" s="1341"/>
      <c r="K122" s="1"/>
      <c r="L122" s="1"/>
      <c r="M122" s="1"/>
    </row>
    <row r="123" spans="1:13">
      <c r="H123" s="19"/>
      <c r="I123" s="19"/>
      <c r="J123" s="19"/>
    </row>
  </sheetData>
  <sheetProtection algorithmName="SHA-512" hashValue="aGnYHGYcKcPVfs/7pgnGdWQgIVsBWQ1BkJjJfsvvdsfgT8R/UsGDEW0YYVgdIqV5jo7i7p5Nfmcvz/p4Ikv0aw==" saltValue="cjq/lnZFUQc2OlgkONNxYw==" spinCount="100000" sheet="1" objects="1" scenarios="1"/>
  <dataConsolidate/>
  <mergeCells count="51">
    <mergeCell ref="J119:J122"/>
    <mergeCell ref="C77:F77"/>
    <mergeCell ref="G47:L48"/>
    <mergeCell ref="G73:L73"/>
    <mergeCell ref="G74:L74"/>
    <mergeCell ref="G75:L75"/>
    <mergeCell ref="G76:L76"/>
    <mergeCell ref="G77:L77"/>
    <mergeCell ref="I108:K110"/>
    <mergeCell ref="C72:F72"/>
    <mergeCell ref="G72:L72"/>
    <mergeCell ref="I107:K107"/>
    <mergeCell ref="J91:J93"/>
    <mergeCell ref="I91:I93"/>
    <mergeCell ref="H91:H93"/>
    <mergeCell ref="C81:F81"/>
    <mergeCell ref="C82:F82"/>
    <mergeCell ref="C70:F70"/>
    <mergeCell ref="G70:L70"/>
    <mergeCell ref="C79:F79"/>
    <mergeCell ref="C80:F80"/>
    <mergeCell ref="C73:F73"/>
    <mergeCell ref="C74:F74"/>
    <mergeCell ref="C75:F75"/>
    <mergeCell ref="C76:F76"/>
    <mergeCell ref="G46:L46"/>
    <mergeCell ref="C68:F68"/>
    <mergeCell ref="G68:L68"/>
    <mergeCell ref="C69:F69"/>
    <mergeCell ref="G69:L69"/>
    <mergeCell ref="G63:L63"/>
    <mergeCell ref="G64:L64"/>
    <mergeCell ref="G65:L65"/>
    <mergeCell ref="G66:L66"/>
    <mergeCell ref="G41:L41"/>
    <mergeCell ref="G42:L42"/>
    <mergeCell ref="G43:L43"/>
    <mergeCell ref="G44:L44"/>
    <mergeCell ref="G45:L45"/>
    <mergeCell ref="G38:L38"/>
    <mergeCell ref="G39:L39"/>
    <mergeCell ref="G40:L40"/>
    <mergeCell ref="B5:H5"/>
    <mergeCell ref="D9:J9"/>
    <mergeCell ref="E28:H28"/>
    <mergeCell ref="E29:H29"/>
    <mergeCell ref="E30:H30"/>
    <mergeCell ref="E31:H31"/>
    <mergeCell ref="E32:H32"/>
    <mergeCell ref="E33:H33"/>
    <mergeCell ref="E34:H34"/>
  </mergeCells>
  <phoneticPr fontId="16" type="noConversion"/>
  <conditionalFormatting sqref="D35:E35">
    <cfRule type="cellIs" dxfId="668" priority="5" operator="lessThanOrEqual">
      <formula>2.14285714285714</formula>
    </cfRule>
    <cfRule type="cellIs" dxfId="667" priority="6" operator="lessThanOrEqual">
      <formula>2.57142857142857</formula>
    </cfRule>
    <cfRule type="cellIs" dxfId="666" priority="7" operator="lessThanOrEqual">
      <formula>3</formula>
    </cfRule>
  </conditionalFormatting>
  <conditionalFormatting sqref="D11:J14">
    <cfRule type="notContainsBlanks" dxfId="665" priority="1">
      <formula>LEN(TRIM(D11))&gt;0</formula>
    </cfRule>
  </conditionalFormatting>
  <conditionalFormatting sqref="E35">
    <cfRule type="containsText" dxfId="664" priority="2" operator="containsText" text="Green">
      <formula>NOT(ISERROR(SEARCH("Green",E35)))</formula>
    </cfRule>
    <cfRule type="containsText" dxfId="663" priority="3" operator="containsText" text="Amber">
      <formula>NOT(ISERROR(SEARCH("Amber",E35)))</formula>
    </cfRule>
    <cfRule type="containsText" dxfId="662" priority="4" operator="containsText" text="Red">
      <formula>NOT(ISERROR(SEARCH("Red",E35)))</formula>
    </cfRule>
  </conditionalFormatting>
  <conditionalFormatting sqref="H91">
    <cfRule type="cellIs" dxfId="661" priority="8" operator="lessThanOrEqual">
      <formula>2.14285714285714</formula>
    </cfRule>
    <cfRule type="cellIs" dxfId="660" priority="9" operator="lessThanOrEqual">
      <formula>2.57142857142857</formula>
    </cfRule>
    <cfRule type="cellIs" dxfId="659" priority="10" operator="lessThanOrEqual">
      <formula>3</formula>
    </cfRule>
  </conditionalFormatting>
  <conditionalFormatting sqref="N97:N99">
    <cfRule type="cellIs" dxfId="658" priority="11" operator="lessThanOrEqual">
      <formula>2.14285714285714</formula>
    </cfRule>
    <cfRule type="cellIs" dxfId="657" priority="12" operator="lessThanOrEqual">
      <formula>2.57142857142857</formula>
    </cfRule>
    <cfRule type="cellIs" dxfId="656" priority="13" operator="lessThanOrEqual">
      <formula>3</formula>
    </cfRule>
  </conditionalFormatting>
  <dataValidations disablePrompts="1" count="1">
    <dataValidation type="list" allowBlank="1" showInputMessage="1" showErrorMessage="1" sqref="C29:C34 C100" xr:uid="{2F01E8B0-ADFF-451F-BCDF-840426F7DD62}">
      <formula1>"High, Medium, Low"</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14EDF-7FA0-43D4-868D-40FC03B8546A}">
  <sheetPr codeName="Sheet33">
    <tabColor theme="5" tint="0.59999389629810485"/>
  </sheetPr>
  <dimension ref="A1:W187"/>
  <sheetViews>
    <sheetView workbookViewId="0"/>
  </sheetViews>
  <sheetFormatPr defaultColWidth="9" defaultRowHeight="14.45"/>
  <cols>
    <col min="1" max="1" width="3.5" style="2" customWidth="1"/>
    <col min="2" max="3" width="40.625" style="2" customWidth="1"/>
    <col min="4" max="14" width="15.625" style="2" customWidth="1"/>
    <col min="15" max="15" width="16.125" style="2" customWidth="1"/>
    <col min="16" max="16" width="9" style="2"/>
    <col min="17" max="17" width="16.625" style="2" customWidth="1"/>
    <col min="18" max="18" width="18.5" style="2" customWidth="1"/>
    <col min="19" max="16384" width="9" style="2"/>
  </cols>
  <sheetData>
    <row r="1" spans="1:8" ht="15" thickBot="1"/>
    <row r="2" spans="1:8" s="710" customFormat="1" ht="18.95" thickBot="1">
      <c r="A2" s="707"/>
      <c r="B2" s="711" t="s">
        <v>407</v>
      </c>
      <c r="C2" s="1346"/>
      <c r="D2" s="1346"/>
    </row>
    <row r="4" spans="1:8" s="714" customFormat="1" ht="18.600000000000001">
      <c r="A4" s="715"/>
      <c r="B4" s="713" t="s">
        <v>893</v>
      </c>
      <c r="C4" s="715"/>
      <c r="D4" s="715"/>
      <c r="E4" s="715"/>
      <c r="F4" s="715"/>
      <c r="G4" s="715"/>
      <c r="H4" s="715"/>
    </row>
    <row r="5" spans="1:8" ht="95.25" customHeight="1">
      <c r="A5" s="716"/>
      <c r="B5" s="1152" t="s">
        <v>1861</v>
      </c>
      <c r="C5" s="1152"/>
      <c r="D5" s="1152"/>
      <c r="E5" s="1152"/>
      <c r="F5" s="1152"/>
      <c r="G5" s="1152"/>
      <c r="H5" s="1152"/>
    </row>
    <row r="7" spans="1:8" s="718" customFormat="1" ht="18.600000000000001">
      <c r="A7" s="724"/>
      <c r="B7" s="724" t="s">
        <v>895</v>
      </c>
      <c r="C7" s="724"/>
      <c r="D7" s="724"/>
      <c r="E7" s="724"/>
      <c r="F7" s="724"/>
      <c r="G7" s="724"/>
      <c r="H7" s="724"/>
    </row>
    <row r="9" spans="1:8">
      <c r="D9" s="414" t="s">
        <v>479</v>
      </c>
      <c r="E9" s="414"/>
      <c r="F9" s="414"/>
      <c r="G9" s="414"/>
      <c r="H9" s="414"/>
    </row>
    <row r="10" spans="1:8" ht="29.1">
      <c r="B10" s="521" t="s">
        <v>104</v>
      </c>
      <c r="C10" s="521" t="s">
        <v>711</v>
      </c>
      <c r="D10" s="719" t="s">
        <v>269</v>
      </c>
      <c r="E10" s="719" t="s">
        <v>230</v>
      </c>
      <c r="F10" s="719" t="s">
        <v>460</v>
      </c>
      <c r="G10" s="719" t="s">
        <v>151</v>
      </c>
      <c r="H10" s="719" t="s">
        <v>465</v>
      </c>
    </row>
    <row r="11" spans="1:8">
      <c r="B11" s="278" t="s">
        <v>568</v>
      </c>
      <c r="C11" s="278" t="s">
        <v>569</v>
      </c>
      <c r="D11" s="374" cm="1">
        <f t="array" ref="D11">_xlfn.XLOOKUP(1,($B11=$B$88:$B$102)*(D$10=$C$88:$C$102),$G$88:$G$102,"Not found",0,1)</f>
        <v>-1271.7103883655654</v>
      </c>
      <c r="E11" s="374" cm="1">
        <f t="array" ref="E11">_xlfn.XLOOKUP(1,($B11=$B$88:$B$102)*(E$10=$C$88:$C$102),$G$88:$G$102,"Not found",0,1)</f>
        <v>-1271.7103883655654</v>
      </c>
      <c r="F11" s="374" t="str" cm="1">
        <f t="array" ref="F11">_xlfn.XLOOKUP(1,($B11=$B$160:$B$169)*(F$10=$C$160:$C$169),$G$160:$G$169,"Not found",0,1)</f>
        <v>LG(H)</v>
      </c>
      <c r="G11" s="374" cm="1">
        <f t="array" ref="G11">_xlfn.XLOOKUP(1,($B11=$B$88:$B$102)*(G$10=$C$88:$C$102),$G$88:$G$102,"Not found",0,1)</f>
        <v>-1271.7103883655654</v>
      </c>
      <c r="H11" s="374" t="str" cm="1">
        <f t="array" ref="H11">_xlfn.XLOOKUP(1,($B11=$B$178:$B$187)*(H$10=$C$178:$C$187),$G$178:$G$187,"Not found",0,1)</f>
        <v>LG(H)</v>
      </c>
    </row>
    <row r="12" spans="1:8">
      <c r="B12" s="278" t="s">
        <v>570</v>
      </c>
      <c r="C12" s="278" t="s">
        <v>569</v>
      </c>
      <c r="D12" s="374" cm="1">
        <f t="array" ref="D12">_xlfn.XLOOKUP(1,($B12=$B$88:$B$102)*(D$10=$C$88:$C$102),$G$88:$G$102,"Not found",0,1)</f>
        <v>-7718.9863107770361</v>
      </c>
      <c r="E12" s="374" cm="1">
        <f t="array" ref="E12">_xlfn.XLOOKUP(1,($B12=$B$88:$B$102)*(E$10=$C$88:$C$102),$G$88:$G$102,"Not found",0,1)</f>
        <v>-7718.9863107770361</v>
      </c>
      <c r="F12" s="374" t="str" cm="1">
        <f t="array" ref="F12">_xlfn.XLOOKUP(1,($B12=$B$160:$B$169)*(F$10=$C$160:$C$169),$G$160:$G$169,"Not found",0,1)</f>
        <v>LG(H)</v>
      </c>
      <c r="G12" s="374" cm="1">
        <f t="array" ref="G12">_xlfn.XLOOKUP(1,($B12=$B$88:$B$102)*(G$10=$C$88:$C$102),$G$88:$G$102,"Not found",0,1)</f>
        <v>-7718.9863107770361</v>
      </c>
      <c r="H12" s="374" t="str" cm="1">
        <f t="array" ref="H12">_xlfn.XLOOKUP(1,($B12=$B$178:$B$187)*(H$10=$C$178:$C$187),$G$178:$G$187,"Not found",0,1)</f>
        <v>LG(H)</v>
      </c>
    </row>
    <row r="13" spans="1:8">
      <c r="B13" s="278" t="s">
        <v>571</v>
      </c>
      <c r="C13" s="278" t="s">
        <v>569</v>
      </c>
      <c r="D13" s="374" cm="1">
        <f t="array" ref="D13">_xlfn.XLOOKUP(1,($B13=$B$88:$B$102)*(D$10=$C$88:$C$102),$G$88:$G$102,"Not found",0,1)</f>
        <v>-8872.3980583644097</v>
      </c>
      <c r="E13" s="374" cm="1">
        <f t="array" ref="E13">_xlfn.XLOOKUP(1,($B13=$B$88:$B$102)*(E$10=$C$88:$C$102),$G$88:$G$102,"Not found",0,1)</f>
        <v>-8872.3980583644097</v>
      </c>
      <c r="F13" s="374" t="str" cm="1">
        <f t="array" ref="F13">_xlfn.XLOOKUP(1,($B13=$B$160:$B$169)*(F$10=$C$160:$C$169),$G$160:$G$169,"Not found",0,1)</f>
        <v>LG(H)</v>
      </c>
      <c r="G13" s="374" cm="1">
        <f t="array" ref="G13">_xlfn.XLOOKUP(1,($B13=$B$88:$B$102)*(G$10=$C$88:$C$102),$G$88:$G$102,"Not found",0,1)</f>
        <v>-8872.3980583644097</v>
      </c>
      <c r="H13" s="374" t="str" cm="1">
        <f t="array" ref="H13">_xlfn.XLOOKUP(1,($B13=$B$178:$B$187)*(H$10=$C$178:$C$187),$G$178:$G$187,"Not found",0,1)</f>
        <v>LG(H)</v>
      </c>
    </row>
    <row r="14" spans="1:8">
      <c r="B14" s="278" t="s">
        <v>572</v>
      </c>
      <c r="C14" s="278" t="s">
        <v>569</v>
      </c>
      <c r="D14" s="374" cm="1">
        <f t="array" ref="D14">_xlfn.XLOOKUP(1,($B14=$B$88:$B$102)*(D$10=$C$88:$C$102),$G$88:$G$102,"Not found",0,1)</f>
        <v>-10291.981747702715</v>
      </c>
      <c r="E14" s="374" cm="1">
        <f t="array" ref="E14">_xlfn.XLOOKUP(1,($B14=$B$88:$B$102)*(E$10=$C$88:$C$102),$G$88:$G$102,"Not found",0,1)</f>
        <v>-10291.981747702715</v>
      </c>
      <c r="F14" s="374" t="str" cm="1">
        <f t="array" ref="F14">_xlfn.XLOOKUP(1,($B14=$B$160:$B$169)*(F$10=$C$160:$C$169),$G$160:$G$169,"Not found",0,1)</f>
        <v>LG(H)</v>
      </c>
      <c r="G14" s="374" cm="1">
        <f t="array" ref="G14">_xlfn.XLOOKUP(1,($B14=$B$88:$B$102)*(G$10=$C$88:$C$102),$G$88:$G$102,"Not found",0,1)</f>
        <v>-10291.981747702715</v>
      </c>
      <c r="H14" s="374" t="str" cm="1">
        <f t="array" ref="H14">_xlfn.XLOOKUP(1,($B14=$B$178:$B$187)*(H$10=$C$178:$C$187),$G$178:$G$187,"Not found",0,1)</f>
        <v>LG(H)</v>
      </c>
    </row>
    <row r="15" spans="1:8">
      <c r="B15" s="278" t="s">
        <v>573</v>
      </c>
      <c r="C15" s="278" t="s">
        <v>569</v>
      </c>
      <c r="D15" s="374" cm="1">
        <f t="array" ref="D15">_xlfn.XLOOKUP(1,($B15=$B$88:$B$102)*(D$10=$C$88:$C$102),$G$88:$G$102,"Not found",0,1)</f>
        <v>-11534.117475873731</v>
      </c>
      <c r="E15" s="374" cm="1">
        <f t="array" ref="E15">_xlfn.XLOOKUP(1,($B15=$B$88:$B$102)*(E$10=$C$88:$C$102),$G$88:$G$102,"Not found",0,1)</f>
        <v>-11534.117475873731</v>
      </c>
      <c r="F15" s="374" t="str" cm="1">
        <f t="array" ref="F15">_xlfn.XLOOKUP(1,($B15=$B$160:$B$169)*(F$10=$C$160:$C$169),$G$160:$G$169,"Not found",0,1)</f>
        <v>LG(H)</v>
      </c>
      <c r="G15" s="374" cm="1">
        <f t="array" ref="G15">_xlfn.XLOOKUP(1,($B15=$B$88:$B$102)*(G$10=$C$88:$C$102),$G$88:$G$102,"Not found",0,1)</f>
        <v>-11534.117475873731</v>
      </c>
      <c r="H15" s="374" t="str" cm="1">
        <f t="array" ref="H15">_xlfn.XLOOKUP(1,($B15=$B$178:$B$187)*(H$10=$C$178:$C$187),$G$178:$G$187,"Not found",0,1)</f>
        <v>LG(H)</v>
      </c>
    </row>
    <row r="16" spans="1:8">
      <c r="B16" s="278" t="s">
        <v>574</v>
      </c>
      <c r="C16" s="278" t="s">
        <v>575</v>
      </c>
      <c r="D16" s="374" cm="1">
        <f t="array" ref="D16">_xlfn.XLOOKUP(1,($B16=$B$88:$B$117)*(D$10=$C$88:$C$117),$G$88:$G$117,"Not found",0,1)</f>
        <v>-463.336343047919</v>
      </c>
      <c r="E16" s="374" cm="1">
        <f t="array" ref="E16">_xlfn.XLOOKUP(1,($B16=$B$88:$B$117)*(E$10=$C$88:$C$117),$G$88:$G$117,"Not found",0,1)</f>
        <v>-463.336343047919</v>
      </c>
      <c r="F16" s="374" t="str" cm="1">
        <f t="array" ref="F16">_xlfn.XLOOKUP(1,($B16=$B$160:$B$169)*(F$10=$C$160:$C$169),$G$160:$G$169,"Not found",0,1)</f>
        <v>LG(H)</v>
      </c>
      <c r="G16" s="374" cm="1">
        <f t="array" ref="G16">_xlfn.XLOOKUP(1,($B16=$B$88:$B$117)*(G$10=$C$88:$C$117),$G$88:$G$117,"Not found",0,1)</f>
        <v>-463.336343047919</v>
      </c>
      <c r="H16" s="374" t="str" cm="1">
        <f t="array" ref="H16">_xlfn.XLOOKUP(1,($B16=$B$178:$B$187)*(H$10=$C$178:$C$187),$G$178:$G$187,"Not found",0,1)</f>
        <v>LG(H)</v>
      </c>
    </row>
    <row r="17" spans="1:8">
      <c r="B17" s="278" t="s">
        <v>576</v>
      </c>
      <c r="C17" s="278" t="s">
        <v>575</v>
      </c>
      <c r="D17" s="374" cm="1">
        <f t="array" ref="D17">_xlfn.XLOOKUP(1,($B17=$B$88:$B$117)*(D$10=$C$88:$C$117),$G$88:$G$117,"Not found",0,1)</f>
        <v>-2839.1673786766114</v>
      </c>
      <c r="E17" s="374" cm="1">
        <f t="array" ref="E17">_xlfn.XLOOKUP(1,($B17=$B$88:$B$117)*(E$10=$C$88:$C$117),$G$88:$G$117,"Not found",0,1)</f>
        <v>-2839.1673786766114</v>
      </c>
      <c r="F17" s="374" t="str" cm="1">
        <f t="array" ref="F17">_xlfn.XLOOKUP(1,($B17=$B$160:$B$169)*(F$10=$C$160:$C$169),$G$160:$G$169,"Not found",0,1)</f>
        <v>LG(H)</v>
      </c>
      <c r="G17" s="374" cm="1">
        <f t="array" ref="G17">_xlfn.XLOOKUP(1,($B17=$B$88:$B$117)*(G$10=$C$88:$C$117),$G$88:$G$117,"Not found",0,1)</f>
        <v>-2839.1673786766114</v>
      </c>
      <c r="H17" s="374" t="str" cm="1">
        <f t="array" ref="H17">_xlfn.XLOOKUP(1,($B17=$B$178:$B$187)*(H$10=$C$178:$C$187),$G$178:$G$187,"Not found",0,1)</f>
        <v>LG(H)</v>
      </c>
    </row>
    <row r="18" spans="1:8">
      <c r="B18" s="278" t="s">
        <v>577</v>
      </c>
      <c r="C18" s="278" t="s">
        <v>575</v>
      </c>
      <c r="D18" s="374" cm="1">
        <f t="array" ref="D18">_xlfn.XLOOKUP(1,($B18=$B$88:$B$117)*(D$10=$C$88:$C$117),$G$88:$G$117,"Not found",0,1)</f>
        <v>-3282.7872815948313</v>
      </c>
      <c r="E18" s="374" cm="1">
        <f t="array" ref="E18">_xlfn.XLOOKUP(1,($B18=$B$88:$B$117)*(E$10=$C$88:$C$117),$G$88:$G$117,"Not found",0,1)</f>
        <v>-3282.7872815948313</v>
      </c>
      <c r="F18" s="374" t="str" cm="1">
        <f t="array" ref="F18">_xlfn.XLOOKUP(1,($B18=$B$160:$B$169)*(F$10=$C$160:$C$169),$G$160:$G$169,"Not found",0,1)</f>
        <v>LG(H)</v>
      </c>
      <c r="G18" s="374" cm="1">
        <f t="array" ref="G18">_xlfn.XLOOKUP(1,($B18=$B$88:$B$117)*(G$10=$C$88:$C$117),$G$88:$G$117,"Not found",0,1)</f>
        <v>-3282.7872815948313</v>
      </c>
      <c r="H18" s="374" t="str" cm="1">
        <f t="array" ref="H18">_xlfn.XLOOKUP(1,($B18=$B$178:$B$187)*(H$10=$C$178:$C$187),$G$178:$G$187,"Not found",0,1)</f>
        <v>LG(H)</v>
      </c>
    </row>
    <row r="19" spans="1:8">
      <c r="B19" s="278" t="s">
        <v>578</v>
      </c>
      <c r="C19" s="278" t="s">
        <v>575</v>
      </c>
      <c r="D19" s="374" cm="1">
        <f t="array" ref="D19">_xlfn.XLOOKUP(1,($B19=$B$88:$B$117)*(D$10=$C$88:$C$117),$G$88:$G$117,"Not found",0,1)</f>
        <v>-3770.7691748048742</v>
      </c>
      <c r="E19" s="374" cm="1">
        <f t="array" ref="E19">_xlfn.XLOOKUP(1,($B19=$B$88:$B$117)*(E$10=$C$88:$C$117),$G$88:$G$117,"Not found",0,1)</f>
        <v>-3770.7691748048742</v>
      </c>
      <c r="F19" s="374" t="str" cm="1">
        <f t="array" ref="F19">_xlfn.XLOOKUP(1,($B19=$B$160:$B$169)*(F$10=$C$160:$C$169),$G$160:$G$169,"Not found",0,1)</f>
        <v>LG(H)</v>
      </c>
      <c r="G19" s="374" cm="1">
        <f t="array" ref="G19">_xlfn.XLOOKUP(1,($B19=$B$88:$B$117)*(G$10=$C$88:$C$117),$G$88:$G$117,"Not found",0,1)</f>
        <v>-3770.7691748048742</v>
      </c>
      <c r="H19" s="374" t="str" cm="1">
        <f t="array" ref="H19">_xlfn.XLOOKUP(1,($B19=$B$178:$B$187)*(H$10=$C$178:$C$187),$G$178:$G$187,"Not found",0,1)</f>
        <v>LG(H)</v>
      </c>
    </row>
    <row r="20" spans="1:8">
      <c r="B20" s="278" t="s">
        <v>579</v>
      </c>
      <c r="C20" s="278" t="s">
        <v>575</v>
      </c>
      <c r="D20" s="374" cm="1">
        <f t="array" ref="D20">_xlfn.XLOOKUP(1,($B20=$B$88:$B$117)*(D$10=$C$88:$C$117),$G$88:$G$117,"Not found",0,1)</f>
        <v>-4229.1764078203678</v>
      </c>
      <c r="E20" s="374" cm="1">
        <f t="array" ref="E20">_xlfn.XLOOKUP(1,($B20=$B$88:$B$117)*(E$10=$C$88:$C$117),$G$88:$G$117,"Not found",0,1)</f>
        <v>-4229.1764078203678</v>
      </c>
      <c r="F20" s="374" t="str" cm="1">
        <f t="array" ref="F20">_xlfn.XLOOKUP(1,($B20=$B$160:$B$169)*(F$10=$C$160:$C$169),$G$160:$G$169,"Not found",0,1)</f>
        <v>LG(H)</v>
      </c>
      <c r="G20" s="374" cm="1">
        <f t="array" ref="G20">_xlfn.XLOOKUP(1,($B20=$B$88:$B$117)*(G$10=$C$88:$C$117),$G$88:$G$117,"Not found",0,1)</f>
        <v>-4229.1764078203678</v>
      </c>
      <c r="H20" s="374" t="str" cm="1">
        <f t="array" ref="H20">_xlfn.XLOOKUP(1,($B20=$B$178:$B$187)*(H$10=$C$178:$C$187),$G$178:$G$187,"Not found",0,1)</f>
        <v>LG(H)</v>
      </c>
    </row>
    <row r="21" spans="1:8">
      <c r="B21" s="800" t="s">
        <v>896</v>
      </c>
    </row>
    <row r="23" spans="1:8">
      <c r="A23" s="721"/>
      <c r="B23" s="722" t="s">
        <v>1862</v>
      </c>
      <c r="C23" s="721"/>
      <c r="D23" s="721"/>
      <c r="E23" s="721"/>
      <c r="F23" s="721"/>
      <c r="G23" s="721"/>
      <c r="H23" s="721"/>
    </row>
    <row r="24" spans="1:8">
      <c r="A24" s="727"/>
      <c r="B24" s="729" t="s">
        <v>897</v>
      </c>
      <c r="C24" s="727"/>
      <c r="D24" s="727"/>
      <c r="E24" s="727"/>
      <c r="F24" s="727"/>
      <c r="G24" s="727"/>
      <c r="H24" s="727"/>
    </row>
    <row r="25" spans="1:8">
      <c r="B25" s="277" t="s">
        <v>898</v>
      </c>
      <c r="C25" s="277" t="s">
        <v>899</v>
      </c>
    </row>
    <row r="26" spans="1:8">
      <c r="B26" s="278" t="s">
        <v>269</v>
      </c>
      <c r="C26" s="278" t="s">
        <v>1863</v>
      </c>
    </row>
    <row r="27" spans="1:8">
      <c r="B27" s="278" t="s">
        <v>1864</v>
      </c>
      <c r="C27" s="278" t="s">
        <v>1865</v>
      </c>
    </row>
    <row r="28" spans="1:8">
      <c r="B28" s="278" t="s">
        <v>230</v>
      </c>
      <c r="C28" s="278" t="s">
        <v>1866</v>
      </c>
    </row>
    <row r="29" spans="1:8">
      <c r="B29" s="16"/>
    </row>
    <row r="30" spans="1:8">
      <c r="A30" s="727"/>
      <c r="B30" s="728" t="s">
        <v>957</v>
      </c>
      <c r="C30" s="727"/>
      <c r="D30" s="727"/>
      <c r="E30" s="727"/>
      <c r="F30" s="727"/>
      <c r="G30" s="727"/>
      <c r="H30" s="727"/>
    </row>
    <row r="31" spans="1:8">
      <c r="A31" s="725"/>
      <c r="B31" s="726" t="s">
        <v>912</v>
      </c>
      <c r="C31" s="725"/>
      <c r="D31" s="725"/>
      <c r="E31" s="725"/>
      <c r="F31" s="725"/>
      <c r="G31" s="725"/>
      <c r="H31" s="725"/>
    </row>
    <row r="32" spans="1:8" ht="29.1">
      <c r="B32" s="719" t="s">
        <v>913</v>
      </c>
      <c r="C32" s="719" t="s">
        <v>914</v>
      </c>
      <c r="D32" s="719" t="s">
        <v>915</v>
      </c>
      <c r="E32" s="719" t="s">
        <v>916</v>
      </c>
      <c r="F32" s="719" t="s">
        <v>917</v>
      </c>
      <c r="G32" s="719" t="s">
        <v>918</v>
      </c>
      <c r="H32" s="719" t="s">
        <v>919</v>
      </c>
    </row>
    <row r="33" spans="1:9">
      <c r="B33" s="278">
        <v>1</v>
      </c>
      <c r="C33" s="278" t="s">
        <v>1867</v>
      </c>
      <c r="D33" s="278" t="s">
        <v>1182</v>
      </c>
      <c r="E33" s="278">
        <v>2013</v>
      </c>
      <c r="F33" s="278" t="s">
        <v>1048</v>
      </c>
      <c r="G33" s="278" t="s">
        <v>1868</v>
      </c>
      <c r="H33" s="278">
        <v>100</v>
      </c>
    </row>
    <row r="34" spans="1:9">
      <c r="B34" s="16"/>
    </row>
    <row r="35" spans="1:9">
      <c r="A35" s="725"/>
      <c r="B35" s="726" t="s">
        <v>924</v>
      </c>
      <c r="C35" s="725"/>
      <c r="D35" s="725"/>
      <c r="E35" s="725"/>
      <c r="F35" s="725"/>
      <c r="G35" s="725"/>
      <c r="H35" s="725"/>
    </row>
    <row r="36" spans="1:9">
      <c r="B36" s="277" t="s">
        <v>165</v>
      </c>
      <c r="C36" s="277" t="s">
        <v>995</v>
      </c>
      <c r="D36" s="277" t="s">
        <v>926</v>
      </c>
      <c r="E36" s="1134" t="s">
        <v>927</v>
      </c>
      <c r="F36" s="1134"/>
      <c r="G36" s="1134"/>
      <c r="H36" s="1134"/>
    </row>
    <row r="37" spans="1:9">
      <c r="B37" s="278" t="s">
        <v>169</v>
      </c>
      <c r="C37" s="278" t="s">
        <v>166</v>
      </c>
      <c r="D37" s="278">
        <f>VLOOKUP(C37,METHODOLOGY!$C$175:$D$177,2,FALSE)</f>
        <v>3</v>
      </c>
      <c r="E37" s="1087" t="str">
        <f>_xlfn.XLOOKUP(C37,METHODOLOGY!$E$150:$O$150,METHODOLOGY!$E$151:$O$151,"",0,1)</f>
        <v>Monetary values have been peer reviewed or are recommended / referenced in other, well recognised and accepted guidance / tools relevant to the water sector.</v>
      </c>
      <c r="F37" s="1087"/>
      <c r="G37" s="1087"/>
      <c r="H37" s="1087"/>
    </row>
    <row r="38" spans="1:9">
      <c r="B38" s="278" t="s">
        <v>173</v>
      </c>
      <c r="C38" s="278" t="s">
        <v>167</v>
      </c>
      <c r="D38" s="278">
        <f>VLOOKUP(C38,METHODOLOGY!$C$175:$D$177,2,FALSE)</f>
        <v>2</v>
      </c>
      <c r="E38" s="1087" t="str">
        <f>_xlfn.XLOOKUP(C38,METHODOLOGY!$E$150:$O$150,METHODOLOGY!$E$155:$O$155,"",0,1)</f>
        <v>Study has some limitations which may impact on the robustness of the value.</v>
      </c>
      <c r="F38" s="1087"/>
      <c r="G38" s="1087"/>
      <c r="H38" s="1087"/>
    </row>
    <row r="39" spans="1:9">
      <c r="B39" s="278" t="s">
        <v>177</v>
      </c>
      <c r="C39" s="278" t="s">
        <v>168</v>
      </c>
      <c r="D39" s="278">
        <f>VLOOKUP(C39,METHODOLOGY!$C$175:$D$177,2,FALSE)</f>
        <v>1</v>
      </c>
      <c r="E39" s="1087" t="str">
        <f>_xlfn.XLOOKUP(C39,METHODOLOGY!$E$150:$O$150,METHODOLOGY!$E$158:$O$158,"",0,1)</f>
        <v>&gt;10 years</v>
      </c>
      <c r="F39" s="1087"/>
      <c r="G39" s="1087"/>
      <c r="H39" s="1087"/>
    </row>
    <row r="40" spans="1:9">
      <c r="B40" s="278" t="s">
        <v>181</v>
      </c>
      <c r="C40" s="278" t="s">
        <v>166</v>
      </c>
      <c r="D40" s="278">
        <f>VLOOKUP(C40,METHODOLOGY!$C$175:$D$177,2,FALSE)</f>
        <v>3</v>
      </c>
      <c r="E40" s="1087" t="str">
        <f>_xlfn.XLOOKUP(C40,METHODOLOGY!$E$150:$O$150,METHODOLOGY!$E$160:$O$160,"",0,1)</f>
        <v>Geographically relevant to UK</v>
      </c>
      <c r="F40" s="1087"/>
      <c r="G40" s="1087"/>
      <c r="H40" s="1087"/>
    </row>
    <row r="41" spans="1:9">
      <c r="B41" s="278" t="s">
        <v>928</v>
      </c>
      <c r="C41" s="278" t="s">
        <v>166</v>
      </c>
      <c r="D41" s="278">
        <f>VLOOKUP(C41,METHODOLOGY!$C$175:$D$177,2,FALSE)</f>
        <v>3</v>
      </c>
      <c r="E41" s="1087" t="str">
        <f>_xlfn.XLOOKUP(C41,METHODOLOGY!$E$150:$O$150,METHODOLOGY!$E$162:$O$162,"",0,1)</f>
        <v>Clear understanding of the valuation method and how the value should be applied.</v>
      </c>
      <c r="F41" s="1087"/>
      <c r="G41" s="1087"/>
      <c r="H41" s="1087"/>
    </row>
    <row r="42" spans="1:9">
      <c r="B42" s="278" t="s">
        <v>189</v>
      </c>
      <c r="C42" s="278" t="s">
        <v>168</v>
      </c>
      <c r="D42" s="278">
        <f>VLOOKUP(C42,METHODOLOGY!$C$175:$D$177,2,FALSE)</f>
        <v>1</v>
      </c>
      <c r="E42" s="1087" t="str">
        <f>_xlfn.XLOOKUP(C42,METHODOLOGY!$E$150:$O$150,METHODOLOGY!$E$164:$O$164,"",0,1)</f>
        <v xml:space="preserve">The original valuation can be used with significant modification e.g. several additional data inputs are required to use the original source. The calculation is complex or introduces significant uncertainty. </v>
      </c>
      <c r="F42" s="1087"/>
      <c r="G42" s="1087"/>
      <c r="H42" s="1087"/>
    </row>
    <row r="43" spans="1:9">
      <c r="C43" s="282" t="s">
        <v>924</v>
      </c>
      <c r="D43" s="326">
        <f>IF(AND(D42=1,AVERAGE(D37:D42)&gt;2.14285714285714),2.14285714285714,IF(AND(D42=2,AVERAGE(D37:D42)&gt;2.57142857142857),2.57142857142857,AVERAGE(D37:D42)))</f>
        <v>2.1428571428571401</v>
      </c>
      <c r="E43" s="270" t="str">
        <f>IF(D43&lt;=2.14285714285714,"Red",IF(D43&lt;=2.57142857142857,"Amber",IF(D43&lt;=3,"Green")))</f>
        <v>Red</v>
      </c>
    </row>
    <row r="45" spans="1:9">
      <c r="A45" s="725"/>
      <c r="B45" s="726" t="s">
        <v>929</v>
      </c>
      <c r="C45" s="725"/>
      <c r="D45" s="725"/>
      <c r="E45" s="725"/>
      <c r="F45" s="725"/>
      <c r="G45" s="725"/>
      <c r="H45" s="725"/>
    </row>
    <row r="46" spans="1:9">
      <c r="B46" s="277" t="s">
        <v>169</v>
      </c>
      <c r="C46" s="277" t="s">
        <v>331</v>
      </c>
      <c r="D46" s="1157" t="s">
        <v>930</v>
      </c>
      <c r="E46" s="1157"/>
      <c r="F46" s="1157"/>
      <c r="G46" s="1157"/>
      <c r="H46" s="1157"/>
      <c r="I46" s="1157"/>
    </row>
    <row r="47" spans="1:9">
      <c r="B47" s="1135" t="s">
        <v>1869</v>
      </c>
      <c r="C47" s="278" t="s">
        <v>1870</v>
      </c>
      <c r="D47" s="1095" t="s">
        <v>1871</v>
      </c>
      <c r="E47" s="1095"/>
      <c r="F47" s="1095"/>
      <c r="G47" s="1095"/>
      <c r="H47" s="1095"/>
      <c r="I47" s="1095"/>
    </row>
    <row r="48" spans="1:9" ht="15" customHeight="1">
      <c r="B48" s="1136"/>
      <c r="C48" s="278" t="s">
        <v>1872</v>
      </c>
      <c r="D48" s="1095" t="s">
        <v>1873</v>
      </c>
      <c r="E48" s="1095"/>
      <c r="F48" s="1095"/>
      <c r="G48" s="1095"/>
      <c r="H48" s="1095"/>
      <c r="I48" s="1095"/>
    </row>
    <row r="49" spans="1:9">
      <c r="B49" s="1136"/>
      <c r="C49" s="278" t="s">
        <v>1874</v>
      </c>
      <c r="D49" s="1095" t="s">
        <v>1875</v>
      </c>
      <c r="E49" s="1095"/>
      <c r="F49" s="1095"/>
      <c r="G49" s="1095"/>
      <c r="H49" s="1095"/>
      <c r="I49" s="1095"/>
    </row>
    <row r="50" spans="1:9">
      <c r="B50" s="1136"/>
      <c r="C50" s="278" t="s">
        <v>1876</v>
      </c>
      <c r="D50" s="1095" t="s">
        <v>1877</v>
      </c>
      <c r="E50" s="1095"/>
      <c r="F50" s="1095"/>
      <c r="G50" s="1095"/>
      <c r="H50" s="1095"/>
      <c r="I50" s="1095"/>
    </row>
    <row r="51" spans="1:9" ht="29.45" customHeight="1">
      <c r="B51" s="1136"/>
      <c r="C51" s="278" t="s">
        <v>1878</v>
      </c>
      <c r="D51" s="1095" t="s">
        <v>1879</v>
      </c>
      <c r="E51" s="1095"/>
      <c r="F51" s="1095"/>
      <c r="G51" s="1095"/>
      <c r="H51" s="1095"/>
      <c r="I51" s="1095"/>
    </row>
    <row r="52" spans="1:9" ht="30.6" customHeight="1">
      <c r="B52" s="1136"/>
      <c r="C52" s="278" t="s">
        <v>1880</v>
      </c>
      <c r="D52" s="1095" t="s">
        <v>1881</v>
      </c>
      <c r="E52" s="1095"/>
      <c r="F52" s="1095"/>
      <c r="G52" s="1095"/>
      <c r="H52" s="1095"/>
      <c r="I52" s="1095"/>
    </row>
    <row r="53" spans="1:9" ht="60" customHeight="1">
      <c r="B53" s="1137"/>
      <c r="C53" s="1095" t="s">
        <v>1882</v>
      </c>
      <c r="D53" s="1095"/>
      <c r="E53" s="1095"/>
      <c r="F53" s="1095"/>
      <c r="G53" s="1095"/>
      <c r="H53" s="1095"/>
      <c r="I53" s="1095"/>
    </row>
    <row r="55" spans="1:9">
      <c r="A55" s="725"/>
      <c r="B55" s="726" t="s">
        <v>936</v>
      </c>
      <c r="C55" s="725"/>
      <c r="D55" s="725"/>
      <c r="E55" s="725"/>
      <c r="F55" s="725"/>
      <c r="G55" s="725"/>
      <c r="H55" s="725"/>
    </row>
    <row r="56" spans="1:9">
      <c r="B56" s="2" t="s">
        <v>1883</v>
      </c>
    </row>
    <row r="58" spans="1:9">
      <c r="B58" s="16" t="s">
        <v>1884</v>
      </c>
    </row>
    <row r="59" spans="1:9" ht="43.5">
      <c r="B59" s="152" t="s">
        <v>1885</v>
      </c>
      <c r="C59" s="152" t="s">
        <v>1886</v>
      </c>
      <c r="D59" s="152" t="s">
        <v>1887</v>
      </c>
      <c r="E59" s="152" t="s">
        <v>1888</v>
      </c>
      <c r="F59" s="152" t="s">
        <v>1889</v>
      </c>
      <c r="G59" s="152" t="s">
        <v>1890</v>
      </c>
      <c r="H59" s="152" t="s">
        <v>1891</v>
      </c>
    </row>
    <row r="60" spans="1:9">
      <c r="B60" s="819" t="s">
        <v>1892</v>
      </c>
      <c r="C60" s="820"/>
      <c r="D60" s="820"/>
      <c r="E60" s="820"/>
      <c r="F60" s="820"/>
      <c r="G60" s="820"/>
      <c r="H60" s="821"/>
    </row>
    <row r="61" spans="1:9">
      <c r="B61" s="649" t="s">
        <v>1893</v>
      </c>
      <c r="C61" s="649">
        <v>1</v>
      </c>
      <c r="D61" s="134">
        <v>17400</v>
      </c>
      <c r="E61" s="649"/>
      <c r="F61" s="818">
        <f>$D61/3</f>
        <v>5800</v>
      </c>
      <c r="G61" s="818">
        <f t="shared" ref="F61:H69" si="0">$D61/3</f>
        <v>5800</v>
      </c>
      <c r="H61" s="818">
        <f t="shared" si="0"/>
        <v>5800</v>
      </c>
    </row>
    <row r="62" spans="1:9">
      <c r="B62" s="295" t="s">
        <v>1894</v>
      </c>
      <c r="C62" s="295">
        <v>2</v>
      </c>
      <c r="D62" s="396">
        <v>20000</v>
      </c>
      <c r="E62" s="396">
        <f>D62-D61</f>
        <v>2600</v>
      </c>
      <c r="F62" s="387">
        <f t="shared" si="0"/>
        <v>6666.666666666667</v>
      </c>
      <c r="G62" s="387">
        <f t="shared" si="0"/>
        <v>6666.666666666667</v>
      </c>
      <c r="H62" s="387">
        <f t="shared" si="0"/>
        <v>6666.666666666667</v>
      </c>
    </row>
    <row r="63" spans="1:9">
      <c r="B63" s="295" t="s">
        <v>1895</v>
      </c>
      <c r="C63" s="295">
        <v>3</v>
      </c>
      <c r="D63" s="396">
        <v>23200</v>
      </c>
      <c r="E63" s="396">
        <f>D63-D62</f>
        <v>3200</v>
      </c>
      <c r="F63" s="387">
        <f t="shared" si="0"/>
        <v>7733.333333333333</v>
      </c>
      <c r="G63" s="387">
        <f t="shared" si="0"/>
        <v>7733.333333333333</v>
      </c>
      <c r="H63" s="387">
        <f t="shared" si="0"/>
        <v>7733.333333333333</v>
      </c>
    </row>
    <row r="64" spans="1:9">
      <c r="B64" s="295" t="s">
        <v>1896</v>
      </c>
      <c r="C64" s="295">
        <v>4</v>
      </c>
      <c r="D64" s="501">
        <f>C64*SLOPE(D61:D63, C61:C63) + INTERCEPT(D61:D63, C61:C63)</f>
        <v>26000</v>
      </c>
      <c r="E64" s="396">
        <f>D64-D63</f>
        <v>2800</v>
      </c>
      <c r="F64" s="387">
        <f t="shared" si="0"/>
        <v>8666.6666666666661</v>
      </c>
      <c r="G64" s="387">
        <f t="shared" si="0"/>
        <v>8666.6666666666661</v>
      </c>
      <c r="H64" s="387">
        <f t="shared" si="0"/>
        <v>8666.6666666666661</v>
      </c>
    </row>
    <row r="65" spans="2:8">
      <c r="B65" s="819" t="s">
        <v>1897</v>
      </c>
      <c r="C65" s="820"/>
      <c r="D65" s="820"/>
      <c r="E65" s="820"/>
      <c r="F65" s="820"/>
      <c r="G65" s="820"/>
      <c r="H65" s="821"/>
    </row>
    <row r="66" spans="2:8">
      <c r="B66" s="649" t="s">
        <v>1893</v>
      </c>
      <c r="C66" s="649">
        <v>1</v>
      </c>
      <c r="D66" s="134">
        <v>6400</v>
      </c>
      <c r="E66" s="649"/>
      <c r="F66" s="818">
        <f>$D66/3</f>
        <v>2133.3333333333335</v>
      </c>
      <c r="G66" s="818">
        <f t="shared" si="0"/>
        <v>2133.3333333333335</v>
      </c>
      <c r="H66" s="818">
        <f t="shared" si="0"/>
        <v>2133.3333333333335</v>
      </c>
    </row>
    <row r="67" spans="2:8">
      <c r="B67" s="295" t="s">
        <v>1894</v>
      </c>
      <c r="C67" s="295">
        <v>2</v>
      </c>
      <c r="D67" s="396">
        <v>7400</v>
      </c>
      <c r="E67" s="396">
        <f>D67-D66</f>
        <v>1000</v>
      </c>
      <c r="F67" s="387">
        <f t="shared" si="0"/>
        <v>2466.6666666666665</v>
      </c>
      <c r="G67" s="387">
        <f t="shared" si="0"/>
        <v>2466.6666666666665</v>
      </c>
      <c r="H67" s="387">
        <f t="shared" si="0"/>
        <v>2466.6666666666665</v>
      </c>
    </row>
    <row r="68" spans="2:8">
      <c r="B68" s="295" t="s">
        <v>1895</v>
      </c>
      <c r="C68" s="295">
        <v>3</v>
      </c>
      <c r="D68" s="396">
        <v>8500</v>
      </c>
      <c r="E68" s="396">
        <f>D68-D67</f>
        <v>1100</v>
      </c>
      <c r="F68" s="387">
        <f t="shared" si="0"/>
        <v>2833.3333333333335</v>
      </c>
      <c r="G68" s="387">
        <f t="shared" si="0"/>
        <v>2833.3333333333335</v>
      </c>
      <c r="H68" s="387">
        <f t="shared" si="0"/>
        <v>2833.3333333333335</v>
      </c>
    </row>
    <row r="69" spans="2:8">
      <c r="B69" s="295" t="s">
        <v>1896</v>
      </c>
      <c r="C69" s="295">
        <v>4</v>
      </c>
      <c r="D69" s="501">
        <f>C69*SLOPE(D66:D68, C66:C68) + INTERCEPT(D66:D68, C66:C68)</f>
        <v>9533.3333333333321</v>
      </c>
      <c r="E69" s="396">
        <f>D69-D68</f>
        <v>1033.3333333333321</v>
      </c>
      <c r="F69" s="387">
        <f t="shared" si="0"/>
        <v>3177.7777777777774</v>
      </c>
      <c r="G69" s="387">
        <f t="shared" si="0"/>
        <v>3177.7777777777774</v>
      </c>
      <c r="H69" s="387">
        <f t="shared" si="0"/>
        <v>3177.7777777777774</v>
      </c>
    </row>
    <row r="71" spans="2:8">
      <c r="B71" s="16" t="s">
        <v>1898</v>
      </c>
    </row>
    <row r="72" spans="2:8" ht="29.1">
      <c r="B72" s="399" t="s">
        <v>1885</v>
      </c>
      <c r="C72" s="777" t="s">
        <v>1887</v>
      </c>
      <c r="D72" s="399" t="s">
        <v>1888</v>
      </c>
      <c r="E72" s="152" t="s">
        <v>1889</v>
      </c>
      <c r="F72" s="152" t="s">
        <v>1890</v>
      </c>
      <c r="G72" s="152" t="s">
        <v>1891</v>
      </c>
    </row>
    <row r="73" spans="2:8">
      <c r="B73" s="819" t="s">
        <v>1892</v>
      </c>
      <c r="C73" s="820"/>
      <c r="D73" s="820"/>
      <c r="E73" s="820"/>
      <c r="F73" s="820"/>
      <c r="G73" s="821"/>
    </row>
    <row r="74" spans="2:8">
      <c r="B74" s="278" t="s">
        <v>1893</v>
      </c>
      <c r="C74" s="297">
        <f>D61</f>
        <v>17400</v>
      </c>
      <c r="D74" s="330"/>
      <c r="E74" s="243"/>
      <c r="F74" s="244"/>
      <c r="G74" s="245"/>
    </row>
    <row r="75" spans="2:8">
      <c r="B75" s="278" t="s">
        <v>1894</v>
      </c>
      <c r="C75" s="297">
        <f>D62</f>
        <v>20000</v>
      </c>
      <c r="D75" s="502">
        <f>C75-C74</f>
        <v>2600</v>
      </c>
      <c r="E75" s="246"/>
      <c r="F75" s="17"/>
      <c r="G75" s="247"/>
    </row>
    <row r="76" spans="2:8">
      <c r="B76" s="278" t="s">
        <v>1895</v>
      </c>
      <c r="C76" s="297">
        <f>D63</f>
        <v>23200</v>
      </c>
      <c r="D76" s="502">
        <f>C76-C75</f>
        <v>3200</v>
      </c>
      <c r="E76" s="246"/>
      <c r="F76" s="17"/>
      <c r="G76" s="247"/>
    </row>
    <row r="77" spans="2:8">
      <c r="B77" s="278" t="s">
        <v>1896</v>
      </c>
      <c r="C77" s="297">
        <f>D64</f>
        <v>26000</v>
      </c>
      <c r="D77" s="502">
        <f>C77-C76</f>
        <v>2800</v>
      </c>
      <c r="E77" s="248"/>
      <c r="F77" s="695"/>
      <c r="G77" s="249"/>
    </row>
    <row r="78" spans="2:8">
      <c r="B78" s="278" t="s">
        <v>1899</v>
      </c>
      <c r="C78" s="297"/>
      <c r="D78" s="297">
        <f>SUM(D75:D77)/3</f>
        <v>2866.6666666666665</v>
      </c>
      <c r="E78" s="250">
        <f>$D78/3</f>
        <v>955.55555555555554</v>
      </c>
      <c r="F78" s="250">
        <f>$D78/3</f>
        <v>955.55555555555554</v>
      </c>
      <c r="G78" s="250">
        <f>$D78/3</f>
        <v>955.55555555555554</v>
      </c>
    </row>
    <row r="79" spans="2:8">
      <c r="B79" s="819" t="s">
        <v>1897</v>
      </c>
      <c r="C79" s="820"/>
      <c r="D79" s="820"/>
      <c r="E79" s="820"/>
      <c r="F79" s="820"/>
      <c r="G79" s="821"/>
    </row>
    <row r="80" spans="2:8">
      <c r="B80" s="278" t="s">
        <v>1893</v>
      </c>
      <c r="C80" s="297">
        <f>D66</f>
        <v>6400</v>
      </c>
      <c r="D80" s="330"/>
      <c r="E80" s="243"/>
      <c r="F80" s="244"/>
      <c r="G80" s="245"/>
    </row>
    <row r="81" spans="1:10">
      <c r="B81" s="278" t="s">
        <v>1894</v>
      </c>
      <c r="C81" s="297">
        <f t="shared" ref="C81:C83" si="1">D67</f>
        <v>7400</v>
      </c>
      <c r="D81" s="502">
        <f>C81-C80</f>
        <v>1000</v>
      </c>
      <c r="E81" s="246"/>
      <c r="F81" s="17"/>
      <c r="G81" s="247"/>
    </row>
    <row r="82" spans="1:10">
      <c r="B82" s="278" t="s">
        <v>1895</v>
      </c>
      <c r="C82" s="297">
        <f t="shared" si="1"/>
        <v>8500</v>
      </c>
      <c r="D82" s="502">
        <f>C82-C81</f>
        <v>1100</v>
      </c>
      <c r="E82" s="246"/>
      <c r="F82" s="17"/>
      <c r="G82" s="247"/>
    </row>
    <row r="83" spans="1:10">
      <c r="B83" s="278" t="s">
        <v>1896</v>
      </c>
      <c r="C83" s="297">
        <f t="shared" si="1"/>
        <v>9533.3333333333321</v>
      </c>
      <c r="D83" s="502">
        <f>C83-C82</f>
        <v>1033.3333333333321</v>
      </c>
      <c r="E83" s="248"/>
      <c r="F83" s="695"/>
      <c r="G83" s="249"/>
    </row>
    <row r="84" spans="1:10">
      <c r="B84" s="278" t="s">
        <v>1899</v>
      </c>
      <c r="C84" s="297"/>
      <c r="D84" s="297">
        <f>SUM(D81:D83)/3</f>
        <v>1044.4444444444441</v>
      </c>
      <c r="E84" s="250">
        <f>$D84/3</f>
        <v>348.14814814814804</v>
      </c>
      <c r="F84" s="250">
        <f>$D84/3</f>
        <v>348.14814814814804</v>
      </c>
      <c r="G84" s="250">
        <f>$D84/3</f>
        <v>348.14814814814804</v>
      </c>
    </row>
    <row r="86" spans="1:10">
      <c r="A86" s="727"/>
      <c r="B86" s="728" t="s">
        <v>901</v>
      </c>
      <c r="C86" s="727"/>
      <c r="D86" s="727"/>
      <c r="E86" s="727"/>
      <c r="F86" s="727"/>
      <c r="G86" s="727"/>
      <c r="H86" s="727"/>
    </row>
    <row r="87" spans="1:10" ht="29.1">
      <c r="B87" s="719" t="s">
        <v>902</v>
      </c>
      <c r="C87" s="719" t="s">
        <v>898</v>
      </c>
      <c r="D87" s="719" t="s">
        <v>899</v>
      </c>
      <c r="E87" s="719" t="s">
        <v>903</v>
      </c>
      <c r="F87" s="719" t="s">
        <v>904</v>
      </c>
      <c r="G87" s="719" t="s">
        <v>905</v>
      </c>
      <c r="H87" s="719" t="s">
        <v>924</v>
      </c>
      <c r="I87" s="719" t="s">
        <v>956</v>
      </c>
      <c r="J87" s="719" t="s">
        <v>927</v>
      </c>
    </row>
    <row r="88" spans="1:10" ht="14.45" customHeight="1">
      <c r="B88" s="299" t="s">
        <v>568</v>
      </c>
      <c r="C88" s="299" t="s">
        <v>269</v>
      </c>
      <c r="D88" s="299" t="s">
        <v>1863</v>
      </c>
      <c r="E88" s="299" t="s">
        <v>957</v>
      </c>
      <c r="F88" s="278" t="str" cm="1">
        <f t="array" ref="F88">_xlfn.XLOOKUP(1,($D$121:$D$135=B88)*($E$121:$E$135=C88),$B$121:$B$135,"Not found",0,1)</f>
        <v>27-1</v>
      </c>
      <c r="G88" s="300">
        <f t="shared" ref="G88:G102" si="2">VLOOKUP(F88,$B$120:$L$135,11,FALSE)</f>
        <v>-1271.7103883655654</v>
      </c>
      <c r="H88" s="1120">
        <f>$D$43</f>
        <v>2.1428571428571401</v>
      </c>
      <c r="I88" s="1167" t="s">
        <v>958</v>
      </c>
      <c r="J88" s="1167" t="s">
        <v>1900</v>
      </c>
    </row>
    <row r="89" spans="1:10">
      <c r="B89" s="299" t="s">
        <v>570</v>
      </c>
      <c r="C89" s="299" t="s">
        <v>269</v>
      </c>
      <c r="D89" s="299" t="s">
        <v>1863</v>
      </c>
      <c r="E89" s="299" t="s">
        <v>957</v>
      </c>
      <c r="F89" s="278" t="str" cm="1">
        <f t="array" ref="F89">_xlfn.XLOOKUP(1,($D$121:$D$135=B89)*($E$121:$E$135=C89),$B$121:$B$135,"Not found",0,1)</f>
        <v>27-2</v>
      </c>
      <c r="G89" s="300">
        <f t="shared" si="2"/>
        <v>-7718.9863107770361</v>
      </c>
      <c r="H89" s="1121"/>
      <c r="I89" s="1168"/>
      <c r="J89" s="1168"/>
    </row>
    <row r="90" spans="1:10">
      <c r="B90" s="299" t="s">
        <v>571</v>
      </c>
      <c r="C90" s="299" t="s">
        <v>269</v>
      </c>
      <c r="D90" s="299" t="s">
        <v>1863</v>
      </c>
      <c r="E90" s="299" t="s">
        <v>957</v>
      </c>
      <c r="F90" s="278" t="str" cm="1">
        <f t="array" ref="F90">_xlfn.XLOOKUP(1,($D$121:$D$135=B90)*($E$121:$E$135=C90),$B$121:$B$135,"Not found",0,1)</f>
        <v>27-3</v>
      </c>
      <c r="G90" s="300">
        <f t="shared" si="2"/>
        <v>-8872.3980583644097</v>
      </c>
      <c r="H90" s="1121"/>
      <c r="I90" s="1168"/>
      <c r="J90" s="1168"/>
    </row>
    <row r="91" spans="1:10">
      <c r="B91" s="299" t="s">
        <v>572</v>
      </c>
      <c r="C91" s="299" t="s">
        <v>269</v>
      </c>
      <c r="D91" s="299" t="s">
        <v>1863</v>
      </c>
      <c r="E91" s="299" t="s">
        <v>957</v>
      </c>
      <c r="F91" s="278" t="str" cm="1">
        <f t="array" ref="F91">_xlfn.XLOOKUP(1,($D$121:$D$135=B91)*($E$121:$E$135=C91),$B$121:$B$135,"Not found",0,1)</f>
        <v>27-4</v>
      </c>
      <c r="G91" s="300">
        <f t="shared" si="2"/>
        <v>-10291.981747702715</v>
      </c>
      <c r="H91" s="1121"/>
      <c r="I91" s="1168"/>
      <c r="J91" s="1168"/>
    </row>
    <row r="92" spans="1:10">
      <c r="B92" s="299" t="s">
        <v>573</v>
      </c>
      <c r="C92" s="299" t="s">
        <v>269</v>
      </c>
      <c r="D92" s="299" t="s">
        <v>1863</v>
      </c>
      <c r="E92" s="299" t="s">
        <v>957</v>
      </c>
      <c r="F92" s="278" t="str" cm="1">
        <f t="array" ref="F92">_xlfn.XLOOKUP(1,($D$121:$D$135=B92)*($E$121:$E$135=C92),$B$121:$B$135,"Not found",0,1)</f>
        <v>27-5</v>
      </c>
      <c r="G92" s="300">
        <f t="shared" si="2"/>
        <v>-11534.117475873731</v>
      </c>
      <c r="H92" s="1121"/>
      <c r="I92" s="1168"/>
      <c r="J92" s="1168"/>
    </row>
    <row r="93" spans="1:10">
      <c r="B93" s="299" t="s">
        <v>568</v>
      </c>
      <c r="C93" s="299" t="s">
        <v>230</v>
      </c>
      <c r="D93" s="299" t="s">
        <v>1865</v>
      </c>
      <c r="E93" s="299" t="s">
        <v>957</v>
      </c>
      <c r="F93" s="278" t="str" cm="1">
        <f t="array" ref="F93">_xlfn.XLOOKUP(1,($D$121:$D$135=B93)*($E$121:$E$135=C93),$B$121:$B$135,"Not found",0,1)</f>
        <v>27-6</v>
      </c>
      <c r="G93" s="300">
        <f t="shared" si="2"/>
        <v>-1271.7103883655654</v>
      </c>
      <c r="H93" s="1121"/>
      <c r="I93" s="1168"/>
      <c r="J93" s="1168"/>
    </row>
    <row r="94" spans="1:10">
      <c r="B94" s="299" t="s">
        <v>570</v>
      </c>
      <c r="C94" s="299" t="s">
        <v>230</v>
      </c>
      <c r="D94" s="299" t="s">
        <v>1865</v>
      </c>
      <c r="E94" s="299" t="s">
        <v>957</v>
      </c>
      <c r="F94" s="278" t="str" cm="1">
        <f t="array" ref="F94">_xlfn.XLOOKUP(1,($D$121:$D$135=B94)*($E$121:$E$135=C94),$B$121:$B$135,"Not found",0,1)</f>
        <v>27-7</v>
      </c>
      <c r="G94" s="300">
        <f t="shared" si="2"/>
        <v>-7718.9863107770361</v>
      </c>
      <c r="H94" s="1121"/>
      <c r="I94" s="1168"/>
      <c r="J94" s="1168"/>
    </row>
    <row r="95" spans="1:10">
      <c r="B95" s="299" t="s">
        <v>571</v>
      </c>
      <c r="C95" s="299" t="s">
        <v>230</v>
      </c>
      <c r="D95" s="299" t="s">
        <v>1865</v>
      </c>
      <c r="E95" s="299" t="s">
        <v>957</v>
      </c>
      <c r="F95" s="278" t="str" cm="1">
        <f t="array" ref="F95">_xlfn.XLOOKUP(1,($D$121:$D$135=B95)*($E$121:$E$135=C95),$B$121:$B$135,"Not found",0,1)</f>
        <v>27-8</v>
      </c>
      <c r="G95" s="300">
        <f t="shared" si="2"/>
        <v>-8872.3980583644097</v>
      </c>
      <c r="H95" s="1121"/>
      <c r="I95" s="1168"/>
      <c r="J95" s="1168"/>
    </row>
    <row r="96" spans="1:10">
      <c r="B96" s="299" t="s">
        <v>572</v>
      </c>
      <c r="C96" s="299" t="s">
        <v>230</v>
      </c>
      <c r="D96" s="299" t="s">
        <v>1865</v>
      </c>
      <c r="E96" s="299" t="s">
        <v>957</v>
      </c>
      <c r="F96" s="278" t="str" cm="1">
        <f t="array" ref="F96">_xlfn.XLOOKUP(1,($D$121:$D$135=B96)*($E$121:$E$135=C96),$B$121:$B$135,"Not found",0,1)</f>
        <v>27-9</v>
      </c>
      <c r="G96" s="300">
        <f t="shared" si="2"/>
        <v>-10291.981747702715</v>
      </c>
      <c r="H96" s="1121"/>
      <c r="I96" s="1168"/>
      <c r="J96" s="1168"/>
    </row>
    <row r="97" spans="2:10">
      <c r="B97" s="299" t="s">
        <v>573</v>
      </c>
      <c r="C97" s="299" t="s">
        <v>230</v>
      </c>
      <c r="D97" s="299" t="s">
        <v>1865</v>
      </c>
      <c r="E97" s="299" t="s">
        <v>957</v>
      </c>
      <c r="F97" s="278" t="str" cm="1">
        <f t="array" ref="F97">_xlfn.XLOOKUP(1,($D$121:$D$135=B97)*($E$121:$E$135=C97),$B$121:$B$135,"Not found",0,1)</f>
        <v>27-10</v>
      </c>
      <c r="G97" s="300">
        <f t="shared" si="2"/>
        <v>-11534.117475873731</v>
      </c>
      <c r="H97" s="1121"/>
      <c r="I97" s="1168"/>
      <c r="J97" s="1168"/>
    </row>
    <row r="98" spans="2:10">
      <c r="B98" s="299" t="s">
        <v>568</v>
      </c>
      <c r="C98" s="299" t="s">
        <v>151</v>
      </c>
      <c r="D98" s="299" t="s">
        <v>1901</v>
      </c>
      <c r="E98" s="299" t="s">
        <v>957</v>
      </c>
      <c r="F98" s="278" t="str" cm="1">
        <f t="array" ref="F98">_xlfn.XLOOKUP(1,($D$121:$D$135=B98)*($E$121:$E$135=C98),$B$121:$B$135,"Not found",0,1)</f>
        <v>27-11</v>
      </c>
      <c r="G98" s="300">
        <f t="shared" si="2"/>
        <v>-1271.7103883655654</v>
      </c>
      <c r="H98" s="1121"/>
      <c r="I98" s="1168"/>
      <c r="J98" s="1168"/>
    </row>
    <row r="99" spans="2:10">
      <c r="B99" s="299" t="s">
        <v>570</v>
      </c>
      <c r="C99" s="299" t="s">
        <v>151</v>
      </c>
      <c r="D99" s="299" t="s">
        <v>1901</v>
      </c>
      <c r="E99" s="299" t="s">
        <v>957</v>
      </c>
      <c r="F99" s="278" t="str" cm="1">
        <f t="array" ref="F99">_xlfn.XLOOKUP(1,($D$121:$D$135=B99)*($E$121:$E$135=C99),$B$121:$B$135,"Not found",0,1)</f>
        <v>27-12</v>
      </c>
      <c r="G99" s="300">
        <f t="shared" si="2"/>
        <v>-7718.9863107770361</v>
      </c>
      <c r="H99" s="1121"/>
      <c r="I99" s="1168"/>
      <c r="J99" s="1168"/>
    </row>
    <row r="100" spans="2:10">
      <c r="B100" s="299" t="s">
        <v>571</v>
      </c>
      <c r="C100" s="299" t="s">
        <v>151</v>
      </c>
      <c r="D100" s="299" t="s">
        <v>1901</v>
      </c>
      <c r="E100" s="299" t="s">
        <v>957</v>
      </c>
      <c r="F100" s="278" t="str" cm="1">
        <f t="array" ref="F100">_xlfn.XLOOKUP(1,($D$121:$D$135=B100)*($E$121:$E$135=C100),$B$121:$B$135,"Not found",0,1)</f>
        <v>27-13</v>
      </c>
      <c r="G100" s="300">
        <f t="shared" si="2"/>
        <v>-8872.3980583644097</v>
      </c>
      <c r="H100" s="1121"/>
      <c r="I100" s="1168"/>
      <c r="J100" s="1168"/>
    </row>
    <row r="101" spans="2:10">
      <c r="B101" s="299" t="s">
        <v>572</v>
      </c>
      <c r="C101" s="299" t="s">
        <v>151</v>
      </c>
      <c r="D101" s="299" t="s">
        <v>1901</v>
      </c>
      <c r="E101" s="299" t="s">
        <v>957</v>
      </c>
      <c r="F101" s="278" t="str" cm="1">
        <f t="array" ref="F101">_xlfn.XLOOKUP(1,($D$121:$D$135=B101)*($E$121:$E$135=C101),$B$121:$B$135,"Not found",0,1)</f>
        <v>27-14</v>
      </c>
      <c r="G101" s="300">
        <f t="shared" si="2"/>
        <v>-10291.981747702715</v>
      </c>
      <c r="H101" s="1121"/>
      <c r="I101" s="1168"/>
      <c r="J101" s="1168"/>
    </row>
    <row r="102" spans="2:10">
      <c r="B102" s="299" t="s">
        <v>573</v>
      </c>
      <c r="C102" s="299" t="s">
        <v>151</v>
      </c>
      <c r="D102" s="299" t="s">
        <v>1901</v>
      </c>
      <c r="E102" s="299" t="s">
        <v>957</v>
      </c>
      <c r="F102" s="278" t="str" cm="1">
        <f t="array" ref="F102">_xlfn.XLOOKUP(1,($D$121:$D$135=B102)*($E$121:$E$135=C102),$B$121:$B$135,"Not found",0,1)</f>
        <v>27-15</v>
      </c>
      <c r="G102" s="300">
        <f t="shared" si="2"/>
        <v>-11534.117475873731</v>
      </c>
      <c r="H102" s="1121"/>
      <c r="I102" s="1168"/>
      <c r="J102" s="1168"/>
    </row>
    <row r="103" spans="2:10">
      <c r="B103" s="299" t="s">
        <v>574</v>
      </c>
      <c r="C103" s="299" t="s">
        <v>269</v>
      </c>
      <c r="D103" s="299" t="s">
        <v>1863</v>
      </c>
      <c r="E103" s="299" t="s">
        <v>957</v>
      </c>
      <c r="F103" s="278" t="str" cm="1">
        <f t="array" ref="F103">_xlfn.XLOOKUP(1,($D$121:$D$150=B103)*($E$121:$E$150=C103),$B$121:$B$150,"Not found",0,1)</f>
        <v>27-16</v>
      </c>
      <c r="G103" s="300">
        <f>VLOOKUP(F103,$B$120:$L$150,11,FALSE)</f>
        <v>-463.336343047919</v>
      </c>
      <c r="H103" s="1121"/>
      <c r="I103" s="1168"/>
      <c r="J103" s="1168"/>
    </row>
    <row r="104" spans="2:10">
      <c r="B104" s="299" t="s">
        <v>576</v>
      </c>
      <c r="C104" s="299" t="s">
        <v>269</v>
      </c>
      <c r="D104" s="299" t="s">
        <v>1863</v>
      </c>
      <c r="E104" s="299" t="s">
        <v>957</v>
      </c>
      <c r="F104" s="278" t="str" cm="1">
        <f t="array" ref="F104">_xlfn.XLOOKUP(1,($D$121:$D$150=B104)*($E$121:$E$150=C104),$B$121:$B$150,"Not found",0,1)</f>
        <v>27-17</v>
      </c>
      <c r="G104" s="300">
        <f t="shared" ref="G104:G117" si="3">VLOOKUP(F104,$B$120:$L$150,11,FALSE)</f>
        <v>-2839.1673786766114</v>
      </c>
      <c r="H104" s="1121"/>
      <c r="I104" s="1168"/>
      <c r="J104" s="1168"/>
    </row>
    <row r="105" spans="2:10">
      <c r="B105" s="299" t="s">
        <v>577</v>
      </c>
      <c r="C105" s="299" t="s">
        <v>269</v>
      </c>
      <c r="D105" s="299" t="s">
        <v>1863</v>
      </c>
      <c r="E105" s="299" t="s">
        <v>957</v>
      </c>
      <c r="F105" s="278" t="str" cm="1">
        <f t="array" ref="F105">_xlfn.XLOOKUP(1,($D$121:$D$150=B105)*($E$121:$E$150=C105),$B$121:$B$150,"Not found",0,1)</f>
        <v>27-18</v>
      </c>
      <c r="G105" s="300">
        <f t="shared" si="3"/>
        <v>-3282.7872815948313</v>
      </c>
      <c r="H105" s="1121"/>
      <c r="I105" s="1168"/>
      <c r="J105" s="1168"/>
    </row>
    <row r="106" spans="2:10">
      <c r="B106" s="299" t="s">
        <v>578</v>
      </c>
      <c r="C106" s="299" t="s">
        <v>269</v>
      </c>
      <c r="D106" s="299" t="s">
        <v>1863</v>
      </c>
      <c r="E106" s="299" t="s">
        <v>957</v>
      </c>
      <c r="F106" s="278" t="str" cm="1">
        <f t="array" ref="F106">_xlfn.XLOOKUP(1,($D$121:$D$150=B106)*($E$121:$E$150=C106),$B$121:$B$150,"Not found",0,1)</f>
        <v>27-19</v>
      </c>
      <c r="G106" s="300">
        <f t="shared" si="3"/>
        <v>-3770.7691748048742</v>
      </c>
      <c r="H106" s="1121"/>
      <c r="I106" s="1168"/>
      <c r="J106" s="1168"/>
    </row>
    <row r="107" spans="2:10">
      <c r="B107" s="299" t="s">
        <v>579</v>
      </c>
      <c r="C107" s="299" t="s">
        <v>269</v>
      </c>
      <c r="D107" s="299" t="s">
        <v>1863</v>
      </c>
      <c r="E107" s="299" t="s">
        <v>957</v>
      </c>
      <c r="F107" s="278" t="str" cm="1">
        <f t="array" ref="F107">_xlfn.XLOOKUP(1,($D$121:$D$150=B107)*($E$121:$E$150=C107),$B$121:$B$150,"Not found",0,1)</f>
        <v>27-20</v>
      </c>
      <c r="G107" s="300">
        <f t="shared" si="3"/>
        <v>-4229.1764078203678</v>
      </c>
      <c r="H107" s="1121"/>
      <c r="I107" s="1168"/>
      <c r="J107" s="1168"/>
    </row>
    <row r="108" spans="2:10">
      <c r="B108" s="299" t="s">
        <v>574</v>
      </c>
      <c r="C108" s="299" t="s">
        <v>230</v>
      </c>
      <c r="D108" s="299" t="s">
        <v>1865</v>
      </c>
      <c r="E108" s="299" t="s">
        <v>957</v>
      </c>
      <c r="F108" s="278" t="str" cm="1">
        <f t="array" ref="F108">_xlfn.XLOOKUP(1,($D$121:$D$150=B108)*($E$121:$E$150=C108),$B$121:$B$150,"Not found",0,1)</f>
        <v>27-21</v>
      </c>
      <c r="G108" s="300">
        <f t="shared" si="3"/>
        <v>-463.336343047919</v>
      </c>
      <c r="H108" s="1121"/>
      <c r="I108" s="1168"/>
      <c r="J108" s="1168"/>
    </row>
    <row r="109" spans="2:10">
      <c r="B109" s="299" t="s">
        <v>576</v>
      </c>
      <c r="C109" s="299" t="s">
        <v>230</v>
      </c>
      <c r="D109" s="299" t="s">
        <v>1865</v>
      </c>
      <c r="E109" s="299" t="s">
        <v>957</v>
      </c>
      <c r="F109" s="278" t="str" cm="1">
        <f t="array" ref="F109">_xlfn.XLOOKUP(1,($D$121:$D$150=B109)*($E$121:$E$150=C109),$B$121:$B$150,"Not found",0,1)</f>
        <v>27-22</v>
      </c>
      <c r="G109" s="300">
        <f t="shared" si="3"/>
        <v>-2839.1673786766114</v>
      </c>
      <c r="H109" s="1121"/>
      <c r="I109" s="1168"/>
      <c r="J109" s="1168"/>
    </row>
    <row r="110" spans="2:10">
      <c r="B110" s="299" t="s">
        <v>577</v>
      </c>
      <c r="C110" s="299" t="s">
        <v>230</v>
      </c>
      <c r="D110" s="299" t="s">
        <v>1865</v>
      </c>
      <c r="E110" s="299" t="s">
        <v>957</v>
      </c>
      <c r="F110" s="278" t="str" cm="1">
        <f t="array" ref="F110">_xlfn.XLOOKUP(1,($D$121:$D$150=B110)*($E$121:$E$150=C110),$B$121:$B$150,"Not found",0,1)</f>
        <v>27-23</v>
      </c>
      <c r="G110" s="300">
        <f t="shared" si="3"/>
        <v>-3282.7872815948313</v>
      </c>
      <c r="H110" s="1121"/>
      <c r="I110" s="1168"/>
      <c r="J110" s="1168"/>
    </row>
    <row r="111" spans="2:10">
      <c r="B111" s="299" t="s">
        <v>578</v>
      </c>
      <c r="C111" s="299" t="s">
        <v>230</v>
      </c>
      <c r="D111" s="299" t="s">
        <v>1865</v>
      </c>
      <c r="E111" s="299" t="s">
        <v>957</v>
      </c>
      <c r="F111" s="278" t="str" cm="1">
        <f t="array" ref="F111">_xlfn.XLOOKUP(1,($D$121:$D$150=B111)*($E$121:$E$150=C111),$B$121:$B$150,"Not found",0,1)</f>
        <v>27-24</v>
      </c>
      <c r="G111" s="300">
        <f t="shared" si="3"/>
        <v>-3770.7691748048742</v>
      </c>
      <c r="H111" s="1121"/>
      <c r="I111" s="1168"/>
      <c r="J111" s="1168"/>
    </row>
    <row r="112" spans="2:10">
      <c r="B112" s="299" t="s">
        <v>579</v>
      </c>
      <c r="C112" s="299" t="s">
        <v>230</v>
      </c>
      <c r="D112" s="299" t="s">
        <v>1865</v>
      </c>
      <c r="E112" s="299" t="s">
        <v>957</v>
      </c>
      <c r="F112" s="278" t="str" cm="1">
        <f t="array" ref="F112">_xlfn.XLOOKUP(1,($D$121:$D$150=B112)*($E$121:$E$150=C112),$B$121:$B$150,"Not found",0,1)</f>
        <v>27-25</v>
      </c>
      <c r="G112" s="300">
        <f t="shared" si="3"/>
        <v>-4229.1764078203678</v>
      </c>
      <c r="H112" s="1121"/>
      <c r="I112" s="1168"/>
      <c r="J112" s="1168"/>
    </row>
    <row r="113" spans="1:23">
      <c r="B113" s="299" t="s">
        <v>574</v>
      </c>
      <c r="C113" s="299" t="s">
        <v>151</v>
      </c>
      <c r="D113" s="299" t="s">
        <v>1901</v>
      </c>
      <c r="E113" s="299" t="s">
        <v>957</v>
      </c>
      <c r="F113" s="278" t="str" cm="1">
        <f t="array" ref="F113">_xlfn.XLOOKUP(1,($D$121:$D$150=B113)*($E$121:$E$150=C113),$B$121:$B$150,"Not found",0,1)</f>
        <v>27-26</v>
      </c>
      <c r="G113" s="300">
        <f t="shared" si="3"/>
        <v>-463.336343047919</v>
      </c>
      <c r="H113" s="1121"/>
      <c r="I113" s="1168"/>
      <c r="J113" s="1168"/>
    </row>
    <row r="114" spans="1:23">
      <c r="B114" s="299" t="s">
        <v>576</v>
      </c>
      <c r="C114" s="299" t="s">
        <v>151</v>
      </c>
      <c r="D114" s="299" t="s">
        <v>1901</v>
      </c>
      <c r="E114" s="299" t="s">
        <v>957</v>
      </c>
      <c r="F114" s="278" t="str" cm="1">
        <f t="array" ref="F114">_xlfn.XLOOKUP(1,($D$121:$D$150=B114)*($E$121:$E$150=C114),$B$121:$B$150,"Not found",0,1)</f>
        <v>27-27</v>
      </c>
      <c r="G114" s="300">
        <f t="shared" si="3"/>
        <v>-2839.1673786766114</v>
      </c>
      <c r="H114" s="1121"/>
      <c r="I114" s="1168"/>
      <c r="J114" s="1168"/>
    </row>
    <row r="115" spans="1:23">
      <c r="B115" s="299" t="s">
        <v>577</v>
      </c>
      <c r="C115" s="299" t="s">
        <v>151</v>
      </c>
      <c r="D115" s="299" t="s">
        <v>1901</v>
      </c>
      <c r="E115" s="299" t="s">
        <v>957</v>
      </c>
      <c r="F115" s="278" t="str" cm="1">
        <f t="array" ref="F115">_xlfn.XLOOKUP(1,($D$121:$D$150=B115)*($E$121:$E$150=C115),$B$121:$B$150,"Not found",0,1)</f>
        <v>27-28</v>
      </c>
      <c r="G115" s="300">
        <f t="shared" si="3"/>
        <v>-3282.7872815948313</v>
      </c>
      <c r="H115" s="1121"/>
      <c r="I115" s="1168"/>
      <c r="J115" s="1168"/>
    </row>
    <row r="116" spans="1:23">
      <c r="B116" s="299" t="s">
        <v>578</v>
      </c>
      <c r="C116" s="299" t="s">
        <v>151</v>
      </c>
      <c r="D116" s="299" t="s">
        <v>1901</v>
      </c>
      <c r="E116" s="299" t="s">
        <v>957</v>
      </c>
      <c r="F116" s="278" t="str" cm="1">
        <f t="array" ref="F116">_xlfn.XLOOKUP(1,($D$121:$D$150=B116)*($E$121:$E$150=C116),$B$121:$B$150,"Not found",0,1)</f>
        <v>27-29</v>
      </c>
      <c r="G116" s="300">
        <f t="shared" si="3"/>
        <v>-3770.7691748048742</v>
      </c>
      <c r="H116" s="1121"/>
      <c r="I116" s="1168"/>
      <c r="J116" s="1168"/>
    </row>
    <row r="117" spans="1:23">
      <c r="B117" s="299" t="s">
        <v>579</v>
      </c>
      <c r="C117" s="299" t="s">
        <v>151</v>
      </c>
      <c r="D117" s="299" t="s">
        <v>1901</v>
      </c>
      <c r="E117" s="299" t="s">
        <v>957</v>
      </c>
      <c r="F117" s="278" t="str" cm="1">
        <f t="array" ref="F117">_xlfn.XLOOKUP(1,($D$121:$D$150=B117)*($E$121:$E$150=C117),$B$121:$B$150,"Not found",0,1)</f>
        <v>27-30</v>
      </c>
      <c r="G117" s="300">
        <f t="shared" si="3"/>
        <v>-4229.1764078203678</v>
      </c>
      <c r="H117" s="1122"/>
      <c r="I117" s="1169"/>
      <c r="J117" s="1169"/>
    </row>
    <row r="118" spans="1:23">
      <c r="B118" s="18"/>
    </row>
    <row r="119" spans="1:23">
      <c r="A119" s="725"/>
      <c r="B119" s="726" t="s">
        <v>962</v>
      </c>
      <c r="C119" s="725"/>
      <c r="D119" s="725"/>
      <c r="E119" s="725"/>
      <c r="F119" s="725"/>
      <c r="G119" s="725"/>
      <c r="H119" s="725"/>
    </row>
    <row r="120" spans="1:23">
      <c r="B120" s="277" t="s">
        <v>904</v>
      </c>
      <c r="C120" s="277" t="s">
        <v>62</v>
      </c>
      <c r="D120" s="277" t="s">
        <v>902</v>
      </c>
      <c r="E120" s="277" t="s">
        <v>898</v>
      </c>
      <c r="F120" s="277" t="s">
        <v>916</v>
      </c>
      <c r="G120" s="277" t="s">
        <v>963</v>
      </c>
      <c r="H120" s="277" t="s">
        <v>964</v>
      </c>
      <c r="I120" s="277" t="s">
        <v>965</v>
      </c>
      <c r="J120" s="277" t="s">
        <v>966</v>
      </c>
      <c r="K120" s="277" t="s">
        <v>967</v>
      </c>
      <c r="L120" s="277" t="s">
        <v>968</v>
      </c>
      <c r="M120" s="277" t="s">
        <v>956</v>
      </c>
      <c r="N120" s="277" t="s">
        <v>969</v>
      </c>
      <c r="O120" s="277" t="s">
        <v>970</v>
      </c>
      <c r="P120" s="277" t="s">
        <v>927</v>
      </c>
      <c r="Q120" s="277" t="s">
        <v>913</v>
      </c>
      <c r="R120" s="277" t="s">
        <v>914</v>
      </c>
      <c r="S120" s="277" t="s">
        <v>915</v>
      </c>
      <c r="T120" s="277" t="s">
        <v>916</v>
      </c>
      <c r="U120" s="277" t="s">
        <v>917</v>
      </c>
      <c r="V120" s="277" t="s">
        <v>918</v>
      </c>
      <c r="W120" s="277" t="s">
        <v>919</v>
      </c>
    </row>
    <row r="121" spans="1:23">
      <c r="B121" s="503" t="s">
        <v>1902</v>
      </c>
      <c r="C121" s="278" t="s">
        <v>407</v>
      </c>
      <c r="D121" s="299" t="s">
        <v>568</v>
      </c>
      <c r="E121" s="299" t="s">
        <v>269</v>
      </c>
      <c r="F121" s="299">
        <f>$E$33</f>
        <v>2013</v>
      </c>
      <c r="G121" s="278">
        <v>2012</v>
      </c>
      <c r="H121" s="278">
        <f>'COMPANY INPUT'!$C$16</f>
        <v>2023</v>
      </c>
      <c r="I121" s="278">
        <f>VLOOKUP(G121,'GDP Deflators'!$H$13:$I$86,2,FALSE)</f>
        <v>75.139399999999995</v>
      </c>
      <c r="J121" s="278">
        <f>VLOOKUP(H121,'GDP Deflators'!$H$13:$I$86,2,FALSE)</f>
        <v>100</v>
      </c>
      <c r="K121" s="387">
        <f>-E78</f>
        <v>-955.55555555555554</v>
      </c>
      <c r="L121" s="746">
        <f>K121*(J121/I121)</f>
        <v>-1271.7103883655654</v>
      </c>
      <c r="M121" s="278" t="str">
        <f t="shared" ref="M121:M150" si="4">$I$88</f>
        <v>Willingness to Pay</v>
      </c>
      <c r="N121" s="326">
        <f t="shared" ref="N121:N150" si="5">$H$88</f>
        <v>2.1428571428571401</v>
      </c>
      <c r="O121" s="278" t="s">
        <v>718</v>
      </c>
      <c r="P121" s="278" t="s">
        <v>1900</v>
      </c>
      <c r="Q121" s="299">
        <f>$B$33</f>
        <v>1</v>
      </c>
      <c r="R121" s="278" t="str">
        <f>$C$33</f>
        <v>Environment Agency (2013) Updating the National Water Environment Benefit Survey values: summary of the peer review</v>
      </c>
      <c r="S121" s="278" t="str">
        <f>$D$33</f>
        <v>ENCA</v>
      </c>
      <c r="T121" s="278">
        <f>$E$33</f>
        <v>2013</v>
      </c>
      <c r="U121" s="278" t="str">
        <f>$F$33</f>
        <v>England and Wales</v>
      </c>
      <c r="V121" s="278" t="str">
        <f>$G$33</f>
        <v>National average</v>
      </c>
      <c r="W121" s="278">
        <f>$H$33</f>
        <v>100</v>
      </c>
    </row>
    <row r="122" spans="1:23">
      <c r="B122" s="503" t="s">
        <v>1903</v>
      </c>
      <c r="C122" s="278" t="s">
        <v>407</v>
      </c>
      <c r="D122" s="299" t="s">
        <v>570</v>
      </c>
      <c r="E122" s="299" t="s">
        <v>269</v>
      </c>
      <c r="F122" s="299">
        <f>$E$33</f>
        <v>2013</v>
      </c>
      <c r="G122" s="278">
        <v>2012</v>
      </c>
      <c r="H122" s="278">
        <f>'COMPANY INPUT'!$C$16</f>
        <v>2023</v>
      </c>
      <c r="I122" s="278">
        <f>VLOOKUP(G122,'GDP Deflators'!$H$13:$I$86,2,FALSE)</f>
        <v>75.139399999999995</v>
      </c>
      <c r="J122" s="278">
        <f>VLOOKUP(H122,'GDP Deflators'!$H$13:$I$86,2,FALSE)</f>
        <v>100</v>
      </c>
      <c r="K122" s="387">
        <f>-F61</f>
        <v>-5800</v>
      </c>
      <c r="L122" s="746">
        <f t="shared" ref="L122:L135" si="6">K122*(J122/I122)</f>
        <v>-7718.9863107770361</v>
      </c>
      <c r="M122" s="278" t="str">
        <f t="shared" si="4"/>
        <v>Willingness to Pay</v>
      </c>
      <c r="N122" s="326">
        <f t="shared" si="5"/>
        <v>2.1428571428571401</v>
      </c>
      <c r="O122" s="278" t="s">
        <v>718</v>
      </c>
      <c r="P122" s="278" t="s">
        <v>1900</v>
      </c>
      <c r="Q122" s="299">
        <f t="shared" ref="Q122:Q150" si="7">$B$33</f>
        <v>1</v>
      </c>
      <c r="R122" s="278" t="str">
        <f t="shared" ref="R122:R150" si="8">$C$33</f>
        <v>Environment Agency (2013) Updating the National Water Environment Benefit Survey values: summary of the peer review</v>
      </c>
      <c r="S122" s="278" t="str">
        <f t="shared" ref="S122:S150" si="9">$D$33</f>
        <v>ENCA</v>
      </c>
      <c r="T122" s="278">
        <f t="shared" ref="T122:T150" si="10">$E$33</f>
        <v>2013</v>
      </c>
      <c r="U122" s="278" t="str">
        <f t="shared" ref="U122:U150" si="11">$F$33</f>
        <v>England and Wales</v>
      </c>
      <c r="V122" s="278" t="str">
        <f t="shared" ref="V122:V150" si="12">$G$33</f>
        <v>National average</v>
      </c>
      <c r="W122" s="278">
        <f t="shared" ref="W122:W150" si="13">$H$33</f>
        <v>100</v>
      </c>
    </row>
    <row r="123" spans="1:23">
      <c r="B123" s="503" t="s">
        <v>1904</v>
      </c>
      <c r="C123" s="278" t="s">
        <v>407</v>
      </c>
      <c r="D123" s="299" t="s">
        <v>571</v>
      </c>
      <c r="E123" s="299" t="s">
        <v>269</v>
      </c>
      <c r="F123" s="299">
        <f t="shared" ref="F123:F135" si="14">$E$33</f>
        <v>2013</v>
      </c>
      <c r="G123" s="278">
        <v>2012</v>
      </c>
      <c r="H123" s="278">
        <f>'COMPANY INPUT'!$C$16</f>
        <v>2023</v>
      </c>
      <c r="I123" s="278">
        <f>VLOOKUP(G123,'GDP Deflators'!$H$13:$I$86,2,FALSE)</f>
        <v>75.139399999999995</v>
      </c>
      <c r="J123" s="278">
        <f>VLOOKUP(H123,'GDP Deflators'!$H$13:$I$86,2,FALSE)</f>
        <v>100</v>
      </c>
      <c r="K123" s="387">
        <f>-F62</f>
        <v>-6666.666666666667</v>
      </c>
      <c r="L123" s="746">
        <f t="shared" si="6"/>
        <v>-8872.3980583644097</v>
      </c>
      <c r="M123" s="278" t="str">
        <f t="shared" si="4"/>
        <v>Willingness to Pay</v>
      </c>
      <c r="N123" s="326">
        <f t="shared" si="5"/>
        <v>2.1428571428571401</v>
      </c>
      <c r="O123" s="278" t="s">
        <v>718</v>
      </c>
      <c r="P123" s="278" t="s">
        <v>1900</v>
      </c>
      <c r="Q123" s="299">
        <f t="shared" si="7"/>
        <v>1</v>
      </c>
      <c r="R123" s="278" t="str">
        <f t="shared" si="8"/>
        <v>Environment Agency (2013) Updating the National Water Environment Benefit Survey values: summary of the peer review</v>
      </c>
      <c r="S123" s="278" t="str">
        <f t="shared" si="9"/>
        <v>ENCA</v>
      </c>
      <c r="T123" s="278">
        <f t="shared" si="10"/>
        <v>2013</v>
      </c>
      <c r="U123" s="278" t="str">
        <f>$F$33</f>
        <v>England and Wales</v>
      </c>
      <c r="V123" s="278" t="str">
        <f t="shared" si="12"/>
        <v>National average</v>
      </c>
      <c r="W123" s="278">
        <f t="shared" si="13"/>
        <v>100</v>
      </c>
    </row>
    <row r="124" spans="1:23">
      <c r="B124" s="503" t="s">
        <v>1905</v>
      </c>
      <c r="C124" s="278" t="s">
        <v>407</v>
      </c>
      <c r="D124" s="299" t="s">
        <v>572</v>
      </c>
      <c r="E124" s="299" t="s">
        <v>269</v>
      </c>
      <c r="F124" s="299">
        <f t="shared" si="14"/>
        <v>2013</v>
      </c>
      <c r="G124" s="278">
        <v>2012</v>
      </c>
      <c r="H124" s="278">
        <f>'COMPANY INPUT'!$C$16</f>
        <v>2023</v>
      </c>
      <c r="I124" s="278">
        <f>VLOOKUP(G124,'GDP Deflators'!$H$13:$I$86,2,FALSE)</f>
        <v>75.139399999999995</v>
      </c>
      <c r="J124" s="278">
        <f>VLOOKUP(H124,'GDP Deflators'!$H$13:$I$86,2,FALSE)</f>
        <v>100</v>
      </c>
      <c r="K124" s="387">
        <f>-F63</f>
        <v>-7733.333333333333</v>
      </c>
      <c r="L124" s="746">
        <f t="shared" si="6"/>
        <v>-10291.981747702715</v>
      </c>
      <c r="M124" s="278" t="str">
        <f t="shared" si="4"/>
        <v>Willingness to Pay</v>
      </c>
      <c r="N124" s="326">
        <f t="shared" si="5"/>
        <v>2.1428571428571401</v>
      </c>
      <c r="O124" s="278" t="s">
        <v>718</v>
      </c>
      <c r="P124" s="278" t="s">
        <v>1900</v>
      </c>
      <c r="Q124" s="299">
        <f t="shared" si="7"/>
        <v>1</v>
      </c>
      <c r="R124" s="278" t="str">
        <f t="shared" si="8"/>
        <v>Environment Agency (2013) Updating the National Water Environment Benefit Survey values: summary of the peer review</v>
      </c>
      <c r="S124" s="278" t="str">
        <f t="shared" si="9"/>
        <v>ENCA</v>
      </c>
      <c r="T124" s="278">
        <f t="shared" si="10"/>
        <v>2013</v>
      </c>
      <c r="U124" s="278" t="str">
        <f t="shared" si="11"/>
        <v>England and Wales</v>
      </c>
      <c r="V124" s="278" t="str">
        <f t="shared" si="12"/>
        <v>National average</v>
      </c>
      <c r="W124" s="278">
        <f t="shared" si="13"/>
        <v>100</v>
      </c>
    </row>
    <row r="125" spans="1:23">
      <c r="B125" s="503" t="s">
        <v>1906</v>
      </c>
      <c r="C125" s="278" t="s">
        <v>407</v>
      </c>
      <c r="D125" s="299" t="s">
        <v>573</v>
      </c>
      <c r="E125" s="299" t="s">
        <v>269</v>
      </c>
      <c r="F125" s="299">
        <f t="shared" si="14"/>
        <v>2013</v>
      </c>
      <c r="G125" s="278">
        <v>2012</v>
      </c>
      <c r="H125" s="278">
        <f>'COMPANY INPUT'!$C$16</f>
        <v>2023</v>
      </c>
      <c r="I125" s="278">
        <f>VLOOKUP(G125,'GDP Deflators'!$H$13:$I$86,2,FALSE)</f>
        <v>75.139399999999995</v>
      </c>
      <c r="J125" s="278">
        <f>VLOOKUP(H125,'GDP Deflators'!$H$13:$I$86,2,FALSE)</f>
        <v>100</v>
      </c>
      <c r="K125" s="387">
        <f>-F64</f>
        <v>-8666.6666666666661</v>
      </c>
      <c r="L125" s="746">
        <f t="shared" si="6"/>
        <v>-11534.117475873731</v>
      </c>
      <c r="M125" s="278" t="str">
        <f t="shared" si="4"/>
        <v>Willingness to Pay</v>
      </c>
      <c r="N125" s="326">
        <f t="shared" si="5"/>
        <v>2.1428571428571401</v>
      </c>
      <c r="O125" s="278" t="s">
        <v>718</v>
      </c>
      <c r="P125" s="278" t="s">
        <v>1900</v>
      </c>
      <c r="Q125" s="299">
        <f t="shared" si="7"/>
        <v>1</v>
      </c>
      <c r="R125" s="278" t="str">
        <f t="shared" si="8"/>
        <v>Environment Agency (2013) Updating the National Water Environment Benefit Survey values: summary of the peer review</v>
      </c>
      <c r="S125" s="278" t="str">
        <f t="shared" si="9"/>
        <v>ENCA</v>
      </c>
      <c r="T125" s="278">
        <f t="shared" si="10"/>
        <v>2013</v>
      </c>
      <c r="U125" s="278" t="str">
        <f t="shared" si="11"/>
        <v>England and Wales</v>
      </c>
      <c r="V125" s="278" t="str">
        <f t="shared" si="12"/>
        <v>National average</v>
      </c>
      <c r="W125" s="278">
        <f t="shared" si="13"/>
        <v>100</v>
      </c>
    </row>
    <row r="126" spans="1:23">
      <c r="B126" s="503" t="s">
        <v>1907</v>
      </c>
      <c r="C126" s="278" t="s">
        <v>407</v>
      </c>
      <c r="D126" s="299" t="s">
        <v>568</v>
      </c>
      <c r="E126" s="299" t="s">
        <v>230</v>
      </c>
      <c r="F126" s="299">
        <f t="shared" si="14"/>
        <v>2013</v>
      </c>
      <c r="G126" s="278">
        <v>2012</v>
      </c>
      <c r="H126" s="278">
        <f>'COMPANY INPUT'!$C$16</f>
        <v>2023</v>
      </c>
      <c r="I126" s="278">
        <f>VLOOKUP(G126,'GDP Deflators'!$H$13:$I$86,2,FALSE)</f>
        <v>75.139399999999995</v>
      </c>
      <c r="J126" s="278">
        <f>VLOOKUP(H126,'GDP Deflators'!$H$13:$I$86,2,FALSE)</f>
        <v>100</v>
      </c>
      <c r="K126" s="387">
        <f>-F78</f>
        <v>-955.55555555555554</v>
      </c>
      <c r="L126" s="746">
        <f t="shared" si="6"/>
        <v>-1271.7103883655654</v>
      </c>
      <c r="M126" s="278" t="str">
        <f t="shared" si="4"/>
        <v>Willingness to Pay</v>
      </c>
      <c r="N126" s="326">
        <f t="shared" si="5"/>
        <v>2.1428571428571401</v>
      </c>
      <c r="O126" s="278" t="s">
        <v>718</v>
      </c>
      <c r="P126" s="278" t="s">
        <v>1900</v>
      </c>
      <c r="Q126" s="299">
        <f t="shared" si="7"/>
        <v>1</v>
      </c>
      <c r="R126" s="278" t="str">
        <f t="shared" si="8"/>
        <v>Environment Agency (2013) Updating the National Water Environment Benefit Survey values: summary of the peer review</v>
      </c>
      <c r="S126" s="278" t="str">
        <f t="shared" si="9"/>
        <v>ENCA</v>
      </c>
      <c r="T126" s="278">
        <f t="shared" si="10"/>
        <v>2013</v>
      </c>
      <c r="U126" s="278" t="str">
        <f t="shared" si="11"/>
        <v>England and Wales</v>
      </c>
      <c r="V126" s="278" t="str">
        <f t="shared" si="12"/>
        <v>National average</v>
      </c>
      <c r="W126" s="278">
        <f t="shared" si="13"/>
        <v>100</v>
      </c>
    </row>
    <row r="127" spans="1:23">
      <c r="B127" s="503" t="s">
        <v>1908</v>
      </c>
      <c r="C127" s="278" t="s">
        <v>407</v>
      </c>
      <c r="D127" s="299" t="s">
        <v>570</v>
      </c>
      <c r="E127" s="299" t="s">
        <v>230</v>
      </c>
      <c r="F127" s="299">
        <f t="shared" si="14"/>
        <v>2013</v>
      </c>
      <c r="G127" s="278">
        <v>2012</v>
      </c>
      <c r="H127" s="278">
        <f>'COMPANY INPUT'!$C$16</f>
        <v>2023</v>
      </c>
      <c r="I127" s="278">
        <f>VLOOKUP(G127,'GDP Deflators'!$H$13:$I$86,2,FALSE)</f>
        <v>75.139399999999995</v>
      </c>
      <c r="J127" s="278">
        <f>VLOOKUP(H127,'GDP Deflators'!$H$13:$I$86,2,FALSE)</f>
        <v>100</v>
      </c>
      <c r="K127" s="387">
        <f>-G61</f>
        <v>-5800</v>
      </c>
      <c r="L127" s="746">
        <f t="shared" si="6"/>
        <v>-7718.9863107770361</v>
      </c>
      <c r="M127" s="278" t="str">
        <f t="shared" si="4"/>
        <v>Willingness to Pay</v>
      </c>
      <c r="N127" s="326">
        <f t="shared" si="5"/>
        <v>2.1428571428571401</v>
      </c>
      <c r="O127" s="278" t="s">
        <v>718</v>
      </c>
      <c r="P127" s="278" t="s">
        <v>1900</v>
      </c>
      <c r="Q127" s="299">
        <f t="shared" si="7"/>
        <v>1</v>
      </c>
      <c r="R127" s="278" t="str">
        <f t="shared" si="8"/>
        <v>Environment Agency (2013) Updating the National Water Environment Benefit Survey values: summary of the peer review</v>
      </c>
      <c r="S127" s="278" t="str">
        <f t="shared" si="9"/>
        <v>ENCA</v>
      </c>
      <c r="T127" s="278">
        <f t="shared" si="10"/>
        <v>2013</v>
      </c>
      <c r="U127" s="278" t="str">
        <f t="shared" si="11"/>
        <v>England and Wales</v>
      </c>
      <c r="V127" s="278" t="str">
        <f t="shared" si="12"/>
        <v>National average</v>
      </c>
      <c r="W127" s="278">
        <f t="shared" si="13"/>
        <v>100</v>
      </c>
    </row>
    <row r="128" spans="1:23">
      <c r="B128" s="503" t="s">
        <v>1909</v>
      </c>
      <c r="C128" s="278" t="s">
        <v>407</v>
      </c>
      <c r="D128" s="299" t="s">
        <v>571</v>
      </c>
      <c r="E128" s="299" t="s">
        <v>230</v>
      </c>
      <c r="F128" s="299">
        <f t="shared" si="14"/>
        <v>2013</v>
      </c>
      <c r="G128" s="278">
        <v>2012</v>
      </c>
      <c r="H128" s="278">
        <f>'COMPANY INPUT'!$C$16</f>
        <v>2023</v>
      </c>
      <c r="I128" s="278">
        <f>VLOOKUP(G128,'GDP Deflators'!$H$13:$I$86,2,FALSE)</f>
        <v>75.139399999999995</v>
      </c>
      <c r="J128" s="278">
        <f>VLOOKUP(H128,'GDP Deflators'!$H$13:$I$86,2,FALSE)</f>
        <v>100</v>
      </c>
      <c r="K128" s="387">
        <f>-G62</f>
        <v>-6666.666666666667</v>
      </c>
      <c r="L128" s="746">
        <f t="shared" si="6"/>
        <v>-8872.3980583644097</v>
      </c>
      <c r="M128" s="278" t="str">
        <f t="shared" si="4"/>
        <v>Willingness to Pay</v>
      </c>
      <c r="N128" s="326">
        <f t="shared" si="5"/>
        <v>2.1428571428571401</v>
      </c>
      <c r="O128" s="278" t="s">
        <v>718</v>
      </c>
      <c r="P128" s="278" t="s">
        <v>1900</v>
      </c>
      <c r="Q128" s="299">
        <f t="shared" si="7"/>
        <v>1</v>
      </c>
      <c r="R128" s="278" t="str">
        <f t="shared" si="8"/>
        <v>Environment Agency (2013) Updating the National Water Environment Benefit Survey values: summary of the peer review</v>
      </c>
      <c r="S128" s="278" t="str">
        <f t="shared" si="9"/>
        <v>ENCA</v>
      </c>
      <c r="T128" s="278">
        <f t="shared" si="10"/>
        <v>2013</v>
      </c>
      <c r="U128" s="278" t="str">
        <f t="shared" si="11"/>
        <v>England and Wales</v>
      </c>
      <c r="V128" s="278" t="str">
        <f t="shared" si="12"/>
        <v>National average</v>
      </c>
      <c r="W128" s="278">
        <f t="shared" si="13"/>
        <v>100</v>
      </c>
    </row>
    <row r="129" spans="2:23">
      <c r="B129" s="503" t="s">
        <v>1910</v>
      </c>
      <c r="C129" s="278" t="s">
        <v>407</v>
      </c>
      <c r="D129" s="299" t="s">
        <v>572</v>
      </c>
      <c r="E129" s="299" t="s">
        <v>230</v>
      </c>
      <c r="F129" s="299">
        <f t="shared" si="14"/>
        <v>2013</v>
      </c>
      <c r="G129" s="278">
        <v>2012</v>
      </c>
      <c r="H129" s="278">
        <f>'COMPANY INPUT'!$C$16</f>
        <v>2023</v>
      </c>
      <c r="I129" s="278">
        <f>VLOOKUP(G129,'GDP Deflators'!$H$13:$I$86,2,FALSE)</f>
        <v>75.139399999999995</v>
      </c>
      <c r="J129" s="278">
        <f>VLOOKUP(H129,'GDP Deflators'!$H$13:$I$86,2,FALSE)</f>
        <v>100</v>
      </c>
      <c r="K129" s="387">
        <f>-G63</f>
        <v>-7733.333333333333</v>
      </c>
      <c r="L129" s="746">
        <f t="shared" si="6"/>
        <v>-10291.981747702715</v>
      </c>
      <c r="M129" s="278" t="str">
        <f t="shared" si="4"/>
        <v>Willingness to Pay</v>
      </c>
      <c r="N129" s="326">
        <f t="shared" si="5"/>
        <v>2.1428571428571401</v>
      </c>
      <c r="O129" s="278" t="s">
        <v>718</v>
      </c>
      <c r="P129" s="278" t="s">
        <v>1900</v>
      </c>
      <c r="Q129" s="299">
        <f t="shared" si="7"/>
        <v>1</v>
      </c>
      <c r="R129" s="278" t="str">
        <f t="shared" si="8"/>
        <v>Environment Agency (2013) Updating the National Water Environment Benefit Survey values: summary of the peer review</v>
      </c>
      <c r="S129" s="278" t="str">
        <f t="shared" si="9"/>
        <v>ENCA</v>
      </c>
      <c r="T129" s="278">
        <f t="shared" si="10"/>
        <v>2013</v>
      </c>
      <c r="U129" s="278" t="str">
        <f t="shared" si="11"/>
        <v>England and Wales</v>
      </c>
      <c r="V129" s="278" t="str">
        <f t="shared" si="12"/>
        <v>National average</v>
      </c>
      <c r="W129" s="278">
        <f t="shared" si="13"/>
        <v>100</v>
      </c>
    </row>
    <row r="130" spans="2:23">
      <c r="B130" s="503" t="s">
        <v>1911</v>
      </c>
      <c r="C130" s="278" t="s">
        <v>407</v>
      </c>
      <c r="D130" s="299" t="s">
        <v>573</v>
      </c>
      <c r="E130" s="299" t="s">
        <v>230</v>
      </c>
      <c r="F130" s="299">
        <f t="shared" si="14"/>
        <v>2013</v>
      </c>
      <c r="G130" s="278">
        <v>2012</v>
      </c>
      <c r="H130" s="278">
        <f>'COMPANY INPUT'!$C$16</f>
        <v>2023</v>
      </c>
      <c r="I130" s="278">
        <f>VLOOKUP(G130,'GDP Deflators'!$H$13:$I$86,2,FALSE)</f>
        <v>75.139399999999995</v>
      </c>
      <c r="J130" s="278">
        <f>VLOOKUP(H130,'GDP Deflators'!$H$13:$I$86,2,FALSE)</f>
        <v>100</v>
      </c>
      <c r="K130" s="387">
        <f>-G64</f>
        <v>-8666.6666666666661</v>
      </c>
      <c r="L130" s="746">
        <f t="shared" si="6"/>
        <v>-11534.117475873731</v>
      </c>
      <c r="M130" s="278" t="str">
        <f t="shared" si="4"/>
        <v>Willingness to Pay</v>
      </c>
      <c r="N130" s="326">
        <f t="shared" si="5"/>
        <v>2.1428571428571401</v>
      </c>
      <c r="O130" s="278" t="s">
        <v>718</v>
      </c>
      <c r="P130" s="278" t="s">
        <v>1900</v>
      </c>
      <c r="Q130" s="299">
        <f t="shared" si="7"/>
        <v>1</v>
      </c>
      <c r="R130" s="278" t="str">
        <f t="shared" si="8"/>
        <v>Environment Agency (2013) Updating the National Water Environment Benefit Survey values: summary of the peer review</v>
      </c>
      <c r="S130" s="278" t="str">
        <f t="shared" si="9"/>
        <v>ENCA</v>
      </c>
      <c r="T130" s="278">
        <f t="shared" si="10"/>
        <v>2013</v>
      </c>
      <c r="U130" s="278" t="str">
        <f t="shared" si="11"/>
        <v>England and Wales</v>
      </c>
      <c r="V130" s="278" t="str">
        <f t="shared" si="12"/>
        <v>National average</v>
      </c>
      <c r="W130" s="278">
        <f t="shared" si="13"/>
        <v>100</v>
      </c>
    </row>
    <row r="131" spans="2:23">
      <c r="B131" s="503" t="s">
        <v>1912</v>
      </c>
      <c r="C131" s="278" t="s">
        <v>407</v>
      </c>
      <c r="D131" s="299" t="s">
        <v>568</v>
      </c>
      <c r="E131" s="299" t="s">
        <v>151</v>
      </c>
      <c r="F131" s="299">
        <f t="shared" si="14"/>
        <v>2013</v>
      </c>
      <c r="G131" s="278">
        <v>2012</v>
      </c>
      <c r="H131" s="278">
        <f>'COMPANY INPUT'!$C$16</f>
        <v>2023</v>
      </c>
      <c r="I131" s="278">
        <f>VLOOKUP(G131,'GDP Deflators'!$H$13:$I$86,2,FALSE)</f>
        <v>75.139399999999995</v>
      </c>
      <c r="J131" s="278">
        <f>VLOOKUP(H131,'GDP Deflators'!$H$13:$I$86,2,FALSE)</f>
        <v>100</v>
      </c>
      <c r="K131" s="387">
        <f>-G78</f>
        <v>-955.55555555555554</v>
      </c>
      <c r="L131" s="746">
        <f t="shared" si="6"/>
        <v>-1271.7103883655654</v>
      </c>
      <c r="M131" s="278" t="str">
        <f t="shared" si="4"/>
        <v>Willingness to Pay</v>
      </c>
      <c r="N131" s="326">
        <f t="shared" si="5"/>
        <v>2.1428571428571401</v>
      </c>
      <c r="O131" s="278" t="s">
        <v>718</v>
      </c>
      <c r="P131" s="278" t="s">
        <v>1900</v>
      </c>
      <c r="Q131" s="299">
        <f t="shared" si="7"/>
        <v>1</v>
      </c>
      <c r="R131" s="278" t="str">
        <f t="shared" si="8"/>
        <v>Environment Agency (2013) Updating the National Water Environment Benefit Survey values: summary of the peer review</v>
      </c>
      <c r="S131" s="278" t="str">
        <f t="shared" si="9"/>
        <v>ENCA</v>
      </c>
      <c r="T131" s="278">
        <f t="shared" si="10"/>
        <v>2013</v>
      </c>
      <c r="U131" s="278" t="str">
        <f t="shared" si="11"/>
        <v>England and Wales</v>
      </c>
      <c r="V131" s="278" t="str">
        <f t="shared" si="12"/>
        <v>National average</v>
      </c>
      <c r="W131" s="278">
        <f t="shared" si="13"/>
        <v>100</v>
      </c>
    </row>
    <row r="132" spans="2:23">
      <c r="B132" s="503" t="s">
        <v>1913</v>
      </c>
      <c r="C132" s="278" t="s">
        <v>407</v>
      </c>
      <c r="D132" s="299" t="s">
        <v>570</v>
      </c>
      <c r="E132" s="299" t="s">
        <v>151</v>
      </c>
      <c r="F132" s="299">
        <f t="shared" si="14"/>
        <v>2013</v>
      </c>
      <c r="G132" s="278">
        <v>2012</v>
      </c>
      <c r="H132" s="278">
        <f>'COMPANY INPUT'!$C$16</f>
        <v>2023</v>
      </c>
      <c r="I132" s="278">
        <f>VLOOKUP(G132,'GDP Deflators'!$H$13:$I$86,2,FALSE)</f>
        <v>75.139399999999995</v>
      </c>
      <c r="J132" s="278">
        <f>VLOOKUP(H132,'GDP Deflators'!$H$13:$I$86,2,FALSE)</f>
        <v>100</v>
      </c>
      <c r="K132" s="387">
        <f>-H61</f>
        <v>-5800</v>
      </c>
      <c r="L132" s="746">
        <f t="shared" si="6"/>
        <v>-7718.9863107770361</v>
      </c>
      <c r="M132" s="278" t="str">
        <f t="shared" si="4"/>
        <v>Willingness to Pay</v>
      </c>
      <c r="N132" s="326">
        <f t="shared" si="5"/>
        <v>2.1428571428571401</v>
      </c>
      <c r="O132" s="278" t="s">
        <v>718</v>
      </c>
      <c r="P132" s="278" t="s">
        <v>1900</v>
      </c>
      <c r="Q132" s="299">
        <f t="shared" si="7"/>
        <v>1</v>
      </c>
      <c r="R132" s="278" t="str">
        <f t="shared" si="8"/>
        <v>Environment Agency (2013) Updating the National Water Environment Benefit Survey values: summary of the peer review</v>
      </c>
      <c r="S132" s="278" t="str">
        <f t="shared" si="9"/>
        <v>ENCA</v>
      </c>
      <c r="T132" s="278">
        <f t="shared" si="10"/>
        <v>2013</v>
      </c>
      <c r="U132" s="278" t="str">
        <f t="shared" si="11"/>
        <v>England and Wales</v>
      </c>
      <c r="V132" s="278" t="str">
        <f t="shared" si="12"/>
        <v>National average</v>
      </c>
      <c r="W132" s="278">
        <f t="shared" si="13"/>
        <v>100</v>
      </c>
    </row>
    <row r="133" spans="2:23">
      <c r="B133" s="503" t="s">
        <v>1914</v>
      </c>
      <c r="C133" s="278" t="s">
        <v>407</v>
      </c>
      <c r="D133" s="299" t="s">
        <v>571</v>
      </c>
      <c r="E133" s="299" t="s">
        <v>151</v>
      </c>
      <c r="F133" s="299">
        <f t="shared" si="14"/>
        <v>2013</v>
      </c>
      <c r="G133" s="278">
        <v>2012</v>
      </c>
      <c r="H133" s="278">
        <f>'COMPANY INPUT'!$C$16</f>
        <v>2023</v>
      </c>
      <c r="I133" s="278">
        <f>VLOOKUP(G133,'GDP Deflators'!$H$13:$I$86,2,FALSE)</f>
        <v>75.139399999999995</v>
      </c>
      <c r="J133" s="278">
        <f>VLOOKUP(H133,'GDP Deflators'!$H$13:$I$86,2,FALSE)</f>
        <v>100</v>
      </c>
      <c r="K133" s="387">
        <f>-H62</f>
        <v>-6666.666666666667</v>
      </c>
      <c r="L133" s="746">
        <f t="shared" si="6"/>
        <v>-8872.3980583644097</v>
      </c>
      <c r="M133" s="278" t="str">
        <f t="shared" si="4"/>
        <v>Willingness to Pay</v>
      </c>
      <c r="N133" s="326">
        <f t="shared" si="5"/>
        <v>2.1428571428571401</v>
      </c>
      <c r="O133" s="278" t="s">
        <v>718</v>
      </c>
      <c r="P133" s="278" t="s">
        <v>1900</v>
      </c>
      <c r="Q133" s="299">
        <f t="shared" si="7"/>
        <v>1</v>
      </c>
      <c r="R133" s="278" t="str">
        <f t="shared" si="8"/>
        <v>Environment Agency (2013) Updating the National Water Environment Benefit Survey values: summary of the peer review</v>
      </c>
      <c r="S133" s="278" t="str">
        <f t="shared" si="9"/>
        <v>ENCA</v>
      </c>
      <c r="T133" s="278">
        <f t="shared" si="10"/>
        <v>2013</v>
      </c>
      <c r="U133" s="278" t="str">
        <f t="shared" si="11"/>
        <v>England and Wales</v>
      </c>
      <c r="V133" s="278" t="str">
        <f t="shared" si="12"/>
        <v>National average</v>
      </c>
      <c r="W133" s="278">
        <f t="shared" si="13"/>
        <v>100</v>
      </c>
    </row>
    <row r="134" spans="2:23">
      <c r="B134" s="503" t="s">
        <v>1915</v>
      </c>
      <c r="C134" s="278" t="s">
        <v>407</v>
      </c>
      <c r="D134" s="299" t="s">
        <v>572</v>
      </c>
      <c r="E134" s="299" t="s">
        <v>151</v>
      </c>
      <c r="F134" s="299">
        <f t="shared" si="14"/>
        <v>2013</v>
      </c>
      <c r="G134" s="278">
        <v>2012</v>
      </c>
      <c r="H134" s="278">
        <f>'COMPANY INPUT'!$C$16</f>
        <v>2023</v>
      </c>
      <c r="I134" s="278">
        <f>VLOOKUP(G134,'GDP Deflators'!$H$13:$I$86,2,FALSE)</f>
        <v>75.139399999999995</v>
      </c>
      <c r="J134" s="278">
        <f>VLOOKUP(H134,'GDP Deflators'!$H$13:$I$86,2,FALSE)</f>
        <v>100</v>
      </c>
      <c r="K134" s="387">
        <f>-H63</f>
        <v>-7733.333333333333</v>
      </c>
      <c r="L134" s="746">
        <f t="shared" si="6"/>
        <v>-10291.981747702715</v>
      </c>
      <c r="M134" s="278" t="str">
        <f t="shared" si="4"/>
        <v>Willingness to Pay</v>
      </c>
      <c r="N134" s="326">
        <f t="shared" si="5"/>
        <v>2.1428571428571401</v>
      </c>
      <c r="O134" s="278" t="s">
        <v>718</v>
      </c>
      <c r="P134" s="278" t="s">
        <v>1900</v>
      </c>
      <c r="Q134" s="299">
        <f t="shared" si="7"/>
        <v>1</v>
      </c>
      <c r="R134" s="278" t="str">
        <f t="shared" si="8"/>
        <v>Environment Agency (2013) Updating the National Water Environment Benefit Survey values: summary of the peer review</v>
      </c>
      <c r="S134" s="278" t="str">
        <f t="shared" si="9"/>
        <v>ENCA</v>
      </c>
      <c r="T134" s="278">
        <f t="shared" si="10"/>
        <v>2013</v>
      </c>
      <c r="U134" s="278" t="str">
        <f t="shared" si="11"/>
        <v>England and Wales</v>
      </c>
      <c r="V134" s="278" t="str">
        <f t="shared" si="12"/>
        <v>National average</v>
      </c>
      <c r="W134" s="278">
        <f t="shared" si="13"/>
        <v>100</v>
      </c>
    </row>
    <row r="135" spans="2:23">
      <c r="B135" s="503" t="s">
        <v>1916</v>
      </c>
      <c r="C135" s="278" t="s">
        <v>407</v>
      </c>
      <c r="D135" s="299" t="s">
        <v>573</v>
      </c>
      <c r="E135" s="299" t="s">
        <v>151</v>
      </c>
      <c r="F135" s="299">
        <f t="shared" si="14"/>
        <v>2013</v>
      </c>
      <c r="G135" s="278">
        <v>2012</v>
      </c>
      <c r="H135" s="278">
        <f>'COMPANY INPUT'!$C$16</f>
        <v>2023</v>
      </c>
      <c r="I135" s="278">
        <f>VLOOKUP(G135,'GDP Deflators'!$H$13:$I$86,2,FALSE)</f>
        <v>75.139399999999995</v>
      </c>
      <c r="J135" s="278">
        <f>VLOOKUP(H135,'GDP Deflators'!$H$13:$I$86,2,FALSE)</f>
        <v>100</v>
      </c>
      <c r="K135" s="387">
        <f>-H64</f>
        <v>-8666.6666666666661</v>
      </c>
      <c r="L135" s="746">
        <f t="shared" si="6"/>
        <v>-11534.117475873731</v>
      </c>
      <c r="M135" s="278" t="str">
        <f t="shared" si="4"/>
        <v>Willingness to Pay</v>
      </c>
      <c r="N135" s="326">
        <f t="shared" si="5"/>
        <v>2.1428571428571401</v>
      </c>
      <c r="O135" s="278" t="s">
        <v>718</v>
      </c>
      <c r="P135" s="278" t="s">
        <v>1900</v>
      </c>
      <c r="Q135" s="299">
        <f t="shared" si="7"/>
        <v>1</v>
      </c>
      <c r="R135" s="278" t="str">
        <f t="shared" si="8"/>
        <v>Environment Agency (2013) Updating the National Water Environment Benefit Survey values: summary of the peer review</v>
      </c>
      <c r="S135" s="278" t="str">
        <f t="shared" si="9"/>
        <v>ENCA</v>
      </c>
      <c r="T135" s="278">
        <f t="shared" si="10"/>
        <v>2013</v>
      </c>
      <c r="U135" s="278" t="str">
        <f t="shared" si="11"/>
        <v>England and Wales</v>
      </c>
      <c r="V135" s="278" t="str">
        <f t="shared" si="12"/>
        <v>National average</v>
      </c>
      <c r="W135" s="278">
        <f t="shared" si="13"/>
        <v>100</v>
      </c>
    </row>
    <row r="136" spans="2:23">
      <c r="B136" s="503" t="s">
        <v>1917</v>
      </c>
      <c r="C136" s="278" t="s">
        <v>407</v>
      </c>
      <c r="D136" s="299" t="s">
        <v>574</v>
      </c>
      <c r="E136" s="299" t="s">
        <v>269</v>
      </c>
      <c r="F136" s="299">
        <f>$E$33</f>
        <v>2013</v>
      </c>
      <c r="G136" s="278">
        <v>2012</v>
      </c>
      <c r="H136" s="278">
        <f>'COMPANY INPUT'!$C$16</f>
        <v>2023</v>
      </c>
      <c r="I136" s="278">
        <f>VLOOKUP(G136,'GDP Deflators'!$H$13:$I$86,2,FALSE)</f>
        <v>75.139399999999995</v>
      </c>
      <c r="J136" s="278">
        <f>VLOOKUP(H136,'GDP Deflators'!$H$13:$I$86,2,FALSE)</f>
        <v>100</v>
      </c>
      <c r="K136" s="387">
        <f>-E84</f>
        <v>-348.14814814814804</v>
      </c>
      <c r="L136" s="746">
        <f>K136*(J136/I136)</f>
        <v>-463.336343047919</v>
      </c>
      <c r="M136" s="278" t="str">
        <f t="shared" si="4"/>
        <v>Willingness to Pay</v>
      </c>
      <c r="N136" s="326">
        <f t="shared" si="5"/>
        <v>2.1428571428571401</v>
      </c>
      <c r="O136" s="278" t="s">
        <v>718</v>
      </c>
      <c r="P136" s="278" t="s">
        <v>1900</v>
      </c>
      <c r="Q136" s="299">
        <f>$B$33</f>
        <v>1</v>
      </c>
      <c r="R136" s="278" t="str">
        <f>$C$33</f>
        <v>Environment Agency (2013) Updating the National Water Environment Benefit Survey values: summary of the peer review</v>
      </c>
      <c r="S136" s="278" t="str">
        <f>$D$33</f>
        <v>ENCA</v>
      </c>
      <c r="T136" s="278">
        <f>$E$33</f>
        <v>2013</v>
      </c>
      <c r="U136" s="278" t="str">
        <f>$F$33</f>
        <v>England and Wales</v>
      </c>
      <c r="V136" s="278" t="str">
        <f>$G$33</f>
        <v>National average</v>
      </c>
      <c r="W136" s="278">
        <f>$H$33</f>
        <v>100</v>
      </c>
    </row>
    <row r="137" spans="2:23">
      <c r="B137" s="503" t="s">
        <v>1918</v>
      </c>
      <c r="C137" s="278" t="s">
        <v>407</v>
      </c>
      <c r="D137" s="299" t="s">
        <v>576</v>
      </c>
      <c r="E137" s="299" t="s">
        <v>269</v>
      </c>
      <c r="F137" s="299">
        <f>$E$33</f>
        <v>2013</v>
      </c>
      <c r="G137" s="278">
        <v>2012</v>
      </c>
      <c r="H137" s="278">
        <f>'COMPANY INPUT'!$C$16</f>
        <v>2023</v>
      </c>
      <c r="I137" s="278">
        <f>VLOOKUP(G137,'GDP Deflators'!$H$13:$I$86,2,FALSE)</f>
        <v>75.139399999999995</v>
      </c>
      <c r="J137" s="278">
        <f>VLOOKUP(H137,'GDP Deflators'!$H$13:$I$86,2,FALSE)</f>
        <v>100</v>
      </c>
      <c r="K137" s="387">
        <f>-F66</f>
        <v>-2133.3333333333335</v>
      </c>
      <c r="L137" s="746">
        <f t="shared" ref="L137:L150" si="15">K137*(J137/I137)</f>
        <v>-2839.1673786766114</v>
      </c>
      <c r="M137" s="278" t="str">
        <f t="shared" si="4"/>
        <v>Willingness to Pay</v>
      </c>
      <c r="N137" s="326">
        <f t="shared" si="5"/>
        <v>2.1428571428571401</v>
      </c>
      <c r="O137" s="278" t="s">
        <v>718</v>
      </c>
      <c r="P137" s="278" t="s">
        <v>1900</v>
      </c>
      <c r="Q137" s="299">
        <f t="shared" si="7"/>
        <v>1</v>
      </c>
      <c r="R137" s="278" t="str">
        <f t="shared" si="8"/>
        <v>Environment Agency (2013) Updating the National Water Environment Benefit Survey values: summary of the peer review</v>
      </c>
      <c r="S137" s="278" t="str">
        <f t="shared" si="9"/>
        <v>ENCA</v>
      </c>
      <c r="T137" s="278">
        <f t="shared" si="10"/>
        <v>2013</v>
      </c>
      <c r="U137" s="278" t="str">
        <f t="shared" si="11"/>
        <v>England and Wales</v>
      </c>
      <c r="V137" s="278" t="str">
        <f t="shared" si="12"/>
        <v>National average</v>
      </c>
      <c r="W137" s="278">
        <f t="shared" si="13"/>
        <v>100</v>
      </c>
    </row>
    <row r="138" spans="2:23">
      <c r="B138" s="503" t="s">
        <v>1919</v>
      </c>
      <c r="C138" s="278" t="s">
        <v>407</v>
      </c>
      <c r="D138" s="299" t="s">
        <v>577</v>
      </c>
      <c r="E138" s="299" t="s">
        <v>269</v>
      </c>
      <c r="F138" s="299">
        <f t="shared" ref="F138:F150" si="16">$E$33</f>
        <v>2013</v>
      </c>
      <c r="G138" s="278">
        <v>2012</v>
      </c>
      <c r="H138" s="278">
        <f>'COMPANY INPUT'!$C$16</f>
        <v>2023</v>
      </c>
      <c r="I138" s="278">
        <f>VLOOKUP(G138,'GDP Deflators'!$H$13:$I$86,2,FALSE)</f>
        <v>75.139399999999995</v>
      </c>
      <c r="J138" s="278">
        <f>VLOOKUP(H138,'GDP Deflators'!$H$13:$I$86,2,FALSE)</f>
        <v>100</v>
      </c>
      <c r="K138" s="387">
        <f t="shared" ref="K138:K139" si="17">-F67</f>
        <v>-2466.6666666666665</v>
      </c>
      <c r="L138" s="746">
        <f t="shared" si="15"/>
        <v>-3282.7872815948313</v>
      </c>
      <c r="M138" s="278" t="str">
        <f t="shared" si="4"/>
        <v>Willingness to Pay</v>
      </c>
      <c r="N138" s="326">
        <f t="shared" si="5"/>
        <v>2.1428571428571401</v>
      </c>
      <c r="O138" s="278" t="s">
        <v>718</v>
      </c>
      <c r="P138" s="278" t="s">
        <v>1900</v>
      </c>
      <c r="Q138" s="299">
        <f t="shared" si="7"/>
        <v>1</v>
      </c>
      <c r="R138" s="278" t="str">
        <f t="shared" si="8"/>
        <v>Environment Agency (2013) Updating the National Water Environment Benefit Survey values: summary of the peer review</v>
      </c>
      <c r="S138" s="278" t="str">
        <f t="shared" si="9"/>
        <v>ENCA</v>
      </c>
      <c r="T138" s="278">
        <f t="shared" si="10"/>
        <v>2013</v>
      </c>
      <c r="U138" s="278" t="str">
        <f>$F$33</f>
        <v>England and Wales</v>
      </c>
      <c r="V138" s="278" t="str">
        <f t="shared" si="12"/>
        <v>National average</v>
      </c>
      <c r="W138" s="278">
        <f t="shared" si="13"/>
        <v>100</v>
      </c>
    </row>
    <row r="139" spans="2:23">
      <c r="B139" s="503" t="s">
        <v>1920</v>
      </c>
      <c r="C139" s="278" t="s">
        <v>407</v>
      </c>
      <c r="D139" s="299" t="s">
        <v>578</v>
      </c>
      <c r="E139" s="299" t="s">
        <v>269</v>
      </c>
      <c r="F139" s="299">
        <f t="shared" si="16"/>
        <v>2013</v>
      </c>
      <c r="G139" s="278">
        <v>2012</v>
      </c>
      <c r="H139" s="278">
        <f>'COMPANY INPUT'!$C$16</f>
        <v>2023</v>
      </c>
      <c r="I139" s="278">
        <f>VLOOKUP(G139,'GDP Deflators'!$H$13:$I$86,2,FALSE)</f>
        <v>75.139399999999995</v>
      </c>
      <c r="J139" s="278">
        <f>VLOOKUP(H139,'GDP Deflators'!$H$13:$I$86,2,FALSE)</f>
        <v>100</v>
      </c>
      <c r="K139" s="387">
        <f t="shared" si="17"/>
        <v>-2833.3333333333335</v>
      </c>
      <c r="L139" s="746">
        <f t="shared" si="15"/>
        <v>-3770.7691748048742</v>
      </c>
      <c r="M139" s="278" t="str">
        <f t="shared" si="4"/>
        <v>Willingness to Pay</v>
      </c>
      <c r="N139" s="326">
        <f t="shared" si="5"/>
        <v>2.1428571428571401</v>
      </c>
      <c r="O139" s="278" t="s">
        <v>718</v>
      </c>
      <c r="P139" s="278" t="s">
        <v>1900</v>
      </c>
      <c r="Q139" s="299">
        <f t="shared" si="7"/>
        <v>1</v>
      </c>
      <c r="R139" s="278" t="str">
        <f t="shared" si="8"/>
        <v>Environment Agency (2013) Updating the National Water Environment Benefit Survey values: summary of the peer review</v>
      </c>
      <c r="S139" s="278" t="str">
        <f t="shared" si="9"/>
        <v>ENCA</v>
      </c>
      <c r="T139" s="278">
        <f t="shared" si="10"/>
        <v>2013</v>
      </c>
      <c r="U139" s="278" t="str">
        <f t="shared" si="11"/>
        <v>England and Wales</v>
      </c>
      <c r="V139" s="278" t="str">
        <f t="shared" si="12"/>
        <v>National average</v>
      </c>
      <c r="W139" s="278">
        <f t="shared" si="13"/>
        <v>100</v>
      </c>
    </row>
    <row r="140" spans="2:23">
      <c r="B140" s="503" t="s">
        <v>1921</v>
      </c>
      <c r="C140" s="278" t="s">
        <v>407</v>
      </c>
      <c r="D140" s="299" t="s">
        <v>579</v>
      </c>
      <c r="E140" s="299" t="s">
        <v>269</v>
      </c>
      <c r="F140" s="299">
        <f t="shared" si="16"/>
        <v>2013</v>
      </c>
      <c r="G140" s="278">
        <v>2012</v>
      </c>
      <c r="H140" s="278">
        <f>'COMPANY INPUT'!$C$16</f>
        <v>2023</v>
      </c>
      <c r="I140" s="278">
        <f>VLOOKUP(G140,'GDP Deflators'!$H$13:$I$86,2,FALSE)</f>
        <v>75.139399999999995</v>
      </c>
      <c r="J140" s="278">
        <f>VLOOKUP(H140,'GDP Deflators'!$H$13:$I$86,2,FALSE)</f>
        <v>100</v>
      </c>
      <c r="K140" s="387">
        <f>-F69</f>
        <v>-3177.7777777777774</v>
      </c>
      <c r="L140" s="746">
        <f t="shared" si="15"/>
        <v>-4229.1764078203678</v>
      </c>
      <c r="M140" s="278" t="str">
        <f t="shared" si="4"/>
        <v>Willingness to Pay</v>
      </c>
      <c r="N140" s="326">
        <f t="shared" si="5"/>
        <v>2.1428571428571401</v>
      </c>
      <c r="O140" s="278" t="s">
        <v>718</v>
      </c>
      <c r="P140" s="278" t="s">
        <v>1900</v>
      </c>
      <c r="Q140" s="299">
        <f t="shared" si="7"/>
        <v>1</v>
      </c>
      <c r="R140" s="278" t="str">
        <f t="shared" si="8"/>
        <v>Environment Agency (2013) Updating the National Water Environment Benefit Survey values: summary of the peer review</v>
      </c>
      <c r="S140" s="278" t="str">
        <f t="shared" si="9"/>
        <v>ENCA</v>
      </c>
      <c r="T140" s="278">
        <f t="shared" si="10"/>
        <v>2013</v>
      </c>
      <c r="U140" s="278" t="str">
        <f t="shared" si="11"/>
        <v>England and Wales</v>
      </c>
      <c r="V140" s="278" t="str">
        <f t="shared" si="12"/>
        <v>National average</v>
      </c>
      <c r="W140" s="278">
        <f t="shared" si="13"/>
        <v>100</v>
      </c>
    </row>
    <row r="141" spans="2:23">
      <c r="B141" s="503" t="s">
        <v>1922</v>
      </c>
      <c r="C141" s="278" t="s">
        <v>407</v>
      </c>
      <c r="D141" s="299" t="s">
        <v>574</v>
      </c>
      <c r="E141" s="299" t="s">
        <v>230</v>
      </c>
      <c r="F141" s="299">
        <f t="shared" si="16"/>
        <v>2013</v>
      </c>
      <c r="G141" s="278">
        <v>2012</v>
      </c>
      <c r="H141" s="278">
        <f>'COMPANY INPUT'!$C$16</f>
        <v>2023</v>
      </c>
      <c r="I141" s="278">
        <f>VLOOKUP(G141,'GDP Deflators'!$H$13:$I$86,2,FALSE)</f>
        <v>75.139399999999995</v>
      </c>
      <c r="J141" s="278">
        <f>VLOOKUP(H141,'GDP Deflators'!$H$13:$I$86,2,FALSE)</f>
        <v>100</v>
      </c>
      <c r="K141" s="387">
        <f>-F84</f>
        <v>-348.14814814814804</v>
      </c>
      <c r="L141" s="746">
        <f t="shared" si="15"/>
        <v>-463.336343047919</v>
      </c>
      <c r="M141" s="278" t="str">
        <f t="shared" si="4"/>
        <v>Willingness to Pay</v>
      </c>
      <c r="N141" s="326">
        <f t="shared" si="5"/>
        <v>2.1428571428571401</v>
      </c>
      <c r="O141" s="278" t="s">
        <v>718</v>
      </c>
      <c r="P141" s="278" t="s">
        <v>1900</v>
      </c>
      <c r="Q141" s="299">
        <f t="shared" si="7"/>
        <v>1</v>
      </c>
      <c r="R141" s="278" t="str">
        <f t="shared" si="8"/>
        <v>Environment Agency (2013) Updating the National Water Environment Benefit Survey values: summary of the peer review</v>
      </c>
      <c r="S141" s="278" t="str">
        <f t="shared" si="9"/>
        <v>ENCA</v>
      </c>
      <c r="T141" s="278">
        <f t="shared" si="10"/>
        <v>2013</v>
      </c>
      <c r="U141" s="278" t="str">
        <f t="shared" si="11"/>
        <v>England and Wales</v>
      </c>
      <c r="V141" s="278" t="str">
        <f t="shared" si="12"/>
        <v>National average</v>
      </c>
      <c r="W141" s="278">
        <f t="shared" si="13"/>
        <v>100</v>
      </c>
    </row>
    <row r="142" spans="2:23">
      <c r="B142" s="503" t="s">
        <v>1923</v>
      </c>
      <c r="C142" s="278" t="s">
        <v>407</v>
      </c>
      <c r="D142" s="299" t="s">
        <v>576</v>
      </c>
      <c r="E142" s="299" t="s">
        <v>230</v>
      </c>
      <c r="F142" s="299">
        <f t="shared" si="16"/>
        <v>2013</v>
      </c>
      <c r="G142" s="278">
        <v>2012</v>
      </c>
      <c r="H142" s="278">
        <f>'COMPANY INPUT'!$C$16</f>
        <v>2023</v>
      </c>
      <c r="I142" s="278">
        <f>VLOOKUP(G142,'GDP Deflators'!$H$13:$I$86,2,FALSE)</f>
        <v>75.139399999999995</v>
      </c>
      <c r="J142" s="278">
        <f>VLOOKUP(H142,'GDP Deflators'!$H$13:$I$86,2,FALSE)</f>
        <v>100</v>
      </c>
      <c r="K142" s="387">
        <f>-G66</f>
        <v>-2133.3333333333335</v>
      </c>
      <c r="L142" s="746">
        <f t="shared" si="15"/>
        <v>-2839.1673786766114</v>
      </c>
      <c r="M142" s="278" t="str">
        <f t="shared" si="4"/>
        <v>Willingness to Pay</v>
      </c>
      <c r="N142" s="326">
        <f t="shared" si="5"/>
        <v>2.1428571428571401</v>
      </c>
      <c r="O142" s="278" t="s">
        <v>718</v>
      </c>
      <c r="P142" s="278" t="s">
        <v>1900</v>
      </c>
      <c r="Q142" s="299">
        <f t="shared" si="7"/>
        <v>1</v>
      </c>
      <c r="R142" s="278" t="str">
        <f t="shared" si="8"/>
        <v>Environment Agency (2013) Updating the National Water Environment Benefit Survey values: summary of the peer review</v>
      </c>
      <c r="S142" s="278" t="str">
        <f t="shared" si="9"/>
        <v>ENCA</v>
      </c>
      <c r="T142" s="278">
        <f t="shared" si="10"/>
        <v>2013</v>
      </c>
      <c r="U142" s="278" t="str">
        <f t="shared" si="11"/>
        <v>England and Wales</v>
      </c>
      <c r="V142" s="278" t="str">
        <f t="shared" si="12"/>
        <v>National average</v>
      </c>
      <c r="W142" s="278">
        <f t="shared" si="13"/>
        <v>100</v>
      </c>
    </row>
    <row r="143" spans="2:23">
      <c r="B143" s="503" t="s">
        <v>1924</v>
      </c>
      <c r="C143" s="278" t="s">
        <v>407</v>
      </c>
      <c r="D143" s="299" t="s">
        <v>577</v>
      </c>
      <c r="E143" s="299" t="s">
        <v>230</v>
      </c>
      <c r="F143" s="299">
        <f t="shared" si="16"/>
        <v>2013</v>
      </c>
      <c r="G143" s="278">
        <v>2012</v>
      </c>
      <c r="H143" s="278">
        <f>'COMPANY INPUT'!$C$16</f>
        <v>2023</v>
      </c>
      <c r="I143" s="278">
        <f>VLOOKUP(G143,'GDP Deflators'!$H$13:$I$86,2,FALSE)</f>
        <v>75.139399999999995</v>
      </c>
      <c r="J143" s="278">
        <f>VLOOKUP(H143,'GDP Deflators'!$H$13:$I$86,2,FALSE)</f>
        <v>100</v>
      </c>
      <c r="K143" s="387">
        <f t="shared" ref="K143:K144" si="18">-G67</f>
        <v>-2466.6666666666665</v>
      </c>
      <c r="L143" s="746">
        <f t="shared" si="15"/>
        <v>-3282.7872815948313</v>
      </c>
      <c r="M143" s="278" t="str">
        <f t="shared" si="4"/>
        <v>Willingness to Pay</v>
      </c>
      <c r="N143" s="326">
        <f t="shared" si="5"/>
        <v>2.1428571428571401</v>
      </c>
      <c r="O143" s="278" t="s">
        <v>718</v>
      </c>
      <c r="P143" s="278" t="s">
        <v>1900</v>
      </c>
      <c r="Q143" s="299">
        <f t="shared" si="7"/>
        <v>1</v>
      </c>
      <c r="R143" s="278" t="str">
        <f t="shared" si="8"/>
        <v>Environment Agency (2013) Updating the National Water Environment Benefit Survey values: summary of the peer review</v>
      </c>
      <c r="S143" s="278" t="str">
        <f t="shared" si="9"/>
        <v>ENCA</v>
      </c>
      <c r="T143" s="278">
        <f t="shared" si="10"/>
        <v>2013</v>
      </c>
      <c r="U143" s="278" t="str">
        <f t="shared" si="11"/>
        <v>England and Wales</v>
      </c>
      <c r="V143" s="278" t="str">
        <f t="shared" si="12"/>
        <v>National average</v>
      </c>
      <c r="W143" s="278">
        <f t="shared" si="13"/>
        <v>100</v>
      </c>
    </row>
    <row r="144" spans="2:23">
      <c r="B144" s="503" t="s">
        <v>1925</v>
      </c>
      <c r="C144" s="278" t="s">
        <v>407</v>
      </c>
      <c r="D144" s="299" t="s">
        <v>578</v>
      </c>
      <c r="E144" s="299" t="s">
        <v>230</v>
      </c>
      <c r="F144" s="299">
        <f t="shared" si="16"/>
        <v>2013</v>
      </c>
      <c r="G144" s="278">
        <v>2012</v>
      </c>
      <c r="H144" s="278">
        <f>'COMPANY INPUT'!$C$16</f>
        <v>2023</v>
      </c>
      <c r="I144" s="278">
        <f>VLOOKUP(G144,'GDP Deflators'!$H$13:$I$86,2,FALSE)</f>
        <v>75.139399999999995</v>
      </c>
      <c r="J144" s="278">
        <f>VLOOKUP(H144,'GDP Deflators'!$H$13:$I$86,2,FALSE)</f>
        <v>100</v>
      </c>
      <c r="K144" s="387">
        <f t="shared" si="18"/>
        <v>-2833.3333333333335</v>
      </c>
      <c r="L144" s="746">
        <f t="shared" si="15"/>
        <v>-3770.7691748048742</v>
      </c>
      <c r="M144" s="278" t="str">
        <f t="shared" si="4"/>
        <v>Willingness to Pay</v>
      </c>
      <c r="N144" s="326">
        <f t="shared" si="5"/>
        <v>2.1428571428571401</v>
      </c>
      <c r="O144" s="278" t="s">
        <v>718</v>
      </c>
      <c r="P144" s="278" t="s">
        <v>1900</v>
      </c>
      <c r="Q144" s="299">
        <f t="shared" si="7"/>
        <v>1</v>
      </c>
      <c r="R144" s="278" t="str">
        <f t="shared" si="8"/>
        <v>Environment Agency (2013) Updating the National Water Environment Benefit Survey values: summary of the peer review</v>
      </c>
      <c r="S144" s="278" t="str">
        <f t="shared" si="9"/>
        <v>ENCA</v>
      </c>
      <c r="T144" s="278">
        <f t="shared" si="10"/>
        <v>2013</v>
      </c>
      <c r="U144" s="278" t="str">
        <f t="shared" si="11"/>
        <v>England and Wales</v>
      </c>
      <c r="V144" s="278" t="str">
        <f t="shared" si="12"/>
        <v>National average</v>
      </c>
      <c r="W144" s="278">
        <f t="shared" si="13"/>
        <v>100</v>
      </c>
    </row>
    <row r="145" spans="1:23">
      <c r="B145" s="503" t="s">
        <v>1926</v>
      </c>
      <c r="C145" s="278" t="s">
        <v>407</v>
      </c>
      <c r="D145" s="299" t="s">
        <v>579</v>
      </c>
      <c r="E145" s="299" t="s">
        <v>230</v>
      </c>
      <c r="F145" s="299">
        <f t="shared" si="16"/>
        <v>2013</v>
      </c>
      <c r="G145" s="278">
        <v>2012</v>
      </c>
      <c r="H145" s="278">
        <f>'COMPANY INPUT'!$C$16</f>
        <v>2023</v>
      </c>
      <c r="I145" s="278">
        <f>VLOOKUP(G145,'GDP Deflators'!$H$13:$I$86,2,FALSE)</f>
        <v>75.139399999999995</v>
      </c>
      <c r="J145" s="278">
        <f>VLOOKUP(H145,'GDP Deflators'!$H$13:$I$86,2,FALSE)</f>
        <v>100</v>
      </c>
      <c r="K145" s="387">
        <f>-G69</f>
        <v>-3177.7777777777774</v>
      </c>
      <c r="L145" s="746">
        <f t="shared" si="15"/>
        <v>-4229.1764078203678</v>
      </c>
      <c r="M145" s="278" t="str">
        <f t="shared" si="4"/>
        <v>Willingness to Pay</v>
      </c>
      <c r="N145" s="326">
        <f t="shared" si="5"/>
        <v>2.1428571428571401</v>
      </c>
      <c r="O145" s="278" t="s">
        <v>718</v>
      </c>
      <c r="P145" s="278" t="s">
        <v>1900</v>
      </c>
      <c r="Q145" s="299">
        <f t="shared" si="7"/>
        <v>1</v>
      </c>
      <c r="R145" s="278" t="str">
        <f t="shared" si="8"/>
        <v>Environment Agency (2013) Updating the National Water Environment Benefit Survey values: summary of the peer review</v>
      </c>
      <c r="S145" s="278" t="str">
        <f t="shared" si="9"/>
        <v>ENCA</v>
      </c>
      <c r="T145" s="278">
        <f t="shared" si="10"/>
        <v>2013</v>
      </c>
      <c r="U145" s="278" t="str">
        <f t="shared" si="11"/>
        <v>England and Wales</v>
      </c>
      <c r="V145" s="278" t="str">
        <f t="shared" si="12"/>
        <v>National average</v>
      </c>
      <c r="W145" s="278">
        <f t="shared" si="13"/>
        <v>100</v>
      </c>
    </row>
    <row r="146" spans="1:23">
      <c r="B146" s="503" t="s">
        <v>1927</v>
      </c>
      <c r="C146" s="278" t="s">
        <v>407</v>
      </c>
      <c r="D146" s="299" t="s">
        <v>574</v>
      </c>
      <c r="E146" s="299" t="s">
        <v>151</v>
      </c>
      <c r="F146" s="299">
        <f t="shared" si="16"/>
        <v>2013</v>
      </c>
      <c r="G146" s="278">
        <v>2012</v>
      </c>
      <c r="H146" s="278">
        <f>'COMPANY INPUT'!$C$16</f>
        <v>2023</v>
      </c>
      <c r="I146" s="278">
        <f>VLOOKUP(G146,'GDP Deflators'!$H$13:$I$86,2,FALSE)</f>
        <v>75.139399999999995</v>
      </c>
      <c r="J146" s="278">
        <f>VLOOKUP(H146,'GDP Deflators'!$H$13:$I$86,2,FALSE)</f>
        <v>100</v>
      </c>
      <c r="K146" s="387">
        <f>-G84</f>
        <v>-348.14814814814804</v>
      </c>
      <c r="L146" s="746">
        <f t="shared" si="15"/>
        <v>-463.336343047919</v>
      </c>
      <c r="M146" s="278" t="str">
        <f t="shared" si="4"/>
        <v>Willingness to Pay</v>
      </c>
      <c r="N146" s="326">
        <f t="shared" si="5"/>
        <v>2.1428571428571401</v>
      </c>
      <c r="O146" s="278" t="s">
        <v>718</v>
      </c>
      <c r="P146" s="278" t="s">
        <v>1900</v>
      </c>
      <c r="Q146" s="299">
        <f t="shared" si="7"/>
        <v>1</v>
      </c>
      <c r="R146" s="278" t="str">
        <f t="shared" si="8"/>
        <v>Environment Agency (2013) Updating the National Water Environment Benefit Survey values: summary of the peer review</v>
      </c>
      <c r="S146" s="278" t="str">
        <f t="shared" si="9"/>
        <v>ENCA</v>
      </c>
      <c r="T146" s="278">
        <f t="shared" si="10"/>
        <v>2013</v>
      </c>
      <c r="U146" s="278" t="str">
        <f t="shared" si="11"/>
        <v>England and Wales</v>
      </c>
      <c r="V146" s="278" t="str">
        <f t="shared" si="12"/>
        <v>National average</v>
      </c>
      <c r="W146" s="278">
        <f t="shared" si="13"/>
        <v>100</v>
      </c>
    </row>
    <row r="147" spans="1:23">
      <c r="B147" s="503" t="s">
        <v>1928</v>
      </c>
      <c r="C147" s="278" t="s">
        <v>407</v>
      </c>
      <c r="D147" s="299" t="s">
        <v>576</v>
      </c>
      <c r="E147" s="299" t="s">
        <v>151</v>
      </c>
      <c r="F147" s="299">
        <f t="shared" si="16"/>
        <v>2013</v>
      </c>
      <c r="G147" s="278">
        <v>2012</v>
      </c>
      <c r="H147" s="278">
        <f>'COMPANY INPUT'!$C$16</f>
        <v>2023</v>
      </c>
      <c r="I147" s="278">
        <f>VLOOKUP(G147,'GDP Deflators'!$H$13:$I$86,2,FALSE)</f>
        <v>75.139399999999995</v>
      </c>
      <c r="J147" s="278">
        <f>VLOOKUP(H147,'GDP Deflators'!$H$13:$I$86,2,FALSE)</f>
        <v>100</v>
      </c>
      <c r="K147" s="387">
        <f>-H66</f>
        <v>-2133.3333333333335</v>
      </c>
      <c r="L147" s="746">
        <f t="shared" si="15"/>
        <v>-2839.1673786766114</v>
      </c>
      <c r="M147" s="278" t="str">
        <f t="shared" si="4"/>
        <v>Willingness to Pay</v>
      </c>
      <c r="N147" s="326">
        <f t="shared" si="5"/>
        <v>2.1428571428571401</v>
      </c>
      <c r="O147" s="278" t="s">
        <v>718</v>
      </c>
      <c r="P147" s="278" t="s">
        <v>1900</v>
      </c>
      <c r="Q147" s="299">
        <f t="shared" si="7"/>
        <v>1</v>
      </c>
      <c r="R147" s="278" t="str">
        <f t="shared" si="8"/>
        <v>Environment Agency (2013) Updating the National Water Environment Benefit Survey values: summary of the peer review</v>
      </c>
      <c r="S147" s="278" t="str">
        <f t="shared" si="9"/>
        <v>ENCA</v>
      </c>
      <c r="T147" s="278">
        <f t="shared" si="10"/>
        <v>2013</v>
      </c>
      <c r="U147" s="278" t="str">
        <f t="shared" si="11"/>
        <v>England and Wales</v>
      </c>
      <c r="V147" s="278" t="str">
        <f t="shared" si="12"/>
        <v>National average</v>
      </c>
      <c r="W147" s="278">
        <f t="shared" si="13"/>
        <v>100</v>
      </c>
    </row>
    <row r="148" spans="1:23">
      <c r="B148" s="503" t="s">
        <v>1929</v>
      </c>
      <c r="C148" s="278" t="s">
        <v>407</v>
      </c>
      <c r="D148" s="299" t="s">
        <v>577</v>
      </c>
      <c r="E148" s="299" t="s">
        <v>151</v>
      </c>
      <c r="F148" s="299">
        <f t="shared" si="16"/>
        <v>2013</v>
      </c>
      <c r="G148" s="278">
        <v>2012</v>
      </c>
      <c r="H148" s="278">
        <f>'COMPANY INPUT'!$C$16</f>
        <v>2023</v>
      </c>
      <c r="I148" s="278">
        <f>VLOOKUP(G148,'GDP Deflators'!$H$13:$I$86,2,FALSE)</f>
        <v>75.139399999999995</v>
      </c>
      <c r="J148" s="278">
        <f>VLOOKUP(H148,'GDP Deflators'!$H$13:$I$86,2,FALSE)</f>
        <v>100</v>
      </c>
      <c r="K148" s="387">
        <f t="shared" ref="K148:K150" si="19">-H67</f>
        <v>-2466.6666666666665</v>
      </c>
      <c r="L148" s="746">
        <f t="shared" si="15"/>
        <v>-3282.7872815948313</v>
      </c>
      <c r="M148" s="278" t="str">
        <f t="shared" si="4"/>
        <v>Willingness to Pay</v>
      </c>
      <c r="N148" s="326">
        <f t="shared" si="5"/>
        <v>2.1428571428571401</v>
      </c>
      <c r="O148" s="278" t="s">
        <v>718</v>
      </c>
      <c r="P148" s="278" t="s">
        <v>1900</v>
      </c>
      <c r="Q148" s="299">
        <f t="shared" si="7"/>
        <v>1</v>
      </c>
      <c r="R148" s="278" t="str">
        <f t="shared" si="8"/>
        <v>Environment Agency (2013) Updating the National Water Environment Benefit Survey values: summary of the peer review</v>
      </c>
      <c r="S148" s="278" t="str">
        <f t="shared" si="9"/>
        <v>ENCA</v>
      </c>
      <c r="T148" s="278">
        <f t="shared" si="10"/>
        <v>2013</v>
      </c>
      <c r="U148" s="278" t="str">
        <f t="shared" si="11"/>
        <v>England and Wales</v>
      </c>
      <c r="V148" s="278" t="str">
        <f t="shared" si="12"/>
        <v>National average</v>
      </c>
      <c r="W148" s="278">
        <f t="shared" si="13"/>
        <v>100</v>
      </c>
    </row>
    <row r="149" spans="1:23">
      <c r="B149" s="503" t="s">
        <v>1930</v>
      </c>
      <c r="C149" s="278" t="s">
        <v>407</v>
      </c>
      <c r="D149" s="299" t="s">
        <v>578</v>
      </c>
      <c r="E149" s="299" t="s">
        <v>151</v>
      </c>
      <c r="F149" s="299">
        <f t="shared" si="16"/>
        <v>2013</v>
      </c>
      <c r="G149" s="278">
        <v>2012</v>
      </c>
      <c r="H149" s="278">
        <f>'COMPANY INPUT'!$C$16</f>
        <v>2023</v>
      </c>
      <c r="I149" s="278">
        <f>VLOOKUP(G149,'GDP Deflators'!$H$13:$I$86,2,FALSE)</f>
        <v>75.139399999999995</v>
      </c>
      <c r="J149" s="278">
        <f>VLOOKUP(H149,'GDP Deflators'!$H$13:$I$86,2,FALSE)</f>
        <v>100</v>
      </c>
      <c r="K149" s="387">
        <f t="shared" si="19"/>
        <v>-2833.3333333333335</v>
      </c>
      <c r="L149" s="746">
        <f t="shared" si="15"/>
        <v>-3770.7691748048742</v>
      </c>
      <c r="M149" s="278" t="str">
        <f t="shared" si="4"/>
        <v>Willingness to Pay</v>
      </c>
      <c r="N149" s="326">
        <f t="shared" si="5"/>
        <v>2.1428571428571401</v>
      </c>
      <c r="O149" s="278" t="s">
        <v>718</v>
      </c>
      <c r="P149" s="278" t="s">
        <v>1900</v>
      </c>
      <c r="Q149" s="299">
        <f t="shared" si="7"/>
        <v>1</v>
      </c>
      <c r="R149" s="278" t="str">
        <f t="shared" si="8"/>
        <v>Environment Agency (2013) Updating the National Water Environment Benefit Survey values: summary of the peer review</v>
      </c>
      <c r="S149" s="278" t="str">
        <f t="shared" si="9"/>
        <v>ENCA</v>
      </c>
      <c r="T149" s="278">
        <f t="shared" si="10"/>
        <v>2013</v>
      </c>
      <c r="U149" s="278" t="str">
        <f t="shared" si="11"/>
        <v>England and Wales</v>
      </c>
      <c r="V149" s="278" t="str">
        <f t="shared" si="12"/>
        <v>National average</v>
      </c>
      <c r="W149" s="278">
        <f t="shared" si="13"/>
        <v>100</v>
      </c>
    </row>
    <row r="150" spans="1:23">
      <c r="B150" s="503" t="s">
        <v>1931</v>
      </c>
      <c r="C150" s="278" t="s">
        <v>407</v>
      </c>
      <c r="D150" s="299" t="s">
        <v>579</v>
      </c>
      <c r="E150" s="299" t="s">
        <v>151</v>
      </c>
      <c r="F150" s="299">
        <f t="shared" si="16"/>
        <v>2013</v>
      </c>
      <c r="G150" s="278">
        <v>2012</v>
      </c>
      <c r="H150" s="278">
        <f>'COMPANY INPUT'!$C$16</f>
        <v>2023</v>
      </c>
      <c r="I150" s="278">
        <f>VLOOKUP(G150,'GDP Deflators'!$H$13:$I$86,2,FALSE)</f>
        <v>75.139399999999995</v>
      </c>
      <c r="J150" s="278">
        <f>VLOOKUP(H150,'GDP Deflators'!$H$13:$I$86,2,FALSE)</f>
        <v>100</v>
      </c>
      <c r="K150" s="387">
        <f t="shared" si="19"/>
        <v>-3177.7777777777774</v>
      </c>
      <c r="L150" s="746">
        <f t="shared" si="15"/>
        <v>-4229.1764078203678</v>
      </c>
      <c r="M150" s="278" t="str">
        <f t="shared" si="4"/>
        <v>Willingness to Pay</v>
      </c>
      <c r="N150" s="326">
        <f t="shared" si="5"/>
        <v>2.1428571428571401</v>
      </c>
      <c r="O150" s="278" t="s">
        <v>718</v>
      </c>
      <c r="P150" s="278" t="s">
        <v>1900</v>
      </c>
      <c r="Q150" s="299">
        <f t="shared" si="7"/>
        <v>1</v>
      </c>
      <c r="R150" s="278" t="str">
        <f t="shared" si="8"/>
        <v>Environment Agency (2013) Updating the National Water Environment Benefit Survey values: summary of the peer review</v>
      </c>
      <c r="S150" s="278" t="str">
        <f t="shared" si="9"/>
        <v>ENCA</v>
      </c>
      <c r="T150" s="278">
        <f t="shared" si="10"/>
        <v>2013</v>
      </c>
      <c r="U150" s="278" t="str">
        <f t="shared" si="11"/>
        <v>England and Wales</v>
      </c>
      <c r="V150" s="278" t="str">
        <f t="shared" si="12"/>
        <v>National average</v>
      </c>
      <c r="W150" s="278">
        <f t="shared" si="13"/>
        <v>100</v>
      </c>
    </row>
    <row r="153" spans="1:23">
      <c r="A153" s="721"/>
      <c r="B153" s="722" t="s">
        <v>460</v>
      </c>
      <c r="C153" s="721"/>
      <c r="D153" s="721"/>
      <c r="E153" s="721"/>
      <c r="F153" s="721"/>
      <c r="G153" s="721"/>
      <c r="H153" s="721"/>
    </row>
    <row r="154" spans="1:23">
      <c r="A154" s="727"/>
      <c r="B154" s="729" t="s">
        <v>897</v>
      </c>
      <c r="C154" s="727"/>
      <c r="D154" s="727"/>
      <c r="E154" s="727"/>
      <c r="F154" s="727"/>
      <c r="G154" s="727"/>
      <c r="H154" s="727"/>
    </row>
    <row r="155" spans="1:23">
      <c r="B155" s="277" t="s">
        <v>898</v>
      </c>
      <c r="C155" s="277" t="s">
        <v>899</v>
      </c>
    </row>
    <row r="156" spans="1:23">
      <c r="B156" s="278" t="s">
        <v>460</v>
      </c>
      <c r="C156" s="278" t="s">
        <v>1932</v>
      </c>
    </row>
    <row r="157" spans="1:23">
      <c r="B157" s="16"/>
    </row>
    <row r="158" spans="1:23">
      <c r="A158" s="727"/>
      <c r="B158" s="728" t="s">
        <v>901</v>
      </c>
      <c r="C158" s="727"/>
      <c r="D158" s="727"/>
      <c r="E158" s="727"/>
      <c r="F158" s="727"/>
      <c r="G158" s="727"/>
      <c r="H158" s="727"/>
    </row>
    <row r="159" spans="1:23" ht="29.1">
      <c r="B159" s="719" t="s">
        <v>902</v>
      </c>
      <c r="C159" s="719" t="s">
        <v>898</v>
      </c>
      <c r="D159" s="719" t="s">
        <v>899</v>
      </c>
      <c r="E159" s="719" t="s">
        <v>903</v>
      </c>
      <c r="F159" s="719" t="s">
        <v>904</v>
      </c>
      <c r="G159" s="719" t="s">
        <v>905</v>
      </c>
      <c r="H159" s="719" t="s">
        <v>924</v>
      </c>
      <c r="I159" s="719" t="s">
        <v>956</v>
      </c>
      <c r="J159" s="719" t="s">
        <v>927</v>
      </c>
    </row>
    <row r="160" spans="1:23">
      <c r="B160" s="278" t="s">
        <v>568</v>
      </c>
      <c r="C160" s="299" t="s">
        <v>460</v>
      </c>
      <c r="D160" s="278" t="str">
        <f t="shared" ref="D160:D169" si="20">C$156</f>
        <v>Reduced customer trust in quality of the water environment</v>
      </c>
      <c r="E160" s="299" t="s">
        <v>906</v>
      </c>
      <c r="F160" s="279" t="s">
        <v>907</v>
      </c>
      <c r="G160" s="300" t="s">
        <v>477</v>
      </c>
      <c r="H160" s="279" t="s">
        <v>907</v>
      </c>
      <c r="I160" s="279" t="s">
        <v>907</v>
      </c>
      <c r="J160" s="279" t="s">
        <v>907</v>
      </c>
    </row>
    <row r="161" spans="1:10">
      <c r="B161" s="278" t="s">
        <v>570</v>
      </c>
      <c r="C161" s="299" t="s">
        <v>460</v>
      </c>
      <c r="D161" s="278" t="str">
        <f t="shared" si="20"/>
        <v>Reduced customer trust in quality of the water environment</v>
      </c>
      <c r="E161" s="299" t="s">
        <v>906</v>
      </c>
      <c r="F161" s="279" t="s">
        <v>907</v>
      </c>
      <c r="G161" s="300" t="s">
        <v>477</v>
      </c>
      <c r="H161" s="279" t="s">
        <v>907</v>
      </c>
      <c r="I161" s="279" t="s">
        <v>907</v>
      </c>
      <c r="J161" s="279" t="s">
        <v>907</v>
      </c>
    </row>
    <row r="162" spans="1:10">
      <c r="B162" s="278" t="s">
        <v>571</v>
      </c>
      <c r="C162" s="299" t="s">
        <v>460</v>
      </c>
      <c r="D162" s="278" t="str">
        <f t="shared" si="20"/>
        <v>Reduced customer trust in quality of the water environment</v>
      </c>
      <c r="E162" s="299" t="s">
        <v>906</v>
      </c>
      <c r="F162" s="279" t="s">
        <v>907</v>
      </c>
      <c r="G162" s="300" t="s">
        <v>477</v>
      </c>
      <c r="H162" s="279" t="s">
        <v>907</v>
      </c>
      <c r="I162" s="279" t="s">
        <v>907</v>
      </c>
      <c r="J162" s="279" t="s">
        <v>907</v>
      </c>
    </row>
    <row r="163" spans="1:10">
      <c r="B163" s="278" t="s">
        <v>572</v>
      </c>
      <c r="C163" s="299" t="s">
        <v>460</v>
      </c>
      <c r="D163" s="278" t="str">
        <f t="shared" si="20"/>
        <v>Reduced customer trust in quality of the water environment</v>
      </c>
      <c r="E163" s="299" t="s">
        <v>906</v>
      </c>
      <c r="F163" s="279" t="s">
        <v>907</v>
      </c>
      <c r="G163" s="300" t="s">
        <v>477</v>
      </c>
      <c r="H163" s="279" t="s">
        <v>907</v>
      </c>
      <c r="I163" s="279" t="s">
        <v>907</v>
      </c>
      <c r="J163" s="279" t="s">
        <v>907</v>
      </c>
    </row>
    <row r="164" spans="1:10">
      <c r="B164" s="278" t="s">
        <v>573</v>
      </c>
      <c r="C164" s="299" t="s">
        <v>460</v>
      </c>
      <c r="D164" s="278" t="str">
        <f t="shared" si="20"/>
        <v>Reduced customer trust in quality of the water environment</v>
      </c>
      <c r="E164" s="299" t="s">
        <v>906</v>
      </c>
      <c r="F164" s="279" t="s">
        <v>907</v>
      </c>
      <c r="G164" s="300" t="s">
        <v>477</v>
      </c>
      <c r="H164" s="279" t="s">
        <v>907</v>
      </c>
      <c r="I164" s="279" t="s">
        <v>907</v>
      </c>
      <c r="J164" s="279" t="s">
        <v>907</v>
      </c>
    </row>
    <row r="165" spans="1:10">
      <c r="B165" s="278" t="s">
        <v>574</v>
      </c>
      <c r="C165" s="299" t="s">
        <v>460</v>
      </c>
      <c r="D165" s="278" t="str">
        <f t="shared" si="20"/>
        <v>Reduced customer trust in quality of the water environment</v>
      </c>
      <c r="E165" s="299" t="s">
        <v>906</v>
      </c>
      <c r="F165" s="279" t="s">
        <v>907</v>
      </c>
      <c r="G165" s="300" t="s">
        <v>477</v>
      </c>
      <c r="H165" s="279" t="s">
        <v>907</v>
      </c>
      <c r="I165" s="279" t="s">
        <v>907</v>
      </c>
      <c r="J165" s="279" t="s">
        <v>907</v>
      </c>
    </row>
    <row r="166" spans="1:10">
      <c r="B166" s="278" t="s">
        <v>576</v>
      </c>
      <c r="C166" s="299" t="s">
        <v>460</v>
      </c>
      <c r="D166" s="278" t="str">
        <f t="shared" si="20"/>
        <v>Reduced customer trust in quality of the water environment</v>
      </c>
      <c r="E166" s="299" t="s">
        <v>906</v>
      </c>
      <c r="F166" s="279" t="s">
        <v>907</v>
      </c>
      <c r="G166" s="300" t="s">
        <v>477</v>
      </c>
      <c r="H166" s="279" t="s">
        <v>907</v>
      </c>
      <c r="I166" s="279" t="s">
        <v>907</v>
      </c>
      <c r="J166" s="279" t="s">
        <v>907</v>
      </c>
    </row>
    <row r="167" spans="1:10">
      <c r="B167" s="278" t="s">
        <v>577</v>
      </c>
      <c r="C167" s="299" t="s">
        <v>460</v>
      </c>
      <c r="D167" s="278" t="str">
        <f t="shared" si="20"/>
        <v>Reduced customer trust in quality of the water environment</v>
      </c>
      <c r="E167" s="299" t="s">
        <v>906</v>
      </c>
      <c r="F167" s="279" t="s">
        <v>907</v>
      </c>
      <c r="G167" s="300" t="s">
        <v>477</v>
      </c>
      <c r="H167" s="279" t="s">
        <v>907</v>
      </c>
      <c r="I167" s="279" t="s">
        <v>907</v>
      </c>
      <c r="J167" s="279" t="s">
        <v>907</v>
      </c>
    </row>
    <row r="168" spans="1:10">
      <c r="B168" s="278" t="s">
        <v>578</v>
      </c>
      <c r="C168" s="299" t="s">
        <v>460</v>
      </c>
      <c r="D168" s="278" t="str">
        <f t="shared" si="20"/>
        <v>Reduced customer trust in quality of the water environment</v>
      </c>
      <c r="E168" s="299" t="s">
        <v>906</v>
      </c>
      <c r="F168" s="279" t="s">
        <v>907</v>
      </c>
      <c r="G168" s="300" t="s">
        <v>477</v>
      </c>
      <c r="H168" s="279" t="s">
        <v>907</v>
      </c>
      <c r="I168" s="279" t="s">
        <v>907</v>
      </c>
      <c r="J168" s="279" t="s">
        <v>907</v>
      </c>
    </row>
    <row r="169" spans="1:10">
      <c r="B169" s="278" t="s">
        <v>579</v>
      </c>
      <c r="C169" s="299" t="s">
        <v>460</v>
      </c>
      <c r="D169" s="278" t="str">
        <f t="shared" si="20"/>
        <v>Reduced customer trust in quality of the water environment</v>
      </c>
      <c r="E169" s="299" t="s">
        <v>906</v>
      </c>
      <c r="F169" s="279" t="s">
        <v>907</v>
      </c>
      <c r="G169" s="300" t="s">
        <v>477</v>
      </c>
      <c r="H169" s="279" t="s">
        <v>907</v>
      </c>
      <c r="I169" s="279" t="s">
        <v>907</v>
      </c>
      <c r="J169" s="279" t="s">
        <v>907</v>
      </c>
    </row>
    <row r="171" spans="1:10">
      <c r="A171" s="721"/>
      <c r="B171" s="722" t="s">
        <v>465</v>
      </c>
      <c r="C171" s="721"/>
      <c r="D171" s="721"/>
      <c r="E171" s="721"/>
      <c r="F171" s="721"/>
      <c r="G171" s="721"/>
      <c r="H171" s="721"/>
    </row>
    <row r="172" spans="1:10">
      <c r="A172" s="727"/>
      <c r="B172" s="729" t="s">
        <v>897</v>
      </c>
      <c r="C172" s="727"/>
      <c r="D172" s="727"/>
      <c r="E172" s="727"/>
      <c r="F172" s="727"/>
      <c r="G172" s="727"/>
      <c r="H172" s="727"/>
    </row>
    <row r="173" spans="1:10">
      <c r="B173" s="277" t="s">
        <v>898</v>
      </c>
      <c r="C173" s="277" t="s">
        <v>899</v>
      </c>
    </row>
    <row r="174" spans="1:10">
      <c r="B174" s="278" t="s">
        <v>465</v>
      </c>
      <c r="C174" s="278" t="s">
        <v>1933</v>
      </c>
    </row>
    <row r="175" spans="1:10">
      <c r="B175" s="16"/>
    </row>
    <row r="176" spans="1:10">
      <c r="A176" s="727"/>
      <c r="B176" s="728" t="s">
        <v>901</v>
      </c>
      <c r="C176" s="727"/>
      <c r="D176" s="727"/>
      <c r="E176" s="727"/>
      <c r="F176" s="727"/>
      <c r="G176" s="727"/>
      <c r="H176" s="727"/>
    </row>
    <row r="177" spans="2:10" ht="29.1">
      <c r="B177" s="719" t="s">
        <v>902</v>
      </c>
      <c r="C177" s="719" t="s">
        <v>898</v>
      </c>
      <c r="D177" s="719" t="s">
        <v>899</v>
      </c>
      <c r="E177" s="719" t="s">
        <v>903</v>
      </c>
      <c r="F177" s="719" t="s">
        <v>904</v>
      </c>
      <c r="G177" s="719" t="s">
        <v>905</v>
      </c>
      <c r="H177" s="719" t="s">
        <v>924</v>
      </c>
      <c r="I177" s="719" t="s">
        <v>956</v>
      </c>
      <c r="J177" s="719" t="s">
        <v>927</v>
      </c>
    </row>
    <row r="178" spans="2:10" ht="14.45" customHeight="1">
      <c r="B178" s="278" t="s">
        <v>568</v>
      </c>
      <c r="C178" s="299" t="s">
        <v>465</v>
      </c>
      <c r="D178" s="278" t="s">
        <v>1933</v>
      </c>
      <c r="E178" s="299" t="s">
        <v>906</v>
      </c>
      <c r="F178" s="279" t="s">
        <v>907</v>
      </c>
      <c r="G178" s="300" t="s">
        <v>477</v>
      </c>
      <c r="H178" s="279" t="s">
        <v>907</v>
      </c>
      <c r="I178" s="279" t="s">
        <v>907</v>
      </c>
      <c r="J178" s="1343" t="s">
        <v>1934</v>
      </c>
    </row>
    <row r="179" spans="2:10">
      <c r="B179" s="278" t="s">
        <v>570</v>
      </c>
      <c r="C179" s="299" t="s">
        <v>465</v>
      </c>
      <c r="D179" s="278" t="s">
        <v>1933</v>
      </c>
      <c r="E179" s="299" t="s">
        <v>906</v>
      </c>
      <c r="F179" s="279" t="s">
        <v>907</v>
      </c>
      <c r="G179" s="300" t="s">
        <v>477</v>
      </c>
      <c r="H179" s="279" t="s">
        <v>907</v>
      </c>
      <c r="I179" s="279" t="s">
        <v>907</v>
      </c>
      <c r="J179" s="1344"/>
    </row>
    <row r="180" spans="2:10">
      <c r="B180" s="278" t="s">
        <v>571</v>
      </c>
      <c r="C180" s="299" t="s">
        <v>465</v>
      </c>
      <c r="D180" s="278" t="s">
        <v>1933</v>
      </c>
      <c r="E180" s="299" t="s">
        <v>906</v>
      </c>
      <c r="F180" s="279" t="s">
        <v>907</v>
      </c>
      <c r="G180" s="300" t="s">
        <v>477</v>
      </c>
      <c r="H180" s="279" t="s">
        <v>907</v>
      </c>
      <c r="I180" s="279" t="s">
        <v>907</v>
      </c>
      <c r="J180" s="1344"/>
    </row>
    <row r="181" spans="2:10">
      <c r="B181" s="278" t="s">
        <v>572</v>
      </c>
      <c r="C181" s="299" t="s">
        <v>465</v>
      </c>
      <c r="D181" s="278" t="s">
        <v>1933</v>
      </c>
      <c r="E181" s="299" t="s">
        <v>906</v>
      </c>
      <c r="F181" s="279" t="s">
        <v>907</v>
      </c>
      <c r="G181" s="300" t="s">
        <v>477</v>
      </c>
      <c r="H181" s="279" t="s">
        <v>907</v>
      </c>
      <c r="I181" s="279" t="s">
        <v>907</v>
      </c>
      <c r="J181" s="1344"/>
    </row>
    <row r="182" spans="2:10">
      <c r="B182" s="278" t="s">
        <v>573</v>
      </c>
      <c r="C182" s="299" t="s">
        <v>465</v>
      </c>
      <c r="D182" s="278" t="s">
        <v>1933</v>
      </c>
      <c r="E182" s="299" t="s">
        <v>906</v>
      </c>
      <c r="F182" s="279" t="s">
        <v>907</v>
      </c>
      <c r="G182" s="300" t="s">
        <v>477</v>
      </c>
      <c r="H182" s="279" t="s">
        <v>907</v>
      </c>
      <c r="I182" s="279" t="s">
        <v>907</v>
      </c>
      <c r="J182" s="1344"/>
    </row>
    <row r="183" spans="2:10">
      <c r="B183" s="278" t="s">
        <v>574</v>
      </c>
      <c r="C183" s="299" t="s">
        <v>465</v>
      </c>
      <c r="D183" s="278" t="s">
        <v>1933</v>
      </c>
      <c r="E183" s="299" t="s">
        <v>906</v>
      </c>
      <c r="F183" s="279" t="s">
        <v>907</v>
      </c>
      <c r="G183" s="300" t="s">
        <v>477</v>
      </c>
      <c r="H183" s="279" t="s">
        <v>907</v>
      </c>
      <c r="I183" s="279" t="s">
        <v>907</v>
      </c>
      <c r="J183" s="1344"/>
    </row>
    <row r="184" spans="2:10">
      <c r="B184" s="278" t="s">
        <v>576</v>
      </c>
      <c r="C184" s="299" t="s">
        <v>465</v>
      </c>
      <c r="D184" s="278" t="s">
        <v>1933</v>
      </c>
      <c r="E184" s="299" t="s">
        <v>906</v>
      </c>
      <c r="F184" s="279" t="s">
        <v>907</v>
      </c>
      <c r="G184" s="300" t="s">
        <v>477</v>
      </c>
      <c r="H184" s="279" t="s">
        <v>907</v>
      </c>
      <c r="I184" s="279" t="s">
        <v>907</v>
      </c>
      <c r="J184" s="1344"/>
    </row>
    <row r="185" spans="2:10">
      <c r="B185" s="278" t="s">
        <v>577</v>
      </c>
      <c r="C185" s="299" t="s">
        <v>465</v>
      </c>
      <c r="D185" s="278" t="s">
        <v>1933</v>
      </c>
      <c r="E185" s="299" t="s">
        <v>906</v>
      </c>
      <c r="F185" s="279" t="s">
        <v>907</v>
      </c>
      <c r="G185" s="300" t="s">
        <v>477</v>
      </c>
      <c r="H185" s="279" t="s">
        <v>907</v>
      </c>
      <c r="I185" s="279" t="s">
        <v>907</v>
      </c>
      <c r="J185" s="1344"/>
    </row>
    <row r="186" spans="2:10">
      <c r="B186" s="278" t="s">
        <v>578</v>
      </c>
      <c r="C186" s="299" t="s">
        <v>465</v>
      </c>
      <c r="D186" s="278" t="s">
        <v>1933</v>
      </c>
      <c r="E186" s="299" t="s">
        <v>906</v>
      </c>
      <c r="F186" s="279" t="s">
        <v>907</v>
      </c>
      <c r="G186" s="300" t="s">
        <v>477</v>
      </c>
      <c r="H186" s="279" t="s">
        <v>907</v>
      </c>
      <c r="I186" s="279" t="s">
        <v>907</v>
      </c>
      <c r="J186" s="1344"/>
    </row>
    <row r="187" spans="2:10">
      <c r="B187" s="278" t="s">
        <v>579</v>
      </c>
      <c r="C187" s="299" t="s">
        <v>465</v>
      </c>
      <c r="D187" s="278" t="s">
        <v>1933</v>
      </c>
      <c r="E187" s="299" t="s">
        <v>906</v>
      </c>
      <c r="F187" s="279" t="s">
        <v>907</v>
      </c>
      <c r="G187" s="300" t="s">
        <v>477</v>
      </c>
      <c r="H187" s="279" t="s">
        <v>907</v>
      </c>
      <c r="I187" s="279" t="s">
        <v>907</v>
      </c>
      <c r="J187" s="1345"/>
    </row>
  </sheetData>
  <sheetProtection algorithmName="SHA-512" hashValue="qsG/YrNBMK7xaDkraPME2OboVaURnyfoXjilJ0WDCV7Kin+6STb6OA7k3gPwjdjmS+Nc03r4PWKTIVb3Umk5DQ==" saltValue="/GhBqtElti+5JD8/bukU7w==" spinCount="100000" sheet="1" objects="1" scenarios="1"/>
  <dataConsolidate/>
  <mergeCells count="22">
    <mergeCell ref="J178:J187"/>
    <mergeCell ref="C2:D2"/>
    <mergeCell ref="C53:I53"/>
    <mergeCell ref="D49:I49"/>
    <mergeCell ref="D48:I48"/>
    <mergeCell ref="D47:I47"/>
    <mergeCell ref="D46:I46"/>
    <mergeCell ref="E38:H38"/>
    <mergeCell ref="E39:H39"/>
    <mergeCell ref="E40:H40"/>
    <mergeCell ref="E41:H41"/>
    <mergeCell ref="E42:H42"/>
    <mergeCell ref="H88:H117"/>
    <mergeCell ref="I88:I117"/>
    <mergeCell ref="J88:J117"/>
    <mergeCell ref="B47:B53"/>
    <mergeCell ref="B5:H5"/>
    <mergeCell ref="E36:H36"/>
    <mergeCell ref="E37:H37"/>
    <mergeCell ref="D50:I50"/>
    <mergeCell ref="D51:I51"/>
    <mergeCell ref="D52:I52"/>
  </mergeCells>
  <phoneticPr fontId="16" type="noConversion"/>
  <conditionalFormatting sqref="D43:E43">
    <cfRule type="cellIs" dxfId="655" priority="8" operator="lessThanOrEqual">
      <formula>2.14285714285714</formula>
    </cfRule>
    <cfRule type="cellIs" dxfId="654" priority="9" operator="lessThanOrEqual">
      <formula>2.57142857142857</formula>
    </cfRule>
    <cfRule type="cellIs" dxfId="653" priority="10" operator="lessThanOrEqual">
      <formula>3</formula>
    </cfRule>
  </conditionalFormatting>
  <conditionalFormatting sqref="D11:H20">
    <cfRule type="notContainsBlanks" dxfId="652" priority="4">
      <formula>LEN(TRIM(D11))&gt;0</formula>
    </cfRule>
  </conditionalFormatting>
  <conditionalFormatting sqref="E43">
    <cfRule type="containsText" dxfId="651" priority="5" operator="containsText" text="Green">
      <formula>NOT(ISERROR(SEARCH("Green",E43)))</formula>
    </cfRule>
    <cfRule type="containsText" dxfId="650" priority="6" operator="containsText" text="Amber">
      <formula>NOT(ISERROR(SEARCH("Amber",E43)))</formula>
    </cfRule>
    <cfRule type="containsText" dxfId="649" priority="7" operator="containsText" text="Red">
      <formula>NOT(ISERROR(SEARCH("Red",E43)))</formula>
    </cfRule>
  </conditionalFormatting>
  <conditionalFormatting sqref="H88">
    <cfRule type="cellIs" dxfId="648" priority="14" operator="lessThanOrEqual">
      <formula>2.14285714285714</formula>
    </cfRule>
    <cfRule type="cellIs" dxfId="647" priority="15" operator="lessThanOrEqual">
      <formula>2.57142857142857</formula>
    </cfRule>
    <cfRule type="cellIs" dxfId="646" priority="16" operator="lessThanOrEqual">
      <formula>3</formula>
    </cfRule>
  </conditionalFormatting>
  <conditionalFormatting sqref="N121:N150">
    <cfRule type="cellIs" dxfId="645" priority="11" operator="lessThanOrEqual">
      <formula>2.14285714285714</formula>
    </cfRule>
    <cfRule type="cellIs" dxfId="644" priority="12" operator="lessThanOrEqual">
      <formula>2.57142857142857</formula>
    </cfRule>
    <cfRule type="cellIs" dxfId="643" priority="13" operator="lessThanOrEqual">
      <formula>3</formula>
    </cfRule>
  </conditionalFormatting>
  <dataValidations count="1">
    <dataValidation type="list" allowBlank="1" showInputMessage="1" showErrorMessage="1" sqref="C151 C37:C42 C118 C87 C44:C46 C53:C54" xr:uid="{0C66E342-F5B6-42E9-9D23-AACD73A54AB2}">
      <formula1>"High, Medium, Low"</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26493-4406-45A1-A8FE-EA8DDF0B4A41}">
  <sheetPr codeName="Sheet34">
    <tabColor theme="5" tint="0.59999389629810485"/>
  </sheetPr>
  <dimension ref="A1:W362"/>
  <sheetViews>
    <sheetView workbookViewId="0"/>
  </sheetViews>
  <sheetFormatPr defaultColWidth="9" defaultRowHeight="14.45"/>
  <cols>
    <col min="1" max="1" width="3.5" style="2" customWidth="1"/>
    <col min="2" max="3" width="40.625" style="2" customWidth="1"/>
    <col min="4" max="13" width="15.625" style="2" customWidth="1"/>
    <col min="14" max="16" width="16.125" style="2" customWidth="1"/>
    <col min="17" max="17" width="17.25" style="2" customWidth="1"/>
    <col min="18" max="18" width="16.625" style="2" customWidth="1"/>
    <col min="19" max="19" width="18.5" style="2" customWidth="1"/>
    <col min="20" max="16384" width="9" style="2"/>
  </cols>
  <sheetData>
    <row r="1" spans="1:9" ht="15" thickBot="1"/>
    <row r="2" spans="1:9" s="710" customFormat="1" ht="18.95" thickBot="1">
      <c r="A2" s="707"/>
      <c r="B2" s="778" t="s">
        <v>409</v>
      </c>
      <c r="C2" s="711"/>
      <c r="D2" s="711"/>
    </row>
    <row r="4" spans="1:9" s="714" customFormat="1" ht="18.600000000000001">
      <c r="A4" s="715"/>
      <c r="B4" s="713" t="s">
        <v>893</v>
      </c>
      <c r="C4" s="715"/>
      <c r="D4" s="715"/>
      <c r="E4" s="715"/>
      <c r="F4" s="715"/>
      <c r="G4" s="715"/>
      <c r="H4" s="715"/>
    </row>
    <row r="5" spans="1:9" s="7" customFormat="1" ht="147.75" customHeight="1">
      <c r="A5" s="737"/>
      <c r="B5" s="1152" t="s">
        <v>1935</v>
      </c>
      <c r="C5" s="1152"/>
      <c r="D5" s="1152"/>
      <c r="E5" s="1152"/>
      <c r="F5" s="1152"/>
      <c r="G5" s="1152"/>
      <c r="H5" s="1152"/>
    </row>
    <row r="7" spans="1:9" s="718" customFormat="1" ht="18.600000000000001">
      <c r="A7" s="724"/>
      <c r="B7" s="724" t="s">
        <v>895</v>
      </c>
      <c r="C7" s="724"/>
      <c r="D7" s="724"/>
      <c r="E7" s="724"/>
      <c r="F7" s="724"/>
      <c r="G7" s="724"/>
      <c r="H7" s="724"/>
    </row>
    <row r="9" spans="1:9">
      <c r="D9" s="414" t="s">
        <v>479</v>
      </c>
      <c r="E9" s="414"/>
      <c r="F9" s="414"/>
      <c r="G9" s="414"/>
      <c r="H9" s="414"/>
      <c r="I9" s="414"/>
    </row>
    <row r="10" spans="1:9" ht="29.1">
      <c r="B10" s="521" t="s">
        <v>104</v>
      </c>
      <c r="C10" s="521" t="s">
        <v>711</v>
      </c>
      <c r="D10" s="719" t="s">
        <v>269</v>
      </c>
      <c r="E10" s="719" t="s">
        <v>230</v>
      </c>
      <c r="F10" s="719" t="s">
        <v>460</v>
      </c>
      <c r="G10" s="719" t="s">
        <v>151</v>
      </c>
      <c r="H10" s="719" t="s">
        <v>462</v>
      </c>
      <c r="I10" s="719" t="s">
        <v>1936</v>
      </c>
    </row>
    <row r="11" spans="1:9">
      <c r="B11" s="278" t="s">
        <v>155</v>
      </c>
      <c r="C11" s="278" t="s">
        <v>410</v>
      </c>
      <c r="D11" s="374" t="str" cm="1">
        <f t="array" ref="D11">_xlfn.XLOOKUP(1,($B11=$B$287:$B$298)*(D$10=$C$287:$C$298),$G$287:$G$298,"Not found",0,1)</f>
        <v>&lt;/&gt;</v>
      </c>
      <c r="E11" s="374" t="str" cm="1">
        <f t="array" ref="E11">_xlfn.XLOOKUP(1,($B11=$B$346:$B$349)*(E$10=$C$346:$C$349),$G$346:$G$349,"Not found",0,1)</f>
        <v>LG(H)</v>
      </c>
      <c r="F11" s="374" t="str" cm="1">
        <f t="array" ref="F11">_xlfn.XLOOKUP(1,($B11=$B$11:$B$14)*(F$10=$C$358:$C$361),$G$358:$G$361,"Not found",0,1)</f>
        <v>LG(H)</v>
      </c>
      <c r="G11" s="374" cm="1">
        <f t="array" ref="G11">-_xlfn.XLOOKUP(1,($B11=$B$287:$B$298)*(G$10=$C$287:$C$298),$G$287:$G$298,"Not found",0,1)</f>
        <v>0</v>
      </c>
      <c r="H11" s="374" cm="1">
        <f t="array" ref="H11">_xlfn.XLOOKUP(1,($B11=$B$287:$B$298)*(H$10=$C$287:$C$298),$G$287:$G$298,"Not found",0,1)</f>
        <v>-182394.1074452849</v>
      </c>
      <c r="I11" s="374" t="s">
        <v>473</v>
      </c>
    </row>
    <row r="12" spans="1:9">
      <c r="B12" s="278" t="s">
        <v>157</v>
      </c>
      <c r="C12" s="278" t="s">
        <v>410</v>
      </c>
      <c r="D12" s="374" t="str" cm="1">
        <f t="array" ref="D12">_xlfn.XLOOKUP(1,($B12=$B$287:$B$298)*(D$10=$C$287:$C$298),$G$287:$G$298,"Not found",0,1)</f>
        <v>&lt;/&gt;</v>
      </c>
      <c r="E12" s="374" t="str" cm="1">
        <f t="array" ref="E12">_xlfn.XLOOKUP(1,($B12=$B$346:$B$349)*(E$10=$C$346:$C$349),$G$346:$G$349,"Not found",0,1)</f>
        <v>LG(H)</v>
      </c>
      <c r="F12" s="374" t="str" cm="1">
        <f t="array" ref="F12">_xlfn.XLOOKUP(1,($B12=$B$11:$B$14)*(F$10=$C$358:$C$361),$G$358:$G$361,"Not found",0,1)</f>
        <v>LG(H)</v>
      </c>
      <c r="G12" s="374" cm="1">
        <f t="array" ref="G12">_xlfn.XLOOKUP(1,($B12=$B$287:$B$298)*(G$10=$C$287:$C$298),$G$287:$G$298,"Not found",0,1)</f>
        <v>-1128765.7321719907</v>
      </c>
      <c r="H12" s="374" cm="1">
        <f t="array" ref="H12">_xlfn.XLOOKUP(1,($B12=$B$287:$B$298)*(H$10=$C$287:$C$298),$G$287:$G$298,"Not found",0,1)</f>
        <v>-1365784.447417669</v>
      </c>
      <c r="I12" s="374" t="s">
        <v>473</v>
      </c>
    </row>
    <row r="13" spans="1:9">
      <c r="B13" s="278" t="s">
        <v>158</v>
      </c>
      <c r="C13" s="278" t="s">
        <v>410</v>
      </c>
      <c r="D13" s="374" t="str" cm="1">
        <f t="array" ref="D13">_xlfn.XLOOKUP(1,($B13=$B$287:$B$298)*(D$10=$C$287:$C$298),$G$287:$G$298,"Not found",0,1)</f>
        <v>&lt;/&gt;</v>
      </c>
      <c r="E13" s="374" t="str" cm="1">
        <f t="array" ref="E13">_xlfn.XLOOKUP(1,($B13=$B$346:$B$349)*(E$10=$C$346:$C$349),$G$346:$G$349,"Not found",0,1)</f>
        <v>LG(H)</v>
      </c>
      <c r="F13" s="374" t="str" cm="1">
        <f t="array" ref="F13">_xlfn.XLOOKUP(1,($B13=$B$11:$B$14)*(F$10=$C$358:$C$361),$G$358:$G$361,"Not found",0,1)</f>
        <v>LG(H)</v>
      </c>
      <c r="G13" s="374" cm="1">
        <f t="array" ref="G13">_xlfn.XLOOKUP(1,($B13=$B$287:$B$298)*(G$10=$C$287:$C$298),$G$287:$G$298,"Not found",0,1)</f>
        <v>-1128765.7321719907</v>
      </c>
      <c r="H13" s="374" cm="1">
        <f t="array" ref="H13">_xlfn.XLOOKUP(1,($B13=$B$287:$B$298)*(H$10=$C$287:$C$298),$G$287:$G$298,"Not found",0,1)</f>
        <v>-1537321.7627531155</v>
      </c>
      <c r="I13" s="374" t="s">
        <v>473</v>
      </c>
    </row>
    <row r="14" spans="1:9">
      <c r="B14" s="278" t="s">
        <v>159</v>
      </c>
      <c r="C14" s="278" t="s">
        <v>410</v>
      </c>
      <c r="D14" s="374" t="str" cm="1">
        <f t="array" ref="D14">_xlfn.XLOOKUP(1,($B14=$B$287:$B$298)*(D$10=$C$287:$C$298),$G$287:$G$298,"Not found",0,1)</f>
        <v>&lt;/&gt;</v>
      </c>
      <c r="E14" s="374" t="str" cm="1">
        <f t="array" ref="E14">_xlfn.XLOOKUP(1,($B14=$B$346:$B$349)*(E$10=$C$346:$C$349),$G$346:$G$349,"Not found",0,1)</f>
        <v>LG(H)</v>
      </c>
      <c r="F14" s="374" t="str" cm="1">
        <f t="array" ref="F14">_xlfn.XLOOKUP(1,($B14=$B$11:$B$14)*(F$10=$C$358:$C$361),$G$358:$G$361,"Not found",0,1)</f>
        <v>LG(H)</v>
      </c>
      <c r="G14" s="374" cm="1">
        <f t="array" ref="G14">_xlfn.XLOOKUP(1,($B14=$B$287:$B$298)*(G$10=$C$287:$C$298),$G$287:$G$298,"Not found",0,1)</f>
        <v>-1128765.7321719907</v>
      </c>
      <c r="H14" s="374" cm="1">
        <f t="array" ref="H14">_xlfn.XLOOKUP(1,($B14=$B$287:$B$298)*(H$10=$C$287:$C$298),$G$287:$G$298,"Not found",0,1)</f>
        <v>-1730572.6623082389</v>
      </c>
      <c r="I14" s="374" t="s">
        <v>473</v>
      </c>
    </row>
    <row r="15" spans="1:9">
      <c r="B15" s="800" t="s">
        <v>896</v>
      </c>
    </row>
    <row r="17" spans="1:8">
      <c r="A17" s="721"/>
      <c r="B17" s="722" t="s">
        <v>1937</v>
      </c>
      <c r="C17" s="721"/>
      <c r="D17" s="721"/>
      <c r="E17" s="721"/>
      <c r="F17" s="721"/>
      <c r="G17" s="721"/>
      <c r="H17" s="721"/>
    </row>
    <row r="18" spans="1:8">
      <c r="A18" s="727"/>
      <c r="B18" s="729" t="s">
        <v>897</v>
      </c>
      <c r="C18" s="727"/>
      <c r="D18" s="727"/>
      <c r="E18" s="727"/>
      <c r="F18" s="727"/>
      <c r="G18" s="727"/>
      <c r="H18" s="727"/>
    </row>
    <row r="19" spans="1:8">
      <c r="B19" s="277" t="s">
        <v>898</v>
      </c>
      <c r="C19" s="277" t="s">
        <v>899</v>
      </c>
    </row>
    <row r="20" spans="1:8">
      <c r="B20" s="278" t="s">
        <v>269</v>
      </c>
      <c r="C20" s="278" t="s">
        <v>1938</v>
      </c>
    </row>
    <row r="21" spans="1:8">
      <c r="B21" s="278" t="s">
        <v>151</v>
      </c>
      <c r="C21" s="278" t="s">
        <v>1901</v>
      </c>
    </row>
    <row r="22" spans="1:8">
      <c r="B22" s="278" t="s">
        <v>462</v>
      </c>
      <c r="C22" s="278" t="s">
        <v>1939</v>
      </c>
    </row>
    <row r="23" spans="1:8">
      <c r="B23" s="16"/>
    </row>
    <row r="24" spans="1:8">
      <c r="A24" s="727"/>
      <c r="B24" s="728" t="s">
        <v>911</v>
      </c>
      <c r="C24" s="727"/>
      <c r="D24" s="727"/>
      <c r="E24" s="727"/>
      <c r="F24" s="727"/>
      <c r="G24" s="727"/>
      <c r="H24" s="727"/>
    </row>
    <row r="25" spans="1:8">
      <c r="A25" s="725"/>
      <c r="B25" s="726" t="s">
        <v>912</v>
      </c>
      <c r="C25" s="725"/>
      <c r="D25" s="725"/>
      <c r="E25" s="725"/>
      <c r="F25" s="725"/>
      <c r="G25" s="725"/>
      <c r="H25" s="725"/>
    </row>
    <row r="26" spans="1:8" ht="29.1">
      <c r="B26" s="719" t="s">
        <v>913</v>
      </c>
      <c r="C26" s="719" t="s">
        <v>914</v>
      </c>
      <c r="D26" s="719" t="s">
        <v>915</v>
      </c>
      <c r="E26" s="719" t="s">
        <v>916</v>
      </c>
      <c r="F26" s="719" t="s">
        <v>917</v>
      </c>
      <c r="G26" s="719" t="s">
        <v>918</v>
      </c>
      <c r="H26" s="719" t="s">
        <v>919</v>
      </c>
    </row>
    <row r="27" spans="1:8">
      <c r="B27" s="278">
        <v>1</v>
      </c>
      <c r="C27" s="278" t="s">
        <v>1940</v>
      </c>
      <c r="D27" s="278" t="s">
        <v>1182</v>
      </c>
      <c r="E27" s="278">
        <v>2013</v>
      </c>
      <c r="F27" s="278" t="s">
        <v>921</v>
      </c>
      <c r="G27" s="278" t="s">
        <v>921</v>
      </c>
      <c r="H27" s="278"/>
    </row>
    <row r="28" spans="1:8">
      <c r="B28" s="278">
        <v>43</v>
      </c>
      <c r="C28" s="278" t="s">
        <v>1941</v>
      </c>
      <c r="D28" s="278" t="s">
        <v>907</v>
      </c>
      <c r="E28" s="278">
        <v>2025</v>
      </c>
      <c r="F28" s="278" t="s">
        <v>921</v>
      </c>
      <c r="G28" s="278" t="s">
        <v>921</v>
      </c>
      <c r="H28" s="278"/>
    </row>
    <row r="29" spans="1:8">
      <c r="B29" s="16"/>
    </row>
    <row r="30" spans="1:8">
      <c r="A30" s="725"/>
      <c r="B30" s="726" t="s">
        <v>924</v>
      </c>
      <c r="C30" s="725"/>
      <c r="D30" s="725"/>
      <c r="E30" s="725"/>
      <c r="F30" s="725"/>
      <c r="G30" s="725"/>
      <c r="H30" s="725"/>
    </row>
    <row r="31" spans="1:8">
      <c r="B31" s="277" t="s">
        <v>165</v>
      </c>
      <c r="C31" s="277" t="s">
        <v>925</v>
      </c>
      <c r="D31" s="277" t="s">
        <v>926</v>
      </c>
      <c r="E31" s="1134" t="s">
        <v>927</v>
      </c>
      <c r="F31" s="1134"/>
      <c r="G31" s="1134"/>
      <c r="H31" s="1134"/>
    </row>
    <row r="32" spans="1:8">
      <c r="B32" s="278" t="s">
        <v>169</v>
      </c>
      <c r="C32" s="278" t="s">
        <v>166</v>
      </c>
      <c r="D32" s="278">
        <f>VLOOKUP(C32,METHODOLOGY!$C$175:$D$177,2,FALSE)</f>
        <v>3</v>
      </c>
      <c r="E32" s="1087" t="str">
        <f>_xlfn.XLOOKUP(C32,METHODOLOGY!$E$150:$O$150,METHODOLOGY!$E$151:$O$151,"",0,1)</f>
        <v>Monetary values have been peer reviewed or are recommended / referenced in other, well recognised and accepted guidance / tools relevant to the water sector.</v>
      </c>
      <c r="F32" s="1087"/>
      <c r="G32" s="1087"/>
      <c r="H32" s="1087"/>
    </row>
    <row r="33" spans="1:10">
      <c r="B33" s="278" t="s">
        <v>173</v>
      </c>
      <c r="C33" s="278" t="s">
        <v>166</v>
      </c>
      <c r="D33" s="278">
        <f>VLOOKUP(C33,METHODOLOGY!$C$175:$D$177,2,FALSE)</f>
        <v>3</v>
      </c>
      <c r="E33" s="1087" t="str">
        <f>_xlfn.XLOOKUP(C33,METHODOLOGY!$E$150:$O$150,METHODOLOGY!$E$155:$O$155,"",0,1)</f>
        <v>Study has few limitations and is considered robust.</v>
      </c>
      <c r="F33" s="1087"/>
      <c r="G33" s="1087"/>
      <c r="H33" s="1087"/>
    </row>
    <row r="34" spans="1:10">
      <c r="B34" s="278" t="s">
        <v>177</v>
      </c>
      <c r="C34" s="278" t="s">
        <v>168</v>
      </c>
      <c r="D34" s="278">
        <f>VLOOKUP(C34,METHODOLOGY!$C$175:$D$177,2,FALSE)</f>
        <v>1</v>
      </c>
      <c r="E34" s="1087" t="str">
        <f>_xlfn.XLOOKUP(C34,METHODOLOGY!$E$150:$O$150,METHODOLOGY!$E$158:$O$158,"",0,1)</f>
        <v>&gt;10 years</v>
      </c>
      <c r="F34" s="1087"/>
      <c r="G34" s="1087"/>
      <c r="H34" s="1087"/>
    </row>
    <row r="35" spans="1:10">
      <c r="B35" s="278" t="s">
        <v>181</v>
      </c>
      <c r="C35" s="278" t="s">
        <v>166</v>
      </c>
      <c r="D35" s="278">
        <f>VLOOKUP(C35,METHODOLOGY!$C$175:$D$177,2,FALSE)</f>
        <v>3</v>
      </c>
      <c r="E35" s="1087" t="str">
        <f>_xlfn.XLOOKUP(C35,METHODOLOGY!$E$150:$O$150,METHODOLOGY!$E$160:$O$160,"",0,1)</f>
        <v>Geographically relevant to UK</v>
      </c>
      <c r="F35" s="1087"/>
      <c r="G35" s="1087"/>
      <c r="H35" s="1087"/>
    </row>
    <row r="36" spans="1:10">
      <c r="B36" s="278" t="s">
        <v>928</v>
      </c>
      <c r="C36" s="278" t="s">
        <v>166</v>
      </c>
      <c r="D36" s="278">
        <f>VLOOKUP(C36,METHODOLOGY!$C$175:$D$177,2,FALSE)</f>
        <v>3</v>
      </c>
      <c r="E36" s="1087" t="str">
        <f>_xlfn.XLOOKUP(C36,METHODOLOGY!$E$150:$O$150,METHODOLOGY!$E$162:$O$162,"",0,1)</f>
        <v>Clear understanding of the valuation method and how the value should be applied.</v>
      </c>
      <c r="F36" s="1087"/>
      <c r="G36" s="1087"/>
      <c r="H36" s="1087"/>
    </row>
    <row r="37" spans="1:10">
      <c r="B37" s="278" t="s">
        <v>189</v>
      </c>
      <c r="C37" s="278" t="s">
        <v>167</v>
      </c>
      <c r="D37" s="278">
        <f>VLOOKUP(C37,METHODOLOGY!$C$175:$D$177,2,FALSE)</f>
        <v>2</v>
      </c>
      <c r="E37" s="1087" t="str">
        <f>_xlfn.XLOOKUP(C37,METHODOLOGY!$E$150:$O$150,METHODOLOGY!$E$164:$O$164,"",0,1)</f>
        <v xml:space="preserve">The original valuation can be used with some modification e.g. applying household numbers. The calculation is simple or introduces low levels of uncertainty. </v>
      </c>
      <c r="F37" s="1087"/>
      <c r="G37" s="1087"/>
      <c r="H37" s="1087"/>
    </row>
    <row r="38" spans="1:10">
      <c r="C38" s="282" t="s">
        <v>924</v>
      </c>
      <c r="D38" s="326">
        <f>IF(AND(D37=1,AVERAGE(D32:D37)&gt;2.14285714285714),2.14285714285714,IF(AND(D37=2,AVERAGE(D32:D37)&gt;2.57142857142857),2.57142857142857,AVERAGE(D32:D37)))</f>
        <v>2.5</v>
      </c>
      <c r="E38" s="270" t="str">
        <f>IF(D38&lt;=2.14285714285714,"Red",IF(D38&lt;=2.57142857142857,"Amber",IF(D38&lt;=3,"Green")))</f>
        <v>Amber</v>
      </c>
    </row>
    <row r="41" spans="1:10">
      <c r="A41" s="725"/>
      <c r="B41" s="726" t="s">
        <v>929</v>
      </c>
      <c r="C41" s="725"/>
      <c r="D41" s="725"/>
      <c r="E41" s="725"/>
      <c r="F41" s="725"/>
      <c r="G41" s="725"/>
      <c r="H41" s="725"/>
    </row>
    <row r="42" spans="1:10">
      <c r="B42" s="277" t="s">
        <v>913</v>
      </c>
      <c r="C42" s="277" t="s">
        <v>1089</v>
      </c>
      <c r="D42" s="277" t="s">
        <v>902</v>
      </c>
      <c r="E42" s="277" t="s">
        <v>331</v>
      </c>
      <c r="F42" s="277" t="s">
        <v>226</v>
      </c>
      <c r="G42" s="1128" t="s">
        <v>930</v>
      </c>
      <c r="H42" s="1129"/>
      <c r="I42" s="1129"/>
      <c r="J42" s="1130"/>
    </row>
    <row r="43" spans="1:10" ht="39" customHeight="1">
      <c r="B43" s="278">
        <v>1</v>
      </c>
      <c r="C43" s="278" t="s">
        <v>1942</v>
      </c>
      <c r="D43" s="375" t="s">
        <v>157</v>
      </c>
      <c r="E43" s="435">
        <v>6.4</v>
      </c>
      <c r="F43" s="394" t="s">
        <v>1943</v>
      </c>
      <c r="G43" s="1158" t="s">
        <v>1944</v>
      </c>
      <c r="H43" s="1158"/>
      <c r="I43" s="1158"/>
      <c r="J43" s="1158"/>
    </row>
    <row r="44" spans="1:10" ht="39" customHeight="1">
      <c r="B44" s="278">
        <v>1</v>
      </c>
      <c r="C44" s="278" t="s">
        <v>1942</v>
      </c>
      <c r="D44" s="375" t="s">
        <v>158</v>
      </c>
      <c r="E44" s="435">
        <v>7.4</v>
      </c>
      <c r="F44" s="394" t="s">
        <v>1943</v>
      </c>
      <c r="G44" s="1158"/>
      <c r="H44" s="1158"/>
      <c r="I44" s="1158"/>
      <c r="J44" s="1158"/>
    </row>
    <row r="45" spans="1:10" ht="39" customHeight="1">
      <c r="B45" s="278">
        <v>1</v>
      </c>
      <c r="C45" s="278" t="s">
        <v>1942</v>
      </c>
      <c r="D45" s="375" t="s">
        <v>159</v>
      </c>
      <c r="E45" s="435">
        <v>8.5</v>
      </c>
      <c r="F45" s="394" t="s">
        <v>1943</v>
      </c>
      <c r="G45" s="1158"/>
      <c r="H45" s="1158"/>
      <c r="I45" s="1158"/>
      <c r="J45" s="1158"/>
    </row>
    <row r="47" spans="1:10">
      <c r="A47" s="727"/>
      <c r="B47" s="728" t="s">
        <v>943</v>
      </c>
      <c r="C47" s="727"/>
      <c r="D47" s="727"/>
      <c r="E47" s="727"/>
      <c r="F47" s="727"/>
      <c r="G47" s="727"/>
      <c r="H47" s="727"/>
    </row>
    <row r="48" spans="1:10">
      <c r="A48" s="725"/>
      <c r="B48" s="726" t="s">
        <v>912</v>
      </c>
      <c r="C48" s="725"/>
      <c r="D48" s="725"/>
      <c r="E48" s="725"/>
      <c r="F48" s="725"/>
      <c r="G48" s="725"/>
      <c r="H48" s="725"/>
    </row>
    <row r="49" spans="1:8" ht="29.1">
      <c r="B49" s="719" t="s">
        <v>913</v>
      </c>
      <c r="C49" s="719" t="s">
        <v>914</v>
      </c>
      <c r="D49" s="719" t="s">
        <v>915</v>
      </c>
      <c r="E49" s="719" t="s">
        <v>916</v>
      </c>
      <c r="F49" s="719" t="s">
        <v>917</v>
      </c>
      <c r="G49" s="719" t="s">
        <v>918</v>
      </c>
      <c r="H49" s="719" t="s">
        <v>919</v>
      </c>
    </row>
    <row r="50" spans="1:8">
      <c r="B50" s="278">
        <v>30</v>
      </c>
      <c r="C50" s="278" t="s">
        <v>1945</v>
      </c>
      <c r="D50" s="279" t="s">
        <v>907</v>
      </c>
      <c r="E50" s="278">
        <v>2018</v>
      </c>
      <c r="F50" s="278" t="s">
        <v>1268</v>
      </c>
      <c r="G50" s="278" t="s">
        <v>1268</v>
      </c>
      <c r="H50" s="278">
        <v>1013</v>
      </c>
    </row>
    <row r="51" spans="1:8">
      <c r="B51" s="278">
        <v>43</v>
      </c>
      <c r="C51" s="278" t="s">
        <v>1941</v>
      </c>
      <c r="D51" s="278" t="s">
        <v>907</v>
      </c>
      <c r="E51" s="278">
        <v>2025</v>
      </c>
      <c r="F51" s="278" t="s">
        <v>921</v>
      </c>
      <c r="G51" s="278" t="s">
        <v>921</v>
      </c>
      <c r="H51" s="278"/>
    </row>
    <row r="52" spans="1:8">
      <c r="B52" s="278">
        <v>52</v>
      </c>
      <c r="C52" s="278" t="s">
        <v>1946</v>
      </c>
      <c r="D52" s="278" t="s">
        <v>907</v>
      </c>
      <c r="E52" s="278">
        <v>2024</v>
      </c>
      <c r="F52" s="278" t="s">
        <v>1047</v>
      </c>
      <c r="G52" s="278" t="s">
        <v>1048</v>
      </c>
      <c r="H52" s="278"/>
    </row>
    <row r="53" spans="1:8">
      <c r="B53" s="278">
        <v>53</v>
      </c>
      <c r="C53" s="278" t="s">
        <v>1947</v>
      </c>
      <c r="D53" s="278" t="s">
        <v>907</v>
      </c>
      <c r="E53" s="278">
        <v>2018</v>
      </c>
      <c r="F53" s="278" t="s">
        <v>1002</v>
      </c>
      <c r="G53" s="278" t="s">
        <v>1002</v>
      </c>
      <c r="H53" s="278"/>
    </row>
    <row r="54" spans="1:8">
      <c r="B54" s="16"/>
    </row>
    <row r="55" spans="1:8">
      <c r="A55" s="725"/>
      <c r="B55" s="726" t="s">
        <v>924</v>
      </c>
      <c r="C55" s="725"/>
      <c r="D55" s="725"/>
      <c r="E55" s="725"/>
      <c r="F55" s="725"/>
      <c r="G55" s="725"/>
      <c r="H55" s="725"/>
    </row>
    <row r="56" spans="1:8">
      <c r="B56" s="277" t="s">
        <v>165</v>
      </c>
      <c r="C56" s="277" t="s">
        <v>925</v>
      </c>
      <c r="D56" s="277" t="s">
        <v>926</v>
      </c>
      <c r="E56" s="1134" t="s">
        <v>927</v>
      </c>
      <c r="F56" s="1134"/>
      <c r="G56" s="1134"/>
      <c r="H56" s="1134"/>
    </row>
    <row r="57" spans="1:8">
      <c r="B57" s="278" t="s">
        <v>169</v>
      </c>
      <c r="C57" s="278" t="s">
        <v>167</v>
      </c>
      <c r="D57" s="278">
        <f>VLOOKUP(C57,METHODOLOGY!$C$175:$D$177,2,FALSE)</f>
        <v>2</v>
      </c>
      <c r="E57" s="1087" t="str">
        <f>_xlfn.XLOOKUP(C57,METHODOLOGY!$E$150:$O$150,METHODOLOGY!$E$151:$O$151,"",0,1)</f>
        <v>The monetary values are recommended / referenced in other, well recognised and accepted guidance / tools relevant to another sector.</v>
      </c>
      <c r="F57" s="1087"/>
      <c r="G57" s="1087"/>
      <c r="H57" s="1087"/>
    </row>
    <row r="58" spans="1:8">
      <c r="B58" s="278" t="s">
        <v>173</v>
      </c>
      <c r="C58" s="278" t="s">
        <v>166</v>
      </c>
      <c r="D58" s="278">
        <f>VLOOKUP(C58,METHODOLOGY!$C$175:$D$177,2,FALSE)</f>
        <v>3</v>
      </c>
      <c r="E58" s="1087" t="str">
        <f>_xlfn.XLOOKUP(C58,METHODOLOGY!$E$150:$O$150,METHODOLOGY!$E$155:$O$155,"",0,1)</f>
        <v>Study has few limitations and is considered robust.</v>
      </c>
      <c r="F58" s="1087"/>
      <c r="G58" s="1087"/>
      <c r="H58" s="1087"/>
    </row>
    <row r="59" spans="1:8">
      <c r="B59" s="278" t="s">
        <v>177</v>
      </c>
      <c r="C59" s="278" t="s">
        <v>167</v>
      </c>
      <c r="D59" s="278">
        <f>VLOOKUP(C59,METHODOLOGY!$C$175:$D$177,2,FALSE)</f>
        <v>2</v>
      </c>
      <c r="E59" s="1087" t="str">
        <f>_xlfn.XLOOKUP(C59,METHODOLOGY!$E$150:$O$150,METHODOLOGY!$E$158:$O$158,"",0,1)</f>
        <v>6-10 years</v>
      </c>
      <c r="F59" s="1087"/>
      <c r="G59" s="1087"/>
      <c r="H59" s="1087"/>
    </row>
    <row r="60" spans="1:8">
      <c r="B60" s="278" t="s">
        <v>181</v>
      </c>
      <c r="C60" s="278" t="s">
        <v>166</v>
      </c>
      <c r="D60" s="278">
        <f>VLOOKUP(C60,METHODOLOGY!$C$175:$D$177,2,FALSE)</f>
        <v>3</v>
      </c>
      <c r="E60" s="1087" t="str">
        <f>_xlfn.XLOOKUP(C60,METHODOLOGY!$E$150:$O$150,METHODOLOGY!$E$160:$O$160,"",0,1)</f>
        <v>Geographically relevant to UK</v>
      </c>
      <c r="F60" s="1087"/>
      <c r="G60" s="1087"/>
      <c r="H60" s="1087"/>
    </row>
    <row r="61" spans="1:8">
      <c r="B61" s="278" t="s">
        <v>928</v>
      </c>
      <c r="C61" s="278" t="s">
        <v>167</v>
      </c>
      <c r="D61" s="278">
        <f>VLOOKUP(C61,METHODOLOGY!$C$175:$D$177,2,FALSE)</f>
        <v>2</v>
      </c>
      <c r="E61" s="1087" t="str">
        <f>_xlfn.XLOOKUP(C61,METHODOLOGY!$E$150:$O$150,METHODOLOGY!$E$162:$O$162,"",0,1)</f>
        <v>Meta-analysis or limited understanding of what the value represents.</v>
      </c>
      <c r="F61" s="1087"/>
      <c r="G61" s="1087"/>
      <c r="H61" s="1087"/>
    </row>
    <row r="62" spans="1:8">
      <c r="B62" s="278" t="s">
        <v>189</v>
      </c>
      <c r="C62" s="278" t="s">
        <v>167</v>
      </c>
      <c r="D62" s="278">
        <f>VLOOKUP(C62,METHODOLOGY!$C$175:$D$177,2,FALSE)</f>
        <v>2</v>
      </c>
      <c r="E62" s="1087" t="str">
        <f>_xlfn.XLOOKUP(C62,METHODOLOGY!$E$150:$O$150,METHODOLOGY!$E$164:$O$164,"",0,1)</f>
        <v xml:space="preserve">The original valuation can be used with some modification e.g. applying household numbers. The calculation is simple or introduces low levels of uncertainty. </v>
      </c>
      <c r="F62" s="1087"/>
      <c r="G62" s="1087"/>
      <c r="H62" s="1087"/>
    </row>
    <row r="63" spans="1:8">
      <c r="C63" s="282" t="s">
        <v>924</v>
      </c>
      <c r="D63" s="326">
        <f>IF(AND(D62=1,AVERAGE(D57:D62)&gt;2.14285714285714),2.14285714285714,IF(AND(D62=2,AVERAGE(D57:D62)&gt;2.57142857142857),2.57142857142857,AVERAGE(D57:D62)))</f>
        <v>2.3333333333333335</v>
      </c>
      <c r="E63" s="270" t="str">
        <f>IF(D63&lt;=2.14285714285714,"Red",IF(D63&lt;=2.57142857142857,"Amber",IF(D63&lt;=3,"Green")))</f>
        <v>Amber</v>
      </c>
    </row>
    <row r="66" spans="1:13">
      <c r="A66" s="725"/>
      <c r="B66" s="726" t="s">
        <v>929</v>
      </c>
      <c r="C66" s="725"/>
      <c r="D66" s="725"/>
      <c r="E66" s="725"/>
      <c r="F66" s="725"/>
      <c r="G66" s="725"/>
      <c r="H66" s="725"/>
    </row>
    <row r="67" spans="1:13">
      <c r="B67" s="277" t="s">
        <v>913</v>
      </c>
      <c r="C67" s="277" t="s">
        <v>1089</v>
      </c>
      <c r="D67" s="277" t="s">
        <v>902</v>
      </c>
      <c r="E67" s="277" t="s">
        <v>331</v>
      </c>
      <c r="F67" s="277" t="s">
        <v>226</v>
      </c>
      <c r="G67" s="1134" t="s">
        <v>930</v>
      </c>
      <c r="H67" s="1134"/>
      <c r="I67" s="1134"/>
      <c r="J67" s="1134"/>
      <c r="K67" s="1134"/>
    </row>
    <row r="68" spans="1:13" ht="53.25" customHeight="1">
      <c r="B68" s="278">
        <v>30</v>
      </c>
      <c r="C68" s="278" t="s">
        <v>269</v>
      </c>
      <c r="D68" s="375" t="s">
        <v>157</v>
      </c>
      <c r="E68" s="387">
        <v>39</v>
      </c>
      <c r="F68" s="459" t="s">
        <v>1948</v>
      </c>
      <c r="G68" s="1095" t="s">
        <v>1949</v>
      </c>
      <c r="H68" s="1095"/>
      <c r="I68" s="1095" t="s">
        <v>1950</v>
      </c>
      <c r="J68" s="1095"/>
      <c r="K68" s="1095"/>
      <c r="M68" s="251"/>
    </row>
    <row r="69" spans="1:13" ht="53.25" customHeight="1">
      <c r="B69" s="278">
        <v>30</v>
      </c>
      <c r="C69" s="278" t="s">
        <v>269</v>
      </c>
      <c r="D69" s="375" t="s">
        <v>158</v>
      </c>
      <c r="E69" s="387">
        <v>46</v>
      </c>
      <c r="F69" s="459" t="s">
        <v>1948</v>
      </c>
      <c r="G69" s="1095" t="s">
        <v>1951</v>
      </c>
      <c r="H69" s="1095"/>
      <c r="I69" s="1095"/>
      <c r="J69" s="1095"/>
      <c r="K69" s="1095"/>
    </row>
    <row r="70" spans="1:13" ht="53.25" customHeight="1">
      <c r="B70" s="278">
        <v>30</v>
      </c>
      <c r="C70" s="278" t="s">
        <v>269</v>
      </c>
      <c r="D70" s="375" t="s">
        <v>159</v>
      </c>
      <c r="E70" s="387">
        <v>84</v>
      </c>
      <c r="F70" s="459" t="s">
        <v>1948</v>
      </c>
      <c r="G70" s="1095" t="s">
        <v>1952</v>
      </c>
      <c r="H70" s="1095"/>
      <c r="I70" s="1095"/>
      <c r="J70" s="1095"/>
      <c r="K70" s="1095"/>
    </row>
    <row r="71" spans="1:13" ht="29.1">
      <c r="B71" s="278">
        <v>52</v>
      </c>
      <c r="C71" s="278" t="s">
        <v>269</v>
      </c>
      <c r="D71" s="278" t="s">
        <v>409</v>
      </c>
      <c r="E71" s="305">
        <v>24144004</v>
      </c>
      <c r="F71" s="416" t="s">
        <v>1953</v>
      </c>
      <c r="G71" s="1095" t="s">
        <v>1954</v>
      </c>
      <c r="H71" s="1095"/>
      <c r="I71" s="1095"/>
      <c r="J71" s="1095"/>
      <c r="K71" s="1095"/>
    </row>
    <row r="72" spans="1:13" ht="29.1">
      <c r="B72" s="278">
        <v>43</v>
      </c>
      <c r="C72" s="278" t="s">
        <v>269</v>
      </c>
      <c r="D72" s="278" t="s">
        <v>409</v>
      </c>
      <c r="E72" s="305">
        <v>422</v>
      </c>
      <c r="F72" s="416" t="s">
        <v>1955</v>
      </c>
      <c r="G72" s="1095" t="s">
        <v>1956</v>
      </c>
      <c r="H72" s="1095"/>
      <c r="I72" s="1095"/>
      <c r="J72" s="1095"/>
      <c r="K72" s="1095"/>
    </row>
    <row r="73" spans="1:13" ht="29.1">
      <c r="B73" s="278">
        <v>53</v>
      </c>
      <c r="C73" s="278" t="s">
        <v>269</v>
      </c>
      <c r="D73" s="278" t="s">
        <v>409</v>
      </c>
      <c r="E73" s="305">
        <v>104</v>
      </c>
      <c r="F73" s="416" t="s">
        <v>1957</v>
      </c>
      <c r="G73" s="1095" t="s">
        <v>1958</v>
      </c>
      <c r="H73" s="1095"/>
      <c r="I73" s="1095"/>
      <c r="J73" s="1095"/>
      <c r="K73" s="1095"/>
    </row>
    <row r="75" spans="1:13">
      <c r="A75" s="725"/>
      <c r="B75" s="726" t="s">
        <v>936</v>
      </c>
      <c r="C75" s="725"/>
      <c r="D75" s="725"/>
      <c r="E75" s="725"/>
      <c r="F75" s="725"/>
      <c r="G75" s="725"/>
      <c r="H75" s="725"/>
    </row>
    <row r="76" spans="1:13" ht="43.5">
      <c r="B76" s="298" t="s">
        <v>1959</v>
      </c>
      <c r="C76" s="298" t="s">
        <v>1960</v>
      </c>
      <c r="D76" s="298" t="s">
        <v>1961</v>
      </c>
    </row>
    <row r="77" spans="1:13">
      <c r="B77" s="334" t="s">
        <v>157</v>
      </c>
      <c r="C77" s="396">
        <f>E68</f>
        <v>39</v>
      </c>
      <c r="D77" s="396">
        <f>ROUND(C77*$E$71/($E$72+$E$73), 0)</f>
        <v>1790145</v>
      </c>
    </row>
    <row r="78" spans="1:13">
      <c r="B78" s="334" t="s">
        <v>158</v>
      </c>
      <c r="C78" s="396">
        <f>E69-E68</f>
        <v>7</v>
      </c>
      <c r="D78" s="396">
        <f>ROUND(C78*$E$71/($E$72+$E$73), 0)</f>
        <v>321308</v>
      </c>
    </row>
    <row r="79" spans="1:13">
      <c r="B79" s="334" t="s">
        <v>159</v>
      </c>
      <c r="C79" s="396">
        <f>E70-E69</f>
        <v>38</v>
      </c>
      <c r="D79" s="396">
        <f>ROUND(C79*$E$71/($E$72+$E$73), 0)</f>
        <v>1744244</v>
      </c>
    </row>
    <row r="80" spans="1:13">
      <c r="B80" s="3"/>
      <c r="C80" s="130"/>
      <c r="D80" s="24"/>
      <c r="E80" s="26"/>
      <c r="F80" s="26"/>
      <c r="G80" s="26"/>
    </row>
    <row r="81" spans="1:8">
      <c r="B81" s="298" t="s">
        <v>1959</v>
      </c>
      <c r="C81" s="298" t="s">
        <v>1962</v>
      </c>
    </row>
    <row r="82" spans="1:8">
      <c r="B82" s="334" t="s">
        <v>1963</v>
      </c>
      <c r="C82" s="396" t="s">
        <v>1964</v>
      </c>
    </row>
    <row r="83" spans="1:8">
      <c r="B83" s="334" t="s">
        <v>1965</v>
      </c>
      <c r="C83" s="396">
        <f>ABS(D78-D77)</f>
        <v>1468837</v>
      </c>
    </row>
    <row r="84" spans="1:8" ht="15" thickBot="1">
      <c r="B84" s="131" t="s">
        <v>1966</v>
      </c>
      <c r="C84" s="132">
        <f>ABS(D79-D78)</f>
        <v>1422936</v>
      </c>
    </row>
    <row r="85" spans="1:8">
      <c r="B85" s="133" t="s">
        <v>1899</v>
      </c>
      <c r="C85" s="134">
        <f>ROUND(AVERAGE(C83:C84), 0)</f>
        <v>1445887</v>
      </c>
    </row>
    <row r="86" spans="1:8">
      <c r="B86" s="3"/>
      <c r="C86" s="130"/>
      <c r="D86" s="24"/>
      <c r="E86" s="26"/>
      <c r="F86" s="26"/>
      <c r="G86" s="26"/>
    </row>
    <row r="88" spans="1:8">
      <c r="A88" s="727"/>
      <c r="B88" s="728" t="s">
        <v>1028</v>
      </c>
      <c r="C88" s="727"/>
      <c r="D88" s="727"/>
      <c r="E88" s="727"/>
      <c r="F88" s="727"/>
      <c r="G88" s="727"/>
      <c r="H88" s="727"/>
    </row>
    <row r="89" spans="1:8">
      <c r="A89" s="725"/>
      <c r="B89" s="726" t="s">
        <v>912</v>
      </c>
      <c r="C89" s="725"/>
      <c r="D89" s="725"/>
      <c r="E89" s="725"/>
      <c r="F89" s="725"/>
      <c r="G89" s="725"/>
      <c r="H89" s="725"/>
    </row>
    <row r="90" spans="1:8" ht="29.1">
      <c r="B90" s="719" t="s">
        <v>913</v>
      </c>
      <c r="C90" s="719" t="s">
        <v>914</v>
      </c>
      <c r="D90" s="719" t="s">
        <v>915</v>
      </c>
      <c r="E90" s="719" t="s">
        <v>916</v>
      </c>
      <c r="F90" s="719" t="s">
        <v>917</v>
      </c>
      <c r="G90" s="719" t="s">
        <v>918</v>
      </c>
      <c r="H90" s="719" t="s">
        <v>919</v>
      </c>
    </row>
    <row r="91" spans="1:8">
      <c r="B91" s="278">
        <v>16</v>
      </c>
      <c r="C91" s="278" t="s">
        <v>1130</v>
      </c>
      <c r="D91" s="279" t="s">
        <v>907</v>
      </c>
      <c r="E91" s="278">
        <v>2023</v>
      </c>
      <c r="F91" s="278" t="s">
        <v>1047</v>
      </c>
      <c r="G91" s="278" t="s">
        <v>1048</v>
      </c>
      <c r="H91" s="278">
        <f>12567+3728</f>
        <v>16295</v>
      </c>
    </row>
    <row r="92" spans="1:8">
      <c r="B92" s="278">
        <v>43</v>
      </c>
      <c r="C92" s="278" t="s">
        <v>1941</v>
      </c>
      <c r="D92" s="278" t="s">
        <v>907</v>
      </c>
      <c r="E92" s="278">
        <v>2025</v>
      </c>
      <c r="F92" s="278" t="s">
        <v>921</v>
      </c>
      <c r="G92" s="278" t="s">
        <v>921</v>
      </c>
      <c r="H92" s="278"/>
    </row>
    <row r="93" spans="1:8">
      <c r="B93" s="278">
        <v>52</v>
      </c>
      <c r="C93" s="278" t="s">
        <v>1946</v>
      </c>
      <c r="D93" s="278" t="s">
        <v>907</v>
      </c>
      <c r="E93" s="278">
        <v>2024</v>
      </c>
      <c r="F93" s="278" t="s">
        <v>1047</v>
      </c>
      <c r="G93" s="278" t="s">
        <v>1048</v>
      </c>
      <c r="H93" s="278"/>
    </row>
    <row r="94" spans="1:8">
      <c r="B94" s="278">
        <v>72</v>
      </c>
      <c r="C94" s="278" t="s">
        <v>1967</v>
      </c>
      <c r="D94" s="278" t="s">
        <v>907</v>
      </c>
      <c r="E94" s="278">
        <v>2022</v>
      </c>
      <c r="F94" s="278" t="s">
        <v>1047</v>
      </c>
      <c r="G94" s="278" t="s">
        <v>1002</v>
      </c>
      <c r="H94" s="278"/>
    </row>
    <row r="95" spans="1:8">
      <c r="B95" s="16"/>
    </row>
    <row r="96" spans="1:8">
      <c r="A96" s="725"/>
      <c r="B96" s="726" t="s">
        <v>924</v>
      </c>
      <c r="C96" s="725"/>
      <c r="D96" s="725"/>
      <c r="E96" s="725"/>
      <c r="F96" s="725"/>
      <c r="G96" s="725"/>
      <c r="H96" s="725"/>
    </row>
    <row r="97" spans="1:13">
      <c r="B97" s="277" t="s">
        <v>165</v>
      </c>
      <c r="C97" s="277" t="s">
        <v>925</v>
      </c>
      <c r="D97" s="277" t="s">
        <v>926</v>
      </c>
      <c r="E97" s="1134" t="s">
        <v>927</v>
      </c>
      <c r="F97" s="1134"/>
      <c r="G97" s="1134"/>
      <c r="H97" s="1134"/>
    </row>
    <row r="98" spans="1:13">
      <c r="B98" s="278" t="s">
        <v>169</v>
      </c>
      <c r="C98" s="278" t="s">
        <v>166</v>
      </c>
      <c r="D98" s="278">
        <f>VLOOKUP(C98,METHODOLOGY!$C$175:$D$177,2,FALSE)</f>
        <v>3</v>
      </c>
      <c r="E98" s="1087" t="str">
        <f>_xlfn.XLOOKUP(C98,METHODOLOGY!$E$150:$O$150,METHODOLOGY!$E$151:$O$151,"",0,1)</f>
        <v>Monetary values have been peer reviewed or are recommended / referenced in other, well recognised and accepted guidance / tools relevant to the water sector.</v>
      </c>
      <c r="F98" s="1087"/>
      <c r="G98" s="1087"/>
      <c r="H98" s="1087"/>
    </row>
    <row r="99" spans="1:13">
      <c r="B99" s="278" t="s">
        <v>173</v>
      </c>
      <c r="C99" s="278" t="s">
        <v>166</v>
      </c>
      <c r="D99" s="278">
        <f>VLOOKUP(C99,METHODOLOGY!$C$175:$D$177,2,FALSE)</f>
        <v>3</v>
      </c>
      <c r="E99" s="1087" t="str">
        <f>_xlfn.XLOOKUP(C99,METHODOLOGY!$E$150:$O$150,METHODOLOGY!$E$155:$O$155,"",0,1)</f>
        <v>Study has few limitations and is considered robust.</v>
      </c>
      <c r="F99" s="1087"/>
      <c r="G99" s="1087"/>
      <c r="H99" s="1087"/>
    </row>
    <row r="100" spans="1:13">
      <c r="B100" s="278" t="s">
        <v>177</v>
      </c>
      <c r="C100" s="278" t="s">
        <v>166</v>
      </c>
      <c r="D100" s="278">
        <f>VLOOKUP(C100,METHODOLOGY!$C$175:$D$177,2,FALSE)</f>
        <v>3</v>
      </c>
      <c r="E100" s="1087" t="str">
        <f>_xlfn.XLOOKUP(C100,METHODOLOGY!$E$150:$O$150,METHODOLOGY!$E$158:$O$158,"",0,1)</f>
        <v>0 – 5 years</v>
      </c>
      <c r="F100" s="1087"/>
      <c r="G100" s="1087"/>
      <c r="H100" s="1087"/>
    </row>
    <row r="101" spans="1:13">
      <c r="B101" s="278" t="s">
        <v>181</v>
      </c>
      <c r="C101" s="278" t="s">
        <v>166</v>
      </c>
      <c r="D101" s="278">
        <f>VLOOKUP(C101,METHODOLOGY!$C$175:$D$177,2,FALSE)</f>
        <v>3</v>
      </c>
      <c r="E101" s="1087" t="str">
        <f>_xlfn.XLOOKUP(C101,METHODOLOGY!$E$150:$O$150,METHODOLOGY!$E$160:$O$160,"",0,1)</f>
        <v>Geographically relevant to UK</v>
      </c>
      <c r="F101" s="1087"/>
      <c r="G101" s="1087"/>
      <c r="H101" s="1087"/>
    </row>
    <row r="102" spans="1:13">
      <c r="B102" s="278" t="s">
        <v>928</v>
      </c>
      <c r="C102" s="278" t="s">
        <v>167</v>
      </c>
      <c r="D102" s="278">
        <f>VLOOKUP(C102,METHODOLOGY!$C$175:$D$177,2,FALSE)</f>
        <v>2</v>
      </c>
      <c r="E102" s="1087" t="str">
        <f>_xlfn.XLOOKUP(C102,METHODOLOGY!$E$150:$O$150,METHODOLOGY!$E$162:$O$162,"",0,1)</f>
        <v>Meta-analysis or limited understanding of what the value represents.</v>
      </c>
      <c r="F102" s="1087"/>
      <c r="G102" s="1087"/>
      <c r="H102" s="1087"/>
    </row>
    <row r="103" spans="1:13">
      <c r="B103" s="278" t="s">
        <v>189</v>
      </c>
      <c r="C103" s="278" t="s">
        <v>167</v>
      </c>
      <c r="D103" s="278">
        <f>VLOOKUP(C103,METHODOLOGY!$C$175:$D$177,2,FALSE)</f>
        <v>2</v>
      </c>
      <c r="E103" s="1087" t="str">
        <f>_xlfn.XLOOKUP(C103,METHODOLOGY!$E$150:$O$150,METHODOLOGY!$E$164:$O$164,"",0,1)</f>
        <v xml:space="preserve">The original valuation can be used with some modification e.g. applying household numbers. The calculation is simple or introduces low levels of uncertainty. </v>
      </c>
      <c r="F103" s="1087"/>
      <c r="G103" s="1087"/>
      <c r="H103" s="1087"/>
    </row>
    <row r="104" spans="1:13">
      <c r="C104" s="282" t="s">
        <v>924</v>
      </c>
      <c r="D104" s="326">
        <f>IF(AND(D103=1,AVERAGE(D98:D103)&gt;2.14285714285714),2.14285714285714,IF(AND(D103=2,AVERAGE(D98:D103)&gt;2.57142857142857),2.57142857142857,AVERAGE(D98:D103)))</f>
        <v>2.5714285714285698</v>
      </c>
      <c r="E104" s="270" t="str">
        <f>IF(D104&lt;=2.14285714285714,"Red",IF(D104&lt;=2.57142857142857,"Amber",IF(D104&lt;=3,"Green")))</f>
        <v>Amber</v>
      </c>
    </row>
    <row r="107" spans="1:13">
      <c r="A107" s="725"/>
      <c r="B107" s="726" t="s">
        <v>929</v>
      </c>
      <c r="C107" s="725"/>
      <c r="D107" s="725"/>
      <c r="E107" s="725"/>
      <c r="F107" s="725"/>
      <c r="G107" s="725"/>
      <c r="H107" s="725"/>
    </row>
    <row r="108" spans="1:13">
      <c r="B108" s="277" t="s">
        <v>913</v>
      </c>
      <c r="C108" s="277" t="s">
        <v>1089</v>
      </c>
      <c r="D108" s="277" t="s">
        <v>902</v>
      </c>
      <c r="E108" s="277" t="s">
        <v>331</v>
      </c>
      <c r="F108" s="277" t="s">
        <v>226</v>
      </c>
      <c r="G108" s="1164" t="s">
        <v>930</v>
      </c>
      <c r="H108" s="1165"/>
      <c r="I108" s="1165"/>
      <c r="J108" s="1165"/>
      <c r="K108" s="1165"/>
      <c r="L108" s="1166"/>
    </row>
    <row r="109" spans="1:13">
      <c r="B109" s="278">
        <v>16</v>
      </c>
      <c r="C109" s="278" t="s">
        <v>151</v>
      </c>
      <c r="D109" s="278" t="s">
        <v>157</v>
      </c>
      <c r="E109" s="387">
        <v>23</v>
      </c>
      <c r="F109" s="364" t="s">
        <v>1050</v>
      </c>
      <c r="G109" s="1118" t="s">
        <v>1968</v>
      </c>
      <c r="H109" s="1119"/>
      <c r="I109" s="1119"/>
      <c r="J109" s="1119"/>
      <c r="K109" s="1119"/>
      <c r="L109" s="1091"/>
      <c r="M109" s="251"/>
    </row>
    <row r="110" spans="1:13">
      <c r="B110" s="278">
        <v>16</v>
      </c>
      <c r="C110" s="278" t="s">
        <v>151</v>
      </c>
      <c r="D110" s="278" t="s">
        <v>158</v>
      </c>
      <c r="E110" s="387">
        <v>23</v>
      </c>
      <c r="F110" s="364" t="s">
        <v>1050</v>
      </c>
      <c r="G110" s="1118" t="s">
        <v>1969</v>
      </c>
      <c r="H110" s="1119"/>
      <c r="I110" s="1119"/>
      <c r="J110" s="1119"/>
      <c r="K110" s="1119"/>
      <c r="L110" s="1091"/>
    </row>
    <row r="111" spans="1:13">
      <c r="B111" s="278">
        <v>16</v>
      </c>
      <c r="C111" s="278" t="s">
        <v>462</v>
      </c>
      <c r="D111" s="278" t="s">
        <v>157</v>
      </c>
      <c r="E111" s="387">
        <v>629</v>
      </c>
      <c r="F111" s="364" t="s">
        <v>1050</v>
      </c>
      <c r="G111" s="1118" t="s">
        <v>1970</v>
      </c>
      <c r="H111" s="1119"/>
      <c r="I111" s="1119"/>
      <c r="J111" s="1119"/>
      <c r="K111" s="1119"/>
      <c r="L111" s="1091"/>
    </row>
    <row r="112" spans="1:13">
      <c r="B112" s="278">
        <v>16</v>
      </c>
      <c r="C112" s="278" t="s">
        <v>462</v>
      </c>
      <c r="D112" s="278" t="s">
        <v>158</v>
      </c>
      <c r="E112" s="387">
        <v>708</v>
      </c>
      <c r="F112" s="364" t="s">
        <v>1050</v>
      </c>
      <c r="G112" s="1118" t="s">
        <v>1971</v>
      </c>
      <c r="H112" s="1119"/>
      <c r="I112" s="1119"/>
      <c r="J112" s="1119"/>
      <c r="K112" s="1119"/>
      <c r="L112" s="1091"/>
    </row>
    <row r="113" spans="1:12">
      <c r="B113" s="278">
        <v>52</v>
      </c>
      <c r="C113" s="278" t="s">
        <v>151</v>
      </c>
      <c r="D113" s="278" t="s">
        <v>409</v>
      </c>
      <c r="E113" s="305">
        <f>ROUND(1000*SUM('Company data'!C69:C79), 0)</f>
        <v>24144004</v>
      </c>
      <c r="F113" s="364" t="s">
        <v>1953</v>
      </c>
      <c r="G113" s="1118" t="s">
        <v>1954</v>
      </c>
      <c r="H113" s="1119"/>
      <c r="I113" s="1119"/>
      <c r="J113" s="1119"/>
      <c r="K113" s="1119"/>
      <c r="L113" s="1091"/>
    </row>
    <row r="114" spans="1:12">
      <c r="B114" s="278">
        <v>43</v>
      </c>
      <c r="C114" s="278" t="s">
        <v>108</v>
      </c>
      <c r="D114" s="278" t="s">
        <v>409</v>
      </c>
      <c r="E114" s="305">
        <v>421</v>
      </c>
      <c r="F114" s="364" t="s">
        <v>1955</v>
      </c>
      <c r="G114" s="1118" t="s">
        <v>1972</v>
      </c>
      <c r="H114" s="1119"/>
      <c r="I114" s="1119"/>
      <c r="J114" s="1119"/>
      <c r="K114" s="1119"/>
      <c r="L114" s="1091"/>
    </row>
    <row r="115" spans="1:12">
      <c r="B115" s="278">
        <v>72</v>
      </c>
      <c r="C115" s="278" t="s">
        <v>108</v>
      </c>
      <c r="D115" s="278" t="s">
        <v>409</v>
      </c>
      <c r="E115" s="305">
        <v>106</v>
      </c>
      <c r="F115" s="364" t="s">
        <v>1957</v>
      </c>
      <c r="G115" s="1118" t="s">
        <v>1973</v>
      </c>
      <c r="H115" s="1119"/>
      <c r="I115" s="1119"/>
      <c r="J115" s="1119"/>
      <c r="K115" s="1119"/>
      <c r="L115" s="1091"/>
    </row>
    <row r="116" spans="1:12">
      <c r="B116" s="278">
        <v>52</v>
      </c>
      <c r="C116" s="278" t="s">
        <v>462</v>
      </c>
      <c r="D116" s="278" t="s">
        <v>409</v>
      </c>
      <c r="E116" s="305">
        <f>ROUND(1000*SUM('Company data'!D69:D79), 0)</f>
        <v>1068124</v>
      </c>
      <c r="F116" s="364" t="s">
        <v>1974</v>
      </c>
      <c r="G116" s="1118" t="s">
        <v>1975</v>
      </c>
      <c r="H116" s="1119"/>
      <c r="I116" s="1119"/>
      <c r="J116" s="1119"/>
      <c r="K116" s="1119"/>
      <c r="L116" s="1091"/>
    </row>
    <row r="128" spans="1:12">
      <c r="A128" s="725"/>
      <c r="B128" s="726" t="s">
        <v>936</v>
      </c>
      <c r="C128" s="725"/>
      <c r="D128" s="725"/>
      <c r="E128" s="725"/>
      <c r="F128" s="725"/>
      <c r="G128" s="725"/>
      <c r="H128" s="725"/>
    </row>
    <row r="129" spans="2:13" ht="72.599999999999994">
      <c r="B129" s="298" t="s">
        <v>1959</v>
      </c>
      <c r="C129" s="298" t="s">
        <v>1976</v>
      </c>
      <c r="D129" s="298" t="s">
        <v>1977</v>
      </c>
      <c r="E129" s="298" t="s">
        <v>1978</v>
      </c>
      <c r="F129" s="298" t="s">
        <v>1979</v>
      </c>
      <c r="G129" s="1351" t="s">
        <v>930</v>
      </c>
      <c r="H129" s="1352"/>
      <c r="I129" s="1352"/>
      <c r="J129" s="1352"/>
      <c r="K129" s="1352"/>
      <c r="L129" s="1353"/>
    </row>
    <row r="130" spans="2:13" ht="20.45" customHeight="1">
      <c r="B130" s="334" t="s">
        <v>157</v>
      </c>
      <c r="C130" s="387">
        <f>E109</f>
        <v>23</v>
      </c>
      <c r="D130" s="387">
        <f>C130</f>
        <v>23</v>
      </c>
      <c r="E130" s="387">
        <f>E111</f>
        <v>629</v>
      </c>
      <c r="F130" s="504">
        <f>E130</f>
        <v>629</v>
      </c>
      <c r="G130" s="1325" t="s">
        <v>1980</v>
      </c>
      <c r="H130" s="1325"/>
      <c r="I130" s="1325"/>
      <c r="J130" s="1325"/>
      <c r="K130" s="1325"/>
      <c r="L130" s="1325"/>
    </row>
    <row r="131" spans="2:13">
      <c r="B131" s="334" t="s">
        <v>158</v>
      </c>
      <c r="C131" s="387">
        <f>E110</f>
        <v>23</v>
      </c>
      <c r="D131" s="387">
        <f>C131</f>
        <v>23</v>
      </c>
      <c r="E131" s="387">
        <f>E112</f>
        <v>708</v>
      </c>
      <c r="F131" s="504">
        <f>E131</f>
        <v>708</v>
      </c>
      <c r="G131" s="1325"/>
      <c r="H131" s="1325"/>
      <c r="I131" s="1325"/>
      <c r="J131" s="1325"/>
      <c r="K131" s="1325"/>
      <c r="L131" s="1325"/>
    </row>
    <row r="132" spans="2:13">
      <c r="B132" s="334" t="s">
        <v>159</v>
      </c>
      <c r="C132" s="505" t="s">
        <v>1964</v>
      </c>
      <c r="D132" s="502">
        <f>ROUND(C131*(C131/C130), 0)</f>
        <v>23</v>
      </c>
      <c r="E132" s="387" t="s">
        <v>1964</v>
      </c>
      <c r="F132" s="506">
        <f>ROUND(E131*(E131/E130), 0)</f>
        <v>797</v>
      </c>
      <c r="G132" s="1325"/>
      <c r="H132" s="1325"/>
      <c r="I132" s="1325"/>
      <c r="J132" s="1325"/>
      <c r="K132" s="1325"/>
      <c r="L132" s="1325"/>
    </row>
    <row r="133" spans="2:13">
      <c r="B133" s="3"/>
      <c r="C133" s="130"/>
      <c r="D133" s="24"/>
      <c r="E133" s="26"/>
      <c r="F133" s="26"/>
      <c r="G133" s="26"/>
    </row>
    <row r="134" spans="2:13" ht="29.1">
      <c r="B134" s="298" t="s">
        <v>936</v>
      </c>
      <c r="C134" s="298" t="s">
        <v>1981</v>
      </c>
      <c r="D134" s="298" t="s">
        <v>1982</v>
      </c>
    </row>
    <row r="135" spans="2:13">
      <c r="B135" s="334" t="s">
        <v>1983</v>
      </c>
      <c r="C135" s="305">
        <f>ROUND(E113/(E114+E115), 0)</f>
        <v>45814</v>
      </c>
      <c r="D135" s="305">
        <f>ROUND(E116/(E114+E115), 0)</f>
        <v>2027</v>
      </c>
      <c r="F135" s="1350"/>
      <c r="G135" s="1350"/>
      <c r="H135" s="1350"/>
      <c r="I135" s="1350"/>
      <c r="J135" s="1350"/>
      <c r="K135" s="1350"/>
      <c r="L135" s="1350"/>
      <c r="M135" s="1350"/>
    </row>
    <row r="136" spans="2:13">
      <c r="B136" s="3"/>
      <c r="C136" s="130"/>
      <c r="D136" s="24"/>
      <c r="E136" s="26"/>
      <c r="F136" s="26"/>
      <c r="G136" s="26"/>
    </row>
    <row r="137" spans="2:13" ht="29.1">
      <c r="B137" s="298" t="s">
        <v>1959</v>
      </c>
      <c r="C137" s="298" t="s">
        <v>1984</v>
      </c>
      <c r="D137" s="298" t="s">
        <v>1985</v>
      </c>
      <c r="E137" s="26"/>
      <c r="F137" s="26"/>
      <c r="G137" s="26"/>
    </row>
    <row r="138" spans="2:13">
      <c r="B138" s="334" t="s">
        <v>157</v>
      </c>
      <c r="C138" s="387">
        <f>D130*C$135</f>
        <v>1053722</v>
      </c>
      <c r="D138" s="387">
        <f>F130*D$135</f>
        <v>1274983</v>
      </c>
      <c r="E138" s="26"/>
      <c r="F138" s="26"/>
      <c r="G138" s="26"/>
    </row>
    <row r="139" spans="2:13">
      <c r="B139" s="334" t="s">
        <v>158</v>
      </c>
      <c r="C139" s="387">
        <f>D131*C$135</f>
        <v>1053722</v>
      </c>
      <c r="D139" s="387">
        <f>F131*D$135</f>
        <v>1435116</v>
      </c>
      <c r="E139" s="26"/>
      <c r="F139" s="26"/>
      <c r="G139" s="26"/>
    </row>
    <row r="140" spans="2:13">
      <c r="B140" s="334" t="s">
        <v>159</v>
      </c>
      <c r="C140" s="387">
        <f>D132*C$135</f>
        <v>1053722</v>
      </c>
      <c r="D140" s="387">
        <f>F132*D$135</f>
        <v>1615519</v>
      </c>
      <c r="E140" s="26"/>
      <c r="F140" s="26"/>
      <c r="G140" s="26"/>
    </row>
    <row r="141" spans="2:13">
      <c r="B141" s="3"/>
      <c r="C141" s="130"/>
      <c r="D141" s="24"/>
      <c r="E141" s="26"/>
      <c r="F141" s="26"/>
      <c r="G141" s="26"/>
    </row>
    <row r="142" spans="2:13" ht="57.95">
      <c r="B142" s="298" t="s">
        <v>1959</v>
      </c>
      <c r="C142" s="298" t="s">
        <v>1986</v>
      </c>
      <c r="D142" s="298" t="s">
        <v>1987</v>
      </c>
    </row>
    <row r="143" spans="2:13">
      <c r="B143" s="334" t="s">
        <v>1963</v>
      </c>
      <c r="C143" s="396" t="s">
        <v>1964</v>
      </c>
      <c r="D143" s="396" t="s">
        <v>1964</v>
      </c>
    </row>
    <row r="144" spans="2:13">
      <c r="B144" s="334" t="s">
        <v>1965</v>
      </c>
      <c r="C144" s="203">
        <f>C139-C138</f>
        <v>0</v>
      </c>
      <c r="D144" s="203">
        <f>D139-D138</f>
        <v>160133</v>
      </c>
      <c r="F144" s="26"/>
    </row>
    <row r="145" spans="1:8" ht="15" thickBot="1">
      <c r="B145" s="202" t="s">
        <v>1966</v>
      </c>
      <c r="C145" s="132">
        <f>C140-C139</f>
        <v>0</v>
      </c>
      <c r="D145" s="132">
        <f>D140-D139</f>
        <v>180403</v>
      </c>
    </row>
    <row r="146" spans="1:8">
      <c r="B146" s="133" t="s">
        <v>1899</v>
      </c>
      <c r="C146" s="134">
        <f>AVERAGE(C144:C145)</f>
        <v>0</v>
      </c>
      <c r="D146" s="134">
        <f>AVERAGE(D144:D145)</f>
        <v>170268</v>
      </c>
    </row>
    <row r="147" spans="1:8">
      <c r="B147" s="3"/>
      <c r="C147" s="130"/>
      <c r="D147" s="24"/>
      <c r="E147" s="26"/>
      <c r="F147" s="26"/>
      <c r="G147" s="26"/>
    </row>
    <row r="149" spans="1:8">
      <c r="A149" s="727"/>
      <c r="B149" s="728" t="s">
        <v>1039</v>
      </c>
      <c r="C149" s="727"/>
      <c r="D149" s="727"/>
      <c r="E149" s="727"/>
      <c r="F149" s="727"/>
      <c r="G149" s="727"/>
      <c r="H149" s="727"/>
    </row>
    <row r="150" spans="1:8">
      <c r="A150" s="725"/>
      <c r="B150" s="726" t="s">
        <v>912</v>
      </c>
      <c r="C150" s="725"/>
      <c r="D150" s="725"/>
      <c r="E150" s="725"/>
      <c r="F150" s="725"/>
      <c r="G150" s="725"/>
      <c r="H150" s="725"/>
    </row>
    <row r="151" spans="1:8" ht="29.1">
      <c r="B151" s="719" t="s">
        <v>913</v>
      </c>
      <c r="C151" s="719" t="s">
        <v>914</v>
      </c>
      <c r="D151" s="719" t="s">
        <v>915</v>
      </c>
      <c r="E151" s="719" t="s">
        <v>916</v>
      </c>
      <c r="F151" s="719" t="s">
        <v>917</v>
      </c>
      <c r="G151" s="719" t="s">
        <v>918</v>
      </c>
      <c r="H151" s="719" t="s">
        <v>919</v>
      </c>
    </row>
    <row r="152" spans="1:8">
      <c r="B152" s="278">
        <v>136</v>
      </c>
      <c r="C152" s="278" t="s">
        <v>920</v>
      </c>
      <c r="D152" s="279" t="s">
        <v>907</v>
      </c>
      <c r="E152" s="278">
        <v>2018</v>
      </c>
      <c r="F152" s="278" t="s">
        <v>921</v>
      </c>
      <c r="G152" s="278" t="s">
        <v>922</v>
      </c>
      <c r="H152" s="278" t="s">
        <v>923</v>
      </c>
    </row>
    <row r="153" spans="1:8">
      <c r="B153" s="278">
        <v>1</v>
      </c>
      <c r="C153" s="278" t="s">
        <v>1867</v>
      </c>
      <c r="D153" s="278" t="s">
        <v>1182</v>
      </c>
      <c r="E153" s="278">
        <v>2013</v>
      </c>
      <c r="F153" s="278" t="s">
        <v>921</v>
      </c>
      <c r="G153" s="278" t="s">
        <v>921</v>
      </c>
      <c r="H153" s="278"/>
    </row>
    <row r="154" spans="1:8">
      <c r="B154" s="16"/>
    </row>
    <row r="155" spans="1:8">
      <c r="A155" s="725"/>
      <c r="B155" s="726" t="s">
        <v>924</v>
      </c>
      <c r="C155" s="725"/>
      <c r="D155" s="725"/>
      <c r="E155" s="725"/>
      <c r="F155" s="725"/>
      <c r="G155" s="725"/>
      <c r="H155" s="725"/>
    </row>
    <row r="156" spans="1:8">
      <c r="B156" s="277" t="s">
        <v>165</v>
      </c>
      <c r="C156" s="277" t="s">
        <v>925</v>
      </c>
      <c r="D156" s="277" t="s">
        <v>926</v>
      </c>
      <c r="E156" s="1134" t="s">
        <v>927</v>
      </c>
      <c r="F156" s="1134"/>
      <c r="G156" s="1134"/>
      <c r="H156" s="1134"/>
    </row>
    <row r="157" spans="1:8">
      <c r="B157" s="278" t="s">
        <v>169</v>
      </c>
      <c r="C157" s="278" t="s">
        <v>167</v>
      </c>
      <c r="D157" s="278">
        <f>VLOOKUP(C157,METHODOLOGY!$C$175:$D$177,2,FALSE)</f>
        <v>2</v>
      </c>
      <c r="E157" s="1087" t="str">
        <f>_xlfn.XLOOKUP(C157,METHODOLOGY!$E$150:$O$150,METHODOLOGY!$E$151:$O$151,"",0,1)</f>
        <v>The monetary values are recommended / referenced in other, well recognised and accepted guidance / tools relevant to another sector.</v>
      </c>
      <c r="F157" s="1087"/>
      <c r="G157" s="1087"/>
      <c r="H157" s="1087"/>
    </row>
    <row r="158" spans="1:8">
      <c r="B158" s="278" t="s">
        <v>173</v>
      </c>
      <c r="C158" s="278" t="s">
        <v>166</v>
      </c>
      <c r="D158" s="278">
        <f>VLOOKUP(C158,METHODOLOGY!$C$175:$D$177,2,FALSE)</f>
        <v>3</v>
      </c>
      <c r="E158" s="1087" t="str">
        <f>_xlfn.XLOOKUP(C158,METHODOLOGY!$E$150:$O$150,METHODOLOGY!$E$155:$O$155,"",0,1)</f>
        <v>Study has few limitations and is considered robust.</v>
      </c>
      <c r="F158" s="1087"/>
      <c r="G158" s="1087"/>
      <c r="H158" s="1087"/>
    </row>
    <row r="159" spans="1:8">
      <c r="B159" s="278" t="s">
        <v>177</v>
      </c>
      <c r="C159" s="278" t="s">
        <v>167</v>
      </c>
      <c r="D159" s="278">
        <f>VLOOKUP(C159,METHODOLOGY!$C$175:$D$177,2,FALSE)</f>
        <v>2</v>
      </c>
      <c r="E159" s="1087" t="str">
        <f>_xlfn.XLOOKUP(C159,METHODOLOGY!$E$150:$O$150,METHODOLOGY!$E$158:$O$158,"",0,1)</f>
        <v>6-10 years</v>
      </c>
      <c r="F159" s="1087"/>
      <c r="G159" s="1087"/>
      <c r="H159" s="1087"/>
    </row>
    <row r="160" spans="1:8">
      <c r="B160" s="278" t="s">
        <v>181</v>
      </c>
      <c r="C160" s="278" t="s">
        <v>167</v>
      </c>
      <c r="D160" s="278">
        <f>VLOOKUP(C160,METHODOLOGY!$C$175:$D$177,2,FALSE)</f>
        <v>2</v>
      </c>
      <c r="E160" s="1087" t="str">
        <f>_xlfn.XLOOKUP(C160,METHODOLOGY!$E$150:$O$150,METHODOLOGY!$E$160:$O$160,"",0,1)</f>
        <v>Less geographically relevant e.g. Europe or relevant to a specific UK region</v>
      </c>
      <c r="F160" s="1087"/>
      <c r="G160" s="1087"/>
      <c r="H160" s="1087"/>
    </row>
    <row r="161" spans="1:12">
      <c r="B161" s="278" t="s">
        <v>928</v>
      </c>
      <c r="C161" s="278" t="s">
        <v>166</v>
      </c>
      <c r="D161" s="278">
        <f>VLOOKUP(C161,METHODOLOGY!$C$175:$D$177,2,FALSE)</f>
        <v>3</v>
      </c>
      <c r="E161" s="1087" t="str">
        <f>_xlfn.XLOOKUP(C161,METHODOLOGY!$E$150:$O$150,METHODOLOGY!$E$162:$O$162,"",0,1)</f>
        <v>Clear understanding of the valuation method and how the value should be applied.</v>
      </c>
      <c r="F161" s="1087"/>
      <c r="G161" s="1087"/>
      <c r="H161" s="1087"/>
    </row>
    <row r="162" spans="1:12">
      <c r="B162" s="278" t="s">
        <v>189</v>
      </c>
      <c r="C162" s="278" t="s">
        <v>167</v>
      </c>
      <c r="D162" s="278">
        <f>VLOOKUP(C162,METHODOLOGY!$C$175:$D$177,2,FALSE)</f>
        <v>2</v>
      </c>
      <c r="E162" s="1087" t="str">
        <f>_xlfn.XLOOKUP(C162,METHODOLOGY!$E$150:$O$150,METHODOLOGY!$E$164:$O$164,"",0,1)</f>
        <v xml:space="preserve">The original valuation can be used with some modification e.g. applying household numbers. The calculation is simple or introduces low levels of uncertainty. </v>
      </c>
      <c r="F162" s="1087"/>
      <c r="G162" s="1087"/>
      <c r="H162" s="1087"/>
    </row>
    <row r="163" spans="1:12">
      <c r="C163" s="282" t="s">
        <v>924</v>
      </c>
      <c r="D163" s="326">
        <f>IF(AND(D162=1,AVERAGE(D157:D162)&gt;2.14285714285714),2.14285714285714,IF(AND(D162=2,AVERAGE(D157:D162)&gt;2.57142857142857),2.57142857142857,AVERAGE(D157:D162)))</f>
        <v>2.3333333333333335</v>
      </c>
      <c r="E163" s="270" t="str">
        <f>IF(D163&lt;=2.14285714285714,"Red",IF(D163&lt;=2.57142857142857,"Amber",IF(D163&lt;=3,"Green")))</f>
        <v>Amber</v>
      </c>
    </row>
    <row r="166" spans="1:12">
      <c r="A166" s="725"/>
      <c r="B166" s="726" t="s">
        <v>929</v>
      </c>
      <c r="C166" s="725"/>
      <c r="D166" s="725"/>
      <c r="E166" s="725"/>
      <c r="F166" s="725"/>
      <c r="G166" s="725"/>
      <c r="H166" s="725"/>
    </row>
    <row r="167" spans="1:12">
      <c r="B167" s="277" t="s">
        <v>913</v>
      </c>
      <c r="C167" s="277" t="s">
        <v>1089</v>
      </c>
      <c r="D167" s="277" t="s">
        <v>902</v>
      </c>
      <c r="E167" s="277" t="s">
        <v>331</v>
      </c>
      <c r="F167" s="277" t="s">
        <v>226</v>
      </c>
      <c r="G167" s="1157" t="s">
        <v>930</v>
      </c>
      <c r="H167" s="1157"/>
      <c r="I167" s="1157"/>
      <c r="J167" s="1157"/>
      <c r="K167" s="1157"/>
      <c r="L167" s="1157"/>
    </row>
    <row r="168" spans="1:12">
      <c r="B168" s="278">
        <v>22</v>
      </c>
      <c r="C168" s="278" t="s">
        <v>151</v>
      </c>
      <c r="D168" s="278" t="s">
        <v>159</v>
      </c>
      <c r="E168" s="387">
        <v>998000</v>
      </c>
      <c r="F168" s="394" t="s">
        <v>1988</v>
      </c>
      <c r="G168" s="1240" t="s">
        <v>1989</v>
      </c>
      <c r="H168" s="1181"/>
      <c r="I168" s="1181"/>
      <c r="J168" s="1181"/>
      <c r="K168" s="1181"/>
      <c r="L168" s="1182"/>
    </row>
    <row r="169" spans="1:12">
      <c r="B169" s="278">
        <v>22</v>
      </c>
      <c r="C169" s="278" t="s">
        <v>462</v>
      </c>
      <c r="D169" s="278" t="s">
        <v>159</v>
      </c>
      <c r="E169" s="387">
        <v>457000</v>
      </c>
      <c r="F169" s="394" t="s">
        <v>1988</v>
      </c>
      <c r="G169" s="1183"/>
      <c r="H169" s="1184"/>
      <c r="I169" s="1184"/>
      <c r="J169" s="1184"/>
      <c r="K169" s="1184"/>
      <c r="L169" s="1185"/>
    </row>
    <row r="170" spans="1:12">
      <c r="B170" s="278">
        <v>1</v>
      </c>
      <c r="C170" s="278" t="s">
        <v>462</v>
      </c>
      <c r="D170" s="278" t="s">
        <v>157</v>
      </c>
      <c r="E170" s="435">
        <v>7.5</v>
      </c>
      <c r="F170" s="394" t="s">
        <v>1943</v>
      </c>
      <c r="G170" s="1095" t="s">
        <v>1990</v>
      </c>
      <c r="H170" s="1095"/>
      <c r="I170" s="1095"/>
      <c r="J170" s="1095"/>
      <c r="K170" s="1095"/>
      <c r="L170" s="1095"/>
    </row>
    <row r="171" spans="1:12">
      <c r="B171" s="278">
        <v>1</v>
      </c>
      <c r="C171" s="278" t="s">
        <v>462</v>
      </c>
      <c r="D171" s="278" t="s">
        <v>158</v>
      </c>
      <c r="E171" s="435">
        <v>8.6999999999999993</v>
      </c>
      <c r="F171" s="394" t="s">
        <v>1943</v>
      </c>
      <c r="G171" s="1095"/>
      <c r="H171" s="1095"/>
      <c r="I171" s="1095"/>
      <c r="J171" s="1095"/>
      <c r="K171" s="1095"/>
      <c r="L171" s="1095"/>
    </row>
    <row r="172" spans="1:12">
      <c r="B172" s="278">
        <v>1</v>
      </c>
      <c r="C172" s="278" t="s">
        <v>462</v>
      </c>
      <c r="D172" s="278" t="s">
        <v>159</v>
      </c>
      <c r="E172" s="435">
        <v>10.199999999999999</v>
      </c>
      <c r="F172" s="394" t="s">
        <v>1943</v>
      </c>
      <c r="G172" s="1095"/>
      <c r="H172" s="1095"/>
      <c r="I172" s="1095"/>
      <c r="J172" s="1095"/>
      <c r="K172" s="1095"/>
      <c r="L172" s="1095"/>
    </row>
    <row r="192" spans="1:8">
      <c r="A192" s="725"/>
      <c r="B192" s="726" t="s">
        <v>936</v>
      </c>
      <c r="C192" s="725"/>
      <c r="D192" s="725"/>
      <c r="E192" s="725"/>
      <c r="F192" s="725"/>
      <c r="G192" s="725"/>
      <c r="H192" s="725"/>
    </row>
    <row r="193" spans="1:12" ht="57.95">
      <c r="B193" s="298" t="s">
        <v>1959</v>
      </c>
      <c r="C193" s="298" t="s">
        <v>1991</v>
      </c>
      <c r="D193" s="298" t="s">
        <v>1992</v>
      </c>
      <c r="E193" s="298" t="s">
        <v>1993</v>
      </c>
      <c r="F193" s="298" t="s">
        <v>1994</v>
      </c>
      <c r="G193" s="1157" t="s">
        <v>930</v>
      </c>
      <c r="H193" s="1157"/>
      <c r="I193" s="1157"/>
      <c r="J193" s="1157"/>
      <c r="K193" s="1157"/>
      <c r="L193" s="1157"/>
    </row>
    <row r="194" spans="1:12">
      <c r="B194" s="334" t="s">
        <v>1963</v>
      </c>
      <c r="C194" s="396"/>
      <c r="D194" s="421">
        <f>ROUND($C$196* (E170/$E$172), -3)</f>
        <v>734000</v>
      </c>
      <c r="E194" s="387"/>
      <c r="F194" s="421">
        <f>ROUND($E$196* (E170/$E$172), -3)</f>
        <v>336000</v>
      </c>
      <c r="G194" s="1087" t="s">
        <v>1995</v>
      </c>
      <c r="H194" s="1087"/>
      <c r="I194" s="1087"/>
      <c r="J194" s="1087"/>
      <c r="K194" s="1087"/>
      <c r="L194" s="1087"/>
    </row>
    <row r="195" spans="1:12">
      <c r="B195" s="334" t="s">
        <v>1965</v>
      </c>
      <c r="C195" s="396"/>
      <c r="D195" s="421">
        <f>ROUND($C$196* (E171/$E$172), -3)</f>
        <v>851000</v>
      </c>
      <c r="E195" s="387"/>
      <c r="F195" s="421">
        <f>ROUND($E$196* (E171/$E$172), -3)</f>
        <v>390000</v>
      </c>
      <c r="G195" s="1087"/>
      <c r="H195" s="1087"/>
      <c r="I195" s="1087"/>
      <c r="J195" s="1087"/>
      <c r="K195" s="1087"/>
      <c r="L195" s="1087"/>
    </row>
    <row r="196" spans="1:12">
      <c r="B196" s="334" t="s">
        <v>1966</v>
      </c>
      <c r="C196" s="396">
        <f>E168</f>
        <v>998000</v>
      </c>
      <c r="D196" s="421">
        <f>ROUND($C$196* (E172/$E$172), -3)</f>
        <v>998000</v>
      </c>
      <c r="E196" s="387">
        <f>E169</f>
        <v>457000</v>
      </c>
      <c r="F196" s="421">
        <f>ROUND($E$196* (E172/$E$172), -3)</f>
        <v>457000</v>
      </c>
      <c r="G196" s="1087"/>
      <c r="H196" s="1087"/>
      <c r="I196" s="1087"/>
      <c r="J196" s="1087"/>
      <c r="K196" s="1087"/>
      <c r="L196" s="1087"/>
    </row>
    <row r="197" spans="1:12">
      <c r="B197" s="3"/>
      <c r="C197" s="130"/>
      <c r="D197" s="135"/>
      <c r="E197" s="26"/>
      <c r="F197" s="135"/>
    </row>
    <row r="198" spans="1:12" ht="57.95">
      <c r="B198" s="298" t="s">
        <v>1959</v>
      </c>
      <c r="C198" s="298" t="s">
        <v>1986</v>
      </c>
      <c r="D198" s="298" t="s">
        <v>1987</v>
      </c>
    </row>
    <row r="199" spans="1:12">
      <c r="B199" s="334" t="s">
        <v>1963</v>
      </c>
      <c r="C199" s="396" t="s">
        <v>1964</v>
      </c>
      <c r="D199" s="396" t="s">
        <v>1964</v>
      </c>
    </row>
    <row r="200" spans="1:12">
      <c r="B200" s="334" t="s">
        <v>1965</v>
      </c>
      <c r="C200" s="396">
        <f>D195-D194</f>
        <v>117000</v>
      </c>
      <c r="D200" s="396">
        <f>F195-F194</f>
        <v>54000</v>
      </c>
    </row>
    <row r="201" spans="1:12" ht="15" thickBot="1">
      <c r="B201" s="131" t="s">
        <v>1966</v>
      </c>
      <c r="C201" s="132">
        <f>D196-D195</f>
        <v>147000</v>
      </c>
      <c r="D201" s="132">
        <f>F196-F195</f>
        <v>67000</v>
      </c>
    </row>
    <row r="202" spans="1:12">
      <c r="B202" s="133" t="s">
        <v>1899</v>
      </c>
      <c r="C202" s="134">
        <f>AVERAGE(C200:C201)</f>
        <v>132000</v>
      </c>
      <c r="D202" s="134">
        <f>AVERAGE(D200:D201)</f>
        <v>60500</v>
      </c>
    </row>
    <row r="204" spans="1:12">
      <c r="A204" s="727"/>
      <c r="B204" s="728" t="s">
        <v>1045</v>
      </c>
      <c r="C204" s="727"/>
      <c r="D204" s="727"/>
      <c r="E204" s="727"/>
      <c r="F204" s="727"/>
      <c r="G204" s="727"/>
      <c r="H204" s="727"/>
    </row>
    <row r="205" spans="1:12">
      <c r="A205" s="725"/>
      <c r="B205" s="726" t="s">
        <v>912</v>
      </c>
      <c r="C205" s="725"/>
      <c r="D205" s="725"/>
      <c r="E205" s="725"/>
      <c r="F205" s="725"/>
      <c r="G205" s="725"/>
      <c r="H205" s="725"/>
    </row>
    <row r="206" spans="1:12" ht="29.1">
      <c r="B206" s="719" t="s">
        <v>913</v>
      </c>
      <c r="C206" s="719" t="s">
        <v>914</v>
      </c>
      <c r="D206" s="719" t="s">
        <v>915</v>
      </c>
      <c r="E206" s="719" t="s">
        <v>916</v>
      </c>
      <c r="F206" s="719" t="s">
        <v>917</v>
      </c>
      <c r="G206" s="719" t="s">
        <v>918</v>
      </c>
      <c r="H206" s="719" t="s">
        <v>919</v>
      </c>
    </row>
    <row r="207" spans="1:12">
      <c r="B207" s="278">
        <v>7</v>
      </c>
      <c r="C207" s="278" t="s">
        <v>993</v>
      </c>
      <c r="D207" s="279" t="s">
        <v>907</v>
      </c>
      <c r="E207" s="278">
        <v>2018</v>
      </c>
      <c r="F207" s="278" t="s">
        <v>921</v>
      </c>
      <c r="G207" s="278" t="s">
        <v>994</v>
      </c>
      <c r="H207" s="278">
        <v>511</v>
      </c>
    </row>
    <row r="208" spans="1:12">
      <c r="B208" s="278">
        <v>43</v>
      </c>
      <c r="C208" s="278" t="s">
        <v>1941</v>
      </c>
      <c r="D208" s="278" t="s">
        <v>907</v>
      </c>
      <c r="E208" s="278">
        <v>2025</v>
      </c>
      <c r="F208" s="278" t="s">
        <v>921</v>
      </c>
      <c r="G208" s="278" t="s">
        <v>921</v>
      </c>
      <c r="H208" s="278"/>
    </row>
    <row r="209" spans="1:13">
      <c r="B209" s="278">
        <v>1</v>
      </c>
      <c r="C209" s="278" t="s">
        <v>1867</v>
      </c>
      <c r="D209" s="278" t="s">
        <v>1182</v>
      </c>
      <c r="E209" s="278">
        <v>2013</v>
      </c>
      <c r="F209" s="278" t="s">
        <v>921</v>
      </c>
      <c r="G209" s="278" t="s">
        <v>921</v>
      </c>
      <c r="H209" s="278"/>
    </row>
    <row r="210" spans="1:13">
      <c r="B210" s="16"/>
    </row>
    <row r="211" spans="1:13">
      <c r="A211" s="725"/>
      <c r="B211" s="726" t="s">
        <v>924</v>
      </c>
      <c r="C211" s="725"/>
      <c r="D211" s="725"/>
      <c r="E211" s="725"/>
      <c r="F211" s="725"/>
      <c r="G211" s="725"/>
      <c r="H211" s="725"/>
    </row>
    <row r="212" spans="1:13">
      <c r="B212" s="277" t="s">
        <v>165</v>
      </c>
      <c r="C212" s="277" t="s">
        <v>925</v>
      </c>
      <c r="D212" s="277" t="s">
        <v>926</v>
      </c>
      <c r="E212" s="1134" t="s">
        <v>927</v>
      </c>
      <c r="F212" s="1134"/>
      <c r="G212" s="1134"/>
      <c r="H212" s="1134"/>
    </row>
    <row r="213" spans="1:13">
      <c r="B213" s="278" t="s">
        <v>169</v>
      </c>
      <c r="C213" s="278" t="s">
        <v>167</v>
      </c>
      <c r="D213" s="278">
        <f>VLOOKUP(C213,METHODOLOGY!$C$175:$D$177,2,FALSE)</f>
        <v>2</v>
      </c>
      <c r="E213" s="1087" t="str">
        <f>_xlfn.XLOOKUP(C213,METHODOLOGY!$E$150:$O$150,METHODOLOGY!$E$151:$O$151,"",0,1)</f>
        <v>The monetary values are recommended / referenced in other, well recognised and accepted guidance / tools relevant to another sector.</v>
      </c>
      <c r="F213" s="1087"/>
      <c r="G213" s="1087"/>
      <c r="H213" s="1087"/>
    </row>
    <row r="214" spans="1:13">
      <c r="B214" s="278" t="s">
        <v>173</v>
      </c>
      <c r="C214" s="278" t="s">
        <v>166</v>
      </c>
      <c r="D214" s="278">
        <f>VLOOKUP(C214,METHODOLOGY!$C$175:$D$177,2,FALSE)</f>
        <v>3</v>
      </c>
      <c r="E214" s="1087" t="str">
        <f>_xlfn.XLOOKUP(C214,METHODOLOGY!$E$150:$O$150,METHODOLOGY!$E$155:$O$155,"",0,1)</f>
        <v>Study has few limitations and is considered robust.</v>
      </c>
      <c r="F214" s="1087"/>
      <c r="G214" s="1087"/>
      <c r="H214" s="1087"/>
    </row>
    <row r="215" spans="1:13">
      <c r="B215" s="278" t="s">
        <v>177</v>
      </c>
      <c r="C215" s="278" t="s">
        <v>167</v>
      </c>
      <c r="D215" s="278">
        <f>VLOOKUP(C215,METHODOLOGY!$C$175:$D$177,2,FALSE)</f>
        <v>2</v>
      </c>
      <c r="E215" s="1087" t="str">
        <f>_xlfn.XLOOKUP(C215,METHODOLOGY!$E$150:$O$150,METHODOLOGY!$E$158:$O$158,"",0,1)</f>
        <v>6-10 years</v>
      </c>
      <c r="F215" s="1087"/>
      <c r="G215" s="1087"/>
      <c r="H215" s="1087"/>
    </row>
    <row r="216" spans="1:13">
      <c r="B216" s="278" t="s">
        <v>181</v>
      </c>
      <c r="C216" s="278" t="s">
        <v>167</v>
      </c>
      <c r="D216" s="278">
        <f>VLOOKUP(C216,METHODOLOGY!$C$175:$D$177,2,FALSE)</f>
        <v>2</v>
      </c>
      <c r="E216" s="1087" t="str">
        <f>_xlfn.XLOOKUP(C216,METHODOLOGY!$E$150:$O$150,METHODOLOGY!$E$160:$O$160,"",0,1)</f>
        <v>Less geographically relevant e.g. Europe or relevant to a specific UK region</v>
      </c>
      <c r="F216" s="1087"/>
      <c r="G216" s="1087"/>
      <c r="H216" s="1087"/>
    </row>
    <row r="217" spans="1:13">
      <c r="B217" s="278" t="s">
        <v>928</v>
      </c>
      <c r="C217" s="278" t="s">
        <v>166</v>
      </c>
      <c r="D217" s="278">
        <f>VLOOKUP(C217,METHODOLOGY!$C$175:$D$177,2,FALSE)</f>
        <v>3</v>
      </c>
      <c r="E217" s="1087" t="str">
        <f>_xlfn.XLOOKUP(C217,METHODOLOGY!$E$150:$O$150,METHODOLOGY!$E$162:$O$162,"",0,1)</f>
        <v>Clear understanding of the valuation method and how the value should be applied.</v>
      </c>
      <c r="F217" s="1087"/>
      <c r="G217" s="1087"/>
      <c r="H217" s="1087"/>
    </row>
    <row r="218" spans="1:13">
      <c r="B218" s="278" t="s">
        <v>189</v>
      </c>
      <c r="C218" s="278" t="s">
        <v>167</v>
      </c>
      <c r="D218" s="278">
        <f>VLOOKUP(C218,METHODOLOGY!$C$175:$D$177,2,FALSE)</f>
        <v>2</v>
      </c>
      <c r="E218" s="1087" t="str">
        <f>_xlfn.XLOOKUP(C218,METHODOLOGY!$E$150:$O$150,METHODOLOGY!$E$164:$O$164,"",0,1)</f>
        <v xml:space="preserve">The original valuation can be used with some modification e.g. applying household numbers. The calculation is simple or introduces low levels of uncertainty. </v>
      </c>
      <c r="F218" s="1087"/>
      <c r="G218" s="1087"/>
      <c r="H218" s="1087"/>
    </row>
    <row r="219" spans="1:13">
      <c r="C219" s="282" t="s">
        <v>924</v>
      </c>
      <c r="D219" s="326">
        <f>IF(AND(D218=1,AVERAGE(D213:D218)&gt;2.14285714285714),2.14285714285714,IF(AND(D218=2,AVERAGE(D213:D218)&gt;2.57142857142857),2.57142857142857,AVERAGE(D213:D218)))</f>
        <v>2.3333333333333335</v>
      </c>
      <c r="E219" s="270" t="str">
        <f>IF(D219&lt;=2.14285714285714,"Red",IF(D219&lt;=2.57142857142857,"Amber",IF(D219&lt;=3,"Green")))</f>
        <v>Amber</v>
      </c>
    </row>
    <row r="222" spans="1:13">
      <c r="A222" s="725"/>
      <c r="B222" s="726" t="s">
        <v>929</v>
      </c>
      <c r="C222" s="725"/>
      <c r="D222" s="725"/>
      <c r="E222" s="725"/>
      <c r="F222" s="725"/>
      <c r="G222" s="725"/>
      <c r="H222" s="725"/>
    </row>
    <row r="223" spans="1:13">
      <c r="B223" s="277" t="s">
        <v>913</v>
      </c>
      <c r="C223" s="277" t="s">
        <v>1089</v>
      </c>
      <c r="D223" s="277" t="s">
        <v>902</v>
      </c>
      <c r="E223" s="277" t="s">
        <v>331</v>
      </c>
      <c r="F223" s="277" t="s">
        <v>226</v>
      </c>
      <c r="G223" s="1157" t="s">
        <v>930</v>
      </c>
      <c r="H223" s="1157"/>
      <c r="I223" s="1157"/>
      <c r="J223" s="1157"/>
      <c r="K223" s="1157"/>
      <c r="L223" s="1157"/>
    </row>
    <row r="224" spans="1:13" ht="43.5">
      <c r="B224" s="278">
        <v>7</v>
      </c>
      <c r="C224" s="278" t="s">
        <v>462</v>
      </c>
      <c r="D224" s="375" t="s">
        <v>159</v>
      </c>
      <c r="E224" s="502">
        <v>928935</v>
      </c>
      <c r="F224" s="507" t="s">
        <v>1996</v>
      </c>
      <c r="G224" s="1118" t="s">
        <v>1997</v>
      </c>
      <c r="H224" s="1119"/>
      <c r="I224" s="1119"/>
      <c r="J224" s="1119"/>
      <c r="K224" s="1119"/>
      <c r="L224" s="1091"/>
      <c r="M224" s="251"/>
    </row>
    <row r="225" spans="1:12" ht="43.5">
      <c r="B225" s="278">
        <v>43</v>
      </c>
      <c r="C225" s="278" t="s">
        <v>462</v>
      </c>
      <c r="D225" s="375" t="s">
        <v>159</v>
      </c>
      <c r="E225" s="305">
        <v>48</v>
      </c>
      <c r="F225" s="507" t="s">
        <v>1998</v>
      </c>
      <c r="G225" s="1118" t="s">
        <v>1999</v>
      </c>
      <c r="H225" s="1119"/>
      <c r="I225" s="1119"/>
      <c r="J225" s="1119"/>
      <c r="K225" s="1119"/>
      <c r="L225" s="1091"/>
    </row>
    <row r="226" spans="1:12" ht="57.95">
      <c r="B226" s="278"/>
      <c r="C226" s="278"/>
      <c r="D226" s="278"/>
      <c r="E226" s="305">
        <v>1219713</v>
      </c>
      <c r="F226" s="507" t="s">
        <v>2000</v>
      </c>
      <c r="G226" s="1118" t="s">
        <v>2001</v>
      </c>
      <c r="H226" s="1119"/>
      <c r="I226" s="1119"/>
      <c r="J226" s="1119"/>
      <c r="K226" s="1119"/>
      <c r="L226" s="1091"/>
    </row>
    <row r="227" spans="1:12" ht="57.95">
      <c r="B227" s="278"/>
      <c r="C227" s="278"/>
      <c r="D227" s="278"/>
      <c r="E227" s="278">
        <v>62207</v>
      </c>
      <c r="F227" s="507" t="s">
        <v>2002</v>
      </c>
      <c r="G227" s="1118" t="s">
        <v>2001</v>
      </c>
      <c r="H227" s="1119"/>
      <c r="I227" s="1119"/>
      <c r="J227" s="1119"/>
      <c r="K227" s="1119"/>
      <c r="L227" s="1091"/>
    </row>
    <row r="228" spans="1:12" ht="34.5" customHeight="1">
      <c r="B228" s="278">
        <v>1</v>
      </c>
      <c r="C228" s="278" t="s">
        <v>462</v>
      </c>
      <c r="D228" s="375" t="s">
        <v>157</v>
      </c>
      <c r="E228" s="435">
        <v>7.5</v>
      </c>
      <c r="F228" s="394" t="s">
        <v>1943</v>
      </c>
      <c r="G228" s="1095" t="s">
        <v>1990</v>
      </c>
      <c r="H228" s="1095"/>
      <c r="I228" s="1095"/>
      <c r="J228" s="1095"/>
      <c r="K228" s="1095"/>
      <c r="L228" s="1095"/>
    </row>
    <row r="229" spans="1:12" ht="43.5">
      <c r="B229" s="278">
        <v>1</v>
      </c>
      <c r="C229" s="278" t="s">
        <v>462</v>
      </c>
      <c r="D229" s="375" t="s">
        <v>158</v>
      </c>
      <c r="E229" s="435">
        <v>8.6999999999999993</v>
      </c>
      <c r="F229" s="394" t="s">
        <v>1943</v>
      </c>
      <c r="G229" s="1095"/>
      <c r="H229" s="1095"/>
      <c r="I229" s="1095"/>
      <c r="J229" s="1095"/>
      <c r="K229" s="1095"/>
      <c r="L229" s="1095"/>
    </row>
    <row r="230" spans="1:12" ht="43.5">
      <c r="B230" s="278">
        <v>1</v>
      </c>
      <c r="C230" s="278" t="s">
        <v>462</v>
      </c>
      <c r="D230" s="375" t="s">
        <v>159</v>
      </c>
      <c r="E230" s="435">
        <v>10.199999999999999</v>
      </c>
      <c r="F230" s="394" t="s">
        <v>1943</v>
      </c>
      <c r="G230" s="1095"/>
      <c r="H230" s="1095"/>
      <c r="I230" s="1095"/>
      <c r="J230" s="1095"/>
      <c r="K230" s="1095"/>
      <c r="L230" s="1095"/>
    </row>
    <row r="232" spans="1:12">
      <c r="A232" s="725"/>
      <c r="B232" s="726" t="s">
        <v>936</v>
      </c>
      <c r="C232" s="725"/>
      <c r="D232" s="725"/>
      <c r="E232" s="725"/>
      <c r="F232" s="725"/>
      <c r="G232" s="725"/>
      <c r="H232" s="725"/>
    </row>
    <row r="233" spans="1:12">
      <c r="B233" s="298" t="s">
        <v>936</v>
      </c>
      <c r="C233" s="298" t="s">
        <v>331</v>
      </c>
      <c r="D233" s="298" t="s">
        <v>711</v>
      </c>
      <c r="E233" s="1170" t="s">
        <v>930</v>
      </c>
      <c r="F233" s="1170"/>
      <c r="G233" s="1170"/>
      <c r="H233" s="1170"/>
      <c r="I233" s="1170"/>
      <c r="J233" s="1170"/>
      <c r="K233" s="1170"/>
      <c r="L233" s="1170"/>
    </row>
    <row r="234" spans="1:12">
      <c r="B234" s="334" t="s">
        <v>2003</v>
      </c>
      <c r="C234" s="396">
        <f>E224/(E225*0.01)</f>
        <v>1935281.25</v>
      </c>
      <c r="D234" s="295" t="s">
        <v>2004</v>
      </c>
      <c r="E234" s="1171" t="s">
        <v>2005</v>
      </c>
      <c r="F234" s="1171"/>
      <c r="G234" s="1171"/>
      <c r="H234" s="1171"/>
      <c r="I234" s="1171"/>
      <c r="J234" s="1171"/>
      <c r="K234" s="1171"/>
      <c r="L234" s="1171"/>
    </row>
    <row r="235" spans="1:12">
      <c r="B235" s="3"/>
      <c r="C235" s="130"/>
      <c r="D235" s="24"/>
      <c r="E235" s="252"/>
      <c r="F235" s="252"/>
      <c r="G235" s="252"/>
      <c r="H235" s="252"/>
      <c r="I235" s="252"/>
      <c r="J235" s="252"/>
      <c r="K235" s="252"/>
      <c r="L235" s="252"/>
    </row>
    <row r="236" spans="1:12" ht="29.45" customHeight="1">
      <c r="B236" s="298" t="s">
        <v>1959</v>
      </c>
      <c r="C236" s="298" t="s">
        <v>2006</v>
      </c>
      <c r="D236" s="298" t="s">
        <v>2007</v>
      </c>
      <c r="E236" s="298" t="s">
        <v>2008</v>
      </c>
      <c r="F236" s="1170" t="s">
        <v>930</v>
      </c>
      <c r="G236" s="1170"/>
      <c r="H236" s="1170"/>
      <c r="I236" s="1170"/>
      <c r="J236" s="1170"/>
      <c r="K236" s="1170"/>
      <c r="L236" s="1170"/>
    </row>
    <row r="237" spans="1:12">
      <c r="B237" s="334" t="s">
        <v>157</v>
      </c>
      <c r="C237" s="396">
        <f>C239*(E228/E230)</f>
        <v>1423000.9191176472</v>
      </c>
      <c r="D237" s="396">
        <f t="shared" ref="D237:D238" si="0">$C237*($E$226/($E$226+$E$227))</f>
        <v>1353947.7658978272</v>
      </c>
      <c r="E237" s="396">
        <f>$C237*($E$227/($E$226+$E$227))</f>
        <v>69053.153219819869</v>
      </c>
      <c r="F237" s="1171" t="s">
        <v>2009</v>
      </c>
      <c r="G237" s="1171"/>
      <c r="H237" s="1171"/>
      <c r="I237" s="1171"/>
      <c r="J237" s="1171"/>
      <c r="K237" s="1171"/>
      <c r="L237" s="1171"/>
    </row>
    <row r="238" spans="1:12">
      <c r="B238" s="334" t="s">
        <v>158</v>
      </c>
      <c r="C238" s="396">
        <f>C239*(E229/E230)</f>
        <v>1650681.0661764706</v>
      </c>
      <c r="D238" s="396">
        <f t="shared" si="0"/>
        <v>1570579.4084414796</v>
      </c>
      <c r="E238" s="396">
        <f t="shared" ref="E238:E239" si="1">$C238*($E$227/($E$226+$E$227))</f>
        <v>80101.657734991037</v>
      </c>
      <c r="F238" s="1171" t="s">
        <v>2009</v>
      </c>
      <c r="G238" s="1171"/>
      <c r="H238" s="1171"/>
      <c r="I238" s="1171"/>
      <c r="J238" s="1171"/>
      <c r="K238" s="1171"/>
      <c r="L238" s="1171"/>
    </row>
    <row r="239" spans="1:12">
      <c r="B239" s="334" t="s">
        <v>159</v>
      </c>
      <c r="C239" s="396">
        <f>C234</f>
        <v>1935281.25</v>
      </c>
      <c r="D239" s="396">
        <f>$C239*($E$226/($E$226+$E$227))</f>
        <v>1841368.9616210449</v>
      </c>
      <c r="E239" s="396">
        <f t="shared" si="1"/>
        <v>93912.288378954996</v>
      </c>
      <c r="F239" s="1171"/>
      <c r="G239" s="1171"/>
      <c r="H239" s="1171"/>
      <c r="I239" s="1171"/>
      <c r="J239" s="1171"/>
      <c r="K239" s="1171"/>
      <c r="L239" s="1171"/>
    </row>
    <row r="241" spans="1:12" ht="57.95">
      <c r="B241" s="298" t="s">
        <v>1959</v>
      </c>
      <c r="C241" s="298" t="s">
        <v>1986</v>
      </c>
      <c r="D241" s="298" t="s">
        <v>1987</v>
      </c>
    </row>
    <row r="242" spans="1:12">
      <c r="B242" s="334" t="s">
        <v>157</v>
      </c>
      <c r="C242" s="396" t="s">
        <v>1964</v>
      </c>
      <c r="D242" s="295" t="s">
        <v>1964</v>
      </c>
    </row>
    <row r="243" spans="1:12">
      <c r="B243" s="334" t="s">
        <v>158</v>
      </c>
      <c r="C243" s="396">
        <f>ABS(D238-D237)</f>
        <v>216631.64254365233</v>
      </c>
      <c r="D243" s="396">
        <f>ABS(E238-E237)</f>
        <v>11048.504515171167</v>
      </c>
    </row>
    <row r="244" spans="1:12" ht="15" thickBot="1">
      <c r="B244" s="131" t="s">
        <v>159</v>
      </c>
      <c r="C244" s="132">
        <f>ABS(D239-D238)</f>
        <v>270789.55317956535</v>
      </c>
      <c r="D244" s="132">
        <f>ABS(E239-E238)</f>
        <v>13810.630643963959</v>
      </c>
    </row>
    <row r="245" spans="1:12">
      <c r="B245" s="133" t="s">
        <v>1899</v>
      </c>
      <c r="C245" s="134">
        <f>AVERAGE(C243:C244)</f>
        <v>243710.59786160884</v>
      </c>
      <c r="D245" s="134">
        <f>AVERAGE(D243:D244)</f>
        <v>12429.567579567563</v>
      </c>
    </row>
    <row r="246" spans="1:12">
      <c r="B246" s="3"/>
      <c r="C246" s="130"/>
      <c r="D246" s="24"/>
      <c r="E246" s="252"/>
      <c r="F246" s="252"/>
      <c r="G246" s="252"/>
      <c r="H246" s="252"/>
      <c r="I246" s="252"/>
      <c r="J246" s="252"/>
      <c r="K246" s="252"/>
      <c r="L246" s="252"/>
    </row>
    <row r="248" spans="1:12">
      <c r="A248" s="727"/>
      <c r="B248" s="728" t="s">
        <v>1565</v>
      </c>
      <c r="C248" s="727"/>
      <c r="D248" s="727"/>
      <c r="E248" s="727"/>
      <c r="F248" s="727"/>
      <c r="G248" s="727"/>
      <c r="H248" s="727"/>
    </row>
    <row r="249" spans="1:12">
      <c r="A249" s="725"/>
      <c r="B249" s="726" t="s">
        <v>912</v>
      </c>
      <c r="C249" s="725"/>
      <c r="D249" s="725"/>
      <c r="E249" s="725"/>
      <c r="F249" s="725"/>
      <c r="G249" s="725"/>
      <c r="H249" s="725"/>
    </row>
    <row r="250" spans="1:12" ht="29.1">
      <c r="B250" s="719" t="s">
        <v>913</v>
      </c>
      <c r="C250" s="719" t="s">
        <v>914</v>
      </c>
      <c r="D250" s="719" t="s">
        <v>915</v>
      </c>
      <c r="E250" s="719" t="s">
        <v>916</v>
      </c>
      <c r="F250" s="719" t="s">
        <v>917</v>
      </c>
      <c r="G250" s="719" t="s">
        <v>918</v>
      </c>
      <c r="H250" s="719" t="s">
        <v>919</v>
      </c>
    </row>
    <row r="251" spans="1:12">
      <c r="B251" s="278">
        <v>9</v>
      </c>
      <c r="C251" s="278" t="s">
        <v>1029</v>
      </c>
      <c r="D251" s="279" t="s">
        <v>907</v>
      </c>
      <c r="E251" s="278">
        <v>2018</v>
      </c>
      <c r="F251" s="278" t="s">
        <v>921</v>
      </c>
      <c r="G251" s="278" t="s">
        <v>1030</v>
      </c>
      <c r="H251" s="278">
        <v>505</v>
      </c>
    </row>
    <row r="252" spans="1:12">
      <c r="B252" s="16"/>
    </row>
    <row r="253" spans="1:12">
      <c r="A253" s="725"/>
      <c r="B253" s="726" t="s">
        <v>924</v>
      </c>
      <c r="C253" s="725"/>
      <c r="D253" s="725"/>
      <c r="E253" s="725"/>
      <c r="F253" s="725"/>
      <c r="G253" s="725"/>
      <c r="H253" s="725"/>
    </row>
    <row r="254" spans="1:12">
      <c r="B254" s="277" t="s">
        <v>165</v>
      </c>
      <c r="C254" s="277" t="s">
        <v>925</v>
      </c>
      <c r="D254" s="277" t="s">
        <v>926</v>
      </c>
      <c r="E254" s="1134" t="s">
        <v>927</v>
      </c>
      <c r="F254" s="1134"/>
      <c r="G254" s="1134"/>
      <c r="H254" s="1134"/>
    </row>
    <row r="255" spans="1:12">
      <c r="B255" s="278" t="s">
        <v>169</v>
      </c>
      <c r="C255" s="278" t="s">
        <v>167</v>
      </c>
      <c r="D255" s="278">
        <f>VLOOKUP(C255,METHODOLOGY!$C$175:$D$177,2,FALSE)</f>
        <v>2</v>
      </c>
      <c r="E255" s="1087" t="str">
        <f>_xlfn.XLOOKUP(C255,METHODOLOGY!$E$150:$O$150,METHODOLOGY!$E$151:$O$151,"",0,1)</f>
        <v>The monetary values are recommended / referenced in other, well recognised and accepted guidance / tools relevant to another sector.</v>
      </c>
      <c r="F255" s="1087"/>
      <c r="G255" s="1087"/>
      <c r="H255" s="1087"/>
    </row>
    <row r="256" spans="1:12">
      <c r="B256" s="278" t="s">
        <v>173</v>
      </c>
      <c r="C256" s="278" t="s">
        <v>166</v>
      </c>
      <c r="D256" s="278">
        <f>VLOOKUP(C256,METHODOLOGY!$C$175:$D$177,2,FALSE)</f>
        <v>3</v>
      </c>
      <c r="E256" s="1087" t="str">
        <f>_xlfn.XLOOKUP(C256,METHODOLOGY!$E$150:$O$150,METHODOLOGY!$E$155:$O$155,"",0,1)</f>
        <v>Study has few limitations and is considered robust.</v>
      </c>
      <c r="F256" s="1087"/>
      <c r="G256" s="1087"/>
      <c r="H256" s="1087"/>
    </row>
    <row r="257" spans="1:12">
      <c r="B257" s="278" t="s">
        <v>177</v>
      </c>
      <c r="C257" s="278" t="s">
        <v>167</v>
      </c>
      <c r="D257" s="278">
        <f>VLOOKUP(C257,METHODOLOGY!$C$175:$D$177,2,FALSE)</f>
        <v>2</v>
      </c>
      <c r="E257" s="1087" t="str">
        <f>_xlfn.XLOOKUP(C257,METHODOLOGY!$E$150:$O$150,METHODOLOGY!$E$158:$O$158,"",0,1)</f>
        <v>6-10 years</v>
      </c>
      <c r="F257" s="1087"/>
      <c r="G257" s="1087"/>
      <c r="H257" s="1087"/>
    </row>
    <row r="258" spans="1:12">
      <c r="B258" s="278" t="s">
        <v>181</v>
      </c>
      <c r="C258" s="278" t="s">
        <v>167</v>
      </c>
      <c r="D258" s="278">
        <f>VLOOKUP(C258,METHODOLOGY!$C$175:$D$177,2,FALSE)</f>
        <v>2</v>
      </c>
      <c r="E258" s="1087" t="str">
        <f>_xlfn.XLOOKUP(C258,METHODOLOGY!$E$150:$O$150,METHODOLOGY!$E$160:$O$160,"",0,1)</f>
        <v>Less geographically relevant e.g. Europe or relevant to a specific UK region</v>
      </c>
      <c r="F258" s="1087"/>
      <c r="G258" s="1087"/>
      <c r="H258" s="1087"/>
    </row>
    <row r="259" spans="1:12">
      <c r="B259" s="278" t="s">
        <v>928</v>
      </c>
      <c r="C259" s="278" t="s">
        <v>167</v>
      </c>
      <c r="D259" s="278">
        <f>VLOOKUP(C259,METHODOLOGY!$C$175:$D$177,2,FALSE)</f>
        <v>2</v>
      </c>
      <c r="E259" s="1087" t="str">
        <f>_xlfn.XLOOKUP(C259,METHODOLOGY!$E$150:$O$150,METHODOLOGY!$E$162:$O$162,"",0,1)</f>
        <v>Meta-analysis or limited understanding of what the value represents.</v>
      </c>
      <c r="F259" s="1087"/>
      <c r="G259" s="1087"/>
      <c r="H259" s="1087"/>
    </row>
    <row r="260" spans="1:12">
      <c r="B260" s="278" t="s">
        <v>189</v>
      </c>
      <c r="C260" s="278" t="s">
        <v>167</v>
      </c>
      <c r="D260" s="278">
        <f>VLOOKUP(C260,METHODOLOGY!$C$175:$D$177,2,FALSE)</f>
        <v>2</v>
      </c>
      <c r="E260" s="1087" t="str">
        <f>_xlfn.XLOOKUP(C260,METHODOLOGY!$E$150:$O$150,METHODOLOGY!$E$164:$O$164,"",0,1)</f>
        <v xml:space="preserve">The original valuation can be used with some modification e.g. applying household numbers. The calculation is simple or introduces low levels of uncertainty. </v>
      </c>
      <c r="F260" s="1087"/>
      <c r="G260" s="1087"/>
      <c r="H260" s="1087"/>
    </row>
    <row r="261" spans="1:12">
      <c r="C261" s="282" t="s">
        <v>924</v>
      </c>
      <c r="D261" s="326">
        <f>IF(AND(D260=1,AVERAGE(D255:D260)&gt;2.14285714285714),2.14285714285714,IF(AND(D260=2,AVERAGE(D255:D260)&gt;2.57142857142857),2.57142857142857,AVERAGE(D255:D260)))</f>
        <v>2.1666666666666665</v>
      </c>
      <c r="E261" s="270" t="str">
        <f>IF(D261&lt;=2.14285714285714,"Red",IF(D261&lt;=2.57142857142857,"Amber",IF(D261&lt;=3,"Green")))</f>
        <v>Amber</v>
      </c>
    </row>
    <row r="264" spans="1:12">
      <c r="A264" s="725"/>
      <c r="B264" s="726" t="s">
        <v>929</v>
      </c>
      <c r="C264" s="725"/>
      <c r="D264" s="725"/>
      <c r="E264" s="725"/>
      <c r="F264" s="725"/>
      <c r="G264" s="725"/>
      <c r="H264" s="725"/>
    </row>
    <row r="265" spans="1:12">
      <c r="B265" s="277" t="s">
        <v>913</v>
      </c>
      <c r="C265" s="277" t="s">
        <v>1089</v>
      </c>
      <c r="D265" s="277" t="s">
        <v>902</v>
      </c>
      <c r="E265" s="277" t="s">
        <v>331</v>
      </c>
      <c r="F265" s="277" t="s">
        <v>226</v>
      </c>
      <c r="G265" s="1157" t="s">
        <v>930</v>
      </c>
      <c r="H265" s="1157"/>
      <c r="I265" s="1157"/>
      <c r="J265" s="1157"/>
      <c r="K265" s="1157"/>
      <c r="L265" s="1157"/>
    </row>
    <row r="266" spans="1:12">
      <c r="B266" s="278">
        <v>9</v>
      </c>
      <c r="C266" s="278" t="s">
        <v>108</v>
      </c>
      <c r="D266" s="278" t="s">
        <v>157</v>
      </c>
      <c r="E266" s="387">
        <v>2654697</v>
      </c>
      <c r="F266" s="394" t="s">
        <v>2004</v>
      </c>
      <c r="G266" s="1118" t="s">
        <v>2010</v>
      </c>
      <c r="H266" s="1119"/>
      <c r="I266" s="1119"/>
      <c r="J266" s="1119"/>
      <c r="K266" s="1119"/>
      <c r="L266" s="1091"/>
    </row>
    <row r="267" spans="1:12">
      <c r="B267" s="278">
        <v>9</v>
      </c>
      <c r="C267" s="278" t="s">
        <v>108</v>
      </c>
      <c r="D267" s="278" t="s">
        <v>158</v>
      </c>
      <c r="E267" s="387">
        <v>2991208</v>
      </c>
      <c r="F267" s="394" t="s">
        <v>2004</v>
      </c>
      <c r="G267" s="1118" t="s">
        <v>2011</v>
      </c>
      <c r="H267" s="1119"/>
      <c r="I267" s="1119"/>
      <c r="J267" s="1119"/>
      <c r="K267" s="1119"/>
      <c r="L267" s="1091"/>
    </row>
    <row r="268" spans="1:12">
      <c r="B268" s="278">
        <v>9</v>
      </c>
      <c r="C268" s="278" t="s">
        <v>108</v>
      </c>
      <c r="D268" s="278" t="s">
        <v>159</v>
      </c>
      <c r="E268" s="387">
        <v>3739010</v>
      </c>
      <c r="F268" s="394" t="s">
        <v>2004</v>
      </c>
      <c r="G268" s="1118" t="s">
        <v>2012</v>
      </c>
      <c r="H268" s="1119"/>
      <c r="I268" s="1119"/>
      <c r="J268" s="1119"/>
      <c r="K268" s="1119"/>
      <c r="L268" s="1091"/>
    </row>
    <row r="269" spans="1:12" ht="15.75" customHeight="1">
      <c r="B269" s="278">
        <v>9</v>
      </c>
      <c r="C269" s="278" t="s">
        <v>151</v>
      </c>
      <c r="D269" s="278" t="s">
        <v>409</v>
      </c>
      <c r="E269" s="305">
        <v>2554933</v>
      </c>
      <c r="F269" s="364" t="s">
        <v>2013</v>
      </c>
      <c r="G269" s="1240" t="s">
        <v>2014</v>
      </c>
      <c r="H269" s="1181"/>
      <c r="I269" s="1181"/>
      <c r="J269" s="1181"/>
      <c r="K269" s="1181"/>
      <c r="L269" s="1182"/>
    </row>
    <row r="270" spans="1:12">
      <c r="B270" s="278">
        <v>9</v>
      </c>
      <c r="C270" s="278" t="s">
        <v>462</v>
      </c>
      <c r="D270" s="278" t="s">
        <v>409</v>
      </c>
      <c r="E270" s="278">
        <v>108299</v>
      </c>
      <c r="F270" s="364" t="s">
        <v>2015</v>
      </c>
      <c r="G270" s="1183"/>
      <c r="H270" s="1184"/>
      <c r="I270" s="1184"/>
      <c r="J270" s="1184"/>
      <c r="K270" s="1184"/>
      <c r="L270" s="1185"/>
    </row>
    <row r="272" spans="1:12">
      <c r="A272" s="725"/>
      <c r="B272" s="726" t="s">
        <v>936</v>
      </c>
      <c r="C272" s="725"/>
      <c r="D272" s="725"/>
      <c r="E272" s="725"/>
      <c r="F272" s="725"/>
      <c r="G272" s="725"/>
      <c r="H272" s="725"/>
    </row>
    <row r="273" spans="1:13" ht="29.45" customHeight="1">
      <c r="B273" s="400" t="s">
        <v>1959</v>
      </c>
      <c r="C273" s="400" t="s">
        <v>2006</v>
      </c>
      <c r="D273" s="400" t="s">
        <v>2007</v>
      </c>
      <c r="E273" s="400" t="s">
        <v>2008</v>
      </c>
      <c r="F273" s="1348" t="s">
        <v>930</v>
      </c>
      <c r="G273" s="1348"/>
      <c r="H273" s="1348"/>
      <c r="I273" s="1348"/>
      <c r="J273" s="1348"/>
      <c r="K273" s="1348"/>
      <c r="L273" s="1348"/>
    </row>
    <row r="274" spans="1:13">
      <c r="B274" s="334" t="s">
        <v>157</v>
      </c>
      <c r="C274" s="396">
        <f>E266</f>
        <v>2654697</v>
      </c>
      <c r="D274" s="396">
        <f>ROUND($C274*($E$269/($E$269+$E$270)), 0)</f>
        <v>2546745</v>
      </c>
      <c r="E274" s="396">
        <f>ROUND($C274*($E$270/($E$269+$E$270)), 0)</f>
        <v>107952</v>
      </c>
      <c r="F274" s="1171"/>
      <c r="G274" s="1171"/>
      <c r="H274" s="1171"/>
      <c r="I274" s="1171"/>
      <c r="J274" s="1171"/>
      <c r="K274" s="1171"/>
      <c r="L274" s="1171"/>
    </row>
    <row r="275" spans="1:13">
      <c r="B275" s="334" t="s">
        <v>158</v>
      </c>
      <c r="C275" s="396">
        <f>E267-E266</f>
        <v>336511</v>
      </c>
      <c r="D275" s="396">
        <f>ROUND($C275*($E$269/($E$269+$E$270)), 0)</f>
        <v>322827</v>
      </c>
      <c r="E275" s="396">
        <f t="shared" ref="E275:E276" si="2">ROUND($C275*($E$270/($E$269+$E$270)), 0)</f>
        <v>13684</v>
      </c>
      <c r="F275" s="1171" t="s">
        <v>2016</v>
      </c>
      <c r="G275" s="1171"/>
      <c r="H275" s="1171"/>
      <c r="I275" s="1171"/>
      <c r="J275" s="1171"/>
      <c r="K275" s="1171"/>
      <c r="L275" s="1171"/>
    </row>
    <row r="276" spans="1:13">
      <c r="B276" s="334" t="s">
        <v>159</v>
      </c>
      <c r="C276" s="396">
        <f>E268-E267</f>
        <v>747802</v>
      </c>
      <c r="D276" s="396">
        <f>ROUND($C276*($E$269/($E$269+$E$270)), 0)</f>
        <v>717393</v>
      </c>
      <c r="E276" s="396">
        <f t="shared" si="2"/>
        <v>30409</v>
      </c>
      <c r="F276" s="1171" t="s">
        <v>2017</v>
      </c>
      <c r="G276" s="1171"/>
      <c r="H276" s="1171"/>
      <c r="I276" s="1171"/>
      <c r="J276" s="1171"/>
      <c r="K276" s="1171"/>
      <c r="L276" s="1171"/>
    </row>
    <row r="278" spans="1:13" ht="57.95">
      <c r="B278" s="400" t="s">
        <v>1959</v>
      </c>
      <c r="C278" s="400" t="s">
        <v>1986</v>
      </c>
      <c r="D278" s="400" t="s">
        <v>1987</v>
      </c>
    </row>
    <row r="279" spans="1:13">
      <c r="B279" s="334" t="s">
        <v>157</v>
      </c>
      <c r="C279" s="396" t="s">
        <v>1964</v>
      </c>
      <c r="D279" s="295" t="s">
        <v>1964</v>
      </c>
    </row>
    <row r="280" spans="1:13">
      <c r="B280" s="334" t="s">
        <v>158</v>
      </c>
      <c r="C280" s="396">
        <f>ABS(D275-D274)</f>
        <v>2223918</v>
      </c>
      <c r="D280" s="396">
        <f>ABS(E275-E274)</f>
        <v>94268</v>
      </c>
    </row>
    <row r="281" spans="1:13" ht="15" thickBot="1">
      <c r="B281" s="131" t="s">
        <v>159</v>
      </c>
      <c r="C281" s="132">
        <f>ABS(D276-D275)</f>
        <v>394566</v>
      </c>
      <c r="D281" s="132">
        <f>ABS(E276-E275)</f>
        <v>16725</v>
      </c>
    </row>
    <row r="282" spans="1:13">
      <c r="B282" s="133" t="s">
        <v>1899</v>
      </c>
      <c r="C282" s="134">
        <f>AVERAGE(C280:C281)</f>
        <v>1309242</v>
      </c>
      <c r="D282" s="134">
        <f>AVERAGE(D280:D281)</f>
        <v>55496.5</v>
      </c>
    </row>
    <row r="285" spans="1:13">
      <c r="A285" s="727"/>
      <c r="B285" s="728" t="s">
        <v>901</v>
      </c>
      <c r="C285" s="727"/>
      <c r="D285" s="727"/>
      <c r="E285" s="727"/>
      <c r="F285" s="727"/>
      <c r="G285" s="727"/>
      <c r="H285" s="727"/>
    </row>
    <row r="286" spans="1:13">
      <c r="B286" s="277" t="s">
        <v>902</v>
      </c>
      <c r="C286" s="277" t="s">
        <v>898</v>
      </c>
      <c r="D286" s="277" t="s">
        <v>899</v>
      </c>
      <c r="E286" s="277" t="s">
        <v>903</v>
      </c>
      <c r="F286" s="277" t="s">
        <v>904</v>
      </c>
      <c r="G286" s="277" t="s">
        <v>905</v>
      </c>
      <c r="H286" s="332" t="s">
        <v>924</v>
      </c>
      <c r="I286" s="332" t="s">
        <v>956</v>
      </c>
      <c r="J286" s="332" t="s">
        <v>927</v>
      </c>
      <c r="K286" s="1349" t="s">
        <v>1649</v>
      </c>
      <c r="L286" s="1349"/>
      <c r="M286" s="1349"/>
    </row>
    <row r="287" spans="1:13">
      <c r="B287" s="278" t="s">
        <v>155</v>
      </c>
      <c r="C287" s="278" t="s">
        <v>269</v>
      </c>
      <c r="D287" s="299" t="s">
        <v>1938</v>
      </c>
      <c r="E287" s="299" t="s">
        <v>906</v>
      </c>
      <c r="F287" s="279" t="s">
        <v>907</v>
      </c>
      <c r="G287" s="279" t="s">
        <v>473</v>
      </c>
      <c r="H287" s="642" t="s">
        <v>907</v>
      </c>
      <c r="I287" s="642" t="s">
        <v>907</v>
      </c>
      <c r="J287" s="642" t="s">
        <v>907</v>
      </c>
      <c r="K287" s="1347" t="s">
        <v>2018</v>
      </c>
      <c r="L287" s="1347"/>
      <c r="M287" s="1347"/>
    </row>
    <row r="288" spans="1:13">
      <c r="B288" s="278" t="s">
        <v>157</v>
      </c>
      <c r="C288" s="278" t="s">
        <v>269</v>
      </c>
      <c r="D288" s="299" t="s">
        <v>1938</v>
      </c>
      <c r="E288" s="299" t="s">
        <v>906</v>
      </c>
      <c r="F288" s="279" t="s">
        <v>907</v>
      </c>
      <c r="G288" s="279" t="s">
        <v>473</v>
      </c>
      <c r="H288" s="642" t="s">
        <v>907</v>
      </c>
      <c r="I288" s="642" t="s">
        <v>907</v>
      </c>
      <c r="J288" s="642" t="s">
        <v>907</v>
      </c>
      <c r="K288" s="1347"/>
      <c r="L288" s="1347"/>
      <c r="M288" s="1347"/>
    </row>
    <row r="289" spans="1:23">
      <c r="B289" s="278" t="s">
        <v>158</v>
      </c>
      <c r="C289" s="278" t="s">
        <v>269</v>
      </c>
      <c r="D289" s="299" t="s">
        <v>1938</v>
      </c>
      <c r="E289" s="299" t="s">
        <v>906</v>
      </c>
      <c r="F289" s="279" t="s">
        <v>907</v>
      </c>
      <c r="G289" s="279" t="s">
        <v>473</v>
      </c>
      <c r="H289" s="642" t="s">
        <v>907</v>
      </c>
      <c r="I289" s="642" t="s">
        <v>907</v>
      </c>
      <c r="J289" s="642" t="s">
        <v>907</v>
      </c>
      <c r="K289" s="1347"/>
      <c r="L289" s="1347"/>
      <c r="M289" s="1347"/>
    </row>
    <row r="290" spans="1:23">
      <c r="B290" s="278" t="s">
        <v>159</v>
      </c>
      <c r="C290" s="278" t="s">
        <v>269</v>
      </c>
      <c r="D290" s="299" t="s">
        <v>1938</v>
      </c>
      <c r="E290" s="299" t="s">
        <v>906</v>
      </c>
      <c r="F290" s="279" t="s">
        <v>907</v>
      </c>
      <c r="G290" s="279" t="s">
        <v>473</v>
      </c>
      <c r="H290" s="642" t="s">
        <v>907</v>
      </c>
      <c r="I290" s="642" t="s">
        <v>907</v>
      </c>
      <c r="J290" s="642" t="s">
        <v>907</v>
      </c>
      <c r="K290" s="1347"/>
      <c r="L290" s="1347"/>
      <c r="M290" s="1347"/>
    </row>
    <row r="291" spans="1:23">
      <c r="B291" s="278" t="s">
        <v>155</v>
      </c>
      <c r="C291" s="278" t="s">
        <v>151</v>
      </c>
      <c r="D291" s="299" t="s">
        <v>1901</v>
      </c>
      <c r="E291" s="299" t="s">
        <v>1028</v>
      </c>
      <c r="F291" s="278" t="str" cm="1">
        <f t="array" ref="F291">_xlfn.XLOOKUP(1,(D$302:D$337=B291)*(E$302:E$337=C291),B$302:B$337,"Not found",0,1)</f>
        <v>28-5</v>
      </c>
      <c r="G291" s="300">
        <f t="shared" ref="G291:G298" si="3">VLOOKUP(F291,B$301:L$337,11,FALSE)</f>
        <v>0</v>
      </c>
      <c r="H291" s="1120">
        <f>D$104</f>
        <v>2.5714285714285698</v>
      </c>
      <c r="I291" s="1175" t="s">
        <v>1059</v>
      </c>
      <c r="J291" s="1175" t="s">
        <v>2019</v>
      </c>
      <c r="K291" s="1347" t="s">
        <v>2020</v>
      </c>
      <c r="L291" s="1347"/>
      <c r="M291" s="1347"/>
    </row>
    <row r="292" spans="1:23">
      <c r="B292" s="278" t="s">
        <v>157</v>
      </c>
      <c r="C292" s="278" t="s">
        <v>151</v>
      </c>
      <c r="D292" s="299" t="s">
        <v>1901</v>
      </c>
      <c r="E292" s="299" t="s">
        <v>1028</v>
      </c>
      <c r="F292" s="278" t="str" cm="1">
        <f t="array" ref="F292">_xlfn.XLOOKUP(1,(D$302:D$337=B292)*(E$302:E$337=C292),B$302:B$337,"Not found",0,1)</f>
        <v>28-6</v>
      </c>
      <c r="G292" s="300">
        <f t="shared" si="3"/>
        <v>-1128765.7321719907</v>
      </c>
      <c r="H292" s="1121"/>
      <c r="I292" s="1176"/>
      <c r="J292" s="1176"/>
      <c r="K292" s="1347"/>
      <c r="L292" s="1347"/>
      <c r="M292" s="1347"/>
    </row>
    <row r="293" spans="1:23">
      <c r="B293" s="278" t="s">
        <v>158</v>
      </c>
      <c r="C293" s="278" t="s">
        <v>151</v>
      </c>
      <c r="D293" s="299" t="s">
        <v>1901</v>
      </c>
      <c r="E293" s="299" t="s">
        <v>1028</v>
      </c>
      <c r="F293" s="278" t="str" cm="1">
        <f t="array" ref="F293">_xlfn.XLOOKUP(1,(D$302:D$337=B293)*(E$302:E$337=C293),B$302:B$337,"Not found",0,1)</f>
        <v>28-7</v>
      </c>
      <c r="G293" s="300">
        <f t="shared" si="3"/>
        <v>-1128765.7321719907</v>
      </c>
      <c r="H293" s="1121"/>
      <c r="I293" s="1176"/>
      <c r="J293" s="1176"/>
      <c r="K293" s="1347"/>
      <c r="L293" s="1347"/>
      <c r="M293" s="1347"/>
    </row>
    <row r="294" spans="1:23">
      <c r="B294" s="278" t="s">
        <v>159</v>
      </c>
      <c r="C294" s="278" t="s">
        <v>151</v>
      </c>
      <c r="D294" s="299" t="s">
        <v>1901</v>
      </c>
      <c r="E294" s="299" t="s">
        <v>1028</v>
      </c>
      <c r="F294" s="278" t="str" cm="1">
        <f t="array" ref="F294">_xlfn.XLOOKUP(1,(D$302:D$337=B294)*(E$302:E$337=C294),B$302:B$337,"Not found",0,1)</f>
        <v>28-8</v>
      </c>
      <c r="G294" s="300">
        <f t="shared" si="3"/>
        <v>-1128765.7321719907</v>
      </c>
      <c r="H294" s="1121"/>
      <c r="I294" s="1176"/>
      <c r="J294" s="1176"/>
      <c r="K294" s="1347"/>
      <c r="L294" s="1347"/>
      <c r="M294" s="1347"/>
    </row>
    <row r="295" spans="1:23">
      <c r="B295" s="278" t="s">
        <v>155</v>
      </c>
      <c r="C295" s="278" t="s">
        <v>462</v>
      </c>
      <c r="D295" s="299" t="s">
        <v>1939</v>
      </c>
      <c r="E295" s="299" t="s">
        <v>1028</v>
      </c>
      <c r="F295" s="278" t="str" cm="1">
        <f t="array" ref="F295">_xlfn.XLOOKUP(1,(D$302:D$337=B295)*(E$302:E$337=C295),B$302:B$337,"Not found",0,1)</f>
        <v>28-9</v>
      </c>
      <c r="G295" s="300">
        <f t="shared" si="3"/>
        <v>-182394.1074452849</v>
      </c>
      <c r="H295" s="1121"/>
      <c r="I295" s="1176"/>
      <c r="J295" s="1176"/>
      <c r="K295" s="1347" t="s">
        <v>2020</v>
      </c>
      <c r="L295" s="1347"/>
      <c r="M295" s="1347"/>
    </row>
    <row r="296" spans="1:23">
      <c r="B296" s="278" t="s">
        <v>157</v>
      </c>
      <c r="C296" s="278" t="s">
        <v>462</v>
      </c>
      <c r="D296" s="299" t="s">
        <v>1939</v>
      </c>
      <c r="E296" s="299" t="s">
        <v>1028</v>
      </c>
      <c r="F296" s="278" t="str" cm="1">
        <f t="array" ref="F296">_xlfn.XLOOKUP(1,(D$302:D$337=B296)*(E$302:E$337=C296),B$302:B$337,"Not found",0,1)</f>
        <v>28-10</v>
      </c>
      <c r="G296" s="300">
        <f t="shared" si="3"/>
        <v>-1365784.447417669</v>
      </c>
      <c r="H296" s="1121"/>
      <c r="I296" s="1176"/>
      <c r="J296" s="1176"/>
      <c r="K296" s="1347"/>
      <c r="L296" s="1347"/>
      <c r="M296" s="1347"/>
    </row>
    <row r="297" spans="1:23">
      <c r="B297" s="278" t="s">
        <v>158</v>
      </c>
      <c r="C297" s="278" t="s">
        <v>462</v>
      </c>
      <c r="D297" s="299" t="s">
        <v>1939</v>
      </c>
      <c r="E297" s="299" t="s">
        <v>1028</v>
      </c>
      <c r="F297" s="278" t="str" cm="1">
        <f t="array" ref="F297">_xlfn.XLOOKUP(1,(D$302:D$337=B297)*(E$302:E$337=C297),B$302:B$337,"Not found",0,1)</f>
        <v>28-11</v>
      </c>
      <c r="G297" s="300">
        <f t="shared" si="3"/>
        <v>-1537321.7627531155</v>
      </c>
      <c r="H297" s="1121"/>
      <c r="I297" s="1176"/>
      <c r="J297" s="1176"/>
      <c r="K297" s="1347"/>
      <c r="L297" s="1347"/>
      <c r="M297" s="1347"/>
    </row>
    <row r="298" spans="1:23">
      <c r="B298" s="278" t="s">
        <v>159</v>
      </c>
      <c r="C298" s="278" t="s">
        <v>462</v>
      </c>
      <c r="D298" s="299" t="s">
        <v>1939</v>
      </c>
      <c r="E298" s="299" t="s">
        <v>1028</v>
      </c>
      <c r="F298" s="278" t="str" cm="1">
        <f t="array" ref="F298">_xlfn.XLOOKUP(1,(D$302:D$337=B298)*(E$302:E$337=C298),B$302:B$337,"Not found",0,1)</f>
        <v>28-12</v>
      </c>
      <c r="G298" s="300">
        <f t="shared" si="3"/>
        <v>-1730572.6623082389</v>
      </c>
      <c r="H298" s="1122"/>
      <c r="I298" s="1177"/>
      <c r="J298" s="1177"/>
      <c r="K298" s="1347"/>
      <c r="L298" s="1347"/>
      <c r="M298" s="1347"/>
    </row>
    <row r="300" spans="1:23">
      <c r="A300" s="725"/>
      <c r="B300" s="726" t="s">
        <v>962</v>
      </c>
      <c r="C300" s="725"/>
      <c r="D300" s="725"/>
      <c r="E300" s="725"/>
      <c r="F300" s="725"/>
      <c r="G300" s="725"/>
      <c r="H300" s="725"/>
    </row>
    <row r="301" spans="1:23">
      <c r="B301" s="277" t="s">
        <v>904</v>
      </c>
      <c r="C301" s="277" t="s">
        <v>62</v>
      </c>
      <c r="D301" s="277" t="s">
        <v>902</v>
      </c>
      <c r="E301" s="277" t="s">
        <v>898</v>
      </c>
      <c r="F301" s="277" t="s">
        <v>916</v>
      </c>
      <c r="G301" s="277" t="s">
        <v>963</v>
      </c>
      <c r="H301" s="277" t="s">
        <v>964</v>
      </c>
      <c r="I301" s="277" t="s">
        <v>965</v>
      </c>
      <c r="J301" s="277" t="s">
        <v>966</v>
      </c>
      <c r="K301" s="277" t="s">
        <v>967</v>
      </c>
      <c r="L301" s="277" t="s">
        <v>968</v>
      </c>
      <c r="M301" s="277" t="s">
        <v>956</v>
      </c>
      <c r="N301" s="277" t="s">
        <v>969</v>
      </c>
      <c r="O301" s="277" t="s">
        <v>970</v>
      </c>
      <c r="P301" s="277" t="s">
        <v>927</v>
      </c>
      <c r="Q301" s="277" t="s">
        <v>913</v>
      </c>
      <c r="R301" s="277" t="s">
        <v>914</v>
      </c>
      <c r="S301" s="277" t="s">
        <v>915</v>
      </c>
      <c r="T301" s="277" t="s">
        <v>916</v>
      </c>
      <c r="U301" s="277" t="s">
        <v>917</v>
      </c>
      <c r="V301" s="277" t="s">
        <v>918</v>
      </c>
      <c r="W301" s="277" t="s">
        <v>919</v>
      </c>
    </row>
    <row r="302" spans="1:23">
      <c r="B302" s="302" t="s">
        <v>2021</v>
      </c>
      <c r="C302" s="278" t="s">
        <v>409</v>
      </c>
      <c r="D302" s="278" t="s">
        <v>155</v>
      </c>
      <c r="E302" s="278" t="s">
        <v>269</v>
      </c>
      <c r="F302" s="299">
        <f>E$50</f>
        <v>2018</v>
      </c>
      <c r="G302" s="278">
        <v>2018</v>
      </c>
      <c r="H302" s="278">
        <f>'COMPANY INPUT'!$C$16</f>
        <v>2023</v>
      </c>
      <c r="I302" s="278">
        <f>VLOOKUP(G302,'GDP Deflators'!$H$13:$I$86,2,FALSE)</f>
        <v>82.835999999999999</v>
      </c>
      <c r="J302" s="278">
        <f>VLOOKUP(H302,'GDP Deflators'!$H$13:$I$86,2,FALSE)</f>
        <v>100</v>
      </c>
      <c r="K302" s="387">
        <f>-C85</f>
        <v>-1445887</v>
      </c>
      <c r="L302" s="746">
        <f t="shared" ref="L302:L314" si="4">K302*(J302/I302)</f>
        <v>-1745481.4331932976</v>
      </c>
      <c r="M302" s="278" t="s">
        <v>2022</v>
      </c>
      <c r="N302" s="326">
        <f>D$63</f>
        <v>2.3333333333333335</v>
      </c>
      <c r="O302" s="278" t="s">
        <v>717</v>
      </c>
      <c r="P302" s="278" t="s">
        <v>2023</v>
      </c>
      <c r="Q302" s="299">
        <f t="shared" ref="Q302:W305" si="5">B$50</f>
        <v>30</v>
      </c>
      <c r="R302" s="299" t="str">
        <f t="shared" si="5"/>
        <v>Scottish Government (2018) Value of bathing waters and influence of bathing water quality: final research report, August 2018</v>
      </c>
      <c r="S302" s="299" t="str">
        <f t="shared" si="5"/>
        <v>/</v>
      </c>
      <c r="T302" s="299">
        <f t="shared" si="5"/>
        <v>2018</v>
      </c>
      <c r="U302" s="299" t="str">
        <f t="shared" si="5"/>
        <v>Scotland</v>
      </c>
      <c r="V302" s="299" t="str">
        <f t="shared" si="5"/>
        <v>Scotland</v>
      </c>
      <c r="W302" s="299">
        <f t="shared" si="5"/>
        <v>1013</v>
      </c>
    </row>
    <row r="303" spans="1:23">
      <c r="B303" s="302" t="s">
        <v>2024</v>
      </c>
      <c r="C303" s="278" t="s">
        <v>409</v>
      </c>
      <c r="D303" s="278" t="s">
        <v>157</v>
      </c>
      <c r="E303" s="278" t="s">
        <v>269</v>
      </c>
      <c r="F303" s="299">
        <f>E$50</f>
        <v>2018</v>
      </c>
      <c r="G303" s="278">
        <v>2018</v>
      </c>
      <c r="H303" s="278">
        <f>'COMPANY INPUT'!$C$16</f>
        <v>2023</v>
      </c>
      <c r="I303" s="278">
        <f>VLOOKUP(G303,'GDP Deflators'!$H$13:$I$86,2,FALSE)</f>
        <v>82.835999999999999</v>
      </c>
      <c r="J303" s="278">
        <f>VLOOKUP(H303,'GDP Deflators'!$H$13:$I$86,2,FALSE)</f>
        <v>100</v>
      </c>
      <c r="K303" s="387">
        <f>-D77</f>
        <v>-1790145</v>
      </c>
      <c r="L303" s="746">
        <f t="shared" si="4"/>
        <v>-2161071.2733594091</v>
      </c>
      <c r="M303" s="278" t="s">
        <v>2022</v>
      </c>
      <c r="N303" s="326">
        <f>D$63</f>
        <v>2.3333333333333335</v>
      </c>
      <c r="O303" s="278" t="s">
        <v>717</v>
      </c>
      <c r="P303" s="278" t="s">
        <v>2023</v>
      </c>
      <c r="Q303" s="299">
        <f t="shared" si="5"/>
        <v>30</v>
      </c>
      <c r="R303" s="299" t="str">
        <f t="shared" si="5"/>
        <v>Scottish Government (2018) Value of bathing waters and influence of bathing water quality: final research report, August 2018</v>
      </c>
      <c r="S303" s="299" t="str">
        <f t="shared" si="5"/>
        <v>/</v>
      </c>
      <c r="T303" s="299">
        <f t="shared" si="5"/>
        <v>2018</v>
      </c>
      <c r="U303" s="299" t="str">
        <f t="shared" si="5"/>
        <v>Scotland</v>
      </c>
      <c r="V303" s="299" t="str">
        <f t="shared" si="5"/>
        <v>Scotland</v>
      </c>
      <c r="W303" s="299">
        <f t="shared" si="5"/>
        <v>1013</v>
      </c>
    </row>
    <row r="304" spans="1:23">
      <c r="B304" s="302" t="s">
        <v>2025</v>
      </c>
      <c r="C304" s="278" t="s">
        <v>409</v>
      </c>
      <c r="D304" s="278" t="s">
        <v>158</v>
      </c>
      <c r="E304" s="278" t="s">
        <v>269</v>
      </c>
      <c r="F304" s="299">
        <f>E$50</f>
        <v>2018</v>
      </c>
      <c r="G304" s="278">
        <v>2018</v>
      </c>
      <c r="H304" s="278">
        <f>'COMPANY INPUT'!$C$16</f>
        <v>2023</v>
      </c>
      <c r="I304" s="278">
        <f>VLOOKUP(G304,'GDP Deflators'!$H$13:$I$86,2,FALSE)</f>
        <v>82.835999999999999</v>
      </c>
      <c r="J304" s="278">
        <f>VLOOKUP(H304,'GDP Deflators'!$H$13:$I$86,2,FALSE)</f>
        <v>100</v>
      </c>
      <c r="K304" s="387">
        <f>-D78</f>
        <v>-321308</v>
      </c>
      <c r="L304" s="746">
        <f t="shared" si="4"/>
        <v>-387884.4946641557</v>
      </c>
      <c r="M304" s="278" t="s">
        <v>2022</v>
      </c>
      <c r="N304" s="326">
        <f>D$63</f>
        <v>2.3333333333333335</v>
      </c>
      <c r="O304" s="278" t="s">
        <v>717</v>
      </c>
      <c r="P304" s="278" t="s">
        <v>2023</v>
      </c>
      <c r="Q304" s="299">
        <f t="shared" si="5"/>
        <v>30</v>
      </c>
      <c r="R304" s="299" t="str">
        <f t="shared" si="5"/>
        <v>Scottish Government (2018) Value of bathing waters and influence of bathing water quality: final research report, August 2018</v>
      </c>
      <c r="S304" s="299" t="str">
        <f t="shared" si="5"/>
        <v>/</v>
      </c>
      <c r="T304" s="299">
        <f t="shared" si="5"/>
        <v>2018</v>
      </c>
      <c r="U304" s="299" t="str">
        <f t="shared" si="5"/>
        <v>Scotland</v>
      </c>
      <c r="V304" s="299" t="str">
        <f t="shared" si="5"/>
        <v>Scotland</v>
      </c>
      <c r="W304" s="299">
        <f t="shared" si="5"/>
        <v>1013</v>
      </c>
    </row>
    <row r="305" spans="2:23">
      <c r="B305" s="302" t="s">
        <v>2026</v>
      </c>
      <c r="C305" s="278" t="s">
        <v>409</v>
      </c>
      <c r="D305" s="278" t="s">
        <v>159</v>
      </c>
      <c r="E305" s="278" t="s">
        <v>269</v>
      </c>
      <c r="F305" s="299">
        <f>E$50</f>
        <v>2018</v>
      </c>
      <c r="G305" s="278">
        <v>2018</v>
      </c>
      <c r="H305" s="278">
        <f>'COMPANY INPUT'!$C$16</f>
        <v>2023</v>
      </c>
      <c r="I305" s="278">
        <f>VLOOKUP(G305,'GDP Deflators'!$H$13:$I$86,2,FALSE)</f>
        <v>82.835999999999999</v>
      </c>
      <c r="J305" s="278">
        <f>VLOOKUP(H305,'GDP Deflators'!$H$13:$I$86,2,FALSE)</f>
        <v>100</v>
      </c>
      <c r="K305" s="387">
        <f>-D79</f>
        <v>-1744244</v>
      </c>
      <c r="L305" s="746">
        <f t="shared" si="4"/>
        <v>-2105659.3751509008</v>
      </c>
      <c r="M305" s="278" t="s">
        <v>2022</v>
      </c>
      <c r="N305" s="326">
        <f>D$63</f>
        <v>2.3333333333333335</v>
      </c>
      <c r="O305" s="278" t="s">
        <v>717</v>
      </c>
      <c r="P305" s="278" t="s">
        <v>2023</v>
      </c>
      <c r="Q305" s="299">
        <f t="shared" si="5"/>
        <v>30</v>
      </c>
      <c r="R305" s="299" t="str">
        <f t="shared" si="5"/>
        <v>Scottish Government (2018) Value of bathing waters and influence of bathing water quality: final research report, August 2018</v>
      </c>
      <c r="S305" s="299" t="str">
        <f t="shared" si="5"/>
        <v>/</v>
      </c>
      <c r="T305" s="299">
        <f t="shared" si="5"/>
        <v>2018</v>
      </c>
      <c r="U305" s="299" t="str">
        <f t="shared" si="5"/>
        <v>Scotland</v>
      </c>
      <c r="V305" s="299" t="str">
        <f t="shared" si="5"/>
        <v>Scotland</v>
      </c>
      <c r="W305" s="299">
        <f t="shared" si="5"/>
        <v>1013</v>
      </c>
    </row>
    <row r="306" spans="2:23">
      <c r="B306" s="302" t="s">
        <v>2027</v>
      </c>
      <c r="C306" s="278" t="s">
        <v>409</v>
      </c>
      <c r="D306" s="278" t="s">
        <v>155</v>
      </c>
      <c r="E306" s="278" t="s">
        <v>151</v>
      </c>
      <c r="F306" s="299">
        <f t="shared" ref="F306:F313" si="6">E$91</f>
        <v>2023</v>
      </c>
      <c r="G306" s="278">
        <v>2022</v>
      </c>
      <c r="H306" s="278">
        <f>'COMPANY INPUT'!$C$16</f>
        <v>2023</v>
      </c>
      <c r="I306" s="278">
        <f>VLOOKUP(G306,'GDP Deflators'!$H$13:$I$86,2,FALSE)</f>
        <v>93.351699999999994</v>
      </c>
      <c r="J306" s="278">
        <f>VLOOKUP(H306,'GDP Deflators'!$H$13:$I$86,2,FALSE)</f>
        <v>100</v>
      </c>
      <c r="K306" s="387">
        <f>-C146</f>
        <v>0</v>
      </c>
      <c r="L306" s="746">
        <f t="shared" si="4"/>
        <v>0</v>
      </c>
      <c r="M306" s="300" t="str">
        <f t="shared" ref="M306:M313" si="7">$I$291</f>
        <v>Willingness to Accept</v>
      </c>
      <c r="N306" s="326">
        <f t="shared" ref="N306:N313" si="8">$H$291</f>
        <v>2.5714285714285698</v>
      </c>
      <c r="O306" s="278" t="s">
        <v>718</v>
      </c>
      <c r="P306" s="300" t="str">
        <f t="shared" ref="P306:P313" si="9">$J$291</f>
        <v>Ofwat Collaborative Customer Research source</v>
      </c>
      <c r="Q306" s="299">
        <f t="shared" ref="Q306:W313" si="10">B$91</f>
        <v>16</v>
      </c>
      <c r="R306" s="299" t="str">
        <f t="shared" si="10"/>
        <v>Ofwat (2023) PR24: Using collaborative customer research to set outcome delivery incentive rates</v>
      </c>
      <c r="S306" s="299" t="str">
        <f t="shared" si="10"/>
        <v>/</v>
      </c>
      <c r="T306" s="299">
        <f t="shared" si="10"/>
        <v>2023</v>
      </c>
      <c r="U306" s="299" t="str">
        <f t="shared" si="10"/>
        <v>UK</v>
      </c>
      <c r="V306" s="299" t="str">
        <f t="shared" si="10"/>
        <v>England and Wales</v>
      </c>
      <c r="W306" s="299">
        <f t="shared" si="10"/>
        <v>16295</v>
      </c>
    </row>
    <row r="307" spans="2:23">
      <c r="B307" s="302" t="s">
        <v>2028</v>
      </c>
      <c r="C307" s="278" t="s">
        <v>409</v>
      </c>
      <c r="D307" s="278" t="s">
        <v>157</v>
      </c>
      <c r="E307" s="278" t="s">
        <v>151</v>
      </c>
      <c r="F307" s="299">
        <f t="shared" si="6"/>
        <v>2023</v>
      </c>
      <c r="G307" s="278">
        <v>2022</v>
      </c>
      <c r="H307" s="278">
        <f>'COMPANY INPUT'!$C$16</f>
        <v>2023</v>
      </c>
      <c r="I307" s="278">
        <f>VLOOKUP(G307,'GDP Deflators'!$H$13:$I$86,2,FALSE)</f>
        <v>93.351699999999994</v>
      </c>
      <c r="J307" s="278">
        <f>VLOOKUP(H307,'GDP Deflators'!$H$13:$I$86,2,FALSE)</f>
        <v>100</v>
      </c>
      <c r="K307" s="387">
        <f>-C138</f>
        <v>-1053722</v>
      </c>
      <c r="L307" s="746">
        <f t="shared" si="4"/>
        <v>-1128765.7321719907</v>
      </c>
      <c r="M307" s="300" t="str">
        <f t="shared" si="7"/>
        <v>Willingness to Accept</v>
      </c>
      <c r="N307" s="326">
        <f t="shared" si="8"/>
        <v>2.5714285714285698</v>
      </c>
      <c r="O307" s="278" t="s">
        <v>718</v>
      </c>
      <c r="P307" s="300" t="str">
        <f t="shared" si="9"/>
        <v>Ofwat Collaborative Customer Research source</v>
      </c>
      <c r="Q307" s="299">
        <f t="shared" si="10"/>
        <v>16</v>
      </c>
      <c r="R307" s="299" t="str">
        <f t="shared" si="10"/>
        <v>Ofwat (2023) PR24: Using collaborative customer research to set outcome delivery incentive rates</v>
      </c>
      <c r="S307" s="299" t="str">
        <f t="shared" si="10"/>
        <v>/</v>
      </c>
      <c r="T307" s="299">
        <f t="shared" si="10"/>
        <v>2023</v>
      </c>
      <c r="U307" s="299" t="str">
        <f t="shared" si="10"/>
        <v>UK</v>
      </c>
      <c r="V307" s="299" t="str">
        <f t="shared" si="10"/>
        <v>England and Wales</v>
      </c>
      <c r="W307" s="299">
        <f t="shared" si="10"/>
        <v>16295</v>
      </c>
    </row>
    <row r="308" spans="2:23">
      <c r="B308" s="302" t="s">
        <v>2029</v>
      </c>
      <c r="C308" s="278" t="s">
        <v>409</v>
      </c>
      <c r="D308" s="278" t="s">
        <v>158</v>
      </c>
      <c r="E308" s="278" t="s">
        <v>151</v>
      </c>
      <c r="F308" s="299">
        <f t="shared" si="6"/>
        <v>2023</v>
      </c>
      <c r="G308" s="278">
        <v>2022</v>
      </c>
      <c r="H308" s="278">
        <f>'COMPANY INPUT'!$C$16</f>
        <v>2023</v>
      </c>
      <c r="I308" s="278">
        <f>VLOOKUP(G308,'GDP Deflators'!$H$13:$I$86,2,FALSE)</f>
        <v>93.351699999999994</v>
      </c>
      <c r="J308" s="278">
        <f>VLOOKUP(H308,'GDP Deflators'!$H$13:$I$86,2,FALSE)</f>
        <v>100</v>
      </c>
      <c r="K308" s="387">
        <f>-C139</f>
        <v>-1053722</v>
      </c>
      <c r="L308" s="746">
        <f t="shared" si="4"/>
        <v>-1128765.7321719907</v>
      </c>
      <c r="M308" s="300" t="str">
        <f t="shared" si="7"/>
        <v>Willingness to Accept</v>
      </c>
      <c r="N308" s="326">
        <f t="shared" si="8"/>
        <v>2.5714285714285698</v>
      </c>
      <c r="O308" s="278" t="s">
        <v>718</v>
      </c>
      <c r="P308" s="300" t="str">
        <f t="shared" si="9"/>
        <v>Ofwat Collaborative Customer Research source</v>
      </c>
      <c r="Q308" s="299">
        <f t="shared" si="10"/>
        <v>16</v>
      </c>
      <c r="R308" s="299" t="str">
        <f t="shared" si="10"/>
        <v>Ofwat (2023) PR24: Using collaborative customer research to set outcome delivery incentive rates</v>
      </c>
      <c r="S308" s="299" t="str">
        <f t="shared" si="10"/>
        <v>/</v>
      </c>
      <c r="T308" s="299">
        <f t="shared" si="10"/>
        <v>2023</v>
      </c>
      <c r="U308" s="299" t="str">
        <f t="shared" si="10"/>
        <v>UK</v>
      </c>
      <c r="V308" s="299" t="str">
        <f t="shared" si="10"/>
        <v>England and Wales</v>
      </c>
      <c r="W308" s="299">
        <f t="shared" si="10"/>
        <v>16295</v>
      </c>
    </row>
    <row r="309" spans="2:23">
      <c r="B309" s="302" t="s">
        <v>2030</v>
      </c>
      <c r="C309" s="278" t="s">
        <v>409</v>
      </c>
      <c r="D309" s="278" t="s">
        <v>159</v>
      </c>
      <c r="E309" s="278" t="s">
        <v>151</v>
      </c>
      <c r="F309" s="299">
        <f t="shared" si="6"/>
        <v>2023</v>
      </c>
      <c r="G309" s="278">
        <v>2022</v>
      </c>
      <c r="H309" s="278">
        <f>'COMPANY INPUT'!$C$16</f>
        <v>2023</v>
      </c>
      <c r="I309" s="278">
        <f>VLOOKUP(G309,'GDP Deflators'!$H$13:$I$86,2,FALSE)</f>
        <v>93.351699999999994</v>
      </c>
      <c r="J309" s="278">
        <f>VLOOKUP(H309,'GDP Deflators'!$H$13:$I$86,2,FALSE)</f>
        <v>100</v>
      </c>
      <c r="K309" s="387">
        <f>-C140</f>
        <v>-1053722</v>
      </c>
      <c r="L309" s="746">
        <f t="shared" si="4"/>
        <v>-1128765.7321719907</v>
      </c>
      <c r="M309" s="300" t="str">
        <f t="shared" si="7"/>
        <v>Willingness to Accept</v>
      </c>
      <c r="N309" s="326">
        <f t="shared" si="8"/>
        <v>2.5714285714285698</v>
      </c>
      <c r="O309" s="278" t="s">
        <v>718</v>
      </c>
      <c r="P309" s="300" t="str">
        <f t="shared" si="9"/>
        <v>Ofwat Collaborative Customer Research source</v>
      </c>
      <c r="Q309" s="299">
        <f t="shared" si="10"/>
        <v>16</v>
      </c>
      <c r="R309" s="299" t="str">
        <f t="shared" si="10"/>
        <v>Ofwat (2023) PR24: Using collaborative customer research to set outcome delivery incentive rates</v>
      </c>
      <c r="S309" s="299" t="str">
        <f t="shared" si="10"/>
        <v>/</v>
      </c>
      <c r="T309" s="299">
        <f t="shared" si="10"/>
        <v>2023</v>
      </c>
      <c r="U309" s="299" t="str">
        <f t="shared" si="10"/>
        <v>UK</v>
      </c>
      <c r="V309" s="299" t="str">
        <f t="shared" si="10"/>
        <v>England and Wales</v>
      </c>
      <c r="W309" s="299">
        <f t="shared" si="10"/>
        <v>16295</v>
      </c>
    </row>
    <row r="310" spans="2:23">
      <c r="B310" s="302" t="s">
        <v>2031</v>
      </c>
      <c r="C310" s="278" t="s">
        <v>409</v>
      </c>
      <c r="D310" s="278" t="s">
        <v>155</v>
      </c>
      <c r="E310" s="278" t="s">
        <v>462</v>
      </c>
      <c r="F310" s="299">
        <f t="shared" si="6"/>
        <v>2023</v>
      </c>
      <c r="G310" s="278">
        <v>2022</v>
      </c>
      <c r="H310" s="278">
        <f>'COMPANY INPUT'!$C$16</f>
        <v>2023</v>
      </c>
      <c r="I310" s="278">
        <f>VLOOKUP(G310,'GDP Deflators'!$H$13:$I$86,2,FALSE)</f>
        <v>93.351699999999994</v>
      </c>
      <c r="J310" s="278">
        <f>VLOOKUP(H310,'GDP Deflators'!$H$13:$I$86,2,FALSE)</f>
        <v>100</v>
      </c>
      <c r="K310" s="387">
        <f>-D146</f>
        <v>-170268</v>
      </c>
      <c r="L310" s="746">
        <f t="shared" si="4"/>
        <v>-182394.1074452849</v>
      </c>
      <c r="M310" s="300" t="str">
        <f t="shared" si="7"/>
        <v>Willingness to Accept</v>
      </c>
      <c r="N310" s="326">
        <f t="shared" si="8"/>
        <v>2.5714285714285698</v>
      </c>
      <c r="O310" s="278" t="s">
        <v>718</v>
      </c>
      <c r="P310" s="300" t="str">
        <f t="shared" si="9"/>
        <v>Ofwat Collaborative Customer Research source</v>
      </c>
      <c r="Q310" s="299">
        <f t="shared" si="10"/>
        <v>16</v>
      </c>
      <c r="R310" s="299" t="str">
        <f t="shared" si="10"/>
        <v>Ofwat (2023) PR24: Using collaborative customer research to set outcome delivery incentive rates</v>
      </c>
      <c r="S310" s="299" t="str">
        <f t="shared" si="10"/>
        <v>/</v>
      </c>
      <c r="T310" s="299">
        <f t="shared" si="10"/>
        <v>2023</v>
      </c>
      <c r="U310" s="299" t="str">
        <f t="shared" si="10"/>
        <v>UK</v>
      </c>
      <c r="V310" s="299" t="str">
        <f t="shared" si="10"/>
        <v>England and Wales</v>
      </c>
      <c r="W310" s="299">
        <f t="shared" si="10"/>
        <v>16295</v>
      </c>
    </row>
    <row r="311" spans="2:23">
      <c r="B311" s="302" t="s">
        <v>2032</v>
      </c>
      <c r="C311" s="278" t="s">
        <v>409</v>
      </c>
      <c r="D311" s="278" t="s">
        <v>157</v>
      </c>
      <c r="E311" s="278" t="s">
        <v>462</v>
      </c>
      <c r="F311" s="299">
        <f t="shared" si="6"/>
        <v>2023</v>
      </c>
      <c r="G311" s="278">
        <v>2022</v>
      </c>
      <c r="H311" s="278">
        <f>'COMPANY INPUT'!$C$16</f>
        <v>2023</v>
      </c>
      <c r="I311" s="278">
        <f>VLOOKUP(G311,'GDP Deflators'!$H$13:$I$86,2,FALSE)</f>
        <v>93.351699999999994</v>
      </c>
      <c r="J311" s="278">
        <f>VLOOKUP(H311,'GDP Deflators'!$H$13:$I$86,2,FALSE)</f>
        <v>100</v>
      </c>
      <c r="K311" s="387">
        <f>-D138</f>
        <v>-1274983</v>
      </c>
      <c r="L311" s="746">
        <f t="shared" si="4"/>
        <v>-1365784.447417669</v>
      </c>
      <c r="M311" s="300" t="str">
        <f t="shared" si="7"/>
        <v>Willingness to Accept</v>
      </c>
      <c r="N311" s="326">
        <f t="shared" si="8"/>
        <v>2.5714285714285698</v>
      </c>
      <c r="O311" s="278" t="s">
        <v>718</v>
      </c>
      <c r="P311" s="300" t="str">
        <f t="shared" si="9"/>
        <v>Ofwat Collaborative Customer Research source</v>
      </c>
      <c r="Q311" s="299">
        <f t="shared" si="10"/>
        <v>16</v>
      </c>
      <c r="R311" s="299" t="str">
        <f t="shared" si="10"/>
        <v>Ofwat (2023) PR24: Using collaborative customer research to set outcome delivery incentive rates</v>
      </c>
      <c r="S311" s="299" t="str">
        <f t="shared" si="10"/>
        <v>/</v>
      </c>
      <c r="T311" s="299">
        <f t="shared" si="10"/>
        <v>2023</v>
      </c>
      <c r="U311" s="299" t="str">
        <f t="shared" si="10"/>
        <v>UK</v>
      </c>
      <c r="V311" s="299" t="str">
        <f t="shared" si="10"/>
        <v>England and Wales</v>
      </c>
      <c r="W311" s="299">
        <f t="shared" si="10"/>
        <v>16295</v>
      </c>
    </row>
    <row r="312" spans="2:23">
      <c r="B312" s="302" t="s">
        <v>2033</v>
      </c>
      <c r="C312" s="278" t="s">
        <v>409</v>
      </c>
      <c r="D312" s="278" t="s">
        <v>158</v>
      </c>
      <c r="E312" s="278" t="s">
        <v>462</v>
      </c>
      <c r="F312" s="299">
        <f t="shared" si="6"/>
        <v>2023</v>
      </c>
      <c r="G312" s="278">
        <v>2022</v>
      </c>
      <c r="H312" s="278">
        <f>'COMPANY INPUT'!$C$16</f>
        <v>2023</v>
      </c>
      <c r="I312" s="278">
        <f>VLOOKUP(G312,'GDP Deflators'!$H$13:$I$86,2,FALSE)</f>
        <v>93.351699999999994</v>
      </c>
      <c r="J312" s="278">
        <f>VLOOKUP(H312,'GDP Deflators'!$H$13:$I$86,2,FALSE)</f>
        <v>100</v>
      </c>
      <c r="K312" s="387">
        <f>-D139</f>
        <v>-1435116</v>
      </c>
      <c r="L312" s="746">
        <f t="shared" si="4"/>
        <v>-1537321.7627531155</v>
      </c>
      <c r="M312" s="300" t="str">
        <f t="shared" si="7"/>
        <v>Willingness to Accept</v>
      </c>
      <c r="N312" s="326">
        <f t="shared" si="8"/>
        <v>2.5714285714285698</v>
      </c>
      <c r="O312" s="278" t="s">
        <v>718</v>
      </c>
      <c r="P312" s="300" t="str">
        <f t="shared" si="9"/>
        <v>Ofwat Collaborative Customer Research source</v>
      </c>
      <c r="Q312" s="299">
        <f t="shared" si="10"/>
        <v>16</v>
      </c>
      <c r="R312" s="299" t="str">
        <f t="shared" si="10"/>
        <v>Ofwat (2023) PR24: Using collaborative customer research to set outcome delivery incentive rates</v>
      </c>
      <c r="S312" s="299" t="str">
        <f t="shared" si="10"/>
        <v>/</v>
      </c>
      <c r="T312" s="299">
        <f t="shared" si="10"/>
        <v>2023</v>
      </c>
      <c r="U312" s="299" t="str">
        <f t="shared" si="10"/>
        <v>UK</v>
      </c>
      <c r="V312" s="299" t="str">
        <f t="shared" si="10"/>
        <v>England and Wales</v>
      </c>
      <c r="W312" s="299">
        <f t="shared" si="10"/>
        <v>16295</v>
      </c>
    </row>
    <row r="313" spans="2:23">
      <c r="B313" s="302" t="s">
        <v>2034</v>
      </c>
      <c r="C313" s="278" t="s">
        <v>409</v>
      </c>
      <c r="D313" s="278" t="s">
        <v>159</v>
      </c>
      <c r="E313" s="278" t="s">
        <v>462</v>
      </c>
      <c r="F313" s="299">
        <f t="shared" si="6"/>
        <v>2023</v>
      </c>
      <c r="G313" s="278">
        <v>2022</v>
      </c>
      <c r="H313" s="278">
        <f>'COMPANY INPUT'!$C$16</f>
        <v>2023</v>
      </c>
      <c r="I313" s="278">
        <f>VLOOKUP(G313,'GDP Deflators'!$H$13:$I$86,2,FALSE)</f>
        <v>93.351699999999994</v>
      </c>
      <c r="J313" s="278">
        <f>VLOOKUP(H313,'GDP Deflators'!$H$13:$I$86,2,FALSE)</f>
        <v>100</v>
      </c>
      <c r="K313" s="387">
        <f>-D140</f>
        <v>-1615519</v>
      </c>
      <c r="L313" s="746">
        <f t="shared" si="4"/>
        <v>-1730572.6623082389</v>
      </c>
      <c r="M313" s="300" t="str">
        <f t="shared" si="7"/>
        <v>Willingness to Accept</v>
      </c>
      <c r="N313" s="326">
        <f t="shared" si="8"/>
        <v>2.5714285714285698</v>
      </c>
      <c r="O313" s="278" t="s">
        <v>718</v>
      </c>
      <c r="P313" s="300" t="str">
        <f t="shared" si="9"/>
        <v>Ofwat Collaborative Customer Research source</v>
      </c>
      <c r="Q313" s="299">
        <f t="shared" si="10"/>
        <v>16</v>
      </c>
      <c r="R313" s="299" t="str">
        <f t="shared" si="10"/>
        <v>Ofwat (2023) PR24: Using collaborative customer research to set outcome delivery incentive rates</v>
      </c>
      <c r="S313" s="299" t="str">
        <f t="shared" si="10"/>
        <v>/</v>
      </c>
      <c r="T313" s="299">
        <f t="shared" si="10"/>
        <v>2023</v>
      </c>
      <c r="U313" s="299" t="str">
        <f t="shared" si="10"/>
        <v>UK</v>
      </c>
      <c r="V313" s="299" t="str">
        <f t="shared" si="10"/>
        <v>England and Wales</v>
      </c>
      <c r="W313" s="299">
        <f t="shared" si="10"/>
        <v>16295</v>
      </c>
    </row>
    <row r="314" spans="2:23">
      <c r="B314" s="302" t="s">
        <v>2035</v>
      </c>
      <c r="C314" s="278" t="s">
        <v>409</v>
      </c>
      <c r="D314" s="278" t="s">
        <v>155</v>
      </c>
      <c r="E314" s="278" t="s">
        <v>151</v>
      </c>
      <c r="F314" s="299">
        <f>E$152</f>
        <v>2018</v>
      </c>
      <c r="G314" s="278">
        <v>2017</v>
      </c>
      <c r="H314" s="278">
        <f>'COMPANY INPUT'!$C$16</f>
        <v>2023</v>
      </c>
      <c r="I314" s="278">
        <f>VLOOKUP(G314,'GDP Deflators'!$H$13:$I$86,2,FALSE)</f>
        <v>81.273099999999999</v>
      </c>
      <c r="J314" s="278">
        <f>VLOOKUP(H314,'GDP Deflators'!$H$13:$I$86,2,FALSE)</f>
        <v>100</v>
      </c>
      <c r="K314" s="387">
        <f>-C202</f>
        <v>-132000</v>
      </c>
      <c r="L314" s="746">
        <f t="shared" si="4"/>
        <v>-162415.36252462378</v>
      </c>
      <c r="M314" s="278" t="s">
        <v>2022</v>
      </c>
      <c r="N314" s="326">
        <f>D$163</f>
        <v>2.3333333333333335</v>
      </c>
      <c r="O314" s="278" t="s">
        <v>2036</v>
      </c>
      <c r="P314" s="278" t="s">
        <v>2037</v>
      </c>
      <c r="Q314" s="299">
        <f>B$152</f>
        <v>136</v>
      </c>
      <c r="R314" s="299" t="str">
        <f t="shared" ref="R314:W314" si="11">C$152</f>
        <v>UU (2018) Customer research triangulation report</v>
      </c>
      <c r="S314" s="299" t="str">
        <f t="shared" si="11"/>
        <v>/</v>
      </c>
      <c r="T314" s="299">
        <f t="shared" si="11"/>
        <v>2018</v>
      </c>
      <c r="U314" s="299" t="str">
        <f t="shared" si="11"/>
        <v>England</v>
      </c>
      <c r="V314" s="299" t="str">
        <f t="shared" si="11"/>
        <v>UU region</v>
      </c>
      <c r="W314" s="299" t="str">
        <f t="shared" si="11"/>
        <v>Unknown</v>
      </c>
    </row>
    <row r="315" spans="2:23">
      <c r="B315" s="302" t="s">
        <v>2038</v>
      </c>
      <c r="C315" s="278" t="s">
        <v>409</v>
      </c>
      <c r="D315" s="278" t="s">
        <v>157</v>
      </c>
      <c r="E315" s="278" t="s">
        <v>151</v>
      </c>
      <c r="F315" s="299">
        <f t="shared" ref="F315:F321" si="12">E$152</f>
        <v>2018</v>
      </c>
      <c r="G315" s="278">
        <v>2017</v>
      </c>
      <c r="H315" s="278">
        <f>'COMPANY INPUT'!$C$16</f>
        <v>2023</v>
      </c>
      <c r="I315" s="278">
        <f>VLOOKUP(G315,'GDP Deflators'!$H$13:$I$86,2,FALSE)</f>
        <v>81.273099999999999</v>
      </c>
      <c r="J315" s="278">
        <f>VLOOKUP(H315,'GDP Deflators'!$H$13:$I$86,2,FALSE)</f>
        <v>100</v>
      </c>
      <c r="K315" s="417">
        <f>-D194</f>
        <v>-734000</v>
      </c>
      <c r="L315" s="746">
        <f t="shared" ref="L315:L317" si="13">K315*(J315/I315)</f>
        <v>-903127.84918995341</v>
      </c>
      <c r="M315" s="278" t="s">
        <v>2022</v>
      </c>
      <c r="N315" s="326">
        <f t="shared" ref="N315:N317" si="14">D$163</f>
        <v>2.3333333333333335</v>
      </c>
      <c r="O315" s="278" t="s">
        <v>2036</v>
      </c>
      <c r="P315" s="278" t="s">
        <v>2037</v>
      </c>
      <c r="Q315" s="299">
        <f t="shared" ref="Q315:Q317" si="15">B$152</f>
        <v>136</v>
      </c>
      <c r="R315" s="299" t="str">
        <f t="shared" ref="R315:R317" si="16">C$152</f>
        <v>UU (2018) Customer research triangulation report</v>
      </c>
      <c r="S315" s="299" t="str">
        <f t="shared" ref="S315:S317" si="17">D$152</f>
        <v>/</v>
      </c>
      <c r="T315" s="299">
        <f t="shared" ref="T315:T317" si="18">E$152</f>
        <v>2018</v>
      </c>
      <c r="U315" s="299" t="str">
        <f t="shared" ref="U315:U317" si="19">F$152</f>
        <v>England</v>
      </c>
      <c r="V315" s="299" t="str">
        <f t="shared" ref="V315:V317" si="20">G$152</f>
        <v>UU region</v>
      </c>
      <c r="W315" s="299" t="str">
        <f t="shared" ref="W315:W317" si="21">H$152</f>
        <v>Unknown</v>
      </c>
    </row>
    <row r="316" spans="2:23">
      <c r="B316" s="302" t="s">
        <v>2039</v>
      </c>
      <c r="C316" s="278" t="s">
        <v>409</v>
      </c>
      <c r="D316" s="278" t="s">
        <v>158</v>
      </c>
      <c r="E316" s="278" t="s">
        <v>151</v>
      </c>
      <c r="F316" s="299">
        <f t="shared" si="12"/>
        <v>2018</v>
      </c>
      <c r="G316" s="278">
        <v>2017</v>
      </c>
      <c r="H316" s="278">
        <f>'COMPANY INPUT'!$C$16</f>
        <v>2023</v>
      </c>
      <c r="I316" s="278">
        <f>VLOOKUP(G316,'GDP Deflators'!$H$13:$I$86,2,FALSE)</f>
        <v>81.273099999999999</v>
      </c>
      <c r="J316" s="278">
        <f>VLOOKUP(H316,'GDP Deflators'!$H$13:$I$86,2,FALSE)</f>
        <v>100</v>
      </c>
      <c r="K316" s="417">
        <f>-D195</f>
        <v>-851000</v>
      </c>
      <c r="L316" s="746">
        <f t="shared" si="13"/>
        <v>-1047086.9205185972</v>
      </c>
      <c r="M316" s="278" t="s">
        <v>2022</v>
      </c>
      <c r="N316" s="326">
        <f t="shared" si="14"/>
        <v>2.3333333333333335</v>
      </c>
      <c r="O316" s="278" t="s">
        <v>2036</v>
      </c>
      <c r="P316" s="278" t="s">
        <v>2037</v>
      </c>
      <c r="Q316" s="299">
        <f t="shared" si="15"/>
        <v>136</v>
      </c>
      <c r="R316" s="299" t="str">
        <f t="shared" si="16"/>
        <v>UU (2018) Customer research triangulation report</v>
      </c>
      <c r="S316" s="299" t="str">
        <f t="shared" si="17"/>
        <v>/</v>
      </c>
      <c r="T316" s="299">
        <f t="shared" si="18"/>
        <v>2018</v>
      </c>
      <c r="U316" s="299" t="str">
        <f t="shared" si="19"/>
        <v>England</v>
      </c>
      <c r="V316" s="299" t="str">
        <f t="shared" si="20"/>
        <v>UU region</v>
      </c>
      <c r="W316" s="299" t="str">
        <f t="shared" si="21"/>
        <v>Unknown</v>
      </c>
    </row>
    <row r="317" spans="2:23">
      <c r="B317" s="302" t="s">
        <v>2040</v>
      </c>
      <c r="C317" s="278" t="s">
        <v>409</v>
      </c>
      <c r="D317" s="278" t="s">
        <v>159</v>
      </c>
      <c r="E317" s="278" t="s">
        <v>151</v>
      </c>
      <c r="F317" s="299">
        <f t="shared" si="12"/>
        <v>2018</v>
      </c>
      <c r="G317" s="278">
        <v>2017</v>
      </c>
      <c r="H317" s="278">
        <f>'COMPANY INPUT'!$C$16</f>
        <v>2023</v>
      </c>
      <c r="I317" s="278">
        <f>VLOOKUP(G317,'GDP Deflators'!$H$13:$I$86,2,FALSE)</f>
        <v>81.273099999999999</v>
      </c>
      <c r="J317" s="278">
        <f>VLOOKUP(H317,'GDP Deflators'!$H$13:$I$86,2,FALSE)</f>
        <v>100</v>
      </c>
      <c r="K317" s="417">
        <f>-D196</f>
        <v>-998000</v>
      </c>
      <c r="L317" s="746">
        <f t="shared" si="13"/>
        <v>-1227958.5742392009</v>
      </c>
      <c r="M317" s="278" t="s">
        <v>2022</v>
      </c>
      <c r="N317" s="326">
        <f t="shared" si="14"/>
        <v>2.3333333333333335</v>
      </c>
      <c r="O317" s="278" t="s">
        <v>2036</v>
      </c>
      <c r="P317" s="278" t="s">
        <v>2037</v>
      </c>
      <c r="Q317" s="299">
        <f t="shared" si="15"/>
        <v>136</v>
      </c>
      <c r="R317" s="299" t="str">
        <f t="shared" si="16"/>
        <v>UU (2018) Customer research triangulation report</v>
      </c>
      <c r="S317" s="299" t="str">
        <f t="shared" si="17"/>
        <v>/</v>
      </c>
      <c r="T317" s="299">
        <f t="shared" si="18"/>
        <v>2018</v>
      </c>
      <c r="U317" s="299" t="str">
        <f t="shared" si="19"/>
        <v>England</v>
      </c>
      <c r="V317" s="299" t="str">
        <f t="shared" si="20"/>
        <v>UU region</v>
      </c>
      <c r="W317" s="299" t="str">
        <f t="shared" si="21"/>
        <v>Unknown</v>
      </c>
    </row>
    <row r="318" spans="2:23">
      <c r="B318" s="302" t="s">
        <v>2041</v>
      </c>
      <c r="C318" s="278" t="s">
        <v>409</v>
      </c>
      <c r="D318" s="278" t="s">
        <v>155</v>
      </c>
      <c r="E318" s="278" t="s">
        <v>462</v>
      </c>
      <c r="F318" s="299">
        <f t="shared" si="12"/>
        <v>2018</v>
      </c>
      <c r="G318" s="278">
        <v>2017</v>
      </c>
      <c r="H318" s="278">
        <f>'COMPANY INPUT'!$C$16</f>
        <v>2023</v>
      </c>
      <c r="I318" s="278">
        <f>VLOOKUP(G318,'GDP Deflators'!$H$13:$I$86,2,FALSE)</f>
        <v>81.273099999999999</v>
      </c>
      <c r="J318" s="278">
        <f>VLOOKUP(H318,'GDP Deflators'!$H$13:$I$86,2,FALSE)</f>
        <v>100</v>
      </c>
      <c r="K318" s="387">
        <f>-D202</f>
        <v>-60500</v>
      </c>
      <c r="L318" s="746">
        <f t="shared" ref="L318:L321" si="22">K318*(J318/I318)</f>
        <v>-74440.374490452567</v>
      </c>
      <c r="M318" s="278" t="s">
        <v>2022</v>
      </c>
      <c r="N318" s="326">
        <f t="shared" ref="N318:N321" si="23">D$163</f>
        <v>2.3333333333333335</v>
      </c>
      <c r="O318" s="278" t="s">
        <v>2036</v>
      </c>
      <c r="P318" s="278" t="s">
        <v>2037</v>
      </c>
      <c r="Q318" s="299">
        <f t="shared" ref="Q318:Q321" si="24">B$152</f>
        <v>136</v>
      </c>
      <c r="R318" s="299" t="str">
        <f t="shared" ref="R318:R321" si="25">C$152</f>
        <v>UU (2018) Customer research triangulation report</v>
      </c>
      <c r="S318" s="299" t="str">
        <f t="shared" ref="S318:S321" si="26">D$152</f>
        <v>/</v>
      </c>
      <c r="T318" s="299">
        <f t="shared" ref="T318:T321" si="27">E$152</f>
        <v>2018</v>
      </c>
      <c r="U318" s="299" t="str">
        <f t="shared" ref="U318:U321" si="28">F$152</f>
        <v>England</v>
      </c>
      <c r="V318" s="299" t="str">
        <f t="shared" ref="V318:V321" si="29">G$152</f>
        <v>UU region</v>
      </c>
      <c r="W318" s="299" t="str">
        <f t="shared" ref="W318:W321" si="30">H$152</f>
        <v>Unknown</v>
      </c>
    </row>
    <row r="319" spans="2:23">
      <c r="B319" s="302" t="s">
        <v>2042</v>
      </c>
      <c r="C319" s="278" t="s">
        <v>409</v>
      </c>
      <c r="D319" s="278" t="s">
        <v>157</v>
      </c>
      <c r="E319" s="278" t="s">
        <v>462</v>
      </c>
      <c r="F319" s="299">
        <f t="shared" si="12"/>
        <v>2018</v>
      </c>
      <c r="G319" s="278">
        <v>2017</v>
      </c>
      <c r="H319" s="278">
        <f>'COMPANY INPUT'!$C$16</f>
        <v>2023</v>
      </c>
      <c r="I319" s="278">
        <f>VLOOKUP(G319,'GDP Deflators'!$H$13:$I$86,2,FALSE)</f>
        <v>81.273099999999999</v>
      </c>
      <c r="J319" s="278">
        <f>VLOOKUP(H319,'GDP Deflators'!$H$13:$I$86,2,FALSE)</f>
        <v>100</v>
      </c>
      <c r="K319" s="417">
        <f>-F194</f>
        <v>-336000</v>
      </c>
      <c r="L319" s="746">
        <f t="shared" si="22"/>
        <v>-413420.92278995144</v>
      </c>
      <c r="M319" s="278" t="s">
        <v>2022</v>
      </c>
      <c r="N319" s="326">
        <f t="shared" si="23"/>
        <v>2.3333333333333335</v>
      </c>
      <c r="O319" s="278" t="s">
        <v>2036</v>
      </c>
      <c r="P319" s="278" t="s">
        <v>2037</v>
      </c>
      <c r="Q319" s="299">
        <f t="shared" si="24"/>
        <v>136</v>
      </c>
      <c r="R319" s="299" t="str">
        <f t="shared" si="25"/>
        <v>UU (2018) Customer research triangulation report</v>
      </c>
      <c r="S319" s="299" t="str">
        <f t="shared" si="26"/>
        <v>/</v>
      </c>
      <c r="T319" s="299">
        <f t="shared" si="27"/>
        <v>2018</v>
      </c>
      <c r="U319" s="299" t="str">
        <f t="shared" si="28"/>
        <v>England</v>
      </c>
      <c r="V319" s="299" t="str">
        <f t="shared" si="29"/>
        <v>UU region</v>
      </c>
      <c r="W319" s="299" t="str">
        <f t="shared" si="30"/>
        <v>Unknown</v>
      </c>
    </row>
    <row r="320" spans="2:23">
      <c r="B320" s="302" t="s">
        <v>2043</v>
      </c>
      <c r="C320" s="278" t="s">
        <v>409</v>
      </c>
      <c r="D320" s="278" t="s">
        <v>158</v>
      </c>
      <c r="E320" s="278" t="s">
        <v>462</v>
      </c>
      <c r="F320" s="299">
        <f t="shared" si="12"/>
        <v>2018</v>
      </c>
      <c r="G320" s="278">
        <v>2017</v>
      </c>
      <c r="H320" s="278">
        <f>'COMPANY INPUT'!$C$16</f>
        <v>2023</v>
      </c>
      <c r="I320" s="278">
        <f>VLOOKUP(G320,'GDP Deflators'!$H$13:$I$86,2,FALSE)</f>
        <v>81.273099999999999</v>
      </c>
      <c r="J320" s="278">
        <f>VLOOKUP(H320,'GDP Deflators'!$H$13:$I$86,2,FALSE)</f>
        <v>100</v>
      </c>
      <c r="K320" s="417">
        <f>-F195</f>
        <v>-390000</v>
      </c>
      <c r="L320" s="746">
        <f t="shared" si="22"/>
        <v>-479863.57109547936</v>
      </c>
      <c r="M320" s="278" t="s">
        <v>2022</v>
      </c>
      <c r="N320" s="326">
        <f t="shared" si="23"/>
        <v>2.3333333333333335</v>
      </c>
      <c r="O320" s="278" t="s">
        <v>2036</v>
      </c>
      <c r="P320" s="278" t="s">
        <v>2037</v>
      </c>
      <c r="Q320" s="299">
        <f t="shared" si="24"/>
        <v>136</v>
      </c>
      <c r="R320" s="299" t="str">
        <f t="shared" si="25"/>
        <v>UU (2018) Customer research triangulation report</v>
      </c>
      <c r="S320" s="299" t="str">
        <f t="shared" si="26"/>
        <v>/</v>
      </c>
      <c r="T320" s="299">
        <f t="shared" si="27"/>
        <v>2018</v>
      </c>
      <c r="U320" s="299" t="str">
        <f t="shared" si="28"/>
        <v>England</v>
      </c>
      <c r="V320" s="299" t="str">
        <f t="shared" si="29"/>
        <v>UU region</v>
      </c>
      <c r="W320" s="299" t="str">
        <f t="shared" si="30"/>
        <v>Unknown</v>
      </c>
    </row>
    <row r="321" spans="2:23">
      <c r="B321" s="302" t="s">
        <v>2044</v>
      </c>
      <c r="C321" s="278" t="s">
        <v>409</v>
      </c>
      <c r="D321" s="278" t="s">
        <v>159</v>
      </c>
      <c r="E321" s="278" t="s">
        <v>462</v>
      </c>
      <c r="F321" s="299">
        <f t="shared" si="12"/>
        <v>2018</v>
      </c>
      <c r="G321" s="278">
        <v>2017</v>
      </c>
      <c r="H321" s="278">
        <f>'COMPANY INPUT'!$C$16</f>
        <v>2023</v>
      </c>
      <c r="I321" s="278">
        <f>VLOOKUP(G321,'GDP Deflators'!$H$13:$I$86,2,FALSE)</f>
        <v>81.273099999999999</v>
      </c>
      <c r="J321" s="278">
        <f>VLOOKUP(H321,'GDP Deflators'!$H$13:$I$86,2,FALSE)</f>
        <v>100</v>
      </c>
      <c r="K321" s="417">
        <f>-F196</f>
        <v>-457000</v>
      </c>
      <c r="L321" s="746">
        <f t="shared" si="22"/>
        <v>-562301.6717708566</v>
      </c>
      <c r="M321" s="278" t="s">
        <v>2022</v>
      </c>
      <c r="N321" s="326">
        <f t="shared" si="23"/>
        <v>2.3333333333333335</v>
      </c>
      <c r="O321" s="278" t="s">
        <v>2036</v>
      </c>
      <c r="P321" s="278" t="s">
        <v>2037</v>
      </c>
      <c r="Q321" s="299">
        <f t="shared" si="24"/>
        <v>136</v>
      </c>
      <c r="R321" s="299" t="str">
        <f t="shared" si="25"/>
        <v>UU (2018) Customer research triangulation report</v>
      </c>
      <c r="S321" s="299" t="str">
        <f t="shared" si="26"/>
        <v>/</v>
      </c>
      <c r="T321" s="299">
        <f t="shared" si="27"/>
        <v>2018</v>
      </c>
      <c r="U321" s="299" t="str">
        <f t="shared" si="28"/>
        <v>England</v>
      </c>
      <c r="V321" s="299" t="str">
        <f t="shared" si="29"/>
        <v>UU region</v>
      </c>
      <c r="W321" s="299" t="str">
        <f t="shared" si="30"/>
        <v>Unknown</v>
      </c>
    </row>
    <row r="322" spans="2:23">
      <c r="B322" s="302" t="s">
        <v>2045</v>
      </c>
      <c r="C322" s="278" t="s">
        <v>409</v>
      </c>
      <c r="D322" s="278" t="s">
        <v>155</v>
      </c>
      <c r="E322" s="278" t="s">
        <v>151</v>
      </c>
      <c r="F322" s="299">
        <f t="shared" ref="F322:F329" si="31">E$207</f>
        <v>2018</v>
      </c>
      <c r="G322" s="278">
        <v>2018</v>
      </c>
      <c r="H322" s="278">
        <f>'COMPANY INPUT'!$C$16</f>
        <v>2023</v>
      </c>
      <c r="I322" s="278">
        <f>VLOOKUP(G322,'GDP Deflators'!$H$13:$I$86,2,FALSE)</f>
        <v>82.835999999999999</v>
      </c>
      <c r="J322" s="278">
        <f>VLOOKUP(H322,'GDP Deflators'!$H$13:$I$86,2,FALSE)</f>
        <v>100</v>
      </c>
      <c r="K322" s="417">
        <f>-C245</f>
        <v>-243710.59786160884</v>
      </c>
      <c r="L322" s="746">
        <f t="shared" ref="L322:L329" si="32">K322*(J322/I322)</f>
        <v>-294208.55408470816</v>
      </c>
      <c r="M322" s="278" t="s">
        <v>2022</v>
      </c>
      <c r="N322" s="326">
        <f t="shared" ref="N322:N329" si="33">D$219</f>
        <v>2.3333333333333335</v>
      </c>
      <c r="O322" s="278" t="s">
        <v>2036</v>
      </c>
      <c r="P322" s="278" t="s">
        <v>2037</v>
      </c>
      <c r="Q322" s="299">
        <f t="shared" ref="Q322:W329" si="34">B$207</f>
        <v>7</v>
      </c>
      <c r="R322" s="299" t="str">
        <f t="shared" si="34"/>
        <v>Wessex Water (2018) Appendix 1.1.E - Willingness to pay research 2 - Accent</v>
      </c>
      <c r="S322" s="299" t="str">
        <f t="shared" si="34"/>
        <v>/</v>
      </c>
      <c r="T322" s="299">
        <f t="shared" si="34"/>
        <v>2018</v>
      </c>
      <c r="U322" s="299" t="str">
        <f t="shared" si="34"/>
        <v>England</v>
      </c>
      <c r="V322" s="299" t="str">
        <f t="shared" si="34"/>
        <v>Wessex</v>
      </c>
      <c r="W322" s="299">
        <f t="shared" si="34"/>
        <v>511</v>
      </c>
    </row>
    <row r="323" spans="2:23">
      <c r="B323" s="302" t="s">
        <v>2046</v>
      </c>
      <c r="C323" s="278" t="s">
        <v>409</v>
      </c>
      <c r="D323" s="278" t="s">
        <v>157</v>
      </c>
      <c r="E323" s="278" t="s">
        <v>151</v>
      </c>
      <c r="F323" s="299">
        <f t="shared" si="31"/>
        <v>2018</v>
      </c>
      <c r="G323" s="278">
        <v>2018</v>
      </c>
      <c r="H323" s="278">
        <f>'COMPANY INPUT'!$C$16</f>
        <v>2023</v>
      </c>
      <c r="I323" s="278">
        <f>VLOOKUP(G323,'GDP Deflators'!$H$13:$I$86,2,FALSE)</f>
        <v>82.835999999999999</v>
      </c>
      <c r="J323" s="278">
        <f>VLOOKUP(H323,'GDP Deflators'!$H$13:$I$86,2,FALSE)</f>
        <v>100</v>
      </c>
      <c r="K323" s="417">
        <f>-D237</f>
        <v>-1353947.7658978272</v>
      </c>
      <c r="L323" s="746">
        <f t="shared" si="32"/>
        <v>-1634491.9671372678</v>
      </c>
      <c r="M323" s="278" t="s">
        <v>2022</v>
      </c>
      <c r="N323" s="326">
        <f t="shared" si="33"/>
        <v>2.3333333333333335</v>
      </c>
      <c r="O323" s="278" t="s">
        <v>2036</v>
      </c>
      <c r="P323" s="278" t="s">
        <v>2037</v>
      </c>
      <c r="Q323" s="299">
        <f t="shared" si="34"/>
        <v>7</v>
      </c>
      <c r="R323" s="299" t="str">
        <f t="shared" si="34"/>
        <v>Wessex Water (2018) Appendix 1.1.E - Willingness to pay research 2 - Accent</v>
      </c>
      <c r="S323" s="299" t="str">
        <f t="shared" si="34"/>
        <v>/</v>
      </c>
      <c r="T323" s="299">
        <f t="shared" si="34"/>
        <v>2018</v>
      </c>
      <c r="U323" s="299" t="str">
        <f t="shared" si="34"/>
        <v>England</v>
      </c>
      <c r="V323" s="299" t="str">
        <f t="shared" si="34"/>
        <v>Wessex</v>
      </c>
      <c r="W323" s="299">
        <f t="shared" si="34"/>
        <v>511</v>
      </c>
    </row>
    <row r="324" spans="2:23">
      <c r="B324" s="302" t="s">
        <v>2047</v>
      </c>
      <c r="C324" s="278" t="s">
        <v>409</v>
      </c>
      <c r="D324" s="278" t="s">
        <v>158</v>
      </c>
      <c r="E324" s="278" t="s">
        <v>151</v>
      </c>
      <c r="F324" s="299">
        <f t="shared" si="31"/>
        <v>2018</v>
      </c>
      <c r="G324" s="278">
        <v>2018</v>
      </c>
      <c r="H324" s="278">
        <f>'COMPANY INPUT'!$C$16</f>
        <v>2023</v>
      </c>
      <c r="I324" s="278">
        <f>VLOOKUP(G324,'GDP Deflators'!$H$13:$I$86,2,FALSE)</f>
        <v>82.835999999999999</v>
      </c>
      <c r="J324" s="278">
        <f>VLOOKUP(H324,'GDP Deflators'!$H$13:$I$86,2,FALSE)</f>
        <v>100</v>
      </c>
      <c r="K324" s="417">
        <f>-D238</f>
        <v>-1570579.4084414796</v>
      </c>
      <c r="L324" s="746">
        <f t="shared" si="32"/>
        <v>-1896010.6818792308</v>
      </c>
      <c r="M324" s="278" t="s">
        <v>2022</v>
      </c>
      <c r="N324" s="326">
        <f t="shared" si="33"/>
        <v>2.3333333333333335</v>
      </c>
      <c r="O324" s="278" t="s">
        <v>2036</v>
      </c>
      <c r="P324" s="278" t="s">
        <v>2037</v>
      </c>
      <c r="Q324" s="299">
        <f t="shared" si="34"/>
        <v>7</v>
      </c>
      <c r="R324" s="299" t="str">
        <f t="shared" si="34"/>
        <v>Wessex Water (2018) Appendix 1.1.E - Willingness to pay research 2 - Accent</v>
      </c>
      <c r="S324" s="299" t="str">
        <f t="shared" si="34"/>
        <v>/</v>
      </c>
      <c r="T324" s="299">
        <f t="shared" si="34"/>
        <v>2018</v>
      </c>
      <c r="U324" s="299" t="str">
        <f t="shared" si="34"/>
        <v>England</v>
      </c>
      <c r="V324" s="299" t="str">
        <f t="shared" si="34"/>
        <v>Wessex</v>
      </c>
      <c r="W324" s="299">
        <f t="shared" si="34"/>
        <v>511</v>
      </c>
    </row>
    <row r="325" spans="2:23">
      <c r="B325" s="302" t="s">
        <v>2048</v>
      </c>
      <c r="C325" s="278" t="s">
        <v>409</v>
      </c>
      <c r="D325" s="278" t="s">
        <v>159</v>
      </c>
      <c r="E325" s="278" t="s">
        <v>151</v>
      </c>
      <c r="F325" s="299">
        <f t="shared" si="31"/>
        <v>2018</v>
      </c>
      <c r="G325" s="278">
        <v>2018</v>
      </c>
      <c r="H325" s="278">
        <f>'COMPANY INPUT'!$C$16</f>
        <v>2023</v>
      </c>
      <c r="I325" s="278">
        <f>VLOOKUP(G325,'GDP Deflators'!$H$13:$I$86,2,FALSE)</f>
        <v>82.835999999999999</v>
      </c>
      <c r="J325" s="278">
        <f>VLOOKUP(H325,'GDP Deflators'!$H$13:$I$86,2,FALSE)</f>
        <v>100</v>
      </c>
      <c r="K325" s="417">
        <f>-D239</f>
        <v>-1841368.9616210449</v>
      </c>
      <c r="L325" s="746">
        <f t="shared" si="32"/>
        <v>-2222909.0753066842</v>
      </c>
      <c r="M325" s="278" t="s">
        <v>2022</v>
      </c>
      <c r="N325" s="326">
        <f t="shared" si="33"/>
        <v>2.3333333333333335</v>
      </c>
      <c r="O325" s="278" t="s">
        <v>2036</v>
      </c>
      <c r="P325" s="278" t="s">
        <v>2037</v>
      </c>
      <c r="Q325" s="299">
        <f t="shared" si="34"/>
        <v>7</v>
      </c>
      <c r="R325" s="299" t="str">
        <f t="shared" si="34"/>
        <v>Wessex Water (2018) Appendix 1.1.E - Willingness to pay research 2 - Accent</v>
      </c>
      <c r="S325" s="299" t="str">
        <f t="shared" si="34"/>
        <v>/</v>
      </c>
      <c r="T325" s="299">
        <f t="shared" si="34"/>
        <v>2018</v>
      </c>
      <c r="U325" s="299" t="str">
        <f t="shared" si="34"/>
        <v>England</v>
      </c>
      <c r="V325" s="299" t="str">
        <f t="shared" si="34"/>
        <v>Wessex</v>
      </c>
      <c r="W325" s="299">
        <f t="shared" si="34"/>
        <v>511</v>
      </c>
    </row>
    <row r="326" spans="2:23">
      <c r="B326" s="302" t="s">
        <v>2049</v>
      </c>
      <c r="C326" s="278" t="s">
        <v>409</v>
      </c>
      <c r="D326" s="278" t="s">
        <v>155</v>
      </c>
      <c r="E326" s="278" t="s">
        <v>462</v>
      </c>
      <c r="F326" s="299">
        <f t="shared" si="31"/>
        <v>2018</v>
      </c>
      <c r="G326" s="278">
        <v>2018</v>
      </c>
      <c r="H326" s="278">
        <f>'COMPANY INPUT'!$C$16</f>
        <v>2023</v>
      </c>
      <c r="I326" s="278">
        <f>VLOOKUP(G326,'GDP Deflators'!$H$13:$I$86,2,FALSE)</f>
        <v>82.835999999999999</v>
      </c>
      <c r="J326" s="278">
        <f>VLOOKUP(H326,'GDP Deflators'!$H$13:$I$86,2,FALSE)</f>
        <v>100</v>
      </c>
      <c r="K326" s="417">
        <f>-D245</f>
        <v>-12429.567579567563</v>
      </c>
      <c r="L326" s="746">
        <f t="shared" si="32"/>
        <v>-15005.031121212472</v>
      </c>
      <c r="M326" s="278" t="s">
        <v>2022</v>
      </c>
      <c r="N326" s="326">
        <f t="shared" si="33"/>
        <v>2.3333333333333335</v>
      </c>
      <c r="O326" s="278" t="s">
        <v>2036</v>
      </c>
      <c r="P326" s="278" t="s">
        <v>2037</v>
      </c>
      <c r="Q326" s="299">
        <f t="shared" si="34"/>
        <v>7</v>
      </c>
      <c r="R326" s="299" t="str">
        <f t="shared" si="34"/>
        <v>Wessex Water (2018) Appendix 1.1.E - Willingness to pay research 2 - Accent</v>
      </c>
      <c r="S326" s="299" t="str">
        <f t="shared" si="34"/>
        <v>/</v>
      </c>
      <c r="T326" s="299">
        <f t="shared" si="34"/>
        <v>2018</v>
      </c>
      <c r="U326" s="299" t="str">
        <f t="shared" si="34"/>
        <v>England</v>
      </c>
      <c r="V326" s="299" t="str">
        <f t="shared" si="34"/>
        <v>Wessex</v>
      </c>
      <c r="W326" s="299">
        <f t="shared" si="34"/>
        <v>511</v>
      </c>
    </row>
    <row r="327" spans="2:23">
      <c r="B327" s="302" t="s">
        <v>2050</v>
      </c>
      <c r="C327" s="278" t="s">
        <v>409</v>
      </c>
      <c r="D327" s="278" t="s">
        <v>157</v>
      </c>
      <c r="E327" s="278" t="s">
        <v>462</v>
      </c>
      <c r="F327" s="299">
        <f t="shared" si="31"/>
        <v>2018</v>
      </c>
      <c r="G327" s="278">
        <v>2018</v>
      </c>
      <c r="H327" s="278">
        <f>'COMPANY INPUT'!$C$16</f>
        <v>2023</v>
      </c>
      <c r="I327" s="278">
        <f>VLOOKUP(G327,'GDP Deflators'!$H$13:$I$86,2,FALSE)</f>
        <v>82.835999999999999</v>
      </c>
      <c r="J327" s="278">
        <f>VLOOKUP(H327,'GDP Deflators'!$H$13:$I$86,2,FALSE)</f>
        <v>100</v>
      </c>
      <c r="K327" s="417">
        <f>-E237</f>
        <v>-69053.153219819869</v>
      </c>
      <c r="L327" s="746">
        <f t="shared" si="32"/>
        <v>-83361.284006736038</v>
      </c>
      <c r="M327" s="278" t="s">
        <v>2022</v>
      </c>
      <c r="N327" s="326">
        <f t="shared" si="33"/>
        <v>2.3333333333333335</v>
      </c>
      <c r="O327" s="278" t="s">
        <v>2036</v>
      </c>
      <c r="P327" s="278" t="s">
        <v>2037</v>
      </c>
      <c r="Q327" s="299">
        <f t="shared" si="34"/>
        <v>7</v>
      </c>
      <c r="R327" s="299" t="str">
        <f t="shared" si="34"/>
        <v>Wessex Water (2018) Appendix 1.1.E - Willingness to pay research 2 - Accent</v>
      </c>
      <c r="S327" s="299" t="str">
        <f t="shared" si="34"/>
        <v>/</v>
      </c>
      <c r="T327" s="299">
        <f t="shared" si="34"/>
        <v>2018</v>
      </c>
      <c r="U327" s="299" t="str">
        <f t="shared" si="34"/>
        <v>England</v>
      </c>
      <c r="V327" s="299" t="str">
        <f t="shared" si="34"/>
        <v>Wessex</v>
      </c>
      <c r="W327" s="299">
        <f t="shared" si="34"/>
        <v>511</v>
      </c>
    </row>
    <row r="328" spans="2:23">
      <c r="B328" s="302" t="s">
        <v>2051</v>
      </c>
      <c r="C328" s="278" t="s">
        <v>409</v>
      </c>
      <c r="D328" s="278" t="s">
        <v>158</v>
      </c>
      <c r="E328" s="278" t="s">
        <v>462</v>
      </c>
      <c r="F328" s="299">
        <f t="shared" si="31"/>
        <v>2018</v>
      </c>
      <c r="G328" s="278">
        <v>2018</v>
      </c>
      <c r="H328" s="278">
        <f>'COMPANY INPUT'!$C$16</f>
        <v>2023</v>
      </c>
      <c r="I328" s="278">
        <f>VLOOKUP(G328,'GDP Deflators'!$H$13:$I$86,2,FALSE)</f>
        <v>82.835999999999999</v>
      </c>
      <c r="J328" s="278">
        <f>VLOOKUP(H328,'GDP Deflators'!$H$13:$I$86,2,FALSE)</f>
        <v>100</v>
      </c>
      <c r="K328" s="417">
        <f>-E238</f>
        <v>-80101.657734991037</v>
      </c>
      <c r="L328" s="746">
        <f t="shared" si="32"/>
        <v>-96699.089447813793</v>
      </c>
      <c r="M328" s="278" t="s">
        <v>2022</v>
      </c>
      <c r="N328" s="326">
        <f t="shared" si="33"/>
        <v>2.3333333333333335</v>
      </c>
      <c r="O328" s="278" t="s">
        <v>2036</v>
      </c>
      <c r="P328" s="278" t="s">
        <v>2037</v>
      </c>
      <c r="Q328" s="299">
        <f t="shared" si="34"/>
        <v>7</v>
      </c>
      <c r="R328" s="299" t="str">
        <f t="shared" si="34"/>
        <v>Wessex Water (2018) Appendix 1.1.E - Willingness to pay research 2 - Accent</v>
      </c>
      <c r="S328" s="299" t="str">
        <f t="shared" si="34"/>
        <v>/</v>
      </c>
      <c r="T328" s="299">
        <f t="shared" si="34"/>
        <v>2018</v>
      </c>
      <c r="U328" s="299" t="str">
        <f t="shared" si="34"/>
        <v>England</v>
      </c>
      <c r="V328" s="299" t="str">
        <f t="shared" si="34"/>
        <v>Wessex</v>
      </c>
      <c r="W328" s="299">
        <f t="shared" si="34"/>
        <v>511</v>
      </c>
    </row>
    <row r="329" spans="2:23">
      <c r="B329" s="302" t="s">
        <v>2052</v>
      </c>
      <c r="C329" s="278" t="s">
        <v>409</v>
      </c>
      <c r="D329" s="278" t="s">
        <v>159</v>
      </c>
      <c r="E329" s="278" t="s">
        <v>462</v>
      </c>
      <c r="F329" s="299">
        <f t="shared" si="31"/>
        <v>2018</v>
      </c>
      <c r="G329" s="278">
        <v>2018</v>
      </c>
      <c r="H329" s="278">
        <f>'COMPANY INPUT'!$C$16</f>
        <v>2023</v>
      </c>
      <c r="I329" s="278">
        <f>VLOOKUP(G329,'GDP Deflators'!$H$13:$I$86,2,FALSE)</f>
        <v>82.835999999999999</v>
      </c>
      <c r="J329" s="278">
        <f>VLOOKUP(H329,'GDP Deflators'!$H$13:$I$86,2,FALSE)</f>
        <v>100</v>
      </c>
      <c r="K329" s="417">
        <f>-E239</f>
        <v>-93912.288378954996</v>
      </c>
      <c r="L329" s="746">
        <f t="shared" si="32"/>
        <v>-113371.34624916098</v>
      </c>
      <c r="M329" s="278" t="s">
        <v>2022</v>
      </c>
      <c r="N329" s="326">
        <f t="shared" si="33"/>
        <v>2.3333333333333335</v>
      </c>
      <c r="O329" s="278" t="s">
        <v>2036</v>
      </c>
      <c r="P329" s="278" t="s">
        <v>2037</v>
      </c>
      <c r="Q329" s="299">
        <f t="shared" si="34"/>
        <v>7</v>
      </c>
      <c r="R329" s="299" t="str">
        <f t="shared" si="34"/>
        <v>Wessex Water (2018) Appendix 1.1.E - Willingness to pay research 2 - Accent</v>
      </c>
      <c r="S329" s="299" t="str">
        <f t="shared" si="34"/>
        <v>/</v>
      </c>
      <c r="T329" s="299">
        <f t="shared" si="34"/>
        <v>2018</v>
      </c>
      <c r="U329" s="299" t="str">
        <f t="shared" si="34"/>
        <v>England</v>
      </c>
      <c r="V329" s="299" t="str">
        <f t="shared" si="34"/>
        <v>Wessex</v>
      </c>
      <c r="W329" s="299">
        <f t="shared" si="34"/>
        <v>511</v>
      </c>
    </row>
    <row r="330" spans="2:23">
      <c r="B330" s="302" t="s">
        <v>2053</v>
      </c>
      <c r="C330" s="278" t="s">
        <v>409</v>
      </c>
      <c r="D330" s="278" t="s">
        <v>155</v>
      </c>
      <c r="E330" s="278" t="s">
        <v>151</v>
      </c>
      <c r="F330" s="299">
        <f>E$251</f>
        <v>2018</v>
      </c>
      <c r="G330" s="278">
        <v>2017</v>
      </c>
      <c r="H330" s="278">
        <f>'COMPANY INPUT'!$C$16</f>
        <v>2023</v>
      </c>
      <c r="I330" s="278">
        <f>VLOOKUP(G330,'GDP Deflators'!$H$13:$I$86,2,FALSE)</f>
        <v>81.273099999999999</v>
      </c>
      <c r="J330" s="278">
        <f>VLOOKUP(H330,'GDP Deflators'!$H$13:$I$86,2,FALSE)</f>
        <v>100</v>
      </c>
      <c r="K330" s="417">
        <f>-C282</f>
        <v>-1309242</v>
      </c>
      <c r="L330" s="746">
        <f t="shared" ref="L330:L337" si="35">K330*(J330/I330)</f>
        <v>-1610916.773200481</v>
      </c>
      <c r="M330" s="278" t="s">
        <v>2022</v>
      </c>
      <c r="N330" s="326">
        <f>D$261</f>
        <v>2.1666666666666665</v>
      </c>
      <c r="O330" s="278" t="s">
        <v>2036</v>
      </c>
      <c r="P330" s="278" t="s">
        <v>2037</v>
      </c>
      <c r="Q330" s="299">
        <f>B$251</f>
        <v>9</v>
      </c>
      <c r="R330" s="299" t="str">
        <f t="shared" ref="R330:W330" si="36">C$251</f>
        <v>Anglian Water (2018) 12H Valuation Completion report</v>
      </c>
      <c r="S330" s="299" t="str">
        <f t="shared" si="36"/>
        <v>/</v>
      </c>
      <c r="T330" s="299">
        <f t="shared" si="36"/>
        <v>2018</v>
      </c>
      <c r="U330" s="299" t="str">
        <f t="shared" si="36"/>
        <v>England</v>
      </c>
      <c r="V330" s="299" t="str">
        <f t="shared" si="36"/>
        <v>East Anglia</v>
      </c>
      <c r="W330" s="299">
        <f t="shared" si="36"/>
        <v>505</v>
      </c>
    </row>
    <row r="331" spans="2:23">
      <c r="B331" s="302" t="s">
        <v>2054</v>
      </c>
      <c r="C331" s="278" t="s">
        <v>409</v>
      </c>
      <c r="D331" s="278" t="s">
        <v>157</v>
      </c>
      <c r="E331" s="278" t="s">
        <v>151</v>
      </c>
      <c r="F331" s="299">
        <f t="shared" ref="F331:F337" si="37">E$251</f>
        <v>2018</v>
      </c>
      <c r="G331" s="278">
        <v>2017</v>
      </c>
      <c r="H331" s="278">
        <f>'COMPANY INPUT'!$C$16</f>
        <v>2023</v>
      </c>
      <c r="I331" s="278">
        <f>VLOOKUP(G331,'GDP Deflators'!$H$13:$I$86,2,FALSE)</f>
        <v>81.273099999999999</v>
      </c>
      <c r="J331" s="278">
        <f>VLOOKUP(H331,'GDP Deflators'!$H$13:$I$86,2,FALSE)</f>
        <v>100</v>
      </c>
      <c r="K331" s="417">
        <f>-D274</f>
        <v>-2546745</v>
      </c>
      <c r="L331" s="746">
        <f t="shared" si="35"/>
        <v>-3133564.4881270682</v>
      </c>
      <c r="M331" s="278" t="s">
        <v>2022</v>
      </c>
      <c r="N331" s="326">
        <f t="shared" ref="N331:N337" si="38">D$261</f>
        <v>2.1666666666666665</v>
      </c>
      <c r="O331" s="278" t="s">
        <v>2036</v>
      </c>
      <c r="P331" s="278" t="s">
        <v>2037</v>
      </c>
      <c r="Q331" s="299">
        <f t="shared" ref="Q331:Q337" si="39">B$251</f>
        <v>9</v>
      </c>
      <c r="R331" s="299" t="str">
        <f t="shared" ref="R331:R337" si="40">C$251</f>
        <v>Anglian Water (2018) 12H Valuation Completion report</v>
      </c>
      <c r="S331" s="299" t="str">
        <f t="shared" ref="S331:S337" si="41">D$251</f>
        <v>/</v>
      </c>
      <c r="T331" s="299">
        <f t="shared" ref="T331:T337" si="42">E$251</f>
        <v>2018</v>
      </c>
      <c r="U331" s="299" t="str">
        <f t="shared" ref="U331:U337" si="43">F$251</f>
        <v>England</v>
      </c>
      <c r="V331" s="299" t="str">
        <f t="shared" ref="V331:V337" si="44">G$251</f>
        <v>East Anglia</v>
      </c>
      <c r="W331" s="299">
        <f t="shared" ref="W331:W337" si="45">H$251</f>
        <v>505</v>
      </c>
    </row>
    <row r="332" spans="2:23">
      <c r="B332" s="302" t="s">
        <v>2055</v>
      </c>
      <c r="C332" s="278" t="s">
        <v>409</v>
      </c>
      <c r="D332" s="278" t="s">
        <v>158</v>
      </c>
      <c r="E332" s="278" t="s">
        <v>151</v>
      </c>
      <c r="F332" s="299">
        <f t="shared" si="37"/>
        <v>2018</v>
      </c>
      <c r="G332" s="278">
        <v>2017</v>
      </c>
      <c r="H332" s="278">
        <f>'COMPANY INPUT'!$C$16</f>
        <v>2023</v>
      </c>
      <c r="I332" s="278">
        <f>VLOOKUP(G332,'GDP Deflators'!$H$13:$I$86,2,FALSE)</f>
        <v>81.273099999999999</v>
      </c>
      <c r="J332" s="278">
        <f>VLOOKUP(H332,'GDP Deflators'!$H$13:$I$86,2,FALSE)</f>
        <v>100</v>
      </c>
      <c r="K332" s="417">
        <f>-D275</f>
        <v>-322827</v>
      </c>
      <c r="L332" s="746">
        <f t="shared" si="35"/>
        <v>-397212.60786164179</v>
      </c>
      <c r="M332" s="278" t="s">
        <v>2022</v>
      </c>
      <c r="N332" s="326">
        <f t="shared" si="38"/>
        <v>2.1666666666666665</v>
      </c>
      <c r="O332" s="278" t="s">
        <v>2036</v>
      </c>
      <c r="P332" s="278" t="s">
        <v>2037</v>
      </c>
      <c r="Q332" s="299">
        <f t="shared" si="39"/>
        <v>9</v>
      </c>
      <c r="R332" s="299" t="str">
        <f t="shared" si="40"/>
        <v>Anglian Water (2018) 12H Valuation Completion report</v>
      </c>
      <c r="S332" s="299" t="str">
        <f t="shared" si="41"/>
        <v>/</v>
      </c>
      <c r="T332" s="299">
        <f t="shared" si="42"/>
        <v>2018</v>
      </c>
      <c r="U332" s="299" t="str">
        <f t="shared" si="43"/>
        <v>England</v>
      </c>
      <c r="V332" s="299" t="str">
        <f t="shared" si="44"/>
        <v>East Anglia</v>
      </c>
      <c r="W332" s="299">
        <f t="shared" si="45"/>
        <v>505</v>
      </c>
    </row>
    <row r="333" spans="2:23">
      <c r="B333" s="302" t="s">
        <v>2056</v>
      </c>
      <c r="C333" s="278" t="s">
        <v>409</v>
      </c>
      <c r="D333" s="278" t="s">
        <v>159</v>
      </c>
      <c r="E333" s="278" t="s">
        <v>151</v>
      </c>
      <c r="F333" s="299">
        <f t="shared" si="37"/>
        <v>2018</v>
      </c>
      <c r="G333" s="278">
        <v>2017</v>
      </c>
      <c r="H333" s="278">
        <f>'COMPANY INPUT'!$C$16</f>
        <v>2023</v>
      </c>
      <c r="I333" s="278">
        <f>VLOOKUP(G333,'GDP Deflators'!$H$13:$I$86,2,FALSE)</f>
        <v>81.273099999999999</v>
      </c>
      <c r="J333" s="278">
        <f>VLOOKUP(H333,'GDP Deflators'!$H$13:$I$86,2,FALSE)</f>
        <v>100</v>
      </c>
      <c r="K333" s="417">
        <f>-D276</f>
        <v>-717393</v>
      </c>
      <c r="L333" s="746">
        <f t="shared" si="35"/>
        <v>-882694.27399717749</v>
      </c>
      <c r="M333" s="278" t="s">
        <v>2022</v>
      </c>
      <c r="N333" s="326">
        <f t="shared" si="38"/>
        <v>2.1666666666666665</v>
      </c>
      <c r="O333" s="278" t="s">
        <v>2036</v>
      </c>
      <c r="P333" s="278" t="s">
        <v>2037</v>
      </c>
      <c r="Q333" s="299">
        <f t="shared" si="39"/>
        <v>9</v>
      </c>
      <c r="R333" s="299" t="str">
        <f t="shared" si="40"/>
        <v>Anglian Water (2018) 12H Valuation Completion report</v>
      </c>
      <c r="S333" s="299" t="str">
        <f t="shared" si="41"/>
        <v>/</v>
      </c>
      <c r="T333" s="299">
        <f t="shared" si="42"/>
        <v>2018</v>
      </c>
      <c r="U333" s="299" t="str">
        <f t="shared" si="43"/>
        <v>England</v>
      </c>
      <c r="V333" s="299" t="str">
        <f t="shared" si="44"/>
        <v>East Anglia</v>
      </c>
      <c r="W333" s="299">
        <f t="shared" si="45"/>
        <v>505</v>
      </c>
    </row>
    <row r="334" spans="2:23">
      <c r="B334" s="302" t="s">
        <v>2057</v>
      </c>
      <c r="C334" s="278" t="s">
        <v>409</v>
      </c>
      <c r="D334" s="278" t="s">
        <v>155</v>
      </c>
      <c r="E334" s="278" t="s">
        <v>462</v>
      </c>
      <c r="F334" s="299">
        <f t="shared" si="37"/>
        <v>2018</v>
      </c>
      <c r="G334" s="278">
        <v>2017</v>
      </c>
      <c r="H334" s="278">
        <f>'COMPANY INPUT'!$C$16</f>
        <v>2023</v>
      </c>
      <c r="I334" s="278">
        <f>VLOOKUP(G334,'GDP Deflators'!$H$13:$I$86,2,FALSE)</f>
        <v>81.273099999999999</v>
      </c>
      <c r="J334" s="278">
        <f>VLOOKUP(H334,'GDP Deflators'!$H$13:$I$86,2,FALSE)</f>
        <v>100</v>
      </c>
      <c r="K334" s="387">
        <f>-D282</f>
        <v>-55496.5</v>
      </c>
      <c r="L334" s="746">
        <f t="shared" si="35"/>
        <v>-68283.97095718018</v>
      </c>
      <c r="M334" s="278" t="s">
        <v>2022</v>
      </c>
      <c r="N334" s="326">
        <f t="shared" si="38"/>
        <v>2.1666666666666665</v>
      </c>
      <c r="O334" s="278" t="s">
        <v>2036</v>
      </c>
      <c r="P334" s="278" t="s">
        <v>2037</v>
      </c>
      <c r="Q334" s="299">
        <f t="shared" si="39"/>
        <v>9</v>
      </c>
      <c r="R334" s="299" t="str">
        <f t="shared" si="40"/>
        <v>Anglian Water (2018) 12H Valuation Completion report</v>
      </c>
      <c r="S334" s="299" t="str">
        <f t="shared" si="41"/>
        <v>/</v>
      </c>
      <c r="T334" s="299">
        <f t="shared" si="42"/>
        <v>2018</v>
      </c>
      <c r="U334" s="299" t="str">
        <f t="shared" si="43"/>
        <v>England</v>
      </c>
      <c r="V334" s="299" t="str">
        <f t="shared" si="44"/>
        <v>East Anglia</v>
      </c>
      <c r="W334" s="299">
        <f t="shared" si="45"/>
        <v>505</v>
      </c>
    </row>
    <row r="335" spans="2:23">
      <c r="B335" s="302" t="s">
        <v>2058</v>
      </c>
      <c r="C335" s="278" t="s">
        <v>409</v>
      </c>
      <c r="D335" s="278" t="s">
        <v>157</v>
      </c>
      <c r="E335" s="278" t="s">
        <v>462</v>
      </c>
      <c r="F335" s="299">
        <f t="shared" si="37"/>
        <v>2018</v>
      </c>
      <c r="G335" s="278">
        <v>2017</v>
      </c>
      <c r="H335" s="278">
        <f>'COMPANY INPUT'!$C$16</f>
        <v>2023</v>
      </c>
      <c r="I335" s="278">
        <f>VLOOKUP(G335,'GDP Deflators'!$H$13:$I$86,2,FALSE)</f>
        <v>81.273099999999999</v>
      </c>
      <c r="J335" s="278">
        <f>VLOOKUP(H335,'GDP Deflators'!$H$13:$I$86,2,FALSE)</f>
        <v>100</v>
      </c>
      <c r="K335" s="387">
        <f>-E274</f>
        <v>-107952</v>
      </c>
      <c r="L335" s="746">
        <f t="shared" si="35"/>
        <v>-132826.23647922868</v>
      </c>
      <c r="M335" s="278" t="s">
        <v>2022</v>
      </c>
      <c r="N335" s="326">
        <f t="shared" si="38"/>
        <v>2.1666666666666665</v>
      </c>
      <c r="O335" s="278" t="s">
        <v>2036</v>
      </c>
      <c r="P335" s="278" t="s">
        <v>2037</v>
      </c>
      <c r="Q335" s="299">
        <f t="shared" si="39"/>
        <v>9</v>
      </c>
      <c r="R335" s="299" t="str">
        <f t="shared" si="40"/>
        <v>Anglian Water (2018) 12H Valuation Completion report</v>
      </c>
      <c r="S335" s="299" t="str">
        <f t="shared" si="41"/>
        <v>/</v>
      </c>
      <c r="T335" s="299">
        <f t="shared" si="42"/>
        <v>2018</v>
      </c>
      <c r="U335" s="299" t="str">
        <f t="shared" si="43"/>
        <v>England</v>
      </c>
      <c r="V335" s="299" t="str">
        <f t="shared" si="44"/>
        <v>East Anglia</v>
      </c>
      <c r="W335" s="299">
        <f t="shared" si="45"/>
        <v>505</v>
      </c>
    </row>
    <row r="336" spans="2:23">
      <c r="B336" s="302" t="s">
        <v>2059</v>
      </c>
      <c r="C336" s="278" t="s">
        <v>409</v>
      </c>
      <c r="D336" s="278" t="s">
        <v>158</v>
      </c>
      <c r="E336" s="278" t="s">
        <v>462</v>
      </c>
      <c r="F336" s="299">
        <f t="shared" si="37"/>
        <v>2018</v>
      </c>
      <c r="G336" s="278">
        <v>2017</v>
      </c>
      <c r="H336" s="278">
        <f>'COMPANY INPUT'!$C$16</f>
        <v>2023</v>
      </c>
      <c r="I336" s="278">
        <f>VLOOKUP(G336,'GDP Deflators'!$H$13:$I$86,2,FALSE)</f>
        <v>81.273099999999999</v>
      </c>
      <c r="J336" s="278">
        <f>VLOOKUP(H336,'GDP Deflators'!$H$13:$I$86,2,FALSE)</f>
        <v>100</v>
      </c>
      <c r="K336" s="387">
        <f>-E275</f>
        <v>-13684</v>
      </c>
      <c r="L336" s="746">
        <f t="shared" si="35"/>
        <v>-16837.059248385998</v>
      </c>
      <c r="M336" s="278" t="s">
        <v>2022</v>
      </c>
      <c r="N336" s="326">
        <f t="shared" si="38"/>
        <v>2.1666666666666665</v>
      </c>
      <c r="O336" s="278" t="s">
        <v>2036</v>
      </c>
      <c r="P336" s="278" t="s">
        <v>2037</v>
      </c>
      <c r="Q336" s="299">
        <f t="shared" si="39"/>
        <v>9</v>
      </c>
      <c r="R336" s="299" t="str">
        <f t="shared" si="40"/>
        <v>Anglian Water (2018) 12H Valuation Completion report</v>
      </c>
      <c r="S336" s="299" t="str">
        <f t="shared" si="41"/>
        <v>/</v>
      </c>
      <c r="T336" s="299">
        <f t="shared" si="42"/>
        <v>2018</v>
      </c>
      <c r="U336" s="299" t="str">
        <f t="shared" si="43"/>
        <v>England</v>
      </c>
      <c r="V336" s="299" t="str">
        <f t="shared" si="44"/>
        <v>East Anglia</v>
      </c>
      <c r="W336" s="299">
        <f t="shared" si="45"/>
        <v>505</v>
      </c>
    </row>
    <row r="337" spans="1:23">
      <c r="B337" s="302" t="s">
        <v>2060</v>
      </c>
      <c r="C337" s="278" t="s">
        <v>409</v>
      </c>
      <c r="D337" s="278" t="s">
        <v>159</v>
      </c>
      <c r="E337" s="278" t="s">
        <v>462</v>
      </c>
      <c r="F337" s="299">
        <f t="shared" si="37"/>
        <v>2018</v>
      </c>
      <c r="G337" s="278">
        <v>2017</v>
      </c>
      <c r="H337" s="278">
        <f>'COMPANY INPUT'!$C$16</f>
        <v>2023</v>
      </c>
      <c r="I337" s="278">
        <f>VLOOKUP(G337,'GDP Deflators'!$H$13:$I$86,2,FALSE)</f>
        <v>81.273099999999999</v>
      </c>
      <c r="J337" s="278">
        <f>VLOOKUP(H337,'GDP Deflators'!$H$13:$I$86,2,FALSE)</f>
        <v>100</v>
      </c>
      <c r="K337" s="387">
        <f>-E276</f>
        <v>-30409</v>
      </c>
      <c r="L337" s="746">
        <f t="shared" si="35"/>
        <v>-37415.823931903673</v>
      </c>
      <c r="M337" s="278" t="s">
        <v>2022</v>
      </c>
      <c r="N337" s="326">
        <f t="shared" si="38"/>
        <v>2.1666666666666665</v>
      </c>
      <c r="O337" s="278" t="s">
        <v>2036</v>
      </c>
      <c r="P337" s="278" t="s">
        <v>2037</v>
      </c>
      <c r="Q337" s="299">
        <f t="shared" si="39"/>
        <v>9</v>
      </c>
      <c r="R337" s="299" t="str">
        <f t="shared" si="40"/>
        <v>Anglian Water (2018) 12H Valuation Completion report</v>
      </c>
      <c r="S337" s="299" t="str">
        <f t="shared" si="41"/>
        <v>/</v>
      </c>
      <c r="T337" s="299">
        <f t="shared" si="42"/>
        <v>2018</v>
      </c>
      <c r="U337" s="299" t="str">
        <f t="shared" si="43"/>
        <v>England</v>
      </c>
      <c r="V337" s="299" t="str">
        <f t="shared" si="44"/>
        <v>East Anglia</v>
      </c>
      <c r="W337" s="299">
        <f t="shared" si="45"/>
        <v>505</v>
      </c>
    </row>
    <row r="339" spans="1:23">
      <c r="A339" s="721"/>
      <c r="B339" s="722" t="s">
        <v>230</v>
      </c>
      <c r="C339" s="721"/>
      <c r="D339" s="721"/>
      <c r="E339" s="721"/>
      <c r="F339" s="721"/>
      <c r="G339" s="721"/>
      <c r="H339" s="721"/>
    </row>
    <row r="340" spans="1:23">
      <c r="A340" s="727"/>
      <c r="B340" s="729" t="s">
        <v>897</v>
      </c>
      <c r="C340" s="727"/>
      <c r="D340" s="727"/>
      <c r="E340" s="727"/>
      <c r="F340" s="727"/>
      <c r="G340" s="727"/>
      <c r="H340" s="727"/>
    </row>
    <row r="341" spans="1:23">
      <c r="B341" s="277" t="s">
        <v>898</v>
      </c>
      <c r="C341" s="277" t="s">
        <v>899</v>
      </c>
    </row>
    <row r="342" spans="1:23">
      <c r="B342" s="278" t="s">
        <v>230</v>
      </c>
      <c r="C342" s="278" t="s">
        <v>2061</v>
      </c>
    </row>
    <row r="343" spans="1:23">
      <c r="B343" s="16"/>
    </row>
    <row r="344" spans="1:23">
      <c r="A344" s="727"/>
      <c r="B344" s="728" t="s">
        <v>901</v>
      </c>
      <c r="C344" s="727"/>
      <c r="D344" s="727"/>
      <c r="E344" s="727"/>
      <c r="F344" s="727"/>
      <c r="G344" s="727"/>
      <c r="H344" s="727"/>
    </row>
    <row r="345" spans="1:23" ht="29.1">
      <c r="B345" s="719" t="s">
        <v>902</v>
      </c>
      <c r="C345" s="719" t="s">
        <v>898</v>
      </c>
      <c r="D345" s="719" t="s">
        <v>899</v>
      </c>
      <c r="E345" s="719" t="s">
        <v>903</v>
      </c>
      <c r="F345" s="719" t="s">
        <v>904</v>
      </c>
      <c r="G345" s="719" t="s">
        <v>905</v>
      </c>
      <c r="H345" s="719" t="s">
        <v>924</v>
      </c>
      <c r="I345" s="719" t="s">
        <v>956</v>
      </c>
      <c r="J345" s="719" t="s">
        <v>927</v>
      </c>
    </row>
    <row r="346" spans="1:23" ht="27" customHeight="1">
      <c r="B346" s="278" t="s">
        <v>155</v>
      </c>
      <c r="C346" s="299" t="s">
        <v>230</v>
      </c>
      <c r="D346" s="278" t="s">
        <v>2061</v>
      </c>
      <c r="E346" s="299" t="s">
        <v>906</v>
      </c>
      <c r="F346" s="279" t="s">
        <v>907</v>
      </c>
      <c r="G346" s="300" t="s">
        <v>477</v>
      </c>
      <c r="H346" s="640" t="s">
        <v>907</v>
      </c>
      <c r="I346" s="640" t="s">
        <v>907</v>
      </c>
      <c r="J346" s="1175" t="s">
        <v>2062</v>
      </c>
    </row>
    <row r="347" spans="1:23" ht="27" customHeight="1">
      <c r="B347" s="278" t="s">
        <v>157</v>
      </c>
      <c r="C347" s="299" t="s">
        <v>230</v>
      </c>
      <c r="D347" s="278" t="s">
        <v>2061</v>
      </c>
      <c r="E347" s="299" t="s">
        <v>906</v>
      </c>
      <c r="F347" s="279" t="s">
        <v>907</v>
      </c>
      <c r="G347" s="300" t="s">
        <v>477</v>
      </c>
      <c r="H347" s="640" t="s">
        <v>907</v>
      </c>
      <c r="I347" s="640" t="s">
        <v>907</v>
      </c>
      <c r="J347" s="1176"/>
    </row>
    <row r="348" spans="1:23" ht="27" customHeight="1">
      <c r="B348" s="278" t="s">
        <v>158</v>
      </c>
      <c r="C348" s="299" t="s">
        <v>230</v>
      </c>
      <c r="D348" s="278" t="s">
        <v>2061</v>
      </c>
      <c r="E348" s="299" t="s">
        <v>906</v>
      </c>
      <c r="F348" s="279" t="s">
        <v>907</v>
      </c>
      <c r="G348" s="300" t="s">
        <v>477</v>
      </c>
      <c r="H348" s="640" t="s">
        <v>907</v>
      </c>
      <c r="I348" s="640" t="s">
        <v>907</v>
      </c>
      <c r="J348" s="1176"/>
    </row>
    <row r="349" spans="1:23" ht="27" customHeight="1">
      <c r="B349" s="278" t="s">
        <v>159</v>
      </c>
      <c r="C349" s="299" t="s">
        <v>230</v>
      </c>
      <c r="D349" s="278" t="s">
        <v>2061</v>
      </c>
      <c r="E349" s="299" t="s">
        <v>906</v>
      </c>
      <c r="F349" s="279" t="s">
        <v>907</v>
      </c>
      <c r="G349" s="300" t="s">
        <v>477</v>
      </c>
      <c r="H349" s="640" t="s">
        <v>907</v>
      </c>
      <c r="I349" s="640" t="s">
        <v>907</v>
      </c>
      <c r="J349" s="1177"/>
    </row>
    <row r="350" spans="1:23">
      <c r="B350" s="16"/>
    </row>
    <row r="351" spans="1:23">
      <c r="A351" s="721"/>
      <c r="B351" s="722" t="s">
        <v>460</v>
      </c>
      <c r="C351" s="721"/>
      <c r="D351" s="721"/>
      <c r="E351" s="721"/>
      <c r="F351" s="721"/>
      <c r="G351" s="721"/>
      <c r="H351" s="721"/>
    </row>
    <row r="352" spans="1:23">
      <c r="A352" s="727"/>
      <c r="B352" s="729" t="s">
        <v>897</v>
      </c>
      <c r="C352" s="727"/>
      <c r="D352" s="727"/>
      <c r="E352" s="727"/>
      <c r="F352" s="727"/>
      <c r="G352" s="727"/>
      <c r="H352" s="727"/>
    </row>
    <row r="353" spans="1:10">
      <c r="B353" s="277" t="s">
        <v>898</v>
      </c>
      <c r="C353" s="277" t="s">
        <v>899</v>
      </c>
    </row>
    <row r="354" spans="1:10">
      <c r="B354" s="278" t="s">
        <v>460</v>
      </c>
      <c r="C354" s="278" t="s">
        <v>2063</v>
      </c>
    </row>
    <row r="355" spans="1:10">
      <c r="B355" s="16"/>
    </row>
    <row r="356" spans="1:10">
      <c r="A356" s="727"/>
      <c r="B356" s="728" t="s">
        <v>901</v>
      </c>
      <c r="C356" s="727"/>
      <c r="D356" s="727"/>
      <c r="E356" s="727"/>
      <c r="F356" s="727"/>
      <c r="G356" s="727"/>
      <c r="H356" s="727"/>
    </row>
    <row r="357" spans="1:10" ht="30" customHeight="1">
      <c r="B357" s="719" t="s">
        <v>902</v>
      </c>
      <c r="C357" s="719" t="s">
        <v>898</v>
      </c>
      <c r="D357" s="719" t="s">
        <v>899</v>
      </c>
      <c r="E357" s="719" t="s">
        <v>903</v>
      </c>
      <c r="F357" s="719" t="s">
        <v>904</v>
      </c>
      <c r="G357" s="719" t="s">
        <v>905</v>
      </c>
      <c r="H357" s="719" t="s">
        <v>924</v>
      </c>
      <c r="I357" s="719" t="s">
        <v>956</v>
      </c>
      <c r="J357" s="719" t="s">
        <v>927</v>
      </c>
    </row>
    <row r="358" spans="1:10">
      <c r="B358" s="278" t="s">
        <v>155</v>
      </c>
      <c r="C358" s="299" t="s">
        <v>460</v>
      </c>
      <c r="D358" s="278" t="str">
        <f>C$354</f>
        <v>Reduced customer trust in bathing water quality</v>
      </c>
      <c r="E358" s="299" t="s">
        <v>906</v>
      </c>
      <c r="F358" s="279" t="s">
        <v>907</v>
      </c>
      <c r="G358" s="300" t="s">
        <v>477</v>
      </c>
      <c r="H358" s="640" t="s">
        <v>907</v>
      </c>
      <c r="I358" s="640" t="s">
        <v>907</v>
      </c>
      <c r="J358" s="640" t="s">
        <v>907</v>
      </c>
    </row>
    <row r="359" spans="1:10">
      <c r="B359" s="278" t="s">
        <v>157</v>
      </c>
      <c r="C359" s="299" t="s">
        <v>460</v>
      </c>
      <c r="D359" s="278" t="str">
        <f t="shared" ref="D359:D361" si="46">C$354</f>
        <v>Reduced customer trust in bathing water quality</v>
      </c>
      <c r="E359" s="299" t="s">
        <v>906</v>
      </c>
      <c r="F359" s="279" t="s">
        <v>907</v>
      </c>
      <c r="G359" s="300" t="s">
        <v>477</v>
      </c>
      <c r="H359" s="640" t="s">
        <v>907</v>
      </c>
      <c r="I359" s="640" t="s">
        <v>907</v>
      </c>
      <c r="J359" s="640" t="s">
        <v>907</v>
      </c>
    </row>
    <row r="360" spans="1:10">
      <c r="B360" s="278" t="s">
        <v>158</v>
      </c>
      <c r="C360" s="299" t="s">
        <v>460</v>
      </c>
      <c r="D360" s="278" t="str">
        <f t="shared" si="46"/>
        <v>Reduced customer trust in bathing water quality</v>
      </c>
      <c r="E360" s="299" t="s">
        <v>906</v>
      </c>
      <c r="F360" s="279" t="s">
        <v>907</v>
      </c>
      <c r="G360" s="300" t="s">
        <v>477</v>
      </c>
      <c r="H360" s="640" t="s">
        <v>907</v>
      </c>
      <c r="I360" s="640" t="s">
        <v>907</v>
      </c>
      <c r="J360" s="640" t="s">
        <v>907</v>
      </c>
    </row>
    <row r="361" spans="1:10">
      <c r="B361" s="278" t="s">
        <v>159</v>
      </c>
      <c r="C361" s="299" t="s">
        <v>460</v>
      </c>
      <c r="D361" s="278" t="str">
        <f t="shared" si="46"/>
        <v>Reduced customer trust in bathing water quality</v>
      </c>
      <c r="E361" s="299" t="s">
        <v>906</v>
      </c>
      <c r="F361" s="279" t="s">
        <v>907</v>
      </c>
      <c r="G361" s="300" t="s">
        <v>477</v>
      </c>
      <c r="H361" s="640" t="s">
        <v>907</v>
      </c>
      <c r="I361" s="640" t="s">
        <v>907</v>
      </c>
      <c r="J361" s="640" t="s">
        <v>907</v>
      </c>
    </row>
    <row r="362" spans="1:10">
      <c r="B362" s="16"/>
    </row>
  </sheetData>
  <sheetProtection algorithmName="SHA-512" hashValue="fc7kXu1Va9uMoNW9GMdoy+XM/UGgp0eZnUsumAllokYMmSjRQjREfHYuupp+DmBc76SKxhe7eBTzjZOq1feEzw==" saltValue="BZ5g1LEIBlJ9CpGF4JUhIg==" spinCount="100000" sheet="1" objects="1" scenarios="1"/>
  <dataConsolidate/>
  <mergeCells count="99">
    <mergeCell ref="E215:H215"/>
    <mergeCell ref="E216:H216"/>
    <mergeCell ref="E217:H217"/>
    <mergeCell ref="E218:H218"/>
    <mergeCell ref="E254:H254"/>
    <mergeCell ref="E58:H58"/>
    <mergeCell ref="E59:H59"/>
    <mergeCell ref="E60:H60"/>
    <mergeCell ref="E61:H61"/>
    <mergeCell ref="E62:H62"/>
    <mergeCell ref="E35:H35"/>
    <mergeCell ref="E36:H36"/>
    <mergeCell ref="E37:H37"/>
    <mergeCell ref="E56:H56"/>
    <mergeCell ref="E57:H57"/>
    <mergeCell ref="G42:J42"/>
    <mergeCell ref="G43:J45"/>
    <mergeCell ref="B5:H5"/>
    <mergeCell ref="E31:H31"/>
    <mergeCell ref="E32:H32"/>
    <mergeCell ref="E33:H33"/>
    <mergeCell ref="E34:H34"/>
    <mergeCell ref="G268:L268"/>
    <mergeCell ref="G269:L270"/>
    <mergeCell ref="G227:L227"/>
    <mergeCell ref="G265:L265"/>
    <mergeCell ref="F238:L238"/>
    <mergeCell ref="G266:L266"/>
    <mergeCell ref="E255:H255"/>
    <mergeCell ref="E256:H256"/>
    <mergeCell ref="E257:H257"/>
    <mergeCell ref="E258:H258"/>
    <mergeCell ref="E259:H259"/>
    <mergeCell ref="E260:H260"/>
    <mergeCell ref="J346:J349"/>
    <mergeCell ref="G115:L115"/>
    <mergeCell ref="G225:L225"/>
    <mergeCell ref="E233:L233"/>
    <mergeCell ref="E234:L234"/>
    <mergeCell ref="G228:L230"/>
    <mergeCell ref="F236:L236"/>
    <mergeCell ref="F237:L237"/>
    <mergeCell ref="G223:L223"/>
    <mergeCell ref="G224:L224"/>
    <mergeCell ref="G226:L226"/>
    <mergeCell ref="F135:M135"/>
    <mergeCell ref="K295:M298"/>
    <mergeCell ref="K287:M290"/>
    <mergeCell ref="G129:L129"/>
    <mergeCell ref="G267:L267"/>
    <mergeCell ref="K291:M294"/>
    <mergeCell ref="F273:L273"/>
    <mergeCell ref="F274:L274"/>
    <mergeCell ref="F275:L275"/>
    <mergeCell ref="F276:L276"/>
    <mergeCell ref="K286:M286"/>
    <mergeCell ref="J291:J298"/>
    <mergeCell ref="I291:I298"/>
    <mergeCell ref="H291:H298"/>
    <mergeCell ref="G67:K67"/>
    <mergeCell ref="G130:L132"/>
    <mergeCell ref="G70:H70"/>
    <mergeCell ref="I68:K70"/>
    <mergeCell ref="G113:L113"/>
    <mergeCell ref="G73:K73"/>
    <mergeCell ref="E97:H97"/>
    <mergeCell ref="E98:H98"/>
    <mergeCell ref="E99:H99"/>
    <mergeCell ref="E100:H100"/>
    <mergeCell ref="E101:H101"/>
    <mergeCell ref="E102:H102"/>
    <mergeCell ref="E103:H103"/>
    <mergeCell ref="G68:H68"/>
    <mergeCell ref="G69:H69"/>
    <mergeCell ref="G71:K71"/>
    <mergeCell ref="G170:L172"/>
    <mergeCell ref="G193:L193"/>
    <mergeCell ref="G168:L169"/>
    <mergeCell ref="G114:L114"/>
    <mergeCell ref="F239:L239"/>
    <mergeCell ref="G194:L196"/>
    <mergeCell ref="E156:H156"/>
    <mergeCell ref="E157:H157"/>
    <mergeCell ref="E158:H158"/>
    <mergeCell ref="E159:H159"/>
    <mergeCell ref="E160:H160"/>
    <mergeCell ref="E161:H161"/>
    <mergeCell ref="E162:H162"/>
    <mergeCell ref="E212:H212"/>
    <mergeCell ref="E213:H213"/>
    <mergeCell ref="E214:H214"/>
    <mergeCell ref="G72:K72"/>
    <mergeCell ref="G167:L167"/>
    <mergeCell ref="G116:L116"/>
    <mergeCell ref="G108:L108"/>
    <mergeCell ref="G109:L109"/>
    <mergeCell ref="G110:L110"/>
    <mergeCell ref="G111:L111"/>
    <mergeCell ref="G112:L112"/>
  </mergeCells>
  <phoneticPr fontId="16" type="noConversion"/>
  <conditionalFormatting sqref="D38:E38">
    <cfRule type="cellIs" dxfId="642" priority="42" operator="lessThanOrEqual">
      <formula>2.57142857142857</formula>
    </cfRule>
    <cfRule type="cellIs" dxfId="641" priority="41" operator="lessThanOrEqual">
      <formula>2.14285714285714</formula>
    </cfRule>
    <cfRule type="cellIs" dxfId="640" priority="43" operator="lessThanOrEqual">
      <formula>3</formula>
    </cfRule>
  </conditionalFormatting>
  <conditionalFormatting sqref="D63:E63">
    <cfRule type="cellIs" dxfId="639" priority="37" operator="lessThanOrEqual">
      <formula>3</formula>
    </cfRule>
    <cfRule type="cellIs" dxfId="638" priority="36" operator="lessThanOrEqual">
      <formula>2.57142857142857</formula>
    </cfRule>
    <cfRule type="cellIs" dxfId="637" priority="35" operator="lessThanOrEqual">
      <formula>2.14285714285714</formula>
    </cfRule>
  </conditionalFormatting>
  <conditionalFormatting sqref="D104:E104">
    <cfRule type="cellIs" dxfId="636" priority="31" operator="lessThanOrEqual">
      <formula>3</formula>
    </cfRule>
    <cfRule type="cellIs" dxfId="635" priority="30" operator="lessThanOrEqual">
      <formula>2.57142857142857</formula>
    </cfRule>
    <cfRule type="cellIs" dxfId="634" priority="29" operator="lessThanOrEqual">
      <formula>2.14285714285714</formula>
    </cfRule>
  </conditionalFormatting>
  <conditionalFormatting sqref="D163:E163">
    <cfRule type="cellIs" dxfId="633" priority="23" operator="lessThanOrEqual">
      <formula>2.14285714285714</formula>
    </cfRule>
    <cfRule type="cellIs" dxfId="632" priority="24" operator="lessThanOrEqual">
      <formula>2.57142857142857</formula>
    </cfRule>
    <cfRule type="cellIs" dxfId="631" priority="25" operator="lessThanOrEqual">
      <formula>3</formula>
    </cfRule>
  </conditionalFormatting>
  <conditionalFormatting sqref="D219:E219">
    <cfRule type="cellIs" dxfId="630" priority="17" operator="lessThanOrEqual">
      <formula>2.14285714285714</formula>
    </cfRule>
    <cfRule type="cellIs" dxfId="629" priority="18" operator="lessThanOrEqual">
      <formula>2.57142857142857</formula>
    </cfRule>
    <cfRule type="cellIs" dxfId="628" priority="19" operator="lessThanOrEqual">
      <formula>3</formula>
    </cfRule>
  </conditionalFormatting>
  <conditionalFormatting sqref="D261:E261">
    <cfRule type="cellIs" dxfId="627" priority="11" operator="lessThanOrEqual">
      <formula>2.14285714285714</formula>
    </cfRule>
    <cfRule type="cellIs" dxfId="626" priority="12" operator="lessThanOrEqual">
      <formula>2.57142857142857</formula>
    </cfRule>
    <cfRule type="cellIs" dxfId="625" priority="13" operator="lessThanOrEqual">
      <formula>3</formula>
    </cfRule>
  </conditionalFormatting>
  <conditionalFormatting sqref="D11:I14">
    <cfRule type="notContainsBlanks" dxfId="624" priority="1">
      <formula>LEN(TRIM(D11))&gt;0</formula>
    </cfRule>
  </conditionalFormatting>
  <conditionalFormatting sqref="E38">
    <cfRule type="containsText" dxfId="623" priority="40" operator="containsText" text="Red">
      <formula>NOT(ISERROR(SEARCH("Red",E38)))</formula>
    </cfRule>
    <cfRule type="containsText" dxfId="622" priority="39" operator="containsText" text="Amber">
      <formula>NOT(ISERROR(SEARCH("Amber",E38)))</formula>
    </cfRule>
    <cfRule type="containsText" dxfId="621" priority="38" operator="containsText" text="Green">
      <formula>NOT(ISERROR(SEARCH("Green",E38)))</formula>
    </cfRule>
  </conditionalFormatting>
  <conditionalFormatting sqref="E63">
    <cfRule type="containsText" dxfId="620" priority="32" operator="containsText" text="Green">
      <formula>NOT(ISERROR(SEARCH("Green",E63)))</formula>
    </cfRule>
    <cfRule type="containsText" dxfId="619" priority="34" operator="containsText" text="Red">
      <formula>NOT(ISERROR(SEARCH("Red",E63)))</formula>
    </cfRule>
    <cfRule type="containsText" dxfId="618" priority="33" operator="containsText" text="Amber">
      <formula>NOT(ISERROR(SEARCH("Amber",E63)))</formula>
    </cfRule>
  </conditionalFormatting>
  <conditionalFormatting sqref="E104">
    <cfRule type="containsText" dxfId="617" priority="27" operator="containsText" text="Amber">
      <formula>NOT(ISERROR(SEARCH("Amber",E104)))</formula>
    </cfRule>
    <cfRule type="containsText" dxfId="616" priority="28" operator="containsText" text="Red">
      <formula>NOT(ISERROR(SEARCH("Red",E104)))</formula>
    </cfRule>
    <cfRule type="containsText" dxfId="615" priority="26" operator="containsText" text="Green">
      <formula>NOT(ISERROR(SEARCH("Green",E104)))</formula>
    </cfRule>
  </conditionalFormatting>
  <conditionalFormatting sqref="E163">
    <cfRule type="containsText" dxfId="614" priority="21" operator="containsText" text="Amber">
      <formula>NOT(ISERROR(SEARCH("Amber",E163)))</formula>
    </cfRule>
    <cfRule type="containsText" dxfId="613" priority="20" operator="containsText" text="Green">
      <formula>NOT(ISERROR(SEARCH("Green",E163)))</formula>
    </cfRule>
    <cfRule type="containsText" dxfId="612" priority="22" operator="containsText" text="Red">
      <formula>NOT(ISERROR(SEARCH("Red",E163)))</formula>
    </cfRule>
  </conditionalFormatting>
  <conditionalFormatting sqref="E219">
    <cfRule type="containsText" dxfId="611" priority="16" operator="containsText" text="Red">
      <formula>NOT(ISERROR(SEARCH("Red",E219)))</formula>
    </cfRule>
    <cfRule type="containsText" dxfId="610" priority="15" operator="containsText" text="Amber">
      <formula>NOT(ISERROR(SEARCH("Amber",E219)))</formula>
    </cfRule>
    <cfRule type="containsText" dxfId="609" priority="14" operator="containsText" text="Green">
      <formula>NOT(ISERROR(SEARCH("Green",E219)))</formula>
    </cfRule>
  </conditionalFormatting>
  <conditionalFormatting sqref="E261">
    <cfRule type="containsText" dxfId="608" priority="10" operator="containsText" text="Red">
      <formula>NOT(ISERROR(SEARCH("Red",E261)))</formula>
    </cfRule>
    <cfRule type="containsText" dxfId="607" priority="9" operator="containsText" text="Amber">
      <formula>NOT(ISERROR(SEARCH("Amber",E261)))</formula>
    </cfRule>
    <cfRule type="containsText" dxfId="606" priority="8" operator="containsText" text="Green">
      <formula>NOT(ISERROR(SEARCH("Green",E261)))</formula>
    </cfRule>
  </conditionalFormatting>
  <conditionalFormatting sqref="H291">
    <cfRule type="cellIs" dxfId="605" priority="49" operator="lessThanOrEqual">
      <formula>3</formula>
    </cfRule>
    <cfRule type="cellIs" dxfId="604" priority="47" operator="lessThanOrEqual">
      <formula>2.14285714285714</formula>
    </cfRule>
    <cfRule type="cellIs" dxfId="603" priority="48" operator="lessThanOrEqual">
      <formula>2.57142857142857</formula>
    </cfRule>
  </conditionalFormatting>
  <conditionalFormatting sqref="N302:N337">
    <cfRule type="cellIs" dxfId="602" priority="45" operator="lessThanOrEqual">
      <formula>2.57142857142857</formula>
    </cfRule>
    <cfRule type="cellIs" dxfId="601" priority="46" operator="lessThanOrEqual">
      <formula>3</formula>
    </cfRule>
    <cfRule type="cellIs" dxfId="600" priority="44" operator="lessThanOrEqual">
      <formula>2.14285714285714</formula>
    </cfRule>
  </conditionalFormatting>
  <dataValidations count="1">
    <dataValidation type="list" allowBlank="1" showInputMessage="1" showErrorMessage="1" sqref="C64 C57:C62 C39 C32:C37 C164 C157:C162 C220 C213:C218 C262 C255:C260 C338 C105 C98:C103" xr:uid="{76EB16C4-F402-4C0D-AA50-CF916159C7DB}">
      <formula1>"High, Medium, Low"</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BBCBC-8C89-429F-9D4A-D448148DF4B6}">
  <sheetPr codeName="Sheet35">
    <tabColor theme="5" tint="0.59999389629810485"/>
  </sheetPr>
  <dimension ref="A1:Y893"/>
  <sheetViews>
    <sheetView workbookViewId="0"/>
  </sheetViews>
  <sheetFormatPr defaultColWidth="9" defaultRowHeight="14.45"/>
  <cols>
    <col min="1" max="1" width="3.5" style="7" customWidth="1"/>
    <col min="2" max="3" width="40.625" style="7" customWidth="1"/>
    <col min="4" max="14" width="15.625" style="7" customWidth="1"/>
    <col min="15" max="16" width="16.125" style="7" customWidth="1"/>
    <col min="17" max="17" width="9" style="7"/>
    <col min="18" max="18" width="16.625" style="7" customWidth="1"/>
    <col min="19" max="19" width="18.5" style="7" customWidth="1"/>
    <col min="20" max="16384" width="9" style="7"/>
  </cols>
  <sheetData>
    <row r="1" spans="1:8" ht="15" thickBot="1"/>
    <row r="2" spans="1:8" s="732" customFormat="1" ht="18.95" thickBot="1">
      <c r="A2" s="730"/>
      <c r="B2" s="779" t="s">
        <v>411</v>
      </c>
      <c r="C2" s="733"/>
      <c r="D2" s="733"/>
    </row>
    <row r="4" spans="1:8" s="734" customFormat="1" ht="18.600000000000001">
      <c r="A4" s="735"/>
      <c r="B4" s="713" t="s">
        <v>893</v>
      </c>
      <c r="C4" s="735"/>
      <c r="D4" s="735"/>
      <c r="E4" s="735"/>
      <c r="F4" s="735"/>
      <c r="G4" s="735"/>
      <c r="H4" s="735"/>
    </row>
    <row r="5" spans="1:8" ht="51.95" customHeight="1">
      <c r="A5" s="737"/>
      <c r="B5" s="1152" t="s">
        <v>2064</v>
      </c>
      <c r="C5" s="1152"/>
      <c r="D5" s="1152"/>
      <c r="E5" s="1152"/>
      <c r="F5" s="1152"/>
      <c r="G5" s="1152"/>
      <c r="H5" s="1152"/>
    </row>
    <row r="7" spans="1:8" s="754" customFormat="1" ht="18.600000000000001">
      <c r="A7" s="755"/>
      <c r="B7" s="755" t="s">
        <v>895</v>
      </c>
      <c r="C7" s="755"/>
      <c r="D7" s="755"/>
      <c r="E7" s="755"/>
      <c r="F7" s="755"/>
      <c r="G7" s="755"/>
      <c r="H7" s="755"/>
    </row>
    <row r="9" spans="1:8">
      <c r="D9" s="397" t="s">
        <v>479</v>
      </c>
      <c r="E9" s="397"/>
      <c r="F9" s="397"/>
      <c r="G9" s="397"/>
    </row>
    <row r="10" spans="1:8">
      <c r="B10" s="399" t="s">
        <v>104</v>
      </c>
      <c r="C10" s="399" t="s">
        <v>711</v>
      </c>
      <c r="D10" s="399" t="s">
        <v>451</v>
      </c>
      <c r="E10" s="399" t="s">
        <v>230</v>
      </c>
      <c r="F10" s="399" t="s">
        <v>460</v>
      </c>
      <c r="G10" s="399" t="s">
        <v>462</v>
      </c>
    </row>
    <row r="11" spans="1:8">
      <c r="B11" s="276" t="s">
        <v>580</v>
      </c>
      <c r="C11" s="276" t="s">
        <v>412</v>
      </c>
      <c r="D11" s="374" cm="1">
        <f t="array" ref="D11">_xlfn.XLOOKUP(1,($B11=$B$208:$B$219)*(D$10=$C$208:$C$219),$G$208:$G$219,"Not found",0,1)</f>
        <v>-1769.42</v>
      </c>
      <c r="E11" s="374" cm="1">
        <f t="array" ref="E11">_xlfn.XLOOKUP(1,($B11=$B$135:$B$139)*(E$10=$C$135:$C$139),$G$135:$G$139,"Not found",0,1)</f>
        <v>-777.0395949820811</v>
      </c>
      <c r="F11" s="374" t="str" cm="1">
        <f t="array" ref="F11">_xlfn.XLOOKUP(1,($B11=$B$25:$B$29)*(F$10=$C$25:$C$29),$G$25:$G$29,"Not found",0,1)</f>
        <v>LG(H)</v>
      </c>
      <c r="G11" s="374" t="str" cm="1">
        <f t="array" ref="G11">_xlfn.XLOOKUP(1,($B11=$B$214:$B$218)*(G$10=$C$214:$C$218),$G$214:$G$218,"Not found",0,1)</f>
        <v>&lt;/&gt;*</v>
      </c>
    </row>
    <row r="12" spans="1:8">
      <c r="B12" s="276" t="s">
        <v>581</v>
      </c>
      <c r="C12" s="276" t="s">
        <v>412</v>
      </c>
      <c r="D12" s="374" cm="1">
        <f t="array" ref="D12">_xlfn.XLOOKUP(1,($B12=$B$208:$B$219)*(D$10=$C$208:$C$219),$G$208:$G$219,"Not found",0,1)</f>
        <v>-42466.080000000002</v>
      </c>
      <c r="E12" s="374" cm="1">
        <f t="array" ref="E12">_xlfn.XLOOKUP(1,($B12=$B$135:$B$139)*(E$10=$C$135:$C$139),$G$135:$G$139,"Not found",0,1)</f>
        <v>-18648.950279569937</v>
      </c>
      <c r="F12" s="374" t="str" cm="1">
        <f t="array" ref="F12">_xlfn.XLOOKUP(1,($B12=$B$25:$B$29)*(F$10=$C$25:$C$29),$G$25:$G$29,"Not found",0,1)</f>
        <v>LG(H)</v>
      </c>
      <c r="G12" s="374" t="str" cm="1">
        <f t="array" ref="G12">_xlfn.XLOOKUP(1,($B12=$B$214:$B$218)*(G$10=$C$214:$C$218),$G$214:$G$218,"Not found",0,1)</f>
        <v>&lt;/&gt;*</v>
      </c>
    </row>
    <row r="13" spans="1:8">
      <c r="B13" s="276" t="s">
        <v>582</v>
      </c>
      <c r="C13" s="276" t="s">
        <v>412</v>
      </c>
      <c r="D13" s="374" cm="1">
        <f t="array" ref="D13">_xlfn.XLOOKUP(1,($B13=$B$208:$B$219)*(D$10=$C$208:$C$219),$G$208:$G$219,"Not found",0,1)</f>
        <v>-38927.24</v>
      </c>
      <c r="E13" s="374" cm="1">
        <f t="array" ref="E13">_xlfn.XLOOKUP(1,($B13=$B$135:$B$139)*(E$10=$C$135:$C$139),$G$135:$G$139,"Not found",0,1)</f>
        <v>-17094.871089605775</v>
      </c>
      <c r="F13" s="374" t="str" cm="1">
        <f t="array" ref="F13">_xlfn.XLOOKUP(1,($B13=$B$25:$B$29)*(F$10=$C$25:$C$29),$G$25:$G$29,"Not found",0,1)</f>
        <v>LG(H)</v>
      </c>
      <c r="G13" s="374" t="str" cm="1">
        <f t="array" ref="G13">_xlfn.XLOOKUP(1,($B13=$B$214:$B$218)*(G$10=$C$214:$C$218),$G$214:$G$218,"Not found",0,1)</f>
        <v>&lt;/&gt;*</v>
      </c>
    </row>
    <row r="14" spans="1:8">
      <c r="B14" s="276" t="s">
        <v>583</v>
      </c>
      <c r="C14" s="276" t="s">
        <v>412</v>
      </c>
      <c r="D14" s="374" cm="1">
        <f t="array" ref="D14">_xlfn.XLOOKUP(1,($B14=$B$208:$B$219)*(D$10=$C$208:$C$219),$G$208:$G$219,"Not found",0,1)</f>
        <v>-35388.400000000001</v>
      </c>
      <c r="E14" s="374" cm="1">
        <f t="array" ref="E14">_xlfn.XLOOKUP(1,($B14=$B$135:$B$139)*(E$10=$C$135:$C$139),$G$135:$G$139,"Not found",0,1)</f>
        <v>-15540.791899641616</v>
      </c>
      <c r="F14" s="374" t="str" cm="1">
        <f t="array" ref="F14">_xlfn.XLOOKUP(1,($B14=$B$25:$B$29)*(F$10=$C$25:$C$29),$G$25:$G$29,"Not found",0,1)</f>
        <v>LG(H)</v>
      </c>
      <c r="G14" s="374" t="str" cm="1">
        <f t="array" ref="G14">_xlfn.XLOOKUP(1,($B14=$B$214:$B$218)*(G$10=$C$214:$C$218),$G$214:$G$218,"Not found",0,1)</f>
        <v>&lt;/&gt;*</v>
      </c>
    </row>
    <row r="15" spans="1:8">
      <c r="B15" s="276" t="s">
        <v>584</v>
      </c>
      <c r="C15" s="276" t="s">
        <v>412</v>
      </c>
      <c r="D15" s="374"/>
      <c r="E15" s="374" cm="1">
        <f t="array" ref="E15">_xlfn.XLOOKUP(1,($B15=$B$135:$B$139)*(E$10=$C$135:$C$139),$G$135:$G$139,"Not found",0,1)</f>
        <v>0</v>
      </c>
      <c r="F15" s="374" t="str" cm="1">
        <f t="array" ref="F15">_xlfn.XLOOKUP(1,($B15=$B$25:$B$29)*(F$10=$C$25:$C$29),$G$25:$G$29,"Not found",0,1)</f>
        <v>LG(H)</v>
      </c>
      <c r="G15" s="374" t="str" cm="1">
        <f t="array" ref="G15">_xlfn.XLOOKUP(1,($B15=$B$214:$B$218)*(G$10=$C$214:$C$218),$G$214:$G$218,"Not found",0,1)</f>
        <v>&lt;/&gt;*</v>
      </c>
    </row>
    <row r="16" spans="1:8">
      <c r="B16" s="800" t="s">
        <v>896</v>
      </c>
      <c r="D16" s="2" t="s">
        <v>2065</v>
      </c>
    </row>
    <row r="17" spans="1:10">
      <c r="B17" s="800"/>
      <c r="D17" s="2"/>
    </row>
    <row r="18" spans="1:10">
      <c r="A18" s="739"/>
      <c r="B18" s="740" t="s">
        <v>460</v>
      </c>
      <c r="C18" s="739"/>
      <c r="D18" s="739"/>
      <c r="E18" s="739"/>
      <c r="F18" s="739"/>
      <c r="G18" s="739"/>
      <c r="H18" s="739"/>
    </row>
    <row r="19" spans="1:10">
      <c r="A19" s="741"/>
      <c r="B19" s="742" t="s">
        <v>897</v>
      </c>
      <c r="C19" s="741"/>
      <c r="D19" s="741"/>
      <c r="E19" s="741"/>
      <c r="F19" s="741"/>
      <c r="G19" s="741"/>
      <c r="H19" s="741"/>
    </row>
    <row r="20" spans="1:10">
      <c r="B20" s="398" t="s">
        <v>898</v>
      </c>
      <c r="C20" s="398" t="s">
        <v>899</v>
      </c>
    </row>
    <row r="21" spans="1:10">
      <c r="B21" s="276" t="s">
        <v>460</v>
      </c>
      <c r="C21" s="276" t="s">
        <v>2066</v>
      </c>
    </row>
    <row r="22" spans="1:10">
      <c r="B22" s="29"/>
    </row>
    <row r="23" spans="1:10">
      <c r="A23" s="741"/>
      <c r="B23" s="743" t="s">
        <v>901</v>
      </c>
      <c r="C23" s="741"/>
      <c r="D23" s="741"/>
      <c r="E23" s="741"/>
      <c r="F23" s="741"/>
      <c r="G23" s="741"/>
      <c r="H23" s="741"/>
    </row>
    <row r="24" spans="1:10" ht="29.1">
      <c r="B24" s="719" t="s">
        <v>902</v>
      </c>
      <c r="C24" s="719" t="s">
        <v>898</v>
      </c>
      <c r="D24" s="719" t="s">
        <v>899</v>
      </c>
      <c r="E24" s="719" t="s">
        <v>903</v>
      </c>
      <c r="F24" s="719" t="s">
        <v>904</v>
      </c>
      <c r="G24" s="719" t="s">
        <v>905</v>
      </c>
      <c r="H24" s="719" t="s">
        <v>924</v>
      </c>
      <c r="I24" s="719" t="s">
        <v>956</v>
      </c>
      <c r="J24" s="719" t="s">
        <v>927</v>
      </c>
    </row>
    <row r="25" spans="1:10">
      <c r="B25" s="276" t="s">
        <v>580</v>
      </c>
      <c r="C25" s="373" t="s">
        <v>460</v>
      </c>
      <c r="D25" s="276" t="s">
        <v>2066</v>
      </c>
      <c r="E25" s="373" t="s">
        <v>906</v>
      </c>
      <c r="F25" s="340" t="s">
        <v>907</v>
      </c>
      <c r="G25" s="343" t="s">
        <v>477</v>
      </c>
      <c r="H25" s="630" t="s">
        <v>907</v>
      </c>
      <c r="I25" s="630" t="s">
        <v>907</v>
      </c>
      <c r="J25" s="630" t="s">
        <v>907</v>
      </c>
    </row>
    <row r="26" spans="1:10">
      <c r="B26" s="276" t="s">
        <v>581</v>
      </c>
      <c r="C26" s="373" t="s">
        <v>460</v>
      </c>
      <c r="D26" s="276" t="s">
        <v>2066</v>
      </c>
      <c r="E26" s="373" t="s">
        <v>906</v>
      </c>
      <c r="F26" s="340" t="s">
        <v>907</v>
      </c>
      <c r="G26" s="343" t="s">
        <v>477</v>
      </c>
      <c r="H26" s="630" t="s">
        <v>907</v>
      </c>
      <c r="I26" s="630" t="s">
        <v>907</v>
      </c>
      <c r="J26" s="630" t="s">
        <v>907</v>
      </c>
    </row>
    <row r="27" spans="1:10">
      <c r="B27" s="276" t="s">
        <v>582</v>
      </c>
      <c r="C27" s="373" t="s">
        <v>460</v>
      </c>
      <c r="D27" s="276" t="s">
        <v>2066</v>
      </c>
      <c r="E27" s="373" t="s">
        <v>906</v>
      </c>
      <c r="F27" s="340" t="s">
        <v>907</v>
      </c>
      <c r="G27" s="343" t="s">
        <v>477</v>
      </c>
      <c r="H27" s="630" t="s">
        <v>907</v>
      </c>
      <c r="I27" s="630" t="s">
        <v>907</v>
      </c>
      <c r="J27" s="630" t="s">
        <v>907</v>
      </c>
    </row>
    <row r="28" spans="1:10">
      <c r="B28" s="276" t="s">
        <v>583</v>
      </c>
      <c r="C28" s="373" t="s">
        <v>460</v>
      </c>
      <c r="D28" s="276" t="s">
        <v>2066</v>
      </c>
      <c r="E28" s="373" t="s">
        <v>906</v>
      </c>
      <c r="F28" s="340" t="s">
        <v>907</v>
      </c>
      <c r="G28" s="343" t="s">
        <v>477</v>
      </c>
      <c r="H28" s="630" t="s">
        <v>907</v>
      </c>
      <c r="I28" s="630" t="s">
        <v>907</v>
      </c>
      <c r="J28" s="630" t="s">
        <v>907</v>
      </c>
    </row>
    <row r="29" spans="1:10">
      <c r="B29" s="276" t="s">
        <v>584</v>
      </c>
      <c r="C29" s="373" t="s">
        <v>460</v>
      </c>
      <c r="D29" s="276" t="s">
        <v>2066</v>
      </c>
      <c r="E29" s="373" t="s">
        <v>906</v>
      </c>
      <c r="F29" s="340" t="s">
        <v>907</v>
      </c>
      <c r="G29" s="343" t="s">
        <v>477</v>
      </c>
      <c r="H29" s="630" t="s">
        <v>907</v>
      </c>
      <c r="I29" s="630" t="s">
        <v>907</v>
      </c>
      <c r="J29" s="630" t="s">
        <v>907</v>
      </c>
    </row>
    <row r="30" spans="1:10">
      <c r="B30" s="29"/>
    </row>
    <row r="31" spans="1:10">
      <c r="A31" s="739"/>
      <c r="B31" s="740" t="s">
        <v>230</v>
      </c>
      <c r="C31" s="739"/>
      <c r="D31" s="739"/>
      <c r="E31" s="739"/>
      <c r="F31" s="739"/>
      <c r="G31" s="739"/>
      <c r="H31" s="739"/>
    </row>
    <row r="32" spans="1:10">
      <c r="A32" s="741"/>
      <c r="B32" s="742" t="s">
        <v>897</v>
      </c>
      <c r="C32" s="741"/>
      <c r="D32" s="741"/>
      <c r="E32" s="741"/>
      <c r="F32" s="741"/>
      <c r="G32" s="741"/>
      <c r="H32" s="741"/>
    </row>
    <row r="33" spans="1:8">
      <c r="B33" s="398" t="s">
        <v>898</v>
      </c>
      <c r="C33" s="398" t="s">
        <v>899</v>
      </c>
      <c r="E33" s="95"/>
    </row>
    <row r="34" spans="1:8">
      <c r="B34" s="276" t="s">
        <v>230</v>
      </c>
      <c r="C34" s="276" t="s">
        <v>2067</v>
      </c>
    </row>
    <row r="35" spans="1:8">
      <c r="B35" s="29"/>
    </row>
    <row r="36" spans="1:8">
      <c r="A36" s="741"/>
      <c r="B36" s="743" t="s">
        <v>911</v>
      </c>
      <c r="C36" s="741"/>
      <c r="D36" s="741"/>
      <c r="E36" s="741"/>
      <c r="F36" s="741"/>
      <c r="G36" s="741"/>
      <c r="H36" s="741"/>
    </row>
    <row r="37" spans="1:8">
      <c r="A37" s="744"/>
      <c r="B37" s="745" t="s">
        <v>912</v>
      </c>
      <c r="C37" s="744"/>
      <c r="D37" s="744"/>
      <c r="E37" s="744"/>
      <c r="F37" s="744"/>
      <c r="G37" s="744"/>
      <c r="H37" s="744"/>
    </row>
    <row r="38" spans="1:8" ht="29.1">
      <c r="B38" s="719" t="s">
        <v>913</v>
      </c>
      <c r="C38" s="719" t="s">
        <v>914</v>
      </c>
      <c r="D38" s="719" t="s">
        <v>915</v>
      </c>
      <c r="E38" s="719" t="s">
        <v>916</v>
      </c>
      <c r="F38" s="719" t="s">
        <v>917</v>
      </c>
      <c r="G38" s="719" t="s">
        <v>918</v>
      </c>
      <c r="H38" s="719" t="s">
        <v>919</v>
      </c>
    </row>
    <row r="39" spans="1:8">
      <c r="B39" s="276">
        <v>41</v>
      </c>
      <c r="C39" s="276" t="s">
        <v>2068</v>
      </c>
      <c r="D39" s="276" t="s">
        <v>907</v>
      </c>
      <c r="E39" s="276">
        <v>2020</v>
      </c>
      <c r="F39" s="276" t="s">
        <v>1771</v>
      </c>
      <c r="G39" s="276" t="s">
        <v>2069</v>
      </c>
      <c r="H39" s="276" t="s">
        <v>906</v>
      </c>
    </row>
    <row r="40" spans="1:8">
      <c r="B40" s="276">
        <v>42</v>
      </c>
      <c r="C40" s="276" t="s">
        <v>2070</v>
      </c>
      <c r="D40" s="276" t="s">
        <v>907</v>
      </c>
      <c r="E40" s="276">
        <v>2021</v>
      </c>
      <c r="F40" s="276" t="s">
        <v>1047</v>
      </c>
      <c r="G40" s="276" t="s">
        <v>1047</v>
      </c>
      <c r="H40" s="276" t="s">
        <v>906</v>
      </c>
    </row>
    <row r="41" spans="1:8">
      <c r="B41" s="29"/>
    </row>
    <row r="42" spans="1:8">
      <c r="A42" s="744"/>
      <c r="B42" s="745" t="s">
        <v>924</v>
      </c>
      <c r="C42" s="744"/>
      <c r="D42" s="744"/>
      <c r="E42" s="744"/>
      <c r="F42" s="744"/>
      <c r="G42" s="744"/>
      <c r="H42" s="744"/>
    </row>
    <row r="43" spans="1:8">
      <c r="B43" s="293" t="s">
        <v>165</v>
      </c>
      <c r="C43" s="398" t="s">
        <v>925</v>
      </c>
      <c r="D43" s="398" t="s">
        <v>926</v>
      </c>
      <c r="E43" s="1139" t="s">
        <v>953</v>
      </c>
      <c r="F43" s="1139"/>
      <c r="G43" s="1139"/>
      <c r="H43" s="1139"/>
    </row>
    <row r="44" spans="1:8">
      <c r="B44" s="276" t="s">
        <v>169</v>
      </c>
      <c r="C44" s="276" t="s">
        <v>167</v>
      </c>
      <c r="D44" s="278">
        <f>VLOOKUP(C44,METHODOLOGY!$C$175:$D$177,2,FALSE)</f>
        <v>2</v>
      </c>
      <c r="E44" s="1087" t="str">
        <f>_xlfn.XLOOKUP(C44,METHODOLOGY!$E$150:$O$150,METHODOLOGY!$E$151:$O$151,"",0,1)</f>
        <v>The monetary values are recommended / referenced in other, well recognised and accepted guidance / tools relevant to another sector.</v>
      </c>
      <c r="F44" s="1087"/>
      <c r="G44" s="1087"/>
      <c r="H44" s="1087"/>
    </row>
    <row r="45" spans="1:8">
      <c r="B45" s="276" t="s">
        <v>173</v>
      </c>
      <c r="C45" s="276" t="s">
        <v>168</v>
      </c>
      <c r="D45" s="278">
        <f>VLOOKUP(C45,METHODOLOGY!$C$175:$D$177,2,FALSE)</f>
        <v>1</v>
      </c>
      <c r="E45" s="1087" t="str">
        <f>_xlfn.XLOOKUP(C45,METHODOLOGY!$E$150:$O$150,METHODOLOGY!$E$155:$O$155,"",0,1)</f>
        <v>Study has significant limitations and the use of the value comes with significant caveat.</v>
      </c>
      <c r="F45" s="1087"/>
      <c r="G45" s="1087"/>
      <c r="H45" s="1087"/>
    </row>
    <row r="46" spans="1:8">
      <c r="B46" s="276" t="s">
        <v>177</v>
      </c>
      <c r="C46" s="276" t="s">
        <v>166</v>
      </c>
      <c r="D46" s="278">
        <f>VLOOKUP(C46,METHODOLOGY!$C$175:$D$177,2,FALSE)</f>
        <v>3</v>
      </c>
      <c r="E46" s="1087" t="str">
        <f>_xlfn.XLOOKUP(C46,METHODOLOGY!$E$150:$O$150,METHODOLOGY!$E$158:$O$158,"",0,1)</f>
        <v>0 – 5 years</v>
      </c>
      <c r="F46" s="1087"/>
      <c r="G46" s="1087"/>
      <c r="H46" s="1087"/>
    </row>
    <row r="47" spans="1:8">
      <c r="B47" s="276" t="s">
        <v>181</v>
      </c>
      <c r="C47" s="276" t="s">
        <v>168</v>
      </c>
      <c r="D47" s="278">
        <f>VLOOKUP(C47,METHODOLOGY!$C$175:$D$177,2,FALSE)</f>
        <v>1</v>
      </c>
      <c r="E47" s="1087" t="str">
        <f>_xlfn.XLOOKUP(C47,METHODOLOGY!$E$150:$O$150,METHODOLOGY!$E$160:$O$160,"",0,1)</f>
        <v>Limited geographical relevance e.g. Asia</v>
      </c>
      <c r="F47" s="1087"/>
      <c r="G47" s="1087"/>
      <c r="H47" s="1087"/>
    </row>
    <row r="48" spans="1:8">
      <c r="B48" s="276" t="s">
        <v>928</v>
      </c>
      <c r="C48" s="276" t="s">
        <v>167</v>
      </c>
      <c r="D48" s="278">
        <f>VLOOKUP(C48,METHODOLOGY!$C$175:$D$177,2,FALSE)</f>
        <v>2</v>
      </c>
      <c r="E48" s="1087" t="str">
        <f>_xlfn.XLOOKUP(C48,METHODOLOGY!$E$150:$O$150,METHODOLOGY!$E$162:$O$162,"",0,1)</f>
        <v>Meta-analysis or limited understanding of what the value represents.</v>
      </c>
      <c r="F48" s="1087"/>
      <c r="G48" s="1087"/>
      <c r="H48" s="1087"/>
    </row>
    <row r="49" spans="1:12">
      <c r="B49" s="276" t="s">
        <v>189</v>
      </c>
      <c r="C49" s="276" t="s">
        <v>168</v>
      </c>
      <c r="D49" s="278">
        <f>VLOOKUP(C49,METHODOLOGY!$C$175:$D$177,2,FALSE)</f>
        <v>1</v>
      </c>
      <c r="E49" s="1087" t="str">
        <f>_xlfn.XLOOKUP(C49,METHODOLOGY!$E$150:$O$150,METHODOLOGY!$E$164:$O$164,"",0,1)</f>
        <v xml:space="preserve">The original valuation can be used with significant modification e.g. several additional data inputs are required to use the original source. The calculation is complex or introduces significant uncertainty. </v>
      </c>
      <c r="F49" s="1087"/>
      <c r="G49" s="1087"/>
      <c r="H49" s="1087"/>
    </row>
    <row r="50" spans="1:12">
      <c r="C50" s="282" t="s">
        <v>924</v>
      </c>
      <c r="D50" s="326">
        <f>IF(AND(D49=1,AVERAGE(D44:D49)&gt;2.14285714285714),2.14285714285714,IF(AND(D49=2,AVERAGE(D44:D49)&gt;2.57142857142857),2.57142857142857,AVERAGE(D44:D49)))</f>
        <v>1.6666666666666667</v>
      </c>
      <c r="E50" s="270" t="str">
        <f>IF(D50&lt;=2.14285714285714,"Red",IF(D50&lt;=2.57142857142857,"Amber",IF(D50&lt;=3,"Green")))</f>
        <v>Red</v>
      </c>
    </row>
    <row r="53" spans="1:12">
      <c r="A53" s="744"/>
      <c r="B53" s="745" t="s">
        <v>929</v>
      </c>
      <c r="C53" s="744"/>
      <c r="D53" s="744"/>
      <c r="E53" s="744"/>
      <c r="F53" s="744"/>
      <c r="G53" s="744"/>
      <c r="H53" s="744"/>
    </row>
    <row r="54" spans="1:12">
      <c r="B54" s="399" t="s">
        <v>913</v>
      </c>
      <c r="C54" s="399" t="s">
        <v>898</v>
      </c>
      <c r="D54" s="399" t="s">
        <v>902</v>
      </c>
      <c r="E54" s="399" t="s">
        <v>331</v>
      </c>
      <c r="F54" s="399" t="s">
        <v>226</v>
      </c>
      <c r="G54" s="1354" t="s">
        <v>930</v>
      </c>
      <c r="H54" s="1355"/>
      <c r="I54" s="1355"/>
      <c r="J54" s="1355"/>
      <c r="K54" s="1355"/>
      <c r="L54" s="1356"/>
    </row>
    <row r="55" spans="1:12">
      <c r="B55" s="338">
        <v>41</v>
      </c>
      <c r="C55" s="338" t="s">
        <v>230</v>
      </c>
      <c r="D55" s="338" t="s">
        <v>2071</v>
      </c>
      <c r="E55" s="338">
        <v>6945</v>
      </c>
      <c r="F55" s="276" t="s">
        <v>2072</v>
      </c>
      <c r="G55" s="1158" t="s">
        <v>2073</v>
      </c>
      <c r="H55" s="1095"/>
      <c r="I55" s="1095"/>
      <c r="J55" s="1095"/>
      <c r="K55" s="1095"/>
      <c r="L55" s="1095"/>
    </row>
    <row r="56" spans="1:12" ht="30.75" customHeight="1">
      <c r="B56" s="338">
        <v>41</v>
      </c>
      <c r="C56" s="338" t="s">
        <v>230</v>
      </c>
      <c r="D56" s="338" t="s">
        <v>2071</v>
      </c>
      <c r="E56" s="338">
        <v>100871</v>
      </c>
      <c r="F56" s="276" t="s">
        <v>2074</v>
      </c>
      <c r="G56" s="1359" t="s">
        <v>2075</v>
      </c>
      <c r="H56" s="1359"/>
      <c r="I56" s="1359"/>
      <c r="J56" s="1359"/>
      <c r="K56" s="1359"/>
      <c r="L56" s="1359"/>
    </row>
    <row r="57" spans="1:12">
      <c r="B57" s="338">
        <v>42</v>
      </c>
      <c r="C57" s="338" t="s">
        <v>230</v>
      </c>
      <c r="D57" s="338" t="s">
        <v>2071</v>
      </c>
      <c r="E57" s="338">
        <v>1.355</v>
      </c>
      <c r="F57" s="276" t="s">
        <v>2076</v>
      </c>
      <c r="G57" s="1358" t="s">
        <v>2077</v>
      </c>
      <c r="H57" s="1358"/>
      <c r="I57" s="1358"/>
      <c r="J57" s="1358"/>
      <c r="K57" s="1358"/>
      <c r="L57" s="1358"/>
    </row>
    <row r="59" spans="1:12">
      <c r="A59" s="744"/>
      <c r="B59" s="745" t="s">
        <v>936</v>
      </c>
      <c r="C59" s="744"/>
      <c r="D59" s="744"/>
      <c r="E59" s="744"/>
      <c r="F59" s="744"/>
      <c r="G59" s="744"/>
      <c r="H59" s="744"/>
    </row>
    <row r="60" spans="1:12">
      <c r="B60" s="399" t="s">
        <v>2078</v>
      </c>
      <c r="C60" s="399" t="s">
        <v>2079</v>
      </c>
      <c r="D60" s="399" t="s">
        <v>226</v>
      </c>
    </row>
    <row r="61" spans="1:12">
      <c r="B61" s="334" t="s">
        <v>2080</v>
      </c>
      <c r="C61" s="490">
        <f>E55*0.404686</f>
        <v>2810.5442699999999</v>
      </c>
      <c r="D61" s="295" t="s">
        <v>2081</v>
      </c>
    </row>
    <row r="62" spans="1:12">
      <c r="B62" s="334" t="s">
        <v>2082</v>
      </c>
      <c r="C62" s="450">
        <f>ROUND(E56/E57, 2)</f>
        <v>74443.539999999994</v>
      </c>
      <c r="D62" s="295" t="s">
        <v>1115</v>
      </c>
    </row>
    <row r="63" spans="1:12">
      <c r="B63" s="3"/>
      <c r="C63" s="129"/>
      <c r="D63" s="24"/>
    </row>
    <row r="64" spans="1:12">
      <c r="B64" s="399" t="s">
        <v>936</v>
      </c>
      <c r="C64" s="399" t="s">
        <v>331</v>
      </c>
      <c r="D64" s="399" t="s">
        <v>226</v>
      </c>
    </row>
    <row r="65" spans="1:24">
      <c r="B65" s="334" t="s">
        <v>2083</v>
      </c>
      <c r="C65" s="490">
        <f>ROUND(C62/C61, 2)</f>
        <v>26.49</v>
      </c>
      <c r="D65" s="295" t="s">
        <v>2084</v>
      </c>
    </row>
    <row r="67" spans="1:24" s="263" customFormat="1">
      <c r="A67" s="741"/>
      <c r="B67" s="743" t="s">
        <v>943</v>
      </c>
      <c r="C67" s="741"/>
      <c r="D67" s="741"/>
      <c r="E67" s="741"/>
      <c r="F67" s="741"/>
      <c r="G67" s="741"/>
      <c r="H67" s="741"/>
      <c r="I67" s="7"/>
      <c r="J67" s="7"/>
      <c r="K67" s="7"/>
      <c r="L67" s="7"/>
      <c r="M67" s="7"/>
      <c r="N67" s="7"/>
      <c r="O67" s="7"/>
      <c r="P67" s="7"/>
      <c r="Q67" s="7"/>
      <c r="R67" s="7"/>
      <c r="S67" s="7"/>
      <c r="T67" s="7"/>
      <c r="U67" s="7"/>
      <c r="V67" s="7"/>
      <c r="W67" s="7"/>
      <c r="X67" s="7"/>
    </row>
    <row r="68" spans="1:24" s="263" customFormat="1">
      <c r="A68" s="744"/>
      <c r="B68" s="745" t="s">
        <v>912</v>
      </c>
      <c r="C68" s="744"/>
      <c r="D68" s="744"/>
      <c r="E68" s="744"/>
      <c r="F68" s="744"/>
      <c r="G68" s="744"/>
      <c r="H68" s="744"/>
      <c r="I68" s="7"/>
      <c r="J68" s="7"/>
      <c r="K68" s="7"/>
      <c r="L68" s="7"/>
      <c r="M68" s="7"/>
      <c r="N68" s="7"/>
      <c r="O68" s="7"/>
      <c r="P68" s="7"/>
      <c r="Q68" s="7"/>
      <c r="R68" s="7"/>
      <c r="S68" s="7"/>
      <c r="T68" s="7"/>
      <c r="U68" s="7"/>
      <c r="V68" s="7"/>
      <c r="W68" s="7"/>
      <c r="X68" s="7"/>
    </row>
    <row r="69" spans="1:24" ht="29.1">
      <c r="B69" s="719" t="s">
        <v>913</v>
      </c>
      <c r="C69" s="719" t="s">
        <v>914</v>
      </c>
      <c r="D69" s="719" t="s">
        <v>915</v>
      </c>
      <c r="E69" s="719" t="s">
        <v>916</v>
      </c>
      <c r="F69" s="719" t="s">
        <v>917</v>
      </c>
      <c r="G69" s="719" t="s">
        <v>918</v>
      </c>
      <c r="H69" s="719" t="s">
        <v>919</v>
      </c>
    </row>
    <row r="70" spans="1:24">
      <c r="B70" s="276">
        <v>82</v>
      </c>
      <c r="C70" s="276" t="s">
        <v>2085</v>
      </c>
      <c r="D70" s="276" t="s">
        <v>717</v>
      </c>
      <c r="E70" s="276">
        <v>2020</v>
      </c>
      <c r="F70" s="276" t="s">
        <v>1047</v>
      </c>
      <c r="G70" s="276" t="s">
        <v>2086</v>
      </c>
      <c r="H70" s="340" t="s">
        <v>907</v>
      </c>
    </row>
    <row r="71" spans="1:24">
      <c r="B71" s="29"/>
    </row>
    <row r="72" spans="1:24" s="263" customFormat="1">
      <c r="A72" s="744"/>
      <c r="B72" s="745" t="s">
        <v>924</v>
      </c>
      <c r="C72" s="744"/>
      <c r="D72" s="744"/>
      <c r="E72" s="744"/>
      <c r="F72" s="744"/>
      <c r="G72" s="744"/>
      <c r="H72" s="744"/>
      <c r="I72" s="7"/>
      <c r="J72" s="7"/>
      <c r="K72" s="7"/>
      <c r="L72" s="7"/>
      <c r="M72" s="7"/>
      <c r="N72" s="7"/>
      <c r="O72" s="7"/>
      <c r="P72" s="7"/>
      <c r="Q72" s="7"/>
      <c r="R72" s="7"/>
      <c r="S72" s="7"/>
      <c r="T72" s="7"/>
      <c r="U72" s="7"/>
      <c r="V72" s="7"/>
      <c r="W72" s="7"/>
      <c r="X72" s="7"/>
    </row>
    <row r="73" spans="1:24">
      <c r="B73" s="293" t="s">
        <v>165</v>
      </c>
      <c r="C73" s="398" t="s">
        <v>925</v>
      </c>
      <c r="D73" s="398" t="s">
        <v>926</v>
      </c>
      <c r="E73" s="1139" t="s">
        <v>953</v>
      </c>
      <c r="F73" s="1139"/>
      <c r="G73" s="1139"/>
      <c r="H73" s="1139"/>
    </row>
    <row r="74" spans="1:24">
      <c r="B74" s="276" t="s">
        <v>169</v>
      </c>
      <c r="C74" s="276" t="s">
        <v>166</v>
      </c>
      <c r="D74" s="278">
        <f>VLOOKUP(C74,METHODOLOGY!$C$175:$D$177,2,FALSE)</f>
        <v>3</v>
      </c>
      <c r="E74" s="1087" t="str">
        <f>_xlfn.XLOOKUP(C74,METHODOLOGY!$E$150:$O$150,METHODOLOGY!$E$151:$O$151,"",0,1)</f>
        <v>Monetary values have been peer reviewed or are recommended / referenced in other, well recognised and accepted guidance / tools relevant to the water sector.</v>
      </c>
      <c r="F74" s="1087"/>
      <c r="G74" s="1087"/>
      <c r="H74" s="1087"/>
    </row>
    <row r="75" spans="1:24">
      <c r="B75" s="276" t="s">
        <v>173</v>
      </c>
      <c r="C75" s="276" t="s">
        <v>166</v>
      </c>
      <c r="D75" s="278">
        <f>VLOOKUP(C75,METHODOLOGY!$C$175:$D$177,2,FALSE)</f>
        <v>3</v>
      </c>
      <c r="E75" s="1087" t="str">
        <f>_xlfn.XLOOKUP(C75,METHODOLOGY!$E$150:$O$150,METHODOLOGY!$E$155:$O$155,"",0,1)</f>
        <v>Study has few limitations and is considered robust.</v>
      </c>
      <c r="F75" s="1087"/>
      <c r="G75" s="1087"/>
      <c r="H75" s="1087"/>
    </row>
    <row r="76" spans="1:24">
      <c r="B76" s="276" t="s">
        <v>177</v>
      </c>
      <c r="C76" s="276" t="s">
        <v>166</v>
      </c>
      <c r="D76" s="278">
        <f>VLOOKUP(C76,METHODOLOGY!$C$175:$D$177,2,FALSE)</f>
        <v>3</v>
      </c>
      <c r="E76" s="1087" t="str">
        <f>_xlfn.XLOOKUP(C76,METHODOLOGY!$E$150:$O$150,METHODOLOGY!$E$158:$O$158,"",0,1)</f>
        <v>0 – 5 years</v>
      </c>
      <c r="F76" s="1087"/>
      <c r="G76" s="1087"/>
      <c r="H76" s="1087"/>
    </row>
    <row r="77" spans="1:24">
      <c r="B77" s="276" t="s">
        <v>181</v>
      </c>
      <c r="C77" s="276" t="s">
        <v>166</v>
      </c>
      <c r="D77" s="278">
        <f>VLOOKUP(C77,METHODOLOGY!$C$175:$D$177,2,FALSE)</f>
        <v>3</v>
      </c>
      <c r="E77" s="1087" t="str">
        <f>_xlfn.XLOOKUP(C77,METHODOLOGY!$E$150:$O$150,METHODOLOGY!$E$160:$O$160,"",0,1)</f>
        <v>Geographically relevant to UK</v>
      </c>
      <c r="F77" s="1087"/>
      <c r="G77" s="1087"/>
      <c r="H77" s="1087"/>
    </row>
    <row r="78" spans="1:24">
      <c r="B78" s="276" t="s">
        <v>928</v>
      </c>
      <c r="C78" s="276" t="s">
        <v>166</v>
      </c>
      <c r="D78" s="278">
        <f>VLOOKUP(C78,METHODOLOGY!$C$175:$D$177,2,FALSE)</f>
        <v>3</v>
      </c>
      <c r="E78" s="1087" t="str">
        <f>_xlfn.XLOOKUP(C78,METHODOLOGY!$E$150:$O$150,METHODOLOGY!$E$162:$O$162,"",0,1)</f>
        <v>Clear understanding of the valuation method and how the value should be applied.</v>
      </c>
      <c r="F78" s="1087"/>
      <c r="G78" s="1087"/>
      <c r="H78" s="1087"/>
    </row>
    <row r="79" spans="1:24">
      <c r="B79" s="276" t="s">
        <v>189</v>
      </c>
      <c r="C79" s="276" t="s">
        <v>168</v>
      </c>
      <c r="D79" s="278">
        <f>VLOOKUP(C79,METHODOLOGY!$C$175:$D$177,2,FALSE)</f>
        <v>1</v>
      </c>
      <c r="E79" s="1087" t="str">
        <f>_xlfn.XLOOKUP(C79,METHODOLOGY!$E$150:$O$150,METHODOLOGY!$E$164:$O$164,"",0,1)</f>
        <v xml:space="preserve">The original valuation can be used with significant modification e.g. several additional data inputs are required to use the original source. The calculation is complex or introduces significant uncertainty. </v>
      </c>
      <c r="F79" s="1087"/>
      <c r="G79" s="1087"/>
      <c r="H79" s="1087"/>
    </row>
    <row r="80" spans="1:24">
      <c r="C80" s="282" t="s">
        <v>924</v>
      </c>
      <c r="D80" s="326">
        <f>IF(AND(D79=1,AVERAGE(D74:D79)&gt;2.14285714285714),2.14285714285714,IF(AND(D79=2,AVERAGE(D74:D79)&gt;2.57142857142857),2.57142857142857,AVERAGE(D74:D79)))</f>
        <v>2.1428571428571401</v>
      </c>
      <c r="E80" s="270" t="str">
        <f>IF(D80&lt;=2.14285714285714,"Red",IF(D80&lt;=2.57142857142857,"Amber",IF(D80&lt;=3,"Green")))</f>
        <v>Red</v>
      </c>
    </row>
    <row r="83" spans="1:24" s="263" customFormat="1">
      <c r="A83" s="744"/>
      <c r="B83" s="745" t="s">
        <v>929</v>
      </c>
      <c r="C83" s="744"/>
      <c r="D83" s="744"/>
      <c r="E83" s="744"/>
      <c r="F83" s="744"/>
      <c r="G83" s="744"/>
      <c r="H83" s="744"/>
      <c r="I83" s="7"/>
      <c r="J83" s="7"/>
      <c r="K83" s="7"/>
      <c r="L83" s="7"/>
      <c r="M83" s="7"/>
      <c r="N83" s="7"/>
      <c r="O83" s="7"/>
      <c r="P83" s="7"/>
      <c r="Q83" s="7"/>
      <c r="R83" s="7"/>
      <c r="S83" s="7"/>
      <c r="T83" s="7"/>
      <c r="U83" s="7"/>
      <c r="V83" s="7"/>
      <c r="W83" s="7"/>
      <c r="X83" s="7"/>
    </row>
    <row r="84" spans="1:24">
      <c r="B84" s="151" t="s">
        <v>913</v>
      </c>
      <c r="C84" s="151" t="s">
        <v>898</v>
      </c>
      <c r="D84" s="151" t="s">
        <v>331</v>
      </c>
      <c r="E84" s="151" t="s">
        <v>226</v>
      </c>
      <c r="F84" s="1360" t="s">
        <v>930</v>
      </c>
      <c r="G84" s="1361"/>
      <c r="H84" s="1361"/>
      <c r="I84" s="1362"/>
    </row>
    <row r="85" spans="1:24" ht="58.5" customHeight="1">
      <c r="B85" s="1311">
        <v>82</v>
      </c>
      <c r="C85" s="1307" t="s">
        <v>230</v>
      </c>
      <c r="D85" s="363">
        <v>12744</v>
      </c>
      <c r="E85" s="338" t="s">
        <v>244</v>
      </c>
      <c r="F85" s="1158" t="s">
        <v>2087</v>
      </c>
      <c r="G85" s="1095"/>
      <c r="H85" s="1095"/>
      <c r="I85" s="1095"/>
    </row>
    <row r="86" spans="1:24" ht="58.5" customHeight="1">
      <c r="B86" s="1311"/>
      <c r="C86" s="1307"/>
      <c r="D86" s="363">
        <v>2483</v>
      </c>
      <c r="E86" s="338" t="s">
        <v>244</v>
      </c>
      <c r="F86" s="1158" t="s">
        <v>2088</v>
      </c>
      <c r="G86" s="1095"/>
      <c r="H86" s="1095"/>
      <c r="I86" s="1095"/>
    </row>
    <row r="87" spans="1:24">
      <c r="B87" s="1365" t="s">
        <v>907</v>
      </c>
      <c r="C87" s="1307"/>
      <c r="D87" s="363">
        <f>-D12</f>
        <v>42466.080000000002</v>
      </c>
      <c r="E87" s="338" t="s">
        <v>244</v>
      </c>
      <c r="F87" s="1158" t="s">
        <v>2089</v>
      </c>
      <c r="G87" s="1095"/>
      <c r="H87" s="1095"/>
      <c r="I87" s="1095"/>
    </row>
    <row r="88" spans="1:24">
      <c r="B88" s="1311"/>
      <c r="C88" s="1307"/>
      <c r="D88" s="363">
        <f>-D13</f>
        <v>38927.24</v>
      </c>
      <c r="E88" s="338" t="s">
        <v>244</v>
      </c>
      <c r="F88" s="1158" t="s">
        <v>2090</v>
      </c>
      <c r="G88" s="1095"/>
      <c r="H88" s="1095"/>
      <c r="I88" s="1095"/>
    </row>
    <row r="89" spans="1:24">
      <c r="B89" s="1311"/>
      <c r="C89" s="1307"/>
      <c r="D89" s="363">
        <f>-D14</f>
        <v>35388.400000000001</v>
      </c>
      <c r="E89" s="338" t="s">
        <v>244</v>
      </c>
      <c r="F89" s="1158" t="s">
        <v>2091</v>
      </c>
      <c r="G89" s="1095"/>
      <c r="H89" s="1095"/>
      <c r="I89" s="1095"/>
    </row>
    <row r="113" spans="1:25" s="263" customFormat="1">
      <c r="A113" s="744"/>
      <c r="B113" s="745" t="s">
        <v>936</v>
      </c>
      <c r="C113" s="744"/>
      <c r="D113" s="744"/>
      <c r="E113" s="744"/>
      <c r="F113" s="744"/>
      <c r="G113" s="744"/>
      <c r="H113" s="744"/>
      <c r="I113" s="7"/>
      <c r="J113" s="7"/>
      <c r="K113" s="7"/>
      <c r="L113" s="7"/>
      <c r="M113" s="7"/>
      <c r="N113" s="7"/>
      <c r="O113" s="7"/>
      <c r="P113" s="7"/>
      <c r="Q113" s="7"/>
      <c r="R113" s="7"/>
      <c r="S113" s="7"/>
      <c r="T113" s="7"/>
      <c r="U113" s="7"/>
      <c r="V113" s="7"/>
      <c r="W113" s="7"/>
      <c r="X113" s="7"/>
      <c r="Y113" s="7"/>
    </row>
    <row r="114" spans="1:25">
      <c r="B114" s="151" t="s">
        <v>1339</v>
      </c>
      <c r="C114" s="151" t="s">
        <v>2092</v>
      </c>
      <c r="D114" s="151" t="s">
        <v>331</v>
      </c>
      <c r="E114" s="151" t="s">
        <v>226</v>
      </c>
    </row>
    <row r="115" spans="1:25">
      <c r="B115" s="334" t="s">
        <v>2093</v>
      </c>
      <c r="C115" s="334" t="s">
        <v>2094</v>
      </c>
      <c r="D115" s="501">
        <f>SUM(D85:D86)</f>
        <v>15227</v>
      </c>
      <c r="E115" s="295" t="s">
        <v>2095</v>
      </c>
    </row>
    <row r="116" spans="1:25">
      <c r="B116" s="334" t="s">
        <v>2096</v>
      </c>
      <c r="C116" s="334" t="s">
        <v>2097</v>
      </c>
      <c r="D116" s="501">
        <f>D115*(D87/D88)</f>
        <v>16611.272727272728</v>
      </c>
      <c r="E116" s="295" t="s">
        <v>2095</v>
      </c>
    </row>
    <row r="117" spans="1:25">
      <c r="B117" s="334" t="s">
        <v>2096</v>
      </c>
      <c r="C117" s="37" t="s">
        <v>2098</v>
      </c>
      <c r="D117" s="508">
        <f>D115*(D89/D88)</f>
        <v>13842.727272727274</v>
      </c>
      <c r="E117" s="295" t="s">
        <v>2095</v>
      </c>
    </row>
    <row r="118" spans="1:25">
      <c r="B118" s="360" t="s">
        <v>2096</v>
      </c>
      <c r="C118" s="334" t="s">
        <v>2099</v>
      </c>
      <c r="D118" s="501">
        <f>(D116-D115)/2</f>
        <v>692.13636363636397</v>
      </c>
      <c r="E118" s="419" t="s">
        <v>2095</v>
      </c>
    </row>
    <row r="119" spans="1:25">
      <c r="B119" s="334" t="s">
        <v>2096</v>
      </c>
      <c r="C119" s="334" t="s">
        <v>584</v>
      </c>
      <c r="D119" s="501">
        <v>0</v>
      </c>
      <c r="E119" s="295" t="s">
        <v>2095</v>
      </c>
    </row>
    <row r="120" spans="1:25">
      <c r="B120" s="3"/>
      <c r="C120" s="129"/>
      <c r="D120" s="24"/>
    </row>
    <row r="121" spans="1:25">
      <c r="B121" s="3"/>
      <c r="C121" s="129"/>
      <c r="D121" s="24"/>
    </row>
    <row r="122" spans="1:25">
      <c r="B122" s="3"/>
      <c r="C122" s="129"/>
      <c r="D122" s="24"/>
    </row>
    <row r="123" spans="1:25">
      <c r="B123" s="3"/>
      <c r="C123" s="129"/>
      <c r="D123" s="24"/>
    </row>
    <row r="124" spans="1:25">
      <c r="B124" s="3"/>
      <c r="C124" s="129"/>
      <c r="D124" s="24"/>
    </row>
    <row r="125" spans="1:25">
      <c r="B125" s="3"/>
      <c r="C125" s="129"/>
      <c r="D125" s="24"/>
    </row>
    <row r="126" spans="1:25">
      <c r="B126" s="3"/>
      <c r="C126" s="129"/>
      <c r="D126" s="24"/>
    </row>
    <row r="127" spans="1:25">
      <c r="B127" s="3"/>
      <c r="C127" s="129"/>
      <c r="D127" s="24"/>
    </row>
    <row r="128" spans="1:25">
      <c r="B128" s="3"/>
      <c r="C128" s="129"/>
      <c r="D128" s="24"/>
    </row>
    <row r="129" spans="1:23">
      <c r="B129" s="3"/>
      <c r="C129" s="129"/>
      <c r="D129" s="24"/>
    </row>
    <row r="130" spans="1:23">
      <c r="B130" s="3"/>
      <c r="C130" s="129"/>
      <c r="D130" s="24"/>
    </row>
    <row r="131" spans="1:23">
      <c r="B131" s="3"/>
      <c r="C131" s="129"/>
      <c r="D131" s="24"/>
    </row>
    <row r="132" spans="1:23">
      <c r="B132" s="3"/>
      <c r="C132" s="129"/>
      <c r="D132" s="24"/>
    </row>
    <row r="133" spans="1:23">
      <c r="A133" s="741"/>
      <c r="B133" s="743" t="s">
        <v>901</v>
      </c>
      <c r="C133" s="741"/>
      <c r="D133" s="741"/>
      <c r="E133" s="741"/>
      <c r="F133" s="741"/>
      <c r="G133" s="741"/>
      <c r="H133" s="741"/>
    </row>
    <row r="134" spans="1:23" ht="29.1">
      <c r="B134" s="719" t="s">
        <v>902</v>
      </c>
      <c r="C134" s="719" t="s">
        <v>898</v>
      </c>
      <c r="D134" s="719" t="s">
        <v>899</v>
      </c>
      <c r="E134" s="719" t="s">
        <v>903</v>
      </c>
      <c r="F134" s="719" t="s">
        <v>904</v>
      </c>
      <c r="G134" s="780" t="s">
        <v>905</v>
      </c>
      <c r="H134" s="719" t="s">
        <v>924</v>
      </c>
      <c r="I134" s="719" t="s">
        <v>956</v>
      </c>
      <c r="J134" s="719" t="s">
        <v>927</v>
      </c>
    </row>
    <row r="135" spans="1:23">
      <c r="B135" s="276" t="s">
        <v>580</v>
      </c>
      <c r="C135" s="276" t="s">
        <v>230</v>
      </c>
      <c r="D135" s="373" t="s">
        <v>2067</v>
      </c>
      <c r="E135" s="373" t="s">
        <v>960</v>
      </c>
      <c r="F135" s="278" t="str" cm="1">
        <f t="array" ref="F135">_xlfn.XLOOKUP(1,(D$143:D$147=B135)*(E$143:E$147=C135),B$143:B$147,"Not found",0,1)</f>
        <v>29-1</v>
      </c>
      <c r="G135" s="311">
        <f>VLOOKUP(F135,B$143:L$147,11,FALSE)</f>
        <v>-777.0395949820811</v>
      </c>
      <c r="H135" s="1120">
        <f>D80</f>
        <v>2.1428571428571401</v>
      </c>
      <c r="I135" s="1363" t="s">
        <v>2100</v>
      </c>
      <c r="J135" s="1149" t="s">
        <v>2101</v>
      </c>
    </row>
    <row r="136" spans="1:23">
      <c r="B136" s="276" t="s">
        <v>581</v>
      </c>
      <c r="C136" s="276" t="s">
        <v>230</v>
      </c>
      <c r="D136" s="373" t="s">
        <v>2067</v>
      </c>
      <c r="E136" s="373" t="s">
        <v>960</v>
      </c>
      <c r="F136" s="278" t="str" cm="1">
        <f t="array" ref="F136">_xlfn.XLOOKUP(1,(D$143:D$147=B136)*(E$143:E$147=C136),B$143:B$147,"Not found",0,1)</f>
        <v>29-2</v>
      </c>
      <c r="G136" s="311">
        <f>VLOOKUP(F136,B$143:L$147,11,FALSE)</f>
        <v>-18648.950279569937</v>
      </c>
      <c r="H136" s="1121"/>
      <c r="I136" s="1364"/>
      <c r="J136" s="1149"/>
    </row>
    <row r="137" spans="1:23">
      <c r="B137" s="276" t="s">
        <v>582</v>
      </c>
      <c r="C137" s="276" t="s">
        <v>230</v>
      </c>
      <c r="D137" s="373" t="s">
        <v>2067</v>
      </c>
      <c r="E137" s="373" t="s">
        <v>960</v>
      </c>
      <c r="F137" s="278" t="str" cm="1">
        <f t="array" ref="F137">_xlfn.XLOOKUP(1,(D$143:D$147=B137)*(E$143:E$147=C137),B$143:B$147,"Not found",0,1)</f>
        <v>29-3</v>
      </c>
      <c r="G137" s="311">
        <f>VLOOKUP(F137,B$143:L$147,11,FALSE)</f>
        <v>-17094.871089605775</v>
      </c>
      <c r="H137" s="1121"/>
      <c r="I137" s="1364"/>
      <c r="J137" s="1149"/>
    </row>
    <row r="138" spans="1:23">
      <c r="B138" s="276" t="s">
        <v>583</v>
      </c>
      <c r="C138" s="276" t="s">
        <v>230</v>
      </c>
      <c r="D138" s="373" t="s">
        <v>2067</v>
      </c>
      <c r="E138" s="373" t="s">
        <v>960</v>
      </c>
      <c r="F138" s="278" t="str" cm="1">
        <f t="array" ref="F138">_xlfn.XLOOKUP(1,(D$143:D$147=B138)*(E$143:E$147=C138),B$143:B$147,"Not found",0,1)</f>
        <v>29-4</v>
      </c>
      <c r="G138" s="311">
        <f>VLOOKUP(F138,B$143:L$147,11,FALSE)</f>
        <v>-15540.791899641616</v>
      </c>
      <c r="H138" s="1121"/>
      <c r="I138" s="1364"/>
      <c r="J138" s="1149"/>
    </row>
    <row r="139" spans="1:23">
      <c r="B139" s="276" t="s">
        <v>584</v>
      </c>
      <c r="C139" s="276" t="s">
        <v>230</v>
      </c>
      <c r="D139" s="373" t="s">
        <v>2067</v>
      </c>
      <c r="E139" s="373" t="s">
        <v>960</v>
      </c>
      <c r="F139" s="278" t="str" cm="1">
        <f t="array" ref="F139">_xlfn.XLOOKUP(1,(D$143:D$147=B139)*(E$143:E$147=C139),B$143:B$147,"Not found",0,1)</f>
        <v>29-5</v>
      </c>
      <c r="G139" s="311">
        <f>VLOOKUP(F139,B$143:L$147,11,FALSE)</f>
        <v>0</v>
      </c>
      <c r="H139" s="1122"/>
      <c r="I139" s="1364"/>
      <c r="J139" s="1149"/>
    </row>
    <row r="140" spans="1:23">
      <c r="B140" s="30"/>
    </row>
    <row r="141" spans="1:23">
      <c r="A141" s="744"/>
      <c r="B141" s="745" t="s">
        <v>962</v>
      </c>
      <c r="C141" s="744"/>
      <c r="D141" s="744"/>
      <c r="E141" s="744"/>
      <c r="F141" s="744"/>
      <c r="G141" s="744"/>
      <c r="H141" s="744"/>
    </row>
    <row r="142" spans="1:23">
      <c r="B142" s="398" t="s">
        <v>904</v>
      </c>
      <c r="C142" s="398" t="s">
        <v>62</v>
      </c>
      <c r="D142" s="148" t="s">
        <v>902</v>
      </c>
      <c r="E142" s="148" t="s">
        <v>898</v>
      </c>
      <c r="F142" s="148" t="s">
        <v>916</v>
      </c>
      <c r="G142" s="148" t="s">
        <v>963</v>
      </c>
      <c r="H142" s="148" t="s">
        <v>964</v>
      </c>
      <c r="I142" s="148" t="s">
        <v>965</v>
      </c>
      <c r="J142" s="148" t="s">
        <v>966</v>
      </c>
      <c r="K142" s="148" t="s">
        <v>967</v>
      </c>
      <c r="L142" s="140" t="s">
        <v>968</v>
      </c>
      <c r="M142" s="140" t="s">
        <v>956</v>
      </c>
      <c r="N142" s="140" t="s">
        <v>969</v>
      </c>
      <c r="O142" s="140" t="s">
        <v>970</v>
      </c>
      <c r="P142" s="140" t="s">
        <v>927</v>
      </c>
      <c r="Q142" s="148" t="s">
        <v>913</v>
      </c>
      <c r="R142" s="148" t="s">
        <v>914</v>
      </c>
      <c r="S142" s="148" t="s">
        <v>915</v>
      </c>
      <c r="T142" s="148" t="s">
        <v>916</v>
      </c>
      <c r="U142" s="148" t="s">
        <v>917</v>
      </c>
      <c r="V142" s="148" t="s">
        <v>918</v>
      </c>
      <c r="W142" s="148" t="s">
        <v>919</v>
      </c>
    </row>
    <row r="143" spans="1:23">
      <c r="B143" s="372" t="s">
        <v>2102</v>
      </c>
      <c r="C143" s="466" t="s">
        <v>411</v>
      </c>
      <c r="D143" s="276" t="s">
        <v>580</v>
      </c>
      <c r="E143" s="276" t="s">
        <v>230</v>
      </c>
      <c r="F143" s="373">
        <f>E$70</f>
        <v>2020</v>
      </c>
      <c r="G143" s="276">
        <v>2020</v>
      </c>
      <c r="H143" s="276">
        <f>'COMPANY INPUT'!$C$16</f>
        <v>2023</v>
      </c>
      <c r="I143" s="276">
        <f>VLOOKUP(G143,'GDP Deflators'!$H$13:$I$86,2,FALSE)</f>
        <v>89.073499999999996</v>
      </c>
      <c r="J143" s="276">
        <f>VLOOKUP(H143,'GDP Deflators'!$H$13:$I$86,2,FALSE)</f>
        <v>100</v>
      </c>
      <c r="K143" s="348">
        <f>D118</f>
        <v>692.13636363636397</v>
      </c>
      <c r="L143" s="747">
        <f>-(K143*(J143/I143))</f>
        <v>-777.0395949820811</v>
      </c>
      <c r="M143" s="343" t="str">
        <f>$I$135</f>
        <v>Replacement cost</v>
      </c>
      <c r="N143" s="326">
        <f>$H$135</f>
        <v>2.1428571428571401</v>
      </c>
      <c r="O143" s="276" t="s">
        <v>718</v>
      </c>
      <c r="P143" s="276" t="str">
        <f>$J$135</f>
        <v>UK-specific value</v>
      </c>
      <c r="Q143" s="373">
        <f t="shared" ref="Q143:W147" si="0">B$70</f>
        <v>82</v>
      </c>
      <c r="R143" s="373" t="str">
        <f t="shared" si="0"/>
        <v>Environment Agency / University of Portsmouth (2020) Valuing the Solent Marine Sites Habitats and Species: A natural Capital Study of Benthic Ecosystem Services and how they Contribute to Water Quality Regulation</v>
      </c>
      <c r="S143" s="373" t="str">
        <f t="shared" si="0"/>
        <v>No</v>
      </c>
      <c r="T143" s="373">
        <f t="shared" si="0"/>
        <v>2020</v>
      </c>
      <c r="U143" s="373" t="str">
        <f t="shared" si="0"/>
        <v>UK</v>
      </c>
      <c r="V143" s="373" t="str">
        <f t="shared" si="0"/>
        <v>Solent</v>
      </c>
      <c r="W143" s="373" t="str">
        <f t="shared" si="0"/>
        <v>/</v>
      </c>
    </row>
    <row r="144" spans="1:23">
      <c r="B144" s="372" t="s">
        <v>2103</v>
      </c>
      <c r="C144" s="466" t="s">
        <v>411</v>
      </c>
      <c r="D144" s="276" t="s">
        <v>581</v>
      </c>
      <c r="E144" s="276" t="s">
        <v>230</v>
      </c>
      <c r="F144" s="373">
        <f>E$70</f>
        <v>2020</v>
      </c>
      <c r="G144" s="276">
        <v>2020</v>
      </c>
      <c r="H144" s="276">
        <f>'COMPANY INPUT'!$C$16</f>
        <v>2023</v>
      </c>
      <c r="I144" s="276">
        <f>VLOOKUP(G144,'GDP Deflators'!$H$13:$I$86,2,FALSE)</f>
        <v>89.073499999999996</v>
      </c>
      <c r="J144" s="276">
        <f>VLOOKUP(H144,'GDP Deflators'!$H$13:$I$86,2,FALSE)</f>
        <v>100</v>
      </c>
      <c r="K144" s="348">
        <f>D116</f>
        <v>16611.272727272728</v>
      </c>
      <c r="L144" s="747">
        <f>-(K144*(J144/I144))</f>
        <v>-18648.950279569937</v>
      </c>
      <c r="M144" s="343" t="str">
        <f>$I$135</f>
        <v>Replacement cost</v>
      </c>
      <c r="N144" s="326">
        <f>$H$135</f>
        <v>2.1428571428571401</v>
      </c>
      <c r="O144" s="276" t="s">
        <v>718</v>
      </c>
      <c r="P144" s="276" t="str">
        <f>$J$135</f>
        <v>UK-specific value</v>
      </c>
      <c r="Q144" s="373">
        <f t="shared" si="0"/>
        <v>82</v>
      </c>
      <c r="R144" s="373" t="str">
        <f t="shared" si="0"/>
        <v>Environment Agency / University of Portsmouth (2020) Valuing the Solent Marine Sites Habitats and Species: A natural Capital Study of Benthic Ecosystem Services and how they Contribute to Water Quality Regulation</v>
      </c>
      <c r="S144" s="373" t="str">
        <f t="shared" si="0"/>
        <v>No</v>
      </c>
      <c r="T144" s="373">
        <f t="shared" si="0"/>
        <v>2020</v>
      </c>
      <c r="U144" s="373" t="str">
        <f t="shared" si="0"/>
        <v>UK</v>
      </c>
      <c r="V144" s="373" t="str">
        <f t="shared" si="0"/>
        <v>Solent</v>
      </c>
      <c r="W144" s="373" t="str">
        <f t="shared" si="0"/>
        <v>/</v>
      </c>
    </row>
    <row r="145" spans="1:23">
      <c r="B145" s="372" t="s">
        <v>2104</v>
      </c>
      <c r="C145" s="466" t="s">
        <v>411</v>
      </c>
      <c r="D145" s="276" t="s">
        <v>582</v>
      </c>
      <c r="E145" s="276" t="s">
        <v>230</v>
      </c>
      <c r="F145" s="373">
        <f>E$70</f>
        <v>2020</v>
      </c>
      <c r="G145" s="276">
        <v>2020</v>
      </c>
      <c r="H145" s="276">
        <f>'COMPANY INPUT'!$C$16</f>
        <v>2023</v>
      </c>
      <c r="I145" s="276">
        <f>VLOOKUP(G145,'GDP Deflators'!$H$13:$I$86,2,FALSE)</f>
        <v>89.073499999999996</v>
      </c>
      <c r="J145" s="276">
        <f>VLOOKUP(H145,'GDP Deflators'!$H$13:$I$86,2,FALSE)</f>
        <v>100</v>
      </c>
      <c r="K145" s="348">
        <f>D115</f>
        <v>15227</v>
      </c>
      <c r="L145" s="747">
        <f>-(K145*(J145/I145))</f>
        <v>-17094.871089605775</v>
      </c>
      <c r="M145" s="343" t="str">
        <f>$I$135</f>
        <v>Replacement cost</v>
      </c>
      <c r="N145" s="326">
        <f>$H$135</f>
        <v>2.1428571428571401</v>
      </c>
      <c r="O145" s="276" t="s">
        <v>718</v>
      </c>
      <c r="P145" s="276" t="str">
        <f>$J$135</f>
        <v>UK-specific value</v>
      </c>
      <c r="Q145" s="373">
        <f t="shared" si="0"/>
        <v>82</v>
      </c>
      <c r="R145" s="373" t="str">
        <f t="shared" si="0"/>
        <v>Environment Agency / University of Portsmouth (2020) Valuing the Solent Marine Sites Habitats and Species: A natural Capital Study of Benthic Ecosystem Services and how they Contribute to Water Quality Regulation</v>
      </c>
      <c r="S145" s="373" t="str">
        <f t="shared" si="0"/>
        <v>No</v>
      </c>
      <c r="T145" s="373">
        <f t="shared" si="0"/>
        <v>2020</v>
      </c>
      <c r="U145" s="373" t="str">
        <f t="shared" si="0"/>
        <v>UK</v>
      </c>
      <c r="V145" s="373" t="str">
        <f t="shared" si="0"/>
        <v>Solent</v>
      </c>
      <c r="W145" s="373" t="str">
        <f t="shared" si="0"/>
        <v>/</v>
      </c>
    </row>
    <row r="146" spans="1:23">
      <c r="B146" s="372" t="s">
        <v>2105</v>
      </c>
      <c r="C146" s="466" t="s">
        <v>411</v>
      </c>
      <c r="D146" s="276" t="s">
        <v>583</v>
      </c>
      <c r="E146" s="276" t="s">
        <v>230</v>
      </c>
      <c r="F146" s="373">
        <f>E$70</f>
        <v>2020</v>
      </c>
      <c r="G146" s="276">
        <v>2020</v>
      </c>
      <c r="H146" s="276">
        <f>'COMPANY INPUT'!$C$16</f>
        <v>2023</v>
      </c>
      <c r="I146" s="276">
        <f>VLOOKUP(G146,'GDP Deflators'!$H$13:$I$86,2,FALSE)</f>
        <v>89.073499999999996</v>
      </c>
      <c r="J146" s="276">
        <f>VLOOKUP(H146,'GDP Deflators'!$H$13:$I$86,2,FALSE)</f>
        <v>100</v>
      </c>
      <c r="K146" s="348">
        <f>D117</f>
        <v>13842.727272727274</v>
      </c>
      <c r="L146" s="747">
        <f>-(K146*(J146/I146))</f>
        <v>-15540.791899641616</v>
      </c>
      <c r="M146" s="343" t="str">
        <f>$I$135</f>
        <v>Replacement cost</v>
      </c>
      <c r="N146" s="326">
        <f>$H$135</f>
        <v>2.1428571428571401</v>
      </c>
      <c r="O146" s="276" t="s">
        <v>718</v>
      </c>
      <c r="P146" s="276" t="str">
        <f>$J$135</f>
        <v>UK-specific value</v>
      </c>
      <c r="Q146" s="373">
        <f t="shared" si="0"/>
        <v>82</v>
      </c>
      <c r="R146" s="373" t="str">
        <f t="shared" si="0"/>
        <v>Environment Agency / University of Portsmouth (2020) Valuing the Solent Marine Sites Habitats and Species: A natural Capital Study of Benthic Ecosystem Services and how they Contribute to Water Quality Regulation</v>
      </c>
      <c r="S146" s="373" t="str">
        <f t="shared" si="0"/>
        <v>No</v>
      </c>
      <c r="T146" s="373">
        <f t="shared" si="0"/>
        <v>2020</v>
      </c>
      <c r="U146" s="373" t="str">
        <f t="shared" si="0"/>
        <v>UK</v>
      </c>
      <c r="V146" s="373" t="str">
        <f t="shared" si="0"/>
        <v>Solent</v>
      </c>
      <c r="W146" s="373" t="str">
        <f t="shared" si="0"/>
        <v>/</v>
      </c>
    </row>
    <row r="147" spans="1:23">
      <c r="B147" s="372" t="s">
        <v>2106</v>
      </c>
      <c r="C147" s="466" t="s">
        <v>411</v>
      </c>
      <c r="D147" s="276" t="s">
        <v>584</v>
      </c>
      <c r="E147" s="276" t="s">
        <v>230</v>
      </c>
      <c r="F147" s="373">
        <f>E$70</f>
        <v>2020</v>
      </c>
      <c r="G147" s="276">
        <v>2020</v>
      </c>
      <c r="H147" s="276">
        <f>'COMPANY INPUT'!$C$16</f>
        <v>2023</v>
      </c>
      <c r="I147" s="276">
        <f>VLOOKUP(G147,'GDP Deflators'!$H$13:$I$86,2,FALSE)</f>
        <v>89.073499999999996</v>
      </c>
      <c r="J147" s="276">
        <f>VLOOKUP(H147,'GDP Deflators'!$H$13:$I$86,2,FALSE)</f>
        <v>100</v>
      </c>
      <c r="K147" s="348">
        <f>D119</f>
        <v>0</v>
      </c>
      <c r="L147" s="747">
        <f>-(K147*(J147/I147))</f>
        <v>0</v>
      </c>
      <c r="M147" s="343" t="str">
        <f>$I$135</f>
        <v>Replacement cost</v>
      </c>
      <c r="N147" s="326">
        <f>$H$135</f>
        <v>2.1428571428571401</v>
      </c>
      <c r="O147" s="276" t="s">
        <v>718</v>
      </c>
      <c r="P147" s="276" t="str">
        <f>$J$135</f>
        <v>UK-specific value</v>
      </c>
      <c r="Q147" s="373">
        <f t="shared" si="0"/>
        <v>82</v>
      </c>
      <c r="R147" s="373" t="str">
        <f t="shared" si="0"/>
        <v>Environment Agency / University of Portsmouth (2020) Valuing the Solent Marine Sites Habitats and Species: A natural Capital Study of Benthic Ecosystem Services and how they Contribute to Water Quality Regulation</v>
      </c>
      <c r="S147" s="373" t="str">
        <f t="shared" si="0"/>
        <v>No</v>
      </c>
      <c r="T147" s="373">
        <f t="shared" si="0"/>
        <v>2020</v>
      </c>
      <c r="U147" s="373" t="str">
        <f t="shared" si="0"/>
        <v>UK</v>
      </c>
      <c r="V147" s="373" t="str">
        <f t="shared" si="0"/>
        <v>Solent</v>
      </c>
      <c r="W147" s="373" t="str">
        <f t="shared" si="0"/>
        <v>/</v>
      </c>
    </row>
    <row r="149" spans="1:23">
      <c r="A149" s="739"/>
      <c r="B149" s="740" t="s">
        <v>2107</v>
      </c>
      <c r="C149" s="739"/>
      <c r="D149" s="739"/>
      <c r="E149" s="739"/>
      <c r="F149" s="739"/>
      <c r="G149" s="739"/>
      <c r="H149" s="739"/>
    </row>
    <row r="150" spans="1:23">
      <c r="A150" s="741"/>
      <c r="B150" s="742" t="s">
        <v>897</v>
      </c>
      <c r="C150" s="741"/>
      <c r="D150" s="741"/>
      <c r="E150" s="741"/>
      <c r="F150" s="741"/>
      <c r="G150" s="741"/>
      <c r="H150" s="741"/>
    </row>
    <row r="151" spans="1:23">
      <c r="B151" s="399" t="s">
        <v>898</v>
      </c>
      <c r="C151" s="399" t="s">
        <v>899</v>
      </c>
    </row>
    <row r="152" spans="1:23">
      <c r="B152" s="276" t="s">
        <v>451</v>
      </c>
      <c r="C152" s="276" t="s">
        <v>2108</v>
      </c>
    </row>
    <row r="153" spans="1:23">
      <c r="B153" s="276" t="s">
        <v>462</v>
      </c>
      <c r="C153" s="276" t="s">
        <v>2109</v>
      </c>
    </row>
    <row r="154" spans="1:23">
      <c r="B154" s="29"/>
    </row>
    <row r="155" spans="1:23">
      <c r="A155" s="741"/>
      <c r="B155" s="743" t="s">
        <v>1028</v>
      </c>
      <c r="C155" s="741"/>
      <c r="D155" s="741"/>
      <c r="E155" s="741"/>
      <c r="F155" s="741"/>
      <c r="G155" s="741"/>
      <c r="H155" s="741"/>
    </row>
    <row r="156" spans="1:23">
      <c r="A156" s="744"/>
      <c r="B156" s="745" t="s">
        <v>912</v>
      </c>
      <c r="C156" s="744"/>
      <c r="D156" s="744"/>
      <c r="E156" s="744"/>
      <c r="F156" s="744"/>
      <c r="G156" s="744"/>
      <c r="H156" s="744"/>
    </row>
    <row r="157" spans="1:23" ht="29.1">
      <c r="B157" s="719" t="s">
        <v>913</v>
      </c>
      <c r="C157" s="719" t="s">
        <v>914</v>
      </c>
      <c r="D157" s="719" t="s">
        <v>915</v>
      </c>
      <c r="E157" s="719" t="s">
        <v>916</v>
      </c>
      <c r="F157" s="719" t="s">
        <v>917</v>
      </c>
      <c r="G157" s="719" t="s">
        <v>918</v>
      </c>
      <c r="H157" s="719" t="s">
        <v>919</v>
      </c>
    </row>
    <row r="158" spans="1:23">
      <c r="B158" s="276">
        <v>31</v>
      </c>
      <c r="C158" s="276" t="s">
        <v>2110</v>
      </c>
      <c r="D158" s="276" t="s">
        <v>1182</v>
      </c>
      <c r="E158" s="276">
        <v>2024</v>
      </c>
      <c r="F158" s="276" t="s">
        <v>1047</v>
      </c>
      <c r="G158" s="276" t="s">
        <v>1047</v>
      </c>
      <c r="H158" s="276" t="s">
        <v>907</v>
      </c>
    </row>
    <row r="159" spans="1:23">
      <c r="B159" s="276">
        <v>32</v>
      </c>
      <c r="C159" s="276" t="s">
        <v>2111</v>
      </c>
      <c r="D159" s="276"/>
      <c r="E159" s="276">
        <v>2024</v>
      </c>
      <c r="F159" s="276" t="s">
        <v>1047</v>
      </c>
      <c r="G159" s="276" t="s">
        <v>1048</v>
      </c>
      <c r="H159" s="340" t="s">
        <v>907</v>
      </c>
    </row>
    <row r="160" spans="1:23">
      <c r="B160" s="29"/>
    </row>
    <row r="161" spans="1:12">
      <c r="A161" s="744"/>
      <c r="B161" s="745" t="s">
        <v>924</v>
      </c>
      <c r="C161" s="744"/>
      <c r="D161" s="744"/>
      <c r="E161" s="744"/>
      <c r="F161" s="744"/>
      <c r="G161" s="744"/>
      <c r="H161" s="744"/>
    </row>
    <row r="162" spans="1:12">
      <c r="B162" s="282" t="s">
        <v>165</v>
      </c>
      <c r="C162" s="399" t="s">
        <v>925</v>
      </c>
      <c r="D162" s="399" t="s">
        <v>926</v>
      </c>
      <c r="E162" s="1138" t="s">
        <v>953</v>
      </c>
      <c r="F162" s="1138"/>
      <c r="G162" s="1138"/>
      <c r="H162" s="1138"/>
    </row>
    <row r="163" spans="1:12">
      <c r="B163" s="276" t="s">
        <v>169</v>
      </c>
      <c r="C163" s="276" t="s">
        <v>166</v>
      </c>
      <c r="D163" s="278">
        <f>VLOOKUP(C163,METHODOLOGY!$C$175:$D$177,2,FALSE)</f>
        <v>3</v>
      </c>
      <c r="E163" s="1087" t="str">
        <f>_xlfn.XLOOKUP(C163,METHODOLOGY!$E$150:$O$150,METHODOLOGY!$E$151:$O$151,"",0,1)</f>
        <v>Monetary values have been peer reviewed or are recommended / referenced in other, well recognised and accepted guidance / tools relevant to the water sector.</v>
      </c>
      <c r="F163" s="1087"/>
      <c r="G163" s="1087"/>
      <c r="H163" s="1087"/>
    </row>
    <row r="164" spans="1:12">
      <c r="B164" s="276" t="s">
        <v>173</v>
      </c>
      <c r="C164" s="276" t="s">
        <v>166</v>
      </c>
      <c r="D164" s="278">
        <f>VLOOKUP(C164,METHODOLOGY!$C$175:$D$177,2,FALSE)</f>
        <v>3</v>
      </c>
      <c r="E164" s="1087" t="str">
        <f>_xlfn.XLOOKUP(C164,METHODOLOGY!$E$150:$O$150,METHODOLOGY!$E$155:$O$155,"",0,1)</f>
        <v>Study has few limitations and is considered robust.</v>
      </c>
      <c r="F164" s="1087"/>
      <c r="G164" s="1087"/>
      <c r="H164" s="1087"/>
    </row>
    <row r="165" spans="1:12">
      <c r="B165" s="276" t="s">
        <v>177</v>
      </c>
      <c r="C165" s="276" t="s">
        <v>166</v>
      </c>
      <c r="D165" s="278">
        <f>VLOOKUP(C165,METHODOLOGY!$C$175:$D$177,2,FALSE)</f>
        <v>3</v>
      </c>
      <c r="E165" s="1087" t="str">
        <f>_xlfn.XLOOKUP(C165,METHODOLOGY!$E$150:$O$150,METHODOLOGY!$E$158:$O$158,"",0,1)</f>
        <v>0 – 5 years</v>
      </c>
      <c r="F165" s="1087"/>
      <c r="G165" s="1087"/>
      <c r="H165" s="1087"/>
    </row>
    <row r="166" spans="1:12">
      <c r="B166" s="276" t="s">
        <v>181</v>
      </c>
      <c r="C166" s="276" t="s">
        <v>166</v>
      </c>
      <c r="D166" s="278">
        <f>VLOOKUP(C166,METHODOLOGY!$C$175:$D$177,2,FALSE)</f>
        <v>3</v>
      </c>
      <c r="E166" s="1087" t="str">
        <f>_xlfn.XLOOKUP(C166,METHODOLOGY!$E$150:$O$150,METHODOLOGY!$E$160:$O$160,"",0,1)</f>
        <v>Geographically relevant to UK</v>
      </c>
      <c r="F166" s="1087"/>
      <c r="G166" s="1087"/>
      <c r="H166" s="1087"/>
    </row>
    <row r="167" spans="1:12">
      <c r="B167" s="276" t="s">
        <v>928</v>
      </c>
      <c r="C167" s="276" t="s">
        <v>166</v>
      </c>
      <c r="D167" s="278">
        <f>VLOOKUP(C167,METHODOLOGY!$C$175:$D$177,2,FALSE)</f>
        <v>3</v>
      </c>
      <c r="E167" s="1087" t="str">
        <f>_xlfn.XLOOKUP(C167,METHODOLOGY!$E$150:$O$150,METHODOLOGY!$E$162:$O$162,"",0,1)</f>
        <v>Clear understanding of the valuation method and how the value should be applied.</v>
      </c>
      <c r="F167" s="1087"/>
      <c r="G167" s="1087"/>
      <c r="H167" s="1087"/>
    </row>
    <row r="168" spans="1:12">
      <c r="B168" s="276" t="s">
        <v>189</v>
      </c>
      <c r="C168" s="276" t="s">
        <v>168</v>
      </c>
      <c r="D168" s="278">
        <f>VLOOKUP(C168,METHODOLOGY!$C$175:$D$177,2,FALSE)</f>
        <v>1</v>
      </c>
      <c r="E168" s="1087" t="str">
        <f>_xlfn.XLOOKUP(C168,METHODOLOGY!$E$150:$O$150,METHODOLOGY!$E$164:$O$164,"",0,1)</f>
        <v xml:space="preserve">The original valuation can be used with significant modification e.g. several additional data inputs are required to use the original source. The calculation is complex or introduces significant uncertainty. </v>
      </c>
      <c r="F168" s="1087"/>
      <c r="G168" s="1087"/>
      <c r="H168" s="1087"/>
    </row>
    <row r="169" spans="1:12">
      <c r="C169" s="282" t="s">
        <v>924</v>
      </c>
      <c r="D169" s="326">
        <f>IF(AND(D168=1,AVERAGE(D163:D168)&gt;2.14285714285714),2.14285714285714,IF(AND(D168=2,AVERAGE(D163:D168)&gt;2.57142857142857),2.57142857142857,AVERAGE(D163:D168)))</f>
        <v>2.1428571428571401</v>
      </c>
      <c r="E169" s="270" t="str">
        <f>IF(D169&lt;=2.14285714285714,"Red",IF(D169&lt;=2.57142857142857,"Amber",IF(D169&lt;=3,"Green")))</f>
        <v>Red</v>
      </c>
    </row>
    <row r="172" spans="1:12">
      <c r="A172" s="744"/>
      <c r="B172" s="745" t="s">
        <v>929</v>
      </c>
      <c r="C172" s="744"/>
      <c r="D172" s="744"/>
      <c r="E172" s="744"/>
      <c r="F172" s="744"/>
      <c r="G172" s="744"/>
      <c r="H172" s="744"/>
    </row>
    <row r="173" spans="1:12">
      <c r="B173" s="399" t="s">
        <v>913</v>
      </c>
      <c r="C173" s="399" t="s">
        <v>1089</v>
      </c>
      <c r="D173" s="399" t="s">
        <v>902</v>
      </c>
      <c r="E173" s="399" t="s">
        <v>331</v>
      </c>
      <c r="F173" s="399" t="s">
        <v>226</v>
      </c>
      <c r="G173" s="1354" t="s">
        <v>930</v>
      </c>
      <c r="H173" s="1355"/>
      <c r="I173" s="1355"/>
      <c r="J173" s="1355"/>
      <c r="K173" s="1355"/>
      <c r="L173" s="1356"/>
    </row>
    <row r="174" spans="1:12">
      <c r="B174" s="338">
        <v>31</v>
      </c>
      <c r="C174" s="338" t="s">
        <v>451</v>
      </c>
      <c r="D174" s="338" t="s">
        <v>411</v>
      </c>
      <c r="E174" s="338">
        <v>59783</v>
      </c>
      <c r="F174" s="276" t="s">
        <v>418</v>
      </c>
      <c r="G174" s="1158" t="s">
        <v>2112</v>
      </c>
      <c r="H174" s="1095"/>
      <c r="I174" s="1095"/>
      <c r="J174" s="1095"/>
      <c r="K174" s="1095"/>
      <c r="L174" s="1095"/>
    </row>
    <row r="175" spans="1:12" ht="15" customHeight="1">
      <c r="B175" s="338">
        <v>31</v>
      </c>
      <c r="C175" s="338" t="s">
        <v>451</v>
      </c>
      <c r="D175" s="338" t="s">
        <v>411</v>
      </c>
      <c r="E175" s="509">
        <v>148850000</v>
      </c>
      <c r="F175" s="276" t="s">
        <v>1115</v>
      </c>
      <c r="G175" s="1358" t="s">
        <v>2113</v>
      </c>
      <c r="H175" s="1358"/>
      <c r="I175" s="1358"/>
      <c r="J175" s="1358"/>
      <c r="K175" s="1358"/>
      <c r="L175" s="1358"/>
    </row>
    <row r="176" spans="1:12">
      <c r="B176" s="338">
        <v>31</v>
      </c>
      <c r="C176" s="338" t="s">
        <v>451</v>
      </c>
      <c r="D176" s="338" t="s">
        <v>411</v>
      </c>
      <c r="E176" s="338">
        <v>5047</v>
      </c>
      <c r="F176" s="276" t="s">
        <v>418</v>
      </c>
      <c r="G176" s="1158" t="s">
        <v>2114</v>
      </c>
      <c r="H176" s="1095"/>
      <c r="I176" s="1095"/>
      <c r="J176" s="1095"/>
      <c r="K176" s="1095"/>
      <c r="L176" s="1095"/>
    </row>
    <row r="177" spans="1:12">
      <c r="B177" s="338">
        <v>31</v>
      </c>
      <c r="C177" s="338" t="s">
        <v>451</v>
      </c>
      <c r="D177" s="338" t="s">
        <v>411</v>
      </c>
      <c r="E177" s="509">
        <v>10002000</v>
      </c>
      <c r="F177" s="276" t="s">
        <v>1115</v>
      </c>
      <c r="G177" s="1358" t="s">
        <v>2115</v>
      </c>
      <c r="H177" s="1358"/>
      <c r="I177" s="1358"/>
      <c r="J177" s="1358"/>
      <c r="K177" s="1358"/>
      <c r="L177" s="1358"/>
    </row>
    <row r="178" spans="1:12">
      <c r="B178" s="338">
        <v>4</v>
      </c>
      <c r="C178" s="338" t="s">
        <v>451</v>
      </c>
      <c r="D178" s="338" t="s">
        <v>411</v>
      </c>
      <c r="E178" s="493">
        <v>0.1</v>
      </c>
      <c r="F178" s="276" t="s">
        <v>2116</v>
      </c>
      <c r="G178" s="1358" t="s">
        <v>2117</v>
      </c>
      <c r="H178" s="1358"/>
      <c r="I178" s="1358"/>
      <c r="J178" s="1358"/>
      <c r="K178" s="1358"/>
      <c r="L178" s="1358"/>
    </row>
    <row r="179" spans="1:12" ht="14.25" customHeight="1">
      <c r="B179" s="338">
        <v>32</v>
      </c>
      <c r="C179" s="338" t="s">
        <v>451</v>
      </c>
      <c r="D179" s="338" t="s">
        <v>581</v>
      </c>
      <c r="E179" s="338">
        <f>C890</f>
        <v>632.24609278216701</v>
      </c>
      <c r="F179" s="1267" t="s">
        <v>2118</v>
      </c>
      <c r="G179" s="1369" t="s">
        <v>2119</v>
      </c>
      <c r="H179" s="1370"/>
      <c r="I179" s="1370"/>
      <c r="J179" s="1370"/>
      <c r="K179" s="1370"/>
      <c r="L179" s="1371"/>
    </row>
    <row r="180" spans="1:12">
      <c r="B180" s="338">
        <v>32</v>
      </c>
      <c r="C180" s="338" t="s">
        <v>451</v>
      </c>
      <c r="D180" s="338" t="s">
        <v>582</v>
      </c>
      <c r="E180" s="338">
        <f t="shared" ref="E180:E182" si="1">C891</f>
        <v>3026.4514499351285</v>
      </c>
      <c r="F180" s="1268"/>
      <c r="G180" s="1372"/>
      <c r="H180" s="1373"/>
      <c r="I180" s="1373"/>
      <c r="J180" s="1373"/>
      <c r="K180" s="1373"/>
      <c r="L180" s="1374"/>
    </row>
    <row r="181" spans="1:12">
      <c r="B181" s="338">
        <v>32</v>
      </c>
      <c r="C181" s="338" t="s">
        <v>451</v>
      </c>
      <c r="D181" s="338" t="s">
        <v>583</v>
      </c>
      <c r="E181" s="338">
        <f t="shared" si="1"/>
        <v>401.02333700301278</v>
      </c>
      <c r="F181" s="1268"/>
      <c r="G181" s="1372"/>
      <c r="H181" s="1373"/>
      <c r="I181" s="1373"/>
      <c r="J181" s="1373"/>
      <c r="K181" s="1373"/>
      <c r="L181" s="1374"/>
    </row>
    <row r="182" spans="1:12">
      <c r="B182" s="338">
        <v>32</v>
      </c>
      <c r="C182" s="338" t="s">
        <v>451</v>
      </c>
      <c r="D182" s="338" t="s">
        <v>584</v>
      </c>
      <c r="E182" s="338">
        <f t="shared" si="1"/>
        <v>552.42610598846602</v>
      </c>
      <c r="F182" s="1269"/>
      <c r="G182" s="1375"/>
      <c r="H182" s="1376"/>
      <c r="I182" s="1376"/>
      <c r="J182" s="1376"/>
      <c r="K182" s="1376"/>
      <c r="L182" s="1377"/>
    </row>
    <row r="184" spans="1:12">
      <c r="A184" s="744"/>
      <c r="B184" s="745" t="s">
        <v>1015</v>
      </c>
      <c r="C184" s="744"/>
      <c r="D184" s="744"/>
      <c r="E184" s="744"/>
      <c r="F184" s="744"/>
      <c r="G184" s="744"/>
      <c r="H184" s="744"/>
    </row>
    <row r="185" spans="1:12">
      <c r="B185" s="399" t="s">
        <v>2120</v>
      </c>
      <c r="C185" s="399" t="s">
        <v>331</v>
      </c>
      <c r="D185" s="399" t="s">
        <v>711</v>
      </c>
    </row>
    <row r="186" spans="1:12">
      <c r="B186" s="334" t="s">
        <v>2121</v>
      </c>
      <c r="C186" s="490">
        <f>E174+E176</f>
        <v>64830</v>
      </c>
      <c r="D186" s="295" t="s">
        <v>418</v>
      </c>
    </row>
    <row r="187" spans="1:12">
      <c r="B187" s="334" t="s">
        <v>2122</v>
      </c>
      <c r="C187" s="501">
        <f>E175+E177</f>
        <v>158852000</v>
      </c>
      <c r="D187" s="295" t="s">
        <v>1115</v>
      </c>
    </row>
    <row r="188" spans="1:12">
      <c r="B188" s="334" t="s">
        <v>2123</v>
      </c>
      <c r="C188" s="501">
        <f>C187/C186</f>
        <v>2450.2853617152555</v>
      </c>
      <c r="D188" s="295" t="s">
        <v>305</v>
      </c>
    </row>
    <row r="190" spans="1:12">
      <c r="B190" s="399" t="s">
        <v>2124</v>
      </c>
      <c r="C190" s="399" t="s">
        <v>2125</v>
      </c>
      <c r="D190" s="399" t="s">
        <v>711</v>
      </c>
      <c r="E190" s="1354" t="s">
        <v>930</v>
      </c>
      <c r="F190" s="1355"/>
      <c r="G190" s="1355"/>
      <c r="H190" s="1355"/>
      <c r="I190" s="1355"/>
      <c r="J190" s="1355"/>
      <c r="K190" s="1355"/>
      <c r="L190" s="1356"/>
    </row>
    <row r="191" spans="1:12">
      <c r="B191" s="334" t="s">
        <v>2126</v>
      </c>
      <c r="C191" s="490">
        <v>0</v>
      </c>
      <c r="D191" s="295" t="s">
        <v>2127</v>
      </c>
      <c r="E191" s="1357"/>
      <c r="F191" s="1357"/>
      <c r="G191" s="1357"/>
      <c r="H191" s="1357"/>
      <c r="I191" s="1357"/>
      <c r="J191" s="1357"/>
      <c r="K191" s="1357"/>
      <c r="L191" s="1357"/>
    </row>
    <row r="192" spans="1:12">
      <c r="B192" s="334" t="s">
        <v>2098</v>
      </c>
      <c r="C192" s="510">
        <f>C186/(E179*1.2+E180*1.1+E181)</f>
        <v>14.442563680292874</v>
      </c>
      <c r="D192" s="295" t="s">
        <v>2127</v>
      </c>
      <c r="E192" s="1357" t="s">
        <v>2128</v>
      </c>
      <c r="F192" s="1357"/>
      <c r="G192" s="1357"/>
      <c r="H192" s="1357"/>
      <c r="I192" s="1357"/>
      <c r="J192" s="1357"/>
      <c r="K192" s="1357"/>
      <c r="L192" s="1357"/>
    </row>
    <row r="193" spans="1:12">
      <c r="B193" s="334" t="s">
        <v>2129</v>
      </c>
      <c r="C193" s="510">
        <f>C192*1.1</f>
        <v>15.886820048322162</v>
      </c>
      <c r="D193" s="295" t="s">
        <v>2127</v>
      </c>
      <c r="E193" s="1357" t="s">
        <v>2130</v>
      </c>
      <c r="F193" s="1357"/>
      <c r="G193" s="1357"/>
      <c r="H193" s="1357"/>
      <c r="I193" s="1357"/>
      <c r="J193" s="1357"/>
      <c r="K193" s="1357"/>
      <c r="L193" s="1357"/>
    </row>
    <row r="194" spans="1:12">
      <c r="B194" s="334" t="s">
        <v>2097</v>
      </c>
      <c r="C194" s="510">
        <f>C192*1.2</f>
        <v>17.331076416351447</v>
      </c>
      <c r="D194" s="295" t="s">
        <v>2127</v>
      </c>
      <c r="E194" s="1357" t="s">
        <v>2130</v>
      </c>
      <c r="F194" s="1357"/>
      <c r="G194" s="1357"/>
      <c r="H194" s="1357"/>
      <c r="I194" s="1357"/>
      <c r="J194" s="1357"/>
      <c r="K194" s="1357"/>
      <c r="L194" s="1357"/>
    </row>
    <row r="196" spans="1:12">
      <c r="B196" s="399" t="s">
        <v>2124</v>
      </c>
      <c r="C196" s="399" t="s">
        <v>331</v>
      </c>
      <c r="D196" s="399" t="s">
        <v>711</v>
      </c>
      <c r="E196" s="1354" t="s">
        <v>930</v>
      </c>
      <c r="F196" s="1355"/>
      <c r="G196" s="1355"/>
      <c r="H196" s="1355"/>
      <c r="I196" s="1355"/>
      <c r="J196" s="1355"/>
      <c r="K196" s="1355"/>
      <c r="L196" s="1356"/>
    </row>
    <row r="197" spans="1:12">
      <c r="B197" s="334" t="s">
        <v>2126</v>
      </c>
      <c r="C197" s="450">
        <f>ROUND(C191*$C$188, 2)</f>
        <v>0</v>
      </c>
      <c r="D197" s="295" t="s">
        <v>2131</v>
      </c>
      <c r="E197" s="1326" t="s">
        <v>2132</v>
      </c>
      <c r="F197" s="1327"/>
      <c r="G197" s="1327"/>
      <c r="H197" s="1327"/>
      <c r="I197" s="1327"/>
      <c r="J197" s="1327"/>
      <c r="K197" s="1327"/>
      <c r="L197" s="1328"/>
    </row>
    <row r="198" spans="1:12">
      <c r="B198" s="334" t="s">
        <v>2098</v>
      </c>
      <c r="C198" s="450">
        <f>ROUND(C192*$C$188, 2)</f>
        <v>35388.400000000001</v>
      </c>
      <c r="D198" s="295" t="s">
        <v>2131</v>
      </c>
      <c r="E198" s="1366"/>
      <c r="F198" s="1367"/>
      <c r="G198" s="1367"/>
      <c r="H198" s="1367"/>
      <c r="I198" s="1367"/>
      <c r="J198" s="1367"/>
      <c r="K198" s="1367"/>
      <c r="L198" s="1368"/>
    </row>
    <row r="199" spans="1:12">
      <c r="B199" s="334" t="s">
        <v>2129</v>
      </c>
      <c r="C199" s="450">
        <f>ROUND(C193*$C$188, 2)</f>
        <v>38927.24</v>
      </c>
      <c r="D199" s="295" t="s">
        <v>2131</v>
      </c>
      <c r="E199" s="1366"/>
      <c r="F199" s="1367"/>
      <c r="G199" s="1367"/>
      <c r="H199" s="1367"/>
      <c r="I199" s="1367"/>
      <c r="J199" s="1367"/>
      <c r="K199" s="1367"/>
      <c r="L199" s="1368"/>
    </row>
    <row r="200" spans="1:12">
      <c r="B200" s="334" t="s">
        <v>2097</v>
      </c>
      <c r="C200" s="450">
        <f>ROUND(C194*$C$188, 2)</f>
        <v>42466.080000000002</v>
      </c>
      <c r="D200" s="295" t="s">
        <v>2131</v>
      </c>
      <c r="E200" s="1329"/>
      <c r="F200" s="1330"/>
      <c r="G200" s="1330"/>
      <c r="H200" s="1330"/>
      <c r="I200" s="1330"/>
      <c r="J200" s="1330"/>
      <c r="K200" s="1330"/>
      <c r="L200" s="1331"/>
    </row>
    <row r="202" spans="1:12">
      <c r="B202" s="399" t="s">
        <v>2133</v>
      </c>
      <c r="C202" s="399" t="s">
        <v>331</v>
      </c>
      <c r="D202" s="399" t="s">
        <v>711</v>
      </c>
    </row>
    <row r="203" spans="1:12">
      <c r="B203" s="334" t="s">
        <v>2134</v>
      </c>
      <c r="C203" s="450">
        <f>(C200-C199)/2</f>
        <v>1769.4200000000019</v>
      </c>
      <c r="D203" s="295" t="s">
        <v>2131</v>
      </c>
    </row>
    <row r="204" spans="1:12">
      <c r="B204" s="334" t="s">
        <v>2135</v>
      </c>
      <c r="C204" s="450">
        <f>(C199-C198)/2</f>
        <v>1769.4199999999983</v>
      </c>
      <c r="D204" s="295" t="s">
        <v>2131</v>
      </c>
    </row>
    <row r="205" spans="1:12">
      <c r="B205" s="334" t="s">
        <v>1899</v>
      </c>
      <c r="C205" s="450">
        <f>AVERAGE(C203:C204)</f>
        <v>1769.42</v>
      </c>
      <c r="D205" s="295" t="s">
        <v>2131</v>
      </c>
    </row>
    <row r="207" spans="1:12">
      <c r="A207" s="741"/>
      <c r="B207" s="743" t="s">
        <v>901</v>
      </c>
      <c r="C207" s="741"/>
      <c r="D207" s="741"/>
      <c r="E207" s="741"/>
      <c r="F207" s="741"/>
      <c r="G207" s="741"/>
      <c r="H207" s="741"/>
    </row>
    <row r="208" spans="1:12">
      <c r="B208" s="399" t="s">
        <v>902</v>
      </c>
      <c r="C208" s="399" t="s">
        <v>898</v>
      </c>
      <c r="D208" s="399" t="s">
        <v>899</v>
      </c>
      <c r="E208" s="399" t="s">
        <v>903</v>
      </c>
      <c r="F208" s="399" t="s">
        <v>904</v>
      </c>
      <c r="G208" s="293" t="s">
        <v>905</v>
      </c>
      <c r="H208" s="293" t="s">
        <v>970</v>
      </c>
      <c r="I208" s="293" t="s">
        <v>924</v>
      </c>
      <c r="J208" s="293" t="s">
        <v>956</v>
      </c>
      <c r="K208" s="293" t="s">
        <v>927</v>
      </c>
    </row>
    <row r="209" spans="1:23">
      <c r="B209" s="276" t="s">
        <v>580</v>
      </c>
      <c r="C209" s="276" t="s">
        <v>451</v>
      </c>
      <c r="D209" s="373" t="s">
        <v>2108</v>
      </c>
      <c r="E209" s="373" t="s">
        <v>1202</v>
      </c>
      <c r="F209" s="276" t="str" cm="1">
        <f t="array" ref="F209">_xlfn.XLOOKUP(1,(D$222:D$226=B209)*(E$222:E$226=C209),B$222:B$226,"Not found",0,1)</f>
        <v>29-6</v>
      </c>
      <c r="G209" s="343">
        <f>VLOOKUP(F209,B$222:L$226,11,FALSE)</f>
        <v>-1769.42</v>
      </c>
      <c r="H209" s="343" t="str">
        <f>VLOOKUP(F209,B$222:P$226,14,FALSE)</f>
        <v>Yes</v>
      </c>
      <c r="I209" s="1120">
        <f>D$169</f>
        <v>2.1428571428571401</v>
      </c>
      <c r="J209" s="1175" t="s">
        <v>1806</v>
      </c>
      <c r="K209" s="1175" t="s">
        <v>2136</v>
      </c>
    </row>
    <row r="210" spans="1:23">
      <c r="B210" s="276" t="s">
        <v>581</v>
      </c>
      <c r="C210" s="276" t="s">
        <v>451</v>
      </c>
      <c r="D210" s="373" t="s">
        <v>2108</v>
      </c>
      <c r="E210" s="373" t="s">
        <v>1202</v>
      </c>
      <c r="F210" s="276" t="str" cm="1">
        <f t="array" ref="F210">_xlfn.XLOOKUP(1,(D$222:D$226=B210)*(E$222:E$226=C210),B$222:B$226,"Not found",0,1)</f>
        <v>29-7</v>
      </c>
      <c r="G210" s="343">
        <f>VLOOKUP(F210,B$222:L$226,11,FALSE)</f>
        <v>-42466.080000000002</v>
      </c>
      <c r="H210" s="343" t="str">
        <f>VLOOKUP(F210,B$222:P$226,14,FALSE)</f>
        <v>Yes</v>
      </c>
      <c r="I210" s="1121"/>
      <c r="J210" s="1176"/>
      <c r="K210" s="1176"/>
    </row>
    <row r="211" spans="1:23">
      <c r="B211" s="276" t="s">
        <v>582</v>
      </c>
      <c r="C211" s="276" t="s">
        <v>451</v>
      </c>
      <c r="D211" s="373" t="s">
        <v>2108</v>
      </c>
      <c r="E211" s="373" t="s">
        <v>1202</v>
      </c>
      <c r="F211" s="276" t="str" cm="1">
        <f t="array" ref="F211">_xlfn.XLOOKUP(1,(D$222:D$226=B211)*(E$222:E$226=C211),B$222:B$226,"Not found",0,1)</f>
        <v>29-8</v>
      </c>
      <c r="G211" s="343">
        <f>VLOOKUP(F211,B$222:L$226,11,FALSE)</f>
        <v>-38927.24</v>
      </c>
      <c r="H211" s="343" t="str">
        <f>VLOOKUP(F211,B$222:P$226,14,FALSE)</f>
        <v>Yes</v>
      </c>
      <c r="I211" s="1121"/>
      <c r="J211" s="1176"/>
      <c r="K211" s="1176"/>
    </row>
    <row r="212" spans="1:23">
      <c r="B212" s="276" t="s">
        <v>583</v>
      </c>
      <c r="C212" s="276" t="s">
        <v>451</v>
      </c>
      <c r="D212" s="373" t="s">
        <v>2108</v>
      </c>
      <c r="E212" s="373" t="s">
        <v>1202</v>
      </c>
      <c r="F212" s="276" t="str" cm="1">
        <f t="array" ref="F212">_xlfn.XLOOKUP(1,(D$222:D$226=B212)*(E$222:E$226=C212),B$222:B$226,"Not found",0,1)</f>
        <v>29-9</v>
      </c>
      <c r="G212" s="343">
        <f>VLOOKUP(F212,B$222:L$226,11,FALSE)</f>
        <v>-35388.400000000001</v>
      </c>
      <c r="H212" s="343" t="str">
        <f>VLOOKUP(F212,B$222:P$226,14,FALSE)</f>
        <v>Yes</v>
      </c>
      <c r="I212" s="1121"/>
      <c r="J212" s="1176"/>
      <c r="K212" s="1176"/>
    </row>
    <row r="213" spans="1:23">
      <c r="B213" s="276" t="s">
        <v>584</v>
      </c>
      <c r="C213" s="276" t="s">
        <v>451</v>
      </c>
      <c r="D213" s="373" t="s">
        <v>2108</v>
      </c>
      <c r="E213" s="373" t="s">
        <v>1202</v>
      </c>
      <c r="F213" s="276" t="str" cm="1">
        <f t="array" ref="F213">_xlfn.XLOOKUP(1,(D$222:D$226=B213)*(E$222:E$226=C213),B$222:B$226,"Not found",0,1)</f>
        <v>29-10</v>
      </c>
      <c r="G213" s="343">
        <f>VLOOKUP(F213,B$222:L$226,11,FALSE)</f>
        <v>0</v>
      </c>
      <c r="H213" s="343" t="str">
        <f>VLOOKUP(F213,B$222:P$226,14,FALSE)</f>
        <v>Yes</v>
      </c>
      <c r="I213" s="1122"/>
      <c r="J213" s="1177"/>
      <c r="K213" s="1177"/>
    </row>
    <row r="214" spans="1:23">
      <c r="B214" s="276" t="s">
        <v>580</v>
      </c>
      <c r="C214" s="276" t="s">
        <v>462</v>
      </c>
      <c r="D214" s="276" t="s">
        <v>2109</v>
      </c>
      <c r="E214" s="373" t="s">
        <v>906</v>
      </c>
      <c r="F214" s="276" t="s">
        <v>907</v>
      </c>
      <c r="G214" s="343" t="s">
        <v>2137</v>
      </c>
      <c r="H214" s="343" t="s">
        <v>718</v>
      </c>
      <c r="I214" s="630" t="s">
        <v>907</v>
      </c>
      <c r="J214" s="630" t="s">
        <v>907</v>
      </c>
      <c r="K214" s="1175" t="s">
        <v>2138</v>
      </c>
    </row>
    <row r="215" spans="1:23">
      <c r="B215" s="276" t="s">
        <v>581</v>
      </c>
      <c r="C215" s="276" t="s">
        <v>462</v>
      </c>
      <c r="D215" s="276" t="s">
        <v>2109</v>
      </c>
      <c r="E215" s="373" t="s">
        <v>906</v>
      </c>
      <c r="F215" s="276" t="s">
        <v>907</v>
      </c>
      <c r="G215" s="343" t="s">
        <v>2137</v>
      </c>
      <c r="H215" s="343" t="s">
        <v>718</v>
      </c>
      <c r="I215" s="630" t="s">
        <v>907</v>
      </c>
      <c r="J215" s="630" t="s">
        <v>907</v>
      </c>
      <c r="K215" s="1176"/>
    </row>
    <row r="216" spans="1:23">
      <c r="B216" s="276" t="s">
        <v>582</v>
      </c>
      <c r="C216" s="276" t="s">
        <v>462</v>
      </c>
      <c r="D216" s="276" t="s">
        <v>2109</v>
      </c>
      <c r="E216" s="373" t="s">
        <v>906</v>
      </c>
      <c r="F216" s="276" t="s">
        <v>907</v>
      </c>
      <c r="G216" s="343" t="s">
        <v>2137</v>
      </c>
      <c r="H216" s="343" t="s">
        <v>718</v>
      </c>
      <c r="I216" s="630" t="s">
        <v>907</v>
      </c>
      <c r="J216" s="630" t="s">
        <v>907</v>
      </c>
      <c r="K216" s="1176"/>
    </row>
    <row r="217" spans="1:23">
      <c r="B217" s="276" t="s">
        <v>583</v>
      </c>
      <c r="C217" s="276" t="s">
        <v>462</v>
      </c>
      <c r="D217" s="276" t="s">
        <v>2109</v>
      </c>
      <c r="E217" s="373" t="s">
        <v>906</v>
      </c>
      <c r="F217" s="276" t="s">
        <v>907</v>
      </c>
      <c r="G217" s="343" t="s">
        <v>2137</v>
      </c>
      <c r="H217" s="343" t="s">
        <v>718</v>
      </c>
      <c r="I217" s="630" t="s">
        <v>907</v>
      </c>
      <c r="J217" s="630" t="s">
        <v>907</v>
      </c>
      <c r="K217" s="1176"/>
    </row>
    <row r="218" spans="1:23">
      <c r="B218" s="276" t="s">
        <v>584</v>
      </c>
      <c r="C218" s="276" t="s">
        <v>462</v>
      </c>
      <c r="D218" s="276" t="s">
        <v>2109</v>
      </c>
      <c r="E218" s="373" t="s">
        <v>906</v>
      </c>
      <c r="F218" s="276" t="s">
        <v>907</v>
      </c>
      <c r="G218" s="343" t="s">
        <v>2137</v>
      </c>
      <c r="H218" s="343" t="s">
        <v>718</v>
      </c>
      <c r="I218" s="630" t="s">
        <v>907</v>
      </c>
      <c r="J218" s="630" t="s">
        <v>907</v>
      </c>
      <c r="K218" s="1177"/>
    </row>
    <row r="219" spans="1:23">
      <c r="B219" s="30"/>
    </row>
    <row r="220" spans="1:23">
      <c r="A220" s="744"/>
      <c r="B220" s="745" t="s">
        <v>962</v>
      </c>
      <c r="C220" s="744"/>
      <c r="D220" s="744"/>
      <c r="E220" s="744"/>
      <c r="F220" s="744"/>
      <c r="G220" s="744"/>
      <c r="H220" s="744"/>
    </row>
    <row r="221" spans="1:23">
      <c r="B221" s="399" t="s">
        <v>904</v>
      </c>
      <c r="C221" s="399" t="s">
        <v>62</v>
      </c>
      <c r="D221" s="399" t="s">
        <v>902</v>
      </c>
      <c r="E221" s="399" t="s">
        <v>898</v>
      </c>
      <c r="F221" s="399" t="s">
        <v>916</v>
      </c>
      <c r="G221" s="399" t="s">
        <v>963</v>
      </c>
      <c r="H221" s="399" t="s">
        <v>964</v>
      </c>
      <c r="I221" s="399" t="s">
        <v>965</v>
      </c>
      <c r="J221" s="399" t="s">
        <v>966</v>
      </c>
      <c r="K221" s="399" t="s">
        <v>967</v>
      </c>
      <c r="L221" s="399" t="s">
        <v>968</v>
      </c>
      <c r="M221" s="399" t="s">
        <v>956</v>
      </c>
      <c r="N221" s="399" t="s">
        <v>969</v>
      </c>
      <c r="O221" s="399" t="s">
        <v>970</v>
      </c>
      <c r="P221" s="399" t="s">
        <v>927</v>
      </c>
      <c r="Q221" s="399" t="s">
        <v>913</v>
      </c>
      <c r="R221" s="399" t="s">
        <v>914</v>
      </c>
      <c r="S221" s="399" t="s">
        <v>915</v>
      </c>
      <c r="T221" s="399" t="s">
        <v>916</v>
      </c>
      <c r="U221" s="399" t="s">
        <v>917</v>
      </c>
      <c r="V221" s="399" t="s">
        <v>918</v>
      </c>
      <c r="W221" s="399" t="s">
        <v>919</v>
      </c>
    </row>
    <row r="222" spans="1:23">
      <c r="B222" s="372" t="s">
        <v>2139</v>
      </c>
      <c r="C222" s="340" t="s">
        <v>411</v>
      </c>
      <c r="D222" s="276" t="s">
        <v>580</v>
      </c>
      <c r="E222" s="276" t="s">
        <v>451</v>
      </c>
      <c r="F222" s="373">
        <f>$E$158</f>
        <v>2024</v>
      </c>
      <c r="G222" s="276">
        <v>2023</v>
      </c>
      <c r="H222" s="276">
        <f>'COMPANY INPUT'!$C$16</f>
        <v>2023</v>
      </c>
      <c r="I222" s="276">
        <f>VLOOKUP(G222,'GDP Deflators'!$H$13:$I$86,2,FALSE)</f>
        <v>100</v>
      </c>
      <c r="J222" s="276">
        <f>VLOOKUP(H222,'GDP Deflators'!$H$13:$I$86,2,FALSE)</f>
        <v>100</v>
      </c>
      <c r="K222" s="343">
        <f>-C205</f>
        <v>-1769.42</v>
      </c>
      <c r="L222" s="747">
        <f>K222*(J222/I222)</f>
        <v>-1769.42</v>
      </c>
      <c r="M222" s="343" t="str">
        <f>$J$209</f>
        <v>Market value</v>
      </c>
      <c r="N222" s="326">
        <f>$I$209</f>
        <v>2.1428571428571401</v>
      </c>
      <c r="O222" s="276" t="s">
        <v>718</v>
      </c>
      <c r="P222" s="343" t="str">
        <f>$K$209</f>
        <v>Only suitable source identified</v>
      </c>
      <c r="Q222" s="373">
        <f>$B$158</f>
        <v>31</v>
      </c>
      <c r="R222" s="373" t="str">
        <f>$C$158</f>
        <v>Marine Management Organisation (2024) UK sea fisheries annual statistics report 2023.</v>
      </c>
      <c r="S222" s="373" t="str">
        <f>$D$158</f>
        <v>ENCA</v>
      </c>
      <c r="T222" s="373">
        <f>$E$158</f>
        <v>2024</v>
      </c>
      <c r="U222" s="373" t="str">
        <f>$F$158</f>
        <v>UK</v>
      </c>
      <c r="V222" s="373" t="str">
        <f>$G$158</f>
        <v>UK</v>
      </c>
      <c r="W222" s="373" t="str">
        <f>$H$158</f>
        <v>/</v>
      </c>
    </row>
    <row r="223" spans="1:23">
      <c r="B223" s="372" t="s">
        <v>2140</v>
      </c>
      <c r="C223" s="340" t="s">
        <v>411</v>
      </c>
      <c r="D223" s="373" t="s">
        <v>581</v>
      </c>
      <c r="E223" s="276" t="s">
        <v>451</v>
      </c>
      <c r="F223" s="373">
        <f>$E$158</f>
        <v>2024</v>
      </c>
      <c r="G223" s="276">
        <v>2023</v>
      </c>
      <c r="H223" s="276">
        <f>'COMPANY INPUT'!$C$16</f>
        <v>2023</v>
      </c>
      <c r="I223" s="276">
        <f>VLOOKUP(G223,'GDP Deflators'!$H$13:$I$86,2,FALSE)</f>
        <v>100</v>
      </c>
      <c r="J223" s="276">
        <f>VLOOKUP(H223,'GDP Deflators'!$H$13:$I$86,2,FALSE)</f>
        <v>100</v>
      </c>
      <c r="K223" s="343">
        <f>-C200</f>
        <v>-42466.080000000002</v>
      </c>
      <c r="L223" s="747">
        <f>K223*(J223/I223)</f>
        <v>-42466.080000000002</v>
      </c>
      <c r="M223" s="343" t="str">
        <f>$J$209</f>
        <v>Market value</v>
      </c>
      <c r="N223" s="326">
        <f>$I$209</f>
        <v>2.1428571428571401</v>
      </c>
      <c r="O223" s="276" t="s">
        <v>718</v>
      </c>
      <c r="P223" s="343" t="str">
        <f>$K$209</f>
        <v>Only suitable source identified</v>
      </c>
      <c r="Q223" s="373">
        <f>$B$158</f>
        <v>31</v>
      </c>
      <c r="R223" s="373" t="str">
        <f>$C$158</f>
        <v>Marine Management Organisation (2024) UK sea fisheries annual statistics report 2023.</v>
      </c>
      <c r="S223" s="373" t="str">
        <f>$D$158</f>
        <v>ENCA</v>
      </c>
      <c r="T223" s="373">
        <f>$E$158</f>
        <v>2024</v>
      </c>
      <c r="U223" s="373" t="str">
        <f>$F$158</f>
        <v>UK</v>
      </c>
      <c r="V223" s="373" t="str">
        <f>$G$158</f>
        <v>UK</v>
      </c>
      <c r="W223" s="373" t="str">
        <f>$H$158</f>
        <v>/</v>
      </c>
    </row>
    <row r="224" spans="1:23">
      <c r="B224" s="372" t="s">
        <v>2141</v>
      </c>
      <c r="C224" s="340" t="s">
        <v>411</v>
      </c>
      <c r="D224" s="373" t="s">
        <v>582</v>
      </c>
      <c r="E224" s="276" t="s">
        <v>451</v>
      </c>
      <c r="F224" s="373">
        <f>$E$158</f>
        <v>2024</v>
      </c>
      <c r="G224" s="276">
        <v>2023</v>
      </c>
      <c r="H224" s="276">
        <f>'COMPANY INPUT'!$C$16</f>
        <v>2023</v>
      </c>
      <c r="I224" s="276">
        <f>VLOOKUP(G224,'GDP Deflators'!$H$13:$I$86,2,FALSE)</f>
        <v>100</v>
      </c>
      <c r="J224" s="276">
        <f>VLOOKUP(H224,'GDP Deflators'!$H$13:$I$86,2,FALSE)</f>
        <v>100</v>
      </c>
      <c r="K224" s="343">
        <f>-C199</f>
        <v>-38927.24</v>
      </c>
      <c r="L224" s="747">
        <f>K224*(J224/I224)</f>
        <v>-38927.24</v>
      </c>
      <c r="M224" s="343" t="str">
        <f>$J$209</f>
        <v>Market value</v>
      </c>
      <c r="N224" s="326">
        <f>$I$209</f>
        <v>2.1428571428571401</v>
      </c>
      <c r="O224" s="276" t="s">
        <v>718</v>
      </c>
      <c r="P224" s="343" t="str">
        <f>$K$209</f>
        <v>Only suitable source identified</v>
      </c>
      <c r="Q224" s="373">
        <f>$B$158</f>
        <v>31</v>
      </c>
      <c r="R224" s="373" t="str">
        <f>$C$158</f>
        <v>Marine Management Organisation (2024) UK sea fisheries annual statistics report 2023.</v>
      </c>
      <c r="S224" s="373" t="str">
        <f>$D$158</f>
        <v>ENCA</v>
      </c>
      <c r="T224" s="373">
        <f>$E$158</f>
        <v>2024</v>
      </c>
      <c r="U224" s="373" t="str">
        <f>$F$158</f>
        <v>UK</v>
      </c>
      <c r="V224" s="373" t="str">
        <f>$G$158</f>
        <v>UK</v>
      </c>
      <c r="W224" s="373" t="str">
        <f>$H$158</f>
        <v>/</v>
      </c>
    </row>
    <row r="225" spans="1:23">
      <c r="B225" s="372" t="s">
        <v>2142</v>
      </c>
      <c r="C225" s="340" t="s">
        <v>411</v>
      </c>
      <c r="D225" s="373" t="s">
        <v>583</v>
      </c>
      <c r="E225" s="276" t="s">
        <v>451</v>
      </c>
      <c r="F225" s="373">
        <f>$E$158</f>
        <v>2024</v>
      </c>
      <c r="G225" s="276">
        <v>2023</v>
      </c>
      <c r="H225" s="276">
        <f>'COMPANY INPUT'!$C$16</f>
        <v>2023</v>
      </c>
      <c r="I225" s="276">
        <f>VLOOKUP(G225,'GDP Deflators'!$H$13:$I$86,2,FALSE)</f>
        <v>100</v>
      </c>
      <c r="J225" s="276">
        <f>VLOOKUP(H225,'GDP Deflators'!$H$13:$I$86,2,FALSE)</f>
        <v>100</v>
      </c>
      <c r="K225" s="343">
        <f>-C198</f>
        <v>-35388.400000000001</v>
      </c>
      <c r="L225" s="747">
        <f>K225*(J225/I225)</f>
        <v>-35388.400000000001</v>
      </c>
      <c r="M225" s="343" t="str">
        <f>$J$209</f>
        <v>Market value</v>
      </c>
      <c r="N225" s="326">
        <f>$I$209</f>
        <v>2.1428571428571401</v>
      </c>
      <c r="O225" s="276" t="s">
        <v>718</v>
      </c>
      <c r="P225" s="343" t="str">
        <f>$K$209</f>
        <v>Only suitable source identified</v>
      </c>
      <c r="Q225" s="373">
        <f>$B$158</f>
        <v>31</v>
      </c>
      <c r="R225" s="373" t="str">
        <f>$C$158</f>
        <v>Marine Management Organisation (2024) UK sea fisheries annual statistics report 2023.</v>
      </c>
      <c r="S225" s="373" t="str">
        <f>$D$158</f>
        <v>ENCA</v>
      </c>
      <c r="T225" s="373">
        <f>$E$158</f>
        <v>2024</v>
      </c>
      <c r="U225" s="373" t="str">
        <f>$F$158</f>
        <v>UK</v>
      </c>
      <c r="V225" s="373" t="str">
        <f>$G$158</f>
        <v>UK</v>
      </c>
      <c r="W225" s="373" t="str">
        <f>$H$158</f>
        <v>/</v>
      </c>
    </row>
    <row r="226" spans="1:23">
      <c r="B226" s="372" t="s">
        <v>2143</v>
      </c>
      <c r="C226" s="340" t="s">
        <v>411</v>
      </c>
      <c r="D226" s="373" t="s">
        <v>584</v>
      </c>
      <c r="E226" s="276" t="s">
        <v>451</v>
      </c>
      <c r="F226" s="373">
        <f>$E$158</f>
        <v>2024</v>
      </c>
      <c r="G226" s="276">
        <v>2023</v>
      </c>
      <c r="H226" s="276">
        <f>'COMPANY INPUT'!$C$16</f>
        <v>2023</v>
      </c>
      <c r="I226" s="276">
        <f>VLOOKUP(G226,'GDP Deflators'!$H$13:$I$86,2,FALSE)</f>
        <v>100</v>
      </c>
      <c r="J226" s="276">
        <f>VLOOKUP(H226,'GDP Deflators'!$H$13:$I$86,2,FALSE)</f>
        <v>100</v>
      </c>
      <c r="K226" s="343">
        <f>-C197</f>
        <v>0</v>
      </c>
      <c r="L226" s="747">
        <f>K226*(J226/I226)</f>
        <v>0</v>
      </c>
      <c r="M226" s="343" t="str">
        <f>$J$209</f>
        <v>Market value</v>
      </c>
      <c r="N226" s="326">
        <f>$I$209</f>
        <v>2.1428571428571401</v>
      </c>
      <c r="O226" s="276" t="s">
        <v>718</v>
      </c>
      <c r="P226" s="343" t="str">
        <f>$K$209</f>
        <v>Only suitable source identified</v>
      </c>
      <c r="Q226" s="373">
        <f>$B$158</f>
        <v>31</v>
      </c>
      <c r="R226" s="373" t="str">
        <f>$C$158</f>
        <v>Marine Management Organisation (2024) UK sea fisheries annual statistics report 2023.</v>
      </c>
      <c r="S226" s="373" t="str">
        <f>$D$158</f>
        <v>ENCA</v>
      </c>
      <c r="T226" s="373">
        <f>$E$158</f>
        <v>2024</v>
      </c>
      <c r="U226" s="373" t="str">
        <f>$F$158</f>
        <v>UK</v>
      </c>
      <c r="V226" s="373" t="str">
        <f>$G$158</f>
        <v>UK</v>
      </c>
      <c r="W226" s="373" t="str">
        <f>$H$158</f>
        <v>/</v>
      </c>
    </row>
    <row r="228" spans="1:23">
      <c r="A228" s="744"/>
      <c r="B228" s="745" t="s">
        <v>2144</v>
      </c>
      <c r="C228" s="744"/>
      <c r="D228" s="744"/>
      <c r="E228" s="744"/>
      <c r="F228" s="744"/>
      <c r="G228" s="744"/>
      <c r="H228" s="744"/>
    </row>
    <row r="229" spans="1:23">
      <c r="B229" s="276" t="s">
        <v>2145</v>
      </c>
      <c r="C229" s="276" t="s">
        <v>2146</v>
      </c>
      <c r="D229" s="276" t="s">
        <v>2147</v>
      </c>
      <c r="E229" s="276" t="s">
        <v>2148</v>
      </c>
      <c r="F229" s="276" t="s">
        <v>2149</v>
      </c>
      <c r="G229" s="276" t="s">
        <v>2150</v>
      </c>
      <c r="H229" s="276" t="s">
        <v>2151</v>
      </c>
      <c r="I229" s="276" t="s">
        <v>2092</v>
      </c>
      <c r="K229" s="276" t="s">
        <v>2148</v>
      </c>
      <c r="L229" s="276" t="s">
        <v>2092</v>
      </c>
    </row>
    <row r="230" spans="1:23">
      <c r="B230" s="276" t="s">
        <v>2152</v>
      </c>
      <c r="C230" s="276" t="s">
        <v>2153</v>
      </c>
      <c r="D230" s="276" t="s">
        <v>2154</v>
      </c>
      <c r="E230" s="276">
        <v>1</v>
      </c>
      <c r="F230" s="276">
        <v>4.1156937510815004</v>
      </c>
      <c r="G230" s="276" t="s">
        <v>2155</v>
      </c>
      <c r="H230" s="276"/>
      <c r="I230" s="276" t="str">
        <f>_xlfn.XLOOKUP(E230, $K$230:$K$236, $L$230:$L$236)</f>
        <v>A</v>
      </c>
      <c r="K230" s="276">
        <v>1</v>
      </c>
      <c r="L230" s="276" t="s">
        <v>2156</v>
      </c>
    </row>
    <row r="231" spans="1:23">
      <c r="B231" s="276" t="s">
        <v>2152</v>
      </c>
      <c r="C231" s="276" t="s">
        <v>2153</v>
      </c>
      <c r="D231" s="276" t="s">
        <v>2157</v>
      </c>
      <c r="E231" s="276">
        <v>1</v>
      </c>
      <c r="F231" s="276">
        <v>2.2134603691635002</v>
      </c>
      <c r="G231" s="276" t="s">
        <v>2155</v>
      </c>
      <c r="H231" s="276"/>
      <c r="I231" s="276" t="str">
        <f t="shared" ref="I231:I294" si="2">_xlfn.XLOOKUP(E231, $K$230:$K$236, $L$230:$L$236)</f>
        <v>A</v>
      </c>
      <c r="K231" s="276">
        <v>2</v>
      </c>
      <c r="L231" s="276" t="s">
        <v>2158</v>
      </c>
    </row>
    <row r="232" spans="1:23">
      <c r="B232" s="276" t="s">
        <v>2159</v>
      </c>
      <c r="C232" s="276" t="s">
        <v>2160</v>
      </c>
      <c r="D232" s="276" t="s">
        <v>2161</v>
      </c>
      <c r="E232" s="276">
        <v>1</v>
      </c>
      <c r="F232" s="276">
        <v>0.27555029304503997</v>
      </c>
      <c r="G232" s="276" t="s">
        <v>2155</v>
      </c>
      <c r="H232" s="276"/>
      <c r="I232" s="276" t="str">
        <f t="shared" si="2"/>
        <v>A</v>
      </c>
      <c r="K232" s="276">
        <v>3</v>
      </c>
      <c r="L232" s="276" t="s">
        <v>2162</v>
      </c>
    </row>
    <row r="233" spans="1:23">
      <c r="B233" s="276" t="s">
        <v>2163</v>
      </c>
      <c r="C233" s="276" t="s">
        <v>2164</v>
      </c>
      <c r="D233" s="276" t="s">
        <v>2165</v>
      </c>
      <c r="E233" s="276">
        <v>1</v>
      </c>
      <c r="F233" s="276">
        <v>2.3851474318771002</v>
      </c>
      <c r="G233" s="276" t="s">
        <v>2155</v>
      </c>
      <c r="H233" s="276"/>
      <c r="I233" s="276" t="str">
        <f t="shared" si="2"/>
        <v>A</v>
      </c>
      <c r="K233" s="276">
        <v>4</v>
      </c>
      <c r="L233" s="276" t="s">
        <v>2126</v>
      </c>
    </row>
    <row r="234" spans="1:23">
      <c r="B234" s="276" t="s">
        <v>2166</v>
      </c>
      <c r="C234" s="276" t="s">
        <v>2167</v>
      </c>
      <c r="D234" s="276" t="s">
        <v>2168</v>
      </c>
      <c r="E234" s="276">
        <v>1</v>
      </c>
      <c r="F234" s="276">
        <v>35.007890961731</v>
      </c>
      <c r="G234" s="276" t="s">
        <v>2155</v>
      </c>
      <c r="H234" s="276" t="s">
        <v>2169</v>
      </c>
      <c r="I234" s="276" t="str">
        <f t="shared" si="2"/>
        <v>A</v>
      </c>
      <c r="K234" s="276">
        <v>5</v>
      </c>
      <c r="L234" s="276" t="s">
        <v>2170</v>
      </c>
    </row>
    <row r="235" spans="1:23">
      <c r="B235" s="276" t="s">
        <v>2166</v>
      </c>
      <c r="C235" s="276" t="s">
        <v>2167</v>
      </c>
      <c r="D235" s="276" t="s">
        <v>2171</v>
      </c>
      <c r="E235" s="276">
        <v>1</v>
      </c>
      <c r="F235" s="276">
        <v>25.062066839905</v>
      </c>
      <c r="G235" s="276" t="s">
        <v>2155</v>
      </c>
      <c r="H235" s="276" t="s">
        <v>2172</v>
      </c>
      <c r="I235" s="276" t="str">
        <f t="shared" si="2"/>
        <v>A</v>
      </c>
      <c r="K235" s="276">
        <v>6</v>
      </c>
      <c r="L235" s="276" t="s">
        <v>2173</v>
      </c>
    </row>
    <row r="236" spans="1:23">
      <c r="B236" s="276" t="s">
        <v>2174</v>
      </c>
      <c r="C236" s="276" t="s">
        <v>2175</v>
      </c>
      <c r="D236" s="276" t="s">
        <v>2176</v>
      </c>
      <c r="E236" s="276">
        <v>1</v>
      </c>
      <c r="F236" s="276">
        <v>153.11963958319001</v>
      </c>
      <c r="G236" s="276" t="s">
        <v>2155</v>
      </c>
      <c r="H236" s="276"/>
      <c r="I236" s="276" t="str">
        <f t="shared" si="2"/>
        <v>A</v>
      </c>
      <c r="K236" s="276">
        <v>7</v>
      </c>
      <c r="L236" s="276" t="s">
        <v>2177</v>
      </c>
    </row>
    <row r="237" spans="1:23">
      <c r="B237" s="276" t="s">
        <v>2178</v>
      </c>
      <c r="C237" s="276" t="s">
        <v>2179</v>
      </c>
      <c r="D237" s="276" t="s">
        <v>2180</v>
      </c>
      <c r="E237" s="276">
        <v>1</v>
      </c>
      <c r="F237" s="276">
        <v>22.664837614174001</v>
      </c>
      <c r="G237" s="276" t="s">
        <v>2155</v>
      </c>
      <c r="H237" s="276" t="s">
        <v>2181</v>
      </c>
      <c r="I237" s="276" t="str">
        <f t="shared" si="2"/>
        <v>A</v>
      </c>
    </row>
    <row r="238" spans="1:23">
      <c r="B238" s="276" t="s">
        <v>2182</v>
      </c>
      <c r="C238" s="276" t="s">
        <v>2183</v>
      </c>
      <c r="D238" s="276" t="s">
        <v>2184</v>
      </c>
      <c r="E238" s="276">
        <v>1</v>
      </c>
      <c r="F238" s="276">
        <v>5.0252699999999997E-2</v>
      </c>
      <c r="G238" s="276" t="s">
        <v>2155</v>
      </c>
      <c r="H238" s="276"/>
      <c r="I238" s="276" t="str">
        <f t="shared" si="2"/>
        <v>A</v>
      </c>
    </row>
    <row r="239" spans="1:23">
      <c r="B239" s="276" t="s">
        <v>2178</v>
      </c>
      <c r="C239" s="276" t="s">
        <v>2179</v>
      </c>
      <c r="D239" s="276" t="s">
        <v>2185</v>
      </c>
      <c r="E239" s="276">
        <v>1</v>
      </c>
      <c r="F239" s="276">
        <v>9.1931100000000008</v>
      </c>
      <c r="G239" s="276" t="s">
        <v>2186</v>
      </c>
      <c r="H239" s="276"/>
      <c r="I239" s="276" t="str">
        <f t="shared" si="2"/>
        <v>A</v>
      </c>
    </row>
    <row r="240" spans="1:23">
      <c r="B240" s="276" t="s">
        <v>2187</v>
      </c>
      <c r="C240" s="276" t="s">
        <v>2188</v>
      </c>
      <c r="D240" s="276" t="s">
        <v>2189</v>
      </c>
      <c r="E240" s="276">
        <v>1</v>
      </c>
      <c r="F240" s="276">
        <v>0.33908199999999999</v>
      </c>
      <c r="G240" s="276" t="s">
        <v>2190</v>
      </c>
      <c r="H240" s="276"/>
      <c r="I240" s="276" t="str">
        <f t="shared" si="2"/>
        <v>A</v>
      </c>
    </row>
    <row r="241" spans="2:9">
      <c r="B241" s="276" t="s">
        <v>2178</v>
      </c>
      <c r="C241" s="276" t="s">
        <v>2179</v>
      </c>
      <c r="D241" s="276" t="s">
        <v>2185</v>
      </c>
      <c r="E241" s="276">
        <v>1</v>
      </c>
      <c r="F241" s="276">
        <v>48.865099999999998</v>
      </c>
      <c r="G241" s="276" t="s">
        <v>2190</v>
      </c>
      <c r="H241" s="276"/>
      <c r="I241" s="276" t="str">
        <f t="shared" si="2"/>
        <v>A</v>
      </c>
    </row>
    <row r="242" spans="2:9">
      <c r="B242" s="276" t="s">
        <v>2191</v>
      </c>
      <c r="C242" s="276" t="s">
        <v>2192</v>
      </c>
      <c r="D242" s="276" t="s">
        <v>2193</v>
      </c>
      <c r="E242" s="276">
        <v>1</v>
      </c>
      <c r="F242" s="276">
        <v>1.5038899999999999</v>
      </c>
      <c r="G242" s="276" t="s">
        <v>2194</v>
      </c>
      <c r="H242" s="276" t="s">
        <v>2195</v>
      </c>
      <c r="I242" s="276" t="str">
        <f t="shared" si="2"/>
        <v>A</v>
      </c>
    </row>
    <row r="243" spans="2:9">
      <c r="B243" s="276" t="s">
        <v>2178</v>
      </c>
      <c r="C243" s="276" t="s">
        <v>2179</v>
      </c>
      <c r="D243" s="276" t="s">
        <v>2196</v>
      </c>
      <c r="E243" s="276">
        <v>1</v>
      </c>
      <c r="F243" s="276">
        <v>10.6433</v>
      </c>
      <c r="G243" s="276" t="s">
        <v>2197</v>
      </c>
      <c r="H243" s="276"/>
      <c r="I243" s="276" t="str">
        <f t="shared" si="2"/>
        <v>A</v>
      </c>
    </row>
    <row r="244" spans="2:9">
      <c r="B244" s="276" t="s">
        <v>2178</v>
      </c>
      <c r="C244" s="276" t="s">
        <v>2179</v>
      </c>
      <c r="D244" s="276" t="s">
        <v>2198</v>
      </c>
      <c r="E244" s="276">
        <v>1</v>
      </c>
      <c r="F244" s="276">
        <v>37.784799999999997</v>
      </c>
      <c r="G244" s="276" t="s">
        <v>2197</v>
      </c>
      <c r="H244" s="276"/>
      <c r="I244" s="276" t="str">
        <f t="shared" si="2"/>
        <v>A</v>
      </c>
    </row>
    <row r="245" spans="2:9">
      <c r="B245" s="276" t="s">
        <v>2178</v>
      </c>
      <c r="C245" s="276" t="s">
        <v>2179</v>
      </c>
      <c r="D245" s="276" t="s">
        <v>2199</v>
      </c>
      <c r="E245" s="276">
        <v>1</v>
      </c>
      <c r="F245" s="276">
        <v>48.557899999999997</v>
      </c>
      <c r="G245" s="276" t="s">
        <v>2197</v>
      </c>
      <c r="H245" s="276"/>
      <c r="I245" s="276" t="str">
        <f t="shared" si="2"/>
        <v>A</v>
      </c>
    </row>
    <row r="246" spans="2:9">
      <c r="B246" s="276" t="s">
        <v>2200</v>
      </c>
      <c r="C246" s="276" t="s">
        <v>2201</v>
      </c>
      <c r="D246" s="276" t="s">
        <v>2202</v>
      </c>
      <c r="E246" s="276">
        <v>1</v>
      </c>
      <c r="F246" s="276">
        <v>27.142700000000001</v>
      </c>
      <c r="G246" s="276" t="s">
        <v>2197</v>
      </c>
      <c r="H246" s="276"/>
      <c r="I246" s="276" t="str">
        <f t="shared" si="2"/>
        <v>A</v>
      </c>
    </row>
    <row r="247" spans="2:9">
      <c r="B247" s="276" t="s">
        <v>2187</v>
      </c>
      <c r="C247" s="276" t="s">
        <v>2188</v>
      </c>
      <c r="D247" s="276" t="s">
        <v>2203</v>
      </c>
      <c r="E247" s="276">
        <v>1</v>
      </c>
      <c r="F247" s="276">
        <v>2.2386300000000001E-2</v>
      </c>
      <c r="G247" s="276" t="s">
        <v>2204</v>
      </c>
      <c r="H247" s="276"/>
      <c r="I247" s="276" t="str">
        <f t="shared" si="2"/>
        <v>A</v>
      </c>
    </row>
    <row r="248" spans="2:9">
      <c r="B248" s="276" t="s">
        <v>2187</v>
      </c>
      <c r="C248" s="276" t="s">
        <v>2188</v>
      </c>
      <c r="D248" s="276" t="s">
        <v>2189</v>
      </c>
      <c r="E248" s="276">
        <v>1</v>
      </c>
      <c r="F248" s="276">
        <v>0.33908199999999999</v>
      </c>
      <c r="G248" s="276" t="s">
        <v>2204</v>
      </c>
      <c r="H248" s="276"/>
      <c r="I248" s="276" t="str">
        <f t="shared" si="2"/>
        <v>A</v>
      </c>
    </row>
    <row r="249" spans="2:9">
      <c r="B249" s="276" t="s">
        <v>2205</v>
      </c>
      <c r="C249" s="276" t="s">
        <v>2206</v>
      </c>
      <c r="D249" s="276" t="s">
        <v>2207</v>
      </c>
      <c r="E249" s="276">
        <v>1</v>
      </c>
      <c r="F249" s="276">
        <v>6.0113300000000001E-2</v>
      </c>
      <c r="G249" s="276" t="s">
        <v>2204</v>
      </c>
      <c r="H249" s="276"/>
      <c r="I249" s="276" t="str">
        <f t="shared" si="2"/>
        <v>A</v>
      </c>
    </row>
    <row r="250" spans="2:9">
      <c r="B250" s="276" t="s">
        <v>2208</v>
      </c>
      <c r="C250" s="276" t="s">
        <v>2209</v>
      </c>
      <c r="D250" s="276" t="s">
        <v>2210</v>
      </c>
      <c r="E250" s="276">
        <v>1</v>
      </c>
      <c r="F250" s="276">
        <v>6.0492900000000001</v>
      </c>
      <c r="G250" s="276" t="s">
        <v>2204</v>
      </c>
      <c r="H250" s="276" t="s">
        <v>2211</v>
      </c>
      <c r="I250" s="276" t="str">
        <f t="shared" si="2"/>
        <v>A</v>
      </c>
    </row>
    <row r="251" spans="2:9">
      <c r="B251" s="276" t="s">
        <v>2187</v>
      </c>
      <c r="C251" s="276" t="s">
        <v>2212</v>
      </c>
      <c r="D251" s="276" t="s">
        <v>2213</v>
      </c>
      <c r="E251" s="276">
        <v>1</v>
      </c>
      <c r="F251" s="276">
        <v>1.09755</v>
      </c>
      <c r="G251" s="276" t="s">
        <v>2204</v>
      </c>
      <c r="H251" s="276"/>
      <c r="I251" s="276" t="str">
        <f t="shared" si="2"/>
        <v>A</v>
      </c>
    </row>
    <row r="252" spans="2:9">
      <c r="B252" s="276" t="s">
        <v>2214</v>
      </c>
      <c r="C252" s="276" t="s">
        <v>2215</v>
      </c>
      <c r="D252" s="276" t="s">
        <v>2216</v>
      </c>
      <c r="E252" s="276">
        <v>1</v>
      </c>
      <c r="F252" s="276">
        <v>2.9226299999999998E-3</v>
      </c>
      <c r="G252" s="276" t="s">
        <v>2204</v>
      </c>
      <c r="H252" s="276"/>
      <c r="I252" s="276" t="str">
        <f t="shared" si="2"/>
        <v>A</v>
      </c>
    </row>
    <row r="253" spans="2:9">
      <c r="B253" s="276" t="s">
        <v>2217</v>
      </c>
      <c r="C253" s="276" t="s">
        <v>2218</v>
      </c>
      <c r="D253" s="276" t="s">
        <v>2219</v>
      </c>
      <c r="E253" s="276">
        <v>1</v>
      </c>
      <c r="F253" s="276">
        <v>0.18759999999999999</v>
      </c>
      <c r="G253" s="276" t="s">
        <v>2220</v>
      </c>
      <c r="H253" s="276"/>
      <c r="I253" s="276" t="str">
        <f t="shared" si="2"/>
        <v>A</v>
      </c>
    </row>
    <row r="254" spans="2:9">
      <c r="B254" s="276" t="s">
        <v>2200</v>
      </c>
      <c r="C254" s="276" t="s">
        <v>2201</v>
      </c>
      <c r="D254" s="276" t="s">
        <v>2202</v>
      </c>
      <c r="E254" s="276">
        <v>1</v>
      </c>
      <c r="F254" s="276">
        <v>27.142700000000001</v>
      </c>
      <c r="G254" s="276" t="s">
        <v>2204</v>
      </c>
      <c r="H254" s="276"/>
      <c r="I254" s="276" t="str">
        <f t="shared" si="2"/>
        <v>A</v>
      </c>
    </row>
    <row r="255" spans="2:9">
      <c r="B255" s="276" t="s">
        <v>2221</v>
      </c>
      <c r="C255" s="276" t="s">
        <v>2222</v>
      </c>
      <c r="D255" s="276" t="s">
        <v>2223</v>
      </c>
      <c r="E255" s="276">
        <v>1</v>
      </c>
      <c r="F255" s="276">
        <v>2.3979900000000001</v>
      </c>
      <c r="G255" s="276" t="s">
        <v>2224</v>
      </c>
      <c r="H255" s="276"/>
      <c r="I255" s="276" t="str">
        <f t="shared" si="2"/>
        <v>A</v>
      </c>
    </row>
    <row r="256" spans="2:9">
      <c r="B256" s="276" t="s">
        <v>2163</v>
      </c>
      <c r="C256" s="276" t="s">
        <v>2164</v>
      </c>
      <c r="D256" s="276" t="s">
        <v>2165</v>
      </c>
      <c r="E256" s="276">
        <v>1</v>
      </c>
      <c r="F256" s="276">
        <v>2.3851499999999999</v>
      </c>
      <c r="G256" s="276" t="s">
        <v>2224</v>
      </c>
      <c r="H256" s="276"/>
      <c r="I256" s="276" t="str">
        <f t="shared" si="2"/>
        <v>A</v>
      </c>
    </row>
    <row r="257" spans="2:9">
      <c r="B257" s="276" t="s">
        <v>2191</v>
      </c>
      <c r="C257" s="276" t="s">
        <v>2192</v>
      </c>
      <c r="D257" s="276" t="s">
        <v>2225</v>
      </c>
      <c r="E257" s="276">
        <v>1</v>
      </c>
      <c r="F257" s="276">
        <v>2.2472799999999999</v>
      </c>
      <c r="G257" s="276" t="s">
        <v>2224</v>
      </c>
      <c r="H257" s="276"/>
      <c r="I257" s="276" t="str">
        <f t="shared" si="2"/>
        <v>A</v>
      </c>
    </row>
    <row r="258" spans="2:9">
      <c r="B258" s="276" t="s">
        <v>2191</v>
      </c>
      <c r="C258" s="276" t="s">
        <v>2192</v>
      </c>
      <c r="D258" s="276" t="s">
        <v>2193</v>
      </c>
      <c r="E258" s="276">
        <v>1</v>
      </c>
      <c r="F258" s="276">
        <v>1.5038899999999999</v>
      </c>
      <c r="G258" s="276" t="s">
        <v>2224</v>
      </c>
      <c r="H258" s="276"/>
      <c r="I258" s="276" t="str">
        <f t="shared" si="2"/>
        <v>A</v>
      </c>
    </row>
    <row r="259" spans="2:9">
      <c r="B259" s="276" t="s">
        <v>2159</v>
      </c>
      <c r="C259" s="276" t="s">
        <v>2160</v>
      </c>
      <c r="D259" s="276" t="s">
        <v>2226</v>
      </c>
      <c r="E259" s="276">
        <v>1</v>
      </c>
      <c r="F259" s="276">
        <v>0.38676300000000002</v>
      </c>
      <c r="G259" s="276" t="s">
        <v>2224</v>
      </c>
      <c r="H259" s="276"/>
      <c r="I259" s="276" t="str">
        <f t="shared" si="2"/>
        <v>A</v>
      </c>
    </row>
    <row r="260" spans="2:9">
      <c r="B260" s="276" t="s">
        <v>2166</v>
      </c>
      <c r="C260" s="276" t="s">
        <v>2167</v>
      </c>
      <c r="D260" s="276" t="s">
        <v>2227</v>
      </c>
      <c r="E260" s="276">
        <v>1</v>
      </c>
      <c r="F260" s="276">
        <v>11.0648</v>
      </c>
      <c r="G260" s="276" t="s">
        <v>2224</v>
      </c>
      <c r="H260" s="276"/>
      <c r="I260" s="276" t="str">
        <f t="shared" si="2"/>
        <v>A</v>
      </c>
    </row>
    <row r="261" spans="2:9">
      <c r="B261" s="276" t="s">
        <v>2166</v>
      </c>
      <c r="C261" s="276" t="s">
        <v>2167</v>
      </c>
      <c r="D261" s="276" t="s">
        <v>2171</v>
      </c>
      <c r="E261" s="276">
        <v>1</v>
      </c>
      <c r="F261" s="276">
        <v>25.062100000000001</v>
      </c>
      <c r="G261" s="276" t="s">
        <v>2224</v>
      </c>
      <c r="H261" s="276"/>
      <c r="I261" s="276" t="str">
        <f t="shared" si="2"/>
        <v>A</v>
      </c>
    </row>
    <row r="262" spans="2:9">
      <c r="B262" s="276" t="s">
        <v>2166</v>
      </c>
      <c r="C262" s="276" t="s">
        <v>2167</v>
      </c>
      <c r="D262" s="276" t="s">
        <v>2168</v>
      </c>
      <c r="E262" s="276">
        <v>1</v>
      </c>
      <c r="F262" s="276">
        <v>31.170300000000001</v>
      </c>
      <c r="G262" s="276" t="s">
        <v>2224</v>
      </c>
      <c r="H262" s="276"/>
      <c r="I262" s="276" t="str">
        <f t="shared" si="2"/>
        <v>A</v>
      </c>
    </row>
    <row r="263" spans="2:9">
      <c r="B263" s="276" t="s">
        <v>2228</v>
      </c>
      <c r="C263" s="276" t="s">
        <v>2229</v>
      </c>
      <c r="D263" s="276" t="s">
        <v>2230</v>
      </c>
      <c r="E263" s="276">
        <v>1</v>
      </c>
      <c r="F263" s="276">
        <v>0.36072900000000002</v>
      </c>
      <c r="G263" s="276" t="s">
        <v>2224</v>
      </c>
      <c r="H263" s="276"/>
      <c r="I263" s="276" t="str">
        <f t="shared" si="2"/>
        <v>A</v>
      </c>
    </row>
    <row r="264" spans="2:9">
      <c r="B264" s="276" t="s">
        <v>2228</v>
      </c>
      <c r="C264" s="276" t="s">
        <v>2229</v>
      </c>
      <c r="D264" s="276" t="s">
        <v>2231</v>
      </c>
      <c r="E264" s="276">
        <v>1</v>
      </c>
      <c r="F264" s="276">
        <v>7.9504099999999998E-3</v>
      </c>
      <c r="G264" s="276" t="s">
        <v>2224</v>
      </c>
      <c r="H264" s="276"/>
      <c r="I264" s="276" t="str">
        <f t="shared" si="2"/>
        <v>A</v>
      </c>
    </row>
    <row r="265" spans="2:9">
      <c r="B265" s="276" t="s">
        <v>2228</v>
      </c>
      <c r="C265" s="276" t="s">
        <v>2229</v>
      </c>
      <c r="D265" s="276" t="s">
        <v>2232</v>
      </c>
      <c r="E265" s="276">
        <v>1</v>
      </c>
      <c r="F265" s="276">
        <v>3.00031E-3</v>
      </c>
      <c r="G265" s="276" t="s">
        <v>2224</v>
      </c>
      <c r="H265" s="276"/>
      <c r="I265" s="276" t="str">
        <f t="shared" si="2"/>
        <v>A</v>
      </c>
    </row>
    <row r="266" spans="2:9">
      <c r="B266" s="276" t="s">
        <v>2159</v>
      </c>
      <c r="C266" s="276" t="s">
        <v>2160</v>
      </c>
      <c r="D266" s="276" t="s">
        <v>2233</v>
      </c>
      <c r="E266" s="276">
        <v>1</v>
      </c>
      <c r="F266" s="276">
        <v>7.4993800000000004</v>
      </c>
      <c r="G266" s="276" t="s">
        <v>2224</v>
      </c>
      <c r="H266" s="276"/>
      <c r="I266" s="276" t="str">
        <f t="shared" si="2"/>
        <v>A</v>
      </c>
    </row>
    <row r="267" spans="2:9">
      <c r="B267" s="276" t="s">
        <v>2182</v>
      </c>
      <c r="C267" s="276" t="s">
        <v>2183</v>
      </c>
      <c r="D267" s="276" t="s">
        <v>2184</v>
      </c>
      <c r="E267" s="276">
        <v>1</v>
      </c>
      <c r="F267" s="276">
        <v>5.0252699999999997E-2</v>
      </c>
      <c r="G267" s="276" t="s">
        <v>2224</v>
      </c>
      <c r="H267" s="276"/>
      <c r="I267" s="276" t="str">
        <f t="shared" si="2"/>
        <v>A</v>
      </c>
    </row>
    <row r="268" spans="2:9">
      <c r="B268" s="276" t="s">
        <v>2228</v>
      </c>
      <c r="C268" s="276" t="s">
        <v>2229</v>
      </c>
      <c r="D268" s="276" t="s">
        <v>2234</v>
      </c>
      <c r="E268" s="276">
        <v>1</v>
      </c>
      <c r="F268" s="276">
        <v>1.00084E-4</v>
      </c>
      <c r="G268" s="276" t="s">
        <v>2235</v>
      </c>
      <c r="H268" s="276"/>
      <c r="I268" s="276" t="str">
        <f t="shared" si="2"/>
        <v>A</v>
      </c>
    </row>
    <row r="269" spans="2:9">
      <c r="B269" s="276" t="s">
        <v>2221</v>
      </c>
      <c r="C269" s="276" t="s">
        <v>2222</v>
      </c>
      <c r="D269" s="276" t="s">
        <v>2223</v>
      </c>
      <c r="E269" s="276">
        <v>1</v>
      </c>
      <c r="F269" s="276">
        <v>2.3979900000000001</v>
      </c>
      <c r="G269" s="276" t="s">
        <v>2224</v>
      </c>
      <c r="H269" s="276"/>
      <c r="I269" s="276" t="str">
        <f t="shared" si="2"/>
        <v>A</v>
      </c>
    </row>
    <row r="270" spans="2:9">
      <c r="B270" s="276" t="s">
        <v>2163</v>
      </c>
      <c r="C270" s="276" t="s">
        <v>2164</v>
      </c>
      <c r="D270" s="276" t="s">
        <v>2165</v>
      </c>
      <c r="E270" s="276">
        <v>1</v>
      </c>
      <c r="F270" s="276">
        <v>2.3851499999999999</v>
      </c>
      <c r="G270" s="276" t="s">
        <v>2224</v>
      </c>
      <c r="H270" s="276"/>
      <c r="I270" s="276" t="str">
        <f t="shared" si="2"/>
        <v>A</v>
      </c>
    </row>
    <row r="271" spans="2:9">
      <c r="B271" s="276" t="s">
        <v>2191</v>
      </c>
      <c r="C271" s="276" t="s">
        <v>2192</v>
      </c>
      <c r="D271" s="276" t="s">
        <v>2225</v>
      </c>
      <c r="E271" s="276">
        <v>1</v>
      </c>
      <c r="F271" s="276">
        <v>2.2472799999999999</v>
      </c>
      <c r="G271" s="276" t="s">
        <v>2224</v>
      </c>
      <c r="H271" s="276"/>
      <c r="I271" s="276" t="str">
        <f t="shared" si="2"/>
        <v>A</v>
      </c>
    </row>
    <row r="272" spans="2:9">
      <c r="B272" s="276" t="s">
        <v>2191</v>
      </c>
      <c r="C272" s="276" t="s">
        <v>2192</v>
      </c>
      <c r="D272" s="276" t="s">
        <v>2193</v>
      </c>
      <c r="E272" s="276">
        <v>1</v>
      </c>
      <c r="F272" s="276">
        <v>1.5038899999999999</v>
      </c>
      <c r="G272" s="276" t="s">
        <v>2224</v>
      </c>
      <c r="H272" s="276"/>
      <c r="I272" s="276" t="str">
        <f t="shared" si="2"/>
        <v>A</v>
      </c>
    </row>
    <row r="273" spans="2:9">
      <c r="B273" s="276" t="s">
        <v>2159</v>
      </c>
      <c r="C273" s="276" t="s">
        <v>2160</v>
      </c>
      <c r="D273" s="276" t="s">
        <v>2226</v>
      </c>
      <c r="E273" s="276">
        <v>1</v>
      </c>
      <c r="F273" s="276">
        <v>0.38676300000000002</v>
      </c>
      <c r="G273" s="276" t="s">
        <v>2224</v>
      </c>
      <c r="H273" s="276"/>
      <c r="I273" s="276" t="str">
        <f t="shared" si="2"/>
        <v>A</v>
      </c>
    </row>
    <row r="274" spans="2:9">
      <c r="B274" s="276" t="s">
        <v>2166</v>
      </c>
      <c r="C274" s="276" t="s">
        <v>2167</v>
      </c>
      <c r="D274" s="276" t="s">
        <v>2227</v>
      </c>
      <c r="E274" s="276">
        <v>1</v>
      </c>
      <c r="F274" s="276">
        <v>11.0648</v>
      </c>
      <c r="G274" s="276" t="s">
        <v>2224</v>
      </c>
      <c r="H274" s="276"/>
      <c r="I274" s="276" t="str">
        <f t="shared" si="2"/>
        <v>A</v>
      </c>
    </row>
    <row r="275" spans="2:9">
      <c r="B275" s="276" t="s">
        <v>2166</v>
      </c>
      <c r="C275" s="276" t="s">
        <v>2167</v>
      </c>
      <c r="D275" s="276" t="s">
        <v>2171</v>
      </c>
      <c r="E275" s="276">
        <v>1</v>
      </c>
      <c r="F275" s="276">
        <v>25.062100000000001</v>
      </c>
      <c r="G275" s="276" t="s">
        <v>2224</v>
      </c>
      <c r="H275" s="276"/>
      <c r="I275" s="276" t="str">
        <f t="shared" si="2"/>
        <v>A</v>
      </c>
    </row>
    <row r="276" spans="2:9">
      <c r="B276" s="276" t="s">
        <v>2166</v>
      </c>
      <c r="C276" s="276" t="s">
        <v>2167</v>
      </c>
      <c r="D276" s="276" t="s">
        <v>2168</v>
      </c>
      <c r="E276" s="276">
        <v>1</v>
      </c>
      <c r="F276" s="276">
        <v>31.170300000000001</v>
      </c>
      <c r="G276" s="276" t="s">
        <v>2224</v>
      </c>
      <c r="H276" s="276"/>
      <c r="I276" s="276" t="str">
        <f t="shared" si="2"/>
        <v>A</v>
      </c>
    </row>
    <row r="277" spans="2:9">
      <c r="B277" s="276" t="s">
        <v>2228</v>
      </c>
      <c r="C277" s="276" t="s">
        <v>2229</v>
      </c>
      <c r="D277" s="276" t="s">
        <v>2230</v>
      </c>
      <c r="E277" s="276">
        <v>1</v>
      </c>
      <c r="F277" s="276">
        <v>0.36072900000000002</v>
      </c>
      <c r="G277" s="276" t="s">
        <v>2224</v>
      </c>
      <c r="H277" s="276"/>
      <c r="I277" s="276" t="str">
        <f t="shared" si="2"/>
        <v>A</v>
      </c>
    </row>
    <row r="278" spans="2:9">
      <c r="B278" s="276" t="s">
        <v>2228</v>
      </c>
      <c r="C278" s="276" t="s">
        <v>2229</v>
      </c>
      <c r="D278" s="276" t="s">
        <v>2231</v>
      </c>
      <c r="E278" s="276">
        <v>1</v>
      </c>
      <c r="F278" s="276">
        <v>7.9504099999999998E-3</v>
      </c>
      <c r="G278" s="276" t="s">
        <v>2224</v>
      </c>
      <c r="H278" s="276"/>
      <c r="I278" s="276" t="str">
        <f t="shared" si="2"/>
        <v>A</v>
      </c>
    </row>
    <row r="279" spans="2:9">
      <c r="B279" s="276" t="s">
        <v>2228</v>
      </c>
      <c r="C279" s="276" t="s">
        <v>2229</v>
      </c>
      <c r="D279" s="276" t="s">
        <v>2232</v>
      </c>
      <c r="E279" s="276">
        <v>1</v>
      </c>
      <c r="F279" s="276">
        <v>3.00031E-3</v>
      </c>
      <c r="G279" s="276" t="s">
        <v>2224</v>
      </c>
      <c r="H279" s="276"/>
      <c r="I279" s="276" t="str">
        <f t="shared" si="2"/>
        <v>A</v>
      </c>
    </row>
    <row r="280" spans="2:9">
      <c r="B280" s="276" t="s">
        <v>2159</v>
      </c>
      <c r="C280" s="276" t="s">
        <v>2160</v>
      </c>
      <c r="D280" s="276" t="s">
        <v>2233</v>
      </c>
      <c r="E280" s="276">
        <v>1</v>
      </c>
      <c r="F280" s="276">
        <v>7.4993800000000004</v>
      </c>
      <c r="G280" s="276" t="s">
        <v>2224</v>
      </c>
      <c r="H280" s="276"/>
      <c r="I280" s="276" t="str">
        <f t="shared" si="2"/>
        <v>A</v>
      </c>
    </row>
    <row r="281" spans="2:9">
      <c r="B281" s="276" t="s">
        <v>2182</v>
      </c>
      <c r="C281" s="276" t="s">
        <v>2183</v>
      </c>
      <c r="D281" s="276" t="s">
        <v>2184</v>
      </c>
      <c r="E281" s="276">
        <v>1</v>
      </c>
      <c r="F281" s="276">
        <v>5.0252699999999997E-2</v>
      </c>
      <c r="G281" s="276" t="s">
        <v>2224</v>
      </c>
      <c r="H281" s="276"/>
      <c r="I281" s="276" t="str">
        <f t="shared" si="2"/>
        <v>A</v>
      </c>
    </row>
    <row r="282" spans="2:9">
      <c r="B282" s="276" t="s">
        <v>2228</v>
      </c>
      <c r="C282" s="276" t="s">
        <v>2229</v>
      </c>
      <c r="D282" s="276" t="s">
        <v>2234</v>
      </c>
      <c r="E282" s="276">
        <v>1</v>
      </c>
      <c r="F282" s="276">
        <v>1.00084E-4</v>
      </c>
      <c r="G282" s="276" t="s">
        <v>2235</v>
      </c>
      <c r="H282" s="276"/>
      <c r="I282" s="276" t="str">
        <f t="shared" si="2"/>
        <v>A</v>
      </c>
    </row>
    <row r="283" spans="2:9">
      <c r="B283" s="276" t="s">
        <v>2174</v>
      </c>
      <c r="C283" s="276" t="s">
        <v>2236</v>
      </c>
      <c r="D283" s="276" t="s">
        <v>2237</v>
      </c>
      <c r="E283" s="276">
        <v>1</v>
      </c>
      <c r="F283" s="276">
        <v>0</v>
      </c>
      <c r="G283" s="276" t="s">
        <v>2238</v>
      </c>
      <c r="H283" s="276"/>
      <c r="I283" s="276" t="str">
        <f t="shared" si="2"/>
        <v>A</v>
      </c>
    </row>
    <row r="284" spans="2:9">
      <c r="B284" s="276" t="s">
        <v>2239</v>
      </c>
      <c r="C284" s="276" t="s">
        <v>2240</v>
      </c>
      <c r="D284" s="276" t="s">
        <v>2241</v>
      </c>
      <c r="E284" s="276">
        <v>1</v>
      </c>
      <c r="F284" s="276">
        <v>0.140656</v>
      </c>
      <c r="G284" s="276" t="s">
        <v>2204</v>
      </c>
      <c r="H284" s="276"/>
      <c r="I284" s="276" t="str">
        <f t="shared" si="2"/>
        <v>A</v>
      </c>
    </row>
    <row r="285" spans="2:9">
      <c r="B285" s="276" t="s">
        <v>2205</v>
      </c>
      <c r="C285" s="276" t="s">
        <v>2242</v>
      </c>
      <c r="D285" s="276" t="s">
        <v>2243</v>
      </c>
      <c r="E285" s="276">
        <v>7</v>
      </c>
      <c r="F285" s="276">
        <v>0.13861195349121</v>
      </c>
      <c r="G285" s="276" t="s">
        <v>2155</v>
      </c>
      <c r="H285" s="276"/>
      <c r="I285" s="276" t="str">
        <f t="shared" si="2"/>
        <v>A B (seas)</v>
      </c>
    </row>
    <row r="286" spans="2:9">
      <c r="B286" s="276" t="s">
        <v>2166</v>
      </c>
      <c r="C286" s="276" t="s">
        <v>2167</v>
      </c>
      <c r="D286" s="276" t="s">
        <v>2244</v>
      </c>
      <c r="E286" s="276">
        <v>7</v>
      </c>
      <c r="F286" s="276">
        <v>14.319807911888001</v>
      </c>
      <c r="G286" s="276" t="s">
        <v>2155</v>
      </c>
      <c r="H286" s="276"/>
      <c r="I286" s="276" t="str">
        <f t="shared" si="2"/>
        <v>A B (seas)</v>
      </c>
    </row>
    <row r="287" spans="2:9">
      <c r="B287" s="276" t="s">
        <v>2205</v>
      </c>
      <c r="C287" s="276" t="s">
        <v>2242</v>
      </c>
      <c r="D287" s="276" t="s">
        <v>2245</v>
      </c>
      <c r="E287" s="276">
        <v>7</v>
      </c>
      <c r="F287" s="276">
        <v>2.9958960499458001</v>
      </c>
      <c r="G287" s="276" t="s">
        <v>2155</v>
      </c>
      <c r="H287" s="276" t="s">
        <v>2246</v>
      </c>
      <c r="I287" s="276" t="str">
        <f t="shared" si="2"/>
        <v>A B (seas)</v>
      </c>
    </row>
    <row r="288" spans="2:9">
      <c r="B288" s="276" t="s">
        <v>2152</v>
      </c>
      <c r="C288" s="276" t="s">
        <v>2153</v>
      </c>
      <c r="D288" s="276" t="s">
        <v>2247</v>
      </c>
      <c r="E288" s="276">
        <v>7</v>
      </c>
      <c r="F288" s="276">
        <v>5.7296451733055003</v>
      </c>
      <c r="G288" s="276" t="s">
        <v>2155</v>
      </c>
      <c r="H288" s="276" t="s">
        <v>2248</v>
      </c>
      <c r="I288" s="276" t="str">
        <f t="shared" si="2"/>
        <v>A B (seas)</v>
      </c>
    </row>
    <row r="289" spans="2:9">
      <c r="B289" s="276" t="s">
        <v>2249</v>
      </c>
      <c r="C289" s="276" t="s">
        <v>2250</v>
      </c>
      <c r="D289" s="276" t="s">
        <v>2251</v>
      </c>
      <c r="E289" s="276">
        <v>7</v>
      </c>
      <c r="F289" s="276">
        <v>2.0676199999999998</v>
      </c>
      <c r="G289" s="276" t="s">
        <v>2194</v>
      </c>
      <c r="H289" s="276" t="s">
        <v>2252</v>
      </c>
      <c r="I289" s="276" t="str">
        <f t="shared" si="2"/>
        <v>A B (seas)</v>
      </c>
    </row>
    <row r="290" spans="2:9">
      <c r="B290" s="276" t="s">
        <v>2166</v>
      </c>
      <c r="C290" s="276" t="s">
        <v>2167</v>
      </c>
      <c r="D290" s="276" t="s">
        <v>2244</v>
      </c>
      <c r="E290" s="276">
        <v>7</v>
      </c>
      <c r="F290" s="276">
        <v>14.319800000000001</v>
      </c>
      <c r="G290" s="276" t="s">
        <v>2194</v>
      </c>
      <c r="H290" s="276"/>
      <c r="I290" s="276" t="str">
        <f t="shared" si="2"/>
        <v>A B (seas)</v>
      </c>
    </row>
    <row r="291" spans="2:9">
      <c r="B291" s="276" t="s">
        <v>2152</v>
      </c>
      <c r="C291" s="276" t="s">
        <v>2153</v>
      </c>
      <c r="D291" s="276" t="s">
        <v>2253</v>
      </c>
      <c r="E291" s="276">
        <v>7</v>
      </c>
      <c r="F291" s="276">
        <v>2.0649899999999999</v>
      </c>
      <c r="G291" s="276" t="s">
        <v>2194</v>
      </c>
      <c r="H291" s="276" t="s">
        <v>2254</v>
      </c>
      <c r="I291" s="276" t="str">
        <f t="shared" si="2"/>
        <v>A B (seas)</v>
      </c>
    </row>
    <row r="292" spans="2:9">
      <c r="B292" s="276" t="s">
        <v>2152</v>
      </c>
      <c r="C292" s="276" t="s">
        <v>2153</v>
      </c>
      <c r="D292" s="276" t="s">
        <v>2154</v>
      </c>
      <c r="E292" s="276">
        <v>7</v>
      </c>
      <c r="F292" s="276">
        <v>4.1156899999999998</v>
      </c>
      <c r="G292" s="276" t="s">
        <v>2255</v>
      </c>
      <c r="H292" s="276" t="s">
        <v>2256</v>
      </c>
      <c r="I292" s="276" t="str">
        <f t="shared" si="2"/>
        <v>A B (seas)</v>
      </c>
    </row>
    <row r="293" spans="2:9">
      <c r="B293" s="276" t="s">
        <v>2152</v>
      </c>
      <c r="C293" s="276" t="s">
        <v>2153</v>
      </c>
      <c r="D293" s="276" t="s">
        <v>2157</v>
      </c>
      <c r="E293" s="276">
        <v>7</v>
      </c>
      <c r="F293" s="276">
        <v>2.21346</v>
      </c>
      <c r="G293" s="276" t="s">
        <v>2257</v>
      </c>
      <c r="H293" s="276" t="s">
        <v>2258</v>
      </c>
      <c r="I293" s="276" t="str">
        <f t="shared" si="2"/>
        <v>A B (seas)</v>
      </c>
    </row>
    <row r="294" spans="2:9">
      <c r="B294" s="276" t="s">
        <v>2152</v>
      </c>
      <c r="C294" s="276" t="s">
        <v>2153</v>
      </c>
      <c r="D294" s="276" t="s">
        <v>2154</v>
      </c>
      <c r="E294" s="276">
        <v>7</v>
      </c>
      <c r="F294" s="276">
        <v>4.1156899999999998</v>
      </c>
      <c r="G294" s="276" t="s">
        <v>2259</v>
      </c>
      <c r="H294" s="276" t="s">
        <v>2256</v>
      </c>
      <c r="I294" s="276" t="str">
        <f t="shared" si="2"/>
        <v>A B (seas)</v>
      </c>
    </row>
    <row r="295" spans="2:9">
      <c r="B295" s="276" t="s">
        <v>2152</v>
      </c>
      <c r="C295" s="276" t="s">
        <v>2153</v>
      </c>
      <c r="D295" s="276" t="s">
        <v>2253</v>
      </c>
      <c r="E295" s="276">
        <v>7</v>
      </c>
      <c r="F295" s="276">
        <v>2.0649899999999999</v>
      </c>
      <c r="G295" s="276" t="s">
        <v>2259</v>
      </c>
      <c r="H295" s="276" t="s">
        <v>2260</v>
      </c>
      <c r="I295" s="276" t="str">
        <f t="shared" ref="I295:I358" si="3">_xlfn.XLOOKUP(E295, $K$230:$K$236, $L$230:$L$236)</f>
        <v>A B (seas)</v>
      </c>
    </row>
    <row r="296" spans="2:9">
      <c r="B296" s="276" t="s">
        <v>2178</v>
      </c>
      <c r="C296" s="276" t="s">
        <v>2179</v>
      </c>
      <c r="D296" s="276" t="s">
        <v>2261</v>
      </c>
      <c r="E296" s="276">
        <v>7</v>
      </c>
      <c r="F296" s="276">
        <v>88.365200000000002</v>
      </c>
      <c r="G296" s="276" t="s">
        <v>2197</v>
      </c>
      <c r="H296" s="276"/>
      <c r="I296" s="276" t="str">
        <f t="shared" si="3"/>
        <v>A B (seas)</v>
      </c>
    </row>
    <row r="297" spans="2:9">
      <c r="B297" s="276" t="s">
        <v>2152</v>
      </c>
      <c r="C297" s="276" t="s">
        <v>2153</v>
      </c>
      <c r="D297" s="276" t="s">
        <v>2157</v>
      </c>
      <c r="E297" s="276">
        <v>7</v>
      </c>
      <c r="F297" s="276">
        <v>2.21346</v>
      </c>
      <c r="G297" s="276" t="s">
        <v>2259</v>
      </c>
      <c r="H297" s="276" t="s">
        <v>2260</v>
      </c>
      <c r="I297" s="276" t="str">
        <f t="shared" si="3"/>
        <v>A B (seas)</v>
      </c>
    </row>
    <row r="298" spans="2:9">
      <c r="B298" s="276" t="s">
        <v>2152</v>
      </c>
      <c r="C298" s="276" t="s">
        <v>2153</v>
      </c>
      <c r="D298" s="276" t="s">
        <v>2154</v>
      </c>
      <c r="E298" s="276">
        <v>7</v>
      </c>
      <c r="F298" s="276">
        <v>4.1148499999999997</v>
      </c>
      <c r="G298" s="276" t="s">
        <v>2197</v>
      </c>
      <c r="H298" s="276" t="s">
        <v>2256</v>
      </c>
      <c r="I298" s="276" t="str">
        <f t="shared" si="3"/>
        <v>A B (seas)</v>
      </c>
    </row>
    <row r="299" spans="2:9">
      <c r="B299" s="276" t="s">
        <v>2152</v>
      </c>
      <c r="C299" s="276" t="s">
        <v>2153</v>
      </c>
      <c r="D299" s="276" t="s">
        <v>2253</v>
      </c>
      <c r="E299" s="276">
        <v>7</v>
      </c>
      <c r="F299" s="276">
        <v>2.0649899999999999</v>
      </c>
      <c r="G299" s="276" t="s">
        <v>2197</v>
      </c>
      <c r="H299" s="276" t="s">
        <v>2260</v>
      </c>
      <c r="I299" s="276" t="str">
        <f t="shared" si="3"/>
        <v>A B (seas)</v>
      </c>
    </row>
    <row r="300" spans="2:9">
      <c r="B300" s="276" t="s">
        <v>2166</v>
      </c>
      <c r="C300" s="276" t="s">
        <v>2167</v>
      </c>
      <c r="D300" s="276" t="s">
        <v>2262</v>
      </c>
      <c r="E300" s="276">
        <v>7</v>
      </c>
      <c r="F300" s="276">
        <v>62.290900000000001</v>
      </c>
      <c r="G300" s="276" t="s">
        <v>2197</v>
      </c>
      <c r="H300" s="276" t="s">
        <v>2263</v>
      </c>
      <c r="I300" s="276" t="str">
        <f t="shared" si="3"/>
        <v>A B (seas)</v>
      </c>
    </row>
    <row r="301" spans="2:9">
      <c r="B301" s="276" t="s">
        <v>2166</v>
      </c>
      <c r="C301" s="276" t="s">
        <v>2167</v>
      </c>
      <c r="D301" s="276" t="s">
        <v>2264</v>
      </c>
      <c r="E301" s="276">
        <v>7</v>
      </c>
      <c r="F301" s="276">
        <v>37.903599999999997</v>
      </c>
      <c r="G301" s="276" t="s">
        <v>2197</v>
      </c>
      <c r="H301" s="276" t="s">
        <v>2263</v>
      </c>
      <c r="I301" s="276" t="str">
        <f t="shared" si="3"/>
        <v>A B (seas)</v>
      </c>
    </row>
    <row r="302" spans="2:9">
      <c r="B302" s="276" t="s">
        <v>2178</v>
      </c>
      <c r="C302" s="276" t="s">
        <v>2179</v>
      </c>
      <c r="D302" s="276" t="s">
        <v>2261</v>
      </c>
      <c r="E302" s="276">
        <v>7</v>
      </c>
      <c r="F302" s="276">
        <v>88.365200000000002</v>
      </c>
      <c r="G302" s="276" t="s">
        <v>2197</v>
      </c>
      <c r="H302" s="276"/>
      <c r="I302" s="276" t="str">
        <f t="shared" si="3"/>
        <v>A B (seas)</v>
      </c>
    </row>
    <row r="303" spans="2:9">
      <c r="B303" s="276" t="s">
        <v>2265</v>
      </c>
      <c r="C303" s="276" t="s">
        <v>2266</v>
      </c>
      <c r="D303" s="276" t="s">
        <v>2267</v>
      </c>
      <c r="E303" s="276">
        <v>7</v>
      </c>
      <c r="F303" s="276">
        <v>55.126199999999997</v>
      </c>
      <c r="G303" s="276" t="s">
        <v>2197</v>
      </c>
      <c r="H303" s="276"/>
      <c r="I303" s="276" t="str">
        <f t="shared" si="3"/>
        <v>A B (seas)</v>
      </c>
    </row>
    <row r="304" spans="2:9">
      <c r="B304" s="276" t="s">
        <v>2178</v>
      </c>
      <c r="C304" s="276" t="s">
        <v>2179</v>
      </c>
      <c r="D304" s="276" t="s">
        <v>2268</v>
      </c>
      <c r="E304" s="276">
        <v>7</v>
      </c>
      <c r="F304" s="276">
        <v>103.43899999999999</v>
      </c>
      <c r="G304" s="276" t="s">
        <v>2197</v>
      </c>
      <c r="H304" s="276"/>
      <c r="I304" s="276" t="str">
        <f t="shared" si="3"/>
        <v>A B (seas)</v>
      </c>
    </row>
    <row r="305" spans="2:9">
      <c r="B305" s="276" t="s">
        <v>2178</v>
      </c>
      <c r="C305" s="276" t="s">
        <v>2179</v>
      </c>
      <c r="D305" s="276" t="s">
        <v>2269</v>
      </c>
      <c r="E305" s="276">
        <v>7</v>
      </c>
      <c r="F305" s="276">
        <v>67.538200000000003</v>
      </c>
      <c r="G305" s="276" t="s">
        <v>2197</v>
      </c>
      <c r="H305" s="276"/>
      <c r="I305" s="276" t="str">
        <f t="shared" si="3"/>
        <v>A B (seas)</v>
      </c>
    </row>
    <row r="306" spans="2:9">
      <c r="B306" s="276" t="s">
        <v>2178</v>
      </c>
      <c r="C306" s="276" t="s">
        <v>2179</v>
      </c>
      <c r="D306" s="276" t="s">
        <v>2270</v>
      </c>
      <c r="E306" s="276">
        <v>7</v>
      </c>
      <c r="F306" s="276">
        <v>146.92099999999999</v>
      </c>
      <c r="G306" s="276" t="s">
        <v>2197</v>
      </c>
      <c r="H306" s="276"/>
      <c r="I306" s="276" t="str">
        <f t="shared" si="3"/>
        <v>A B (seas)</v>
      </c>
    </row>
    <row r="307" spans="2:9">
      <c r="B307" s="276" t="s">
        <v>2152</v>
      </c>
      <c r="C307" s="276" t="s">
        <v>2153</v>
      </c>
      <c r="D307" s="276" t="s">
        <v>2157</v>
      </c>
      <c r="E307" s="276">
        <v>7</v>
      </c>
      <c r="F307" s="276">
        <v>2.21346</v>
      </c>
      <c r="G307" s="276" t="s">
        <v>2271</v>
      </c>
      <c r="H307" s="276" t="s">
        <v>2258</v>
      </c>
      <c r="I307" s="276" t="str">
        <f t="shared" si="3"/>
        <v>A B (seas)</v>
      </c>
    </row>
    <row r="308" spans="2:9">
      <c r="B308" s="276" t="s">
        <v>2205</v>
      </c>
      <c r="C308" s="276" t="s">
        <v>2242</v>
      </c>
      <c r="D308" s="276" t="s">
        <v>2272</v>
      </c>
      <c r="E308" s="276">
        <v>7</v>
      </c>
      <c r="F308" s="276">
        <v>0.19905800000000001</v>
      </c>
      <c r="G308" s="276" t="s">
        <v>2204</v>
      </c>
      <c r="H308" s="276"/>
      <c r="I308" s="276" t="str">
        <f t="shared" si="3"/>
        <v>A B (seas)</v>
      </c>
    </row>
    <row r="309" spans="2:9">
      <c r="B309" s="276" t="s">
        <v>2208</v>
      </c>
      <c r="C309" s="276" t="s">
        <v>2209</v>
      </c>
      <c r="D309" s="276" t="s">
        <v>2273</v>
      </c>
      <c r="E309" s="276">
        <v>7</v>
      </c>
      <c r="F309" s="276">
        <v>6.0133200000000002</v>
      </c>
      <c r="G309" s="276" t="s">
        <v>2204</v>
      </c>
      <c r="H309" s="276" t="s">
        <v>2274</v>
      </c>
      <c r="I309" s="276" t="str">
        <f t="shared" si="3"/>
        <v>A B (seas)</v>
      </c>
    </row>
    <row r="310" spans="2:9">
      <c r="B310" s="276" t="s">
        <v>2265</v>
      </c>
      <c r="C310" s="276" t="s">
        <v>2275</v>
      </c>
      <c r="D310" s="276" t="s">
        <v>2276</v>
      </c>
      <c r="E310" s="276">
        <v>7</v>
      </c>
      <c r="F310" s="276">
        <v>24.840499999999999</v>
      </c>
      <c r="G310" s="276" t="s">
        <v>2204</v>
      </c>
      <c r="H310" s="276"/>
      <c r="I310" s="276" t="str">
        <f t="shared" si="3"/>
        <v>A B (seas)</v>
      </c>
    </row>
    <row r="311" spans="2:9">
      <c r="B311" s="276" t="s">
        <v>2217</v>
      </c>
      <c r="C311" s="276" t="s">
        <v>2218</v>
      </c>
      <c r="D311" s="276" t="s">
        <v>2277</v>
      </c>
      <c r="E311" s="276">
        <v>7</v>
      </c>
      <c r="F311" s="276">
        <v>0.162381</v>
      </c>
      <c r="G311" s="276" t="s">
        <v>2204</v>
      </c>
      <c r="H311" s="276" t="s">
        <v>2278</v>
      </c>
      <c r="I311" s="276" t="str">
        <f t="shared" si="3"/>
        <v>A B (seas)</v>
      </c>
    </row>
    <row r="312" spans="2:9">
      <c r="B312" s="276" t="s">
        <v>2152</v>
      </c>
      <c r="C312" s="276" t="s">
        <v>2153</v>
      </c>
      <c r="D312" s="276" t="s">
        <v>2154</v>
      </c>
      <c r="E312" s="276">
        <v>7</v>
      </c>
      <c r="F312" s="276">
        <v>4.1156899999999998</v>
      </c>
      <c r="G312" s="276" t="s">
        <v>2204</v>
      </c>
      <c r="H312" s="276" t="s">
        <v>2256</v>
      </c>
      <c r="I312" s="276" t="str">
        <f t="shared" si="3"/>
        <v>A B (seas)</v>
      </c>
    </row>
    <row r="313" spans="2:9">
      <c r="B313" s="276" t="s">
        <v>2152</v>
      </c>
      <c r="C313" s="276" t="s">
        <v>2153</v>
      </c>
      <c r="D313" s="276" t="s">
        <v>2157</v>
      </c>
      <c r="E313" s="276">
        <v>7</v>
      </c>
      <c r="F313" s="276">
        <v>2.21346</v>
      </c>
      <c r="G313" s="276" t="s">
        <v>2279</v>
      </c>
      <c r="H313" s="276" t="s">
        <v>2260</v>
      </c>
      <c r="I313" s="276" t="str">
        <f t="shared" si="3"/>
        <v>A B (seas)</v>
      </c>
    </row>
    <row r="314" spans="2:9">
      <c r="B314" s="276" t="s">
        <v>2152</v>
      </c>
      <c r="C314" s="276" t="s">
        <v>2153</v>
      </c>
      <c r="D314" s="276" t="s">
        <v>2154</v>
      </c>
      <c r="E314" s="276">
        <v>7</v>
      </c>
      <c r="F314" s="276">
        <v>4.1156899999999998</v>
      </c>
      <c r="G314" s="276" t="s">
        <v>2224</v>
      </c>
      <c r="H314" s="276" t="s">
        <v>2280</v>
      </c>
      <c r="I314" s="276" t="str">
        <f t="shared" si="3"/>
        <v>A B (seas)</v>
      </c>
    </row>
    <row r="315" spans="2:9">
      <c r="B315" s="276" t="s">
        <v>2191</v>
      </c>
      <c r="C315" s="276" t="s">
        <v>2192</v>
      </c>
      <c r="D315" s="276" t="s">
        <v>2281</v>
      </c>
      <c r="E315" s="276">
        <v>7</v>
      </c>
      <c r="F315" s="276">
        <v>0.43566700000000003</v>
      </c>
      <c r="G315" s="276" t="s">
        <v>2224</v>
      </c>
      <c r="H315" s="276" t="s">
        <v>2282</v>
      </c>
      <c r="I315" s="276" t="str">
        <f t="shared" si="3"/>
        <v>A B (seas)</v>
      </c>
    </row>
    <row r="316" spans="2:9">
      <c r="B316" s="276" t="s">
        <v>2166</v>
      </c>
      <c r="C316" s="276" t="s">
        <v>2167</v>
      </c>
      <c r="D316" s="276" t="s">
        <v>2244</v>
      </c>
      <c r="E316" s="276">
        <v>7</v>
      </c>
      <c r="F316" s="276">
        <v>14.319800000000001</v>
      </c>
      <c r="G316" s="276" t="s">
        <v>2224</v>
      </c>
      <c r="H316" s="276"/>
      <c r="I316" s="276" t="str">
        <f t="shared" si="3"/>
        <v>A B (seas)</v>
      </c>
    </row>
    <row r="317" spans="2:9">
      <c r="B317" s="276" t="s">
        <v>2174</v>
      </c>
      <c r="C317" s="276" t="s">
        <v>2175</v>
      </c>
      <c r="D317" s="276" t="s">
        <v>2283</v>
      </c>
      <c r="E317" s="276">
        <v>7</v>
      </c>
      <c r="F317" s="276">
        <v>14.8994</v>
      </c>
      <c r="G317" s="276" t="s">
        <v>2224</v>
      </c>
      <c r="H317" s="276" t="s">
        <v>2284</v>
      </c>
      <c r="I317" s="276" t="str">
        <f t="shared" si="3"/>
        <v>A B (seas)</v>
      </c>
    </row>
    <row r="318" spans="2:9">
      <c r="B318" s="276" t="s">
        <v>2159</v>
      </c>
      <c r="C318" s="276" t="s">
        <v>2160</v>
      </c>
      <c r="D318" s="276" t="s">
        <v>2161</v>
      </c>
      <c r="E318" s="276">
        <v>7</v>
      </c>
      <c r="F318" s="276">
        <v>0.27555000000000002</v>
      </c>
      <c r="G318" s="276" t="s">
        <v>2224</v>
      </c>
      <c r="H318" s="276" t="s">
        <v>2285</v>
      </c>
      <c r="I318" s="276" t="str">
        <f t="shared" si="3"/>
        <v>A B (seas)</v>
      </c>
    </row>
    <row r="319" spans="2:9">
      <c r="B319" s="276" t="s">
        <v>2265</v>
      </c>
      <c r="C319" s="276" t="s">
        <v>2266</v>
      </c>
      <c r="D319" s="276" t="s">
        <v>2286</v>
      </c>
      <c r="E319" s="276">
        <v>7</v>
      </c>
      <c r="F319" s="276">
        <v>3.89235</v>
      </c>
      <c r="G319" s="276" t="s">
        <v>2224</v>
      </c>
      <c r="H319" s="276" t="s">
        <v>2287</v>
      </c>
      <c r="I319" s="276" t="str">
        <f t="shared" si="3"/>
        <v>A B (seas)</v>
      </c>
    </row>
    <row r="320" spans="2:9">
      <c r="B320" s="276" t="s">
        <v>2152</v>
      </c>
      <c r="C320" s="276" t="s">
        <v>2153</v>
      </c>
      <c r="D320" s="276" t="s">
        <v>2288</v>
      </c>
      <c r="E320" s="276">
        <v>7</v>
      </c>
      <c r="F320" s="276">
        <v>0.62450000000000006</v>
      </c>
      <c r="G320" s="276" t="s">
        <v>2289</v>
      </c>
      <c r="H320" s="276" t="s">
        <v>2290</v>
      </c>
      <c r="I320" s="276" t="str">
        <f t="shared" si="3"/>
        <v>A B (seas)</v>
      </c>
    </row>
    <row r="321" spans="2:9">
      <c r="B321" s="276" t="s">
        <v>2152</v>
      </c>
      <c r="C321" s="276" t="s">
        <v>2153</v>
      </c>
      <c r="D321" s="276" t="s">
        <v>2154</v>
      </c>
      <c r="E321" s="276">
        <v>7</v>
      </c>
      <c r="F321" s="276">
        <v>4.1156899999999998</v>
      </c>
      <c r="G321" s="276" t="s">
        <v>2224</v>
      </c>
      <c r="H321" s="276" t="s">
        <v>2280</v>
      </c>
      <c r="I321" s="276" t="str">
        <f t="shared" si="3"/>
        <v>A B (seas)</v>
      </c>
    </row>
    <row r="322" spans="2:9">
      <c r="B322" s="276" t="s">
        <v>2191</v>
      </c>
      <c r="C322" s="276" t="s">
        <v>2192</v>
      </c>
      <c r="D322" s="276" t="s">
        <v>2281</v>
      </c>
      <c r="E322" s="276">
        <v>7</v>
      </c>
      <c r="F322" s="276">
        <v>0.43566700000000003</v>
      </c>
      <c r="G322" s="276" t="s">
        <v>2224</v>
      </c>
      <c r="H322" s="276" t="s">
        <v>2282</v>
      </c>
      <c r="I322" s="276" t="str">
        <f t="shared" si="3"/>
        <v>A B (seas)</v>
      </c>
    </row>
    <row r="323" spans="2:9">
      <c r="B323" s="276" t="s">
        <v>2166</v>
      </c>
      <c r="C323" s="276" t="s">
        <v>2167</v>
      </c>
      <c r="D323" s="276" t="s">
        <v>2244</v>
      </c>
      <c r="E323" s="276">
        <v>7</v>
      </c>
      <c r="F323" s="276">
        <v>14.319800000000001</v>
      </c>
      <c r="G323" s="276" t="s">
        <v>2224</v>
      </c>
      <c r="H323" s="276"/>
      <c r="I323" s="276" t="str">
        <f t="shared" si="3"/>
        <v>A B (seas)</v>
      </c>
    </row>
    <row r="324" spans="2:9">
      <c r="B324" s="276" t="s">
        <v>2174</v>
      </c>
      <c r="C324" s="276" t="s">
        <v>2175</v>
      </c>
      <c r="D324" s="276" t="s">
        <v>2283</v>
      </c>
      <c r="E324" s="276">
        <v>7</v>
      </c>
      <c r="F324" s="276">
        <v>14.8994</v>
      </c>
      <c r="G324" s="276" t="s">
        <v>2224</v>
      </c>
      <c r="H324" s="276" t="s">
        <v>2284</v>
      </c>
      <c r="I324" s="276" t="str">
        <f t="shared" si="3"/>
        <v>A B (seas)</v>
      </c>
    </row>
    <row r="325" spans="2:9">
      <c r="B325" s="276" t="s">
        <v>2159</v>
      </c>
      <c r="C325" s="276" t="s">
        <v>2160</v>
      </c>
      <c r="D325" s="276" t="s">
        <v>2161</v>
      </c>
      <c r="E325" s="276">
        <v>7</v>
      </c>
      <c r="F325" s="276">
        <v>0.27555000000000002</v>
      </c>
      <c r="G325" s="276" t="s">
        <v>2224</v>
      </c>
      <c r="H325" s="276" t="s">
        <v>2285</v>
      </c>
      <c r="I325" s="276" t="str">
        <f t="shared" si="3"/>
        <v>A B (seas)</v>
      </c>
    </row>
    <row r="326" spans="2:9">
      <c r="B326" s="276" t="s">
        <v>2265</v>
      </c>
      <c r="C326" s="276" t="s">
        <v>2266</v>
      </c>
      <c r="D326" s="276" t="s">
        <v>2286</v>
      </c>
      <c r="E326" s="276">
        <v>7</v>
      </c>
      <c r="F326" s="276">
        <v>3.89235</v>
      </c>
      <c r="G326" s="276" t="s">
        <v>2224</v>
      </c>
      <c r="H326" s="276" t="s">
        <v>2287</v>
      </c>
      <c r="I326" s="276" t="str">
        <f t="shared" si="3"/>
        <v>A B (seas)</v>
      </c>
    </row>
    <row r="327" spans="2:9">
      <c r="B327" s="276" t="s">
        <v>2152</v>
      </c>
      <c r="C327" s="276" t="s">
        <v>2153</v>
      </c>
      <c r="D327" s="276" t="s">
        <v>2288</v>
      </c>
      <c r="E327" s="276">
        <v>7</v>
      </c>
      <c r="F327" s="276">
        <v>0.62450000000000006</v>
      </c>
      <c r="G327" s="276" t="s">
        <v>2289</v>
      </c>
      <c r="H327" s="276" t="s">
        <v>2290</v>
      </c>
      <c r="I327" s="276" t="str">
        <f t="shared" si="3"/>
        <v>A B (seas)</v>
      </c>
    </row>
    <row r="328" spans="2:9">
      <c r="B328" s="276" t="s">
        <v>2191</v>
      </c>
      <c r="C328" s="276" t="s">
        <v>2192</v>
      </c>
      <c r="D328" s="276" t="s">
        <v>2291</v>
      </c>
      <c r="E328" s="276">
        <v>2</v>
      </c>
      <c r="F328" s="276">
        <v>1.5137795074997</v>
      </c>
      <c r="G328" s="276" t="s">
        <v>2155</v>
      </c>
      <c r="H328" s="276"/>
      <c r="I328" s="276" t="str">
        <f t="shared" si="3"/>
        <v>B</v>
      </c>
    </row>
    <row r="329" spans="2:9">
      <c r="B329" s="276" t="s">
        <v>2191</v>
      </c>
      <c r="C329" s="276" t="s">
        <v>2192</v>
      </c>
      <c r="D329" s="276" t="s">
        <v>2292</v>
      </c>
      <c r="E329" s="276">
        <v>2</v>
      </c>
      <c r="F329" s="276">
        <v>0.40274154096221998</v>
      </c>
      <c r="G329" s="276" t="s">
        <v>2155</v>
      </c>
      <c r="H329" s="276"/>
      <c r="I329" s="276" t="str">
        <f t="shared" si="3"/>
        <v>B</v>
      </c>
    </row>
    <row r="330" spans="2:9">
      <c r="B330" s="276" t="s">
        <v>2159</v>
      </c>
      <c r="C330" s="276" t="s">
        <v>2160</v>
      </c>
      <c r="D330" s="276" t="s">
        <v>2293</v>
      </c>
      <c r="E330" s="276">
        <v>2</v>
      </c>
      <c r="F330" s="276">
        <v>1.3446431028365999</v>
      </c>
      <c r="G330" s="276" t="s">
        <v>2155</v>
      </c>
      <c r="H330" s="276"/>
      <c r="I330" s="276" t="str">
        <f t="shared" si="3"/>
        <v>B</v>
      </c>
    </row>
    <row r="331" spans="2:9">
      <c r="B331" s="276" t="s">
        <v>2294</v>
      </c>
      <c r="C331" s="276" t="s">
        <v>2295</v>
      </c>
      <c r="D331" s="276" t="s">
        <v>2296</v>
      </c>
      <c r="E331" s="276">
        <v>2</v>
      </c>
      <c r="F331" s="276">
        <v>1.218618372448</v>
      </c>
      <c r="G331" s="276" t="s">
        <v>2155</v>
      </c>
      <c r="H331" s="276"/>
      <c r="I331" s="276" t="str">
        <f t="shared" si="3"/>
        <v>B</v>
      </c>
    </row>
    <row r="332" spans="2:9">
      <c r="B332" s="276" t="s">
        <v>2297</v>
      </c>
      <c r="C332" s="276" t="s">
        <v>2298</v>
      </c>
      <c r="D332" s="276" t="s">
        <v>2299</v>
      </c>
      <c r="E332" s="276">
        <v>2</v>
      </c>
      <c r="F332" s="276">
        <v>0.24912012789154001</v>
      </c>
      <c r="G332" s="276" t="s">
        <v>2155</v>
      </c>
      <c r="H332" s="276"/>
      <c r="I332" s="276" t="str">
        <f t="shared" si="3"/>
        <v>B</v>
      </c>
    </row>
    <row r="333" spans="2:9">
      <c r="B333" s="276" t="s">
        <v>2239</v>
      </c>
      <c r="C333" s="276" t="s">
        <v>2300</v>
      </c>
      <c r="D333" s="276" t="s">
        <v>2301</v>
      </c>
      <c r="E333" s="276">
        <v>2</v>
      </c>
      <c r="F333" s="276">
        <v>0.37837482585381998</v>
      </c>
      <c r="G333" s="276" t="s">
        <v>2155</v>
      </c>
      <c r="H333" s="276"/>
      <c r="I333" s="276" t="str">
        <f t="shared" si="3"/>
        <v>B</v>
      </c>
    </row>
    <row r="334" spans="2:9">
      <c r="B334" s="276" t="s">
        <v>2239</v>
      </c>
      <c r="C334" s="276" t="s">
        <v>2300</v>
      </c>
      <c r="D334" s="276" t="s">
        <v>2302</v>
      </c>
      <c r="E334" s="276">
        <v>2</v>
      </c>
      <c r="F334" s="276">
        <v>0.48347514694929</v>
      </c>
      <c r="G334" s="276" t="s">
        <v>2155</v>
      </c>
      <c r="H334" s="276"/>
      <c r="I334" s="276" t="str">
        <f t="shared" si="3"/>
        <v>B</v>
      </c>
    </row>
    <row r="335" spans="2:9">
      <c r="B335" s="276" t="s">
        <v>2294</v>
      </c>
      <c r="C335" s="276" t="s">
        <v>2295</v>
      </c>
      <c r="D335" s="276" t="s">
        <v>2303</v>
      </c>
      <c r="E335" s="276">
        <v>2</v>
      </c>
      <c r="F335" s="276">
        <v>1.8890000000000001E-2</v>
      </c>
      <c r="G335" s="276" t="s">
        <v>2289</v>
      </c>
      <c r="H335" s="276"/>
      <c r="I335" s="276" t="str">
        <f t="shared" si="3"/>
        <v>B</v>
      </c>
    </row>
    <row r="336" spans="2:9">
      <c r="B336" s="276" t="s">
        <v>2205</v>
      </c>
      <c r="C336" s="276" t="s">
        <v>2242</v>
      </c>
      <c r="D336" s="276" t="s">
        <v>2304</v>
      </c>
      <c r="E336" s="276">
        <v>2</v>
      </c>
      <c r="F336" s="276">
        <v>2.5459100000000001</v>
      </c>
      <c r="G336" s="276" t="s">
        <v>2305</v>
      </c>
      <c r="H336" s="276"/>
      <c r="I336" s="276" t="str">
        <f t="shared" si="3"/>
        <v>B</v>
      </c>
    </row>
    <row r="337" spans="2:9">
      <c r="B337" s="276" t="s">
        <v>2205</v>
      </c>
      <c r="C337" s="276" t="s">
        <v>2242</v>
      </c>
      <c r="D337" s="276" t="s">
        <v>2245</v>
      </c>
      <c r="E337" s="276">
        <v>2</v>
      </c>
      <c r="F337" s="276">
        <v>2.9958999999999998</v>
      </c>
      <c r="G337" s="276" t="s">
        <v>2305</v>
      </c>
      <c r="H337" s="276"/>
      <c r="I337" s="276" t="str">
        <f t="shared" si="3"/>
        <v>B</v>
      </c>
    </row>
    <row r="338" spans="2:9">
      <c r="B338" s="276" t="s">
        <v>2205</v>
      </c>
      <c r="C338" s="276" t="s">
        <v>2306</v>
      </c>
      <c r="D338" s="276" t="s">
        <v>2307</v>
      </c>
      <c r="E338" s="276">
        <v>2</v>
      </c>
      <c r="F338" s="276">
        <v>0.411412</v>
      </c>
      <c r="G338" s="276" t="s">
        <v>2305</v>
      </c>
      <c r="H338" s="276"/>
      <c r="I338" s="276" t="str">
        <f t="shared" si="3"/>
        <v>B</v>
      </c>
    </row>
    <row r="339" spans="2:9">
      <c r="B339" s="276" t="s">
        <v>2187</v>
      </c>
      <c r="C339" s="276" t="s">
        <v>2308</v>
      </c>
      <c r="D339" s="276" t="s">
        <v>2308</v>
      </c>
      <c r="E339" s="276">
        <v>2</v>
      </c>
      <c r="F339" s="276">
        <v>0.27231</v>
      </c>
      <c r="G339" s="276" t="s">
        <v>2190</v>
      </c>
      <c r="H339" s="276"/>
      <c r="I339" s="276" t="str">
        <f t="shared" si="3"/>
        <v>B</v>
      </c>
    </row>
    <row r="340" spans="2:9">
      <c r="B340" s="276" t="s">
        <v>2187</v>
      </c>
      <c r="C340" s="276" t="s">
        <v>2309</v>
      </c>
      <c r="D340" s="276" t="s">
        <v>2310</v>
      </c>
      <c r="E340" s="276">
        <v>2</v>
      </c>
      <c r="F340" s="276">
        <v>1.5361499999999999</v>
      </c>
      <c r="G340" s="276" t="s">
        <v>2190</v>
      </c>
      <c r="H340" s="276"/>
      <c r="I340" s="276" t="str">
        <f t="shared" si="3"/>
        <v>B</v>
      </c>
    </row>
    <row r="341" spans="2:9">
      <c r="B341" s="276" t="s">
        <v>2187</v>
      </c>
      <c r="C341" s="276" t="s">
        <v>2311</v>
      </c>
      <c r="D341" s="276" t="s">
        <v>2312</v>
      </c>
      <c r="E341" s="276">
        <v>2</v>
      </c>
      <c r="F341" s="276">
        <v>3.1946300000000001</v>
      </c>
      <c r="G341" s="276" t="s">
        <v>2190</v>
      </c>
      <c r="H341" s="276"/>
      <c r="I341" s="276" t="str">
        <f t="shared" si="3"/>
        <v>B</v>
      </c>
    </row>
    <row r="342" spans="2:9">
      <c r="B342" s="276" t="s">
        <v>2191</v>
      </c>
      <c r="C342" s="276" t="s">
        <v>2192</v>
      </c>
      <c r="D342" s="276" t="s">
        <v>2225</v>
      </c>
      <c r="E342" s="276">
        <v>2</v>
      </c>
      <c r="F342" s="276">
        <v>2.2472799999999999</v>
      </c>
      <c r="G342" s="276" t="s">
        <v>2194</v>
      </c>
      <c r="H342" s="276"/>
      <c r="I342" s="276" t="str">
        <f t="shared" si="3"/>
        <v>B</v>
      </c>
    </row>
    <row r="343" spans="2:9">
      <c r="B343" s="276" t="s">
        <v>2191</v>
      </c>
      <c r="C343" s="276" t="s">
        <v>2192</v>
      </c>
      <c r="D343" s="276" t="s">
        <v>2291</v>
      </c>
      <c r="E343" s="276">
        <v>2</v>
      </c>
      <c r="F343" s="276">
        <v>1.5137799999999999</v>
      </c>
      <c r="G343" s="276" t="s">
        <v>2194</v>
      </c>
      <c r="H343" s="276"/>
      <c r="I343" s="276" t="str">
        <f t="shared" si="3"/>
        <v>B</v>
      </c>
    </row>
    <row r="344" spans="2:9">
      <c r="B344" s="276" t="s">
        <v>2191</v>
      </c>
      <c r="C344" s="276" t="s">
        <v>2192</v>
      </c>
      <c r="D344" s="276" t="s">
        <v>2292</v>
      </c>
      <c r="E344" s="276">
        <v>2</v>
      </c>
      <c r="F344" s="276">
        <v>0.40274199999999999</v>
      </c>
      <c r="G344" s="276" t="s">
        <v>2194</v>
      </c>
      <c r="H344" s="276"/>
      <c r="I344" s="276" t="str">
        <f t="shared" si="3"/>
        <v>B</v>
      </c>
    </row>
    <row r="345" spans="2:9">
      <c r="B345" s="276" t="s">
        <v>2297</v>
      </c>
      <c r="C345" s="276" t="s">
        <v>2298</v>
      </c>
      <c r="D345" s="276" t="s">
        <v>2299</v>
      </c>
      <c r="E345" s="276">
        <v>2</v>
      </c>
      <c r="F345" s="276">
        <v>0.24912000000000001</v>
      </c>
      <c r="G345" s="276" t="s">
        <v>2194</v>
      </c>
      <c r="H345" s="276"/>
      <c r="I345" s="276" t="str">
        <f t="shared" si="3"/>
        <v>B</v>
      </c>
    </row>
    <row r="346" spans="2:9">
      <c r="B346" s="276" t="s">
        <v>2159</v>
      </c>
      <c r="C346" s="276" t="s">
        <v>2160</v>
      </c>
      <c r="D346" s="276" t="s">
        <v>2293</v>
      </c>
      <c r="E346" s="276">
        <v>2</v>
      </c>
      <c r="F346" s="276">
        <v>1.3446400000000001</v>
      </c>
      <c r="G346" s="276" t="s">
        <v>2194</v>
      </c>
      <c r="H346" s="276"/>
      <c r="I346" s="276" t="str">
        <f t="shared" si="3"/>
        <v>B</v>
      </c>
    </row>
    <row r="347" spans="2:9">
      <c r="B347" s="276" t="s">
        <v>2313</v>
      </c>
      <c r="C347" s="276" t="s">
        <v>2314</v>
      </c>
      <c r="D347" s="276" t="s">
        <v>2315</v>
      </c>
      <c r="E347" s="276">
        <v>2</v>
      </c>
      <c r="F347" s="276">
        <v>0.16450200000000001</v>
      </c>
      <c r="G347" s="276" t="s">
        <v>2194</v>
      </c>
      <c r="H347" s="276"/>
      <c r="I347" s="276" t="str">
        <f t="shared" si="3"/>
        <v>B</v>
      </c>
    </row>
    <row r="348" spans="2:9">
      <c r="B348" s="276" t="s">
        <v>2297</v>
      </c>
      <c r="C348" s="276" t="s">
        <v>2298</v>
      </c>
      <c r="D348" s="276" t="s">
        <v>2299</v>
      </c>
      <c r="E348" s="276">
        <v>2</v>
      </c>
      <c r="F348" s="276">
        <v>0.24912000000000001</v>
      </c>
      <c r="G348" s="276" t="s">
        <v>2259</v>
      </c>
      <c r="H348" s="276"/>
      <c r="I348" s="276" t="str">
        <f t="shared" si="3"/>
        <v>B</v>
      </c>
    </row>
    <row r="349" spans="2:9">
      <c r="B349" s="276" t="s">
        <v>2316</v>
      </c>
      <c r="C349" s="276" t="s">
        <v>2317</v>
      </c>
      <c r="D349" s="276" t="s">
        <v>2318</v>
      </c>
      <c r="E349" s="276">
        <v>2</v>
      </c>
      <c r="F349" s="276">
        <v>3.7723499999999999</v>
      </c>
      <c r="G349" s="276" t="s">
        <v>2259</v>
      </c>
      <c r="H349" s="276"/>
      <c r="I349" s="276" t="str">
        <f t="shared" si="3"/>
        <v>B</v>
      </c>
    </row>
    <row r="350" spans="2:9">
      <c r="B350" s="276" t="s">
        <v>2316</v>
      </c>
      <c r="C350" s="276" t="s">
        <v>2317</v>
      </c>
      <c r="D350" s="276" t="s">
        <v>2319</v>
      </c>
      <c r="E350" s="276">
        <v>2</v>
      </c>
      <c r="F350" s="276">
        <v>5.2209300000000001</v>
      </c>
      <c r="G350" s="276" t="s">
        <v>2259</v>
      </c>
      <c r="H350" s="276"/>
      <c r="I350" s="276" t="str">
        <f t="shared" si="3"/>
        <v>B</v>
      </c>
    </row>
    <row r="351" spans="2:9">
      <c r="B351" s="276" t="s">
        <v>2320</v>
      </c>
      <c r="C351" s="276" t="s">
        <v>2321</v>
      </c>
      <c r="D351" s="276" t="s">
        <v>2322</v>
      </c>
      <c r="E351" s="276">
        <v>2</v>
      </c>
      <c r="F351" s="276">
        <v>31.583200000000001</v>
      </c>
      <c r="G351" s="276" t="s">
        <v>2197</v>
      </c>
      <c r="H351" s="276" t="s">
        <v>2323</v>
      </c>
      <c r="I351" s="276" t="str">
        <f t="shared" si="3"/>
        <v>B</v>
      </c>
    </row>
    <row r="352" spans="2:9">
      <c r="B352" s="276" t="s">
        <v>2324</v>
      </c>
      <c r="C352" s="276" t="s">
        <v>2325</v>
      </c>
      <c r="D352" s="276" t="s">
        <v>2326</v>
      </c>
      <c r="E352" s="276">
        <v>2</v>
      </c>
      <c r="F352" s="276">
        <v>0.65597799999999995</v>
      </c>
      <c r="G352" s="276" t="s">
        <v>2197</v>
      </c>
      <c r="H352" s="276"/>
      <c r="I352" s="276" t="str">
        <f t="shared" si="3"/>
        <v>B</v>
      </c>
    </row>
    <row r="353" spans="2:9">
      <c r="B353" s="276" t="s">
        <v>2327</v>
      </c>
      <c r="C353" s="276" t="s">
        <v>2328</v>
      </c>
      <c r="D353" s="276" t="s">
        <v>2329</v>
      </c>
      <c r="E353" s="276">
        <v>2</v>
      </c>
      <c r="F353" s="276">
        <v>2.76471</v>
      </c>
      <c r="G353" s="276" t="s">
        <v>2197</v>
      </c>
      <c r="H353" s="276"/>
      <c r="I353" s="276" t="str">
        <f t="shared" si="3"/>
        <v>B</v>
      </c>
    </row>
    <row r="354" spans="2:9">
      <c r="B354" s="276" t="s">
        <v>2174</v>
      </c>
      <c r="C354" s="276" t="s">
        <v>2236</v>
      </c>
      <c r="D354" s="276" t="s">
        <v>2330</v>
      </c>
      <c r="E354" s="276">
        <v>2</v>
      </c>
      <c r="F354" s="276">
        <v>58.398099999999999</v>
      </c>
      <c r="G354" s="276" t="s">
        <v>2331</v>
      </c>
      <c r="H354" s="276"/>
      <c r="I354" s="276" t="str">
        <f t="shared" si="3"/>
        <v>B</v>
      </c>
    </row>
    <row r="355" spans="2:9">
      <c r="B355" s="276" t="s">
        <v>2332</v>
      </c>
      <c r="C355" s="276" t="s">
        <v>2333</v>
      </c>
      <c r="D355" s="276" t="s">
        <v>2334</v>
      </c>
      <c r="E355" s="276">
        <v>2</v>
      </c>
      <c r="F355" s="276">
        <v>16.478200000000001</v>
      </c>
      <c r="G355" s="276" t="s">
        <v>2271</v>
      </c>
      <c r="H355" s="276"/>
      <c r="I355" s="276" t="str">
        <f t="shared" si="3"/>
        <v>B</v>
      </c>
    </row>
    <row r="356" spans="2:9">
      <c r="B356" s="276" t="s">
        <v>2316</v>
      </c>
      <c r="C356" s="276" t="s">
        <v>2317</v>
      </c>
      <c r="D356" s="276" t="s">
        <v>2318</v>
      </c>
      <c r="E356" s="276">
        <v>2</v>
      </c>
      <c r="F356" s="276">
        <v>3.7723499999999999</v>
      </c>
      <c r="G356" s="276" t="s">
        <v>2335</v>
      </c>
      <c r="H356" s="276"/>
      <c r="I356" s="276" t="str">
        <f t="shared" si="3"/>
        <v>B</v>
      </c>
    </row>
    <row r="357" spans="2:9">
      <c r="B357" s="276" t="s">
        <v>2316</v>
      </c>
      <c r="C357" s="276" t="s">
        <v>2317</v>
      </c>
      <c r="D357" s="276" t="s">
        <v>2319</v>
      </c>
      <c r="E357" s="276">
        <v>2</v>
      </c>
      <c r="F357" s="276">
        <v>5.2209300000000001</v>
      </c>
      <c r="G357" s="276" t="s">
        <v>2335</v>
      </c>
      <c r="H357" s="276"/>
      <c r="I357" s="276" t="str">
        <f t="shared" si="3"/>
        <v>B</v>
      </c>
    </row>
    <row r="358" spans="2:9">
      <c r="B358" s="276" t="s">
        <v>2336</v>
      </c>
      <c r="C358" s="276" t="s">
        <v>2337</v>
      </c>
      <c r="D358" s="276" t="s">
        <v>2338</v>
      </c>
      <c r="E358" s="276">
        <v>2</v>
      </c>
      <c r="F358" s="276">
        <v>0.33251999999999998</v>
      </c>
      <c r="G358" s="276" t="s">
        <v>2204</v>
      </c>
      <c r="H358" s="276"/>
      <c r="I358" s="276" t="str">
        <f t="shared" si="3"/>
        <v>B</v>
      </c>
    </row>
    <row r="359" spans="2:9">
      <c r="B359" s="276" t="s">
        <v>2332</v>
      </c>
      <c r="C359" s="276" t="s">
        <v>2333</v>
      </c>
      <c r="D359" s="276" t="s">
        <v>2339</v>
      </c>
      <c r="E359" s="276">
        <v>2</v>
      </c>
      <c r="F359" s="276">
        <v>4.2019500000000001</v>
      </c>
      <c r="G359" s="276" t="s">
        <v>2204</v>
      </c>
      <c r="H359" s="276"/>
      <c r="I359" s="276" t="str">
        <f t="shared" ref="I359:I422" si="4">_xlfn.XLOOKUP(E359, $K$230:$K$236, $L$230:$L$236)</f>
        <v>B</v>
      </c>
    </row>
    <row r="360" spans="2:9">
      <c r="B360" s="276" t="s">
        <v>2297</v>
      </c>
      <c r="C360" s="276" t="s">
        <v>2298</v>
      </c>
      <c r="D360" s="276" t="s">
        <v>2299</v>
      </c>
      <c r="E360" s="276">
        <v>2</v>
      </c>
      <c r="F360" s="276">
        <v>0.24912000000000001</v>
      </c>
      <c r="G360" s="276" t="s">
        <v>2204</v>
      </c>
      <c r="H360" s="276"/>
      <c r="I360" s="276" t="str">
        <f t="shared" si="4"/>
        <v>B</v>
      </c>
    </row>
    <row r="361" spans="2:9">
      <c r="B361" s="276" t="s">
        <v>2340</v>
      </c>
      <c r="C361" s="276" t="s">
        <v>2341</v>
      </c>
      <c r="D361" s="276" t="s">
        <v>2342</v>
      </c>
      <c r="E361" s="276">
        <v>2</v>
      </c>
      <c r="F361" s="276">
        <v>2.0091100000000001E-2</v>
      </c>
      <c r="G361" s="276" t="s">
        <v>2204</v>
      </c>
      <c r="H361" s="276"/>
      <c r="I361" s="276" t="str">
        <f t="shared" si="4"/>
        <v>B</v>
      </c>
    </row>
    <row r="362" spans="2:9">
      <c r="B362" s="276" t="s">
        <v>2343</v>
      </c>
      <c r="C362" s="276" t="s">
        <v>2344</v>
      </c>
      <c r="D362" s="276" t="s">
        <v>2345</v>
      </c>
      <c r="E362" s="276">
        <v>2</v>
      </c>
      <c r="F362" s="276">
        <v>0.77423799999999998</v>
      </c>
      <c r="G362" s="276" t="s">
        <v>2204</v>
      </c>
      <c r="H362" s="276"/>
      <c r="I362" s="276" t="str">
        <f t="shared" si="4"/>
        <v>B</v>
      </c>
    </row>
    <row r="363" spans="2:9">
      <c r="B363" s="276" t="s">
        <v>2320</v>
      </c>
      <c r="C363" s="276" t="s">
        <v>2321</v>
      </c>
      <c r="D363" s="276" t="s">
        <v>2346</v>
      </c>
      <c r="E363" s="276">
        <v>2</v>
      </c>
      <c r="F363" s="276">
        <v>9.3505900000000004</v>
      </c>
      <c r="G363" s="276" t="s">
        <v>2204</v>
      </c>
      <c r="H363" s="276"/>
      <c r="I363" s="276" t="str">
        <f t="shared" si="4"/>
        <v>B</v>
      </c>
    </row>
    <row r="364" spans="2:9">
      <c r="B364" s="276" t="s">
        <v>2320</v>
      </c>
      <c r="C364" s="276" t="s">
        <v>2321</v>
      </c>
      <c r="D364" s="276" t="s">
        <v>2347</v>
      </c>
      <c r="E364" s="276">
        <v>2</v>
      </c>
      <c r="F364" s="276">
        <v>0.37518400000000002</v>
      </c>
      <c r="G364" s="276" t="s">
        <v>2204</v>
      </c>
      <c r="H364" s="276"/>
      <c r="I364" s="276" t="str">
        <f t="shared" si="4"/>
        <v>B</v>
      </c>
    </row>
    <row r="365" spans="2:9">
      <c r="B365" s="276" t="s">
        <v>2348</v>
      </c>
      <c r="C365" s="276" t="s">
        <v>2349</v>
      </c>
      <c r="D365" s="276" t="s">
        <v>2350</v>
      </c>
      <c r="E365" s="276">
        <v>2</v>
      </c>
      <c r="F365" s="276">
        <v>7.2694900000000007E-2</v>
      </c>
      <c r="G365" s="276" t="s">
        <v>2204</v>
      </c>
      <c r="H365" s="276"/>
      <c r="I365" s="276" t="str">
        <f t="shared" si="4"/>
        <v>B</v>
      </c>
    </row>
    <row r="366" spans="2:9">
      <c r="B366" s="276" t="s">
        <v>2294</v>
      </c>
      <c r="C366" s="276" t="s">
        <v>2295</v>
      </c>
      <c r="D366" s="276" t="s">
        <v>2303</v>
      </c>
      <c r="E366" s="276">
        <v>2</v>
      </c>
      <c r="F366" s="276">
        <v>0.23480000000000001</v>
      </c>
      <c r="G366" s="276" t="s">
        <v>2220</v>
      </c>
      <c r="H366" s="276"/>
      <c r="I366" s="276" t="str">
        <f t="shared" si="4"/>
        <v>B</v>
      </c>
    </row>
    <row r="367" spans="2:9">
      <c r="B367" s="276" t="s">
        <v>2351</v>
      </c>
      <c r="C367" s="276" t="s">
        <v>2352</v>
      </c>
      <c r="D367" s="276" t="s">
        <v>2353</v>
      </c>
      <c r="E367" s="276">
        <v>2</v>
      </c>
      <c r="F367" s="276">
        <v>4.5692200000000002E-2</v>
      </c>
      <c r="G367" s="276" t="s">
        <v>2224</v>
      </c>
      <c r="H367" s="276" t="s">
        <v>2354</v>
      </c>
      <c r="I367" s="276" t="str">
        <f t="shared" si="4"/>
        <v>B</v>
      </c>
    </row>
    <row r="368" spans="2:9">
      <c r="B368" s="276" t="s">
        <v>2191</v>
      </c>
      <c r="C368" s="276" t="s">
        <v>2192</v>
      </c>
      <c r="D368" s="276" t="s">
        <v>2291</v>
      </c>
      <c r="E368" s="276">
        <v>2</v>
      </c>
      <c r="F368" s="276">
        <v>1.5137799999999999</v>
      </c>
      <c r="G368" s="276" t="s">
        <v>2224</v>
      </c>
      <c r="H368" s="276"/>
      <c r="I368" s="276" t="str">
        <f t="shared" si="4"/>
        <v>B</v>
      </c>
    </row>
    <row r="369" spans="2:9">
      <c r="B369" s="276" t="s">
        <v>2191</v>
      </c>
      <c r="C369" s="276" t="s">
        <v>2192</v>
      </c>
      <c r="D369" s="276" t="s">
        <v>2292</v>
      </c>
      <c r="E369" s="276">
        <v>2</v>
      </c>
      <c r="F369" s="276">
        <v>0.40274199999999999</v>
      </c>
      <c r="G369" s="276" t="s">
        <v>2224</v>
      </c>
      <c r="H369" s="276"/>
      <c r="I369" s="276" t="str">
        <f t="shared" si="4"/>
        <v>B</v>
      </c>
    </row>
    <row r="370" spans="2:9">
      <c r="B370" s="276" t="s">
        <v>2159</v>
      </c>
      <c r="C370" s="276" t="s">
        <v>2160</v>
      </c>
      <c r="D370" s="276" t="s">
        <v>2293</v>
      </c>
      <c r="E370" s="276">
        <v>2</v>
      </c>
      <c r="F370" s="276">
        <v>1.3446400000000001</v>
      </c>
      <c r="G370" s="276" t="s">
        <v>2224</v>
      </c>
      <c r="H370" s="276"/>
      <c r="I370" s="276" t="str">
        <f t="shared" si="4"/>
        <v>B</v>
      </c>
    </row>
    <row r="371" spans="2:9">
      <c r="B371" s="276" t="s">
        <v>2297</v>
      </c>
      <c r="C371" s="276" t="s">
        <v>2298</v>
      </c>
      <c r="D371" s="276" t="s">
        <v>2299</v>
      </c>
      <c r="E371" s="276">
        <v>2</v>
      </c>
      <c r="F371" s="276">
        <v>0.24912000000000001</v>
      </c>
      <c r="G371" s="276" t="s">
        <v>2224</v>
      </c>
      <c r="H371" s="276"/>
      <c r="I371" s="276" t="str">
        <f t="shared" si="4"/>
        <v>B</v>
      </c>
    </row>
    <row r="372" spans="2:9">
      <c r="B372" s="276" t="s">
        <v>2355</v>
      </c>
      <c r="C372" s="276" t="s">
        <v>2356</v>
      </c>
      <c r="D372" s="276" t="s">
        <v>2357</v>
      </c>
      <c r="E372" s="276">
        <v>2</v>
      </c>
      <c r="F372" s="276">
        <v>5.6153099999999997E-2</v>
      </c>
      <c r="G372" s="276" t="s">
        <v>2224</v>
      </c>
      <c r="H372" s="276"/>
      <c r="I372" s="276" t="str">
        <f t="shared" si="4"/>
        <v>B</v>
      </c>
    </row>
    <row r="373" spans="2:9">
      <c r="B373" s="276" t="s">
        <v>2358</v>
      </c>
      <c r="C373" s="276" t="s">
        <v>2359</v>
      </c>
      <c r="D373" s="276" t="s">
        <v>2360</v>
      </c>
      <c r="E373" s="276">
        <v>2</v>
      </c>
      <c r="F373" s="276">
        <v>4.4444699999999999</v>
      </c>
      <c r="G373" s="276" t="s">
        <v>2224</v>
      </c>
      <c r="H373" s="276"/>
      <c r="I373" s="276" t="str">
        <f t="shared" si="4"/>
        <v>B</v>
      </c>
    </row>
    <row r="374" spans="2:9">
      <c r="B374" s="276" t="s">
        <v>2355</v>
      </c>
      <c r="C374" s="276" t="s">
        <v>2356</v>
      </c>
      <c r="D374" s="276" t="s">
        <v>2361</v>
      </c>
      <c r="E374" s="276">
        <v>2</v>
      </c>
      <c r="F374" s="276">
        <v>5.2301100000000003E-2</v>
      </c>
      <c r="G374" s="276" t="s">
        <v>2224</v>
      </c>
      <c r="H374" s="276"/>
      <c r="I374" s="276" t="str">
        <f t="shared" si="4"/>
        <v>B</v>
      </c>
    </row>
    <row r="375" spans="2:9">
      <c r="B375" s="276" t="s">
        <v>2355</v>
      </c>
      <c r="C375" s="276" t="s">
        <v>2356</v>
      </c>
      <c r="D375" s="276" t="s">
        <v>2245</v>
      </c>
      <c r="E375" s="276">
        <v>2</v>
      </c>
      <c r="F375" s="276">
        <v>5.7410799999999998E-2</v>
      </c>
      <c r="G375" s="276" t="s">
        <v>2224</v>
      </c>
      <c r="H375" s="276"/>
      <c r="I375" s="276" t="str">
        <f t="shared" si="4"/>
        <v>B</v>
      </c>
    </row>
    <row r="376" spans="2:9">
      <c r="B376" s="276" t="s">
        <v>2239</v>
      </c>
      <c r="C376" s="276" t="s">
        <v>2300</v>
      </c>
      <c r="D376" s="276" t="s">
        <v>2301</v>
      </c>
      <c r="E376" s="276">
        <v>2</v>
      </c>
      <c r="F376" s="276">
        <v>0.37837500000000002</v>
      </c>
      <c r="G376" s="276" t="s">
        <v>2224</v>
      </c>
      <c r="H376" s="276"/>
      <c r="I376" s="276" t="str">
        <f t="shared" si="4"/>
        <v>B</v>
      </c>
    </row>
    <row r="377" spans="2:9">
      <c r="B377" s="276" t="s">
        <v>2239</v>
      </c>
      <c r="C377" s="276" t="s">
        <v>2300</v>
      </c>
      <c r="D377" s="276" t="s">
        <v>2302</v>
      </c>
      <c r="E377" s="276">
        <v>2</v>
      </c>
      <c r="F377" s="276">
        <v>0.48347499999999999</v>
      </c>
      <c r="G377" s="276" t="s">
        <v>2224</v>
      </c>
      <c r="H377" s="276"/>
      <c r="I377" s="276" t="str">
        <f t="shared" si="4"/>
        <v>B</v>
      </c>
    </row>
    <row r="378" spans="2:9">
      <c r="B378" s="276" t="s">
        <v>2362</v>
      </c>
      <c r="C378" s="276" t="s">
        <v>2363</v>
      </c>
      <c r="D378" s="276" t="s">
        <v>2364</v>
      </c>
      <c r="E378" s="276">
        <v>2</v>
      </c>
      <c r="F378" s="276">
        <v>0.25300600000000001</v>
      </c>
      <c r="G378" s="276" t="s">
        <v>2224</v>
      </c>
      <c r="H378" s="276"/>
      <c r="I378" s="276" t="str">
        <f t="shared" si="4"/>
        <v>B</v>
      </c>
    </row>
    <row r="379" spans="2:9">
      <c r="B379" s="276" t="s">
        <v>2340</v>
      </c>
      <c r="C379" s="276" t="s">
        <v>2341</v>
      </c>
      <c r="D379" s="276" t="s">
        <v>2342</v>
      </c>
      <c r="E379" s="276">
        <v>2</v>
      </c>
      <c r="F379" s="276">
        <v>2.0091100000000001E-2</v>
      </c>
      <c r="G379" s="276" t="s">
        <v>2365</v>
      </c>
      <c r="H379" s="276"/>
      <c r="I379" s="276" t="str">
        <f t="shared" si="4"/>
        <v>B</v>
      </c>
    </row>
    <row r="380" spans="2:9">
      <c r="B380" s="276" t="s">
        <v>2316</v>
      </c>
      <c r="C380" s="276" t="s">
        <v>2317</v>
      </c>
      <c r="D380" s="276" t="s">
        <v>2318</v>
      </c>
      <c r="E380" s="276">
        <v>2</v>
      </c>
      <c r="F380" s="276">
        <v>3.7723499999999999</v>
      </c>
      <c r="G380" s="276" t="s">
        <v>2155</v>
      </c>
      <c r="H380" s="276"/>
      <c r="I380" s="276" t="str">
        <f t="shared" si="4"/>
        <v>B</v>
      </c>
    </row>
    <row r="381" spans="2:9">
      <c r="B381" s="276" t="s">
        <v>2316</v>
      </c>
      <c r="C381" s="276" t="s">
        <v>2317</v>
      </c>
      <c r="D381" s="276" t="s">
        <v>2319</v>
      </c>
      <c r="E381" s="276">
        <v>2</v>
      </c>
      <c r="F381" s="276">
        <v>5.2209300000000001</v>
      </c>
      <c r="G381" s="276" t="s">
        <v>2289</v>
      </c>
      <c r="H381" s="276"/>
      <c r="I381" s="276" t="str">
        <f t="shared" si="4"/>
        <v>B</v>
      </c>
    </row>
    <row r="382" spans="2:9">
      <c r="B382" s="276" t="s">
        <v>2362</v>
      </c>
      <c r="C382" s="276" t="s">
        <v>2363</v>
      </c>
      <c r="D382" s="276" t="s">
        <v>2366</v>
      </c>
      <c r="E382" s="276">
        <v>2</v>
      </c>
      <c r="F382" s="276">
        <v>0.28009899999999999</v>
      </c>
      <c r="G382" s="276" t="s">
        <v>2224</v>
      </c>
      <c r="H382" s="276"/>
      <c r="I382" s="276" t="str">
        <f t="shared" si="4"/>
        <v>B</v>
      </c>
    </row>
    <row r="383" spans="2:9">
      <c r="B383" s="276" t="s">
        <v>2294</v>
      </c>
      <c r="C383" s="276" t="s">
        <v>2295</v>
      </c>
      <c r="D383" s="276" t="s">
        <v>2303</v>
      </c>
      <c r="E383" s="276">
        <v>2</v>
      </c>
      <c r="F383" s="276">
        <v>0.23480000000000001</v>
      </c>
      <c r="G383" s="276" t="s">
        <v>2365</v>
      </c>
      <c r="H383" s="276"/>
      <c r="I383" s="276" t="str">
        <f t="shared" si="4"/>
        <v>B</v>
      </c>
    </row>
    <row r="384" spans="2:9">
      <c r="B384" s="276" t="s">
        <v>2351</v>
      </c>
      <c r="C384" s="276" t="s">
        <v>2352</v>
      </c>
      <c r="D384" s="276" t="s">
        <v>2353</v>
      </c>
      <c r="E384" s="276">
        <v>2</v>
      </c>
      <c r="F384" s="276">
        <v>4.5692200000000002E-2</v>
      </c>
      <c r="G384" s="276" t="s">
        <v>2224</v>
      </c>
      <c r="H384" s="276" t="s">
        <v>2354</v>
      </c>
      <c r="I384" s="276" t="str">
        <f t="shared" si="4"/>
        <v>B</v>
      </c>
    </row>
    <row r="385" spans="2:9">
      <c r="B385" s="276" t="s">
        <v>2191</v>
      </c>
      <c r="C385" s="276" t="s">
        <v>2192</v>
      </c>
      <c r="D385" s="276" t="s">
        <v>2291</v>
      </c>
      <c r="E385" s="276">
        <v>2</v>
      </c>
      <c r="F385" s="276">
        <v>1.5137799999999999</v>
      </c>
      <c r="G385" s="276" t="s">
        <v>2224</v>
      </c>
      <c r="H385" s="276"/>
      <c r="I385" s="276" t="str">
        <f t="shared" si="4"/>
        <v>B</v>
      </c>
    </row>
    <row r="386" spans="2:9">
      <c r="B386" s="276" t="s">
        <v>2191</v>
      </c>
      <c r="C386" s="276" t="s">
        <v>2192</v>
      </c>
      <c r="D386" s="276" t="s">
        <v>2292</v>
      </c>
      <c r="E386" s="276">
        <v>2</v>
      </c>
      <c r="F386" s="276">
        <v>0.40274199999999999</v>
      </c>
      <c r="G386" s="276" t="s">
        <v>2224</v>
      </c>
      <c r="H386" s="276"/>
      <c r="I386" s="276" t="str">
        <f t="shared" si="4"/>
        <v>B</v>
      </c>
    </row>
    <row r="387" spans="2:9">
      <c r="B387" s="276" t="s">
        <v>2159</v>
      </c>
      <c r="C387" s="276" t="s">
        <v>2160</v>
      </c>
      <c r="D387" s="276" t="s">
        <v>2293</v>
      </c>
      <c r="E387" s="276">
        <v>2</v>
      </c>
      <c r="F387" s="276">
        <v>1.3446400000000001</v>
      </c>
      <c r="G387" s="276" t="s">
        <v>2224</v>
      </c>
      <c r="H387" s="276"/>
      <c r="I387" s="276" t="str">
        <f t="shared" si="4"/>
        <v>B</v>
      </c>
    </row>
    <row r="388" spans="2:9">
      <c r="B388" s="276" t="s">
        <v>2297</v>
      </c>
      <c r="C388" s="276" t="s">
        <v>2298</v>
      </c>
      <c r="D388" s="276" t="s">
        <v>2299</v>
      </c>
      <c r="E388" s="276">
        <v>2</v>
      </c>
      <c r="F388" s="276">
        <v>0.24912000000000001</v>
      </c>
      <c r="G388" s="276" t="s">
        <v>2224</v>
      </c>
      <c r="H388" s="276"/>
      <c r="I388" s="276" t="str">
        <f t="shared" si="4"/>
        <v>B</v>
      </c>
    </row>
    <row r="389" spans="2:9">
      <c r="B389" s="276" t="s">
        <v>2355</v>
      </c>
      <c r="C389" s="276" t="s">
        <v>2356</v>
      </c>
      <c r="D389" s="276" t="s">
        <v>2357</v>
      </c>
      <c r="E389" s="276">
        <v>2</v>
      </c>
      <c r="F389" s="276">
        <v>5.6153099999999997E-2</v>
      </c>
      <c r="G389" s="276" t="s">
        <v>2224</v>
      </c>
      <c r="H389" s="276"/>
      <c r="I389" s="276" t="str">
        <f t="shared" si="4"/>
        <v>B</v>
      </c>
    </row>
    <row r="390" spans="2:9">
      <c r="B390" s="276" t="s">
        <v>2358</v>
      </c>
      <c r="C390" s="276" t="s">
        <v>2359</v>
      </c>
      <c r="D390" s="276" t="s">
        <v>2360</v>
      </c>
      <c r="E390" s="276">
        <v>2</v>
      </c>
      <c r="F390" s="276">
        <v>4.4444699999999999</v>
      </c>
      <c r="G390" s="276" t="s">
        <v>2224</v>
      </c>
      <c r="H390" s="276"/>
      <c r="I390" s="276" t="str">
        <f t="shared" si="4"/>
        <v>B</v>
      </c>
    </row>
    <row r="391" spans="2:9">
      <c r="B391" s="276" t="s">
        <v>2355</v>
      </c>
      <c r="C391" s="276" t="s">
        <v>2356</v>
      </c>
      <c r="D391" s="276" t="s">
        <v>2361</v>
      </c>
      <c r="E391" s="276">
        <v>2</v>
      </c>
      <c r="F391" s="276">
        <v>5.2301100000000003E-2</v>
      </c>
      <c r="G391" s="276" t="s">
        <v>2224</v>
      </c>
      <c r="H391" s="276"/>
      <c r="I391" s="276" t="str">
        <f t="shared" si="4"/>
        <v>B</v>
      </c>
    </row>
    <row r="392" spans="2:9">
      <c r="B392" s="276" t="s">
        <v>2355</v>
      </c>
      <c r="C392" s="276" t="s">
        <v>2356</v>
      </c>
      <c r="D392" s="276" t="s">
        <v>2245</v>
      </c>
      <c r="E392" s="276">
        <v>2</v>
      </c>
      <c r="F392" s="276">
        <v>5.7410799999999998E-2</v>
      </c>
      <c r="G392" s="276" t="s">
        <v>2224</v>
      </c>
      <c r="H392" s="276"/>
      <c r="I392" s="276" t="str">
        <f t="shared" si="4"/>
        <v>B</v>
      </c>
    </row>
    <row r="393" spans="2:9">
      <c r="B393" s="276" t="s">
        <v>2239</v>
      </c>
      <c r="C393" s="276" t="s">
        <v>2300</v>
      </c>
      <c r="D393" s="276" t="s">
        <v>2301</v>
      </c>
      <c r="E393" s="276">
        <v>2</v>
      </c>
      <c r="F393" s="276">
        <v>0.37837500000000002</v>
      </c>
      <c r="G393" s="276" t="s">
        <v>2224</v>
      </c>
      <c r="H393" s="276"/>
      <c r="I393" s="276" t="str">
        <f t="shared" si="4"/>
        <v>B</v>
      </c>
    </row>
    <row r="394" spans="2:9">
      <c r="B394" s="276" t="s">
        <v>2239</v>
      </c>
      <c r="C394" s="276" t="s">
        <v>2300</v>
      </c>
      <c r="D394" s="276" t="s">
        <v>2302</v>
      </c>
      <c r="E394" s="276">
        <v>2</v>
      </c>
      <c r="F394" s="276">
        <v>0.48347499999999999</v>
      </c>
      <c r="G394" s="276" t="s">
        <v>2224</v>
      </c>
      <c r="H394" s="276"/>
      <c r="I394" s="276" t="str">
        <f t="shared" si="4"/>
        <v>B</v>
      </c>
    </row>
    <row r="395" spans="2:9">
      <c r="B395" s="276" t="s">
        <v>2362</v>
      </c>
      <c r="C395" s="276" t="s">
        <v>2363</v>
      </c>
      <c r="D395" s="276" t="s">
        <v>2364</v>
      </c>
      <c r="E395" s="276">
        <v>2</v>
      </c>
      <c r="F395" s="276">
        <v>0.25300600000000001</v>
      </c>
      <c r="G395" s="276" t="s">
        <v>2224</v>
      </c>
      <c r="H395" s="276"/>
      <c r="I395" s="276" t="str">
        <f t="shared" si="4"/>
        <v>B</v>
      </c>
    </row>
    <row r="396" spans="2:9">
      <c r="B396" s="276" t="s">
        <v>2340</v>
      </c>
      <c r="C396" s="276" t="s">
        <v>2341</v>
      </c>
      <c r="D396" s="276" t="s">
        <v>2342</v>
      </c>
      <c r="E396" s="276">
        <v>2</v>
      </c>
      <c r="F396" s="276">
        <v>2.0091100000000001E-2</v>
      </c>
      <c r="G396" s="276" t="s">
        <v>2365</v>
      </c>
      <c r="H396" s="276"/>
      <c r="I396" s="276" t="str">
        <f t="shared" si="4"/>
        <v>B</v>
      </c>
    </row>
    <row r="397" spans="2:9">
      <c r="B397" s="276" t="s">
        <v>2316</v>
      </c>
      <c r="C397" s="276" t="s">
        <v>2317</v>
      </c>
      <c r="D397" s="276" t="s">
        <v>2318</v>
      </c>
      <c r="E397" s="276">
        <v>2</v>
      </c>
      <c r="F397" s="276">
        <v>3.7723499999999999</v>
      </c>
      <c r="G397" s="276" t="s">
        <v>2155</v>
      </c>
      <c r="H397" s="276"/>
      <c r="I397" s="276" t="str">
        <f t="shared" si="4"/>
        <v>B</v>
      </c>
    </row>
    <row r="398" spans="2:9">
      <c r="B398" s="276" t="s">
        <v>2316</v>
      </c>
      <c r="C398" s="276" t="s">
        <v>2317</v>
      </c>
      <c r="D398" s="276" t="s">
        <v>2319</v>
      </c>
      <c r="E398" s="276">
        <v>2</v>
      </c>
      <c r="F398" s="276">
        <v>5.2209300000000001</v>
      </c>
      <c r="G398" s="276" t="s">
        <v>2289</v>
      </c>
      <c r="H398" s="276"/>
      <c r="I398" s="276" t="str">
        <f t="shared" si="4"/>
        <v>B</v>
      </c>
    </row>
    <row r="399" spans="2:9">
      <c r="B399" s="276" t="s">
        <v>2362</v>
      </c>
      <c r="C399" s="276" t="s">
        <v>2363</v>
      </c>
      <c r="D399" s="276" t="s">
        <v>2366</v>
      </c>
      <c r="E399" s="276">
        <v>2</v>
      </c>
      <c r="F399" s="276">
        <v>0.28009899999999999</v>
      </c>
      <c r="G399" s="276" t="s">
        <v>2224</v>
      </c>
      <c r="H399" s="276"/>
      <c r="I399" s="276" t="str">
        <f t="shared" si="4"/>
        <v>B</v>
      </c>
    </row>
    <row r="400" spans="2:9">
      <c r="B400" s="276" t="s">
        <v>2294</v>
      </c>
      <c r="C400" s="276" t="s">
        <v>2295</v>
      </c>
      <c r="D400" s="276" t="s">
        <v>2303</v>
      </c>
      <c r="E400" s="276">
        <v>2</v>
      </c>
      <c r="F400" s="276">
        <v>0.23480000000000001</v>
      </c>
      <c r="G400" s="276" t="s">
        <v>2365</v>
      </c>
      <c r="H400" s="276"/>
      <c r="I400" s="276" t="str">
        <f t="shared" si="4"/>
        <v>B</v>
      </c>
    </row>
    <row r="401" spans="2:9">
      <c r="B401" s="276" t="s">
        <v>2316</v>
      </c>
      <c r="C401" s="276" t="s">
        <v>2317</v>
      </c>
      <c r="D401" s="276" t="s">
        <v>2319</v>
      </c>
      <c r="E401" s="276">
        <v>5</v>
      </c>
      <c r="F401" s="276">
        <v>5.2209311740378999</v>
      </c>
      <c r="G401" s="276" t="s">
        <v>2155</v>
      </c>
      <c r="H401" s="276"/>
      <c r="I401" s="276" t="str">
        <f t="shared" si="4"/>
        <v>B (LT)</v>
      </c>
    </row>
    <row r="402" spans="2:9">
      <c r="B402" s="276" t="s">
        <v>2316</v>
      </c>
      <c r="C402" s="276" t="s">
        <v>2317</v>
      </c>
      <c r="D402" s="276" t="s">
        <v>2318</v>
      </c>
      <c r="E402" s="276">
        <v>5</v>
      </c>
      <c r="F402" s="276">
        <v>3.7723465776215002</v>
      </c>
      <c r="G402" s="276" t="s">
        <v>2155</v>
      </c>
      <c r="H402" s="276"/>
      <c r="I402" s="276" t="str">
        <f t="shared" si="4"/>
        <v>B (LT)</v>
      </c>
    </row>
    <row r="403" spans="2:9">
      <c r="B403" s="276" t="s">
        <v>2205</v>
      </c>
      <c r="C403" s="276" t="s">
        <v>2306</v>
      </c>
      <c r="D403" s="276" t="s">
        <v>2367</v>
      </c>
      <c r="E403" s="276">
        <v>5</v>
      </c>
      <c r="F403" s="276">
        <v>0.50239101749945003</v>
      </c>
      <c r="G403" s="276" t="s">
        <v>2155</v>
      </c>
      <c r="H403" s="276"/>
      <c r="I403" s="276" t="str">
        <f t="shared" si="4"/>
        <v>B (LT)</v>
      </c>
    </row>
    <row r="404" spans="2:9">
      <c r="B404" s="276" t="s">
        <v>2205</v>
      </c>
      <c r="C404" s="276" t="s">
        <v>2306</v>
      </c>
      <c r="D404" s="276" t="s">
        <v>2368</v>
      </c>
      <c r="E404" s="276">
        <v>5</v>
      </c>
      <c r="F404" s="276">
        <v>0.17116683497714999</v>
      </c>
      <c r="G404" s="276" t="s">
        <v>2155</v>
      </c>
      <c r="H404" s="276"/>
      <c r="I404" s="276" t="str">
        <f t="shared" si="4"/>
        <v>B (LT)</v>
      </c>
    </row>
    <row r="405" spans="2:9">
      <c r="B405" s="276" t="s">
        <v>2205</v>
      </c>
      <c r="C405" s="276" t="s">
        <v>2306</v>
      </c>
      <c r="D405" s="276" t="s">
        <v>2369</v>
      </c>
      <c r="E405" s="276">
        <v>5</v>
      </c>
      <c r="F405" s="276">
        <v>0.2824169924221</v>
      </c>
      <c r="G405" s="276" t="s">
        <v>2155</v>
      </c>
      <c r="H405" s="276"/>
      <c r="I405" s="276" t="str">
        <f t="shared" si="4"/>
        <v>B (LT)</v>
      </c>
    </row>
    <row r="406" spans="2:9">
      <c r="B406" s="276" t="s">
        <v>2205</v>
      </c>
      <c r="C406" s="276" t="s">
        <v>2306</v>
      </c>
      <c r="D406" s="276" t="s">
        <v>2370</v>
      </c>
      <c r="E406" s="276">
        <v>5</v>
      </c>
      <c r="F406" s="276">
        <v>0.28263615703820999</v>
      </c>
      <c r="G406" s="276" t="s">
        <v>2155</v>
      </c>
      <c r="H406" s="276"/>
      <c r="I406" s="276" t="str">
        <f t="shared" si="4"/>
        <v>B (LT)</v>
      </c>
    </row>
    <row r="407" spans="2:9">
      <c r="B407" s="276" t="s">
        <v>2205</v>
      </c>
      <c r="C407" s="276" t="s">
        <v>2242</v>
      </c>
      <c r="D407" s="276" t="s">
        <v>2371</v>
      </c>
      <c r="E407" s="276">
        <v>5</v>
      </c>
      <c r="F407" s="276">
        <v>7.0338333127022007E-2</v>
      </c>
      <c r="G407" s="276" t="s">
        <v>2155</v>
      </c>
      <c r="H407" s="276"/>
      <c r="I407" s="276" t="str">
        <f t="shared" si="4"/>
        <v>B (LT)</v>
      </c>
    </row>
    <row r="408" spans="2:9">
      <c r="B408" s="276" t="s">
        <v>2249</v>
      </c>
      <c r="C408" s="276" t="s">
        <v>2250</v>
      </c>
      <c r="D408" s="276" t="s">
        <v>2372</v>
      </c>
      <c r="E408" s="276">
        <v>5</v>
      </c>
      <c r="F408" s="276">
        <v>1.3129067854690999</v>
      </c>
      <c r="G408" s="276" t="s">
        <v>2155</v>
      </c>
      <c r="H408" s="276"/>
      <c r="I408" s="276" t="str">
        <f t="shared" si="4"/>
        <v>B (LT)</v>
      </c>
    </row>
    <row r="409" spans="2:9">
      <c r="B409" s="276" t="s">
        <v>2373</v>
      </c>
      <c r="C409" s="276" t="s">
        <v>2374</v>
      </c>
      <c r="D409" s="276" t="s">
        <v>2375</v>
      </c>
      <c r="E409" s="276">
        <v>5</v>
      </c>
      <c r="F409" s="276">
        <v>9.8797536209106002E-2</v>
      </c>
      <c r="G409" s="276" t="s">
        <v>2155</v>
      </c>
      <c r="H409" s="276"/>
      <c r="I409" s="276" t="str">
        <f t="shared" si="4"/>
        <v>B (LT)</v>
      </c>
    </row>
    <row r="410" spans="2:9">
      <c r="B410" s="276" t="s">
        <v>2159</v>
      </c>
      <c r="C410" s="276" t="s">
        <v>2160</v>
      </c>
      <c r="D410" s="276" t="s">
        <v>2376</v>
      </c>
      <c r="E410" s="276">
        <v>5</v>
      </c>
      <c r="F410" s="276">
        <v>0.52322641270447001</v>
      </c>
      <c r="G410" s="276" t="s">
        <v>2155</v>
      </c>
      <c r="H410" s="276"/>
      <c r="I410" s="276" t="str">
        <f t="shared" si="4"/>
        <v>B (LT)</v>
      </c>
    </row>
    <row r="411" spans="2:9">
      <c r="B411" s="276" t="s">
        <v>2159</v>
      </c>
      <c r="C411" s="276" t="s">
        <v>2160</v>
      </c>
      <c r="D411" s="276" t="s">
        <v>2377</v>
      </c>
      <c r="E411" s="276">
        <v>5</v>
      </c>
      <c r="F411" s="276">
        <v>1.8156356735153001</v>
      </c>
      <c r="G411" s="276" t="s">
        <v>2155</v>
      </c>
      <c r="H411" s="276"/>
      <c r="I411" s="276" t="str">
        <f t="shared" si="4"/>
        <v>B (LT)</v>
      </c>
    </row>
    <row r="412" spans="2:9">
      <c r="B412" s="276" t="s">
        <v>2163</v>
      </c>
      <c r="C412" s="276" t="s">
        <v>2164</v>
      </c>
      <c r="D412" s="276" t="s">
        <v>2378</v>
      </c>
      <c r="E412" s="276">
        <v>5</v>
      </c>
      <c r="F412" s="276">
        <v>2.9914401876983998</v>
      </c>
      <c r="G412" s="276" t="s">
        <v>2155</v>
      </c>
      <c r="H412" s="276"/>
      <c r="I412" s="276" t="str">
        <f t="shared" si="4"/>
        <v>B (LT)</v>
      </c>
    </row>
    <row r="413" spans="2:9">
      <c r="B413" s="276" t="s">
        <v>2163</v>
      </c>
      <c r="C413" s="276" t="s">
        <v>2164</v>
      </c>
      <c r="D413" s="276" t="s">
        <v>2379</v>
      </c>
      <c r="E413" s="276">
        <v>5</v>
      </c>
      <c r="F413" s="276">
        <v>4.1926517394485003</v>
      </c>
      <c r="G413" s="276" t="s">
        <v>2155</v>
      </c>
      <c r="H413" s="276"/>
      <c r="I413" s="276" t="str">
        <f t="shared" si="4"/>
        <v>B (LT)</v>
      </c>
    </row>
    <row r="414" spans="2:9">
      <c r="B414" s="276" t="s">
        <v>2166</v>
      </c>
      <c r="C414" s="276" t="s">
        <v>2167</v>
      </c>
      <c r="D414" s="276" t="s">
        <v>2380</v>
      </c>
      <c r="E414" s="276">
        <v>5</v>
      </c>
      <c r="F414" s="276">
        <v>11.020508878593001</v>
      </c>
      <c r="G414" s="276" t="s">
        <v>2155</v>
      </c>
      <c r="H414" s="276"/>
      <c r="I414" s="276" t="str">
        <f t="shared" si="4"/>
        <v>B (LT)</v>
      </c>
    </row>
    <row r="415" spans="2:9">
      <c r="B415" s="276" t="s">
        <v>2166</v>
      </c>
      <c r="C415" s="276" t="s">
        <v>2167</v>
      </c>
      <c r="D415" s="276" t="s">
        <v>2381</v>
      </c>
      <c r="E415" s="276">
        <v>5</v>
      </c>
      <c r="F415" s="276">
        <v>4.2021796003264997</v>
      </c>
      <c r="G415" s="276" t="s">
        <v>2155</v>
      </c>
      <c r="H415" s="276"/>
      <c r="I415" s="276" t="str">
        <f t="shared" si="4"/>
        <v>B (LT)</v>
      </c>
    </row>
    <row r="416" spans="2:9">
      <c r="B416" s="276" t="s">
        <v>2166</v>
      </c>
      <c r="C416" s="276" t="s">
        <v>2167</v>
      </c>
      <c r="D416" s="276" t="s">
        <v>2382</v>
      </c>
      <c r="E416" s="276">
        <v>5</v>
      </c>
      <c r="F416" s="276">
        <v>5.9894941891632003</v>
      </c>
      <c r="G416" s="276" t="s">
        <v>2155</v>
      </c>
      <c r="H416" s="276"/>
      <c r="I416" s="276" t="str">
        <f t="shared" si="4"/>
        <v>B (LT)</v>
      </c>
    </row>
    <row r="417" spans="2:9">
      <c r="B417" s="276" t="s">
        <v>2159</v>
      </c>
      <c r="C417" s="276" t="s">
        <v>2160</v>
      </c>
      <c r="D417" s="276" t="s">
        <v>2383</v>
      </c>
      <c r="E417" s="276">
        <v>5</v>
      </c>
      <c r="F417" s="276">
        <v>5.9846002766266002</v>
      </c>
      <c r="G417" s="276" t="s">
        <v>2155</v>
      </c>
      <c r="H417" s="276"/>
      <c r="I417" s="276" t="str">
        <f t="shared" si="4"/>
        <v>B (LT)</v>
      </c>
    </row>
    <row r="418" spans="2:9">
      <c r="B418" s="276" t="s">
        <v>2191</v>
      </c>
      <c r="C418" s="276" t="s">
        <v>2192</v>
      </c>
      <c r="D418" s="276" t="s">
        <v>2225</v>
      </c>
      <c r="E418" s="276">
        <v>5</v>
      </c>
      <c r="F418" s="276">
        <v>2.2472812804564999</v>
      </c>
      <c r="G418" s="276" t="s">
        <v>2155</v>
      </c>
      <c r="H418" s="276"/>
      <c r="I418" s="276" t="str">
        <f t="shared" si="4"/>
        <v>B (LT)</v>
      </c>
    </row>
    <row r="419" spans="2:9">
      <c r="B419" s="276" t="s">
        <v>2191</v>
      </c>
      <c r="C419" s="276" t="s">
        <v>2192</v>
      </c>
      <c r="D419" s="276" t="s">
        <v>2193</v>
      </c>
      <c r="E419" s="276">
        <v>5</v>
      </c>
      <c r="F419" s="276">
        <v>1.5038880386658</v>
      </c>
      <c r="G419" s="276" t="s">
        <v>2155</v>
      </c>
      <c r="H419" s="276" t="s">
        <v>2195</v>
      </c>
      <c r="I419" s="276" t="str">
        <f t="shared" si="4"/>
        <v>B (LT)</v>
      </c>
    </row>
    <row r="420" spans="2:9">
      <c r="B420" s="276" t="s">
        <v>2249</v>
      </c>
      <c r="C420" s="276" t="s">
        <v>2250</v>
      </c>
      <c r="D420" s="276" t="s">
        <v>2384</v>
      </c>
      <c r="E420" s="276">
        <v>5</v>
      </c>
      <c r="F420" s="276">
        <v>7.6345331648787997</v>
      </c>
      <c r="G420" s="276" t="s">
        <v>2155</v>
      </c>
      <c r="H420" s="276"/>
      <c r="I420" s="276" t="str">
        <f t="shared" si="4"/>
        <v>B (LT)</v>
      </c>
    </row>
    <row r="421" spans="2:9">
      <c r="B421" s="276" t="s">
        <v>2159</v>
      </c>
      <c r="C421" s="276" t="s">
        <v>2160</v>
      </c>
      <c r="D421" s="276" t="s">
        <v>2226</v>
      </c>
      <c r="E421" s="276">
        <v>5</v>
      </c>
      <c r="F421" s="276">
        <v>0.38676261613464002</v>
      </c>
      <c r="G421" s="276" t="s">
        <v>2155</v>
      </c>
      <c r="H421" s="276"/>
      <c r="I421" s="276" t="str">
        <f t="shared" si="4"/>
        <v>B (LT)</v>
      </c>
    </row>
    <row r="422" spans="2:9">
      <c r="B422" s="276" t="s">
        <v>2174</v>
      </c>
      <c r="C422" s="276" t="s">
        <v>2175</v>
      </c>
      <c r="D422" s="276" t="s">
        <v>2385</v>
      </c>
      <c r="E422" s="276">
        <v>5</v>
      </c>
      <c r="F422" s="276">
        <v>5.1948998817748997</v>
      </c>
      <c r="G422" s="276" t="s">
        <v>2155</v>
      </c>
      <c r="H422" s="276"/>
      <c r="I422" s="276" t="str">
        <f t="shared" si="4"/>
        <v>B (LT)</v>
      </c>
    </row>
    <row r="423" spans="2:9">
      <c r="B423" s="276" t="s">
        <v>2174</v>
      </c>
      <c r="C423" s="276" t="s">
        <v>2175</v>
      </c>
      <c r="D423" s="276" t="s">
        <v>2386</v>
      </c>
      <c r="E423" s="276">
        <v>5</v>
      </c>
      <c r="F423" s="276">
        <v>4.9749765086898998</v>
      </c>
      <c r="G423" s="276" t="s">
        <v>2155</v>
      </c>
      <c r="H423" s="276"/>
      <c r="I423" s="276" t="str">
        <f t="shared" ref="I423:I486" si="5">_xlfn.XLOOKUP(E423, $K$230:$K$236, $L$230:$L$236)</f>
        <v>B (LT)</v>
      </c>
    </row>
    <row r="424" spans="2:9">
      <c r="B424" s="276" t="s">
        <v>2324</v>
      </c>
      <c r="C424" s="276" t="s">
        <v>2325</v>
      </c>
      <c r="D424" s="276" t="s">
        <v>2387</v>
      </c>
      <c r="E424" s="276">
        <v>5</v>
      </c>
      <c r="F424" s="276">
        <v>0.85357376955413999</v>
      </c>
      <c r="G424" s="276" t="s">
        <v>2155</v>
      </c>
      <c r="H424" s="276"/>
      <c r="I424" s="276" t="str">
        <f t="shared" si="5"/>
        <v>B (LT)</v>
      </c>
    </row>
    <row r="425" spans="2:9">
      <c r="B425" s="276" t="s">
        <v>2205</v>
      </c>
      <c r="C425" s="276" t="s">
        <v>2306</v>
      </c>
      <c r="D425" s="276" t="s">
        <v>2388</v>
      </c>
      <c r="E425" s="276">
        <v>5</v>
      </c>
      <c r="F425" s="276">
        <v>0.41141197987222999</v>
      </c>
      <c r="G425" s="276" t="s">
        <v>2155</v>
      </c>
      <c r="H425" s="276"/>
      <c r="I425" s="276" t="str">
        <f t="shared" si="5"/>
        <v>B (LT)</v>
      </c>
    </row>
    <row r="426" spans="2:9">
      <c r="B426" s="276" t="s">
        <v>2205</v>
      </c>
      <c r="C426" s="276" t="s">
        <v>2206</v>
      </c>
      <c r="D426" s="276" t="s">
        <v>2206</v>
      </c>
      <c r="E426" s="276">
        <v>5</v>
      </c>
      <c r="F426" s="276">
        <v>0.66455227307319997</v>
      </c>
      <c r="G426" s="276" t="s">
        <v>2155</v>
      </c>
      <c r="H426" s="276"/>
      <c r="I426" s="276" t="str">
        <f t="shared" si="5"/>
        <v>B (LT)</v>
      </c>
    </row>
    <row r="427" spans="2:9">
      <c r="B427" s="276" t="s">
        <v>2205</v>
      </c>
      <c r="C427" s="276" t="s">
        <v>2242</v>
      </c>
      <c r="D427" s="276" t="s">
        <v>2389</v>
      </c>
      <c r="E427" s="276">
        <v>5</v>
      </c>
      <c r="F427" s="276">
        <v>0.98481071246289997</v>
      </c>
      <c r="G427" s="276" t="s">
        <v>2155</v>
      </c>
      <c r="H427" s="276"/>
      <c r="I427" s="276" t="str">
        <f t="shared" si="5"/>
        <v>B (LT)</v>
      </c>
    </row>
    <row r="428" spans="2:9">
      <c r="B428" s="276" t="s">
        <v>2205</v>
      </c>
      <c r="C428" s="276" t="s">
        <v>2242</v>
      </c>
      <c r="D428" s="276" t="s">
        <v>2304</v>
      </c>
      <c r="E428" s="276">
        <v>5</v>
      </c>
      <c r="F428" s="276">
        <v>2.5459094437180001</v>
      </c>
      <c r="G428" s="276" t="s">
        <v>2155</v>
      </c>
      <c r="H428" s="276"/>
      <c r="I428" s="276" t="str">
        <f t="shared" si="5"/>
        <v>B (LT)</v>
      </c>
    </row>
    <row r="429" spans="2:9">
      <c r="B429" s="276" t="s">
        <v>2390</v>
      </c>
      <c r="C429" s="276" t="s">
        <v>2086</v>
      </c>
      <c r="D429" s="276" t="s">
        <v>2391</v>
      </c>
      <c r="E429" s="276">
        <v>5</v>
      </c>
      <c r="F429" s="276">
        <v>22.768508919556002</v>
      </c>
      <c r="G429" s="276" t="s">
        <v>2155</v>
      </c>
      <c r="H429" s="276"/>
      <c r="I429" s="276" t="str">
        <f t="shared" si="5"/>
        <v>B (LT)</v>
      </c>
    </row>
    <row r="430" spans="2:9">
      <c r="B430" s="276" t="s">
        <v>2313</v>
      </c>
      <c r="C430" s="276" t="s">
        <v>2392</v>
      </c>
      <c r="D430" s="276" t="s">
        <v>2393</v>
      </c>
      <c r="E430" s="276">
        <v>5</v>
      </c>
      <c r="F430" s="276">
        <v>4.8625094816054997</v>
      </c>
      <c r="G430" s="276" t="s">
        <v>2155</v>
      </c>
      <c r="H430" s="276"/>
      <c r="I430" s="276" t="str">
        <f t="shared" si="5"/>
        <v>B (LT)</v>
      </c>
    </row>
    <row r="431" spans="2:9">
      <c r="B431" s="276" t="s">
        <v>2313</v>
      </c>
      <c r="C431" s="276" t="s">
        <v>2392</v>
      </c>
      <c r="D431" s="276" t="s">
        <v>2394</v>
      </c>
      <c r="E431" s="276">
        <v>5</v>
      </c>
      <c r="F431" s="276">
        <v>5.8865857094917002</v>
      </c>
      <c r="G431" s="276" t="s">
        <v>2155</v>
      </c>
      <c r="H431" s="276"/>
      <c r="I431" s="276" t="str">
        <f t="shared" si="5"/>
        <v>B (LT)</v>
      </c>
    </row>
    <row r="432" spans="2:9">
      <c r="B432" s="276" t="s">
        <v>2174</v>
      </c>
      <c r="C432" s="276" t="s">
        <v>2175</v>
      </c>
      <c r="D432" s="276" t="s">
        <v>2395</v>
      </c>
      <c r="E432" s="276">
        <v>5</v>
      </c>
      <c r="F432" s="276">
        <v>23.309844588577</v>
      </c>
      <c r="G432" s="276" t="s">
        <v>2155</v>
      </c>
      <c r="H432" s="276"/>
      <c r="I432" s="276" t="str">
        <f t="shared" si="5"/>
        <v>B (LT)</v>
      </c>
    </row>
    <row r="433" spans="2:9">
      <c r="B433" s="276" t="s">
        <v>2205</v>
      </c>
      <c r="C433" s="276" t="s">
        <v>2306</v>
      </c>
      <c r="D433" s="276" t="s">
        <v>2396</v>
      </c>
      <c r="E433" s="276">
        <v>5</v>
      </c>
      <c r="F433" s="276">
        <v>0.41924489470053</v>
      </c>
      <c r="G433" s="276" t="s">
        <v>2155</v>
      </c>
      <c r="H433" s="276"/>
      <c r="I433" s="276" t="str">
        <f t="shared" si="5"/>
        <v>B (LT)</v>
      </c>
    </row>
    <row r="434" spans="2:9">
      <c r="B434" s="276" t="s">
        <v>2159</v>
      </c>
      <c r="C434" s="276" t="s">
        <v>2160</v>
      </c>
      <c r="D434" s="276" t="s">
        <v>2233</v>
      </c>
      <c r="E434" s="276">
        <v>5</v>
      </c>
      <c r="F434" s="276">
        <v>7.4993756448135001</v>
      </c>
      <c r="G434" s="276" t="s">
        <v>2155</v>
      </c>
      <c r="H434" s="276"/>
      <c r="I434" s="276" t="str">
        <f t="shared" si="5"/>
        <v>B (LT)</v>
      </c>
    </row>
    <row r="435" spans="2:9">
      <c r="B435" s="276" t="s">
        <v>2239</v>
      </c>
      <c r="C435" s="276" t="s">
        <v>2300</v>
      </c>
      <c r="D435" s="276" t="s">
        <v>2397</v>
      </c>
      <c r="E435" s="276">
        <v>5</v>
      </c>
      <c r="F435" s="276">
        <v>0.12744026134253</v>
      </c>
      <c r="G435" s="276" t="s">
        <v>2155</v>
      </c>
      <c r="H435" s="276"/>
      <c r="I435" s="276" t="str">
        <f t="shared" si="5"/>
        <v>B (LT)</v>
      </c>
    </row>
    <row r="436" spans="2:9">
      <c r="B436" s="276" t="s">
        <v>2390</v>
      </c>
      <c r="C436" s="276" t="s">
        <v>2086</v>
      </c>
      <c r="D436" s="276" t="s">
        <v>2398</v>
      </c>
      <c r="E436" s="276">
        <v>5</v>
      </c>
      <c r="F436" s="276">
        <v>24.823832473660001</v>
      </c>
      <c r="G436" s="276" t="s">
        <v>2155</v>
      </c>
      <c r="H436" s="276"/>
      <c r="I436" s="276" t="str">
        <f t="shared" si="5"/>
        <v>B (LT)</v>
      </c>
    </row>
    <row r="437" spans="2:9">
      <c r="B437" s="276" t="s">
        <v>2159</v>
      </c>
      <c r="C437" s="276" t="s">
        <v>2160</v>
      </c>
      <c r="D437" s="276" t="s">
        <v>2399</v>
      </c>
      <c r="E437" s="276">
        <v>5</v>
      </c>
      <c r="F437" s="276">
        <v>6.2855099999999997E-2</v>
      </c>
      <c r="G437" s="276" t="s">
        <v>2155</v>
      </c>
      <c r="H437" s="276"/>
      <c r="I437" s="276" t="str">
        <f t="shared" si="5"/>
        <v>B (LT)</v>
      </c>
    </row>
    <row r="438" spans="2:9">
      <c r="B438" s="276" t="s">
        <v>2400</v>
      </c>
      <c r="C438" s="276" t="s">
        <v>2401</v>
      </c>
      <c r="D438" s="276" t="s">
        <v>2402</v>
      </c>
      <c r="E438" s="276">
        <v>5</v>
      </c>
      <c r="F438" s="276">
        <v>3.6757312525520001</v>
      </c>
      <c r="G438" s="276" t="s">
        <v>2155</v>
      </c>
      <c r="H438" s="276"/>
      <c r="I438" s="276" t="str">
        <f t="shared" si="5"/>
        <v>B (LT)</v>
      </c>
    </row>
    <row r="439" spans="2:9">
      <c r="B439" s="276" t="s">
        <v>2178</v>
      </c>
      <c r="C439" s="276" t="s">
        <v>2179</v>
      </c>
      <c r="D439" s="276" t="s">
        <v>2403</v>
      </c>
      <c r="E439" s="276">
        <v>5</v>
      </c>
      <c r="F439" s="276">
        <v>43.794899999999998</v>
      </c>
      <c r="G439" s="276" t="s">
        <v>2238</v>
      </c>
      <c r="H439" s="276"/>
      <c r="I439" s="276" t="str">
        <f t="shared" si="5"/>
        <v>B (LT)</v>
      </c>
    </row>
    <row r="440" spans="2:9">
      <c r="B440" s="276" t="s">
        <v>2178</v>
      </c>
      <c r="C440" s="276" t="s">
        <v>2179</v>
      </c>
      <c r="D440" s="276" t="s">
        <v>2404</v>
      </c>
      <c r="E440" s="276">
        <v>5</v>
      </c>
      <c r="F440" s="276">
        <v>142.03399999999999</v>
      </c>
      <c r="G440" s="276" t="s">
        <v>2238</v>
      </c>
      <c r="H440" s="276"/>
      <c r="I440" s="276" t="str">
        <f t="shared" si="5"/>
        <v>B (LT)</v>
      </c>
    </row>
    <row r="441" spans="2:9">
      <c r="B441" s="276" t="s">
        <v>2405</v>
      </c>
      <c r="C441" s="276" t="s">
        <v>2406</v>
      </c>
      <c r="D441" s="276" t="s">
        <v>2407</v>
      </c>
      <c r="E441" s="276">
        <v>5</v>
      </c>
      <c r="F441" s="276">
        <v>1.7219199999999999</v>
      </c>
      <c r="G441" s="276" t="s">
        <v>2408</v>
      </c>
      <c r="H441" s="276"/>
      <c r="I441" s="276" t="str">
        <f t="shared" si="5"/>
        <v>B (LT)</v>
      </c>
    </row>
    <row r="442" spans="2:9">
      <c r="B442" s="276" t="s">
        <v>2316</v>
      </c>
      <c r="C442" s="276" t="s">
        <v>2317</v>
      </c>
      <c r="D442" s="276" t="s">
        <v>2319</v>
      </c>
      <c r="E442" s="276">
        <v>5</v>
      </c>
      <c r="F442" s="276">
        <v>5.2209300000000001</v>
      </c>
      <c r="G442" s="276" t="s">
        <v>2194</v>
      </c>
      <c r="H442" s="276"/>
      <c r="I442" s="276" t="str">
        <f t="shared" si="5"/>
        <v>B (LT)</v>
      </c>
    </row>
    <row r="443" spans="2:9">
      <c r="B443" s="276" t="s">
        <v>2316</v>
      </c>
      <c r="C443" s="276" t="s">
        <v>2317</v>
      </c>
      <c r="D443" s="276" t="s">
        <v>2318</v>
      </c>
      <c r="E443" s="276">
        <v>5</v>
      </c>
      <c r="F443" s="276">
        <v>3.77244</v>
      </c>
      <c r="G443" s="276" t="s">
        <v>2194</v>
      </c>
      <c r="H443" s="276"/>
      <c r="I443" s="276" t="str">
        <f t="shared" si="5"/>
        <v>B (LT)</v>
      </c>
    </row>
    <row r="444" spans="2:9">
      <c r="B444" s="276" t="s">
        <v>2249</v>
      </c>
      <c r="C444" s="276" t="s">
        <v>2250</v>
      </c>
      <c r="D444" s="276" t="s">
        <v>2372</v>
      </c>
      <c r="E444" s="276">
        <v>5</v>
      </c>
      <c r="F444" s="276">
        <v>1.3076000000000001</v>
      </c>
      <c r="G444" s="276" t="s">
        <v>2194</v>
      </c>
      <c r="H444" s="276"/>
      <c r="I444" s="276" t="str">
        <f t="shared" si="5"/>
        <v>B (LT)</v>
      </c>
    </row>
    <row r="445" spans="2:9">
      <c r="B445" s="276" t="s">
        <v>2249</v>
      </c>
      <c r="C445" s="276" t="s">
        <v>2250</v>
      </c>
      <c r="D445" s="276" t="s">
        <v>2409</v>
      </c>
      <c r="E445" s="276">
        <v>5</v>
      </c>
      <c r="F445" s="276">
        <v>1.3172900000000001</v>
      </c>
      <c r="G445" s="276" t="s">
        <v>2194</v>
      </c>
      <c r="H445" s="276"/>
      <c r="I445" s="276" t="str">
        <f t="shared" si="5"/>
        <v>B (LT)</v>
      </c>
    </row>
    <row r="446" spans="2:9">
      <c r="B446" s="276" t="s">
        <v>2163</v>
      </c>
      <c r="C446" s="276" t="s">
        <v>2164</v>
      </c>
      <c r="D446" s="276" t="s">
        <v>2378</v>
      </c>
      <c r="E446" s="276">
        <v>5</v>
      </c>
      <c r="F446" s="276">
        <v>2.9914399999999999</v>
      </c>
      <c r="G446" s="276" t="s">
        <v>2194</v>
      </c>
      <c r="H446" s="276"/>
      <c r="I446" s="276" t="str">
        <f t="shared" si="5"/>
        <v>B (LT)</v>
      </c>
    </row>
    <row r="447" spans="2:9">
      <c r="B447" s="276" t="s">
        <v>2313</v>
      </c>
      <c r="C447" s="276" t="s">
        <v>2410</v>
      </c>
      <c r="D447" s="276" t="s">
        <v>2393</v>
      </c>
      <c r="E447" s="276">
        <v>5</v>
      </c>
      <c r="F447" s="276">
        <v>4.4491899999999998</v>
      </c>
      <c r="G447" s="276" t="s">
        <v>2194</v>
      </c>
      <c r="H447" s="276"/>
      <c r="I447" s="276" t="str">
        <f t="shared" si="5"/>
        <v>B (LT)</v>
      </c>
    </row>
    <row r="448" spans="2:9">
      <c r="B448" s="276" t="s">
        <v>2358</v>
      </c>
      <c r="C448" s="276" t="s">
        <v>2359</v>
      </c>
      <c r="D448" s="276" t="s">
        <v>2411</v>
      </c>
      <c r="E448" s="276">
        <v>5</v>
      </c>
      <c r="F448" s="276">
        <v>12.1884</v>
      </c>
      <c r="G448" s="276" t="s">
        <v>2194</v>
      </c>
      <c r="H448" s="276"/>
      <c r="I448" s="276" t="str">
        <f t="shared" si="5"/>
        <v>B (LT)</v>
      </c>
    </row>
    <row r="449" spans="2:9">
      <c r="B449" s="276" t="s">
        <v>2313</v>
      </c>
      <c r="C449" s="276" t="s">
        <v>2410</v>
      </c>
      <c r="D449" s="276" t="s">
        <v>2412</v>
      </c>
      <c r="E449" s="276">
        <v>5</v>
      </c>
      <c r="F449" s="276">
        <v>0.56314299999999995</v>
      </c>
      <c r="G449" s="276" t="s">
        <v>2194</v>
      </c>
      <c r="H449" s="276"/>
      <c r="I449" s="276" t="str">
        <f t="shared" si="5"/>
        <v>B (LT)</v>
      </c>
    </row>
    <row r="450" spans="2:9">
      <c r="B450" s="276" t="s">
        <v>2159</v>
      </c>
      <c r="C450" s="276" t="s">
        <v>2160</v>
      </c>
      <c r="D450" s="276" t="s">
        <v>2376</v>
      </c>
      <c r="E450" s="276">
        <v>5</v>
      </c>
      <c r="F450" s="276">
        <v>0.52322599999999997</v>
      </c>
      <c r="G450" s="276" t="s">
        <v>2194</v>
      </c>
      <c r="H450" s="276"/>
      <c r="I450" s="276" t="str">
        <f t="shared" si="5"/>
        <v>B (LT)</v>
      </c>
    </row>
    <row r="451" spans="2:9">
      <c r="B451" s="276" t="s">
        <v>2390</v>
      </c>
      <c r="C451" s="276" t="s">
        <v>2086</v>
      </c>
      <c r="D451" s="276" t="s">
        <v>2391</v>
      </c>
      <c r="E451" s="276">
        <v>5</v>
      </c>
      <c r="F451" s="276">
        <v>22.7685</v>
      </c>
      <c r="G451" s="276" t="s">
        <v>2194</v>
      </c>
      <c r="H451" s="276"/>
      <c r="I451" s="276" t="str">
        <f t="shared" si="5"/>
        <v>B (LT)</v>
      </c>
    </row>
    <row r="452" spans="2:9">
      <c r="B452" s="276" t="s">
        <v>2313</v>
      </c>
      <c r="C452" s="276" t="s">
        <v>2392</v>
      </c>
      <c r="D452" s="276" t="s">
        <v>2394</v>
      </c>
      <c r="E452" s="276">
        <v>5</v>
      </c>
      <c r="F452" s="276">
        <v>5.88659</v>
      </c>
      <c r="G452" s="276" t="s">
        <v>2194</v>
      </c>
      <c r="H452" s="276"/>
      <c r="I452" s="276" t="str">
        <f t="shared" si="5"/>
        <v>B (LT)</v>
      </c>
    </row>
    <row r="453" spans="2:9">
      <c r="B453" s="276" t="s">
        <v>2166</v>
      </c>
      <c r="C453" s="276" t="s">
        <v>2167</v>
      </c>
      <c r="D453" s="276" t="s">
        <v>2380</v>
      </c>
      <c r="E453" s="276">
        <v>5</v>
      </c>
      <c r="F453" s="276">
        <v>11.0205</v>
      </c>
      <c r="G453" s="276" t="s">
        <v>2194</v>
      </c>
      <c r="H453" s="276"/>
      <c r="I453" s="276" t="str">
        <f t="shared" si="5"/>
        <v>B (LT)</v>
      </c>
    </row>
    <row r="454" spans="2:9">
      <c r="B454" s="276" t="s">
        <v>2159</v>
      </c>
      <c r="C454" s="276" t="s">
        <v>2160</v>
      </c>
      <c r="D454" s="276" t="s">
        <v>2399</v>
      </c>
      <c r="E454" s="276">
        <v>5</v>
      </c>
      <c r="F454" s="276">
        <v>6.2855099999999997E-2</v>
      </c>
      <c r="G454" s="276" t="s">
        <v>2194</v>
      </c>
      <c r="H454" s="276"/>
      <c r="I454" s="276" t="str">
        <f t="shared" si="5"/>
        <v>B (LT)</v>
      </c>
    </row>
    <row r="455" spans="2:9">
      <c r="B455" s="276" t="s">
        <v>2152</v>
      </c>
      <c r="C455" s="276" t="s">
        <v>2153</v>
      </c>
      <c r="D455" s="276" t="s">
        <v>2247</v>
      </c>
      <c r="E455" s="276">
        <v>5</v>
      </c>
      <c r="F455" s="276">
        <v>5.7296500000000004</v>
      </c>
      <c r="G455" s="276" t="s">
        <v>2194</v>
      </c>
      <c r="H455" s="276"/>
      <c r="I455" s="276" t="str">
        <f t="shared" si="5"/>
        <v>B (LT)</v>
      </c>
    </row>
    <row r="456" spans="2:9">
      <c r="B456" s="276" t="s">
        <v>2152</v>
      </c>
      <c r="C456" s="276" t="s">
        <v>2153</v>
      </c>
      <c r="D456" s="276" t="s">
        <v>2413</v>
      </c>
      <c r="E456" s="276">
        <v>5</v>
      </c>
      <c r="F456" s="276">
        <v>3.9856400000000001</v>
      </c>
      <c r="G456" s="276" t="s">
        <v>2194</v>
      </c>
      <c r="H456" s="276"/>
      <c r="I456" s="276" t="str">
        <f t="shared" si="5"/>
        <v>B (LT)</v>
      </c>
    </row>
    <row r="457" spans="2:9">
      <c r="B457" s="276" t="s">
        <v>2152</v>
      </c>
      <c r="C457" s="276" t="s">
        <v>2153</v>
      </c>
      <c r="D457" s="276" t="s">
        <v>2414</v>
      </c>
      <c r="E457" s="276">
        <v>5</v>
      </c>
      <c r="F457" s="276">
        <v>2.3721000000000001</v>
      </c>
      <c r="G457" s="276" t="s">
        <v>2194</v>
      </c>
      <c r="H457" s="276"/>
      <c r="I457" s="276" t="str">
        <f t="shared" si="5"/>
        <v>B (LT)</v>
      </c>
    </row>
    <row r="458" spans="2:9">
      <c r="B458" s="276" t="s">
        <v>2152</v>
      </c>
      <c r="C458" s="276" t="s">
        <v>2153</v>
      </c>
      <c r="D458" s="276" t="s">
        <v>2415</v>
      </c>
      <c r="E458" s="276">
        <v>5</v>
      </c>
      <c r="F458" s="276">
        <v>3.8442699999999999</v>
      </c>
      <c r="G458" s="276" t="s">
        <v>2194</v>
      </c>
      <c r="H458" s="276"/>
      <c r="I458" s="276" t="str">
        <f t="shared" si="5"/>
        <v>B (LT)</v>
      </c>
    </row>
    <row r="459" spans="2:9">
      <c r="B459" s="276" t="s">
        <v>2152</v>
      </c>
      <c r="C459" s="276" t="s">
        <v>2153</v>
      </c>
      <c r="D459" s="276" t="s">
        <v>2416</v>
      </c>
      <c r="E459" s="276">
        <v>5</v>
      </c>
      <c r="F459" s="276">
        <v>1.9757199999999999</v>
      </c>
      <c r="G459" s="276" t="s">
        <v>2194</v>
      </c>
      <c r="H459" s="276"/>
      <c r="I459" s="276" t="str">
        <f t="shared" si="5"/>
        <v>B (LT)</v>
      </c>
    </row>
    <row r="460" spans="2:9">
      <c r="B460" s="276" t="s">
        <v>2166</v>
      </c>
      <c r="C460" s="276" t="s">
        <v>2167</v>
      </c>
      <c r="D460" s="276" t="s">
        <v>2381</v>
      </c>
      <c r="E460" s="276">
        <v>5</v>
      </c>
      <c r="F460" s="276">
        <v>4.2021800000000002</v>
      </c>
      <c r="G460" s="276" t="s">
        <v>2194</v>
      </c>
      <c r="H460" s="276"/>
      <c r="I460" s="276" t="str">
        <f t="shared" si="5"/>
        <v>B (LT)</v>
      </c>
    </row>
    <row r="461" spans="2:9">
      <c r="B461" s="276" t="s">
        <v>2152</v>
      </c>
      <c r="C461" s="276" t="s">
        <v>2153</v>
      </c>
      <c r="D461" s="276" t="s">
        <v>2416</v>
      </c>
      <c r="E461" s="276">
        <v>5</v>
      </c>
      <c r="F461" s="276">
        <v>1.9757199999999999</v>
      </c>
      <c r="G461" s="276" t="s">
        <v>2259</v>
      </c>
      <c r="H461" s="276"/>
      <c r="I461" s="276" t="str">
        <f t="shared" si="5"/>
        <v>B (LT)</v>
      </c>
    </row>
    <row r="462" spans="2:9">
      <c r="B462" s="276" t="s">
        <v>2152</v>
      </c>
      <c r="C462" s="276" t="s">
        <v>2153</v>
      </c>
      <c r="D462" s="276" t="s">
        <v>2414</v>
      </c>
      <c r="E462" s="276">
        <v>5</v>
      </c>
      <c r="F462" s="276">
        <v>2.3721000000000001</v>
      </c>
      <c r="G462" s="276" t="s">
        <v>2259</v>
      </c>
      <c r="H462" s="276"/>
      <c r="I462" s="276" t="str">
        <f t="shared" si="5"/>
        <v>B (LT)</v>
      </c>
    </row>
    <row r="463" spans="2:9">
      <c r="B463" s="276" t="s">
        <v>2152</v>
      </c>
      <c r="C463" s="276" t="s">
        <v>2153</v>
      </c>
      <c r="D463" s="276" t="s">
        <v>2413</v>
      </c>
      <c r="E463" s="276">
        <v>5</v>
      </c>
      <c r="F463" s="276">
        <v>3.9856400000000001</v>
      </c>
      <c r="G463" s="276" t="s">
        <v>2259</v>
      </c>
      <c r="H463" s="276"/>
      <c r="I463" s="276" t="str">
        <f t="shared" si="5"/>
        <v>B (LT)</v>
      </c>
    </row>
    <row r="464" spans="2:9">
      <c r="B464" s="276" t="s">
        <v>2174</v>
      </c>
      <c r="C464" s="276" t="s">
        <v>2175</v>
      </c>
      <c r="D464" s="276" t="s">
        <v>2417</v>
      </c>
      <c r="E464" s="276">
        <v>5</v>
      </c>
      <c r="F464" s="276">
        <v>9.6764799999999997</v>
      </c>
      <c r="G464" s="276" t="s">
        <v>2259</v>
      </c>
      <c r="H464" s="276"/>
      <c r="I464" s="276" t="str">
        <f t="shared" si="5"/>
        <v>B (LT)</v>
      </c>
    </row>
    <row r="465" spans="2:9">
      <c r="B465" s="276" t="s">
        <v>2152</v>
      </c>
      <c r="C465" s="276" t="s">
        <v>2153</v>
      </c>
      <c r="D465" s="276" t="s">
        <v>2415</v>
      </c>
      <c r="E465" s="276">
        <v>5</v>
      </c>
      <c r="F465" s="276">
        <v>3.8442699999999999</v>
      </c>
      <c r="G465" s="276" t="s">
        <v>2259</v>
      </c>
      <c r="H465" s="276"/>
      <c r="I465" s="276" t="str">
        <f t="shared" si="5"/>
        <v>B (LT)</v>
      </c>
    </row>
    <row r="466" spans="2:9">
      <c r="B466" s="276" t="s">
        <v>2152</v>
      </c>
      <c r="C466" s="276" t="s">
        <v>2153</v>
      </c>
      <c r="D466" s="276" t="s">
        <v>2247</v>
      </c>
      <c r="E466" s="276">
        <v>5</v>
      </c>
      <c r="F466" s="276">
        <v>5.7296500000000004</v>
      </c>
      <c r="G466" s="276" t="s">
        <v>2259</v>
      </c>
      <c r="H466" s="276"/>
      <c r="I466" s="276" t="str">
        <f t="shared" si="5"/>
        <v>B (LT)</v>
      </c>
    </row>
    <row r="467" spans="2:9">
      <c r="B467" s="276" t="s">
        <v>2418</v>
      </c>
      <c r="C467" s="276" t="s">
        <v>2419</v>
      </c>
      <c r="D467" s="276" t="s">
        <v>2419</v>
      </c>
      <c r="E467" s="276">
        <v>5</v>
      </c>
      <c r="F467" s="276">
        <v>2.99519</v>
      </c>
      <c r="G467" s="276" t="s">
        <v>2197</v>
      </c>
      <c r="H467" s="276"/>
      <c r="I467" s="276" t="str">
        <f t="shared" si="5"/>
        <v>B (LT)</v>
      </c>
    </row>
    <row r="468" spans="2:9">
      <c r="B468" s="276" t="s">
        <v>2420</v>
      </c>
      <c r="C468" s="276" t="s">
        <v>2421</v>
      </c>
      <c r="D468" s="276" t="s">
        <v>2422</v>
      </c>
      <c r="E468" s="276">
        <v>5</v>
      </c>
      <c r="F468" s="276">
        <v>7.6731600000000002</v>
      </c>
      <c r="G468" s="276" t="s">
        <v>2197</v>
      </c>
      <c r="H468" s="276"/>
      <c r="I468" s="276" t="str">
        <f t="shared" si="5"/>
        <v>B (LT)</v>
      </c>
    </row>
    <row r="469" spans="2:9">
      <c r="B469" s="276" t="s">
        <v>2420</v>
      </c>
      <c r="C469" s="276" t="s">
        <v>2421</v>
      </c>
      <c r="D469" s="276" t="s">
        <v>2423</v>
      </c>
      <c r="E469" s="276">
        <v>5</v>
      </c>
      <c r="F469" s="276">
        <v>11.691000000000001</v>
      </c>
      <c r="G469" s="276" t="s">
        <v>2197</v>
      </c>
      <c r="H469" s="276"/>
      <c r="I469" s="276" t="str">
        <f t="shared" si="5"/>
        <v>B (LT)</v>
      </c>
    </row>
    <row r="470" spans="2:9">
      <c r="B470" s="276" t="s">
        <v>2152</v>
      </c>
      <c r="C470" s="276" t="s">
        <v>2153</v>
      </c>
      <c r="D470" s="276" t="s">
        <v>2416</v>
      </c>
      <c r="E470" s="276">
        <v>5</v>
      </c>
      <c r="F470" s="276">
        <v>1.9757199999999999</v>
      </c>
      <c r="G470" s="276" t="s">
        <v>2197</v>
      </c>
      <c r="H470" s="276"/>
      <c r="I470" s="276" t="str">
        <f t="shared" si="5"/>
        <v>B (LT)</v>
      </c>
    </row>
    <row r="471" spans="2:9">
      <c r="B471" s="276" t="s">
        <v>2152</v>
      </c>
      <c r="C471" s="276" t="s">
        <v>2153</v>
      </c>
      <c r="D471" s="276" t="s">
        <v>2414</v>
      </c>
      <c r="E471" s="276">
        <v>5</v>
      </c>
      <c r="F471" s="276">
        <v>2.3721000000000001</v>
      </c>
      <c r="G471" s="276" t="s">
        <v>2197</v>
      </c>
      <c r="H471" s="276"/>
      <c r="I471" s="276" t="str">
        <f t="shared" si="5"/>
        <v>B (LT)</v>
      </c>
    </row>
    <row r="472" spans="2:9">
      <c r="B472" s="276" t="s">
        <v>2152</v>
      </c>
      <c r="C472" s="276" t="s">
        <v>2153</v>
      </c>
      <c r="D472" s="276" t="s">
        <v>2413</v>
      </c>
      <c r="E472" s="276">
        <v>5</v>
      </c>
      <c r="F472" s="276">
        <v>3.9856400000000001</v>
      </c>
      <c r="G472" s="276" t="s">
        <v>2197</v>
      </c>
      <c r="H472" s="276"/>
      <c r="I472" s="276" t="str">
        <f t="shared" si="5"/>
        <v>B (LT)</v>
      </c>
    </row>
    <row r="473" spans="2:9">
      <c r="B473" s="276" t="s">
        <v>2178</v>
      </c>
      <c r="C473" s="276" t="s">
        <v>2179</v>
      </c>
      <c r="D473" s="276" t="s">
        <v>2424</v>
      </c>
      <c r="E473" s="276">
        <v>5</v>
      </c>
      <c r="F473" s="276">
        <v>17.105399999999999</v>
      </c>
      <c r="G473" s="276" t="s">
        <v>2197</v>
      </c>
      <c r="H473" s="276"/>
      <c r="I473" s="276" t="str">
        <f t="shared" si="5"/>
        <v>B (LT)</v>
      </c>
    </row>
    <row r="474" spans="2:9">
      <c r="B474" s="276" t="s">
        <v>2200</v>
      </c>
      <c r="C474" s="276" t="s">
        <v>2201</v>
      </c>
      <c r="D474" s="276" t="s">
        <v>2425</v>
      </c>
      <c r="E474" s="276">
        <v>5</v>
      </c>
      <c r="F474" s="276">
        <v>9.0614399999999993</v>
      </c>
      <c r="G474" s="276" t="s">
        <v>2197</v>
      </c>
      <c r="H474" s="276"/>
      <c r="I474" s="276" t="str">
        <f t="shared" si="5"/>
        <v>B (LT)</v>
      </c>
    </row>
    <row r="475" spans="2:9">
      <c r="B475" s="276" t="s">
        <v>2200</v>
      </c>
      <c r="C475" s="276" t="s">
        <v>2201</v>
      </c>
      <c r="D475" s="276" t="s">
        <v>2426</v>
      </c>
      <c r="E475" s="276">
        <v>5</v>
      </c>
      <c r="F475" s="276">
        <v>2.0632899999999998</v>
      </c>
      <c r="G475" s="276" t="s">
        <v>2197</v>
      </c>
      <c r="H475" s="276"/>
      <c r="I475" s="276" t="str">
        <f t="shared" si="5"/>
        <v>B (LT)</v>
      </c>
    </row>
    <row r="476" spans="2:9">
      <c r="B476" s="276" t="s">
        <v>2200</v>
      </c>
      <c r="C476" s="276" t="s">
        <v>2201</v>
      </c>
      <c r="D476" s="276" t="s">
        <v>2427</v>
      </c>
      <c r="E476" s="276">
        <v>5</v>
      </c>
      <c r="F476" s="276">
        <v>4.7396700000000003</v>
      </c>
      <c r="G476" s="276" t="s">
        <v>2197</v>
      </c>
      <c r="H476" s="276"/>
      <c r="I476" s="276" t="str">
        <f t="shared" si="5"/>
        <v>B (LT)</v>
      </c>
    </row>
    <row r="477" spans="2:9">
      <c r="B477" s="276" t="s">
        <v>2174</v>
      </c>
      <c r="C477" s="276" t="s">
        <v>2175</v>
      </c>
      <c r="D477" s="276" t="s">
        <v>2417</v>
      </c>
      <c r="E477" s="276">
        <v>5</v>
      </c>
      <c r="F477" s="276">
        <v>15.732900000000001</v>
      </c>
      <c r="G477" s="276" t="s">
        <v>2197</v>
      </c>
      <c r="H477" s="276"/>
      <c r="I477" s="276" t="str">
        <f t="shared" si="5"/>
        <v>B (LT)</v>
      </c>
    </row>
    <row r="478" spans="2:9">
      <c r="B478" s="276" t="s">
        <v>2428</v>
      </c>
      <c r="C478" s="276" t="s">
        <v>2429</v>
      </c>
      <c r="D478" s="276" t="s">
        <v>2430</v>
      </c>
      <c r="E478" s="276">
        <v>5</v>
      </c>
      <c r="F478" s="276">
        <v>4.9810299999999996</v>
      </c>
      <c r="G478" s="276" t="s">
        <v>2197</v>
      </c>
      <c r="H478" s="276"/>
      <c r="I478" s="276" t="str">
        <f t="shared" si="5"/>
        <v>B (LT)</v>
      </c>
    </row>
    <row r="479" spans="2:9">
      <c r="B479" s="276" t="s">
        <v>2431</v>
      </c>
      <c r="C479" s="276" t="s">
        <v>2432</v>
      </c>
      <c r="D479" s="276" t="s">
        <v>2433</v>
      </c>
      <c r="E479" s="276">
        <v>5</v>
      </c>
      <c r="F479" s="276">
        <v>194.13900000000001</v>
      </c>
      <c r="G479" s="276" t="s">
        <v>2197</v>
      </c>
      <c r="H479" s="276"/>
      <c r="I479" s="276" t="str">
        <f t="shared" si="5"/>
        <v>B (LT)</v>
      </c>
    </row>
    <row r="480" spans="2:9">
      <c r="B480" s="276" t="s">
        <v>2434</v>
      </c>
      <c r="C480" s="276" t="s">
        <v>2432</v>
      </c>
      <c r="D480" s="276" t="s">
        <v>2435</v>
      </c>
      <c r="E480" s="276">
        <v>5</v>
      </c>
      <c r="F480" s="276">
        <v>56.5154</v>
      </c>
      <c r="G480" s="276" t="s">
        <v>2197</v>
      </c>
      <c r="H480" s="276"/>
      <c r="I480" s="276" t="str">
        <f t="shared" si="5"/>
        <v>B (LT)</v>
      </c>
    </row>
    <row r="481" spans="2:9">
      <c r="B481" s="276" t="s">
        <v>2434</v>
      </c>
      <c r="C481" s="276" t="s">
        <v>2432</v>
      </c>
      <c r="D481" s="276" t="s">
        <v>2436</v>
      </c>
      <c r="E481" s="276">
        <v>5</v>
      </c>
      <c r="F481" s="276">
        <v>175.905</v>
      </c>
      <c r="G481" s="276" t="s">
        <v>2197</v>
      </c>
      <c r="H481" s="276"/>
      <c r="I481" s="276" t="str">
        <f t="shared" si="5"/>
        <v>B (LT)</v>
      </c>
    </row>
    <row r="482" spans="2:9">
      <c r="B482" s="276" t="s">
        <v>2265</v>
      </c>
      <c r="C482" s="276" t="s">
        <v>2266</v>
      </c>
      <c r="D482" s="276" t="s">
        <v>2437</v>
      </c>
      <c r="E482" s="276">
        <v>5</v>
      </c>
      <c r="F482" s="276">
        <v>35.975700000000003</v>
      </c>
      <c r="G482" s="276" t="s">
        <v>2197</v>
      </c>
      <c r="H482" s="276"/>
      <c r="I482" s="276" t="str">
        <f t="shared" si="5"/>
        <v>B (LT)</v>
      </c>
    </row>
    <row r="483" spans="2:9">
      <c r="B483" s="276" t="s">
        <v>2438</v>
      </c>
      <c r="C483" s="276" t="s">
        <v>2439</v>
      </c>
      <c r="D483" s="276" t="s">
        <v>2440</v>
      </c>
      <c r="E483" s="276">
        <v>5</v>
      </c>
      <c r="F483" s="276">
        <v>8.2439099999999996</v>
      </c>
      <c r="G483" s="276" t="s">
        <v>2197</v>
      </c>
      <c r="H483" s="276"/>
      <c r="I483" s="276" t="str">
        <f t="shared" si="5"/>
        <v>B (LT)</v>
      </c>
    </row>
    <row r="484" spans="2:9">
      <c r="B484" s="276" t="s">
        <v>2438</v>
      </c>
      <c r="C484" s="276" t="s">
        <v>2439</v>
      </c>
      <c r="D484" s="276" t="s">
        <v>2441</v>
      </c>
      <c r="E484" s="276">
        <v>5</v>
      </c>
      <c r="F484" s="276">
        <v>6.8957100000000002</v>
      </c>
      <c r="G484" s="276" t="s">
        <v>2197</v>
      </c>
      <c r="H484" s="276"/>
      <c r="I484" s="276" t="str">
        <f t="shared" si="5"/>
        <v>B (LT)</v>
      </c>
    </row>
    <row r="485" spans="2:9">
      <c r="B485" s="276" t="s">
        <v>2152</v>
      </c>
      <c r="C485" s="276" t="s">
        <v>2153</v>
      </c>
      <c r="D485" s="276" t="s">
        <v>2415</v>
      </c>
      <c r="E485" s="276">
        <v>5</v>
      </c>
      <c r="F485" s="276">
        <v>3.8442699999999999</v>
      </c>
      <c r="G485" s="276" t="s">
        <v>2197</v>
      </c>
      <c r="H485" s="276"/>
      <c r="I485" s="276" t="str">
        <f t="shared" si="5"/>
        <v>B (LT)</v>
      </c>
    </row>
    <row r="486" spans="2:9">
      <c r="B486" s="276" t="s">
        <v>2152</v>
      </c>
      <c r="C486" s="276" t="s">
        <v>2153</v>
      </c>
      <c r="D486" s="276" t="s">
        <v>2247</v>
      </c>
      <c r="E486" s="276">
        <v>5</v>
      </c>
      <c r="F486" s="276">
        <v>5.7304899999999996</v>
      </c>
      <c r="G486" s="276" t="s">
        <v>2197</v>
      </c>
      <c r="H486" s="276"/>
      <c r="I486" s="276" t="str">
        <f t="shared" si="5"/>
        <v>B (LT)</v>
      </c>
    </row>
    <row r="487" spans="2:9">
      <c r="B487" s="276" t="s">
        <v>2442</v>
      </c>
      <c r="C487" s="276" t="s">
        <v>2443</v>
      </c>
      <c r="D487" s="276" t="s">
        <v>2444</v>
      </c>
      <c r="E487" s="276">
        <v>5</v>
      </c>
      <c r="F487" s="276">
        <v>13.3048</v>
      </c>
      <c r="G487" s="276" t="s">
        <v>2197</v>
      </c>
      <c r="H487" s="276"/>
      <c r="I487" s="276" t="str">
        <f t="shared" ref="I487:I550" si="6">_xlfn.XLOOKUP(E487, $K$230:$K$236, $L$230:$L$236)</f>
        <v>B (LT)</v>
      </c>
    </row>
    <row r="488" spans="2:9">
      <c r="B488" s="276" t="s">
        <v>2327</v>
      </c>
      <c r="C488" s="276" t="s">
        <v>2445</v>
      </c>
      <c r="D488" s="276" t="s">
        <v>2446</v>
      </c>
      <c r="E488" s="276">
        <v>5</v>
      </c>
      <c r="F488" s="276">
        <v>6.0228400000000004</v>
      </c>
      <c r="G488" s="276" t="s">
        <v>2197</v>
      </c>
      <c r="H488" s="276" t="s">
        <v>2447</v>
      </c>
      <c r="I488" s="276" t="str">
        <f t="shared" si="6"/>
        <v>B (LT)</v>
      </c>
    </row>
    <row r="489" spans="2:9">
      <c r="B489" s="276" t="s">
        <v>2163</v>
      </c>
      <c r="C489" s="276" t="s">
        <v>2164</v>
      </c>
      <c r="D489" s="276" t="s">
        <v>2165</v>
      </c>
      <c r="E489" s="276">
        <v>5</v>
      </c>
      <c r="F489" s="276">
        <v>2.3851499999999999</v>
      </c>
      <c r="G489" s="276" t="s">
        <v>2197</v>
      </c>
      <c r="H489" s="276"/>
      <c r="I489" s="276" t="str">
        <f t="shared" si="6"/>
        <v>B (LT)</v>
      </c>
    </row>
    <row r="490" spans="2:9">
      <c r="B490" s="276" t="s">
        <v>2178</v>
      </c>
      <c r="C490" s="276" t="s">
        <v>2179</v>
      </c>
      <c r="D490" s="276" t="s">
        <v>2403</v>
      </c>
      <c r="E490" s="276">
        <v>5</v>
      </c>
      <c r="F490" s="276">
        <v>43.794899999999998</v>
      </c>
      <c r="G490" s="276" t="s">
        <v>2197</v>
      </c>
      <c r="H490" s="276"/>
      <c r="I490" s="276" t="str">
        <f t="shared" si="6"/>
        <v>B (LT)</v>
      </c>
    </row>
    <row r="491" spans="2:9">
      <c r="B491" s="276" t="s">
        <v>2174</v>
      </c>
      <c r="C491" s="276" t="s">
        <v>2175</v>
      </c>
      <c r="D491" s="276" t="s">
        <v>2448</v>
      </c>
      <c r="E491" s="276">
        <v>5</v>
      </c>
      <c r="F491" s="276">
        <v>30.438800000000001</v>
      </c>
      <c r="G491" s="276" t="s">
        <v>2197</v>
      </c>
      <c r="H491" s="276"/>
      <c r="I491" s="276" t="str">
        <f t="shared" si="6"/>
        <v>B (LT)</v>
      </c>
    </row>
    <row r="492" spans="2:9">
      <c r="B492" s="276" t="s">
        <v>2265</v>
      </c>
      <c r="C492" s="276" t="s">
        <v>2449</v>
      </c>
      <c r="D492" s="276" t="s">
        <v>2450</v>
      </c>
      <c r="E492" s="276">
        <v>5</v>
      </c>
      <c r="F492" s="276">
        <v>39.6464</v>
      </c>
      <c r="G492" s="276" t="s">
        <v>2197</v>
      </c>
      <c r="H492" s="276"/>
      <c r="I492" s="276" t="str">
        <f t="shared" si="6"/>
        <v>B (LT)</v>
      </c>
    </row>
    <row r="493" spans="2:9">
      <c r="B493" s="276" t="s">
        <v>2431</v>
      </c>
      <c r="C493" s="276" t="s">
        <v>2432</v>
      </c>
      <c r="D493" s="276" t="s">
        <v>2451</v>
      </c>
      <c r="E493" s="276">
        <v>5</v>
      </c>
      <c r="F493" s="276">
        <v>80.633200000000002</v>
      </c>
      <c r="G493" s="276" t="s">
        <v>2197</v>
      </c>
      <c r="H493" s="276"/>
      <c r="I493" s="276" t="str">
        <f t="shared" si="6"/>
        <v>B (LT)</v>
      </c>
    </row>
    <row r="494" spans="2:9">
      <c r="B494" s="276" t="s">
        <v>2452</v>
      </c>
      <c r="C494" s="276" t="s">
        <v>2453</v>
      </c>
      <c r="D494" s="276" t="s">
        <v>2454</v>
      </c>
      <c r="E494" s="276">
        <v>5</v>
      </c>
      <c r="F494" s="276">
        <v>1.6240600000000001</v>
      </c>
      <c r="G494" s="276" t="s">
        <v>2204</v>
      </c>
      <c r="H494" s="276"/>
      <c r="I494" s="276" t="str">
        <f t="shared" si="6"/>
        <v>B (LT)</v>
      </c>
    </row>
    <row r="495" spans="2:9">
      <c r="B495" s="276" t="s">
        <v>2178</v>
      </c>
      <c r="C495" s="276" t="s">
        <v>2179</v>
      </c>
      <c r="D495" s="276" t="s">
        <v>2424</v>
      </c>
      <c r="E495" s="276">
        <v>5</v>
      </c>
      <c r="F495" s="276">
        <v>15.412800000000001</v>
      </c>
      <c r="G495" s="276" t="s">
        <v>2204</v>
      </c>
      <c r="H495" s="276"/>
      <c r="I495" s="276" t="str">
        <f t="shared" si="6"/>
        <v>B (LT)</v>
      </c>
    </row>
    <row r="496" spans="2:9">
      <c r="B496" s="276" t="s">
        <v>2455</v>
      </c>
      <c r="C496" s="276" t="s">
        <v>2456</v>
      </c>
      <c r="D496" s="276" t="s">
        <v>2457</v>
      </c>
      <c r="E496" s="276">
        <v>5</v>
      </c>
      <c r="F496" s="276">
        <v>1.5172E-2</v>
      </c>
      <c r="G496" s="276" t="s">
        <v>2204</v>
      </c>
      <c r="H496" s="276"/>
      <c r="I496" s="276" t="str">
        <f t="shared" si="6"/>
        <v>B (LT)</v>
      </c>
    </row>
    <row r="497" spans="2:9">
      <c r="B497" s="276" t="s">
        <v>2418</v>
      </c>
      <c r="C497" s="276" t="s">
        <v>2419</v>
      </c>
      <c r="D497" s="276" t="s">
        <v>2419</v>
      </c>
      <c r="E497" s="276">
        <v>5</v>
      </c>
      <c r="F497" s="276">
        <v>2.99519</v>
      </c>
      <c r="G497" s="276" t="s">
        <v>2204</v>
      </c>
      <c r="H497" s="276"/>
      <c r="I497" s="276" t="str">
        <f t="shared" si="6"/>
        <v>B (LT)</v>
      </c>
    </row>
    <row r="498" spans="2:9">
      <c r="B498" s="276" t="s">
        <v>2187</v>
      </c>
      <c r="C498" s="276" t="s">
        <v>2188</v>
      </c>
      <c r="D498" s="276" t="s">
        <v>2458</v>
      </c>
      <c r="E498" s="276">
        <v>5</v>
      </c>
      <c r="F498" s="276">
        <v>4.6355899999999998E-2</v>
      </c>
      <c r="G498" s="276" t="s">
        <v>2204</v>
      </c>
      <c r="H498" s="276"/>
      <c r="I498" s="276" t="str">
        <f t="shared" si="6"/>
        <v>B (LT)</v>
      </c>
    </row>
    <row r="499" spans="2:9">
      <c r="B499" s="276" t="s">
        <v>2459</v>
      </c>
      <c r="C499" s="276" t="s">
        <v>2460</v>
      </c>
      <c r="D499" s="276" t="s">
        <v>2461</v>
      </c>
      <c r="E499" s="276">
        <v>5</v>
      </c>
      <c r="F499" s="276">
        <v>1.19439E-2</v>
      </c>
      <c r="G499" s="276" t="s">
        <v>2204</v>
      </c>
      <c r="H499" s="276"/>
      <c r="I499" s="276" t="str">
        <f t="shared" si="6"/>
        <v>B (LT)</v>
      </c>
    </row>
    <row r="500" spans="2:9">
      <c r="B500" s="276" t="s">
        <v>2420</v>
      </c>
      <c r="C500" s="276" t="s">
        <v>2421</v>
      </c>
      <c r="D500" s="276" t="s">
        <v>2462</v>
      </c>
      <c r="E500" s="276">
        <v>5</v>
      </c>
      <c r="F500" s="276">
        <v>0.43304199999999998</v>
      </c>
      <c r="G500" s="276" t="s">
        <v>2204</v>
      </c>
      <c r="H500" s="276"/>
      <c r="I500" s="276" t="str">
        <f t="shared" si="6"/>
        <v>B (LT)</v>
      </c>
    </row>
    <row r="501" spans="2:9">
      <c r="B501" s="276" t="s">
        <v>2420</v>
      </c>
      <c r="C501" s="276" t="s">
        <v>2421</v>
      </c>
      <c r="D501" s="276" t="s">
        <v>2423</v>
      </c>
      <c r="E501" s="276">
        <v>5</v>
      </c>
      <c r="F501" s="276">
        <v>11.691000000000001</v>
      </c>
      <c r="G501" s="276" t="s">
        <v>2204</v>
      </c>
      <c r="H501" s="276"/>
      <c r="I501" s="276" t="str">
        <f t="shared" si="6"/>
        <v>B (LT)</v>
      </c>
    </row>
    <row r="502" spans="2:9">
      <c r="B502" s="276" t="s">
        <v>2205</v>
      </c>
      <c r="C502" s="276" t="s">
        <v>2306</v>
      </c>
      <c r="D502" s="276" t="s">
        <v>2463</v>
      </c>
      <c r="E502" s="276">
        <v>5</v>
      </c>
      <c r="F502" s="276">
        <v>0.28241699999999997</v>
      </c>
      <c r="G502" s="276" t="s">
        <v>2204</v>
      </c>
      <c r="H502" s="276"/>
      <c r="I502" s="276" t="str">
        <f t="shared" si="6"/>
        <v>B (LT)</v>
      </c>
    </row>
    <row r="503" spans="2:9">
      <c r="B503" s="276" t="s">
        <v>2373</v>
      </c>
      <c r="C503" s="276" t="s">
        <v>2374</v>
      </c>
      <c r="D503" s="276" t="s">
        <v>2375</v>
      </c>
      <c r="E503" s="276">
        <v>5</v>
      </c>
      <c r="F503" s="276">
        <v>9.8797499999999996E-2</v>
      </c>
      <c r="G503" s="276" t="s">
        <v>2204</v>
      </c>
      <c r="H503" s="276"/>
      <c r="I503" s="276" t="str">
        <f t="shared" si="6"/>
        <v>B (LT)</v>
      </c>
    </row>
    <row r="504" spans="2:9">
      <c r="B504" s="276" t="s">
        <v>2152</v>
      </c>
      <c r="C504" s="276" t="s">
        <v>2153</v>
      </c>
      <c r="D504" s="276" t="s">
        <v>2414</v>
      </c>
      <c r="E504" s="276">
        <v>5</v>
      </c>
      <c r="F504" s="276">
        <v>2.3721000000000001</v>
      </c>
      <c r="G504" s="276" t="s">
        <v>2204</v>
      </c>
      <c r="H504" s="276"/>
      <c r="I504" s="276" t="str">
        <f t="shared" si="6"/>
        <v>B (LT)</v>
      </c>
    </row>
    <row r="505" spans="2:9">
      <c r="B505" s="276" t="s">
        <v>2205</v>
      </c>
      <c r="C505" s="276" t="s">
        <v>2306</v>
      </c>
      <c r="D505" s="276" t="s">
        <v>2464</v>
      </c>
      <c r="E505" s="276">
        <v>5</v>
      </c>
      <c r="F505" s="276">
        <v>0.15833700000000001</v>
      </c>
      <c r="G505" s="276" t="s">
        <v>2204</v>
      </c>
      <c r="H505" s="276"/>
      <c r="I505" s="276" t="str">
        <f t="shared" si="6"/>
        <v>B (LT)</v>
      </c>
    </row>
    <row r="506" spans="2:9">
      <c r="B506" s="276" t="s">
        <v>2373</v>
      </c>
      <c r="C506" s="276" t="s">
        <v>2374</v>
      </c>
      <c r="D506" s="276" t="s">
        <v>2465</v>
      </c>
      <c r="E506" s="276">
        <v>5</v>
      </c>
      <c r="F506" s="276">
        <v>0.55449400000000004</v>
      </c>
      <c r="G506" s="276" t="s">
        <v>2204</v>
      </c>
      <c r="H506" s="276"/>
      <c r="I506" s="276" t="str">
        <f t="shared" si="6"/>
        <v>B (LT)</v>
      </c>
    </row>
    <row r="507" spans="2:9">
      <c r="B507" s="276" t="s">
        <v>2373</v>
      </c>
      <c r="C507" s="276" t="s">
        <v>2374</v>
      </c>
      <c r="D507" s="276" t="s">
        <v>2466</v>
      </c>
      <c r="E507" s="276">
        <v>5</v>
      </c>
      <c r="F507" s="276">
        <v>9.0668100000000001E-2</v>
      </c>
      <c r="G507" s="276" t="s">
        <v>2204</v>
      </c>
      <c r="H507" s="276"/>
      <c r="I507" s="276" t="str">
        <f t="shared" si="6"/>
        <v>B (LT)</v>
      </c>
    </row>
    <row r="508" spans="2:9">
      <c r="B508" s="276" t="s">
        <v>2467</v>
      </c>
      <c r="C508" s="276" t="s">
        <v>2468</v>
      </c>
      <c r="D508" s="276" t="s">
        <v>2469</v>
      </c>
      <c r="E508" s="276">
        <v>5</v>
      </c>
      <c r="F508" s="276">
        <v>2.7046299999999999</v>
      </c>
      <c r="G508" s="276" t="s">
        <v>2204</v>
      </c>
      <c r="H508" s="276"/>
      <c r="I508" s="276" t="str">
        <f t="shared" si="6"/>
        <v>B (LT)</v>
      </c>
    </row>
    <row r="509" spans="2:9">
      <c r="B509" s="276" t="s">
        <v>2467</v>
      </c>
      <c r="C509" s="276" t="s">
        <v>2468</v>
      </c>
      <c r="D509" s="276" t="s">
        <v>2470</v>
      </c>
      <c r="E509" s="276">
        <v>5</v>
      </c>
      <c r="F509" s="276">
        <v>0.87726999999999999</v>
      </c>
      <c r="G509" s="276" t="s">
        <v>2204</v>
      </c>
      <c r="H509" s="276"/>
      <c r="I509" s="276" t="str">
        <f t="shared" si="6"/>
        <v>B (LT)</v>
      </c>
    </row>
    <row r="510" spans="2:9">
      <c r="B510" s="276" t="s">
        <v>2178</v>
      </c>
      <c r="C510" s="276" t="s">
        <v>2471</v>
      </c>
      <c r="D510" s="276" t="s">
        <v>2472</v>
      </c>
      <c r="E510" s="276">
        <v>5</v>
      </c>
      <c r="F510" s="276">
        <v>48.519100000000002</v>
      </c>
      <c r="G510" s="276" t="s">
        <v>2204</v>
      </c>
      <c r="H510" s="276"/>
      <c r="I510" s="276" t="str">
        <f t="shared" si="6"/>
        <v>B (LT)</v>
      </c>
    </row>
    <row r="511" spans="2:9">
      <c r="B511" s="276" t="s">
        <v>2174</v>
      </c>
      <c r="C511" s="276" t="s">
        <v>2175</v>
      </c>
      <c r="D511" s="276" t="s">
        <v>2385</v>
      </c>
      <c r="E511" s="276">
        <v>5</v>
      </c>
      <c r="F511" s="276">
        <v>13.3871</v>
      </c>
      <c r="G511" s="276" t="s">
        <v>2204</v>
      </c>
      <c r="H511" s="276"/>
      <c r="I511" s="276" t="str">
        <f t="shared" si="6"/>
        <v>B (LT)</v>
      </c>
    </row>
    <row r="512" spans="2:9">
      <c r="B512" s="276" t="s">
        <v>2473</v>
      </c>
      <c r="C512" s="276" t="s">
        <v>2474</v>
      </c>
      <c r="D512" s="276" t="s">
        <v>2475</v>
      </c>
      <c r="E512" s="276">
        <v>5</v>
      </c>
      <c r="F512" s="276">
        <v>0.14644599999999999</v>
      </c>
      <c r="G512" s="276" t="s">
        <v>2204</v>
      </c>
      <c r="H512" s="276"/>
      <c r="I512" s="276" t="str">
        <f t="shared" si="6"/>
        <v>B (LT)</v>
      </c>
    </row>
    <row r="513" spans="2:9">
      <c r="B513" s="276" t="s">
        <v>2205</v>
      </c>
      <c r="C513" s="276" t="s">
        <v>2242</v>
      </c>
      <c r="D513" s="276" t="s">
        <v>2476</v>
      </c>
      <c r="E513" s="276">
        <v>5</v>
      </c>
      <c r="F513" s="276">
        <v>7.0338300000000006E-2</v>
      </c>
      <c r="G513" s="276" t="s">
        <v>2204</v>
      </c>
      <c r="H513" s="276"/>
      <c r="I513" s="276" t="str">
        <f t="shared" si="6"/>
        <v>B (LT)</v>
      </c>
    </row>
    <row r="514" spans="2:9">
      <c r="B514" s="276" t="s">
        <v>2294</v>
      </c>
      <c r="C514" s="276" t="s">
        <v>2295</v>
      </c>
      <c r="D514" s="276" t="s">
        <v>2477</v>
      </c>
      <c r="E514" s="276">
        <v>5</v>
      </c>
      <c r="F514" s="276">
        <v>0.66378400000000004</v>
      </c>
      <c r="G514" s="276" t="s">
        <v>2204</v>
      </c>
      <c r="H514" s="276"/>
      <c r="I514" s="276" t="str">
        <f t="shared" si="6"/>
        <v>B (LT)</v>
      </c>
    </row>
    <row r="515" spans="2:9">
      <c r="B515" s="276" t="s">
        <v>2294</v>
      </c>
      <c r="C515" s="276" t="s">
        <v>2295</v>
      </c>
      <c r="D515" s="276" t="s">
        <v>2296</v>
      </c>
      <c r="E515" s="276">
        <v>5</v>
      </c>
      <c r="F515" s="276">
        <v>1.21862</v>
      </c>
      <c r="G515" s="276" t="s">
        <v>2204</v>
      </c>
      <c r="H515" s="276"/>
      <c r="I515" s="276" t="str">
        <f t="shared" si="6"/>
        <v>B (LT)</v>
      </c>
    </row>
    <row r="516" spans="2:9">
      <c r="B516" s="276" t="s">
        <v>2294</v>
      </c>
      <c r="C516" s="276" t="s">
        <v>2295</v>
      </c>
      <c r="D516" s="276" t="s">
        <v>2478</v>
      </c>
      <c r="E516" s="276">
        <v>5</v>
      </c>
      <c r="F516" s="276">
        <v>2.22403</v>
      </c>
      <c r="G516" s="276" t="s">
        <v>2204</v>
      </c>
      <c r="H516" s="276"/>
      <c r="I516" s="276" t="str">
        <f t="shared" si="6"/>
        <v>B (LT)</v>
      </c>
    </row>
    <row r="517" spans="2:9">
      <c r="B517" s="276" t="s">
        <v>2479</v>
      </c>
      <c r="C517" s="276" t="s">
        <v>2480</v>
      </c>
      <c r="D517" s="276" t="s">
        <v>2481</v>
      </c>
      <c r="E517" s="276">
        <v>5</v>
      </c>
      <c r="F517" s="276">
        <v>1.6555899999999999</v>
      </c>
      <c r="G517" s="276" t="s">
        <v>2204</v>
      </c>
      <c r="H517" s="276"/>
      <c r="I517" s="276" t="str">
        <f t="shared" si="6"/>
        <v>B (LT)</v>
      </c>
    </row>
    <row r="518" spans="2:9">
      <c r="B518" s="276" t="s">
        <v>2479</v>
      </c>
      <c r="C518" s="276" t="s">
        <v>2480</v>
      </c>
      <c r="D518" s="276" t="s">
        <v>2482</v>
      </c>
      <c r="E518" s="276">
        <v>5</v>
      </c>
      <c r="F518" s="276">
        <v>3.6137000000000001</v>
      </c>
      <c r="G518" s="276" t="s">
        <v>2204</v>
      </c>
      <c r="H518" s="276"/>
      <c r="I518" s="276" t="str">
        <f t="shared" si="6"/>
        <v>B (LT)</v>
      </c>
    </row>
    <row r="519" spans="2:9">
      <c r="B519" s="276" t="s">
        <v>2434</v>
      </c>
      <c r="C519" s="276" t="s">
        <v>2432</v>
      </c>
      <c r="D519" s="276" t="s">
        <v>2483</v>
      </c>
      <c r="E519" s="276">
        <v>5</v>
      </c>
      <c r="F519" s="276">
        <v>12.2385</v>
      </c>
      <c r="G519" s="276" t="s">
        <v>2204</v>
      </c>
      <c r="H519" s="276"/>
      <c r="I519" s="276" t="str">
        <f t="shared" si="6"/>
        <v>B (LT)</v>
      </c>
    </row>
    <row r="520" spans="2:9">
      <c r="B520" s="276" t="s">
        <v>2434</v>
      </c>
      <c r="C520" s="276" t="s">
        <v>2432</v>
      </c>
      <c r="D520" s="276" t="s">
        <v>2484</v>
      </c>
      <c r="E520" s="276">
        <v>5</v>
      </c>
      <c r="F520" s="276">
        <v>26.794599999999999</v>
      </c>
      <c r="G520" s="276" t="s">
        <v>2204</v>
      </c>
      <c r="H520" s="276"/>
      <c r="I520" s="276" t="str">
        <f t="shared" si="6"/>
        <v>B (LT)</v>
      </c>
    </row>
    <row r="521" spans="2:9">
      <c r="B521" s="276" t="s">
        <v>2431</v>
      </c>
      <c r="C521" s="276" t="s">
        <v>2432</v>
      </c>
      <c r="D521" s="276" t="s">
        <v>2485</v>
      </c>
      <c r="E521" s="276">
        <v>5</v>
      </c>
      <c r="F521" s="276">
        <v>119.458</v>
      </c>
      <c r="G521" s="276" t="s">
        <v>2204</v>
      </c>
      <c r="H521" s="276"/>
      <c r="I521" s="276" t="str">
        <f t="shared" si="6"/>
        <v>B (LT)</v>
      </c>
    </row>
    <row r="522" spans="2:9">
      <c r="B522" s="276" t="s">
        <v>2431</v>
      </c>
      <c r="C522" s="276" t="s">
        <v>2432</v>
      </c>
      <c r="D522" s="276" t="s">
        <v>2486</v>
      </c>
      <c r="E522" s="276">
        <v>5</v>
      </c>
      <c r="F522" s="276">
        <v>130.499</v>
      </c>
      <c r="G522" s="276" t="s">
        <v>2204</v>
      </c>
      <c r="H522" s="276"/>
      <c r="I522" s="276" t="str">
        <f t="shared" si="6"/>
        <v>B (LT)</v>
      </c>
    </row>
    <row r="523" spans="2:9">
      <c r="B523" s="276" t="s">
        <v>2152</v>
      </c>
      <c r="C523" s="276" t="s">
        <v>2153</v>
      </c>
      <c r="D523" s="276" t="s">
        <v>2413</v>
      </c>
      <c r="E523" s="276">
        <v>5</v>
      </c>
      <c r="F523" s="276">
        <v>3.9856400000000001</v>
      </c>
      <c r="G523" s="276" t="s">
        <v>2204</v>
      </c>
      <c r="H523" s="276"/>
      <c r="I523" s="276" t="str">
        <f t="shared" si="6"/>
        <v>B (LT)</v>
      </c>
    </row>
    <row r="524" spans="2:9">
      <c r="B524" s="276" t="s">
        <v>2428</v>
      </c>
      <c r="C524" s="276" t="s">
        <v>2487</v>
      </c>
      <c r="D524" s="276" t="s">
        <v>2488</v>
      </c>
      <c r="E524" s="276">
        <v>5</v>
      </c>
      <c r="F524" s="276">
        <v>0.15941900000000001</v>
      </c>
      <c r="G524" s="276" t="s">
        <v>2204</v>
      </c>
      <c r="H524" s="276"/>
      <c r="I524" s="276" t="str">
        <f t="shared" si="6"/>
        <v>B (LT)</v>
      </c>
    </row>
    <row r="525" spans="2:9">
      <c r="B525" s="276" t="s">
        <v>2428</v>
      </c>
      <c r="C525" s="276" t="s">
        <v>2487</v>
      </c>
      <c r="D525" s="276" t="s">
        <v>2489</v>
      </c>
      <c r="E525" s="276">
        <v>5</v>
      </c>
      <c r="F525" s="276">
        <v>1.7793000000000001</v>
      </c>
      <c r="G525" s="276" t="s">
        <v>2204</v>
      </c>
      <c r="H525" s="276"/>
      <c r="I525" s="276" t="str">
        <f t="shared" si="6"/>
        <v>B (LT)</v>
      </c>
    </row>
    <row r="526" spans="2:9">
      <c r="B526" s="276" t="s">
        <v>2205</v>
      </c>
      <c r="C526" s="276" t="s">
        <v>2242</v>
      </c>
      <c r="D526" s="276" t="s">
        <v>2243</v>
      </c>
      <c r="E526" s="276">
        <v>5</v>
      </c>
      <c r="F526" s="276">
        <v>0.13861200000000001</v>
      </c>
      <c r="G526" s="276" t="s">
        <v>2204</v>
      </c>
      <c r="H526" s="276"/>
      <c r="I526" s="276" t="str">
        <f t="shared" si="6"/>
        <v>B (LT)</v>
      </c>
    </row>
    <row r="527" spans="2:9">
      <c r="B527" s="276" t="s">
        <v>2152</v>
      </c>
      <c r="C527" s="276" t="s">
        <v>2153</v>
      </c>
      <c r="D527" s="276" t="s">
        <v>2247</v>
      </c>
      <c r="E527" s="276">
        <v>5</v>
      </c>
      <c r="F527" s="276">
        <v>5.7514799999999999</v>
      </c>
      <c r="G527" s="276" t="s">
        <v>2204</v>
      </c>
      <c r="H527" s="276"/>
      <c r="I527" s="276" t="str">
        <f t="shared" si="6"/>
        <v>B (LT)</v>
      </c>
    </row>
    <row r="528" spans="2:9">
      <c r="B528" s="276" t="s">
        <v>2249</v>
      </c>
      <c r="C528" s="276" t="s">
        <v>2250</v>
      </c>
      <c r="D528" s="276" t="s">
        <v>2372</v>
      </c>
      <c r="E528" s="276">
        <v>5</v>
      </c>
      <c r="F528" s="276">
        <v>1.30762</v>
      </c>
      <c r="G528" s="276" t="s">
        <v>2204</v>
      </c>
      <c r="H528" s="276"/>
      <c r="I528" s="276" t="str">
        <f t="shared" si="6"/>
        <v>B (LT)</v>
      </c>
    </row>
    <row r="529" spans="2:9">
      <c r="B529" s="276" t="s">
        <v>2490</v>
      </c>
      <c r="C529" s="276" t="s">
        <v>2491</v>
      </c>
      <c r="D529" s="276" t="s">
        <v>2492</v>
      </c>
      <c r="E529" s="276">
        <v>5</v>
      </c>
      <c r="F529" s="276">
        <v>2.9985300000000001</v>
      </c>
      <c r="G529" s="276" t="s">
        <v>2204</v>
      </c>
      <c r="H529" s="276"/>
      <c r="I529" s="276" t="str">
        <f t="shared" si="6"/>
        <v>B (LT)</v>
      </c>
    </row>
    <row r="530" spans="2:9">
      <c r="B530" s="276" t="s">
        <v>2200</v>
      </c>
      <c r="C530" s="276" t="s">
        <v>2201</v>
      </c>
      <c r="D530" s="276" t="s">
        <v>2427</v>
      </c>
      <c r="E530" s="276">
        <v>5</v>
      </c>
      <c r="F530" s="276">
        <v>4.7396700000000003</v>
      </c>
      <c r="G530" s="276" t="s">
        <v>2204</v>
      </c>
      <c r="H530" s="276"/>
      <c r="I530" s="276" t="str">
        <f t="shared" si="6"/>
        <v>B (LT)</v>
      </c>
    </row>
    <row r="531" spans="2:9">
      <c r="B531" s="276" t="s">
        <v>2200</v>
      </c>
      <c r="C531" s="276" t="s">
        <v>2201</v>
      </c>
      <c r="D531" s="276" t="s">
        <v>2426</v>
      </c>
      <c r="E531" s="276">
        <v>5</v>
      </c>
      <c r="F531" s="276">
        <v>2.0632899999999998</v>
      </c>
      <c r="G531" s="276" t="s">
        <v>2204</v>
      </c>
      <c r="H531" s="276"/>
      <c r="I531" s="276" t="str">
        <f t="shared" si="6"/>
        <v>B (LT)</v>
      </c>
    </row>
    <row r="532" spans="2:9">
      <c r="B532" s="276" t="s">
        <v>2205</v>
      </c>
      <c r="C532" s="276" t="s">
        <v>2306</v>
      </c>
      <c r="D532" s="276" t="s">
        <v>2493</v>
      </c>
      <c r="E532" s="276">
        <v>5</v>
      </c>
      <c r="F532" s="276">
        <v>0.113246</v>
      </c>
      <c r="G532" s="276" t="s">
        <v>2204</v>
      </c>
      <c r="H532" s="276"/>
      <c r="I532" s="276" t="str">
        <f t="shared" si="6"/>
        <v>B (LT)</v>
      </c>
    </row>
    <row r="533" spans="2:9">
      <c r="B533" s="276" t="s">
        <v>2152</v>
      </c>
      <c r="C533" s="276" t="s">
        <v>2153</v>
      </c>
      <c r="D533" s="276" t="s">
        <v>2494</v>
      </c>
      <c r="E533" s="276">
        <v>5</v>
      </c>
      <c r="F533" s="276">
        <v>1.6157100000000001E-2</v>
      </c>
      <c r="G533" s="276" t="s">
        <v>2204</v>
      </c>
      <c r="H533" s="276">
        <v>0</v>
      </c>
      <c r="I533" s="276" t="str">
        <f t="shared" si="6"/>
        <v>B (LT)</v>
      </c>
    </row>
    <row r="534" spans="2:9">
      <c r="B534" s="276" t="s">
        <v>2467</v>
      </c>
      <c r="C534" s="276" t="s">
        <v>2468</v>
      </c>
      <c r="D534" s="276" t="s">
        <v>2495</v>
      </c>
      <c r="E534" s="276">
        <v>5</v>
      </c>
      <c r="F534" s="276">
        <v>0.20632600000000001</v>
      </c>
      <c r="G534" s="276" t="s">
        <v>2204</v>
      </c>
      <c r="H534" s="276"/>
      <c r="I534" s="276" t="str">
        <f t="shared" si="6"/>
        <v>B (LT)</v>
      </c>
    </row>
    <row r="535" spans="2:9">
      <c r="B535" s="276" t="s">
        <v>2438</v>
      </c>
      <c r="C535" s="276" t="s">
        <v>2439</v>
      </c>
      <c r="D535" s="276" t="s">
        <v>2496</v>
      </c>
      <c r="E535" s="276">
        <v>5</v>
      </c>
      <c r="F535" s="276">
        <v>1.0017199999999999</v>
      </c>
      <c r="G535" s="276" t="s">
        <v>2204</v>
      </c>
      <c r="H535" s="276"/>
      <c r="I535" s="276" t="str">
        <f t="shared" si="6"/>
        <v>B (LT)</v>
      </c>
    </row>
    <row r="536" spans="2:9">
      <c r="B536" s="276" t="s">
        <v>2438</v>
      </c>
      <c r="C536" s="276" t="s">
        <v>2439</v>
      </c>
      <c r="D536" s="276" t="s">
        <v>2497</v>
      </c>
      <c r="E536" s="276">
        <v>5</v>
      </c>
      <c r="F536" s="276">
        <v>0.42973299999999998</v>
      </c>
      <c r="G536" s="276" t="s">
        <v>2204</v>
      </c>
      <c r="H536" s="276"/>
      <c r="I536" s="276" t="str">
        <f t="shared" si="6"/>
        <v>B (LT)</v>
      </c>
    </row>
    <row r="537" spans="2:9">
      <c r="B537" s="276" t="s">
        <v>2438</v>
      </c>
      <c r="C537" s="276" t="s">
        <v>2439</v>
      </c>
      <c r="D537" s="276" t="s">
        <v>2498</v>
      </c>
      <c r="E537" s="276">
        <v>5</v>
      </c>
      <c r="F537" s="276">
        <v>0.86934800000000001</v>
      </c>
      <c r="G537" s="276" t="s">
        <v>2204</v>
      </c>
      <c r="H537" s="276"/>
      <c r="I537" s="276" t="str">
        <f t="shared" si="6"/>
        <v>B (LT)</v>
      </c>
    </row>
    <row r="538" spans="2:9">
      <c r="B538" s="276" t="s">
        <v>2438</v>
      </c>
      <c r="C538" s="276" t="s">
        <v>2439</v>
      </c>
      <c r="D538" s="276" t="s">
        <v>2499</v>
      </c>
      <c r="E538" s="276">
        <v>5</v>
      </c>
      <c r="F538" s="276">
        <v>0.98623000000000005</v>
      </c>
      <c r="G538" s="276" t="s">
        <v>2204</v>
      </c>
      <c r="H538" s="276"/>
      <c r="I538" s="276" t="str">
        <f t="shared" si="6"/>
        <v>B (LT)</v>
      </c>
    </row>
    <row r="539" spans="2:9">
      <c r="B539" s="276" t="s">
        <v>2438</v>
      </c>
      <c r="C539" s="276" t="s">
        <v>2439</v>
      </c>
      <c r="D539" s="276" t="s">
        <v>2500</v>
      </c>
      <c r="E539" s="276">
        <v>5</v>
      </c>
      <c r="F539" s="276">
        <v>2.10121</v>
      </c>
      <c r="G539" s="276" t="s">
        <v>2204</v>
      </c>
      <c r="H539" s="276"/>
      <c r="I539" s="276" t="str">
        <f t="shared" si="6"/>
        <v>B (LT)</v>
      </c>
    </row>
    <row r="540" spans="2:9">
      <c r="B540" s="276" t="s">
        <v>2438</v>
      </c>
      <c r="C540" s="276" t="s">
        <v>2439</v>
      </c>
      <c r="D540" s="276" t="s">
        <v>2501</v>
      </c>
      <c r="E540" s="276">
        <v>5</v>
      </c>
      <c r="F540" s="276">
        <v>2.5218600000000002</v>
      </c>
      <c r="G540" s="276" t="s">
        <v>2204</v>
      </c>
      <c r="H540" s="276"/>
      <c r="I540" s="276" t="str">
        <f t="shared" si="6"/>
        <v>B (LT)</v>
      </c>
    </row>
    <row r="541" spans="2:9">
      <c r="B541" s="276" t="s">
        <v>2205</v>
      </c>
      <c r="C541" s="276" t="s">
        <v>2306</v>
      </c>
      <c r="D541" s="276" t="s">
        <v>2367</v>
      </c>
      <c r="E541" s="276">
        <v>5</v>
      </c>
      <c r="F541" s="276">
        <v>0.50239100000000003</v>
      </c>
      <c r="G541" s="276" t="s">
        <v>2204</v>
      </c>
      <c r="H541" s="276"/>
      <c r="I541" s="276" t="str">
        <f t="shared" si="6"/>
        <v>B (LT)</v>
      </c>
    </row>
    <row r="542" spans="2:9">
      <c r="B542" s="276" t="s">
        <v>2249</v>
      </c>
      <c r="C542" s="276" t="s">
        <v>2250</v>
      </c>
      <c r="D542" s="276" t="s">
        <v>2251</v>
      </c>
      <c r="E542" s="276">
        <v>5</v>
      </c>
      <c r="F542" s="276">
        <v>2.0676199999999998</v>
      </c>
      <c r="G542" s="276" t="s">
        <v>2204</v>
      </c>
      <c r="H542" s="276"/>
      <c r="I542" s="276" t="str">
        <f t="shared" si="6"/>
        <v>B (LT)</v>
      </c>
    </row>
    <row r="543" spans="2:9">
      <c r="B543" s="276" t="s">
        <v>2455</v>
      </c>
      <c r="C543" s="276" t="s">
        <v>2456</v>
      </c>
      <c r="D543" s="276" t="s">
        <v>2502</v>
      </c>
      <c r="E543" s="276">
        <v>5</v>
      </c>
      <c r="F543" s="276">
        <v>2.03155E-2</v>
      </c>
      <c r="G543" s="276" t="s">
        <v>2204</v>
      </c>
      <c r="H543" s="276"/>
      <c r="I543" s="276" t="str">
        <f t="shared" si="6"/>
        <v>B (LT)</v>
      </c>
    </row>
    <row r="544" spans="2:9">
      <c r="B544" s="276" t="s">
        <v>2200</v>
      </c>
      <c r="C544" s="276" t="s">
        <v>2201</v>
      </c>
      <c r="D544" s="276" t="s">
        <v>2425</v>
      </c>
      <c r="E544" s="276">
        <v>5</v>
      </c>
      <c r="F544" s="276">
        <v>9.0614399999999993</v>
      </c>
      <c r="G544" s="276" t="s">
        <v>2204</v>
      </c>
      <c r="H544" s="276"/>
      <c r="I544" s="276" t="str">
        <f t="shared" si="6"/>
        <v>B (LT)</v>
      </c>
    </row>
    <row r="545" spans="2:9">
      <c r="B545" s="276" t="s">
        <v>2455</v>
      </c>
      <c r="C545" s="276" t="s">
        <v>2456</v>
      </c>
      <c r="D545" s="276" t="s">
        <v>2503</v>
      </c>
      <c r="E545" s="276">
        <v>5</v>
      </c>
      <c r="F545" s="276">
        <v>3.0821500000000002E-2</v>
      </c>
      <c r="G545" s="276" t="s">
        <v>2204</v>
      </c>
      <c r="H545" s="276"/>
      <c r="I545" s="276" t="str">
        <f t="shared" si="6"/>
        <v>B (LT)</v>
      </c>
    </row>
    <row r="546" spans="2:9">
      <c r="B546" s="276" t="s">
        <v>2428</v>
      </c>
      <c r="C546" s="276" t="s">
        <v>2504</v>
      </c>
      <c r="D546" s="276" t="s">
        <v>2505</v>
      </c>
      <c r="E546" s="276">
        <v>5</v>
      </c>
      <c r="F546" s="276">
        <v>4.74857</v>
      </c>
      <c r="G546" s="276" t="s">
        <v>2204</v>
      </c>
      <c r="H546" s="276"/>
      <c r="I546" s="276" t="str">
        <f t="shared" si="6"/>
        <v>B (LT)</v>
      </c>
    </row>
    <row r="547" spans="2:9">
      <c r="B547" s="276" t="s">
        <v>2431</v>
      </c>
      <c r="C547" s="276" t="s">
        <v>2432</v>
      </c>
      <c r="D547" s="276" t="s">
        <v>2451</v>
      </c>
      <c r="E547" s="276">
        <v>5</v>
      </c>
      <c r="F547" s="276">
        <v>46.956499999999998</v>
      </c>
      <c r="G547" s="276" t="s">
        <v>2204</v>
      </c>
      <c r="H547" s="276"/>
      <c r="I547" s="276" t="str">
        <f t="shared" si="6"/>
        <v>B (LT)</v>
      </c>
    </row>
    <row r="548" spans="2:9">
      <c r="B548" s="276" t="s">
        <v>2178</v>
      </c>
      <c r="C548" s="276" t="s">
        <v>2179</v>
      </c>
      <c r="D548" s="276" t="s">
        <v>2506</v>
      </c>
      <c r="E548" s="276">
        <v>5</v>
      </c>
      <c r="F548" s="276">
        <v>9.7359100000000005</v>
      </c>
      <c r="G548" s="276" t="s">
        <v>2224</v>
      </c>
      <c r="H548" s="276"/>
      <c r="I548" s="276" t="str">
        <f t="shared" si="6"/>
        <v>B (LT)</v>
      </c>
    </row>
    <row r="549" spans="2:9">
      <c r="B549" s="276" t="s">
        <v>2418</v>
      </c>
      <c r="C549" s="276" t="s">
        <v>2419</v>
      </c>
      <c r="D549" s="276" t="s">
        <v>2507</v>
      </c>
      <c r="E549" s="276">
        <v>5</v>
      </c>
      <c r="F549" s="276">
        <v>5.4299600000000003E-2</v>
      </c>
      <c r="G549" s="276" t="s">
        <v>2224</v>
      </c>
      <c r="H549" s="276"/>
      <c r="I549" s="276" t="str">
        <f t="shared" si="6"/>
        <v>B (LT)</v>
      </c>
    </row>
    <row r="550" spans="2:9">
      <c r="B550" s="276" t="s">
        <v>2455</v>
      </c>
      <c r="C550" s="276" t="s">
        <v>2456</v>
      </c>
      <c r="D550" s="276" t="s">
        <v>2508</v>
      </c>
      <c r="E550" s="276">
        <v>5</v>
      </c>
      <c r="F550" s="276">
        <v>1.5172E-2</v>
      </c>
      <c r="G550" s="276" t="s">
        <v>2224</v>
      </c>
      <c r="H550" s="276"/>
      <c r="I550" s="276" t="str">
        <f t="shared" si="6"/>
        <v>B (LT)</v>
      </c>
    </row>
    <row r="551" spans="2:9">
      <c r="B551" s="276" t="s">
        <v>2418</v>
      </c>
      <c r="C551" s="276" t="s">
        <v>2419</v>
      </c>
      <c r="D551" s="276" t="s">
        <v>2419</v>
      </c>
      <c r="E551" s="276">
        <v>5</v>
      </c>
      <c r="F551" s="276">
        <v>2.99519</v>
      </c>
      <c r="G551" s="276" t="s">
        <v>2224</v>
      </c>
      <c r="H551" s="276"/>
      <c r="I551" s="276" t="str">
        <f t="shared" ref="I551:I614" si="7">_xlfn.XLOOKUP(E551, $K$230:$K$236, $L$230:$L$236)</f>
        <v>B (LT)</v>
      </c>
    </row>
    <row r="552" spans="2:9">
      <c r="B552" s="276" t="s">
        <v>2178</v>
      </c>
      <c r="C552" s="276" t="s">
        <v>2179</v>
      </c>
      <c r="D552" s="276" t="s">
        <v>2509</v>
      </c>
      <c r="E552" s="276">
        <v>5</v>
      </c>
      <c r="F552" s="276">
        <v>16.465499999999999</v>
      </c>
      <c r="G552" s="276" t="s">
        <v>2224</v>
      </c>
      <c r="H552" s="276"/>
      <c r="I552" s="276" t="str">
        <f t="shared" si="7"/>
        <v>B (LT)</v>
      </c>
    </row>
    <row r="553" spans="2:9">
      <c r="B553" s="276" t="s">
        <v>2459</v>
      </c>
      <c r="C553" s="276" t="s">
        <v>2460</v>
      </c>
      <c r="D553" s="276" t="s">
        <v>2510</v>
      </c>
      <c r="E553" s="276">
        <v>5</v>
      </c>
      <c r="F553" s="276">
        <v>3.44648E-3</v>
      </c>
      <c r="G553" s="276" t="s">
        <v>2224</v>
      </c>
      <c r="H553" s="276"/>
      <c r="I553" s="276" t="str">
        <f t="shared" si="7"/>
        <v>B (LT)</v>
      </c>
    </row>
    <row r="554" spans="2:9">
      <c r="B554" s="276" t="s">
        <v>2373</v>
      </c>
      <c r="C554" s="276" t="s">
        <v>2374</v>
      </c>
      <c r="D554" s="276" t="s">
        <v>2511</v>
      </c>
      <c r="E554" s="276">
        <v>5</v>
      </c>
      <c r="F554" s="276">
        <v>6.5501199999999996E-2</v>
      </c>
      <c r="G554" s="276" t="s">
        <v>2224</v>
      </c>
      <c r="H554" s="276"/>
      <c r="I554" s="276" t="str">
        <f t="shared" si="7"/>
        <v>B (LT)</v>
      </c>
    </row>
    <row r="555" spans="2:9">
      <c r="B555" s="276" t="s">
        <v>2373</v>
      </c>
      <c r="C555" s="276" t="s">
        <v>2374</v>
      </c>
      <c r="D555" s="276" t="s">
        <v>2375</v>
      </c>
      <c r="E555" s="276">
        <v>5</v>
      </c>
      <c r="F555" s="276">
        <v>9.8797499999999996E-2</v>
      </c>
      <c r="G555" s="276" t="s">
        <v>2224</v>
      </c>
      <c r="H555" s="276"/>
      <c r="I555" s="276" t="str">
        <f t="shared" si="7"/>
        <v>B (LT)</v>
      </c>
    </row>
    <row r="556" spans="2:9">
      <c r="B556" s="276" t="s">
        <v>2362</v>
      </c>
      <c r="C556" s="276" t="s">
        <v>2363</v>
      </c>
      <c r="D556" s="276" t="s">
        <v>2512</v>
      </c>
      <c r="E556" s="276">
        <v>5</v>
      </c>
      <c r="F556" s="276">
        <v>3.8581999999999998E-2</v>
      </c>
      <c r="G556" s="276" t="s">
        <v>2224</v>
      </c>
      <c r="H556" s="276"/>
      <c r="I556" s="276" t="str">
        <f t="shared" si="7"/>
        <v>B (LT)</v>
      </c>
    </row>
    <row r="557" spans="2:9">
      <c r="B557" s="276" t="s">
        <v>2249</v>
      </c>
      <c r="C557" s="276" t="s">
        <v>2250</v>
      </c>
      <c r="D557" s="276" t="s">
        <v>2372</v>
      </c>
      <c r="E557" s="276">
        <v>5</v>
      </c>
      <c r="F557" s="276">
        <v>1.3076000000000001</v>
      </c>
      <c r="G557" s="276" t="s">
        <v>2224</v>
      </c>
      <c r="H557" s="276"/>
      <c r="I557" s="276" t="str">
        <f t="shared" si="7"/>
        <v>B (LT)</v>
      </c>
    </row>
    <row r="558" spans="2:9">
      <c r="B558" s="276" t="s">
        <v>2373</v>
      </c>
      <c r="C558" s="276" t="s">
        <v>2374</v>
      </c>
      <c r="D558" s="276" t="s">
        <v>2465</v>
      </c>
      <c r="E558" s="276">
        <v>5</v>
      </c>
      <c r="F558" s="276">
        <v>0.55449400000000004</v>
      </c>
      <c r="G558" s="276" t="s">
        <v>2224</v>
      </c>
      <c r="H558" s="276"/>
      <c r="I558" s="276" t="str">
        <f t="shared" si="7"/>
        <v>B (LT)</v>
      </c>
    </row>
    <row r="559" spans="2:9">
      <c r="B559" s="276" t="s">
        <v>2373</v>
      </c>
      <c r="C559" s="276" t="s">
        <v>2374</v>
      </c>
      <c r="D559" s="276" t="s">
        <v>2466</v>
      </c>
      <c r="E559" s="276">
        <v>5</v>
      </c>
      <c r="F559" s="276">
        <v>9.0668100000000001E-2</v>
      </c>
      <c r="G559" s="276" t="s">
        <v>2224</v>
      </c>
      <c r="H559" s="276"/>
      <c r="I559" s="276" t="str">
        <f t="shared" si="7"/>
        <v>B (LT)</v>
      </c>
    </row>
    <row r="560" spans="2:9">
      <c r="B560" s="276" t="s">
        <v>2159</v>
      </c>
      <c r="C560" s="276" t="s">
        <v>2160</v>
      </c>
      <c r="D560" s="276" t="s">
        <v>2376</v>
      </c>
      <c r="E560" s="276">
        <v>5</v>
      </c>
      <c r="F560" s="276">
        <v>0.52322599999999997</v>
      </c>
      <c r="G560" s="276" t="s">
        <v>2224</v>
      </c>
      <c r="H560" s="276"/>
      <c r="I560" s="276" t="str">
        <f t="shared" si="7"/>
        <v>B (LT)</v>
      </c>
    </row>
    <row r="561" spans="2:9">
      <c r="B561" s="276" t="s">
        <v>2159</v>
      </c>
      <c r="C561" s="276" t="s">
        <v>2160</v>
      </c>
      <c r="D561" s="276" t="s">
        <v>2377</v>
      </c>
      <c r="E561" s="276">
        <v>5</v>
      </c>
      <c r="F561" s="276">
        <v>1.8156399999999999</v>
      </c>
      <c r="G561" s="276" t="s">
        <v>2224</v>
      </c>
      <c r="H561" s="276"/>
      <c r="I561" s="276" t="str">
        <f t="shared" si="7"/>
        <v>B (LT)</v>
      </c>
    </row>
    <row r="562" spans="2:9">
      <c r="B562" s="276" t="s">
        <v>2163</v>
      </c>
      <c r="C562" s="276" t="s">
        <v>2164</v>
      </c>
      <c r="D562" s="276" t="s">
        <v>2379</v>
      </c>
      <c r="E562" s="276">
        <v>5</v>
      </c>
      <c r="F562" s="276">
        <v>4.1926500000000004</v>
      </c>
      <c r="G562" s="276" t="s">
        <v>2224</v>
      </c>
      <c r="H562" s="276"/>
      <c r="I562" s="276" t="str">
        <f t="shared" si="7"/>
        <v>B (LT)</v>
      </c>
    </row>
    <row r="563" spans="2:9">
      <c r="B563" s="276" t="s">
        <v>2163</v>
      </c>
      <c r="C563" s="276" t="s">
        <v>2164</v>
      </c>
      <c r="D563" s="276" t="s">
        <v>2378</v>
      </c>
      <c r="E563" s="276">
        <v>5</v>
      </c>
      <c r="F563" s="276">
        <v>2.9914399999999999</v>
      </c>
      <c r="G563" s="276" t="s">
        <v>2224</v>
      </c>
      <c r="H563" s="276"/>
      <c r="I563" s="276" t="str">
        <f t="shared" si="7"/>
        <v>B (LT)</v>
      </c>
    </row>
    <row r="564" spans="2:9">
      <c r="B564" s="276" t="s">
        <v>2166</v>
      </c>
      <c r="C564" s="276" t="s">
        <v>2167</v>
      </c>
      <c r="D564" s="276" t="s">
        <v>2380</v>
      </c>
      <c r="E564" s="276">
        <v>5</v>
      </c>
      <c r="F564" s="276">
        <v>11.0205</v>
      </c>
      <c r="G564" s="276" t="s">
        <v>2224</v>
      </c>
      <c r="H564" s="276"/>
      <c r="I564" s="276" t="str">
        <f t="shared" si="7"/>
        <v>B (LT)</v>
      </c>
    </row>
    <row r="565" spans="2:9">
      <c r="B565" s="276" t="s">
        <v>2166</v>
      </c>
      <c r="C565" s="276" t="s">
        <v>2167</v>
      </c>
      <c r="D565" s="276" t="s">
        <v>2381</v>
      </c>
      <c r="E565" s="276">
        <v>5</v>
      </c>
      <c r="F565" s="276">
        <v>4.2021800000000002</v>
      </c>
      <c r="G565" s="276" t="s">
        <v>2224</v>
      </c>
      <c r="H565" s="276"/>
      <c r="I565" s="276" t="str">
        <f t="shared" si="7"/>
        <v>B (LT)</v>
      </c>
    </row>
    <row r="566" spans="2:9">
      <c r="B566" s="276" t="s">
        <v>2166</v>
      </c>
      <c r="C566" s="276" t="s">
        <v>2167</v>
      </c>
      <c r="D566" s="276" t="s">
        <v>2382</v>
      </c>
      <c r="E566" s="276">
        <v>5</v>
      </c>
      <c r="F566" s="276">
        <v>5.98949</v>
      </c>
      <c r="G566" s="276" t="s">
        <v>2224</v>
      </c>
      <c r="H566" s="276"/>
      <c r="I566" s="276" t="str">
        <f t="shared" si="7"/>
        <v>B (LT)</v>
      </c>
    </row>
    <row r="567" spans="2:9">
      <c r="B567" s="276" t="s">
        <v>2159</v>
      </c>
      <c r="C567" s="276" t="s">
        <v>2160</v>
      </c>
      <c r="D567" s="276" t="s">
        <v>2383</v>
      </c>
      <c r="E567" s="276">
        <v>5</v>
      </c>
      <c r="F567" s="276">
        <v>5.9846000000000004</v>
      </c>
      <c r="G567" s="276" t="s">
        <v>2224</v>
      </c>
      <c r="H567" s="276"/>
      <c r="I567" s="276" t="str">
        <f t="shared" si="7"/>
        <v>B (LT)</v>
      </c>
    </row>
    <row r="568" spans="2:9">
      <c r="B568" s="276" t="s">
        <v>2205</v>
      </c>
      <c r="C568" s="276" t="s">
        <v>2206</v>
      </c>
      <c r="D568" s="276" t="s">
        <v>2513</v>
      </c>
      <c r="E568" s="276">
        <v>5</v>
      </c>
      <c r="F568" s="276">
        <v>6.6211400000000004E-2</v>
      </c>
      <c r="G568" s="276" t="s">
        <v>2224</v>
      </c>
      <c r="H568" s="276"/>
      <c r="I568" s="276" t="str">
        <f t="shared" si="7"/>
        <v>B (LT)</v>
      </c>
    </row>
    <row r="569" spans="2:9">
      <c r="B569" s="276" t="s">
        <v>2340</v>
      </c>
      <c r="C569" s="276" t="s">
        <v>2514</v>
      </c>
      <c r="D569" s="276" t="s">
        <v>2515</v>
      </c>
      <c r="E569" s="276">
        <v>5</v>
      </c>
      <c r="F569" s="276">
        <v>0.13269900000000001</v>
      </c>
      <c r="G569" s="276" t="s">
        <v>2224</v>
      </c>
      <c r="H569" s="276"/>
      <c r="I569" s="276" t="str">
        <f t="shared" si="7"/>
        <v>B (LT)</v>
      </c>
    </row>
    <row r="570" spans="2:9">
      <c r="B570" s="276" t="s">
        <v>2324</v>
      </c>
      <c r="C570" s="276" t="s">
        <v>2325</v>
      </c>
      <c r="D570" s="276" t="s">
        <v>2387</v>
      </c>
      <c r="E570" s="276">
        <v>5</v>
      </c>
      <c r="F570" s="276">
        <v>0.85357400000000005</v>
      </c>
      <c r="G570" s="276" t="s">
        <v>2224</v>
      </c>
      <c r="H570" s="276"/>
      <c r="I570" s="276" t="str">
        <f t="shared" si="7"/>
        <v>B (LT)</v>
      </c>
    </row>
    <row r="571" spans="2:9">
      <c r="B571" s="276" t="s">
        <v>2174</v>
      </c>
      <c r="C571" s="276" t="s">
        <v>2175</v>
      </c>
      <c r="D571" s="276" t="s">
        <v>2385</v>
      </c>
      <c r="E571" s="276">
        <v>5</v>
      </c>
      <c r="F571" s="276">
        <v>8.5847499999999997</v>
      </c>
      <c r="G571" s="276" t="s">
        <v>2224</v>
      </c>
      <c r="H571" s="276"/>
      <c r="I571" s="276" t="str">
        <f t="shared" si="7"/>
        <v>B (LT)</v>
      </c>
    </row>
    <row r="572" spans="2:9">
      <c r="B572" s="276" t="s">
        <v>2324</v>
      </c>
      <c r="C572" s="276" t="s">
        <v>2325</v>
      </c>
      <c r="D572" s="276" t="s">
        <v>2326</v>
      </c>
      <c r="E572" s="276">
        <v>5</v>
      </c>
      <c r="F572" s="276">
        <v>5.5904499999999997</v>
      </c>
      <c r="G572" s="276" t="s">
        <v>2224</v>
      </c>
      <c r="H572" s="276"/>
      <c r="I572" s="276" t="str">
        <f t="shared" si="7"/>
        <v>B (LT)</v>
      </c>
    </row>
    <row r="573" spans="2:9">
      <c r="B573" s="276" t="s">
        <v>2249</v>
      </c>
      <c r="C573" s="276" t="s">
        <v>2250</v>
      </c>
      <c r="D573" s="276" t="s">
        <v>2409</v>
      </c>
      <c r="E573" s="276">
        <v>5</v>
      </c>
      <c r="F573" s="276">
        <v>1.3172900000000001</v>
      </c>
      <c r="G573" s="276" t="s">
        <v>2224</v>
      </c>
      <c r="H573" s="276"/>
      <c r="I573" s="276" t="str">
        <f t="shared" si="7"/>
        <v>B (LT)</v>
      </c>
    </row>
    <row r="574" spans="2:9">
      <c r="B574" s="276" t="s">
        <v>2249</v>
      </c>
      <c r="C574" s="276" t="s">
        <v>2250</v>
      </c>
      <c r="D574" s="276" t="s">
        <v>2251</v>
      </c>
      <c r="E574" s="276">
        <v>5</v>
      </c>
      <c r="F574" s="276">
        <v>2.0676199999999998</v>
      </c>
      <c r="G574" s="276" t="s">
        <v>2224</v>
      </c>
      <c r="H574" s="276"/>
      <c r="I574" s="276" t="str">
        <f t="shared" si="7"/>
        <v>B (LT)</v>
      </c>
    </row>
    <row r="575" spans="2:9">
      <c r="B575" s="276" t="s">
        <v>2348</v>
      </c>
      <c r="C575" s="276" t="s">
        <v>2349</v>
      </c>
      <c r="D575" s="276" t="s">
        <v>2350</v>
      </c>
      <c r="E575" s="276">
        <v>5</v>
      </c>
      <c r="F575" s="276">
        <v>7.2694900000000007E-2</v>
      </c>
      <c r="G575" s="276" t="s">
        <v>2224</v>
      </c>
      <c r="H575" s="276"/>
      <c r="I575" s="276" t="str">
        <f t="shared" si="7"/>
        <v>B (LT)</v>
      </c>
    </row>
    <row r="576" spans="2:9">
      <c r="B576" s="276" t="s">
        <v>2294</v>
      </c>
      <c r="C576" s="276" t="s">
        <v>2295</v>
      </c>
      <c r="D576" s="276" t="s">
        <v>2296</v>
      </c>
      <c r="E576" s="276">
        <v>5</v>
      </c>
      <c r="F576" s="276">
        <v>1.21862</v>
      </c>
      <c r="G576" s="276" t="s">
        <v>2224</v>
      </c>
      <c r="H576" s="276"/>
      <c r="I576" s="276" t="str">
        <f t="shared" si="7"/>
        <v>B (LT)</v>
      </c>
    </row>
    <row r="577" spans="2:9">
      <c r="B577" s="276" t="s">
        <v>2428</v>
      </c>
      <c r="C577" s="276" t="s">
        <v>2429</v>
      </c>
      <c r="D577" s="276" t="s">
        <v>2516</v>
      </c>
      <c r="E577" s="276">
        <v>5</v>
      </c>
      <c r="F577" s="276">
        <v>0.17288899999999999</v>
      </c>
      <c r="G577" s="276" t="s">
        <v>2224</v>
      </c>
      <c r="H577" s="276"/>
      <c r="I577" s="276" t="str">
        <f t="shared" si="7"/>
        <v>B (LT)</v>
      </c>
    </row>
    <row r="578" spans="2:9">
      <c r="B578" s="276" t="s">
        <v>2205</v>
      </c>
      <c r="C578" s="276" t="s">
        <v>2242</v>
      </c>
      <c r="D578" s="276" t="s">
        <v>2243</v>
      </c>
      <c r="E578" s="276">
        <v>5</v>
      </c>
      <c r="F578" s="276">
        <v>0.13861200000000001</v>
      </c>
      <c r="G578" s="276" t="s">
        <v>2224</v>
      </c>
      <c r="H578" s="276"/>
      <c r="I578" s="276" t="str">
        <f t="shared" si="7"/>
        <v>B (LT)</v>
      </c>
    </row>
    <row r="579" spans="2:9">
      <c r="B579" s="276" t="s">
        <v>2205</v>
      </c>
      <c r="C579" s="276" t="s">
        <v>2306</v>
      </c>
      <c r="D579" s="276" t="s">
        <v>2367</v>
      </c>
      <c r="E579" s="276">
        <v>5</v>
      </c>
      <c r="F579" s="276">
        <v>0.50239100000000003</v>
      </c>
      <c r="G579" s="276" t="s">
        <v>2224</v>
      </c>
      <c r="H579" s="276"/>
      <c r="I579" s="276" t="str">
        <f t="shared" si="7"/>
        <v>B (LT)</v>
      </c>
    </row>
    <row r="580" spans="2:9">
      <c r="B580" s="276" t="s">
        <v>2205</v>
      </c>
      <c r="C580" s="276" t="s">
        <v>2306</v>
      </c>
      <c r="D580" s="276" t="s">
        <v>2368</v>
      </c>
      <c r="E580" s="276">
        <v>5</v>
      </c>
      <c r="F580" s="276">
        <v>0.17116700000000001</v>
      </c>
      <c r="G580" s="276" t="s">
        <v>2224</v>
      </c>
      <c r="H580" s="276"/>
      <c r="I580" s="276" t="str">
        <f t="shared" si="7"/>
        <v>B (LT)</v>
      </c>
    </row>
    <row r="581" spans="2:9">
      <c r="B581" s="276" t="s">
        <v>2205</v>
      </c>
      <c r="C581" s="276" t="s">
        <v>2306</v>
      </c>
      <c r="D581" s="276" t="s">
        <v>2369</v>
      </c>
      <c r="E581" s="276">
        <v>5</v>
      </c>
      <c r="F581" s="276">
        <v>0.28241699999999997</v>
      </c>
      <c r="G581" s="276" t="s">
        <v>2224</v>
      </c>
      <c r="H581" s="276"/>
      <c r="I581" s="276" t="str">
        <f t="shared" si="7"/>
        <v>B (LT)</v>
      </c>
    </row>
    <row r="582" spans="2:9">
      <c r="B582" s="276" t="s">
        <v>2205</v>
      </c>
      <c r="C582" s="276" t="s">
        <v>2242</v>
      </c>
      <c r="D582" s="276" t="s">
        <v>2371</v>
      </c>
      <c r="E582" s="276">
        <v>5</v>
      </c>
      <c r="F582" s="276">
        <v>7.0338300000000006E-2</v>
      </c>
      <c r="G582" s="276" t="s">
        <v>2224</v>
      </c>
      <c r="H582" s="276"/>
      <c r="I582" s="276" t="str">
        <f t="shared" si="7"/>
        <v>B (LT)</v>
      </c>
    </row>
    <row r="583" spans="2:9">
      <c r="B583" s="276" t="s">
        <v>2205</v>
      </c>
      <c r="C583" s="276" t="s">
        <v>2306</v>
      </c>
      <c r="D583" s="276" t="s">
        <v>2388</v>
      </c>
      <c r="E583" s="276">
        <v>5</v>
      </c>
      <c r="F583" s="276">
        <v>0.411412</v>
      </c>
      <c r="G583" s="276" t="s">
        <v>2224</v>
      </c>
      <c r="H583" s="276"/>
      <c r="I583" s="276" t="str">
        <f t="shared" si="7"/>
        <v>B (LT)</v>
      </c>
    </row>
    <row r="584" spans="2:9">
      <c r="B584" s="276" t="s">
        <v>2205</v>
      </c>
      <c r="C584" s="276" t="s">
        <v>2206</v>
      </c>
      <c r="D584" s="276" t="s">
        <v>2206</v>
      </c>
      <c r="E584" s="276">
        <v>5</v>
      </c>
      <c r="F584" s="276">
        <v>0.66455200000000003</v>
      </c>
      <c r="G584" s="276" t="s">
        <v>2224</v>
      </c>
      <c r="H584" s="276"/>
      <c r="I584" s="276" t="str">
        <f t="shared" si="7"/>
        <v>B (LT)</v>
      </c>
    </row>
    <row r="585" spans="2:9">
      <c r="B585" s="276" t="s">
        <v>2205</v>
      </c>
      <c r="C585" s="276" t="s">
        <v>2242</v>
      </c>
      <c r="D585" s="276" t="s">
        <v>2389</v>
      </c>
      <c r="E585" s="276">
        <v>5</v>
      </c>
      <c r="F585" s="276">
        <v>0.98481099999999999</v>
      </c>
      <c r="G585" s="276" t="s">
        <v>2224</v>
      </c>
      <c r="H585" s="276"/>
      <c r="I585" s="276" t="str">
        <f t="shared" si="7"/>
        <v>B (LT)</v>
      </c>
    </row>
    <row r="586" spans="2:9">
      <c r="B586" s="276" t="s">
        <v>2205</v>
      </c>
      <c r="C586" s="276" t="s">
        <v>2242</v>
      </c>
      <c r="D586" s="276" t="s">
        <v>2304</v>
      </c>
      <c r="E586" s="276">
        <v>5</v>
      </c>
      <c r="F586" s="276">
        <v>2.5459100000000001</v>
      </c>
      <c r="G586" s="276" t="s">
        <v>2224</v>
      </c>
      <c r="H586" s="276"/>
      <c r="I586" s="276" t="str">
        <f t="shared" si="7"/>
        <v>B (LT)</v>
      </c>
    </row>
    <row r="587" spans="2:9">
      <c r="B587" s="276" t="s">
        <v>2313</v>
      </c>
      <c r="C587" s="276" t="s">
        <v>2392</v>
      </c>
      <c r="D587" s="276" t="s">
        <v>2393</v>
      </c>
      <c r="E587" s="276">
        <v>5</v>
      </c>
      <c r="F587" s="276">
        <v>4.8625100000000003</v>
      </c>
      <c r="G587" s="276" t="s">
        <v>2224</v>
      </c>
      <c r="H587" s="276"/>
      <c r="I587" s="276" t="str">
        <f t="shared" si="7"/>
        <v>B (LT)</v>
      </c>
    </row>
    <row r="588" spans="2:9">
      <c r="B588" s="276" t="s">
        <v>2313</v>
      </c>
      <c r="C588" s="276" t="s">
        <v>2392</v>
      </c>
      <c r="D588" s="276" t="s">
        <v>2394</v>
      </c>
      <c r="E588" s="276">
        <v>5</v>
      </c>
      <c r="F588" s="276">
        <v>5.88659</v>
      </c>
      <c r="G588" s="276" t="s">
        <v>2224</v>
      </c>
      <c r="H588" s="276"/>
      <c r="I588" s="276" t="str">
        <f t="shared" si="7"/>
        <v>B (LT)</v>
      </c>
    </row>
    <row r="589" spans="2:9">
      <c r="B589" s="276" t="s">
        <v>2205</v>
      </c>
      <c r="C589" s="276" t="s">
        <v>2242</v>
      </c>
      <c r="D589" s="276" t="s">
        <v>2245</v>
      </c>
      <c r="E589" s="276">
        <v>5</v>
      </c>
      <c r="F589" s="276">
        <v>2.9958999999999998</v>
      </c>
      <c r="G589" s="276" t="s">
        <v>2224</v>
      </c>
      <c r="H589" s="276"/>
      <c r="I589" s="276" t="str">
        <f t="shared" si="7"/>
        <v>B (LT)</v>
      </c>
    </row>
    <row r="590" spans="2:9">
      <c r="B590" s="276" t="s">
        <v>2205</v>
      </c>
      <c r="C590" s="276" t="s">
        <v>2242</v>
      </c>
      <c r="D590" s="276" t="s">
        <v>2396</v>
      </c>
      <c r="E590" s="276">
        <v>5</v>
      </c>
      <c r="F590" s="276">
        <v>0.41924499999999998</v>
      </c>
      <c r="G590" s="276" t="s">
        <v>2224</v>
      </c>
      <c r="H590" s="276"/>
      <c r="I590" s="276" t="str">
        <f t="shared" si="7"/>
        <v>B (LT)</v>
      </c>
    </row>
    <row r="591" spans="2:9">
      <c r="B591" s="276" t="s">
        <v>2239</v>
      </c>
      <c r="C591" s="276" t="s">
        <v>2300</v>
      </c>
      <c r="D591" s="276" t="s">
        <v>2397</v>
      </c>
      <c r="E591" s="276">
        <v>5</v>
      </c>
      <c r="F591" s="276">
        <v>0.12744</v>
      </c>
      <c r="G591" s="276" t="s">
        <v>2224</v>
      </c>
      <c r="H591" s="276"/>
      <c r="I591" s="276" t="str">
        <f t="shared" si="7"/>
        <v>B (LT)</v>
      </c>
    </row>
    <row r="592" spans="2:9">
      <c r="B592" s="276" t="s">
        <v>2294</v>
      </c>
      <c r="C592" s="276" t="s">
        <v>2295</v>
      </c>
      <c r="D592" s="276" t="s">
        <v>2478</v>
      </c>
      <c r="E592" s="276">
        <v>5</v>
      </c>
      <c r="F592" s="276">
        <v>2.22403</v>
      </c>
      <c r="G592" s="276" t="s">
        <v>2224</v>
      </c>
      <c r="H592" s="276"/>
      <c r="I592" s="276" t="str">
        <f t="shared" si="7"/>
        <v>B (LT)</v>
      </c>
    </row>
    <row r="593" spans="2:9">
      <c r="B593" s="276" t="s">
        <v>2362</v>
      </c>
      <c r="C593" s="276" t="s">
        <v>2363</v>
      </c>
      <c r="D593" s="276" t="s">
        <v>2517</v>
      </c>
      <c r="E593" s="276">
        <v>5</v>
      </c>
      <c r="F593" s="276">
        <v>0.24646899999999999</v>
      </c>
      <c r="G593" s="276" t="s">
        <v>2224</v>
      </c>
      <c r="H593" s="276"/>
      <c r="I593" s="276" t="str">
        <f t="shared" si="7"/>
        <v>B (LT)</v>
      </c>
    </row>
    <row r="594" spans="2:9">
      <c r="B594" s="276" t="s">
        <v>2455</v>
      </c>
      <c r="C594" s="276" t="s">
        <v>2456</v>
      </c>
      <c r="D594" s="276" t="s">
        <v>2518</v>
      </c>
      <c r="E594" s="276">
        <v>5</v>
      </c>
      <c r="F594" s="276">
        <v>3.99365E-2</v>
      </c>
      <c r="G594" s="276" t="s">
        <v>2224</v>
      </c>
      <c r="H594" s="276"/>
      <c r="I594" s="276" t="str">
        <f t="shared" si="7"/>
        <v>B (LT)</v>
      </c>
    </row>
    <row r="595" spans="2:9">
      <c r="B595" s="276" t="s">
        <v>2324</v>
      </c>
      <c r="C595" s="276" t="s">
        <v>2325</v>
      </c>
      <c r="D595" s="276" t="s">
        <v>2519</v>
      </c>
      <c r="E595" s="276">
        <v>5</v>
      </c>
      <c r="F595" s="276">
        <v>5.0456300000000001</v>
      </c>
      <c r="G595" s="276" t="s">
        <v>2224</v>
      </c>
      <c r="H595" s="276"/>
      <c r="I595" s="276" t="str">
        <f t="shared" si="7"/>
        <v>B (LT)</v>
      </c>
    </row>
    <row r="596" spans="2:9">
      <c r="B596" s="276" t="s">
        <v>2455</v>
      </c>
      <c r="C596" s="276" t="s">
        <v>2456</v>
      </c>
      <c r="D596" s="276" t="s">
        <v>2520</v>
      </c>
      <c r="E596" s="276">
        <v>5</v>
      </c>
      <c r="F596" s="276">
        <v>2.69473E-2</v>
      </c>
      <c r="G596" s="276" t="s">
        <v>2224</v>
      </c>
      <c r="H596" s="276"/>
      <c r="I596" s="276" t="str">
        <f t="shared" si="7"/>
        <v>B (LT)</v>
      </c>
    </row>
    <row r="597" spans="2:9">
      <c r="B597" s="276" t="s">
        <v>2455</v>
      </c>
      <c r="C597" s="276" t="s">
        <v>2456</v>
      </c>
      <c r="D597" s="276" t="s">
        <v>2503</v>
      </c>
      <c r="E597" s="276">
        <v>5</v>
      </c>
      <c r="F597" s="276">
        <v>3.0821500000000002E-2</v>
      </c>
      <c r="G597" s="276" t="s">
        <v>2224</v>
      </c>
      <c r="H597" s="276"/>
      <c r="I597" s="276" t="str">
        <f t="shared" si="7"/>
        <v>B (LT)</v>
      </c>
    </row>
    <row r="598" spans="2:9">
      <c r="B598" s="276" t="s">
        <v>2159</v>
      </c>
      <c r="C598" s="276" t="s">
        <v>2160</v>
      </c>
      <c r="D598" s="276" t="s">
        <v>2399</v>
      </c>
      <c r="E598" s="276">
        <v>5</v>
      </c>
      <c r="F598" s="276">
        <v>6.2855099999999997E-2</v>
      </c>
      <c r="G598" s="276" t="s">
        <v>2224</v>
      </c>
      <c r="H598" s="276"/>
      <c r="I598" s="276" t="str">
        <f t="shared" si="7"/>
        <v>B (LT)</v>
      </c>
    </row>
    <row r="599" spans="2:9">
      <c r="B599" s="276" t="s">
        <v>2249</v>
      </c>
      <c r="C599" s="276" t="s">
        <v>2250</v>
      </c>
      <c r="D599" s="276" t="s">
        <v>2521</v>
      </c>
      <c r="E599" s="276">
        <v>5</v>
      </c>
      <c r="F599" s="276">
        <v>0.23269999999999999</v>
      </c>
      <c r="G599" s="276" t="s">
        <v>2224</v>
      </c>
      <c r="H599" s="276"/>
      <c r="I599" s="276" t="str">
        <f t="shared" si="7"/>
        <v>B (LT)</v>
      </c>
    </row>
    <row r="600" spans="2:9">
      <c r="B600" s="276" t="s">
        <v>2467</v>
      </c>
      <c r="C600" s="276" t="s">
        <v>2522</v>
      </c>
      <c r="D600" s="276" t="s">
        <v>2523</v>
      </c>
      <c r="E600" s="276">
        <v>5</v>
      </c>
      <c r="F600" s="276">
        <v>6.9780000000000005E-4</v>
      </c>
      <c r="G600" s="276" t="s">
        <v>2365</v>
      </c>
      <c r="H600" s="276"/>
      <c r="I600" s="276" t="str">
        <f t="shared" si="7"/>
        <v>B (LT)</v>
      </c>
    </row>
    <row r="601" spans="2:9">
      <c r="B601" s="276" t="s">
        <v>2178</v>
      </c>
      <c r="C601" s="276" t="s">
        <v>2179</v>
      </c>
      <c r="D601" s="276" t="s">
        <v>2506</v>
      </c>
      <c r="E601" s="276">
        <v>5</v>
      </c>
      <c r="F601" s="276">
        <v>9.7359100000000005</v>
      </c>
      <c r="G601" s="276" t="s">
        <v>2224</v>
      </c>
      <c r="H601" s="276"/>
      <c r="I601" s="276" t="str">
        <f t="shared" si="7"/>
        <v>B (LT)</v>
      </c>
    </row>
    <row r="602" spans="2:9">
      <c r="B602" s="276" t="s">
        <v>2418</v>
      </c>
      <c r="C602" s="276" t="s">
        <v>2419</v>
      </c>
      <c r="D602" s="276" t="s">
        <v>2507</v>
      </c>
      <c r="E602" s="276">
        <v>5</v>
      </c>
      <c r="F602" s="276">
        <v>5.4299600000000003E-2</v>
      </c>
      <c r="G602" s="276" t="s">
        <v>2224</v>
      </c>
      <c r="H602" s="276"/>
      <c r="I602" s="276" t="str">
        <f t="shared" si="7"/>
        <v>B (LT)</v>
      </c>
    </row>
    <row r="603" spans="2:9">
      <c r="B603" s="276" t="s">
        <v>2455</v>
      </c>
      <c r="C603" s="276" t="s">
        <v>2456</v>
      </c>
      <c r="D603" s="276" t="s">
        <v>2508</v>
      </c>
      <c r="E603" s="276">
        <v>5</v>
      </c>
      <c r="F603" s="276">
        <v>1.5172E-2</v>
      </c>
      <c r="G603" s="276" t="s">
        <v>2224</v>
      </c>
      <c r="H603" s="276"/>
      <c r="I603" s="276" t="str">
        <f t="shared" si="7"/>
        <v>B (LT)</v>
      </c>
    </row>
    <row r="604" spans="2:9">
      <c r="B604" s="276" t="s">
        <v>2418</v>
      </c>
      <c r="C604" s="276" t="s">
        <v>2419</v>
      </c>
      <c r="D604" s="276" t="s">
        <v>2419</v>
      </c>
      <c r="E604" s="276">
        <v>5</v>
      </c>
      <c r="F604" s="276">
        <v>2.99519</v>
      </c>
      <c r="G604" s="276" t="s">
        <v>2224</v>
      </c>
      <c r="H604" s="276"/>
      <c r="I604" s="276" t="str">
        <f t="shared" si="7"/>
        <v>B (LT)</v>
      </c>
    </row>
    <row r="605" spans="2:9">
      <c r="B605" s="276" t="s">
        <v>2178</v>
      </c>
      <c r="C605" s="276" t="s">
        <v>2179</v>
      </c>
      <c r="D605" s="276" t="s">
        <v>2509</v>
      </c>
      <c r="E605" s="276">
        <v>5</v>
      </c>
      <c r="F605" s="276">
        <v>16.465499999999999</v>
      </c>
      <c r="G605" s="276" t="s">
        <v>2224</v>
      </c>
      <c r="H605" s="276"/>
      <c r="I605" s="276" t="str">
        <f t="shared" si="7"/>
        <v>B (LT)</v>
      </c>
    </row>
    <row r="606" spans="2:9">
      <c r="B606" s="276" t="s">
        <v>2459</v>
      </c>
      <c r="C606" s="276" t="s">
        <v>2460</v>
      </c>
      <c r="D606" s="276" t="s">
        <v>2510</v>
      </c>
      <c r="E606" s="276">
        <v>5</v>
      </c>
      <c r="F606" s="276">
        <v>3.44648E-3</v>
      </c>
      <c r="G606" s="276" t="s">
        <v>2224</v>
      </c>
      <c r="H606" s="276"/>
      <c r="I606" s="276" t="str">
        <f t="shared" si="7"/>
        <v>B (LT)</v>
      </c>
    </row>
    <row r="607" spans="2:9">
      <c r="B607" s="276" t="s">
        <v>2373</v>
      </c>
      <c r="C607" s="276" t="s">
        <v>2374</v>
      </c>
      <c r="D607" s="276" t="s">
        <v>2511</v>
      </c>
      <c r="E607" s="276">
        <v>5</v>
      </c>
      <c r="F607" s="276">
        <v>6.5501199999999996E-2</v>
      </c>
      <c r="G607" s="276" t="s">
        <v>2224</v>
      </c>
      <c r="H607" s="276"/>
      <c r="I607" s="276" t="str">
        <f t="shared" si="7"/>
        <v>B (LT)</v>
      </c>
    </row>
    <row r="608" spans="2:9">
      <c r="B608" s="276" t="s">
        <v>2373</v>
      </c>
      <c r="C608" s="276" t="s">
        <v>2374</v>
      </c>
      <c r="D608" s="276" t="s">
        <v>2375</v>
      </c>
      <c r="E608" s="276">
        <v>5</v>
      </c>
      <c r="F608" s="276">
        <v>9.8797499999999996E-2</v>
      </c>
      <c r="G608" s="276" t="s">
        <v>2224</v>
      </c>
      <c r="H608" s="276"/>
      <c r="I608" s="276" t="str">
        <f t="shared" si="7"/>
        <v>B (LT)</v>
      </c>
    </row>
    <row r="609" spans="2:9">
      <c r="B609" s="276" t="s">
        <v>2362</v>
      </c>
      <c r="C609" s="276" t="s">
        <v>2363</v>
      </c>
      <c r="D609" s="276" t="s">
        <v>2512</v>
      </c>
      <c r="E609" s="276">
        <v>5</v>
      </c>
      <c r="F609" s="276">
        <v>3.8581999999999998E-2</v>
      </c>
      <c r="G609" s="276" t="s">
        <v>2224</v>
      </c>
      <c r="H609" s="276"/>
      <c r="I609" s="276" t="str">
        <f t="shared" si="7"/>
        <v>B (LT)</v>
      </c>
    </row>
    <row r="610" spans="2:9">
      <c r="B610" s="276" t="s">
        <v>2249</v>
      </c>
      <c r="C610" s="276" t="s">
        <v>2250</v>
      </c>
      <c r="D610" s="276" t="s">
        <v>2372</v>
      </c>
      <c r="E610" s="276">
        <v>5</v>
      </c>
      <c r="F610" s="276">
        <v>1.3076000000000001</v>
      </c>
      <c r="G610" s="276" t="s">
        <v>2224</v>
      </c>
      <c r="H610" s="276"/>
      <c r="I610" s="276" t="str">
        <f t="shared" si="7"/>
        <v>B (LT)</v>
      </c>
    </row>
    <row r="611" spans="2:9">
      <c r="B611" s="276" t="s">
        <v>2373</v>
      </c>
      <c r="C611" s="276" t="s">
        <v>2374</v>
      </c>
      <c r="D611" s="276" t="s">
        <v>2465</v>
      </c>
      <c r="E611" s="276">
        <v>5</v>
      </c>
      <c r="F611" s="276">
        <v>0.55449400000000004</v>
      </c>
      <c r="G611" s="276" t="s">
        <v>2224</v>
      </c>
      <c r="H611" s="276"/>
      <c r="I611" s="276" t="str">
        <f t="shared" si="7"/>
        <v>B (LT)</v>
      </c>
    </row>
    <row r="612" spans="2:9">
      <c r="B612" s="276" t="s">
        <v>2373</v>
      </c>
      <c r="C612" s="276" t="s">
        <v>2374</v>
      </c>
      <c r="D612" s="276" t="s">
        <v>2466</v>
      </c>
      <c r="E612" s="276">
        <v>5</v>
      </c>
      <c r="F612" s="276">
        <v>9.0668100000000001E-2</v>
      </c>
      <c r="G612" s="276" t="s">
        <v>2224</v>
      </c>
      <c r="H612" s="276"/>
      <c r="I612" s="276" t="str">
        <f t="shared" si="7"/>
        <v>B (LT)</v>
      </c>
    </row>
    <row r="613" spans="2:9">
      <c r="B613" s="276" t="s">
        <v>2159</v>
      </c>
      <c r="C613" s="276" t="s">
        <v>2160</v>
      </c>
      <c r="D613" s="276" t="s">
        <v>2376</v>
      </c>
      <c r="E613" s="276">
        <v>5</v>
      </c>
      <c r="F613" s="276">
        <v>0.52322599999999997</v>
      </c>
      <c r="G613" s="276" t="s">
        <v>2224</v>
      </c>
      <c r="H613" s="276"/>
      <c r="I613" s="276" t="str">
        <f t="shared" si="7"/>
        <v>B (LT)</v>
      </c>
    </row>
    <row r="614" spans="2:9">
      <c r="B614" s="276" t="s">
        <v>2159</v>
      </c>
      <c r="C614" s="276" t="s">
        <v>2160</v>
      </c>
      <c r="D614" s="276" t="s">
        <v>2377</v>
      </c>
      <c r="E614" s="276">
        <v>5</v>
      </c>
      <c r="F614" s="276">
        <v>1.8156399999999999</v>
      </c>
      <c r="G614" s="276" t="s">
        <v>2224</v>
      </c>
      <c r="H614" s="276"/>
      <c r="I614" s="276" t="str">
        <f t="shared" si="7"/>
        <v>B (LT)</v>
      </c>
    </row>
    <row r="615" spans="2:9">
      <c r="B615" s="276" t="s">
        <v>2163</v>
      </c>
      <c r="C615" s="276" t="s">
        <v>2164</v>
      </c>
      <c r="D615" s="276" t="s">
        <v>2379</v>
      </c>
      <c r="E615" s="276">
        <v>5</v>
      </c>
      <c r="F615" s="276">
        <v>4.1926500000000004</v>
      </c>
      <c r="G615" s="276" t="s">
        <v>2224</v>
      </c>
      <c r="H615" s="276"/>
      <c r="I615" s="276" t="str">
        <f t="shared" ref="I615:I678" si="8">_xlfn.XLOOKUP(E615, $K$230:$K$236, $L$230:$L$236)</f>
        <v>B (LT)</v>
      </c>
    </row>
    <row r="616" spans="2:9">
      <c r="B616" s="276" t="s">
        <v>2163</v>
      </c>
      <c r="C616" s="276" t="s">
        <v>2164</v>
      </c>
      <c r="D616" s="276" t="s">
        <v>2378</v>
      </c>
      <c r="E616" s="276">
        <v>5</v>
      </c>
      <c r="F616" s="276">
        <v>2.9914399999999999</v>
      </c>
      <c r="G616" s="276" t="s">
        <v>2224</v>
      </c>
      <c r="H616" s="276"/>
      <c r="I616" s="276" t="str">
        <f t="shared" si="8"/>
        <v>B (LT)</v>
      </c>
    </row>
    <row r="617" spans="2:9">
      <c r="B617" s="276" t="s">
        <v>2166</v>
      </c>
      <c r="C617" s="276" t="s">
        <v>2167</v>
      </c>
      <c r="D617" s="276" t="s">
        <v>2380</v>
      </c>
      <c r="E617" s="276">
        <v>5</v>
      </c>
      <c r="F617" s="276">
        <v>11.0205</v>
      </c>
      <c r="G617" s="276" t="s">
        <v>2224</v>
      </c>
      <c r="H617" s="276"/>
      <c r="I617" s="276" t="str">
        <f t="shared" si="8"/>
        <v>B (LT)</v>
      </c>
    </row>
    <row r="618" spans="2:9">
      <c r="B618" s="276" t="s">
        <v>2166</v>
      </c>
      <c r="C618" s="276" t="s">
        <v>2167</v>
      </c>
      <c r="D618" s="276" t="s">
        <v>2381</v>
      </c>
      <c r="E618" s="276">
        <v>5</v>
      </c>
      <c r="F618" s="276">
        <v>4.2021800000000002</v>
      </c>
      <c r="G618" s="276" t="s">
        <v>2224</v>
      </c>
      <c r="H618" s="276"/>
      <c r="I618" s="276" t="str">
        <f t="shared" si="8"/>
        <v>B (LT)</v>
      </c>
    </row>
    <row r="619" spans="2:9">
      <c r="B619" s="276" t="s">
        <v>2166</v>
      </c>
      <c r="C619" s="276" t="s">
        <v>2167</v>
      </c>
      <c r="D619" s="276" t="s">
        <v>2382</v>
      </c>
      <c r="E619" s="276">
        <v>5</v>
      </c>
      <c r="F619" s="276">
        <v>5.98949</v>
      </c>
      <c r="G619" s="276" t="s">
        <v>2224</v>
      </c>
      <c r="H619" s="276"/>
      <c r="I619" s="276" t="str">
        <f t="shared" si="8"/>
        <v>B (LT)</v>
      </c>
    </row>
    <row r="620" spans="2:9">
      <c r="B620" s="276" t="s">
        <v>2159</v>
      </c>
      <c r="C620" s="276" t="s">
        <v>2160</v>
      </c>
      <c r="D620" s="276" t="s">
        <v>2383</v>
      </c>
      <c r="E620" s="276">
        <v>5</v>
      </c>
      <c r="F620" s="276">
        <v>5.9846000000000004</v>
      </c>
      <c r="G620" s="276" t="s">
        <v>2224</v>
      </c>
      <c r="H620" s="276"/>
      <c r="I620" s="276" t="str">
        <f t="shared" si="8"/>
        <v>B (LT)</v>
      </c>
    </row>
    <row r="621" spans="2:9">
      <c r="B621" s="276" t="s">
        <v>2205</v>
      </c>
      <c r="C621" s="276" t="s">
        <v>2206</v>
      </c>
      <c r="D621" s="276" t="s">
        <v>2513</v>
      </c>
      <c r="E621" s="276">
        <v>5</v>
      </c>
      <c r="F621" s="276">
        <v>6.6211400000000004E-2</v>
      </c>
      <c r="G621" s="276" t="s">
        <v>2224</v>
      </c>
      <c r="H621" s="276"/>
      <c r="I621" s="276" t="str">
        <f t="shared" si="8"/>
        <v>B (LT)</v>
      </c>
    </row>
    <row r="622" spans="2:9">
      <c r="B622" s="276" t="s">
        <v>2340</v>
      </c>
      <c r="C622" s="276" t="s">
        <v>2514</v>
      </c>
      <c r="D622" s="276" t="s">
        <v>2515</v>
      </c>
      <c r="E622" s="276">
        <v>5</v>
      </c>
      <c r="F622" s="276">
        <v>0.13269900000000001</v>
      </c>
      <c r="G622" s="276" t="s">
        <v>2224</v>
      </c>
      <c r="H622" s="276"/>
      <c r="I622" s="276" t="str">
        <f t="shared" si="8"/>
        <v>B (LT)</v>
      </c>
    </row>
    <row r="623" spans="2:9">
      <c r="B623" s="276" t="s">
        <v>2324</v>
      </c>
      <c r="C623" s="276" t="s">
        <v>2325</v>
      </c>
      <c r="D623" s="276" t="s">
        <v>2387</v>
      </c>
      <c r="E623" s="276">
        <v>5</v>
      </c>
      <c r="F623" s="276">
        <v>0.85357400000000005</v>
      </c>
      <c r="G623" s="276" t="s">
        <v>2224</v>
      </c>
      <c r="H623" s="276"/>
      <c r="I623" s="276" t="str">
        <f t="shared" si="8"/>
        <v>B (LT)</v>
      </c>
    </row>
    <row r="624" spans="2:9">
      <c r="B624" s="276" t="s">
        <v>2174</v>
      </c>
      <c r="C624" s="276" t="s">
        <v>2175</v>
      </c>
      <c r="D624" s="276" t="s">
        <v>2385</v>
      </c>
      <c r="E624" s="276">
        <v>5</v>
      </c>
      <c r="F624" s="276">
        <v>8.5847499999999997</v>
      </c>
      <c r="G624" s="276" t="s">
        <v>2224</v>
      </c>
      <c r="H624" s="276"/>
      <c r="I624" s="276" t="str">
        <f t="shared" si="8"/>
        <v>B (LT)</v>
      </c>
    </row>
    <row r="625" spans="2:9">
      <c r="B625" s="276" t="s">
        <v>2324</v>
      </c>
      <c r="C625" s="276" t="s">
        <v>2325</v>
      </c>
      <c r="D625" s="276" t="s">
        <v>2326</v>
      </c>
      <c r="E625" s="276">
        <v>5</v>
      </c>
      <c r="F625" s="276">
        <v>5.5904499999999997</v>
      </c>
      <c r="G625" s="276" t="s">
        <v>2224</v>
      </c>
      <c r="H625" s="276"/>
      <c r="I625" s="276" t="str">
        <f t="shared" si="8"/>
        <v>B (LT)</v>
      </c>
    </row>
    <row r="626" spans="2:9">
      <c r="B626" s="276" t="s">
        <v>2249</v>
      </c>
      <c r="C626" s="276" t="s">
        <v>2250</v>
      </c>
      <c r="D626" s="276" t="s">
        <v>2409</v>
      </c>
      <c r="E626" s="276">
        <v>5</v>
      </c>
      <c r="F626" s="276">
        <v>1.3172900000000001</v>
      </c>
      <c r="G626" s="276" t="s">
        <v>2224</v>
      </c>
      <c r="H626" s="276"/>
      <c r="I626" s="276" t="str">
        <f t="shared" si="8"/>
        <v>B (LT)</v>
      </c>
    </row>
    <row r="627" spans="2:9">
      <c r="B627" s="276" t="s">
        <v>2249</v>
      </c>
      <c r="C627" s="276" t="s">
        <v>2250</v>
      </c>
      <c r="D627" s="276" t="s">
        <v>2251</v>
      </c>
      <c r="E627" s="276">
        <v>5</v>
      </c>
      <c r="F627" s="276">
        <v>2.0676199999999998</v>
      </c>
      <c r="G627" s="276" t="s">
        <v>2224</v>
      </c>
      <c r="H627" s="276"/>
      <c r="I627" s="276" t="str">
        <f t="shared" si="8"/>
        <v>B (LT)</v>
      </c>
    </row>
    <row r="628" spans="2:9">
      <c r="B628" s="276" t="s">
        <v>2348</v>
      </c>
      <c r="C628" s="276" t="s">
        <v>2349</v>
      </c>
      <c r="D628" s="276" t="s">
        <v>2350</v>
      </c>
      <c r="E628" s="276">
        <v>5</v>
      </c>
      <c r="F628" s="276">
        <v>7.2694900000000007E-2</v>
      </c>
      <c r="G628" s="276" t="s">
        <v>2224</v>
      </c>
      <c r="H628" s="276"/>
      <c r="I628" s="276" t="str">
        <f t="shared" si="8"/>
        <v>B (LT)</v>
      </c>
    </row>
    <row r="629" spans="2:9">
      <c r="B629" s="276" t="s">
        <v>2294</v>
      </c>
      <c r="C629" s="276" t="s">
        <v>2295</v>
      </c>
      <c r="D629" s="276" t="s">
        <v>2296</v>
      </c>
      <c r="E629" s="276">
        <v>5</v>
      </c>
      <c r="F629" s="276">
        <v>1.21862</v>
      </c>
      <c r="G629" s="276" t="s">
        <v>2224</v>
      </c>
      <c r="H629" s="276"/>
      <c r="I629" s="276" t="str">
        <f t="shared" si="8"/>
        <v>B (LT)</v>
      </c>
    </row>
    <row r="630" spans="2:9">
      <c r="B630" s="276" t="s">
        <v>2428</v>
      </c>
      <c r="C630" s="276" t="s">
        <v>2429</v>
      </c>
      <c r="D630" s="276" t="s">
        <v>2516</v>
      </c>
      <c r="E630" s="276">
        <v>5</v>
      </c>
      <c r="F630" s="276">
        <v>0.17288899999999999</v>
      </c>
      <c r="G630" s="276" t="s">
        <v>2224</v>
      </c>
      <c r="H630" s="276"/>
      <c r="I630" s="276" t="str">
        <f t="shared" si="8"/>
        <v>B (LT)</v>
      </c>
    </row>
    <row r="631" spans="2:9">
      <c r="B631" s="276" t="s">
        <v>2205</v>
      </c>
      <c r="C631" s="276" t="s">
        <v>2242</v>
      </c>
      <c r="D631" s="276" t="s">
        <v>2243</v>
      </c>
      <c r="E631" s="276">
        <v>5</v>
      </c>
      <c r="F631" s="276">
        <v>0.13861200000000001</v>
      </c>
      <c r="G631" s="276" t="s">
        <v>2224</v>
      </c>
      <c r="H631" s="276"/>
      <c r="I631" s="276" t="str">
        <f t="shared" si="8"/>
        <v>B (LT)</v>
      </c>
    </row>
    <row r="632" spans="2:9">
      <c r="B632" s="276" t="s">
        <v>2205</v>
      </c>
      <c r="C632" s="276" t="s">
        <v>2306</v>
      </c>
      <c r="D632" s="276" t="s">
        <v>2367</v>
      </c>
      <c r="E632" s="276">
        <v>5</v>
      </c>
      <c r="F632" s="276">
        <v>0.50239100000000003</v>
      </c>
      <c r="G632" s="276" t="s">
        <v>2224</v>
      </c>
      <c r="H632" s="276"/>
      <c r="I632" s="276" t="str">
        <f t="shared" si="8"/>
        <v>B (LT)</v>
      </c>
    </row>
    <row r="633" spans="2:9">
      <c r="B633" s="276" t="s">
        <v>2205</v>
      </c>
      <c r="C633" s="276" t="s">
        <v>2306</v>
      </c>
      <c r="D633" s="276" t="s">
        <v>2368</v>
      </c>
      <c r="E633" s="276">
        <v>5</v>
      </c>
      <c r="F633" s="276">
        <v>0.17116700000000001</v>
      </c>
      <c r="G633" s="276" t="s">
        <v>2224</v>
      </c>
      <c r="H633" s="276"/>
      <c r="I633" s="276" t="str">
        <f t="shared" si="8"/>
        <v>B (LT)</v>
      </c>
    </row>
    <row r="634" spans="2:9">
      <c r="B634" s="276" t="s">
        <v>2205</v>
      </c>
      <c r="C634" s="276" t="s">
        <v>2306</v>
      </c>
      <c r="D634" s="276" t="s">
        <v>2369</v>
      </c>
      <c r="E634" s="276">
        <v>5</v>
      </c>
      <c r="F634" s="276">
        <v>0.28241699999999997</v>
      </c>
      <c r="G634" s="276" t="s">
        <v>2224</v>
      </c>
      <c r="H634" s="276"/>
      <c r="I634" s="276" t="str">
        <f t="shared" si="8"/>
        <v>B (LT)</v>
      </c>
    </row>
    <row r="635" spans="2:9">
      <c r="B635" s="276" t="s">
        <v>2205</v>
      </c>
      <c r="C635" s="276" t="s">
        <v>2242</v>
      </c>
      <c r="D635" s="276" t="s">
        <v>2371</v>
      </c>
      <c r="E635" s="276">
        <v>5</v>
      </c>
      <c r="F635" s="276">
        <v>7.0338300000000006E-2</v>
      </c>
      <c r="G635" s="276" t="s">
        <v>2224</v>
      </c>
      <c r="H635" s="276"/>
      <c r="I635" s="276" t="str">
        <f t="shared" si="8"/>
        <v>B (LT)</v>
      </c>
    </row>
    <row r="636" spans="2:9">
      <c r="B636" s="276" t="s">
        <v>2205</v>
      </c>
      <c r="C636" s="276" t="s">
        <v>2306</v>
      </c>
      <c r="D636" s="276" t="s">
        <v>2388</v>
      </c>
      <c r="E636" s="276">
        <v>5</v>
      </c>
      <c r="F636" s="276">
        <v>0.411412</v>
      </c>
      <c r="G636" s="276" t="s">
        <v>2224</v>
      </c>
      <c r="H636" s="276"/>
      <c r="I636" s="276" t="str">
        <f t="shared" si="8"/>
        <v>B (LT)</v>
      </c>
    </row>
    <row r="637" spans="2:9">
      <c r="B637" s="276" t="s">
        <v>2205</v>
      </c>
      <c r="C637" s="276" t="s">
        <v>2206</v>
      </c>
      <c r="D637" s="276" t="s">
        <v>2206</v>
      </c>
      <c r="E637" s="276">
        <v>5</v>
      </c>
      <c r="F637" s="276">
        <v>0.66455200000000003</v>
      </c>
      <c r="G637" s="276" t="s">
        <v>2224</v>
      </c>
      <c r="H637" s="276"/>
      <c r="I637" s="276" t="str">
        <f t="shared" si="8"/>
        <v>B (LT)</v>
      </c>
    </row>
    <row r="638" spans="2:9">
      <c r="B638" s="276" t="s">
        <v>2205</v>
      </c>
      <c r="C638" s="276" t="s">
        <v>2242</v>
      </c>
      <c r="D638" s="276" t="s">
        <v>2389</v>
      </c>
      <c r="E638" s="276">
        <v>5</v>
      </c>
      <c r="F638" s="276">
        <v>0.98481099999999999</v>
      </c>
      <c r="G638" s="276" t="s">
        <v>2224</v>
      </c>
      <c r="H638" s="276"/>
      <c r="I638" s="276" t="str">
        <f t="shared" si="8"/>
        <v>B (LT)</v>
      </c>
    </row>
    <row r="639" spans="2:9">
      <c r="B639" s="276" t="s">
        <v>2205</v>
      </c>
      <c r="C639" s="276" t="s">
        <v>2242</v>
      </c>
      <c r="D639" s="276" t="s">
        <v>2304</v>
      </c>
      <c r="E639" s="276">
        <v>5</v>
      </c>
      <c r="F639" s="276">
        <v>2.5459100000000001</v>
      </c>
      <c r="G639" s="276" t="s">
        <v>2224</v>
      </c>
      <c r="H639" s="276"/>
      <c r="I639" s="276" t="str">
        <f t="shared" si="8"/>
        <v>B (LT)</v>
      </c>
    </row>
    <row r="640" spans="2:9">
      <c r="B640" s="276" t="s">
        <v>2313</v>
      </c>
      <c r="C640" s="276" t="s">
        <v>2392</v>
      </c>
      <c r="D640" s="276" t="s">
        <v>2393</v>
      </c>
      <c r="E640" s="276">
        <v>5</v>
      </c>
      <c r="F640" s="276">
        <v>4.8625100000000003</v>
      </c>
      <c r="G640" s="276" t="s">
        <v>2224</v>
      </c>
      <c r="H640" s="276"/>
      <c r="I640" s="276" t="str">
        <f t="shared" si="8"/>
        <v>B (LT)</v>
      </c>
    </row>
    <row r="641" spans="2:9">
      <c r="B641" s="276" t="s">
        <v>2313</v>
      </c>
      <c r="C641" s="276" t="s">
        <v>2392</v>
      </c>
      <c r="D641" s="276" t="s">
        <v>2394</v>
      </c>
      <c r="E641" s="276">
        <v>5</v>
      </c>
      <c r="F641" s="276">
        <v>5.88659</v>
      </c>
      <c r="G641" s="276" t="s">
        <v>2224</v>
      </c>
      <c r="H641" s="276"/>
      <c r="I641" s="276" t="str">
        <f t="shared" si="8"/>
        <v>B (LT)</v>
      </c>
    </row>
    <row r="642" spans="2:9">
      <c r="B642" s="276" t="s">
        <v>2205</v>
      </c>
      <c r="C642" s="276" t="s">
        <v>2242</v>
      </c>
      <c r="D642" s="276" t="s">
        <v>2245</v>
      </c>
      <c r="E642" s="276">
        <v>5</v>
      </c>
      <c r="F642" s="276">
        <v>2.9958999999999998</v>
      </c>
      <c r="G642" s="276" t="s">
        <v>2224</v>
      </c>
      <c r="H642" s="276"/>
      <c r="I642" s="276" t="str">
        <f t="shared" si="8"/>
        <v>B (LT)</v>
      </c>
    </row>
    <row r="643" spans="2:9">
      <c r="B643" s="276" t="s">
        <v>2205</v>
      </c>
      <c r="C643" s="276" t="s">
        <v>2242</v>
      </c>
      <c r="D643" s="276" t="s">
        <v>2396</v>
      </c>
      <c r="E643" s="276">
        <v>5</v>
      </c>
      <c r="F643" s="276">
        <v>0.41924499999999998</v>
      </c>
      <c r="G643" s="276" t="s">
        <v>2224</v>
      </c>
      <c r="H643" s="276"/>
      <c r="I643" s="276" t="str">
        <f t="shared" si="8"/>
        <v>B (LT)</v>
      </c>
    </row>
    <row r="644" spans="2:9">
      <c r="B644" s="276" t="s">
        <v>2239</v>
      </c>
      <c r="C644" s="276" t="s">
        <v>2300</v>
      </c>
      <c r="D644" s="276" t="s">
        <v>2397</v>
      </c>
      <c r="E644" s="276">
        <v>5</v>
      </c>
      <c r="F644" s="276">
        <v>0.12744</v>
      </c>
      <c r="G644" s="276" t="s">
        <v>2224</v>
      </c>
      <c r="H644" s="276"/>
      <c r="I644" s="276" t="str">
        <f t="shared" si="8"/>
        <v>B (LT)</v>
      </c>
    </row>
    <row r="645" spans="2:9">
      <c r="B645" s="276" t="s">
        <v>2294</v>
      </c>
      <c r="C645" s="276" t="s">
        <v>2295</v>
      </c>
      <c r="D645" s="276" t="s">
        <v>2478</v>
      </c>
      <c r="E645" s="276">
        <v>5</v>
      </c>
      <c r="F645" s="276">
        <v>2.22403</v>
      </c>
      <c r="G645" s="276" t="s">
        <v>2224</v>
      </c>
      <c r="H645" s="276"/>
      <c r="I645" s="276" t="str">
        <f t="shared" si="8"/>
        <v>B (LT)</v>
      </c>
    </row>
    <row r="646" spans="2:9">
      <c r="B646" s="276" t="s">
        <v>2362</v>
      </c>
      <c r="C646" s="276" t="s">
        <v>2363</v>
      </c>
      <c r="D646" s="276" t="s">
        <v>2517</v>
      </c>
      <c r="E646" s="276">
        <v>5</v>
      </c>
      <c r="F646" s="276">
        <v>0.24646899999999999</v>
      </c>
      <c r="G646" s="276" t="s">
        <v>2224</v>
      </c>
      <c r="H646" s="276"/>
      <c r="I646" s="276" t="str">
        <f t="shared" si="8"/>
        <v>B (LT)</v>
      </c>
    </row>
    <row r="647" spans="2:9">
      <c r="B647" s="276" t="s">
        <v>2455</v>
      </c>
      <c r="C647" s="276" t="s">
        <v>2456</v>
      </c>
      <c r="D647" s="276" t="s">
        <v>2518</v>
      </c>
      <c r="E647" s="276">
        <v>5</v>
      </c>
      <c r="F647" s="276">
        <v>3.99365E-2</v>
      </c>
      <c r="G647" s="276" t="s">
        <v>2224</v>
      </c>
      <c r="H647" s="276"/>
      <c r="I647" s="276" t="str">
        <f t="shared" si="8"/>
        <v>B (LT)</v>
      </c>
    </row>
    <row r="648" spans="2:9">
      <c r="B648" s="276" t="s">
        <v>2324</v>
      </c>
      <c r="C648" s="276" t="s">
        <v>2325</v>
      </c>
      <c r="D648" s="276" t="s">
        <v>2519</v>
      </c>
      <c r="E648" s="276">
        <v>5</v>
      </c>
      <c r="F648" s="276">
        <v>5.0456300000000001</v>
      </c>
      <c r="G648" s="276" t="s">
        <v>2224</v>
      </c>
      <c r="H648" s="276"/>
      <c r="I648" s="276" t="str">
        <f t="shared" si="8"/>
        <v>B (LT)</v>
      </c>
    </row>
    <row r="649" spans="2:9">
      <c r="B649" s="276" t="s">
        <v>2455</v>
      </c>
      <c r="C649" s="276" t="s">
        <v>2456</v>
      </c>
      <c r="D649" s="276" t="s">
        <v>2520</v>
      </c>
      <c r="E649" s="276">
        <v>5</v>
      </c>
      <c r="F649" s="276">
        <v>2.69473E-2</v>
      </c>
      <c r="G649" s="276" t="s">
        <v>2224</v>
      </c>
      <c r="H649" s="276"/>
      <c r="I649" s="276" t="str">
        <f t="shared" si="8"/>
        <v>B (LT)</v>
      </c>
    </row>
    <row r="650" spans="2:9">
      <c r="B650" s="276" t="s">
        <v>2455</v>
      </c>
      <c r="C650" s="276" t="s">
        <v>2456</v>
      </c>
      <c r="D650" s="276" t="s">
        <v>2503</v>
      </c>
      <c r="E650" s="276">
        <v>5</v>
      </c>
      <c r="F650" s="276">
        <v>3.0821500000000002E-2</v>
      </c>
      <c r="G650" s="276" t="s">
        <v>2224</v>
      </c>
      <c r="H650" s="276"/>
      <c r="I650" s="276" t="str">
        <f t="shared" si="8"/>
        <v>B (LT)</v>
      </c>
    </row>
    <row r="651" spans="2:9">
      <c r="B651" s="276" t="s">
        <v>2159</v>
      </c>
      <c r="C651" s="276" t="s">
        <v>2160</v>
      </c>
      <c r="D651" s="276" t="s">
        <v>2399</v>
      </c>
      <c r="E651" s="276">
        <v>5</v>
      </c>
      <c r="F651" s="276">
        <v>6.2855099999999997E-2</v>
      </c>
      <c r="G651" s="276" t="s">
        <v>2224</v>
      </c>
      <c r="H651" s="276"/>
      <c r="I651" s="276" t="str">
        <f t="shared" si="8"/>
        <v>B (LT)</v>
      </c>
    </row>
    <row r="652" spans="2:9">
      <c r="B652" s="276" t="s">
        <v>2249</v>
      </c>
      <c r="C652" s="276" t="s">
        <v>2250</v>
      </c>
      <c r="D652" s="276" t="s">
        <v>2521</v>
      </c>
      <c r="E652" s="276">
        <v>5</v>
      </c>
      <c r="F652" s="276">
        <v>0.23269999999999999</v>
      </c>
      <c r="G652" s="276" t="s">
        <v>2224</v>
      </c>
      <c r="H652" s="276"/>
      <c r="I652" s="276" t="str">
        <f t="shared" si="8"/>
        <v>B (LT)</v>
      </c>
    </row>
    <row r="653" spans="2:9">
      <c r="B653" s="276" t="s">
        <v>2467</v>
      </c>
      <c r="C653" s="276" t="s">
        <v>2522</v>
      </c>
      <c r="D653" s="276" t="s">
        <v>2523</v>
      </c>
      <c r="E653" s="276">
        <v>5</v>
      </c>
      <c r="F653" s="276">
        <v>6.9780000000000005E-4</v>
      </c>
      <c r="G653" s="276" t="s">
        <v>2365</v>
      </c>
      <c r="H653" s="276"/>
      <c r="I653" s="276" t="str">
        <f t="shared" si="8"/>
        <v>B (LT)</v>
      </c>
    </row>
    <row r="654" spans="2:9">
      <c r="B654" s="276" t="s">
        <v>2358</v>
      </c>
      <c r="C654" s="276" t="s">
        <v>2359</v>
      </c>
      <c r="D654" s="276" t="s">
        <v>2360</v>
      </c>
      <c r="E654" s="276">
        <v>6</v>
      </c>
      <c r="F654" s="276">
        <v>4.4444703030127997</v>
      </c>
      <c r="G654" s="276" t="s">
        <v>2155</v>
      </c>
      <c r="H654" s="276" t="s">
        <v>2524</v>
      </c>
      <c r="I654" s="276" t="str">
        <f t="shared" si="8"/>
        <v>B C (seas)</v>
      </c>
    </row>
    <row r="655" spans="2:9">
      <c r="B655" s="276" t="s">
        <v>2163</v>
      </c>
      <c r="C655" s="276" t="s">
        <v>2164</v>
      </c>
      <c r="D655" s="276" t="s">
        <v>2378</v>
      </c>
      <c r="E655" s="276">
        <v>6</v>
      </c>
      <c r="F655" s="276">
        <v>2.9914399999999999</v>
      </c>
      <c r="G655" s="276" t="s">
        <v>2259</v>
      </c>
      <c r="H655" s="276" t="s">
        <v>2525</v>
      </c>
      <c r="I655" s="276" t="str">
        <f t="shared" si="8"/>
        <v>B C (seas)</v>
      </c>
    </row>
    <row r="656" spans="2:9">
      <c r="B656" s="276" t="s">
        <v>2431</v>
      </c>
      <c r="C656" s="276" t="s">
        <v>2432</v>
      </c>
      <c r="D656" s="276" t="s">
        <v>2526</v>
      </c>
      <c r="E656" s="276">
        <v>6</v>
      </c>
      <c r="F656" s="276">
        <v>81.736199999999997</v>
      </c>
      <c r="G656" s="276" t="s">
        <v>2197</v>
      </c>
      <c r="H656" s="276"/>
      <c r="I656" s="276" t="str">
        <f t="shared" si="8"/>
        <v>B C (seas)</v>
      </c>
    </row>
    <row r="657" spans="2:9">
      <c r="B657" s="276" t="s">
        <v>2467</v>
      </c>
      <c r="C657" s="276" t="s">
        <v>2468</v>
      </c>
      <c r="D657" s="276" t="s">
        <v>2527</v>
      </c>
      <c r="E657" s="276">
        <v>6</v>
      </c>
      <c r="F657" s="276">
        <v>0.87939000000000001</v>
      </c>
      <c r="G657" s="276" t="s">
        <v>2204</v>
      </c>
      <c r="H657" s="276" t="s">
        <v>2528</v>
      </c>
      <c r="I657" s="276" t="str">
        <f t="shared" si="8"/>
        <v>B C (seas)</v>
      </c>
    </row>
    <row r="658" spans="2:9">
      <c r="B658" s="276" t="s">
        <v>2479</v>
      </c>
      <c r="C658" s="276" t="s">
        <v>2480</v>
      </c>
      <c r="D658" s="276" t="s">
        <v>2529</v>
      </c>
      <c r="E658" s="276">
        <v>6</v>
      </c>
      <c r="F658" s="276">
        <v>0.30821700000000002</v>
      </c>
      <c r="G658" s="276" t="s">
        <v>2204</v>
      </c>
      <c r="H658" s="276" t="s">
        <v>2530</v>
      </c>
      <c r="I658" s="276" t="str">
        <f t="shared" si="8"/>
        <v>B C (seas)</v>
      </c>
    </row>
    <row r="659" spans="2:9">
      <c r="B659" s="276" t="s">
        <v>2431</v>
      </c>
      <c r="C659" s="276" t="s">
        <v>2432</v>
      </c>
      <c r="D659" s="276" t="s">
        <v>2526</v>
      </c>
      <c r="E659" s="276">
        <v>6</v>
      </c>
      <c r="F659" s="276">
        <v>81.736199999999997</v>
      </c>
      <c r="G659" s="276" t="s">
        <v>2204</v>
      </c>
      <c r="H659" s="276" t="s">
        <v>2531</v>
      </c>
      <c r="I659" s="276" t="str">
        <f t="shared" si="8"/>
        <v>B C (seas)</v>
      </c>
    </row>
    <row r="660" spans="2:9">
      <c r="B660" s="276" t="s">
        <v>2473</v>
      </c>
      <c r="C660" s="276" t="s">
        <v>2474</v>
      </c>
      <c r="D660" s="276" t="s">
        <v>2532</v>
      </c>
      <c r="E660" s="276">
        <v>6</v>
      </c>
      <c r="F660" s="276">
        <v>3.7171000000000003E-2</v>
      </c>
      <c r="G660" s="276" t="s">
        <v>2224</v>
      </c>
      <c r="H660" s="276"/>
      <c r="I660" s="276" t="str">
        <f t="shared" si="8"/>
        <v>B C (seas)</v>
      </c>
    </row>
    <row r="661" spans="2:9">
      <c r="B661" s="276" t="s">
        <v>2351</v>
      </c>
      <c r="C661" s="276" t="s">
        <v>2352</v>
      </c>
      <c r="D661" s="276" t="s">
        <v>2533</v>
      </c>
      <c r="E661" s="276">
        <v>6</v>
      </c>
      <c r="F661" s="276">
        <v>5.6470199999999998E-2</v>
      </c>
      <c r="G661" s="276" t="s">
        <v>2224</v>
      </c>
      <c r="H661" s="276" t="s">
        <v>2534</v>
      </c>
      <c r="I661" s="276" t="str">
        <f t="shared" si="8"/>
        <v>B C (seas)</v>
      </c>
    </row>
    <row r="662" spans="2:9">
      <c r="B662" s="276" t="s">
        <v>2205</v>
      </c>
      <c r="C662" s="276" t="s">
        <v>2306</v>
      </c>
      <c r="D662" s="276" t="s">
        <v>2370</v>
      </c>
      <c r="E662" s="276">
        <v>6</v>
      </c>
      <c r="F662" s="276">
        <v>0.282636</v>
      </c>
      <c r="G662" s="276" t="s">
        <v>2224</v>
      </c>
      <c r="H662" s="276" t="s">
        <v>2535</v>
      </c>
      <c r="I662" s="276" t="str">
        <f t="shared" si="8"/>
        <v>B C (seas)</v>
      </c>
    </row>
    <row r="663" spans="2:9">
      <c r="B663" s="276" t="s">
        <v>2473</v>
      </c>
      <c r="C663" s="276" t="s">
        <v>2474</v>
      </c>
      <c r="D663" s="276" t="s">
        <v>2532</v>
      </c>
      <c r="E663" s="276">
        <v>6</v>
      </c>
      <c r="F663" s="276">
        <v>3.7171000000000003E-2</v>
      </c>
      <c r="G663" s="276" t="s">
        <v>2224</v>
      </c>
      <c r="H663" s="276"/>
      <c r="I663" s="276" t="str">
        <f t="shared" si="8"/>
        <v>B C (seas)</v>
      </c>
    </row>
    <row r="664" spans="2:9">
      <c r="B664" s="276" t="s">
        <v>2351</v>
      </c>
      <c r="C664" s="276" t="s">
        <v>2352</v>
      </c>
      <c r="D664" s="276" t="s">
        <v>2533</v>
      </c>
      <c r="E664" s="276">
        <v>6</v>
      </c>
      <c r="F664" s="276">
        <v>5.6470199999999998E-2</v>
      </c>
      <c r="G664" s="276" t="s">
        <v>2224</v>
      </c>
      <c r="H664" s="276" t="s">
        <v>2534</v>
      </c>
      <c r="I664" s="276" t="str">
        <f t="shared" si="8"/>
        <v>B C (seas)</v>
      </c>
    </row>
    <row r="665" spans="2:9">
      <c r="B665" s="276" t="s">
        <v>2205</v>
      </c>
      <c r="C665" s="276" t="s">
        <v>2306</v>
      </c>
      <c r="D665" s="276" t="s">
        <v>2370</v>
      </c>
      <c r="E665" s="276">
        <v>6</v>
      </c>
      <c r="F665" s="276">
        <v>0.282636</v>
      </c>
      <c r="G665" s="276" t="s">
        <v>2224</v>
      </c>
      <c r="H665" s="276" t="s">
        <v>2535</v>
      </c>
      <c r="I665" s="276" t="str">
        <f t="shared" si="8"/>
        <v>B C (seas)</v>
      </c>
    </row>
    <row r="666" spans="2:9">
      <c r="B666" s="276" t="s">
        <v>2316</v>
      </c>
      <c r="C666" s="276" t="s">
        <v>2536</v>
      </c>
      <c r="D666" s="276" t="s">
        <v>2537</v>
      </c>
      <c r="E666" s="276">
        <v>3</v>
      </c>
      <c r="F666" s="276">
        <v>3.2565599999999999</v>
      </c>
      <c r="G666" s="276" t="s">
        <v>2194</v>
      </c>
      <c r="H666" s="276"/>
      <c r="I666" s="276" t="str">
        <f t="shared" si="8"/>
        <v>C</v>
      </c>
    </row>
    <row r="667" spans="2:9">
      <c r="B667" s="276" t="s">
        <v>2316</v>
      </c>
      <c r="C667" s="276" t="s">
        <v>2536</v>
      </c>
      <c r="D667" s="276" t="s">
        <v>2537</v>
      </c>
      <c r="E667" s="276">
        <v>3</v>
      </c>
      <c r="F667" s="276">
        <v>3.2565599999999999</v>
      </c>
      <c r="G667" s="276" t="s">
        <v>2259</v>
      </c>
      <c r="H667" s="276"/>
      <c r="I667" s="276" t="str">
        <f t="shared" si="8"/>
        <v>C</v>
      </c>
    </row>
    <row r="668" spans="2:9">
      <c r="B668" s="276" t="s">
        <v>2313</v>
      </c>
      <c r="C668" s="276" t="s">
        <v>2410</v>
      </c>
      <c r="D668" s="276" t="s">
        <v>2538</v>
      </c>
      <c r="E668" s="276">
        <v>3</v>
      </c>
      <c r="F668" s="276">
        <v>4.4491899999999998</v>
      </c>
      <c r="G668" s="276" t="s">
        <v>2259</v>
      </c>
      <c r="H668" s="276"/>
      <c r="I668" s="276" t="str">
        <f t="shared" si="8"/>
        <v>C</v>
      </c>
    </row>
    <row r="669" spans="2:9">
      <c r="B669" s="276" t="s">
        <v>2249</v>
      </c>
      <c r="C669" s="276" t="s">
        <v>2250</v>
      </c>
      <c r="D669" s="276" t="s">
        <v>2251</v>
      </c>
      <c r="E669" s="276">
        <v>3</v>
      </c>
      <c r="F669" s="276">
        <v>2.0676199999999998</v>
      </c>
      <c r="G669" s="276" t="s">
        <v>2259</v>
      </c>
      <c r="H669" s="276"/>
      <c r="I669" s="276" t="str">
        <f t="shared" si="8"/>
        <v>C</v>
      </c>
    </row>
    <row r="670" spans="2:9">
      <c r="B670" s="276" t="s">
        <v>2178</v>
      </c>
      <c r="C670" s="276" t="s">
        <v>2179</v>
      </c>
      <c r="D670" s="276" t="s">
        <v>2539</v>
      </c>
      <c r="E670" s="276">
        <v>3</v>
      </c>
      <c r="F670" s="276">
        <v>15.5863</v>
      </c>
      <c r="G670" s="276" t="s">
        <v>2197</v>
      </c>
      <c r="H670" s="276"/>
      <c r="I670" s="276" t="str">
        <f t="shared" si="8"/>
        <v>C</v>
      </c>
    </row>
    <row r="671" spans="2:9">
      <c r="B671" s="276" t="s">
        <v>2420</v>
      </c>
      <c r="C671" s="276" t="s">
        <v>2421</v>
      </c>
      <c r="D671" s="276" t="s">
        <v>2540</v>
      </c>
      <c r="E671" s="276">
        <v>3</v>
      </c>
      <c r="F671" s="276">
        <v>1.3911899999999999</v>
      </c>
      <c r="G671" s="276" t="s">
        <v>2197</v>
      </c>
      <c r="H671" s="276"/>
      <c r="I671" s="276" t="str">
        <f t="shared" si="8"/>
        <v>C</v>
      </c>
    </row>
    <row r="672" spans="2:9">
      <c r="B672" s="276" t="s">
        <v>2420</v>
      </c>
      <c r="C672" s="276" t="s">
        <v>2421</v>
      </c>
      <c r="D672" s="276" t="s">
        <v>2541</v>
      </c>
      <c r="E672" s="276">
        <v>3</v>
      </c>
      <c r="F672" s="276">
        <v>4.3519100000000002</v>
      </c>
      <c r="G672" s="276" t="s">
        <v>2197</v>
      </c>
      <c r="H672" s="276"/>
      <c r="I672" s="276" t="str">
        <f t="shared" si="8"/>
        <v>C</v>
      </c>
    </row>
    <row r="673" spans="2:9">
      <c r="B673" s="276" t="s">
        <v>2420</v>
      </c>
      <c r="C673" s="276" t="s">
        <v>2421</v>
      </c>
      <c r="D673" s="276" t="s">
        <v>2542</v>
      </c>
      <c r="E673" s="276">
        <v>3</v>
      </c>
      <c r="F673" s="276">
        <v>6.6306900000000004</v>
      </c>
      <c r="G673" s="276" t="s">
        <v>2197</v>
      </c>
      <c r="H673" s="276"/>
      <c r="I673" s="276" t="str">
        <f t="shared" si="8"/>
        <v>C</v>
      </c>
    </row>
    <row r="674" spans="2:9">
      <c r="B674" s="276" t="s">
        <v>2327</v>
      </c>
      <c r="C674" s="276" t="s">
        <v>2328</v>
      </c>
      <c r="D674" s="276" t="s">
        <v>2543</v>
      </c>
      <c r="E674" s="276">
        <v>3</v>
      </c>
      <c r="F674" s="276">
        <v>4.6334600000000004</v>
      </c>
      <c r="G674" s="276" t="s">
        <v>2197</v>
      </c>
      <c r="H674" s="276" t="s">
        <v>2447</v>
      </c>
      <c r="I674" s="276" t="str">
        <f t="shared" si="8"/>
        <v>C</v>
      </c>
    </row>
    <row r="675" spans="2:9">
      <c r="B675" s="276" t="s">
        <v>2178</v>
      </c>
      <c r="C675" s="276" t="s">
        <v>2179</v>
      </c>
      <c r="D675" s="276" t="s">
        <v>2404</v>
      </c>
      <c r="E675" s="276">
        <v>3</v>
      </c>
      <c r="F675" s="276">
        <v>142.03399999999999</v>
      </c>
      <c r="G675" s="276" t="s">
        <v>2197</v>
      </c>
      <c r="H675" s="276"/>
      <c r="I675" s="276" t="str">
        <f t="shared" si="8"/>
        <v>C</v>
      </c>
    </row>
    <row r="676" spans="2:9">
      <c r="B676" s="276" t="s">
        <v>2332</v>
      </c>
      <c r="C676" s="276" t="s">
        <v>2333</v>
      </c>
      <c r="D676" s="276" t="s">
        <v>2544</v>
      </c>
      <c r="E676" s="276">
        <v>3</v>
      </c>
      <c r="F676" s="276">
        <v>5.3646700000000003</v>
      </c>
      <c r="G676" s="276" t="s">
        <v>2335</v>
      </c>
      <c r="H676" s="276"/>
      <c r="I676" s="276" t="str">
        <f t="shared" si="8"/>
        <v>C</v>
      </c>
    </row>
    <row r="677" spans="2:9">
      <c r="B677" s="276" t="s">
        <v>2316</v>
      </c>
      <c r="C677" s="276" t="s">
        <v>2536</v>
      </c>
      <c r="D677" s="276" t="s">
        <v>2537</v>
      </c>
      <c r="E677" s="276">
        <v>3</v>
      </c>
      <c r="F677" s="276">
        <v>3.2565599999999999</v>
      </c>
      <c r="G677" s="276" t="s">
        <v>2335</v>
      </c>
      <c r="H677" s="276"/>
      <c r="I677" s="276" t="str">
        <f t="shared" si="8"/>
        <v>C</v>
      </c>
    </row>
    <row r="678" spans="2:9">
      <c r="B678" s="276" t="s">
        <v>2313</v>
      </c>
      <c r="C678" s="276" t="s">
        <v>2410</v>
      </c>
      <c r="D678" s="276" t="s">
        <v>2538</v>
      </c>
      <c r="E678" s="276">
        <v>3</v>
      </c>
      <c r="F678" s="276">
        <v>4.4491899999999998</v>
      </c>
      <c r="G678" s="276" t="s">
        <v>2271</v>
      </c>
      <c r="H678" s="276"/>
      <c r="I678" s="276" t="str">
        <f t="shared" si="8"/>
        <v>C</v>
      </c>
    </row>
    <row r="679" spans="2:9">
      <c r="B679" s="276" t="s">
        <v>2178</v>
      </c>
      <c r="C679" s="276" t="s">
        <v>2179</v>
      </c>
      <c r="D679" s="276" t="s">
        <v>2539</v>
      </c>
      <c r="E679" s="276">
        <v>3</v>
      </c>
      <c r="F679" s="276">
        <v>15.5863</v>
      </c>
      <c r="G679" s="276" t="s">
        <v>2204</v>
      </c>
      <c r="H679" s="276"/>
      <c r="I679" s="276" t="str">
        <f t="shared" ref="I679:I742" si="9">_xlfn.XLOOKUP(E679, $K$230:$K$236, $L$230:$L$236)</f>
        <v>C</v>
      </c>
    </row>
    <row r="680" spans="2:9">
      <c r="B680" s="276" t="s">
        <v>2351</v>
      </c>
      <c r="C680" s="276" t="s">
        <v>2352</v>
      </c>
      <c r="D680" s="276" t="s">
        <v>2353</v>
      </c>
      <c r="E680" s="276">
        <v>3</v>
      </c>
      <c r="F680" s="276">
        <v>4.5692200000000002E-2</v>
      </c>
      <c r="G680" s="276" t="s">
        <v>2204</v>
      </c>
      <c r="H680" s="276"/>
      <c r="I680" s="276" t="str">
        <f t="shared" si="9"/>
        <v>C</v>
      </c>
    </row>
    <row r="681" spans="2:9">
      <c r="B681" s="276" t="s">
        <v>2355</v>
      </c>
      <c r="C681" s="276" t="s">
        <v>2356</v>
      </c>
      <c r="D681" s="276" t="s">
        <v>2357</v>
      </c>
      <c r="E681" s="276">
        <v>3</v>
      </c>
      <c r="F681" s="276">
        <v>5.6153099999999997E-2</v>
      </c>
      <c r="G681" s="276" t="s">
        <v>2204</v>
      </c>
      <c r="H681" s="276"/>
      <c r="I681" s="276" t="str">
        <f t="shared" si="9"/>
        <v>C</v>
      </c>
    </row>
    <row r="682" spans="2:9">
      <c r="B682" s="276" t="s">
        <v>2316</v>
      </c>
      <c r="C682" s="276" t="s">
        <v>2317</v>
      </c>
      <c r="D682" s="276" t="s">
        <v>2545</v>
      </c>
      <c r="E682" s="276">
        <v>3</v>
      </c>
      <c r="F682" s="276">
        <v>3.6070700000000002</v>
      </c>
      <c r="G682" s="276" t="s">
        <v>2289</v>
      </c>
      <c r="H682" s="276"/>
      <c r="I682" s="276" t="str">
        <f t="shared" si="9"/>
        <v>C</v>
      </c>
    </row>
    <row r="683" spans="2:9">
      <c r="B683" s="276" t="s">
        <v>2316</v>
      </c>
      <c r="C683" s="276" t="s">
        <v>2317</v>
      </c>
      <c r="D683" s="276" t="s">
        <v>2546</v>
      </c>
      <c r="E683" s="276">
        <v>3</v>
      </c>
      <c r="F683" s="276">
        <v>2.2723399999999998</v>
      </c>
      <c r="G683" s="276" t="s">
        <v>2289</v>
      </c>
      <c r="H683" s="276"/>
      <c r="I683" s="276" t="str">
        <f t="shared" si="9"/>
        <v>C</v>
      </c>
    </row>
    <row r="684" spans="2:9">
      <c r="B684" s="276" t="s">
        <v>2316</v>
      </c>
      <c r="C684" s="276" t="s">
        <v>2317</v>
      </c>
      <c r="D684" s="276" t="s">
        <v>2545</v>
      </c>
      <c r="E684" s="276">
        <v>3</v>
      </c>
      <c r="F684" s="276">
        <v>3.6070700000000002</v>
      </c>
      <c r="G684" s="276" t="s">
        <v>2289</v>
      </c>
      <c r="H684" s="276"/>
      <c r="I684" s="276" t="str">
        <f t="shared" si="9"/>
        <v>C</v>
      </c>
    </row>
    <row r="685" spans="2:9">
      <c r="B685" s="276" t="s">
        <v>2316</v>
      </c>
      <c r="C685" s="276" t="s">
        <v>2317</v>
      </c>
      <c r="D685" s="276" t="s">
        <v>2546</v>
      </c>
      <c r="E685" s="276">
        <v>3</v>
      </c>
      <c r="F685" s="276">
        <v>2.2723399999999998</v>
      </c>
      <c r="G685" s="276" t="s">
        <v>2289</v>
      </c>
      <c r="H685" s="276"/>
      <c r="I685" s="276" t="str">
        <f t="shared" si="9"/>
        <v>C</v>
      </c>
    </row>
    <row r="686" spans="2:9">
      <c r="B686" s="276" t="s">
        <v>2547</v>
      </c>
      <c r="C686" s="276" t="s">
        <v>2548</v>
      </c>
      <c r="D686" s="276" t="s">
        <v>2549</v>
      </c>
      <c r="E686" s="276">
        <v>4</v>
      </c>
      <c r="F686" s="276">
        <v>2.1909941582879999</v>
      </c>
      <c r="G686" s="276" t="s">
        <v>2155</v>
      </c>
      <c r="H686" s="276"/>
      <c r="I686" s="276" t="str">
        <f t="shared" si="9"/>
        <v>Prohibited</v>
      </c>
    </row>
    <row r="687" spans="2:9">
      <c r="B687" s="276" t="s">
        <v>2547</v>
      </c>
      <c r="C687" s="276" t="s">
        <v>2548</v>
      </c>
      <c r="D687" s="276" t="s">
        <v>2550</v>
      </c>
      <c r="E687" s="276">
        <v>4</v>
      </c>
      <c r="F687" s="276">
        <v>4.7753635319986003</v>
      </c>
      <c r="G687" s="276" t="s">
        <v>2155</v>
      </c>
      <c r="H687" s="276"/>
      <c r="I687" s="276" t="str">
        <f t="shared" si="9"/>
        <v>Prohibited</v>
      </c>
    </row>
    <row r="688" spans="2:9">
      <c r="B688" s="276" t="s">
        <v>2316</v>
      </c>
      <c r="C688" s="276" t="s">
        <v>2317</v>
      </c>
      <c r="D688" s="276" t="s">
        <v>2551</v>
      </c>
      <c r="E688" s="276">
        <v>4</v>
      </c>
      <c r="F688" s="276">
        <v>1.4172041258087</v>
      </c>
      <c r="G688" s="276" t="s">
        <v>2155</v>
      </c>
      <c r="H688" s="276"/>
      <c r="I688" s="276" t="str">
        <f t="shared" si="9"/>
        <v>Prohibited</v>
      </c>
    </row>
    <row r="689" spans="2:9">
      <c r="B689" s="276" t="s">
        <v>2552</v>
      </c>
      <c r="C689" s="276" t="s">
        <v>2553</v>
      </c>
      <c r="D689" s="276" t="s">
        <v>2554</v>
      </c>
      <c r="E689" s="276">
        <v>4</v>
      </c>
      <c r="F689" s="276">
        <v>8.7492953886719</v>
      </c>
      <c r="G689" s="276" t="s">
        <v>2155</v>
      </c>
      <c r="H689" s="276"/>
      <c r="I689" s="276" t="str">
        <f t="shared" si="9"/>
        <v>Prohibited</v>
      </c>
    </row>
    <row r="690" spans="2:9">
      <c r="B690" s="276" t="s">
        <v>2555</v>
      </c>
      <c r="C690" s="276" t="s">
        <v>2556</v>
      </c>
      <c r="D690" s="276" t="s">
        <v>2557</v>
      </c>
      <c r="E690" s="276">
        <v>4</v>
      </c>
      <c r="F690" s="276">
        <v>0.84312329531479002</v>
      </c>
      <c r="G690" s="276" t="s">
        <v>2155</v>
      </c>
      <c r="H690" s="276"/>
      <c r="I690" s="276" t="str">
        <f t="shared" si="9"/>
        <v>Prohibited</v>
      </c>
    </row>
    <row r="691" spans="2:9">
      <c r="B691" s="276" t="s">
        <v>2200</v>
      </c>
      <c r="C691" s="276" t="s">
        <v>2201</v>
      </c>
      <c r="D691" s="276" t="s">
        <v>2558</v>
      </c>
      <c r="E691" s="276">
        <v>4</v>
      </c>
      <c r="F691" s="276">
        <v>0.84970542559814</v>
      </c>
      <c r="G691" s="276" t="s">
        <v>2155</v>
      </c>
      <c r="H691" s="276"/>
      <c r="I691" s="276" t="str">
        <f t="shared" si="9"/>
        <v>Prohibited</v>
      </c>
    </row>
    <row r="692" spans="2:9">
      <c r="B692" s="276" t="s">
        <v>2297</v>
      </c>
      <c r="C692" s="276" t="s">
        <v>2298</v>
      </c>
      <c r="D692" s="276" t="s">
        <v>2559</v>
      </c>
      <c r="E692" s="276">
        <v>4</v>
      </c>
      <c r="F692" s="276">
        <v>0.1092612740593</v>
      </c>
      <c r="G692" s="276" t="s">
        <v>2155</v>
      </c>
      <c r="H692" s="276"/>
      <c r="I692" s="276" t="str">
        <f t="shared" si="9"/>
        <v>Prohibited</v>
      </c>
    </row>
    <row r="693" spans="2:9">
      <c r="B693" s="276" t="s">
        <v>2490</v>
      </c>
      <c r="C693" s="276" t="s">
        <v>2491</v>
      </c>
      <c r="D693" s="276" t="s">
        <v>2492</v>
      </c>
      <c r="E693" s="276">
        <v>4</v>
      </c>
      <c r="F693" s="276">
        <v>2.8627223987578998</v>
      </c>
      <c r="G693" s="276" t="s">
        <v>2155</v>
      </c>
      <c r="H693" s="276"/>
      <c r="I693" s="276" t="str">
        <f t="shared" si="9"/>
        <v>Prohibited</v>
      </c>
    </row>
    <row r="694" spans="2:9">
      <c r="B694" s="276" t="s">
        <v>2152</v>
      </c>
      <c r="C694" s="276" t="s">
        <v>2153</v>
      </c>
      <c r="D694" s="276" t="s">
        <v>2560</v>
      </c>
      <c r="E694" s="276">
        <v>4</v>
      </c>
      <c r="F694" s="276">
        <v>0.92499352787399003</v>
      </c>
      <c r="G694" s="276" t="s">
        <v>2155</v>
      </c>
      <c r="H694" s="276"/>
      <c r="I694" s="276" t="str">
        <f t="shared" si="9"/>
        <v>Prohibited</v>
      </c>
    </row>
    <row r="695" spans="2:9">
      <c r="B695" s="276" t="s">
        <v>2187</v>
      </c>
      <c r="C695" s="276" t="s">
        <v>2188</v>
      </c>
      <c r="D695" s="276" t="s">
        <v>2561</v>
      </c>
      <c r="E695" s="276">
        <v>4</v>
      </c>
      <c r="F695" s="276">
        <v>1.3013642984390001E-2</v>
      </c>
      <c r="G695" s="276" t="s">
        <v>2155</v>
      </c>
      <c r="H695" s="276"/>
      <c r="I695" s="276" t="str">
        <f t="shared" si="9"/>
        <v>Prohibited</v>
      </c>
    </row>
    <row r="696" spans="2:9">
      <c r="B696" s="276" t="s">
        <v>2205</v>
      </c>
      <c r="C696" s="276" t="s">
        <v>2306</v>
      </c>
      <c r="D696" s="276" t="s">
        <v>2562</v>
      </c>
      <c r="E696" s="276">
        <v>4</v>
      </c>
      <c r="F696" s="276">
        <v>1.9271375550747E-2</v>
      </c>
      <c r="G696" s="276" t="s">
        <v>2155</v>
      </c>
      <c r="H696" s="276"/>
      <c r="I696" s="276" t="str">
        <f t="shared" si="9"/>
        <v>Prohibited</v>
      </c>
    </row>
    <row r="697" spans="2:9">
      <c r="B697" s="276" t="s">
        <v>2400</v>
      </c>
      <c r="C697" s="276" t="s">
        <v>2401</v>
      </c>
      <c r="D697" s="276" t="s">
        <v>2563</v>
      </c>
      <c r="E697" s="276">
        <v>4</v>
      </c>
      <c r="F697" s="276">
        <v>1.3589435669479</v>
      </c>
      <c r="G697" s="276" t="s">
        <v>2155</v>
      </c>
      <c r="H697" s="276"/>
      <c r="I697" s="276" t="str">
        <f t="shared" si="9"/>
        <v>Prohibited</v>
      </c>
    </row>
    <row r="698" spans="2:9">
      <c r="B698" s="276" t="s">
        <v>2316</v>
      </c>
      <c r="C698" s="276" t="s">
        <v>2317</v>
      </c>
      <c r="D698" s="276" t="s">
        <v>2564</v>
      </c>
      <c r="E698" s="276">
        <v>4</v>
      </c>
      <c r="F698" s="276">
        <v>3.7873302357215999</v>
      </c>
      <c r="G698" s="276" t="s">
        <v>2155</v>
      </c>
      <c r="H698" s="276"/>
      <c r="I698" s="276" t="str">
        <f t="shared" si="9"/>
        <v>Prohibited</v>
      </c>
    </row>
    <row r="699" spans="2:9">
      <c r="B699" s="276" t="s">
        <v>2265</v>
      </c>
      <c r="C699" s="276" t="s">
        <v>2266</v>
      </c>
      <c r="D699" s="276" t="s">
        <v>2565</v>
      </c>
      <c r="E699" s="276">
        <v>4</v>
      </c>
      <c r="F699" s="276">
        <v>12.5512</v>
      </c>
      <c r="G699" s="276" t="s">
        <v>2197</v>
      </c>
      <c r="H699" s="276"/>
      <c r="I699" s="276" t="str">
        <f t="shared" si="9"/>
        <v>Prohibited</v>
      </c>
    </row>
    <row r="700" spans="2:9">
      <c r="B700" s="276" t="s">
        <v>2313</v>
      </c>
      <c r="C700" s="276" t="s">
        <v>2314</v>
      </c>
      <c r="D700" s="276" t="s">
        <v>2315</v>
      </c>
      <c r="E700" s="276">
        <v>4</v>
      </c>
      <c r="F700" s="276">
        <v>1.0861777408905</v>
      </c>
      <c r="G700" s="276" t="s">
        <v>2155</v>
      </c>
      <c r="H700" s="276"/>
      <c r="I700" s="276" t="str">
        <f t="shared" si="9"/>
        <v>Prohibited</v>
      </c>
    </row>
    <row r="701" spans="2:9">
      <c r="B701" s="276" t="s">
        <v>2316</v>
      </c>
      <c r="C701" s="276" t="s">
        <v>2317</v>
      </c>
      <c r="D701" s="276" t="s">
        <v>2551</v>
      </c>
      <c r="E701" s="276">
        <v>4</v>
      </c>
      <c r="F701" s="276">
        <v>1.4172</v>
      </c>
      <c r="G701" s="276" t="s">
        <v>2408</v>
      </c>
      <c r="H701" s="276"/>
      <c r="I701" s="276" t="str">
        <f t="shared" si="9"/>
        <v>Prohibited</v>
      </c>
    </row>
    <row r="702" spans="2:9">
      <c r="B702" s="276" t="s">
        <v>2552</v>
      </c>
      <c r="C702" s="276" t="s">
        <v>2553</v>
      </c>
      <c r="D702" s="276" t="s">
        <v>2554</v>
      </c>
      <c r="E702" s="276">
        <v>4</v>
      </c>
      <c r="F702" s="276">
        <v>8.7492999999999999</v>
      </c>
      <c r="G702" s="276" t="s">
        <v>2408</v>
      </c>
      <c r="H702" s="276"/>
      <c r="I702" s="276" t="str">
        <f t="shared" si="9"/>
        <v>Prohibited</v>
      </c>
    </row>
    <row r="703" spans="2:9">
      <c r="B703" s="276" t="s">
        <v>2547</v>
      </c>
      <c r="C703" s="276" t="s">
        <v>2548</v>
      </c>
      <c r="D703" s="276" t="s">
        <v>2549</v>
      </c>
      <c r="E703" s="276">
        <v>4</v>
      </c>
      <c r="F703" s="276">
        <v>2.1909900000000002</v>
      </c>
      <c r="G703" s="276" t="s">
        <v>2408</v>
      </c>
      <c r="H703" s="276"/>
      <c r="I703" s="276" t="str">
        <f t="shared" si="9"/>
        <v>Prohibited</v>
      </c>
    </row>
    <row r="704" spans="2:9">
      <c r="B704" s="276" t="s">
        <v>2547</v>
      </c>
      <c r="C704" s="276" t="s">
        <v>2548</v>
      </c>
      <c r="D704" s="276" t="s">
        <v>2550</v>
      </c>
      <c r="E704" s="276">
        <v>4</v>
      </c>
      <c r="F704" s="276">
        <v>4.77536</v>
      </c>
      <c r="G704" s="276" t="s">
        <v>2408</v>
      </c>
      <c r="H704" s="276"/>
      <c r="I704" s="276" t="str">
        <f t="shared" si="9"/>
        <v>Prohibited</v>
      </c>
    </row>
    <row r="705" spans="2:9">
      <c r="B705" s="276" t="s">
        <v>2555</v>
      </c>
      <c r="C705" s="276" t="s">
        <v>2556</v>
      </c>
      <c r="D705" s="276" t="s">
        <v>2557</v>
      </c>
      <c r="E705" s="276">
        <v>4</v>
      </c>
      <c r="F705" s="276">
        <v>0.84312299999999996</v>
      </c>
      <c r="G705" s="276" t="s">
        <v>2408</v>
      </c>
      <c r="H705" s="276"/>
      <c r="I705" s="276" t="str">
        <f t="shared" si="9"/>
        <v>Prohibited</v>
      </c>
    </row>
    <row r="706" spans="2:9">
      <c r="B706" s="276" t="s">
        <v>2200</v>
      </c>
      <c r="C706" s="276" t="s">
        <v>2201</v>
      </c>
      <c r="D706" s="276" t="s">
        <v>2558</v>
      </c>
      <c r="E706" s="276">
        <v>4</v>
      </c>
      <c r="F706" s="276">
        <v>0.84970500000000004</v>
      </c>
      <c r="G706" s="276" t="s">
        <v>2408</v>
      </c>
      <c r="H706" s="276"/>
      <c r="I706" s="276" t="str">
        <f t="shared" si="9"/>
        <v>Prohibited</v>
      </c>
    </row>
    <row r="707" spans="2:9">
      <c r="B707" s="276" t="s">
        <v>2205</v>
      </c>
      <c r="C707" s="276" t="s">
        <v>2566</v>
      </c>
      <c r="D707" s="276" t="s">
        <v>2567</v>
      </c>
      <c r="E707" s="276">
        <v>4</v>
      </c>
      <c r="F707" s="276">
        <v>0.41913600000000001</v>
      </c>
      <c r="G707" s="276" t="s">
        <v>2408</v>
      </c>
      <c r="H707" s="276"/>
      <c r="I707" s="276" t="str">
        <f t="shared" si="9"/>
        <v>Prohibited</v>
      </c>
    </row>
    <row r="708" spans="2:9">
      <c r="B708" s="276" t="s">
        <v>2294</v>
      </c>
      <c r="C708" s="276" t="s">
        <v>2295</v>
      </c>
      <c r="D708" s="276" t="s">
        <v>2296</v>
      </c>
      <c r="E708" s="276">
        <v>4</v>
      </c>
      <c r="F708" s="276">
        <v>1.21862</v>
      </c>
      <c r="G708" s="276" t="s">
        <v>2408</v>
      </c>
      <c r="H708" s="276"/>
      <c r="I708" s="276" t="str">
        <f t="shared" si="9"/>
        <v>Prohibited</v>
      </c>
    </row>
    <row r="709" spans="2:9">
      <c r="B709" s="276" t="s">
        <v>2490</v>
      </c>
      <c r="C709" s="276" t="s">
        <v>2491</v>
      </c>
      <c r="D709" s="276" t="s">
        <v>2492</v>
      </c>
      <c r="E709" s="276">
        <v>4</v>
      </c>
      <c r="F709" s="276">
        <v>2.8627199999999999</v>
      </c>
      <c r="G709" s="276" t="s">
        <v>2408</v>
      </c>
      <c r="H709" s="276"/>
      <c r="I709" s="276" t="str">
        <f t="shared" si="9"/>
        <v>Prohibited</v>
      </c>
    </row>
    <row r="710" spans="2:9">
      <c r="B710" s="276" t="s">
        <v>2297</v>
      </c>
      <c r="C710" s="276" t="s">
        <v>2298</v>
      </c>
      <c r="D710" s="276" t="s">
        <v>2559</v>
      </c>
      <c r="E710" s="276">
        <v>4</v>
      </c>
      <c r="F710" s="276">
        <v>0.109261</v>
      </c>
      <c r="G710" s="276" t="s">
        <v>2408</v>
      </c>
      <c r="H710" s="276"/>
      <c r="I710" s="276" t="str">
        <f t="shared" si="9"/>
        <v>Prohibited</v>
      </c>
    </row>
    <row r="711" spans="2:9">
      <c r="B711" s="276" t="s">
        <v>2205</v>
      </c>
      <c r="C711" s="276" t="s">
        <v>2566</v>
      </c>
      <c r="D711" s="276" t="s">
        <v>2562</v>
      </c>
      <c r="E711" s="276">
        <v>4</v>
      </c>
      <c r="F711" s="276">
        <v>3.5425999999999999E-2</v>
      </c>
      <c r="G711" s="276" t="s">
        <v>2408</v>
      </c>
      <c r="H711" s="276"/>
      <c r="I711" s="276" t="str">
        <f t="shared" si="9"/>
        <v>Prohibited</v>
      </c>
    </row>
    <row r="712" spans="2:9">
      <c r="B712" s="276" t="s">
        <v>2152</v>
      </c>
      <c r="C712" s="276" t="s">
        <v>2153</v>
      </c>
      <c r="D712" s="276" t="s">
        <v>2560</v>
      </c>
      <c r="E712" s="276">
        <v>4</v>
      </c>
      <c r="F712" s="276">
        <v>0.92499399999999998</v>
      </c>
      <c r="G712" s="276" t="s">
        <v>2408</v>
      </c>
      <c r="H712" s="276"/>
      <c r="I712" s="276" t="str">
        <f t="shared" si="9"/>
        <v>Prohibited</v>
      </c>
    </row>
    <row r="713" spans="2:9">
      <c r="B713" s="276" t="s">
        <v>2187</v>
      </c>
      <c r="C713" s="276" t="s">
        <v>2188</v>
      </c>
      <c r="D713" s="276" t="s">
        <v>2561</v>
      </c>
      <c r="E713" s="276">
        <v>4</v>
      </c>
      <c r="F713" s="276">
        <v>1.30136E-2</v>
      </c>
      <c r="G713" s="276" t="s">
        <v>2408</v>
      </c>
      <c r="H713" s="276"/>
      <c r="I713" s="276" t="str">
        <f t="shared" si="9"/>
        <v>Prohibited</v>
      </c>
    </row>
    <row r="714" spans="2:9">
      <c r="B714" s="276" t="s">
        <v>2400</v>
      </c>
      <c r="C714" s="276" t="s">
        <v>2401</v>
      </c>
      <c r="D714" s="276" t="s">
        <v>2563</v>
      </c>
      <c r="E714" s="276">
        <v>4</v>
      </c>
      <c r="F714" s="276">
        <v>1.3433999999999999</v>
      </c>
      <c r="G714" s="276" t="s">
        <v>2408</v>
      </c>
      <c r="H714" s="276"/>
      <c r="I714" s="276" t="str">
        <f t="shared" si="9"/>
        <v>Prohibited</v>
      </c>
    </row>
    <row r="715" spans="2:9">
      <c r="B715" s="276" t="s">
        <v>2316</v>
      </c>
      <c r="C715" s="276" t="s">
        <v>2317</v>
      </c>
      <c r="D715" s="276" t="s">
        <v>2564</v>
      </c>
      <c r="E715" s="276">
        <v>4</v>
      </c>
      <c r="F715" s="276">
        <v>3.7873299999999999</v>
      </c>
      <c r="G715" s="276" t="s">
        <v>2408</v>
      </c>
      <c r="H715" s="276"/>
      <c r="I715" s="276" t="str">
        <f t="shared" si="9"/>
        <v>Prohibited</v>
      </c>
    </row>
    <row r="716" spans="2:9">
      <c r="B716" s="276" t="s">
        <v>2265</v>
      </c>
      <c r="C716" s="276" t="s">
        <v>2266</v>
      </c>
      <c r="D716" s="276" t="s">
        <v>2565</v>
      </c>
      <c r="E716" s="276">
        <v>4</v>
      </c>
      <c r="F716" s="276">
        <v>12.5512</v>
      </c>
      <c r="G716" s="276" t="s">
        <v>2197</v>
      </c>
      <c r="H716" s="276"/>
      <c r="I716" s="276" t="str">
        <f t="shared" si="9"/>
        <v>Prohibited</v>
      </c>
    </row>
    <row r="717" spans="2:9">
      <c r="B717" s="276" t="s">
        <v>2332</v>
      </c>
      <c r="C717" s="276" t="s">
        <v>2333</v>
      </c>
      <c r="D717" s="276" t="s">
        <v>2568</v>
      </c>
      <c r="E717" s="276">
        <v>4</v>
      </c>
      <c r="F717" s="276">
        <v>1.5464899999999999</v>
      </c>
      <c r="G717" s="276" t="s">
        <v>2569</v>
      </c>
      <c r="H717" s="276"/>
      <c r="I717" s="276" t="str">
        <f t="shared" si="9"/>
        <v>Prohibited</v>
      </c>
    </row>
    <row r="718" spans="2:9">
      <c r="B718" s="276" t="s">
        <v>2316</v>
      </c>
      <c r="C718" s="276" t="s">
        <v>2317</v>
      </c>
      <c r="D718" s="276" t="s">
        <v>2545</v>
      </c>
      <c r="E718" s="276">
        <v>4</v>
      </c>
      <c r="F718" s="276">
        <v>3.6070700000000002</v>
      </c>
      <c r="G718" s="276" t="s">
        <v>2570</v>
      </c>
      <c r="H718" s="276"/>
      <c r="I718" s="276" t="str">
        <f t="shared" si="9"/>
        <v>Prohibited</v>
      </c>
    </row>
    <row r="719" spans="2:9">
      <c r="B719" s="276" t="s">
        <v>2316</v>
      </c>
      <c r="C719" s="276" t="s">
        <v>2317</v>
      </c>
      <c r="D719" s="276" t="s">
        <v>2546</v>
      </c>
      <c r="E719" s="276">
        <v>4</v>
      </c>
      <c r="F719" s="276">
        <v>2.2723399999999998</v>
      </c>
      <c r="G719" s="276" t="s">
        <v>2570</v>
      </c>
      <c r="H719" s="276"/>
      <c r="I719" s="276" t="str">
        <f t="shared" si="9"/>
        <v>Prohibited</v>
      </c>
    </row>
    <row r="720" spans="2:9">
      <c r="B720" s="276" t="s">
        <v>2316</v>
      </c>
      <c r="C720" s="276" t="s">
        <v>2317</v>
      </c>
      <c r="D720" s="276" t="s">
        <v>2551</v>
      </c>
      <c r="E720" s="276">
        <v>4</v>
      </c>
      <c r="F720" s="276">
        <v>1.4172</v>
      </c>
      <c r="G720" s="276" t="s">
        <v>2186</v>
      </c>
      <c r="H720" s="276"/>
      <c r="I720" s="276" t="str">
        <f t="shared" si="9"/>
        <v>Prohibited</v>
      </c>
    </row>
    <row r="721" spans="2:9">
      <c r="B721" s="276" t="s">
        <v>2552</v>
      </c>
      <c r="C721" s="276" t="s">
        <v>2553</v>
      </c>
      <c r="D721" s="276" t="s">
        <v>2554</v>
      </c>
      <c r="E721" s="276">
        <v>4</v>
      </c>
      <c r="F721" s="276">
        <v>8.7492999999999999</v>
      </c>
      <c r="G721" s="276" t="s">
        <v>2186</v>
      </c>
      <c r="H721" s="276"/>
      <c r="I721" s="276" t="str">
        <f t="shared" si="9"/>
        <v>Prohibited</v>
      </c>
    </row>
    <row r="722" spans="2:9">
      <c r="B722" s="276" t="s">
        <v>2547</v>
      </c>
      <c r="C722" s="276" t="s">
        <v>2548</v>
      </c>
      <c r="D722" s="276" t="s">
        <v>2549</v>
      </c>
      <c r="E722" s="276">
        <v>4</v>
      </c>
      <c r="F722" s="276">
        <v>2.1909900000000002</v>
      </c>
      <c r="G722" s="276" t="s">
        <v>2186</v>
      </c>
      <c r="H722" s="276"/>
      <c r="I722" s="276" t="str">
        <f t="shared" si="9"/>
        <v>Prohibited</v>
      </c>
    </row>
    <row r="723" spans="2:9">
      <c r="B723" s="276" t="s">
        <v>2547</v>
      </c>
      <c r="C723" s="276" t="s">
        <v>2548</v>
      </c>
      <c r="D723" s="276" t="s">
        <v>2550</v>
      </c>
      <c r="E723" s="276">
        <v>4</v>
      </c>
      <c r="F723" s="276">
        <v>4.77536</v>
      </c>
      <c r="G723" s="276" t="s">
        <v>2186</v>
      </c>
      <c r="H723" s="276"/>
      <c r="I723" s="276" t="str">
        <f t="shared" si="9"/>
        <v>Prohibited</v>
      </c>
    </row>
    <row r="724" spans="2:9">
      <c r="B724" s="276" t="s">
        <v>2555</v>
      </c>
      <c r="C724" s="276" t="s">
        <v>2556</v>
      </c>
      <c r="D724" s="276" t="s">
        <v>2557</v>
      </c>
      <c r="E724" s="276">
        <v>4</v>
      </c>
      <c r="F724" s="276">
        <v>0.84312299999999996</v>
      </c>
      <c r="G724" s="276" t="s">
        <v>2186</v>
      </c>
      <c r="H724" s="276"/>
      <c r="I724" s="276" t="str">
        <f t="shared" si="9"/>
        <v>Prohibited</v>
      </c>
    </row>
    <row r="725" spans="2:9">
      <c r="B725" s="276" t="s">
        <v>2200</v>
      </c>
      <c r="C725" s="276" t="s">
        <v>2201</v>
      </c>
      <c r="D725" s="276" t="s">
        <v>2558</v>
      </c>
      <c r="E725" s="276">
        <v>4</v>
      </c>
      <c r="F725" s="276">
        <v>0.84970500000000004</v>
      </c>
      <c r="G725" s="276" t="s">
        <v>2186</v>
      </c>
      <c r="H725" s="276"/>
      <c r="I725" s="276" t="str">
        <f t="shared" si="9"/>
        <v>Prohibited</v>
      </c>
    </row>
    <row r="726" spans="2:9">
      <c r="B726" s="276" t="s">
        <v>2205</v>
      </c>
      <c r="C726" s="276" t="s">
        <v>2566</v>
      </c>
      <c r="D726" s="276" t="s">
        <v>2567</v>
      </c>
      <c r="E726" s="276">
        <v>4</v>
      </c>
      <c r="F726" s="276">
        <v>0.41913600000000001</v>
      </c>
      <c r="G726" s="276" t="s">
        <v>2186</v>
      </c>
      <c r="H726" s="276"/>
      <c r="I726" s="276" t="str">
        <f t="shared" si="9"/>
        <v>Prohibited</v>
      </c>
    </row>
    <row r="727" spans="2:9">
      <c r="B727" s="276" t="s">
        <v>2294</v>
      </c>
      <c r="C727" s="276" t="s">
        <v>2295</v>
      </c>
      <c r="D727" s="276" t="s">
        <v>2296</v>
      </c>
      <c r="E727" s="276">
        <v>4</v>
      </c>
      <c r="F727" s="276">
        <v>1.21862</v>
      </c>
      <c r="G727" s="276" t="s">
        <v>2186</v>
      </c>
      <c r="H727" s="276"/>
      <c r="I727" s="276" t="str">
        <f t="shared" si="9"/>
        <v>Prohibited</v>
      </c>
    </row>
    <row r="728" spans="2:9">
      <c r="B728" s="276" t="s">
        <v>2490</v>
      </c>
      <c r="C728" s="276" t="s">
        <v>2491</v>
      </c>
      <c r="D728" s="276" t="s">
        <v>2492</v>
      </c>
      <c r="E728" s="276">
        <v>4</v>
      </c>
      <c r="F728" s="276">
        <v>2.8627199999999999</v>
      </c>
      <c r="G728" s="276" t="s">
        <v>2186</v>
      </c>
      <c r="H728" s="276"/>
      <c r="I728" s="276" t="str">
        <f t="shared" si="9"/>
        <v>Prohibited</v>
      </c>
    </row>
    <row r="729" spans="2:9">
      <c r="B729" s="276" t="s">
        <v>2297</v>
      </c>
      <c r="C729" s="276" t="s">
        <v>2298</v>
      </c>
      <c r="D729" s="276" t="s">
        <v>2559</v>
      </c>
      <c r="E729" s="276">
        <v>4</v>
      </c>
      <c r="F729" s="276">
        <v>0.109261</v>
      </c>
      <c r="G729" s="276" t="s">
        <v>2186</v>
      </c>
      <c r="H729" s="276"/>
      <c r="I729" s="276" t="str">
        <f t="shared" si="9"/>
        <v>Prohibited</v>
      </c>
    </row>
    <row r="730" spans="2:9">
      <c r="B730" s="276" t="s">
        <v>2152</v>
      </c>
      <c r="C730" s="276" t="s">
        <v>2153</v>
      </c>
      <c r="D730" s="276" t="s">
        <v>2560</v>
      </c>
      <c r="E730" s="276">
        <v>4</v>
      </c>
      <c r="F730" s="276">
        <v>0.92499399999999998</v>
      </c>
      <c r="G730" s="276" t="s">
        <v>2186</v>
      </c>
      <c r="H730" s="276"/>
      <c r="I730" s="276" t="str">
        <f t="shared" si="9"/>
        <v>Prohibited</v>
      </c>
    </row>
    <row r="731" spans="2:9">
      <c r="B731" s="276" t="s">
        <v>2174</v>
      </c>
      <c r="C731" s="276" t="s">
        <v>2236</v>
      </c>
      <c r="D731" s="276" t="s">
        <v>2571</v>
      </c>
      <c r="E731" s="276">
        <v>4</v>
      </c>
      <c r="F731" s="276">
        <v>14.981999999999999</v>
      </c>
      <c r="G731" s="276" t="s">
        <v>2186</v>
      </c>
      <c r="H731" s="276"/>
      <c r="I731" s="276" t="str">
        <f t="shared" si="9"/>
        <v>Prohibited</v>
      </c>
    </row>
    <row r="732" spans="2:9">
      <c r="B732" s="276" t="s">
        <v>2187</v>
      </c>
      <c r="C732" s="276" t="s">
        <v>2188</v>
      </c>
      <c r="D732" s="276" t="s">
        <v>2561</v>
      </c>
      <c r="E732" s="276">
        <v>4</v>
      </c>
      <c r="F732" s="276">
        <v>1.30136E-2</v>
      </c>
      <c r="G732" s="276" t="s">
        <v>2186</v>
      </c>
      <c r="H732" s="276"/>
      <c r="I732" s="276" t="str">
        <f t="shared" si="9"/>
        <v>Prohibited</v>
      </c>
    </row>
    <row r="733" spans="2:9">
      <c r="B733" s="276" t="s">
        <v>2400</v>
      </c>
      <c r="C733" s="276" t="s">
        <v>2401</v>
      </c>
      <c r="D733" s="276" t="s">
        <v>2563</v>
      </c>
      <c r="E733" s="276">
        <v>4</v>
      </c>
      <c r="F733" s="276">
        <v>1.35894</v>
      </c>
      <c r="G733" s="276" t="s">
        <v>2186</v>
      </c>
      <c r="H733" s="276"/>
      <c r="I733" s="276" t="str">
        <f t="shared" si="9"/>
        <v>Prohibited</v>
      </c>
    </row>
    <row r="734" spans="2:9">
      <c r="B734" s="276" t="s">
        <v>2316</v>
      </c>
      <c r="C734" s="276" t="s">
        <v>2317</v>
      </c>
      <c r="D734" s="276" t="s">
        <v>2564</v>
      </c>
      <c r="E734" s="276">
        <v>4</v>
      </c>
      <c r="F734" s="276">
        <v>3.7873299999999999</v>
      </c>
      <c r="G734" s="276" t="s">
        <v>2186</v>
      </c>
      <c r="H734" s="276"/>
      <c r="I734" s="276" t="str">
        <f t="shared" si="9"/>
        <v>Prohibited</v>
      </c>
    </row>
    <row r="735" spans="2:9">
      <c r="B735" s="276" t="s">
        <v>2265</v>
      </c>
      <c r="C735" s="276" t="s">
        <v>2266</v>
      </c>
      <c r="D735" s="276" t="s">
        <v>2565</v>
      </c>
      <c r="E735" s="276">
        <v>4</v>
      </c>
      <c r="F735" s="276">
        <v>12.5512</v>
      </c>
      <c r="G735" s="276" t="s">
        <v>2186</v>
      </c>
      <c r="H735" s="276"/>
      <c r="I735" s="276" t="str">
        <f t="shared" si="9"/>
        <v>Prohibited</v>
      </c>
    </row>
    <row r="736" spans="2:9">
      <c r="B736" s="276" t="s">
        <v>2205</v>
      </c>
      <c r="C736" s="276" t="s">
        <v>2566</v>
      </c>
      <c r="D736" s="276" t="s">
        <v>2562</v>
      </c>
      <c r="E736" s="276">
        <v>4</v>
      </c>
      <c r="F736" s="276">
        <v>1.9256800000000001E-2</v>
      </c>
      <c r="G736" s="276" t="s">
        <v>2186</v>
      </c>
      <c r="H736" s="276"/>
      <c r="I736" s="276" t="str">
        <f t="shared" si="9"/>
        <v>Prohibited</v>
      </c>
    </row>
    <row r="737" spans="2:9">
      <c r="B737" s="276" t="s">
        <v>2332</v>
      </c>
      <c r="C737" s="276" t="s">
        <v>2333</v>
      </c>
      <c r="D737" s="276" t="s">
        <v>2568</v>
      </c>
      <c r="E737" s="276">
        <v>4</v>
      </c>
      <c r="F737" s="276">
        <v>1.5464899999999999</v>
      </c>
      <c r="G737" s="276" t="s">
        <v>2569</v>
      </c>
      <c r="H737" s="276"/>
      <c r="I737" s="276" t="str">
        <f t="shared" si="9"/>
        <v>Prohibited</v>
      </c>
    </row>
    <row r="738" spans="2:9">
      <c r="B738" s="276" t="s">
        <v>2316</v>
      </c>
      <c r="C738" s="276" t="s">
        <v>2317</v>
      </c>
      <c r="D738" s="276" t="s">
        <v>2545</v>
      </c>
      <c r="E738" s="276">
        <v>4</v>
      </c>
      <c r="F738" s="276">
        <v>3.6070700000000002</v>
      </c>
      <c r="G738" s="276" t="s">
        <v>2186</v>
      </c>
      <c r="H738" s="276"/>
      <c r="I738" s="276" t="str">
        <f t="shared" si="9"/>
        <v>Prohibited</v>
      </c>
    </row>
    <row r="739" spans="2:9">
      <c r="B739" s="276" t="s">
        <v>2316</v>
      </c>
      <c r="C739" s="276" t="s">
        <v>2317</v>
      </c>
      <c r="D739" s="276" t="s">
        <v>2546</v>
      </c>
      <c r="E739" s="276">
        <v>4</v>
      </c>
      <c r="F739" s="276">
        <v>2.2723399999999998</v>
      </c>
      <c r="G739" s="276" t="s">
        <v>2186</v>
      </c>
      <c r="H739" s="276"/>
      <c r="I739" s="276" t="str">
        <f t="shared" si="9"/>
        <v>Prohibited</v>
      </c>
    </row>
    <row r="740" spans="2:9">
      <c r="B740" s="276" t="s">
        <v>2316</v>
      </c>
      <c r="C740" s="276" t="s">
        <v>2317</v>
      </c>
      <c r="D740" s="276" t="s">
        <v>2551</v>
      </c>
      <c r="E740" s="276">
        <v>4</v>
      </c>
      <c r="F740" s="276">
        <v>1.4172</v>
      </c>
      <c r="G740" s="276" t="s">
        <v>2190</v>
      </c>
      <c r="H740" s="276"/>
      <c r="I740" s="276" t="str">
        <f t="shared" si="9"/>
        <v>Prohibited</v>
      </c>
    </row>
    <row r="741" spans="2:9">
      <c r="B741" s="276" t="s">
        <v>2552</v>
      </c>
      <c r="C741" s="276" t="s">
        <v>2553</v>
      </c>
      <c r="D741" s="276" t="s">
        <v>2554</v>
      </c>
      <c r="E741" s="276">
        <v>4</v>
      </c>
      <c r="F741" s="276">
        <v>8.7492999999999999</v>
      </c>
      <c r="G741" s="276" t="s">
        <v>2190</v>
      </c>
      <c r="H741" s="276"/>
      <c r="I741" s="276" t="str">
        <f t="shared" si="9"/>
        <v>Prohibited</v>
      </c>
    </row>
    <row r="742" spans="2:9">
      <c r="B742" s="276" t="s">
        <v>2547</v>
      </c>
      <c r="C742" s="276" t="s">
        <v>2548</v>
      </c>
      <c r="D742" s="276" t="s">
        <v>2549</v>
      </c>
      <c r="E742" s="276">
        <v>4</v>
      </c>
      <c r="F742" s="276">
        <v>2.1909900000000002</v>
      </c>
      <c r="G742" s="276" t="s">
        <v>2190</v>
      </c>
      <c r="H742" s="276"/>
      <c r="I742" s="276" t="str">
        <f t="shared" si="9"/>
        <v>Prohibited</v>
      </c>
    </row>
    <row r="743" spans="2:9">
      <c r="B743" s="276" t="s">
        <v>2547</v>
      </c>
      <c r="C743" s="276" t="s">
        <v>2548</v>
      </c>
      <c r="D743" s="276" t="s">
        <v>2550</v>
      </c>
      <c r="E743" s="276">
        <v>4</v>
      </c>
      <c r="F743" s="276">
        <v>4.77536</v>
      </c>
      <c r="G743" s="276" t="s">
        <v>2190</v>
      </c>
      <c r="H743" s="276"/>
      <c r="I743" s="276" t="str">
        <f t="shared" ref="I743:I806" si="10">_xlfn.XLOOKUP(E743, $K$230:$K$236, $L$230:$L$236)</f>
        <v>Prohibited</v>
      </c>
    </row>
    <row r="744" spans="2:9">
      <c r="B744" s="276" t="s">
        <v>2555</v>
      </c>
      <c r="C744" s="276" t="s">
        <v>2556</v>
      </c>
      <c r="D744" s="276" t="s">
        <v>2557</v>
      </c>
      <c r="E744" s="276">
        <v>4</v>
      </c>
      <c r="F744" s="276">
        <v>0.84312299999999996</v>
      </c>
      <c r="G744" s="276" t="s">
        <v>2190</v>
      </c>
      <c r="H744" s="276"/>
      <c r="I744" s="276" t="str">
        <f t="shared" si="10"/>
        <v>Prohibited</v>
      </c>
    </row>
    <row r="745" spans="2:9">
      <c r="B745" s="276" t="s">
        <v>2200</v>
      </c>
      <c r="C745" s="276" t="s">
        <v>2201</v>
      </c>
      <c r="D745" s="276" t="s">
        <v>2558</v>
      </c>
      <c r="E745" s="276">
        <v>4</v>
      </c>
      <c r="F745" s="276">
        <v>0.84970500000000004</v>
      </c>
      <c r="G745" s="276" t="s">
        <v>2190</v>
      </c>
      <c r="H745" s="276"/>
      <c r="I745" s="276" t="str">
        <f t="shared" si="10"/>
        <v>Prohibited</v>
      </c>
    </row>
    <row r="746" spans="2:9">
      <c r="B746" s="276" t="s">
        <v>2205</v>
      </c>
      <c r="C746" s="276" t="s">
        <v>2566</v>
      </c>
      <c r="D746" s="276" t="s">
        <v>2567</v>
      </c>
      <c r="E746" s="276">
        <v>4</v>
      </c>
      <c r="F746" s="276">
        <v>0.41913600000000001</v>
      </c>
      <c r="G746" s="276" t="s">
        <v>2190</v>
      </c>
      <c r="H746" s="276"/>
      <c r="I746" s="276" t="str">
        <f t="shared" si="10"/>
        <v>Prohibited</v>
      </c>
    </row>
    <row r="747" spans="2:9">
      <c r="B747" s="276" t="s">
        <v>2294</v>
      </c>
      <c r="C747" s="276" t="s">
        <v>2295</v>
      </c>
      <c r="D747" s="276" t="s">
        <v>2296</v>
      </c>
      <c r="E747" s="276">
        <v>4</v>
      </c>
      <c r="F747" s="276">
        <v>1.21862</v>
      </c>
      <c r="G747" s="276" t="s">
        <v>2190</v>
      </c>
      <c r="H747" s="276"/>
      <c r="I747" s="276" t="str">
        <f t="shared" si="10"/>
        <v>Prohibited</v>
      </c>
    </row>
    <row r="748" spans="2:9">
      <c r="B748" s="276" t="s">
        <v>2490</v>
      </c>
      <c r="C748" s="276" t="s">
        <v>2491</v>
      </c>
      <c r="D748" s="276" t="s">
        <v>2492</v>
      </c>
      <c r="E748" s="276">
        <v>4</v>
      </c>
      <c r="F748" s="276">
        <v>2.8627199999999999</v>
      </c>
      <c r="G748" s="276" t="s">
        <v>2190</v>
      </c>
      <c r="H748" s="276"/>
      <c r="I748" s="276" t="str">
        <f t="shared" si="10"/>
        <v>Prohibited</v>
      </c>
    </row>
    <row r="749" spans="2:9">
      <c r="B749" s="276" t="s">
        <v>2297</v>
      </c>
      <c r="C749" s="276" t="s">
        <v>2298</v>
      </c>
      <c r="D749" s="276" t="s">
        <v>2559</v>
      </c>
      <c r="E749" s="276">
        <v>4</v>
      </c>
      <c r="F749" s="276">
        <v>0.109261</v>
      </c>
      <c r="G749" s="276" t="s">
        <v>2190</v>
      </c>
      <c r="H749" s="276"/>
      <c r="I749" s="276" t="str">
        <f t="shared" si="10"/>
        <v>Prohibited</v>
      </c>
    </row>
    <row r="750" spans="2:9">
      <c r="B750" s="276" t="s">
        <v>2205</v>
      </c>
      <c r="C750" s="276" t="s">
        <v>2566</v>
      </c>
      <c r="D750" s="276" t="s">
        <v>2562</v>
      </c>
      <c r="E750" s="276">
        <v>4</v>
      </c>
      <c r="F750" s="276">
        <v>3.5425999999999999E-2</v>
      </c>
      <c r="G750" s="276" t="s">
        <v>2190</v>
      </c>
      <c r="H750" s="276"/>
      <c r="I750" s="276" t="str">
        <f t="shared" si="10"/>
        <v>Prohibited</v>
      </c>
    </row>
    <row r="751" spans="2:9">
      <c r="B751" s="276" t="s">
        <v>2152</v>
      </c>
      <c r="C751" s="276" t="s">
        <v>2153</v>
      </c>
      <c r="D751" s="276" t="s">
        <v>2560</v>
      </c>
      <c r="E751" s="276">
        <v>4</v>
      </c>
      <c r="F751" s="276">
        <v>0.92499399999999998</v>
      </c>
      <c r="G751" s="276" t="s">
        <v>2190</v>
      </c>
      <c r="H751" s="276"/>
      <c r="I751" s="276" t="str">
        <f t="shared" si="10"/>
        <v>Prohibited</v>
      </c>
    </row>
    <row r="752" spans="2:9">
      <c r="B752" s="276" t="s">
        <v>2174</v>
      </c>
      <c r="C752" s="276" t="s">
        <v>2236</v>
      </c>
      <c r="D752" s="276" t="s">
        <v>2571</v>
      </c>
      <c r="E752" s="276">
        <v>4</v>
      </c>
      <c r="F752" s="276">
        <v>14.981999999999999</v>
      </c>
      <c r="G752" s="276" t="s">
        <v>2190</v>
      </c>
      <c r="H752" s="276"/>
      <c r="I752" s="276" t="str">
        <f t="shared" si="10"/>
        <v>Prohibited</v>
      </c>
    </row>
    <row r="753" spans="2:9">
      <c r="B753" s="276" t="s">
        <v>2187</v>
      </c>
      <c r="C753" s="276" t="s">
        <v>2188</v>
      </c>
      <c r="D753" s="276" t="s">
        <v>2561</v>
      </c>
      <c r="E753" s="276">
        <v>4</v>
      </c>
      <c r="F753" s="276">
        <v>1.30136E-2</v>
      </c>
      <c r="G753" s="276" t="s">
        <v>2190</v>
      </c>
      <c r="H753" s="276"/>
      <c r="I753" s="276" t="str">
        <f t="shared" si="10"/>
        <v>Prohibited</v>
      </c>
    </row>
    <row r="754" spans="2:9">
      <c r="B754" s="276" t="s">
        <v>2400</v>
      </c>
      <c r="C754" s="276" t="s">
        <v>2401</v>
      </c>
      <c r="D754" s="276" t="s">
        <v>2563</v>
      </c>
      <c r="E754" s="276">
        <v>4</v>
      </c>
      <c r="F754" s="276">
        <v>1.35894</v>
      </c>
      <c r="G754" s="276" t="s">
        <v>2155</v>
      </c>
      <c r="H754" s="276"/>
      <c r="I754" s="276" t="str">
        <f t="shared" si="10"/>
        <v>Prohibited</v>
      </c>
    </row>
    <row r="755" spans="2:9">
      <c r="B755" s="276" t="s">
        <v>2316</v>
      </c>
      <c r="C755" s="276" t="s">
        <v>2317</v>
      </c>
      <c r="D755" s="276" t="s">
        <v>2564</v>
      </c>
      <c r="E755" s="276">
        <v>4</v>
      </c>
      <c r="F755" s="276">
        <v>3.7873299999999999</v>
      </c>
      <c r="G755" s="276" t="s">
        <v>2190</v>
      </c>
      <c r="H755" s="276"/>
      <c r="I755" s="276" t="str">
        <f t="shared" si="10"/>
        <v>Prohibited</v>
      </c>
    </row>
    <row r="756" spans="2:9">
      <c r="B756" s="276" t="s">
        <v>2265</v>
      </c>
      <c r="C756" s="276" t="s">
        <v>2266</v>
      </c>
      <c r="D756" s="276" t="s">
        <v>2565</v>
      </c>
      <c r="E756" s="276">
        <v>4</v>
      </c>
      <c r="F756" s="276">
        <v>12.5512</v>
      </c>
      <c r="G756" s="276" t="s">
        <v>2197</v>
      </c>
      <c r="H756" s="276"/>
      <c r="I756" s="276" t="str">
        <f t="shared" si="10"/>
        <v>Prohibited</v>
      </c>
    </row>
    <row r="757" spans="2:9">
      <c r="B757" s="276" t="s">
        <v>2332</v>
      </c>
      <c r="C757" s="276" t="s">
        <v>2333</v>
      </c>
      <c r="D757" s="276" t="s">
        <v>2568</v>
      </c>
      <c r="E757" s="276">
        <v>4</v>
      </c>
      <c r="F757" s="276">
        <v>1.5464899999999999</v>
      </c>
      <c r="G757" s="276" t="s">
        <v>2569</v>
      </c>
      <c r="H757" s="276"/>
      <c r="I757" s="276" t="str">
        <f t="shared" si="10"/>
        <v>Prohibited</v>
      </c>
    </row>
    <row r="758" spans="2:9">
      <c r="B758" s="276" t="s">
        <v>2316</v>
      </c>
      <c r="C758" s="276" t="s">
        <v>2317</v>
      </c>
      <c r="D758" s="276" t="s">
        <v>2545</v>
      </c>
      <c r="E758" s="276">
        <v>4</v>
      </c>
      <c r="F758" s="276">
        <v>3.6070700000000002</v>
      </c>
      <c r="G758" s="276" t="s">
        <v>2572</v>
      </c>
      <c r="H758" s="276"/>
      <c r="I758" s="276" t="str">
        <f t="shared" si="10"/>
        <v>Prohibited</v>
      </c>
    </row>
    <row r="759" spans="2:9">
      <c r="B759" s="276" t="s">
        <v>2316</v>
      </c>
      <c r="C759" s="276" t="s">
        <v>2317</v>
      </c>
      <c r="D759" s="276" t="s">
        <v>2546</v>
      </c>
      <c r="E759" s="276">
        <v>4</v>
      </c>
      <c r="F759" s="276">
        <v>2.2723399999999998</v>
      </c>
      <c r="G759" s="276" t="s">
        <v>2572</v>
      </c>
      <c r="H759" s="276"/>
      <c r="I759" s="276" t="str">
        <f t="shared" si="10"/>
        <v>Prohibited</v>
      </c>
    </row>
    <row r="760" spans="2:9">
      <c r="B760" s="276" t="s">
        <v>2316</v>
      </c>
      <c r="C760" s="276" t="s">
        <v>2317</v>
      </c>
      <c r="D760" s="276" t="s">
        <v>2551</v>
      </c>
      <c r="E760" s="276">
        <v>4</v>
      </c>
      <c r="F760" s="276">
        <v>1.4172</v>
      </c>
      <c r="G760" s="276" t="s">
        <v>2190</v>
      </c>
      <c r="H760" s="276"/>
      <c r="I760" s="276" t="str">
        <f t="shared" si="10"/>
        <v>Prohibited</v>
      </c>
    </row>
    <row r="761" spans="2:9">
      <c r="B761" s="276" t="s">
        <v>2552</v>
      </c>
      <c r="C761" s="276" t="s">
        <v>2553</v>
      </c>
      <c r="D761" s="276" t="s">
        <v>2554</v>
      </c>
      <c r="E761" s="276">
        <v>4</v>
      </c>
      <c r="F761" s="276">
        <v>8.7492999999999999</v>
      </c>
      <c r="G761" s="276" t="s">
        <v>2190</v>
      </c>
      <c r="H761" s="276"/>
      <c r="I761" s="276" t="str">
        <f t="shared" si="10"/>
        <v>Prohibited</v>
      </c>
    </row>
    <row r="762" spans="2:9">
      <c r="B762" s="276" t="s">
        <v>2547</v>
      </c>
      <c r="C762" s="276" t="s">
        <v>2548</v>
      </c>
      <c r="D762" s="276" t="s">
        <v>2549</v>
      </c>
      <c r="E762" s="276">
        <v>4</v>
      </c>
      <c r="F762" s="276">
        <v>2.1909900000000002</v>
      </c>
      <c r="G762" s="276" t="s">
        <v>2190</v>
      </c>
      <c r="H762" s="276"/>
      <c r="I762" s="276" t="str">
        <f t="shared" si="10"/>
        <v>Prohibited</v>
      </c>
    </row>
    <row r="763" spans="2:9">
      <c r="B763" s="276" t="s">
        <v>2547</v>
      </c>
      <c r="C763" s="276" t="s">
        <v>2548</v>
      </c>
      <c r="D763" s="276" t="s">
        <v>2550</v>
      </c>
      <c r="E763" s="276">
        <v>4</v>
      </c>
      <c r="F763" s="276">
        <v>4.77536</v>
      </c>
      <c r="G763" s="276" t="s">
        <v>2190</v>
      </c>
      <c r="H763" s="276"/>
      <c r="I763" s="276" t="str">
        <f t="shared" si="10"/>
        <v>Prohibited</v>
      </c>
    </row>
    <row r="764" spans="2:9">
      <c r="B764" s="276" t="s">
        <v>2555</v>
      </c>
      <c r="C764" s="276" t="s">
        <v>2556</v>
      </c>
      <c r="D764" s="276" t="s">
        <v>2557</v>
      </c>
      <c r="E764" s="276">
        <v>4</v>
      </c>
      <c r="F764" s="276">
        <v>0.84312299999999996</v>
      </c>
      <c r="G764" s="276" t="s">
        <v>2190</v>
      </c>
      <c r="H764" s="276"/>
      <c r="I764" s="276" t="str">
        <f t="shared" si="10"/>
        <v>Prohibited</v>
      </c>
    </row>
    <row r="765" spans="2:9">
      <c r="B765" s="276" t="s">
        <v>2200</v>
      </c>
      <c r="C765" s="276" t="s">
        <v>2201</v>
      </c>
      <c r="D765" s="276" t="s">
        <v>2558</v>
      </c>
      <c r="E765" s="276">
        <v>4</v>
      </c>
      <c r="F765" s="276">
        <v>0.84970500000000004</v>
      </c>
      <c r="G765" s="276" t="s">
        <v>2190</v>
      </c>
      <c r="H765" s="276"/>
      <c r="I765" s="276" t="str">
        <f t="shared" si="10"/>
        <v>Prohibited</v>
      </c>
    </row>
    <row r="766" spans="2:9">
      <c r="B766" s="276" t="s">
        <v>2294</v>
      </c>
      <c r="C766" s="276" t="s">
        <v>2295</v>
      </c>
      <c r="D766" s="276" t="s">
        <v>2296</v>
      </c>
      <c r="E766" s="276">
        <v>4</v>
      </c>
      <c r="F766" s="276">
        <v>1.21862</v>
      </c>
      <c r="G766" s="276" t="s">
        <v>2190</v>
      </c>
      <c r="H766" s="276"/>
      <c r="I766" s="276" t="str">
        <f t="shared" si="10"/>
        <v>Prohibited</v>
      </c>
    </row>
    <row r="767" spans="2:9">
      <c r="B767" s="276" t="s">
        <v>2490</v>
      </c>
      <c r="C767" s="276" t="s">
        <v>2491</v>
      </c>
      <c r="D767" s="276" t="s">
        <v>2492</v>
      </c>
      <c r="E767" s="276">
        <v>4</v>
      </c>
      <c r="F767" s="276">
        <v>2.8627199999999999</v>
      </c>
      <c r="G767" s="276" t="s">
        <v>2190</v>
      </c>
      <c r="H767" s="276"/>
      <c r="I767" s="276" t="str">
        <f t="shared" si="10"/>
        <v>Prohibited</v>
      </c>
    </row>
    <row r="768" spans="2:9">
      <c r="B768" s="276" t="s">
        <v>2297</v>
      </c>
      <c r="C768" s="276" t="s">
        <v>2298</v>
      </c>
      <c r="D768" s="276" t="s">
        <v>2559</v>
      </c>
      <c r="E768" s="276">
        <v>4</v>
      </c>
      <c r="F768" s="276">
        <v>0.109261</v>
      </c>
      <c r="G768" s="276" t="s">
        <v>2190</v>
      </c>
      <c r="H768" s="276"/>
      <c r="I768" s="276" t="str">
        <f t="shared" si="10"/>
        <v>Prohibited</v>
      </c>
    </row>
    <row r="769" spans="2:9">
      <c r="B769" s="276" t="s">
        <v>2205</v>
      </c>
      <c r="C769" s="276" t="s">
        <v>2566</v>
      </c>
      <c r="D769" s="276" t="s">
        <v>2562</v>
      </c>
      <c r="E769" s="276">
        <v>4</v>
      </c>
      <c r="F769" s="276">
        <v>3.5425999999999999E-2</v>
      </c>
      <c r="G769" s="276" t="s">
        <v>2190</v>
      </c>
      <c r="H769" s="276"/>
      <c r="I769" s="276" t="str">
        <f t="shared" si="10"/>
        <v>Prohibited</v>
      </c>
    </row>
    <row r="770" spans="2:9">
      <c r="B770" s="276" t="s">
        <v>2152</v>
      </c>
      <c r="C770" s="276" t="s">
        <v>2153</v>
      </c>
      <c r="D770" s="276" t="s">
        <v>2560</v>
      </c>
      <c r="E770" s="276">
        <v>4</v>
      </c>
      <c r="F770" s="276">
        <v>0.92499399999999998</v>
      </c>
      <c r="G770" s="276" t="s">
        <v>2190</v>
      </c>
      <c r="H770" s="276"/>
      <c r="I770" s="276" t="str">
        <f t="shared" si="10"/>
        <v>Prohibited</v>
      </c>
    </row>
    <row r="771" spans="2:9">
      <c r="B771" s="276" t="s">
        <v>2187</v>
      </c>
      <c r="C771" s="276" t="s">
        <v>2188</v>
      </c>
      <c r="D771" s="276" t="s">
        <v>2561</v>
      </c>
      <c r="E771" s="276">
        <v>4</v>
      </c>
      <c r="F771" s="276">
        <v>1.30136E-2</v>
      </c>
      <c r="G771" s="276" t="s">
        <v>2190</v>
      </c>
      <c r="H771" s="276"/>
      <c r="I771" s="276" t="str">
        <f t="shared" si="10"/>
        <v>Prohibited</v>
      </c>
    </row>
    <row r="772" spans="2:9">
      <c r="B772" s="276" t="s">
        <v>2400</v>
      </c>
      <c r="C772" s="276" t="s">
        <v>2401</v>
      </c>
      <c r="D772" s="276" t="s">
        <v>2563</v>
      </c>
      <c r="E772" s="276">
        <v>4</v>
      </c>
      <c r="F772" s="276">
        <v>1.35894</v>
      </c>
      <c r="G772" s="276" t="s">
        <v>2155</v>
      </c>
      <c r="H772" s="276"/>
      <c r="I772" s="276" t="str">
        <f t="shared" si="10"/>
        <v>Prohibited</v>
      </c>
    </row>
    <row r="773" spans="2:9">
      <c r="B773" s="276" t="s">
        <v>2316</v>
      </c>
      <c r="C773" s="276" t="s">
        <v>2317</v>
      </c>
      <c r="D773" s="276" t="s">
        <v>2564</v>
      </c>
      <c r="E773" s="276">
        <v>4</v>
      </c>
      <c r="F773" s="276">
        <v>3.7873299999999999</v>
      </c>
      <c r="G773" s="276" t="s">
        <v>2190</v>
      </c>
      <c r="H773" s="276"/>
      <c r="I773" s="276" t="str">
        <f t="shared" si="10"/>
        <v>Prohibited</v>
      </c>
    </row>
    <row r="774" spans="2:9">
      <c r="B774" s="276" t="s">
        <v>2265</v>
      </c>
      <c r="C774" s="276" t="s">
        <v>2266</v>
      </c>
      <c r="D774" s="276" t="s">
        <v>2565</v>
      </c>
      <c r="E774" s="276">
        <v>4</v>
      </c>
      <c r="F774" s="276">
        <v>12.5512</v>
      </c>
      <c r="G774" s="276" t="s">
        <v>2197</v>
      </c>
      <c r="H774" s="276"/>
      <c r="I774" s="276" t="str">
        <f t="shared" si="10"/>
        <v>Prohibited</v>
      </c>
    </row>
    <row r="775" spans="2:9">
      <c r="B775" s="276" t="s">
        <v>2332</v>
      </c>
      <c r="C775" s="276" t="s">
        <v>2333</v>
      </c>
      <c r="D775" s="276" t="s">
        <v>2568</v>
      </c>
      <c r="E775" s="276">
        <v>4</v>
      </c>
      <c r="F775" s="276">
        <v>1.5464899999999999</v>
      </c>
      <c r="G775" s="276" t="s">
        <v>2569</v>
      </c>
      <c r="H775" s="276"/>
      <c r="I775" s="276" t="str">
        <f t="shared" si="10"/>
        <v>Prohibited</v>
      </c>
    </row>
    <row r="776" spans="2:9">
      <c r="B776" s="276" t="s">
        <v>2316</v>
      </c>
      <c r="C776" s="276" t="s">
        <v>2317</v>
      </c>
      <c r="D776" s="276" t="s">
        <v>2551</v>
      </c>
      <c r="E776" s="276">
        <v>4</v>
      </c>
      <c r="F776" s="276">
        <v>1.4172</v>
      </c>
      <c r="G776" s="276" t="s">
        <v>2194</v>
      </c>
      <c r="H776" s="276"/>
      <c r="I776" s="276" t="str">
        <f t="shared" si="10"/>
        <v>Prohibited</v>
      </c>
    </row>
    <row r="777" spans="2:9">
      <c r="B777" s="276" t="s">
        <v>2552</v>
      </c>
      <c r="C777" s="276" t="s">
        <v>2553</v>
      </c>
      <c r="D777" s="276" t="s">
        <v>2554</v>
      </c>
      <c r="E777" s="276">
        <v>4</v>
      </c>
      <c r="F777" s="276">
        <v>8.7492999999999999</v>
      </c>
      <c r="G777" s="276" t="s">
        <v>2194</v>
      </c>
      <c r="H777" s="276"/>
      <c r="I777" s="276" t="str">
        <f t="shared" si="10"/>
        <v>Prohibited</v>
      </c>
    </row>
    <row r="778" spans="2:9">
      <c r="B778" s="276" t="s">
        <v>2547</v>
      </c>
      <c r="C778" s="276" t="s">
        <v>2548</v>
      </c>
      <c r="D778" s="276" t="s">
        <v>2549</v>
      </c>
      <c r="E778" s="276">
        <v>4</v>
      </c>
      <c r="F778" s="276">
        <v>2.1909900000000002</v>
      </c>
      <c r="G778" s="276" t="s">
        <v>2194</v>
      </c>
      <c r="H778" s="276"/>
      <c r="I778" s="276" t="str">
        <f t="shared" si="10"/>
        <v>Prohibited</v>
      </c>
    </row>
    <row r="779" spans="2:9">
      <c r="B779" s="276" t="s">
        <v>2547</v>
      </c>
      <c r="C779" s="276" t="s">
        <v>2548</v>
      </c>
      <c r="D779" s="276" t="s">
        <v>2550</v>
      </c>
      <c r="E779" s="276">
        <v>4</v>
      </c>
      <c r="F779" s="276">
        <v>4.77536</v>
      </c>
      <c r="G779" s="276" t="s">
        <v>2194</v>
      </c>
      <c r="H779" s="276"/>
      <c r="I779" s="276" t="str">
        <f t="shared" si="10"/>
        <v>Prohibited</v>
      </c>
    </row>
    <row r="780" spans="2:9">
      <c r="B780" s="276" t="s">
        <v>2555</v>
      </c>
      <c r="C780" s="276" t="s">
        <v>2556</v>
      </c>
      <c r="D780" s="276" t="s">
        <v>2557</v>
      </c>
      <c r="E780" s="276">
        <v>4</v>
      </c>
      <c r="F780" s="276">
        <v>0.84312299999999996</v>
      </c>
      <c r="G780" s="276" t="s">
        <v>2194</v>
      </c>
      <c r="H780" s="276"/>
      <c r="I780" s="276" t="str">
        <f t="shared" si="10"/>
        <v>Prohibited</v>
      </c>
    </row>
    <row r="781" spans="2:9">
      <c r="B781" s="276" t="s">
        <v>2200</v>
      </c>
      <c r="C781" s="276" t="s">
        <v>2201</v>
      </c>
      <c r="D781" s="276" t="s">
        <v>2558</v>
      </c>
      <c r="E781" s="276">
        <v>4</v>
      </c>
      <c r="F781" s="276">
        <v>0.84970500000000004</v>
      </c>
      <c r="G781" s="276" t="s">
        <v>2194</v>
      </c>
      <c r="H781" s="276"/>
      <c r="I781" s="276" t="str">
        <f t="shared" si="10"/>
        <v>Prohibited</v>
      </c>
    </row>
    <row r="782" spans="2:9">
      <c r="B782" s="276" t="s">
        <v>2205</v>
      </c>
      <c r="C782" s="276" t="s">
        <v>2566</v>
      </c>
      <c r="D782" s="276" t="s">
        <v>2567</v>
      </c>
      <c r="E782" s="276">
        <v>4</v>
      </c>
      <c r="F782" s="276">
        <v>0.41913600000000001</v>
      </c>
      <c r="G782" s="276" t="s">
        <v>2194</v>
      </c>
      <c r="H782" s="276"/>
      <c r="I782" s="276" t="str">
        <f t="shared" si="10"/>
        <v>Prohibited</v>
      </c>
    </row>
    <row r="783" spans="2:9">
      <c r="B783" s="276" t="s">
        <v>2294</v>
      </c>
      <c r="C783" s="276" t="s">
        <v>2295</v>
      </c>
      <c r="D783" s="276" t="s">
        <v>2296</v>
      </c>
      <c r="E783" s="276">
        <v>4</v>
      </c>
      <c r="F783" s="276">
        <v>1.21862</v>
      </c>
      <c r="G783" s="276" t="s">
        <v>2194</v>
      </c>
      <c r="H783" s="276"/>
      <c r="I783" s="276" t="str">
        <f t="shared" si="10"/>
        <v>Prohibited</v>
      </c>
    </row>
    <row r="784" spans="2:9">
      <c r="B784" s="276" t="s">
        <v>2297</v>
      </c>
      <c r="C784" s="276" t="s">
        <v>2298</v>
      </c>
      <c r="D784" s="276" t="s">
        <v>2559</v>
      </c>
      <c r="E784" s="276">
        <v>4</v>
      </c>
      <c r="F784" s="276">
        <v>0.109261</v>
      </c>
      <c r="G784" s="276" t="s">
        <v>2194</v>
      </c>
      <c r="H784" s="276"/>
      <c r="I784" s="276" t="str">
        <f t="shared" si="10"/>
        <v>Prohibited</v>
      </c>
    </row>
    <row r="785" spans="2:9">
      <c r="B785" s="276" t="s">
        <v>2490</v>
      </c>
      <c r="C785" s="276" t="s">
        <v>2491</v>
      </c>
      <c r="D785" s="276" t="s">
        <v>2492</v>
      </c>
      <c r="E785" s="276">
        <v>4</v>
      </c>
      <c r="F785" s="276">
        <v>2.8627199999999999</v>
      </c>
      <c r="G785" s="276" t="s">
        <v>2194</v>
      </c>
      <c r="H785" s="276"/>
      <c r="I785" s="276" t="str">
        <f t="shared" si="10"/>
        <v>Prohibited</v>
      </c>
    </row>
    <row r="786" spans="2:9">
      <c r="B786" s="276" t="s">
        <v>2152</v>
      </c>
      <c r="C786" s="276" t="s">
        <v>2153</v>
      </c>
      <c r="D786" s="276" t="s">
        <v>2560</v>
      </c>
      <c r="E786" s="276">
        <v>4</v>
      </c>
      <c r="F786" s="276">
        <v>0.92499399999999998</v>
      </c>
      <c r="G786" s="276" t="s">
        <v>2194</v>
      </c>
      <c r="H786" s="276"/>
      <c r="I786" s="276" t="str">
        <f t="shared" si="10"/>
        <v>Prohibited</v>
      </c>
    </row>
    <row r="787" spans="2:9">
      <c r="B787" s="276" t="s">
        <v>2187</v>
      </c>
      <c r="C787" s="276" t="s">
        <v>2188</v>
      </c>
      <c r="D787" s="276" t="s">
        <v>2561</v>
      </c>
      <c r="E787" s="276">
        <v>4</v>
      </c>
      <c r="F787" s="276">
        <v>1.30136E-2</v>
      </c>
      <c r="G787" s="276" t="s">
        <v>2194</v>
      </c>
      <c r="H787" s="276"/>
      <c r="I787" s="276" t="str">
        <f t="shared" si="10"/>
        <v>Prohibited</v>
      </c>
    </row>
    <row r="788" spans="2:9">
      <c r="B788" s="276" t="s">
        <v>2205</v>
      </c>
      <c r="C788" s="276" t="s">
        <v>2566</v>
      </c>
      <c r="D788" s="276" t="s">
        <v>2562</v>
      </c>
      <c r="E788" s="276">
        <v>4</v>
      </c>
      <c r="F788" s="276">
        <v>1.9256800000000001E-2</v>
      </c>
      <c r="G788" s="276" t="s">
        <v>2194</v>
      </c>
      <c r="H788" s="276"/>
      <c r="I788" s="276" t="str">
        <f t="shared" si="10"/>
        <v>Prohibited</v>
      </c>
    </row>
    <row r="789" spans="2:9">
      <c r="B789" s="276" t="s">
        <v>2400</v>
      </c>
      <c r="C789" s="276" t="s">
        <v>2401</v>
      </c>
      <c r="D789" s="276" t="s">
        <v>2563</v>
      </c>
      <c r="E789" s="276">
        <v>4</v>
      </c>
      <c r="F789" s="276">
        <v>1.3433999999999999</v>
      </c>
      <c r="G789" s="276" t="s">
        <v>2194</v>
      </c>
      <c r="H789" s="276"/>
      <c r="I789" s="276" t="str">
        <f t="shared" si="10"/>
        <v>Prohibited</v>
      </c>
    </row>
    <row r="790" spans="2:9">
      <c r="B790" s="276" t="s">
        <v>2265</v>
      </c>
      <c r="C790" s="276" t="s">
        <v>2266</v>
      </c>
      <c r="D790" s="276" t="s">
        <v>2565</v>
      </c>
      <c r="E790" s="276">
        <v>4</v>
      </c>
      <c r="F790" s="276">
        <v>12.5512</v>
      </c>
      <c r="G790" s="276" t="s">
        <v>2194</v>
      </c>
      <c r="H790" s="276"/>
      <c r="I790" s="276" t="str">
        <f t="shared" si="10"/>
        <v>Prohibited</v>
      </c>
    </row>
    <row r="791" spans="2:9">
      <c r="B791" s="276" t="s">
        <v>2316</v>
      </c>
      <c r="C791" s="276" t="s">
        <v>2317</v>
      </c>
      <c r="D791" s="276" t="s">
        <v>2564</v>
      </c>
      <c r="E791" s="276">
        <v>4</v>
      </c>
      <c r="F791" s="276">
        <v>3.7873299999999999</v>
      </c>
      <c r="G791" s="276" t="s">
        <v>2155</v>
      </c>
      <c r="H791" s="276"/>
      <c r="I791" s="276" t="str">
        <f t="shared" si="10"/>
        <v>Prohibited</v>
      </c>
    </row>
    <row r="792" spans="2:9">
      <c r="B792" s="276" t="s">
        <v>2313</v>
      </c>
      <c r="C792" s="276" t="s">
        <v>2314</v>
      </c>
      <c r="D792" s="276" t="s">
        <v>2573</v>
      </c>
      <c r="E792" s="276">
        <v>4</v>
      </c>
      <c r="F792" s="276">
        <v>1.06542</v>
      </c>
      <c r="G792" s="276" t="s">
        <v>2194</v>
      </c>
      <c r="H792" s="276"/>
      <c r="I792" s="276" t="str">
        <f t="shared" si="10"/>
        <v>Prohibited</v>
      </c>
    </row>
    <row r="793" spans="2:9">
      <c r="B793" s="276" t="s">
        <v>2316</v>
      </c>
      <c r="C793" s="276" t="s">
        <v>2317</v>
      </c>
      <c r="D793" s="276" t="s">
        <v>2574</v>
      </c>
      <c r="E793" s="276">
        <v>4</v>
      </c>
      <c r="F793" s="276">
        <v>3.4230700000000001</v>
      </c>
      <c r="G793" s="276" t="s">
        <v>2194</v>
      </c>
      <c r="H793" s="276"/>
      <c r="I793" s="276" t="str">
        <f t="shared" si="10"/>
        <v>Prohibited</v>
      </c>
    </row>
    <row r="794" spans="2:9">
      <c r="B794" s="276" t="s">
        <v>2316</v>
      </c>
      <c r="C794" s="276" t="s">
        <v>2317</v>
      </c>
      <c r="D794" s="276" t="s">
        <v>2574</v>
      </c>
      <c r="E794" s="276">
        <v>4</v>
      </c>
      <c r="F794" s="276">
        <v>3.4230700000000001</v>
      </c>
      <c r="G794" s="276" t="s">
        <v>2259</v>
      </c>
      <c r="H794" s="276"/>
      <c r="I794" s="276" t="str">
        <f t="shared" si="10"/>
        <v>Prohibited</v>
      </c>
    </row>
    <row r="795" spans="2:9">
      <c r="B795" s="276" t="s">
        <v>2316</v>
      </c>
      <c r="C795" s="276" t="s">
        <v>2317</v>
      </c>
      <c r="D795" s="276" t="s">
        <v>2545</v>
      </c>
      <c r="E795" s="276">
        <v>4</v>
      </c>
      <c r="F795" s="276">
        <v>3.6070700000000002</v>
      </c>
      <c r="G795" s="276" t="s">
        <v>2259</v>
      </c>
      <c r="H795" s="276"/>
      <c r="I795" s="276" t="str">
        <f t="shared" si="10"/>
        <v>Prohibited</v>
      </c>
    </row>
    <row r="796" spans="2:9">
      <c r="B796" s="276" t="s">
        <v>2316</v>
      </c>
      <c r="C796" s="276" t="s">
        <v>2317</v>
      </c>
      <c r="D796" s="276" t="s">
        <v>2551</v>
      </c>
      <c r="E796" s="276">
        <v>4</v>
      </c>
      <c r="F796" s="276">
        <v>1.4172</v>
      </c>
      <c r="G796" s="276" t="s">
        <v>2259</v>
      </c>
      <c r="H796" s="276"/>
      <c r="I796" s="276" t="str">
        <f t="shared" si="10"/>
        <v>Prohibited</v>
      </c>
    </row>
    <row r="797" spans="2:9">
      <c r="B797" s="276" t="s">
        <v>2552</v>
      </c>
      <c r="C797" s="276" t="s">
        <v>2553</v>
      </c>
      <c r="D797" s="276" t="s">
        <v>2554</v>
      </c>
      <c r="E797" s="276">
        <v>4</v>
      </c>
      <c r="F797" s="276">
        <v>8.7492999999999999</v>
      </c>
      <c r="G797" s="276" t="s">
        <v>2259</v>
      </c>
      <c r="H797" s="276"/>
      <c r="I797" s="276" t="str">
        <f t="shared" si="10"/>
        <v>Prohibited</v>
      </c>
    </row>
    <row r="798" spans="2:9">
      <c r="B798" s="276" t="s">
        <v>2547</v>
      </c>
      <c r="C798" s="276" t="s">
        <v>2548</v>
      </c>
      <c r="D798" s="276" t="s">
        <v>2549</v>
      </c>
      <c r="E798" s="276">
        <v>4</v>
      </c>
      <c r="F798" s="276">
        <v>2.1909900000000002</v>
      </c>
      <c r="G798" s="276" t="s">
        <v>2259</v>
      </c>
      <c r="H798" s="276"/>
      <c r="I798" s="276" t="str">
        <f t="shared" si="10"/>
        <v>Prohibited</v>
      </c>
    </row>
    <row r="799" spans="2:9">
      <c r="B799" s="276" t="s">
        <v>2547</v>
      </c>
      <c r="C799" s="276" t="s">
        <v>2548</v>
      </c>
      <c r="D799" s="276" t="s">
        <v>2550</v>
      </c>
      <c r="E799" s="276">
        <v>4</v>
      </c>
      <c r="F799" s="276">
        <v>4.77536</v>
      </c>
      <c r="G799" s="276" t="s">
        <v>2259</v>
      </c>
      <c r="H799" s="276"/>
      <c r="I799" s="276" t="str">
        <f t="shared" si="10"/>
        <v>Prohibited</v>
      </c>
    </row>
    <row r="800" spans="2:9">
      <c r="B800" s="276" t="s">
        <v>2555</v>
      </c>
      <c r="C800" s="276" t="s">
        <v>2556</v>
      </c>
      <c r="D800" s="276" t="s">
        <v>2557</v>
      </c>
      <c r="E800" s="276">
        <v>4</v>
      </c>
      <c r="F800" s="276">
        <v>0.84312299999999996</v>
      </c>
      <c r="G800" s="276" t="s">
        <v>2259</v>
      </c>
      <c r="H800" s="276"/>
      <c r="I800" s="276" t="str">
        <f t="shared" si="10"/>
        <v>Prohibited</v>
      </c>
    </row>
    <row r="801" spans="2:9">
      <c r="B801" s="276" t="s">
        <v>2316</v>
      </c>
      <c r="C801" s="276" t="s">
        <v>2317</v>
      </c>
      <c r="D801" s="276" t="s">
        <v>2546</v>
      </c>
      <c r="E801" s="276">
        <v>4</v>
      </c>
      <c r="F801" s="276">
        <v>2.2723399999999998</v>
      </c>
      <c r="G801" s="276" t="s">
        <v>2259</v>
      </c>
      <c r="H801" s="276"/>
      <c r="I801" s="276" t="str">
        <f t="shared" si="10"/>
        <v>Prohibited</v>
      </c>
    </row>
    <row r="802" spans="2:9">
      <c r="B802" s="276" t="s">
        <v>2200</v>
      </c>
      <c r="C802" s="276" t="s">
        <v>2201</v>
      </c>
      <c r="D802" s="276" t="s">
        <v>2558</v>
      </c>
      <c r="E802" s="276">
        <v>4</v>
      </c>
      <c r="F802" s="276">
        <v>0.84970500000000004</v>
      </c>
      <c r="G802" s="276" t="s">
        <v>2259</v>
      </c>
      <c r="H802" s="276"/>
      <c r="I802" s="276" t="str">
        <f t="shared" si="10"/>
        <v>Prohibited</v>
      </c>
    </row>
    <row r="803" spans="2:9">
      <c r="B803" s="276" t="s">
        <v>2205</v>
      </c>
      <c r="C803" s="276" t="s">
        <v>2566</v>
      </c>
      <c r="D803" s="276" t="s">
        <v>2567</v>
      </c>
      <c r="E803" s="276">
        <v>4</v>
      </c>
      <c r="F803" s="276">
        <v>0.41913600000000001</v>
      </c>
      <c r="G803" s="276" t="s">
        <v>2259</v>
      </c>
      <c r="H803" s="276"/>
      <c r="I803" s="276" t="str">
        <f t="shared" si="10"/>
        <v>Prohibited</v>
      </c>
    </row>
    <row r="804" spans="2:9">
      <c r="B804" s="276" t="s">
        <v>2400</v>
      </c>
      <c r="C804" s="276" t="s">
        <v>2401</v>
      </c>
      <c r="D804" s="276" t="s">
        <v>2563</v>
      </c>
      <c r="E804" s="276">
        <v>4</v>
      </c>
      <c r="F804" s="276">
        <v>1.3433999999999999</v>
      </c>
      <c r="G804" s="276" t="s">
        <v>2259</v>
      </c>
      <c r="H804" s="276"/>
      <c r="I804" s="276" t="str">
        <f t="shared" si="10"/>
        <v>Prohibited</v>
      </c>
    </row>
    <row r="805" spans="2:9">
      <c r="B805" s="276" t="s">
        <v>2294</v>
      </c>
      <c r="C805" s="276" t="s">
        <v>2295</v>
      </c>
      <c r="D805" s="276" t="s">
        <v>2296</v>
      </c>
      <c r="E805" s="276">
        <v>4</v>
      </c>
      <c r="F805" s="276">
        <v>1.21862</v>
      </c>
      <c r="G805" s="276" t="s">
        <v>2259</v>
      </c>
      <c r="H805" s="276"/>
      <c r="I805" s="276" t="str">
        <f t="shared" si="10"/>
        <v>Prohibited</v>
      </c>
    </row>
    <row r="806" spans="2:9">
      <c r="B806" s="276" t="s">
        <v>2297</v>
      </c>
      <c r="C806" s="276" t="s">
        <v>2298</v>
      </c>
      <c r="D806" s="276" t="s">
        <v>2559</v>
      </c>
      <c r="E806" s="276">
        <v>4</v>
      </c>
      <c r="F806" s="276">
        <v>0.109261</v>
      </c>
      <c r="G806" s="276" t="s">
        <v>2259</v>
      </c>
      <c r="H806" s="276"/>
      <c r="I806" s="276" t="str">
        <f t="shared" si="10"/>
        <v>Prohibited</v>
      </c>
    </row>
    <row r="807" spans="2:9">
      <c r="B807" s="276" t="s">
        <v>2490</v>
      </c>
      <c r="C807" s="276" t="s">
        <v>2491</v>
      </c>
      <c r="D807" s="276" t="s">
        <v>2492</v>
      </c>
      <c r="E807" s="276">
        <v>4</v>
      </c>
      <c r="F807" s="276">
        <v>2.8627199999999999</v>
      </c>
      <c r="G807" s="276" t="s">
        <v>2259</v>
      </c>
      <c r="H807" s="276"/>
      <c r="I807" s="276" t="str">
        <f t="shared" ref="I807:I870" si="11">_xlfn.XLOOKUP(E807, $K$230:$K$236, $L$230:$L$236)</f>
        <v>Prohibited</v>
      </c>
    </row>
    <row r="808" spans="2:9">
      <c r="B808" s="276" t="s">
        <v>2152</v>
      </c>
      <c r="C808" s="276" t="s">
        <v>2153</v>
      </c>
      <c r="D808" s="276" t="s">
        <v>2560</v>
      </c>
      <c r="E808" s="276">
        <v>4</v>
      </c>
      <c r="F808" s="276">
        <v>0.92499399999999998</v>
      </c>
      <c r="G808" s="276" t="s">
        <v>2259</v>
      </c>
      <c r="H808" s="276"/>
      <c r="I808" s="276" t="str">
        <f t="shared" si="11"/>
        <v>Prohibited</v>
      </c>
    </row>
    <row r="809" spans="2:9">
      <c r="B809" s="276" t="s">
        <v>2187</v>
      </c>
      <c r="C809" s="276" t="s">
        <v>2188</v>
      </c>
      <c r="D809" s="276" t="s">
        <v>2561</v>
      </c>
      <c r="E809" s="276">
        <v>4</v>
      </c>
      <c r="F809" s="276">
        <v>1.30136E-2</v>
      </c>
      <c r="G809" s="276" t="s">
        <v>2259</v>
      </c>
      <c r="H809" s="276"/>
      <c r="I809" s="276" t="str">
        <f t="shared" si="11"/>
        <v>Prohibited</v>
      </c>
    </row>
    <row r="810" spans="2:9">
      <c r="B810" s="276" t="s">
        <v>2205</v>
      </c>
      <c r="C810" s="276" t="s">
        <v>2566</v>
      </c>
      <c r="D810" s="276" t="s">
        <v>2562</v>
      </c>
      <c r="E810" s="276">
        <v>4</v>
      </c>
      <c r="F810" s="276">
        <v>1.9256800000000001E-2</v>
      </c>
      <c r="G810" s="276" t="s">
        <v>2259</v>
      </c>
      <c r="H810" s="276"/>
      <c r="I810" s="276" t="str">
        <f t="shared" si="11"/>
        <v>Prohibited</v>
      </c>
    </row>
    <row r="811" spans="2:9">
      <c r="B811" s="276" t="s">
        <v>2316</v>
      </c>
      <c r="C811" s="276" t="s">
        <v>2317</v>
      </c>
      <c r="D811" s="276" t="s">
        <v>2564</v>
      </c>
      <c r="E811" s="276">
        <v>4</v>
      </c>
      <c r="F811" s="276">
        <v>3.7873299999999999</v>
      </c>
      <c r="G811" s="276" t="s">
        <v>2259</v>
      </c>
      <c r="H811" s="276"/>
      <c r="I811" s="276" t="str">
        <f t="shared" si="11"/>
        <v>Prohibited</v>
      </c>
    </row>
    <row r="812" spans="2:9">
      <c r="B812" s="276" t="s">
        <v>2265</v>
      </c>
      <c r="C812" s="276" t="s">
        <v>2266</v>
      </c>
      <c r="D812" s="276" t="s">
        <v>2565</v>
      </c>
      <c r="E812" s="276">
        <v>4</v>
      </c>
      <c r="F812" s="276">
        <v>12.5512</v>
      </c>
      <c r="G812" s="276" t="s">
        <v>2197</v>
      </c>
      <c r="H812" s="276"/>
      <c r="I812" s="276" t="str">
        <f t="shared" si="11"/>
        <v>Prohibited</v>
      </c>
    </row>
    <row r="813" spans="2:9">
      <c r="B813" s="276" t="s">
        <v>2332</v>
      </c>
      <c r="C813" s="276" t="s">
        <v>2333</v>
      </c>
      <c r="D813" s="276" t="s">
        <v>2568</v>
      </c>
      <c r="E813" s="276">
        <v>4</v>
      </c>
      <c r="F813" s="276">
        <v>1.5464899999999999</v>
      </c>
      <c r="G813" s="276" t="s">
        <v>2569</v>
      </c>
      <c r="H813" s="276"/>
      <c r="I813" s="276" t="str">
        <f t="shared" si="11"/>
        <v>Prohibited</v>
      </c>
    </row>
    <row r="814" spans="2:9">
      <c r="B814" s="276" t="s">
        <v>2313</v>
      </c>
      <c r="C814" s="276" t="s">
        <v>2314</v>
      </c>
      <c r="D814" s="276" t="s">
        <v>2573</v>
      </c>
      <c r="E814" s="276">
        <v>4</v>
      </c>
      <c r="F814" s="276">
        <v>1.06542</v>
      </c>
      <c r="G814" s="276" t="s">
        <v>2194</v>
      </c>
      <c r="H814" s="276"/>
      <c r="I814" s="276" t="str">
        <f t="shared" si="11"/>
        <v>Prohibited</v>
      </c>
    </row>
    <row r="815" spans="2:9">
      <c r="B815" s="276" t="s">
        <v>2552</v>
      </c>
      <c r="C815" s="276" t="s">
        <v>2553</v>
      </c>
      <c r="D815" s="276" t="s">
        <v>2554</v>
      </c>
      <c r="E815" s="276">
        <v>4</v>
      </c>
      <c r="F815" s="276">
        <v>8.7492999999999999</v>
      </c>
      <c r="G815" s="276" t="s">
        <v>2197</v>
      </c>
      <c r="H815" s="276"/>
      <c r="I815" s="276" t="str">
        <f t="shared" si="11"/>
        <v>Prohibited</v>
      </c>
    </row>
    <row r="816" spans="2:9">
      <c r="B816" s="276" t="s">
        <v>2547</v>
      </c>
      <c r="C816" s="276" t="s">
        <v>2548</v>
      </c>
      <c r="D816" s="276" t="s">
        <v>2549</v>
      </c>
      <c r="E816" s="276">
        <v>4</v>
      </c>
      <c r="F816" s="276">
        <v>2.1909900000000002</v>
      </c>
      <c r="G816" s="276" t="s">
        <v>2197</v>
      </c>
      <c r="H816" s="276"/>
      <c r="I816" s="276" t="str">
        <f t="shared" si="11"/>
        <v>Prohibited</v>
      </c>
    </row>
    <row r="817" spans="2:9">
      <c r="B817" s="276" t="s">
        <v>2547</v>
      </c>
      <c r="C817" s="276" t="s">
        <v>2548</v>
      </c>
      <c r="D817" s="276" t="s">
        <v>2550</v>
      </c>
      <c r="E817" s="276">
        <v>4</v>
      </c>
      <c r="F817" s="276">
        <v>4.77536</v>
      </c>
      <c r="G817" s="276" t="s">
        <v>2197</v>
      </c>
      <c r="H817" s="276"/>
      <c r="I817" s="276" t="str">
        <f t="shared" si="11"/>
        <v>Prohibited</v>
      </c>
    </row>
    <row r="818" spans="2:9">
      <c r="B818" s="276" t="s">
        <v>2316</v>
      </c>
      <c r="C818" s="276" t="s">
        <v>2317</v>
      </c>
      <c r="D818" s="276" t="s">
        <v>2551</v>
      </c>
      <c r="E818" s="276">
        <v>4</v>
      </c>
      <c r="F818" s="276">
        <v>1.4172</v>
      </c>
      <c r="G818" s="276" t="s">
        <v>2197</v>
      </c>
      <c r="H818" s="276"/>
      <c r="I818" s="276" t="str">
        <f t="shared" si="11"/>
        <v>Prohibited</v>
      </c>
    </row>
    <row r="819" spans="2:9">
      <c r="B819" s="276" t="s">
        <v>2555</v>
      </c>
      <c r="C819" s="276" t="s">
        <v>2556</v>
      </c>
      <c r="D819" s="276" t="s">
        <v>2557</v>
      </c>
      <c r="E819" s="276">
        <v>4</v>
      </c>
      <c r="F819" s="276">
        <v>0.84312299999999996</v>
      </c>
      <c r="G819" s="276" t="s">
        <v>2197</v>
      </c>
      <c r="H819" s="276"/>
      <c r="I819" s="276" t="str">
        <f t="shared" si="11"/>
        <v>Prohibited</v>
      </c>
    </row>
    <row r="820" spans="2:9">
      <c r="B820" s="276" t="s">
        <v>2490</v>
      </c>
      <c r="C820" s="276" t="s">
        <v>2491</v>
      </c>
      <c r="D820" s="276" t="s">
        <v>2492</v>
      </c>
      <c r="E820" s="276">
        <v>4</v>
      </c>
      <c r="F820" s="276">
        <v>2.8627199999999999</v>
      </c>
      <c r="G820" s="276" t="s">
        <v>2197</v>
      </c>
      <c r="H820" s="276"/>
      <c r="I820" s="276" t="str">
        <f t="shared" si="11"/>
        <v>Prohibited</v>
      </c>
    </row>
    <row r="821" spans="2:9">
      <c r="B821" s="276" t="s">
        <v>2200</v>
      </c>
      <c r="C821" s="276" t="s">
        <v>2201</v>
      </c>
      <c r="D821" s="276" t="s">
        <v>2558</v>
      </c>
      <c r="E821" s="276">
        <v>4</v>
      </c>
      <c r="F821" s="276">
        <v>0.84970500000000004</v>
      </c>
      <c r="G821" s="276" t="s">
        <v>2197</v>
      </c>
      <c r="H821" s="276"/>
      <c r="I821" s="276" t="str">
        <f t="shared" si="11"/>
        <v>Prohibited</v>
      </c>
    </row>
    <row r="822" spans="2:9">
      <c r="B822" s="276" t="s">
        <v>2205</v>
      </c>
      <c r="C822" s="276" t="s">
        <v>2306</v>
      </c>
      <c r="D822" s="276" t="s">
        <v>2567</v>
      </c>
      <c r="E822" s="276">
        <v>4</v>
      </c>
      <c r="F822" s="276">
        <v>0.41913600000000001</v>
      </c>
      <c r="G822" s="276" t="s">
        <v>2197</v>
      </c>
      <c r="H822" s="276"/>
      <c r="I822" s="276" t="str">
        <f t="shared" si="11"/>
        <v>Prohibited</v>
      </c>
    </row>
    <row r="823" spans="2:9">
      <c r="B823" s="276" t="s">
        <v>2297</v>
      </c>
      <c r="C823" s="276" t="s">
        <v>2298</v>
      </c>
      <c r="D823" s="276" t="s">
        <v>2559</v>
      </c>
      <c r="E823" s="276">
        <v>4</v>
      </c>
      <c r="F823" s="276">
        <v>0.109261</v>
      </c>
      <c r="G823" s="276" t="s">
        <v>2197</v>
      </c>
      <c r="H823" s="276"/>
      <c r="I823" s="276" t="str">
        <f t="shared" si="11"/>
        <v>Prohibited</v>
      </c>
    </row>
    <row r="824" spans="2:9">
      <c r="B824" s="276" t="s">
        <v>2152</v>
      </c>
      <c r="C824" s="276" t="s">
        <v>2153</v>
      </c>
      <c r="D824" s="276" t="s">
        <v>2560</v>
      </c>
      <c r="E824" s="276">
        <v>4</v>
      </c>
      <c r="F824" s="276">
        <v>0.92499399999999998</v>
      </c>
      <c r="G824" s="276" t="s">
        <v>2197</v>
      </c>
      <c r="H824" s="276"/>
      <c r="I824" s="276" t="str">
        <f t="shared" si="11"/>
        <v>Prohibited</v>
      </c>
    </row>
    <row r="825" spans="2:9">
      <c r="B825" s="276" t="s">
        <v>2332</v>
      </c>
      <c r="C825" s="276" t="s">
        <v>2333</v>
      </c>
      <c r="D825" s="276" t="s">
        <v>2568</v>
      </c>
      <c r="E825" s="276">
        <v>4</v>
      </c>
      <c r="F825" s="276">
        <v>1.5464899999999999</v>
      </c>
      <c r="G825" s="276" t="s">
        <v>2569</v>
      </c>
      <c r="H825" s="276"/>
      <c r="I825" s="276" t="str">
        <f t="shared" si="11"/>
        <v>Prohibited</v>
      </c>
    </row>
    <row r="826" spans="2:9">
      <c r="B826" s="276" t="s">
        <v>2187</v>
      </c>
      <c r="C826" s="276" t="s">
        <v>2188</v>
      </c>
      <c r="D826" s="276" t="s">
        <v>2561</v>
      </c>
      <c r="E826" s="276">
        <v>4</v>
      </c>
      <c r="F826" s="276">
        <v>1.30136E-2</v>
      </c>
      <c r="G826" s="276" t="s">
        <v>2197</v>
      </c>
      <c r="H826" s="276"/>
      <c r="I826" s="276" t="str">
        <f t="shared" si="11"/>
        <v>Prohibited</v>
      </c>
    </row>
    <row r="827" spans="2:9">
      <c r="B827" s="276" t="s">
        <v>2205</v>
      </c>
      <c r="C827" s="276" t="s">
        <v>2306</v>
      </c>
      <c r="D827" s="276" t="s">
        <v>2562</v>
      </c>
      <c r="E827" s="276">
        <v>4</v>
      </c>
      <c r="F827" s="276">
        <v>1.9256800000000001E-2</v>
      </c>
      <c r="G827" s="276" t="s">
        <v>2197</v>
      </c>
      <c r="H827" s="276"/>
      <c r="I827" s="276" t="str">
        <f t="shared" si="11"/>
        <v>Prohibited</v>
      </c>
    </row>
    <row r="828" spans="2:9">
      <c r="B828" s="276" t="s">
        <v>2265</v>
      </c>
      <c r="C828" s="276" t="s">
        <v>2266</v>
      </c>
      <c r="D828" s="276" t="s">
        <v>2565</v>
      </c>
      <c r="E828" s="276">
        <v>4</v>
      </c>
      <c r="F828" s="276">
        <v>12.5512</v>
      </c>
      <c r="G828" s="276" t="s">
        <v>2197</v>
      </c>
      <c r="H828" s="276"/>
      <c r="I828" s="276" t="str">
        <f t="shared" si="11"/>
        <v>Prohibited</v>
      </c>
    </row>
    <row r="829" spans="2:9">
      <c r="B829" s="276" t="s">
        <v>2316</v>
      </c>
      <c r="C829" s="276" t="s">
        <v>2317</v>
      </c>
      <c r="D829" s="276" t="s">
        <v>2574</v>
      </c>
      <c r="E829" s="276">
        <v>4</v>
      </c>
      <c r="F829" s="276">
        <v>3.4230700000000001</v>
      </c>
      <c r="G829" s="276" t="s">
        <v>2335</v>
      </c>
      <c r="H829" s="276"/>
      <c r="I829" s="276" t="str">
        <f t="shared" si="11"/>
        <v>Prohibited</v>
      </c>
    </row>
    <row r="830" spans="2:9">
      <c r="B830" s="276" t="s">
        <v>2316</v>
      </c>
      <c r="C830" s="276" t="s">
        <v>2317</v>
      </c>
      <c r="D830" s="276" t="s">
        <v>2545</v>
      </c>
      <c r="E830" s="276">
        <v>4</v>
      </c>
      <c r="F830" s="276">
        <v>3.6070700000000002</v>
      </c>
      <c r="G830" s="276" t="s">
        <v>2335</v>
      </c>
      <c r="H830" s="276"/>
      <c r="I830" s="276" t="str">
        <f t="shared" si="11"/>
        <v>Prohibited</v>
      </c>
    </row>
    <row r="831" spans="2:9">
      <c r="B831" s="276" t="s">
        <v>2316</v>
      </c>
      <c r="C831" s="276" t="s">
        <v>2317</v>
      </c>
      <c r="D831" s="276" t="s">
        <v>2546</v>
      </c>
      <c r="E831" s="276">
        <v>4</v>
      </c>
      <c r="F831" s="276">
        <v>2.2723399999999998</v>
      </c>
      <c r="G831" s="276" t="s">
        <v>2335</v>
      </c>
      <c r="H831" s="276"/>
      <c r="I831" s="276" t="str">
        <f t="shared" si="11"/>
        <v>Prohibited</v>
      </c>
    </row>
    <row r="832" spans="2:9">
      <c r="B832" s="276" t="s">
        <v>2316</v>
      </c>
      <c r="C832" s="276" t="s">
        <v>2317</v>
      </c>
      <c r="D832" s="276" t="s">
        <v>2564</v>
      </c>
      <c r="E832" s="276">
        <v>4</v>
      </c>
      <c r="F832" s="276">
        <v>3.7873299999999999</v>
      </c>
      <c r="G832" s="276" t="s">
        <v>2335</v>
      </c>
      <c r="H832" s="276"/>
      <c r="I832" s="276" t="str">
        <f t="shared" si="11"/>
        <v>Prohibited</v>
      </c>
    </row>
    <row r="833" spans="2:9">
      <c r="B833" s="276" t="s">
        <v>2313</v>
      </c>
      <c r="C833" s="276" t="s">
        <v>2314</v>
      </c>
      <c r="D833" s="276" t="s">
        <v>2573</v>
      </c>
      <c r="E833" s="276">
        <v>4</v>
      </c>
      <c r="F833" s="276">
        <v>1.06542</v>
      </c>
      <c r="G833" s="276" t="s">
        <v>2335</v>
      </c>
      <c r="H833" s="276"/>
      <c r="I833" s="276" t="str">
        <f t="shared" si="11"/>
        <v>Prohibited</v>
      </c>
    </row>
    <row r="834" spans="2:9">
      <c r="B834" s="276" t="s">
        <v>2547</v>
      </c>
      <c r="C834" s="276" t="s">
        <v>2548</v>
      </c>
      <c r="D834" s="276" t="s">
        <v>2549</v>
      </c>
      <c r="E834" s="276">
        <v>4</v>
      </c>
      <c r="F834" s="276">
        <v>2.1909900000000002</v>
      </c>
      <c r="G834" s="276" t="s">
        <v>2204</v>
      </c>
      <c r="H834" s="276"/>
      <c r="I834" s="276" t="str">
        <f t="shared" si="11"/>
        <v>Prohibited</v>
      </c>
    </row>
    <row r="835" spans="2:9">
      <c r="B835" s="276" t="s">
        <v>2547</v>
      </c>
      <c r="C835" s="276" t="s">
        <v>2548</v>
      </c>
      <c r="D835" s="276" t="s">
        <v>2550</v>
      </c>
      <c r="E835" s="276">
        <v>4</v>
      </c>
      <c r="F835" s="276">
        <v>4.77536</v>
      </c>
      <c r="G835" s="276" t="s">
        <v>2204</v>
      </c>
      <c r="H835" s="276"/>
      <c r="I835" s="276" t="str">
        <f t="shared" si="11"/>
        <v>Prohibited</v>
      </c>
    </row>
    <row r="836" spans="2:9">
      <c r="B836" s="276" t="s">
        <v>2552</v>
      </c>
      <c r="C836" s="276" t="s">
        <v>2553</v>
      </c>
      <c r="D836" s="276" t="s">
        <v>2554</v>
      </c>
      <c r="E836" s="276">
        <v>4</v>
      </c>
      <c r="F836" s="276">
        <v>8.7492999999999999</v>
      </c>
      <c r="G836" s="276" t="s">
        <v>2204</v>
      </c>
      <c r="H836" s="276"/>
      <c r="I836" s="276" t="str">
        <f t="shared" si="11"/>
        <v>Prohibited</v>
      </c>
    </row>
    <row r="837" spans="2:9">
      <c r="B837" s="276" t="s">
        <v>2316</v>
      </c>
      <c r="C837" s="276" t="s">
        <v>2317</v>
      </c>
      <c r="D837" s="276" t="s">
        <v>2551</v>
      </c>
      <c r="E837" s="276">
        <v>4</v>
      </c>
      <c r="F837" s="276">
        <v>1.4172</v>
      </c>
      <c r="G837" s="276" t="s">
        <v>2204</v>
      </c>
      <c r="H837" s="276"/>
      <c r="I837" s="276" t="str">
        <f t="shared" si="11"/>
        <v>Prohibited</v>
      </c>
    </row>
    <row r="838" spans="2:9">
      <c r="B838" s="276" t="s">
        <v>2555</v>
      </c>
      <c r="C838" s="276" t="s">
        <v>2556</v>
      </c>
      <c r="D838" s="276" t="s">
        <v>2557</v>
      </c>
      <c r="E838" s="276">
        <v>4</v>
      </c>
      <c r="F838" s="276">
        <v>0.84312299999999996</v>
      </c>
      <c r="G838" s="276" t="s">
        <v>2204</v>
      </c>
      <c r="H838" s="276"/>
      <c r="I838" s="276" t="str">
        <f t="shared" si="11"/>
        <v>Prohibited</v>
      </c>
    </row>
    <row r="839" spans="2:9">
      <c r="B839" s="276" t="s">
        <v>2187</v>
      </c>
      <c r="C839" s="276" t="s">
        <v>2188</v>
      </c>
      <c r="D839" s="276" t="s">
        <v>2561</v>
      </c>
      <c r="E839" s="276">
        <v>4</v>
      </c>
      <c r="F839" s="276">
        <v>1.30136E-2</v>
      </c>
      <c r="G839" s="276" t="s">
        <v>2204</v>
      </c>
      <c r="H839" s="276"/>
      <c r="I839" s="276" t="str">
        <f t="shared" si="11"/>
        <v>Prohibited</v>
      </c>
    </row>
    <row r="840" spans="2:9">
      <c r="B840" s="276" t="s">
        <v>2200</v>
      </c>
      <c r="C840" s="276" t="s">
        <v>2201</v>
      </c>
      <c r="D840" s="276" t="s">
        <v>2558</v>
      </c>
      <c r="E840" s="276">
        <v>4</v>
      </c>
      <c r="F840" s="276">
        <v>0.84970500000000004</v>
      </c>
      <c r="G840" s="276" t="s">
        <v>2204</v>
      </c>
      <c r="H840" s="276"/>
      <c r="I840" s="276" t="str">
        <f t="shared" si="11"/>
        <v>Prohibited</v>
      </c>
    </row>
    <row r="841" spans="2:9">
      <c r="B841" s="276" t="s">
        <v>2332</v>
      </c>
      <c r="C841" s="276" t="s">
        <v>2333</v>
      </c>
      <c r="D841" s="276" t="s">
        <v>2568</v>
      </c>
      <c r="E841" s="276">
        <v>4</v>
      </c>
      <c r="F841" s="276">
        <v>1.5464899999999999</v>
      </c>
      <c r="G841" s="276" t="s">
        <v>2569</v>
      </c>
      <c r="H841" s="276"/>
      <c r="I841" s="276" t="str">
        <f t="shared" si="11"/>
        <v>Prohibited</v>
      </c>
    </row>
    <row r="842" spans="2:9">
      <c r="B842" s="276" t="s">
        <v>2297</v>
      </c>
      <c r="C842" s="276" t="s">
        <v>2298</v>
      </c>
      <c r="D842" s="276" t="s">
        <v>2559</v>
      </c>
      <c r="E842" s="276">
        <v>4</v>
      </c>
      <c r="F842" s="276">
        <v>0.109261</v>
      </c>
      <c r="G842" s="276" t="s">
        <v>2204</v>
      </c>
      <c r="H842" s="276"/>
      <c r="I842" s="276" t="str">
        <f t="shared" si="11"/>
        <v>Prohibited</v>
      </c>
    </row>
    <row r="843" spans="2:9">
      <c r="B843" s="276" t="s">
        <v>2490</v>
      </c>
      <c r="C843" s="276" t="s">
        <v>2491</v>
      </c>
      <c r="D843" s="276" t="s">
        <v>2575</v>
      </c>
      <c r="E843" s="276">
        <v>4</v>
      </c>
      <c r="F843" s="276">
        <v>2.96035</v>
      </c>
      <c r="G843" s="276" t="s">
        <v>2204</v>
      </c>
      <c r="H843" s="276"/>
      <c r="I843" s="276" t="str">
        <f t="shared" si="11"/>
        <v>Prohibited</v>
      </c>
    </row>
    <row r="844" spans="2:9">
      <c r="B844" s="276" t="s">
        <v>2152</v>
      </c>
      <c r="C844" s="276" t="s">
        <v>2153</v>
      </c>
      <c r="D844" s="276" t="s">
        <v>2560</v>
      </c>
      <c r="E844" s="276">
        <v>4</v>
      </c>
      <c r="F844" s="276">
        <v>0.92499399999999998</v>
      </c>
      <c r="G844" s="276" t="s">
        <v>2204</v>
      </c>
      <c r="H844" s="276"/>
      <c r="I844" s="276" t="str">
        <f t="shared" si="11"/>
        <v>Prohibited</v>
      </c>
    </row>
    <row r="845" spans="2:9">
      <c r="B845" s="276" t="s">
        <v>2205</v>
      </c>
      <c r="C845" s="276" t="s">
        <v>2566</v>
      </c>
      <c r="D845" s="276" t="s">
        <v>2562</v>
      </c>
      <c r="E845" s="276">
        <v>4</v>
      </c>
      <c r="F845" s="276">
        <v>1.9235499999999999E-2</v>
      </c>
      <c r="G845" s="276" t="s">
        <v>2204</v>
      </c>
      <c r="H845" s="276"/>
      <c r="I845" s="276" t="str">
        <f t="shared" si="11"/>
        <v>Prohibited</v>
      </c>
    </row>
    <row r="846" spans="2:9">
      <c r="B846" s="276" t="s">
        <v>2316</v>
      </c>
      <c r="C846" s="276" t="s">
        <v>2317</v>
      </c>
      <c r="D846" s="276" t="s">
        <v>2564</v>
      </c>
      <c r="E846" s="276">
        <v>4</v>
      </c>
      <c r="F846" s="276">
        <v>3.7873299999999999</v>
      </c>
      <c r="G846" s="276" t="s">
        <v>2220</v>
      </c>
      <c r="H846" s="276"/>
      <c r="I846" s="276" t="str">
        <f t="shared" si="11"/>
        <v>Prohibited</v>
      </c>
    </row>
    <row r="847" spans="2:9">
      <c r="B847" s="276" t="s">
        <v>2265</v>
      </c>
      <c r="C847" s="276" t="s">
        <v>2266</v>
      </c>
      <c r="D847" s="276" t="s">
        <v>2565</v>
      </c>
      <c r="E847" s="276">
        <v>4</v>
      </c>
      <c r="F847" s="276">
        <v>12.5512</v>
      </c>
      <c r="G847" s="276" t="s">
        <v>2197</v>
      </c>
      <c r="H847" s="276"/>
      <c r="I847" s="276" t="str">
        <f t="shared" si="11"/>
        <v>Prohibited</v>
      </c>
    </row>
    <row r="848" spans="2:9">
      <c r="B848" s="276" t="s">
        <v>2316</v>
      </c>
      <c r="C848" s="276" t="s">
        <v>2317</v>
      </c>
      <c r="D848" s="276" t="s">
        <v>2574</v>
      </c>
      <c r="E848" s="276">
        <v>4</v>
      </c>
      <c r="F848" s="276">
        <v>3.4230700000000001</v>
      </c>
      <c r="G848" s="276" t="s">
        <v>2220</v>
      </c>
      <c r="H848" s="276"/>
      <c r="I848" s="276" t="str">
        <f t="shared" si="11"/>
        <v>Prohibited</v>
      </c>
    </row>
    <row r="849" spans="2:9">
      <c r="B849" s="276" t="s">
        <v>2552</v>
      </c>
      <c r="C849" s="276" t="s">
        <v>2553</v>
      </c>
      <c r="D849" s="276" t="s">
        <v>2554</v>
      </c>
      <c r="E849" s="276">
        <v>4</v>
      </c>
      <c r="F849" s="276">
        <v>8.7492999999999999</v>
      </c>
      <c r="G849" s="276" t="s">
        <v>2224</v>
      </c>
      <c r="H849" s="276"/>
      <c r="I849" s="276" t="str">
        <f t="shared" si="11"/>
        <v>Prohibited</v>
      </c>
    </row>
    <row r="850" spans="2:9">
      <c r="B850" s="276" t="s">
        <v>2547</v>
      </c>
      <c r="C850" s="276" t="s">
        <v>2548</v>
      </c>
      <c r="D850" s="276" t="s">
        <v>2549</v>
      </c>
      <c r="E850" s="276">
        <v>4</v>
      </c>
      <c r="F850" s="276">
        <v>2.1909900000000002</v>
      </c>
      <c r="G850" s="276" t="s">
        <v>2224</v>
      </c>
      <c r="H850" s="276"/>
      <c r="I850" s="276" t="str">
        <f t="shared" si="11"/>
        <v>Prohibited</v>
      </c>
    </row>
    <row r="851" spans="2:9">
      <c r="B851" s="276" t="s">
        <v>2547</v>
      </c>
      <c r="C851" s="276" t="s">
        <v>2548</v>
      </c>
      <c r="D851" s="276" t="s">
        <v>2550</v>
      </c>
      <c r="E851" s="276">
        <v>4</v>
      </c>
      <c r="F851" s="276">
        <v>4.77536</v>
      </c>
      <c r="G851" s="276" t="s">
        <v>2224</v>
      </c>
      <c r="H851" s="276"/>
      <c r="I851" s="276" t="str">
        <f t="shared" si="11"/>
        <v>Prohibited</v>
      </c>
    </row>
    <row r="852" spans="2:9">
      <c r="B852" s="276" t="s">
        <v>2316</v>
      </c>
      <c r="C852" s="276" t="s">
        <v>2317</v>
      </c>
      <c r="D852" s="276" t="s">
        <v>2551</v>
      </c>
      <c r="E852" s="276">
        <v>4</v>
      </c>
      <c r="F852" s="276">
        <v>1.4172</v>
      </c>
      <c r="G852" s="276" t="s">
        <v>2224</v>
      </c>
      <c r="H852" s="276"/>
      <c r="I852" s="276" t="str">
        <f t="shared" si="11"/>
        <v>Prohibited</v>
      </c>
    </row>
    <row r="853" spans="2:9">
      <c r="B853" s="276" t="s">
        <v>2555</v>
      </c>
      <c r="C853" s="276" t="s">
        <v>2556</v>
      </c>
      <c r="D853" s="276" t="s">
        <v>2557</v>
      </c>
      <c r="E853" s="276">
        <v>4</v>
      </c>
      <c r="F853" s="276">
        <v>0.84312299999999996</v>
      </c>
      <c r="G853" s="276" t="s">
        <v>2224</v>
      </c>
      <c r="H853" s="276"/>
      <c r="I853" s="276" t="str">
        <f t="shared" si="11"/>
        <v>Prohibited</v>
      </c>
    </row>
    <row r="854" spans="2:9">
      <c r="B854" s="276" t="s">
        <v>2200</v>
      </c>
      <c r="C854" s="276" t="s">
        <v>2201</v>
      </c>
      <c r="D854" s="276" t="s">
        <v>2558</v>
      </c>
      <c r="E854" s="276">
        <v>4</v>
      </c>
      <c r="F854" s="276">
        <v>0.84970500000000004</v>
      </c>
      <c r="G854" s="276" t="s">
        <v>2224</v>
      </c>
      <c r="H854" s="276"/>
      <c r="I854" s="276" t="str">
        <f t="shared" si="11"/>
        <v>Prohibited</v>
      </c>
    </row>
    <row r="855" spans="2:9">
      <c r="B855" s="276" t="s">
        <v>2297</v>
      </c>
      <c r="C855" s="276" t="s">
        <v>2298</v>
      </c>
      <c r="D855" s="276" t="s">
        <v>2559</v>
      </c>
      <c r="E855" s="276">
        <v>4</v>
      </c>
      <c r="F855" s="276">
        <v>0.109261</v>
      </c>
      <c r="G855" s="276" t="s">
        <v>2224</v>
      </c>
      <c r="H855" s="276"/>
      <c r="I855" s="276" t="str">
        <f t="shared" si="11"/>
        <v>Prohibited</v>
      </c>
    </row>
    <row r="856" spans="2:9">
      <c r="B856" s="276" t="s">
        <v>2490</v>
      </c>
      <c r="C856" s="276" t="s">
        <v>2491</v>
      </c>
      <c r="D856" s="276" t="s">
        <v>2492</v>
      </c>
      <c r="E856" s="276">
        <v>4</v>
      </c>
      <c r="F856" s="276">
        <v>2.8627199999999999</v>
      </c>
      <c r="G856" s="276" t="s">
        <v>2224</v>
      </c>
      <c r="H856" s="276"/>
      <c r="I856" s="276" t="str">
        <f t="shared" si="11"/>
        <v>Prohibited</v>
      </c>
    </row>
    <row r="857" spans="2:9">
      <c r="B857" s="276" t="s">
        <v>2152</v>
      </c>
      <c r="C857" s="276" t="s">
        <v>2153</v>
      </c>
      <c r="D857" s="276" t="s">
        <v>2560</v>
      </c>
      <c r="E857" s="276">
        <v>4</v>
      </c>
      <c r="F857" s="276">
        <v>0.92499399999999998</v>
      </c>
      <c r="G857" s="276" t="s">
        <v>2224</v>
      </c>
      <c r="H857" s="276"/>
      <c r="I857" s="276" t="str">
        <f t="shared" si="11"/>
        <v>Prohibited</v>
      </c>
    </row>
    <row r="858" spans="2:9">
      <c r="B858" s="276" t="s">
        <v>2187</v>
      </c>
      <c r="C858" s="276" t="s">
        <v>2188</v>
      </c>
      <c r="D858" s="276" t="s">
        <v>2561</v>
      </c>
      <c r="E858" s="276">
        <v>4</v>
      </c>
      <c r="F858" s="276">
        <v>1.30136E-2</v>
      </c>
      <c r="G858" s="276" t="s">
        <v>2224</v>
      </c>
      <c r="H858" s="276"/>
      <c r="I858" s="276" t="str">
        <f t="shared" si="11"/>
        <v>Prohibited</v>
      </c>
    </row>
    <row r="859" spans="2:9">
      <c r="B859" s="276" t="s">
        <v>2205</v>
      </c>
      <c r="C859" s="276" t="s">
        <v>2306</v>
      </c>
      <c r="D859" s="276" t="s">
        <v>2562</v>
      </c>
      <c r="E859" s="276">
        <v>4</v>
      </c>
      <c r="F859" s="276">
        <v>1.9256800000000001E-2</v>
      </c>
      <c r="G859" s="276" t="s">
        <v>2224</v>
      </c>
      <c r="H859" s="276"/>
      <c r="I859" s="276" t="str">
        <f t="shared" si="11"/>
        <v>Prohibited</v>
      </c>
    </row>
    <row r="860" spans="2:9">
      <c r="B860" s="276" t="s">
        <v>2400</v>
      </c>
      <c r="C860" s="276" t="s">
        <v>2401</v>
      </c>
      <c r="D860" s="276" t="s">
        <v>2563</v>
      </c>
      <c r="E860" s="276">
        <v>4</v>
      </c>
      <c r="F860" s="276">
        <v>1.3433999999999999</v>
      </c>
      <c r="G860" s="276" t="s">
        <v>2408</v>
      </c>
      <c r="H860" s="276"/>
      <c r="I860" s="276" t="str">
        <f t="shared" si="11"/>
        <v>Prohibited</v>
      </c>
    </row>
    <row r="861" spans="2:9">
      <c r="B861" s="276" t="s">
        <v>2313</v>
      </c>
      <c r="C861" s="276" t="s">
        <v>2314</v>
      </c>
      <c r="D861" s="276" t="s">
        <v>2315</v>
      </c>
      <c r="E861" s="276">
        <v>4</v>
      </c>
      <c r="F861" s="276">
        <v>1.0861799999999999</v>
      </c>
      <c r="G861" s="276" t="s">
        <v>2155</v>
      </c>
      <c r="H861" s="276"/>
      <c r="I861" s="276" t="str">
        <f t="shared" si="11"/>
        <v>Prohibited</v>
      </c>
    </row>
    <row r="862" spans="2:9">
      <c r="B862" s="276" t="s">
        <v>2265</v>
      </c>
      <c r="C862" s="276" t="s">
        <v>2266</v>
      </c>
      <c r="D862" s="276" t="s">
        <v>2565</v>
      </c>
      <c r="E862" s="276">
        <v>4</v>
      </c>
      <c r="F862" s="276">
        <v>12.5512</v>
      </c>
      <c r="G862" s="276" t="s">
        <v>2197</v>
      </c>
      <c r="H862" s="276"/>
      <c r="I862" s="276" t="str">
        <f t="shared" si="11"/>
        <v>Prohibited</v>
      </c>
    </row>
    <row r="863" spans="2:9">
      <c r="B863" s="276" t="s">
        <v>2316</v>
      </c>
      <c r="C863" s="276" t="s">
        <v>2317</v>
      </c>
      <c r="D863" s="276" t="s">
        <v>2564</v>
      </c>
      <c r="E863" s="276">
        <v>4</v>
      </c>
      <c r="F863" s="276">
        <v>3.7873299999999999</v>
      </c>
      <c r="G863" s="276" t="s">
        <v>2220</v>
      </c>
      <c r="H863" s="276"/>
      <c r="I863" s="276" t="str">
        <f t="shared" si="11"/>
        <v>Prohibited</v>
      </c>
    </row>
    <row r="864" spans="2:9">
      <c r="B864" s="276" t="s">
        <v>2332</v>
      </c>
      <c r="C864" s="276" t="s">
        <v>2333</v>
      </c>
      <c r="D864" s="276" t="s">
        <v>2568</v>
      </c>
      <c r="E864" s="276">
        <v>4</v>
      </c>
      <c r="F864" s="276">
        <v>1.5464899999999999</v>
      </c>
      <c r="G864" s="276" t="s">
        <v>2569</v>
      </c>
      <c r="H864" s="276"/>
      <c r="I864" s="276" t="str">
        <f t="shared" si="11"/>
        <v>Prohibited</v>
      </c>
    </row>
    <row r="865" spans="2:9">
      <c r="B865" s="276" t="s">
        <v>2316</v>
      </c>
      <c r="C865" s="276" t="s">
        <v>2317</v>
      </c>
      <c r="D865" s="276" t="s">
        <v>2574</v>
      </c>
      <c r="E865" s="276">
        <v>4</v>
      </c>
      <c r="F865" s="276">
        <v>3.4230700000000001</v>
      </c>
      <c r="G865" s="276" t="s">
        <v>2365</v>
      </c>
      <c r="H865" s="276"/>
      <c r="I865" s="276" t="str">
        <f t="shared" si="11"/>
        <v>Prohibited</v>
      </c>
    </row>
    <row r="866" spans="2:9">
      <c r="B866" s="276" t="s">
        <v>2552</v>
      </c>
      <c r="C866" s="276" t="s">
        <v>2553</v>
      </c>
      <c r="D866" s="276" t="s">
        <v>2554</v>
      </c>
      <c r="E866" s="276">
        <v>4</v>
      </c>
      <c r="F866" s="276">
        <v>8.7492999999999999</v>
      </c>
      <c r="G866" s="276" t="s">
        <v>2224</v>
      </c>
      <c r="H866" s="276"/>
      <c r="I866" s="276" t="str">
        <f t="shared" si="11"/>
        <v>Prohibited</v>
      </c>
    </row>
    <row r="867" spans="2:9">
      <c r="B867" s="276" t="s">
        <v>2547</v>
      </c>
      <c r="C867" s="276" t="s">
        <v>2548</v>
      </c>
      <c r="D867" s="276" t="s">
        <v>2549</v>
      </c>
      <c r="E867" s="276">
        <v>4</v>
      </c>
      <c r="F867" s="276">
        <v>2.1909900000000002</v>
      </c>
      <c r="G867" s="276" t="s">
        <v>2224</v>
      </c>
      <c r="H867" s="276"/>
      <c r="I867" s="276" t="str">
        <f t="shared" si="11"/>
        <v>Prohibited</v>
      </c>
    </row>
    <row r="868" spans="2:9">
      <c r="B868" s="276" t="s">
        <v>2547</v>
      </c>
      <c r="C868" s="276" t="s">
        <v>2548</v>
      </c>
      <c r="D868" s="276" t="s">
        <v>2550</v>
      </c>
      <c r="E868" s="276">
        <v>4</v>
      </c>
      <c r="F868" s="276">
        <v>4.77536</v>
      </c>
      <c r="G868" s="276" t="s">
        <v>2224</v>
      </c>
      <c r="H868" s="276"/>
      <c r="I868" s="276" t="str">
        <f t="shared" si="11"/>
        <v>Prohibited</v>
      </c>
    </row>
    <row r="869" spans="2:9">
      <c r="B869" s="276" t="s">
        <v>2316</v>
      </c>
      <c r="C869" s="276" t="s">
        <v>2317</v>
      </c>
      <c r="D869" s="276" t="s">
        <v>2551</v>
      </c>
      <c r="E869" s="276">
        <v>4</v>
      </c>
      <c r="F869" s="276">
        <v>1.4172</v>
      </c>
      <c r="G869" s="276" t="s">
        <v>2224</v>
      </c>
      <c r="H869" s="276"/>
      <c r="I869" s="276" t="str">
        <f t="shared" si="11"/>
        <v>Prohibited</v>
      </c>
    </row>
    <row r="870" spans="2:9">
      <c r="B870" s="276" t="s">
        <v>2555</v>
      </c>
      <c r="C870" s="276" t="s">
        <v>2556</v>
      </c>
      <c r="D870" s="276" t="s">
        <v>2557</v>
      </c>
      <c r="E870" s="276">
        <v>4</v>
      </c>
      <c r="F870" s="276">
        <v>0.84312299999999996</v>
      </c>
      <c r="G870" s="276" t="s">
        <v>2224</v>
      </c>
      <c r="H870" s="276"/>
      <c r="I870" s="276" t="str">
        <f t="shared" si="11"/>
        <v>Prohibited</v>
      </c>
    </row>
    <row r="871" spans="2:9">
      <c r="B871" s="276" t="s">
        <v>2200</v>
      </c>
      <c r="C871" s="276" t="s">
        <v>2201</v>
      </c>
      <c r="D871" s="276" t="s">
        <v>2558</v>
      </c>
      <c r="E871" s="276">
        <v>4</v>
      </c>
      <c r="F871" s="276">
        <v>0.84970500000000004</v>
      </c>
      <c r="G871" s="276" t="s">
        <v>2224</v>
      </c>
      <c r="H871" s="276"/>
      <c r="I871" s="276" t="str">
        <f t="shared" ref="I871:I887" si="12">_xlfn.XLOOKUP(E871, $K$230:$K$236, $L$230:$L$236)</f>
        <v>Prohibited</v>
      </c>
    </row>
    <row r="872" spans="2:9">
      <c r="B872" s="276" t="s">
        <v>2297</v>
      </c>
      <c r="C872" s="276" t="s">
        <v>2298</v>
      </c>
      <c r="D872" s="276" t="s">
        <v>2559</v>
      </c>
      <c r="E872" s="276">
        <v>4</v>
      </c>
      <c r="F872" s="276">
        <v>0.109261</v>
      </c>
      <c r="G872" s="276" t="s">
        <v>2224</v>
      </c>
      <c r="H872" s="276"/>
      <c r="I872" s="276" t="str">
        <f t="shared" si="12"/>
        <v>Prohibited</v>
      </c>
    </row>
    <row r="873" spans="2:9">
      <c r="B873" s="276" t="s">
        <v>2490</v>
      </c>
      <c r="C873" s="276" t="s">
        <v>2491</v>
      </c>
      <c r="D873" s="276" t="s">
        <v>2492</v>
      </c>
      <c r="E873" s="276">
        <v>4</v>
      </c>
      <c r="F873" s="276">
        <v>2.8627199999999999</v>
      </c>
      <c r="G873" s="276" t="s">
        <v>2224</v>
      </c>
      <c r="H873" s="276"/>
      <c r="I873" s="276" t="str">
        <f t="shared" si="12"/>
        <v>Prohibited</v>
      </c>
    </row>
    <row r="874" spans="2:9">
      <c r="B874" s="276" t="s">
        <v>2152</v>
      </c>
      <c r="C874" s="276" t="s">
        <v>2153</v>
      </c>
      <c r="D874" s="276" t="s">
        <v>2560</v>
      </c>
      <c r="E874" s="276">
        <v>4</v>
      </c>
      <c r="F874" s="276">
        <v>0.92499399999999998</v>
      </c>
      <c r="G874" s="276" t="s">
        <v>2224</v>
      </c>
      <c r="H874" s="276"/>
      <c r="I874" s="276" t="str">
        <f t="shared" si="12"/>
        <v>Prohibited</v>
      </c>
    </row>
    <row r="875" spans="2:9">
      <c r="B875" s="276" t="s">
        <v>2187</v>
      </c>
      <c r="C875" s="276" t="s">
        <v>2188</v>
      </c>
      <c r="D875" s="276" t="s">
        <v>2561</v>
      </c>
      <c r="E875" s="276">
        <v>4</v>
      </c>
      <c r="F875" s="276">
        <v>1.30136E-2</v>
      </c>
      <c r="G875" s="276" t="s">
        <v>2224</v>
      </c>
      <c r="H875" s="276"/>
      <c r="I875" s="276" t="str">
        <f t="shared" si="12"/>
        <v>Prohibited</v>
      </c>
    </row>
    <row r="876" spans="2:9">
      <c r="B876" s="276" t="s">
        <v>2205</v>
      </c>
      <c r="C876" s="276" t="s">
        <v>2306</v>
      </c>
      <c r="D876" s="276" t="s">
        <v>2562</v>
      </c>
      <c r="E876" s="276">
        <v>4</v>
      </c>
      <c r="F876" s="276">
        <v>1.9256800000000001E-2</v>
      </c>
      <c r="G876" s="276" t="s">
        <v>2224</v>
      </c>
      <c r="H876" s="276"/>
      <c r="I876" s="276" t="str">
        <f t="shared" si="12"/>
        <v>Prohibited</v>
      </c>
    </row>
    <row r="877" spans="2:9">
      <c r="B877" s="276" t="s">
        <v>2400</v>
      </c>
      <c r="C877" s="276" t="s">
        <v>2401</v>
      </c>
      <c r="D877" s="276" t="s">
        <v>2563</v>
      </c>
      <c r="E877" s="276">
        <v>4</v>
      </c>
      <c r="F877" s="276">
        <v>1.3433999999999999</v>
      </c>
      <c r="G877" s="276" t="s">
        <v>2408</v>
      </c>
      <c r="H877" s="276"/>
      <c r="I877" s="276" t="str">
        <f t="shared" si="12"/>
        <v>Prohibited</v>
      </c>
    </row>
    <row r="878" spans="2:9">
      <c r="B878" s="276" t="s">
        <v>2313</v>
      </c>
      <c r="C878" s="276" t="s">
        <v>2314</v>
      </c>
      <c r="D878" s="276" t="s">
        <v>2315</v>
      </c>
      <c r="E878" s="276">
        <v>4</v>
      </c>
      <c r="F878" s="276">
        <v>1.0861799999999999</v>
      </c>
      <c r="G878" s="276" t="s">
        <v>2155</v>
      </c>
      <c r="H878" s="276"/>
      <c r="I878" s="276" t="str">
        <f t="shared" si="12"/>
        <v>Prohibited</v>
      </c>
    </row>
    <row r="879" spans="2:9">
      <c r="B879" s="276" t="s">
        <v>2265</v>
      </c>
      <c r="C879" s="276" t="s">
        <v>2266</v>
      </c>
      <c r="D879" s="276" t="s">
        <v>2565</v>
      </c>
      <c r="E879" s="276">
        <v>4</v>
      </c>
      <c r="F879" s="276">
        <v>12.5512</v>
      </c>
      <c r="G879" s="276" t="s">
        <v>2197</v>
      </c>
      <c r="H879" s="276"/>
      <c r="I879" s="276" t="str">
        <f t="shared" si="12"/>
        <v>Prohibited</v>
      </c>
    </row>
    <row r="880" spans="2:9">
      <c r="B880" s="276" t="s">
        <v>2316</v>
      </c>
      <c r="C880" s="276" t="s">
        <v>2317</v>
      </c>
      <c r="D880" s="276" t="s">
        <v>2564</v>
      </c>
      <c r="E880" s="276">
        <v>4</v>
      </c>
      <c r="F880" s="276">
        <v>3.7873299999999999</v>
      </c>
      <c r="G880" s="276" t="s">
        <v>2220</v>
      </c>
      <c r="H880" s="276"/>
      <c r="I880" s="276" t="str">
        <f t="shared" si="12"/>
        <v>Prohibited</v>
      </c>
    </row>
    <row r="881" spans="2:9">
      <c r="B881" s="276" t="s">
        <v>2332</v>
      </c>
      <c r="C881" s="276" t="s">
        <v>2333</v>
      </c>
      <c r="D881" s="276" t="s">
        <v>2568</v>
      </c>
      <c r="E881" s="276">
        <v>4</v>
      </c>
      <c r="F881" s="276">
        <v>1.5464899999999999</v>
      </c>
      <c r="G881" s="276" t="s">
        <v>2569</v>
      </c>
      <c r="H881" s="276"/>
      <c r="I881" s="276" t="str">
        <f t="shared" si="12"/>
        <v>Prohibited</v>
      </c>
    </row>
    <row r="882" spans="2:9">
      <c r="B882" s="276" t="s">
        <v>2316</v>
      </c>
      <c r="C882" s="276" t="s">
        <v>2317</v>
      </c>
      <c r="D882" s="276" t="s">
        <v>2574</v>
      </c>
      <c r="E882" s="276">
        <v>4</v>
      </c>
      <c r="F882" s="276">
        <v>3.4230700000000001</v>
      </c>
      <c r="G882" s="276" t="s">
        <v>2365</v>
      </c>
      <c r="H882" s="276"/>
      <c r="I882" s="276" t="str">
        <f t="shared" si="12"/>
        <v>Prohibited</v>
      </c>
    </row>
    <row r="883" spans="2:9">
      <c r="B883" s="276" t="s">
        <v>2152</v>
      </c>
      <c r="C883" s="276" t="s">
        <v>2153</v>
      </c>
      <c r="D883" s="276" t="s">
        <v>2494</v>
      </c>
      <c r="E883" s="276">
        <v>0</v>
      </c>
      <c r="F883" s="276">
        <v>1.6157080596924001E-2</v>
      </c>
      <c r="G883" s="276" t="s">
        <v>2155</v>
      </c>
      <c r="H883" s="276">
        <v>0</v>
      </c>
      <c r="I883" s="276" t="e">
        <f t="shared" si="12"/>
        <v>#N/A</v>
      </c>
    </row>
    <row r="884" spans="2:9">
      <c r="B884" s="276" t="s">
        <v>2152</v>
      </c>
      <c r="C884" s="276" t="s">
        <v>2153</v>
      </c>
      <c r="D884" s="276" t="s">
        <v>2494</v>
      </c>
      <c r="E884" s="276">
        <v>0</v>
      </c>
      <c r="F884" s="276">
        <v>1.6157100000000001E-2</v>
      </c>
      <c r="G884" s="276" t="s">
        <v>2259</v>
      </c>
      <c r="H884" s="276">
        <v>0</v>
      </c>
      <c r="I884" s="276" t="e">
        <f t="shared" si="12"/>
        <v>#N/A</v>
      </c>
    </row>
    <row r="885" spans="2:9">
      <c r="B885" s="276" t="s">
        <v>2152</v>
      </c>
      <c r="C885" s="276" t="s">
        <v>2153</v>
      </c>
      <c r="D885" s="276" t="s">
        <v>2494</v>
      </c>
      <c r="E885" s="276">
        <v>0</v>
      </c>
      <c r="F885" s="276">
        <v>1.6157100000000001E-2</v>
      </c>
      <c r="G885" s="276" t="s">
        <v>2197</v>
      </c>
      <c r="H885" s="276">
        <v>0</v>
      </c>
      <c r="I885" s="276" t="e">
        <f t="shared" si="12"/>
        <v>#N/A</v>
      </c>
    </row>
    <row r="886" spans="2:9">
      <c r="B886" s="276" t="s">
        <v>2152</v>
      </c>
      <c r="C886" s="276" t="s">
        <v>2153</v>
      </c>
      <c r="D886" s="276" t="s">
        <v>2494</v>
      </c>
      <c r="E886" s="276">
        <v>0</v>
      </c>
      <c r="F886" s="276">
        <v>1.6157100000000001E-2</v>
      </c>
      <c r="G886" s="276" t="s">
        <v>2224</v>
      </c>
      <c r="H886" s="276">
        <v>0</v>
      </c>
      <c r="I886" s="276" t="e">
        <f t="shared" si="12"/>
        <v>#N/A</v>
      </c>
    </row>
    <row r="887" spans="2:9">
      <c r="B887" s="276" t="s">
        <v>2152</v>
      </c>
      <c r="C887" s="276" t="s">
        <v>2153</v>
      </c>
      <c r="D887" s="276" t="s">
        <v>2494</v>
      </c>
      <c r="E887" s="276">
        <v>0</v>
      </c>
      <c r="F887" s="276">
        <v>1.6157100000000001E-2</v>
      </c>
      <c r="G887" s="276" t="s">
        <v>2224</v>
      </c>
      <c r="H887" s="276">
        <v>0</v>
      </c>
      <c r="I887" s="276" t="e">
        <f t="shared" si="12"/>
        <v>#N/A</v>
      </c>
    </row>
    <row r="889" spans="2:9">
      <c r="B889" s="276" t="s">
        <v>2576</v>
      </c>
      <c r="C889" s="276" t="s">
        <v>2577</v>
      </c>
    </row>
    <row r="890" spans="2:9">
      <c r="B890" s="276" t="s">
        <v>2156</v>
      </c>
      <c r="C890" s="276">
        <f>SUMIF(I230:I887, L230, F230:F887)</f>
        <v>632.24609278216701</v>
      </c>
    </row>
    <row r="891" spans="2:9">
      <c r="B891" s="276" t="s">
        <v>2158</v>
      </c>
      <c r="C891" s="276">
        <f>SUMIF(I230:I887, L231, F230:F887) + SUMIF(I230:I887, L236, F230:F887) + SUMIF(I230:I887, L234, F230:F887)</f>
        <v>3026.4514499351285</v>
      </c>
    </row>
    <row r="892" spans="2:9">
      <c r="B892" s="276" t="s">
        <v>2162</v>
      </c>
      <c r="C892" s="276">
        <f>SUMIF(I230:I887, L232, F230:F887) + SUMIF(I230:I887, L235, F230:F887)</f>
        <v>401.02333700301278</v>
      </c>
    </row>
    <row r="893" spans="2:9">
      <c r="B893" s="276" t="s">
        <v>2126</v>
      </c>
      <c r="C893" s="276">
        <f>SUMIF(I230:I887, L233, F230:F887)</f>
        <v>552.42610598846602</v>
      </c>
    </row>
  </sheetData>
  <sheetProtection algorithmName="SHA-512" hashValue="KaJIopTsObfxSyxzvA4o7rSlZnIiFuksIN6fHoOSbRehYGbFVpXRChkkFEW4FpffbOkD/r3cdEJdtxhy0btEhg==" saltValue="HtsePkdWFA05JdNRO1v0pg==" spinCount="100000" sheet="1" objects="1" scenarios="1"/>
  <dataConsolidate/>
  <mergeCells count="57">
    <mergeCell ref="E77:H77"/>
    <mergeCell ref="E78:H78"/>
    <mergeCell ref="E79:H79"/>
    <mergeCell ref="E167:H167"/>
    <mergeCell ref="E168:H168"/>
    <mergeCell ref="E162:H162"/>
    <mergeCell ref="E163:H163"/>
    <mergeCell ref="E164:H164"/>
    <mergeCell ref="E165:H165"/>
    <mergeCell ref="E166:H166"/>
    <mergeCell ref="K214:K218"/>
    <mergeCell ref="K209:K213"/>
    <mergeCell ref="J209:J213"/>
    <mergeCell ref="I209:I213"/>
    <mergeCell ref="B85:B86"/>
    <mergeCell ref="F89:I89"/>
    <mergeCell ref="F88:I88"/>
    <mergeCell ref="F87:I87"/>
    <mergeCell ref="B87:B89"/>
    <mergeCell ref="C85:C89"/>
    <mergeCell ref="G177:L177"/>
    <mergeCell ref="E197:L200"/>
    <mergeCell ref="G178:L178"/>
    <mergeCell ref="F179:F182"/>
    <mergeCell ref="G179:L182"/>
    <mergeCell ref="E194:L194"/>
    <mergeCell ref="G173:L173"/>
    <mergeCell ref="G174:L174"/>
    <mergeCell ref="G175:L175"/>
    <mergeCell ref="G176:L176"/>
    <mergeCell ref="G54:L54"/>
    <mergeCell ref="G55:L55"/>
    <mergeCell ref="G56:L56"/>
    <mergeCell ref="G57:L57"/>
    <mergeCell ref="F84:I84"/>
    <mergeCell ref="F86:I86"/>
    <mergeCell ref="F85:I85"/>
    <mergeCell ref="J135:J139"/>
    <mergeCell ref="I135:I139"/>
    <mergeCell ref="H135:H139"/>
    <mergeCell ref="E75:H75"/>
    <mergeCell ref="E76:H76"/>
    <mergeCell ref="E196:L196"/>
    <mergeCell ref="E190:L190"/>
    <mergeCell ref="E191:L191"/>
    <mergeCell ref="E192:L192"/>
    <mergeCell ref="E193:L193"/>
    <mergeCell ref="B5:H5"/>
    <mergeCell ref="E43:H43"/>
    <mergeCell ref="E44:H44"/>
    <mergeCell ref="E45:H45"/>
    <mergeCell ref="E46:H46"/>
    <mergeCell ref="E47:H47"/>
    <mergeCell ref="E48:H48"/>
    <mergeCell ref="E49:H49"/>
    <mergeCell ref="E73:H73"/>
    <mergeCell ref="E74:H74"/>
  </mergeCells>
  <phoneticPr fontId="16" type="noConversion"/>
  <conditionalFormatting sqref="D50:E50">
    <cfRule type="cellIs" dxfId="599" priority="17" operator="lessThanOrEqual">
      <formula>2.14285714285714</formula>
    </cfRule>
    <cfRule type="cellIs" dxfId="598" priority="18" operator="lessThanOrEqual">
      <formula>2.57142857142857</formula>
    </cfRule>
    <cfRule type="cellIs" dxfId="597" priority="19" operator="lessThanOrEqual">
      <formula>3</formula>
    </cfRule>
  </conditionalFormatting>
  <conditionalFormatting sqref="D80:E80">
    <cfRule type="cellIs" dxfId="596" priority="11" operator="lessThanOrEqual">
      <formula>2.14285714285714</formula>
    </cfRule>
    <cfRule type="cellIs" dxfId="595" priority="12" operator="lessThanOrEqual">
      <formula>2.57142857142857</formula>
    </cfRule>
    <cfRule type="cellIs" dxfId="594" priority="13" operator="lessThanOrEqual">
      <formula>3</formula>
    </cfRule>
  </conditionalFormatting>
  <conditionalFormatting sqref="D169:E169">
    <cfRule type="cellIs" dxfId="593" priority="5" operator="lessThanOrEqual">
      <formula>2.14285714285714</formula>
    </cfRule>
    <cfRule type="cellIs" dxfId="592" priority="6" operator="lessThanOrEqual">
      <formula>2.57142857142857</formula>
    </cfRule>
    <cfRule type="cellIs" dxfId="591" priority="7" operator="lessThanOrEqual">
      <formula>3</formula>
    </cfRule>
  </conditionalFormatting>
  <conditionalFormatting sqref="D11:G15">
    <cfRule type="notContainsBlanks" dxfId="590" priority="1">
      <formula>LEN(TRIM(D11))&gt;0</formula>
    </cfRule>
  </conditionalFormatting>
  <conditionalFormatting sqref="E50">
    <cfRule type="containsText" dxfId="589" priority="14" operator="containsText" text="Green">
      <formula>NOT(ISERROR(SEARCH("Green",E50)))</formula>
    </cfRule>
    <cfRule type="containsText" dxfId="588" priority="15" operator="containsText" text="Amber">
      <formula>NOT(ISERROR(SEARCH("Amber",E50)))</formula>
    </cfRule>
    <cfRule type="containsText" dxfId="587" priority="16" operator="containsText" text="Red">
      <formula>NOT(ISERROR(SEARCH("Red",E50)))</formula>
    </cfRule>
  </conditionalFormatting>
  <conditionalFormatting sqref="E80">
    <cfRule type="containsText" dxfId="586" priority="8" operator="containsText" text="Green">
      <formula>NOT(ISERROR(SEARCH("Green",E80)))</formula>
    </cfRule>
    <cfRule type="containsText" dxfId="585" priority="9" operator="containsText" text="Amber">
      <formula>NOT(ISERROR(SEARCH("Amber",E80)))</formula>
    </cfRule>
    <cfRule type="containsText" dxfId="584" priority="10" operator="containsText" text="Red">
      <formula>NOT(ISERROR(SEARCH("Red",E80)))</formula>
    </cfRule>
  </conditionalFormatting>
  <conditionalFormatting sqref="E169">
    <cfRule type="containsText" dxfId="583" priority="2" operator="containsText" text="Green">
      <formula>NOT(ISERROR(SEARCH("Green",E169)))</formula>
    </cfRule>
    <cfRule type="containsText" dxfId="582" priority="3" operator="containsText" text="Amber">
      <formula>NOT(ISERROR(SEARCH("Amber",E169)))</formula>
    </cfRule>
    <cfRule type="containsText" dxfId="581" priority="4" operator="containsText" text="Red">
      <formula>NOT(ISERROR(SEARCH("Red",E169)))</formula>
    </cfRule>
  </conditionalFormatting>
  <conditionalFormatting sqref="H135">
    <cfRule type="cellIs" dxfId="580" priority="20" operator="lessThanOrEqual">
      <formula>2.14285714285714</formula>
    </cfRule>
    <cfRule type="cellIs" dxfId="579" priority="21" operator="lessThanOrEqual">
      <formula>2.57142857142857</formula>
    </cfRule>
    <cfRule type="cellIs" dxfId="578" priority="22" operator="lessThanOrEqual">
      <formula>3</formula>
    </cfRule>
  </conditionalFormatting>
  <conditionalFormatting sqref="I209">
    <cfRule type="cellIs" dxfId="577" priority="23" operator="lessThanOrEqual">
      <formula>2.14285714285714</formula>
    </cfRule>
    <cfRule type="cellIs" dxfId="576" priority="24" operator="lessThanOrEqual">
      <formula>2.57142857142857</formula>
    </cfRule>
    <cfRule type="cellIs" dxfId="575" priority="25" operator="lessThanOrEqual">
      <formula>3</formula>
    </cfRule>
  </conditionalFormatting>
  <conditionalFormatting sqref="N143:N147">
    <cfRule type="cellIs" dxfId="574" priority="29" operator="lessThanOrEqual">
      <formula>2.14285714285714</formula>
    </cfRule>
    <cfRule type="cellIs" dxfId="573" priority="30" operator="lessThanOrEqual">
      <formula>2.57142857142857</formula>
    </cfRule>
    <cfRule type="cellIs" dxfId="572" priority="31" operator="lessThanOrEqual">
      <formula>3</formula>
    </cfRule>
  </conditionalFormatting>
  <conditionalFormatting sqref="N222:N226">
    <cfRule type="cellIs" dxfId="571" priority="26" operator="lessThanOrEqual">
      <formula>2.14285714285714</formula>
    </cfRule>
    <cfRule type="cellIs" dxfId="570" priority="27" operator="lessThanOrEqual">
      <formula>2.57142857142857</formula>
    </cfRule>
    <cfRule type="cellIs" dxfId="569" priority="28" operator="lessThanOrEqual">
      <formula>3</formula>
    </cfRule>
  </conditionalFormatting>
  <dataValidations disablePrompts="1" count="1">
    <dataValidation type="list" allowBlank="1" showInputMessage="1" showErrorMessage="1" sqref="C170 C163:C168 C148 C51 C44:C49 C227 C81 C74:C79" xr:uid="{5304682A-EF6F-40F9-8812-F0964C7A90E4}">
      <formula1>"High, Medium, Low"</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5BC5-1751-44B6-8818-794A2E2BB90A}">
  <sheetPr codeName="Sheet36">
    <tabColor theme="5" tint="0.59999389629810485"/>
  </sheetPr>
  <dimension ref="A1:X1424"/>
  <sheetViews>
    <sheetView zoomScale="80" zoomScaleNormal="80" workbookViewId="0"/>
  </sheetViews>
  <sheetFormatPr defaultColWidth="9" defaultRowHeight="14.45"/>
  <cols>
    <col min="1" max="1" width="3.5" style="2" customWidth="1"/>
    <col min="2" max="3" width="40.625" style="2" customWidth="1"/>
    <col min="4" max="14" width="15.625" style="2" customWidth="1"/>
    <col min="15" max="16" width="16.125" style="2" customWidth="1"/>
    <col min="17" max="17" width="9" style="2" bestFit="1"/>
    <col min="18" max="18" width="16.625" style="2" customWidth="1"/>
    <col min="19" max="19" width="18.5" style="2" customWidth="1"/>
    <col min="20" max="16384" width="9" style="2"/>
  </cols>
  <sheetData>
    <row r="1" spans="1:12" ht="15" thickBot="1"/>
    <row r="2" spans="1:12" s="710" customFormat="1" ht="18.95" thickBot="1">
      <c r="A2" s="707"/>
      <c r="B2" s="749" t="s">
        <v>2578</v>
      </c>
      <c r="C2" s="711"/>
      <c r="D2" s="711"/>
    </row>
    <row r="4" spans="1:12" s="714" customFormat="1" ht="18.600000000000001">
      <c r="A4" s="715"/>
      <c r="B4" s="713" t="s">
        <v>893</v>
      </c>
      <c r="C4" s="715"/>
      <c r="D4" s="715"/>
      <c r="E4" s="715"/>
      <c r="F4" s="715"/>
      <c r="G4" s="715"/>
      <c r="H4" s="715"/>
      <c r="I4" s="715"/>
      <c r="J4" s="715"/>
      <c r="L4" s="2"/>
    </row>
    <row r="5" spans="1:12" ht="222" customHeight="1">
      <c r="A5" s="716"/>
      <c r="B5" s="1236" t="s">
        <v>2579</v>
      </c>
      <c r="C5" s="1236"/>
      <c r="D5" s="1236"/>
      <c r="E5" s="1236"/>
      <c r="F5" s="1236"/>
      <c r="G5" s="1236"/>
      <c r="H5" s="1236"/>
      <c r="I5" s="716"/>
      <c r="J5" s="716"/>
    </row>
    <row r="6" spans="1:12">
      <c r="A6" s="716"/>
      <c r="B6" s="781" t="s">
        <v>2580</v>
      </c>
      <c r="C6" s="716"/>
      <c r="D6" s="716"/>
      <c r="E6" s="716"/>
      <c r="F6" s="716"/>
      <c r="G6" s="716"/>
      <c r="H6" s="716"/>
      <c r="I6" s="716"/>
      <c r="J6" s="716"/>
    </row>
    <row r="7" spans="1:12">
      <c r="A7" s="716"/>
      <c r="B7" s="782"/>
      <c r="C7" s="783" t="s">
        <v>2581</v>
      </c>
      <c r="D7" s="1435" t="s">
        <v>2582</v>
      </c>
      <c r="E7" s="1436"/>
      <c r="F7" s="1436"/>
      <c r="G7" s="1437" t="s">
        <v>2583</v>
      </c>
      <c r="H7" s="1437"/>
      <c r="I7" s="1437"/>
      <c r="J7" s="716"/>
    </row>
    <row r="8" spans="1:12" ht="81" customHeight="1">
      <c r="A8" s="716"/>
      <c r="B8" s="352" t="s">
        <v>2584</v>
      </c>
      <c r="C8" s="717" t="s">
        <v>2585</v>
      </c>
      <c r="D8" s="1431" t="s">
        <v>2586</v>
      </c>
      <c r="E8" s="1432"/>
      <c r="F8" s="1433"/>
      <c r="G8" s="1434" t="s">
        <v>2587</v>
      </c>
      <c r="H8" s="1434"/>
      <c r="I8" s="1434"/>
      <c r="J8" s="716"/>
    </row>
    <row r="9" spans="1:12">
      <c r="A9" s="716"/>
      <c r="B9" s="352"/>
      <c r="C9" s="783" t="s">
        <v>2588</v>
      </c>
      <c r="D9" s="1435" t="s">
        <v>2589</v>
      </c>
      <c r="E9" s="1436"/>
      <c r="F9" s="1436"/>
      <c r="G9" s="1437" t="s">
        <v>2590</v>
      </c>
      <c r="H9" s="1437"/>
      <c r="I9" s="1437"/>
      <c r="J9" s="716"/>
    </row>
    <row r="10" spans="1:12" ht="81" customHeight="1">
      <c r="A10" s="716"/>
      <c r="B10" s="352" t="s">
        <v>2591</v>
      </c>
      <c r="C10" s="717" t="s">
        <v>2592</v>
      </c>
      <c r="D10" s="1431" t="s">
        <v>2593</v>
      </c>
      <c r="E10" s="1432"/>
      <c r="F10" s="1433"/>
      <c r="G10" s="1434" t="s">
        <v>2594</v>
      </c>
      <c r="H10" s="1434"/>
      <c r="I10" s="1434"/>
      <c r="J10" s="716"/>
    </row>
    <row r="11" spans="1:12" ht="96.75" customHeight="1">
      <c r="A11" s="716"/>
      <c r="B11" s="352" t="s">
        <v>2595</v>
      </c>
      <c r="C11" s="717" t="s">
        <v>2596</v>
      </c>
      <c r="D11" s="1431" t="s">
        <v>2597</v>
      </c>
      <c r="E11" s="1432"/>
      <c r="F11" s="1433"/>
      <c r="G11" s="1434" t="s">
        <v>2598</v>
      </c>
      <c r="H11" s="1434"/>
      <c r="I11" s="1434"/>
      <c r="J11" s="716"/>
    </row>
    <row r="12" spans="1:12" ht="109.5" customHeight="1">
      <c r="A12" s="716"/>
      <c r="B12" s="352" t="s">
        <v>2599</v>
      </c>
      <c r="C12" s="717" t="s">
        <v>2600</v>
      </c>
      <c r="D12" s="1431" t="s">
        <v>2601</v>
      </c>
      <c r="E12" s="1432"/>
      <c r="F12" s="1433"/>
      <c r="G12" s="1434" t="s">
        <v>2602</v>
      </c>
      <c r="H12" s="1434"/>
      <c r="I12" s="1434"/>
      <c r="J12" s="716"/>
    </row>
    <row r="13" spans="1:12" ht="108" customHeight="1">
      <c r="A13" s="716"/>
      <c r="B13" s="352" t="s">
        <v>2603</v>
      </c>
      <c r="C13" s="717" t="s">
        <v>2604</v>
      </c>
      <c r="D13" s="1431" t="s">
        <v>2605</v>
      </c>
      <c r="E13" s="1432"/>
      <c r="F13" s="1433"/>
      <c r="G13" s="1434" t="s">
        <v>2606</v>
      </c>
      <c r="H13" s="1434"/>
      <c r="I13" s="1434"/>
      <c r="J13" s="716"/>
    </row>
    <row r="14" spans="1:12" ht="108.75" customHeight="1">
      <c r="A14" s="716"/>
      <c r="B14" s="352" t="s">
        <v>2607</v>
      </c>
      <c r="C14" s="717" t="s">
        <v>2608</v>
      </c>
      <c r="D14" s="1431" t="s">
        <v>2609</v>
      </c>
      <c r="E14" s="1432"/>
      <c r="F14" s="1433"/>
      <c r="G14" s="1434" t="s">
        <v>2610</v>
      </c>
      <c r="H14" s="1434"/>
      <c r="I14" s="1434"/>
      <c r="J14" s="716"/>
    </row>
    <row r="15" spans="1:12" ht="110.25" customHeight="1">
      <c r="A15" s="716"/>
      <c r="B15" s="352" t="s">
        <v>48</v>
      </c>
      <c r="C15" s="717" t="s">
        <v>2611</v>
      </c>
      <c r="D15" s="1431" t="s">
        <v>2612</v>
      </c>
      <c r="E15" s="1432"/>
      <c r="F15" s="1433"/>
      <c r="G15" s="1434" t="s">
        <v>2613</v>
      </c>
      <c r="H15" s="1434"/>
      <c r="I15" s="1434"/>
      <c r="J15" s="716"/>
    </row>
    <row r="16" spans="1:12">
      <c r="A16" s="716"/>
      <c r="B16" s="352"/>
      <c r="C16" s="783" t="s">
        <v>2614</v>
      </c>
      <c r="D16" s="1435" t="s">
        <v>2615</v>
      </c>
      <c r="E16" s="1436"/>
      <c r="F16" s="1436"/>
      <c r="G16" s="1437" t="s">
        <v>2616</v>
      </c>
      <c r="H16" s="1437"/>
      <c r="I16" s="1437"/>
      <c r="J16" s="716"/>
    </row>
    <row r="17" spans="1:14" ht="77.25" customHeight="1">
      <c r="A17" s="716"/>
      <c r="B17" s="352" t="s">
        <v>2617</v>
      </c>
      <c r="C17" s="717" t="s">
        <v>2618</v>
      </c>
      <c r="D17" s="1431" t="s">
        <v>2619</v>
      </c>
      <c r="E17" s="1432"/>
      <c r="F17" s="1433"/>
      <c r="G17" s="1434" t="s">
        <v>2620</v>
      </c>
      <c r="H17" s="1434"/>
      <c r="I17" s="1434"/>
      <c r="J17" s="716"/>
    </row>
    <row r="18" spans="1:14">
      <c r="A18" s="716"/>
      <c r="B18" s="716"/>
      <c r="C18" s="716"/>
      <c r="D18" s="716"/>
      <c r="E18" s="716"/>
      <c r="F18" s="716"/>
      <c r="G18" s="716"/>
      <c r="H18" s="716"/>
      <c r="I18" s="716"/>
      <c r="J18" s="716"/>
    </row>
    <row r="20" spans="1:14" s="718" customFormat="1" ht="18.600000000000001">
      <c r="A20" s="724"/>
      <c r="B20" s="724" t="s">
        <v>895</v>
      </c>
      <c r="C20" s="724"/>
      <c r="D20" s="724"/>
      <c r="E20" s="724"/>
      <c r="F20" s="724"/>
      <c r="G20" s="724"/>
      <c r="H20" s="724"/>
      <c r="I20" s="724"/>
      <c r="J20" s="724"/>
    </row>
    <row r="22" spans="1:14">
      <c r="D22" s="414" t="s">
        <v>479</v>
      </c>
      <c r="E22" s="414"/>
      <c r="F22" s="414"/>
      <c r="G22" s="414"/>
      <c r="H22" s="414"/>
      <c r="I22" s="414"/>
      <c r="J22" s="414"/>
      <c r="K22" s="414"/>
      <c r="L22" s="414"/>
      <c r="M22" s="414"/>
      <c r="N22" s="414"/>
    </row>
    <row r="23" spans="1:14" ht="29.1">
      <c r="B23" s="521" t="s">
        <v>104</v>
      </c>
      <c r="C23" s="521" t="s">
        <v>711</v>
      </c>
      <c r="D23" s="785" t="s">
        <v>453</v>
      </c>
      <c r="E23" s="785" t="s">
        <v>354</v>
      </c>
      <c r="F23" s="785" t="s">
        <v>454</v>
      </c>
      <c r="G23" s="785" t="s">
        <v>455</v>
      </c>
      <c r="H23" s="785" t="s">
        <v>456</v>
      </c>
      <c r="I23" s="785" t="s">
        <v>457</v>
      </c>
      <c r="J23" s="785" t="s">
        <v>230</v>
      </c>
      <c r="K23" s="785" t="s">
        <v>151</v>
      </c>
      <c r="L23" s="785" t="s">
        <v>464</v>
      </c>
      <c r="M23" s="785" t="s">
        <v>465</v>
      </c>
      <c r="N23" s="785" t="s">
        <v>462</v>
      </c>
    </row>
    <row r="24" spans="1:14">
      <c r="B24" s="281" t="s">
        <v>585</v>
      </c>
      <c r="C24" s="278" t="s">
        <v>586</v>
      </c>
      <c r="D24" s="374" cm="1">
        <f t="array" ref="D24">_xlfn.XLOOKUP(1,($B24=$B$157:$B$162)*(D$23=$C$157:$C$162),$G$157:$G$162,"Not found",0,1)</f>
        <v>-227.50489079202114</v>
      </c>
      <c r="E24" s="831" t="s">
        <v>473</v>
      </c>
      <c r="F24" s="374" cm="1">
        <f t="array" ref="F24">_xlfn.XLOOKUP(1,($B24=$B$538:$B$555)*(F$23=$C$538:$C$555),$G$538:$G$555,"Not found",0,1)</f>
        <v>-16411.887468422436</v>
      </c>
      <c r="G24" s="374" cm="1">
        <f t="array" ref="G24">_xlfn.XLOOKUP(1,($B24=$B$684:$B$716)*(G$23=$C$684:$C$716),$G$684:$G$716,"Not found",0,1)</f>
        <v>-259.04022218893493</v>
      </c>
      <c r="H24" s="374" cm="1">
        <f t="array" ref="H24">_xlfn.XLOOKUP(1,($B24=$B$889:$B$920)*(H$23=$C$889:$C$920),$G$889:$G$920,"Not found",0,1)</f>
        <v>-74.333281149868284</v>
      </c>
      <c r="I24" s="374" t="s">
        <v>2621</v>
      </c>
      <c r="J24" s="374"/>
      <c r="K24" s="374" cm="1">
        <f t="array" ref="K24">_xlfn.XLOOKUP(1,($B24=$B$1161:$B$1172)*(K$23=$C$1161:$C$1172),$G$1161:$G$1172,"Not found",0,1)</f>
        <v>-4510.6786515942804</v>
      </c>
      <c r="L24" s="374" cm="1">
        <f t="array" ref="L24">_xlfn.XLOOKUP(1,($B24=$B$1241:$B$1243)*(L$23=$C$1241:$C$1243),$G$1241:$G$1243,"Not found",0,1)</f>
        <v>-256.78769851772682</v>
      </c>
      <c r="M24" s="374" cm="1">
        <f t="array" ref="M24">_xlfn.XLOOKUP(1,($B24=$B$1303:$B$1305)*(M$23=$C$1303:$C$1305),$G$1303:$G$1305,"Not found",0,1)</f>
        <v>-7072.9243275935287</v>
      </c>
      <c r="N24" s="374"/>
    </row>
    <row r="25" spans="1:14">
      <c r="B25" s="281" t="s">
        <v>587</v>
      </c>
      <c r="C25" s="278" t="s">
        <v>586</v>
      </c>
      <c r="D25" s="374" cm="1">
        <f t="array" ref="D25">_xlfn.XLOOKUP(1,($B25=$B$157:$B$162)*(D$23=$C$157:$C$162),$G$157:$G$162,"Not found",0,1)</f>
        <v>-141.90899128611218</v>
      </c>
      <c r="E25" s="831" t="s">
        <v>473</v>
      </c>
      <c r="F25" s="374" cm="1">
        <f t="array" ref="F25">_xlfn.XLOOKUP(1,($B25=$B$538:$B$555)*(F$23=$C$538:$C$555),$G$538:$G$555,"Not found",0,1)</f>
        <v>-11283.454199999325</v>
      </c>
      <c r="G25" s="374" cm="1">
        <f t="array" ref="G25">_xlfn.XLOOKUP(1,($B25=$B$684:$B$716)*(G$23=$C$684:$C$716),$G$684:$G$716,"Not found",0,1)</f>
        <v>-194.28016664170121</v>
      </c>
      <c r="H25" s="374" cm="1">
        <f t="array" ref="H25">_xlfn.XLOOKUP(1,($B25=$B$889:$B$920)*(H$23=$C$889:$C$920),$G$889:$G$920,"Not found",0,1)</f>
        <v>-58.002484533609348</v>
      </c>
      <c r="I25" s="374" t="s">
        <v>2621</v>
      </c>
      <c r="J25" s="374"/>
      <c r="K25" s="374" cm="1">
        <f t="array" ref="K25">_xlfn.XLOOKUP(1,($B25=$B$1161:$B$1172)*(K$23=$C$1161:$C$1172),$G$1161:$G$1172,"Not found",0,1)</f>
        <v>-3101.1619643357931</v>
      </c>
      <c r="L25" s="374" cm="1">
        <f t="array" ref="L25">_xlfn.XLOOKUP(1,($B25=$B$1241:$B$1243)*(L$23=$C$1241:$C$1243),$G$1241:$G$1243,"Not found",0,1)</f>
        <v>-192.5907738882951</v>
      </c>
      <c r="M25" s="374" cm="1">
        <f t="array" ref="M25">_xlfn.XLOOKUP(1,($B25=$B$1303:$B$1305)*(M$23=$C$1303:$C$1305),$G$1303:$G$1305,"Not found",0,1)</f>
        <v>-4862.6354752205507</v>
      </c>
      <c r="N25" s="374"/>
    </row>
    <row r="26" spans="1:14">
      <c r="B26" s="281" t="s">
        <v>588</v>
      </c>
      <c r="C26" s="278" t="s">
        <v>586</v>
      </c>
      <c r="D26" s="374" cm="1">
        <f t="array" ref="D26">_xlfn.XLOOKUP(1,($B26=$B$157:$B$162)*(D$23=$C$157:$C$162),$G$157:$G$162,"Not found",0,1)</f>
        <v>-56.313091780203251</v>
      </c>
      <c r="E26" s="831" t="s">
        <v>473</v>
      </c>
      <c r="F26" s="374" cm="1">
        <f t="array" ref="F26">_xlfn.XLOOKUP(1,($B26=$B$538:$B$555)*(F$23=$C$538:$C$555),$G$538:$G$555,"Not found",0,1)</f>
        <v>-6155.0209315762149</v>
      </c>
      <c r="G26" s="374" cm="1">
        <f t="array" ref="G26">_xlfn.XLOOKUP(1,($B26=$B$684:$B$716)*(G$23=$C$684:$C$716),$G$684:$G$716,"Not found",0,1)</f>
        <v>-129.52011109446747</v>
      </c>
      <c r="H26" s="374" cm="1">
        <f t="array" ref="H26">_xlfn.XLOOKUP(1,($B26=$B$889:$B$920)*(H$23=$C$889:$C$920),$G$889:$G$920,"Not found",0,1)</f>
        <v>-41.671687917350404</v>
      </c>
      <c r="I26" s="374"/>
      <c r="J26" s="374"/>
      <c r="K26" s="374" cm="1">
        <f t="array" ref="K26">_xlfn.XLOOKUP(1,($B26=$B$1161:$B$1172)*(K$23=$C$1161:$C$1172),$G$1161:$G$1172,"Not found",0,1)</f>
        <v>-1691.6452770773055</v>
      </c>
      <c r="L26" s="374" cm="1">
        <f t="array" ref="L26">_xlfn.XLOOKUP(1,($B26=$B$1241:$B$1243)*(L$23=$C$1241:$C$1243),$G$1241:$G$1243,"Not found",0,1)</f>
        <v>-128.39384925886341</v>
      </c>
      <c r="M26" s="374" cm="1">
        <f t="array" ref="M26">_xlfn.XLOOKUP(1,($B26=$B$1303:$B$1305)*(M$23=$C$1303:$C$1305),$G$1303:$G$1305,"Not found",0,1)</f>
        <v>-2652.3466228475731</v>
      </c>
      <c r="N26" s="374"/>
    </row>
    <row r="27" spans="1:14">
      <c r="B27" s="281" t="s">
        <v>589</v>
      </c>
      <c r="C27" s="278" t="s">
        <v>590</v>
      </c>
      <c r="D27" s="374"/>
      <c r="E27" s="831" t="s">
        <v>473</v>
      </c>
      <c r="F27" s="374" cm="1">
        <f t="array" ref="F27">_xlfn.XLOOKUP(1,($B27=$B$538:$B$555)*(F$23=$C$538:$C$555),$G$538:$G$555,"Not found",0,1)</f>
        <v>-107.44120913612439</v>
      </c>
      <c r="G27" s="374" cm="1">
        <f t="array" ref="G27">_xlfn.XLOOKUP(1,($B27=$B$684:$B$716)*(G$23=$C$684:$C$716),$G$684:$G$716,"Not found",0,1)</f>
        <v>-5761.5154639175262</v>
      </c>
      <c r="H27" s="374" cm="1">
        <f t="array" aca="1" ref="H27" ca="1">_xlfn.XLOOKUP(1,($B27=$B$889:$B$920)*(H$23=$C$889:$C$920),$G$889:$G$920,"Not found",0,1)</f>
        <v>-2536.2575101835373</v>
      </c>
      <c r="I27" s="374" t="s">
        <v>2621</v>
      </c>
      <c r="J27" s="374" cm="1">
        <f t="array" ref="J27">_xlfn.XLOOKUP(1,($B27=$B$994:$B$1020)*(J$23=$C$994:$C$1020),$G$994:$G$1020,"Not found",0,1)</f>
        <v>-751.38680702776674</v>
      </c>
      <c r="K27" s="374" cm="1">
        <f t="array" ref="K27">_xlfn.XLOOKUP(1,($B27=$B$1161:$B$1172)*(K$23=$C$1161:$C$1172),$G$1161:$G$1172,"Not found",0,1)</f>
        <v>-16529.2</v>
      </c>
      <c r="L27" s="374"/>
      <c r="M27" s="374"/>
      <c r="N27" s="374"/>
    </row>
    <row r="28" spans="1:14">
      <c r="B28" s="231" t="s">
        <v>591</v>
      </c>
      <c r="C28" s="214" t="s">
        <v>590</v>
      </c>
      <c r="D28" s="374"/>
      <c r="E28" s="831" t="s">
        <v>473</v>
      </c>
      <c r="F28" s="374" cm="1">
        <f t="array" ref="F28">_xlfn.XLOOKUP(1,($B28=$B$538:$B$555)*(F$23=$C$538:$C$555),$G$538:$G$555,"Not found",0,1)</f>
        <v>-80.580906852093293</v>
      </c>
      <c r="G28" s="374" cm="1">
        <f t="array" ref="G28">_xlfn.XLOOKUP(1,($B28=$B$684:$B$716)*(G$23=$C$684:$C$716),$G$684:$G$716,"Not found",0,1)</f>
        <v>-4321.1365979381444</v>
      </c>
      <c r="H28" s="374" cm="1">
        <f t="array" aca="1" ref="H28" ca="1">_xlfn.XLOOKUP(1,($B28=$B$889:$B$920)*(H$23=$C$889:$C$920),$G$889:$G$920,"Not found",0,1)</f>
        <v>-1902.193132637653</v>
      </c>
      <c r="I28" s="374" t="s">
        <v>2621</v>
      </c>
      <c r="J28" s="374" cm="1">
        <f t="array" ref="J28">_xlfn.XLOOKUP(1,($B28=$B$994:$B$1020)*(J$23=$C$994:$C$1020),$G$994:$G$1020,"Not found",0,1)</f>
        <v>-563.54010527082505</v>
      </c>
      <c r="K28" s="374" cm="1">
        <f t="array" ref="K28">_xlfn.XLOOKUP(1,($B28=$B$1161:$B$1172)*(K$23=$C$1161:$C$1172),$G$1161:$G$1172,"Not found",0,1)</f>
        <v>-12396.900000000001</v>
      </c>
      <c r="L28" s="374"/>
      <c r="M28" s="374"/>
      <c r="N28" s="374"/>
    </row>
    <row r="29" spans="1:14">
      <c r="B29" s="231" t="s">
        <v>592</v>
      </c>
      <c r="C29" s="214" t="s">
        <v>590</v>
      </c>
      <c r="D29" s="374"/>
      <c r="E29" s="831" t="s">
        <v>473</v>
      </c>
      <c r="F29" s="374" cm="1">
        <f t="array" ref="F29">_xlfn.XLOOKUP(1,($B29=$B$538:$B$555)*(F$23=$C$538:$C$555),$G$538:$G$555,"Not found",0,1)</f>
        <v>-53.720604568062193</v>
      </c>
      <c r="G29" s="374" cm="1">
        <f t="array" ref="G29">_xlfn.XLOOKUP(1,($B29=$B$684:$B$716)*(G$23=$C$684:$C$716),$G$684:$G$716,"Not found",0,1)</f>
        <v>-2880.7577319587631</v>
      </c>
      <c r="H29" s="374" cm="1">
        <f t="array" aca="1" ref="H29" ca="1">_xlfn.XLOOKUP(1,($B29=$B$889:$B$920)*(H$23=$C$889:$C$920),$G$889:$G$920,"Not found",0,1)</f>
        <v>-1268.1287550917687</v>
      </c>
      <c r="I29" s="374"/>
      <c r="J29" s="374" cm="1">
        <f t="array" ref="J29">_xlfn.XLOOKUP(1,($B29=$B$994:$B$1020)*(J$23=$C$994:$C$1020),$G$994:$G$1020,"Not found",0,1)</f>
        <v>-375.69340351388337</v>
      </c>
      <c r="K29" s="374" cm="1">
        <f t="array" ref="K29">_xlfn.XLOOKUP(1,($B29=$B$1161:$B$1172)*(K$23=$C$1161:$C$1172),$G$1161:$G$1172,"Not found",0,1)</f>
        <v>-8264.6</v>
      </c>
      <c r="L29" s="374"/>
      <c r="M29" s="374"/>
      <c r="N29" s="374"/>
    </row>
    <row r="30" spans="1:14">
      <c r="B30" s="281" t="s">
        <v>593</v>
      </c>
      <c r="C30" s="278" t="s">
        <v>590</v>
      </c>
      <c r="D30" s="374"/>
      <c r="E30" s="831" t="s">
        <v>473</v>
      </c>
      <c r="F30" s="374"/>
      <c r="G30" s="374" cm="1">
        <f t="array" ref="G30">_xlfn.XLOOKUP(1,($B30=$B$684:$B$716)*(G$23=$C$684:$C$716),$G$684:$G$716,"Not found",0,1)</f>
        <v>-16.670634920634921</v>
      </c>
      <c r="H30" s="374" cm="1">
        <f t="array" aca="1" ref="H30" ca="1">_xlfn.XLOOKUP(1,($B30=$B$889:$B$920)*(H$23=$C$889:$C$920),$G$889:$G$920,"Not found",0,1)</f>
        <v>-6804.6276389723107</v>
      </c>
      <c r="I30" s="374" t="s">
        <v>2621</v>
      </c>
      <c r="J30" s="831" t="str" cm="1">
        <f t="array" ref="J30">_xlfn.XLOOKUP(1,($B30=$B$994:$B$1020)*(J$23=$C$994:$C$1020),$G$994:$G$1020,"Not found",0,1)</f>
        <v>LG(L)</v>
      </c>
      <c r="K30" s="374" cm="1">
        <f t="array" ref="K30">_xlfn.XLOOKUP(1,($B30=$B$1161:$B$1172)*(K$23=$C$1161:$C$1172),$G$1161:$G$1172,"Not found",0,1)</f>
        <v>-38390.400000000001</v>
      </c>
      <c r="L30" s="374"/>
      <c r="M30" s="374"/>
      <c r="N30" s="374"/>
    </row>
    <row r="31" spans="1:14">
      <c r="B31" s="231" t="s">
        <v>594</v>
      </c>
      <c r="C31" s="214" t="s">
        <v>590</v>
      </c>
      <c r="D31" s="374"/>
      <c r="E31" s="374" t="str" cm="1">
        <f t="array" ref="E31">_xlfn.XLOOKUP(1,($B31=$B$370:$B$390)*(E$23=$C$370:$C$390),$G$370:$G$390,"Not found",0,1)</f>
        <v>&lt;/&gt;</v>
      </c>
      <c r="F31" s="374"/>
      <c r="G31" s="374" cm="1">
        <f t="array" ref="G31">_xlfn.XLOOKUP(1,($B31=$B$684:$B$716)*(G$23=$C$684:$C$716),$G$684:$G$716,"Not found",0,1)</f>
        <v>-12.50297619047619</v>
      </c>
      <c r="H31" s="374" cm="1">
        <f t="array" aca="1" ref="H31" ca="1">_xlfn.XLOOKUP(1,($B31=$B$889:$B$920)*(H$23=$C$889:$C$920),$G$889:$G$920,"Not found",0,1)</f>
        <v>-5103.4707292292323</v>
      </c>
      <c r="I31" s="374" t="s">
        <v>2621</v>
      </c>
      <c r="J31" s="831" t="str" cm="1">
        <f t="array" ref="J31">_xlfn.XLOOKUP(1,($B31=$B$994:$B$1020)*(J$23=$C$994:$C$1020),$G$994:$G$1020,"Not found",0,1)</f>
        <v>LG(L)</v>
      </c>
      <c r="K31" s="374" cm="1">
        <f t="array" ref="K31">_xlfn.XLOOKUP(1,($B31=$B$1161:$B$1172)*(K$23=$C$1161:$C$1172),$G$1161:$G$1172,"Not found",0,1)</f>
        <v>-28792.800000000003</v>
      </c>
      <c r="L31" s="374"/>
      <c r="M31" s="374"/>
      <c r="N31" s="374"/>
    </row>
    <row r="32" spans="1:14">
      <c r="B32" s="231" t="s">
        <v>595</v>
      </c>
      <c r="C32" s="214" t="s">
        <v>590</v>
      </c>
      <c r="D32" s="374"/>
      <c r="E32" s="374" t="str" cm="1">
        <f t="array" ref="E32">_xlfn.XLOOKUP(1,($B32=$B$370:$B$390)*(E$23=$C$370:$C$390),$G$370:$G$390,"Not found",0,1)</f>
        <v>&lt;/&gt;</v>
      </c>
      <c r="F32" s="374"/>
      <c r="G32" s="374" cm="1">
        <f t="array" ref="G32">_xlfn.XLOOKUP(1,($B32=$B$684:$B$716)*(G$23=$C$684:$C$716),$G$684:$G$716,"Not found",0,1)</f>
        <v>-8.3353174603174605</v>
      </c>
      <c r="H32" s="374" cm="1">
        <f t="array" aca="1" ref="H32" ca="1">_xlfn.XLOOKUP(1,($B32=$B$889:$B$920)*(H$23=$C$889:$C$920),$G$889:$G$920,"Not found",0,1)</f>
        <v>-3402.3138194861554</v>
      </c>
      <c r="I32" s="374"/>
      <c r="J32" s="831" t="str" cm="1">
        <f t="array" ref="J32">_xlfn.XLOOKUP(1,($B32=$B$994:$B$1020)*(J$23=$C$994:$C$1020),$G$994:$G$1020,"Not found",0,1)</f>
        <v>LG(L)</v>
      </c>
      <c r="K32" s="374" cm="1">
        <f t="array" ref="K32">_xlfn.XLOOKUP(1,($B32=$B$1161:$B$1172)*(K$23=$C$1161:$C$1172),$G$1161:$G$1172,"Not found",0,1)</f>
        <v>-19195.2</v>
      </c>
      <c r="L32" s="374"/>
      <c r="M32" s="374"/>
      <c r="N32" s="374"/>
    </row>
    <row r="33" spans="2:14">
      <c r="B33" s="281" t="s">
        <v>596</v>
      </c>
      <c r="C33" s="278" t="s">
        <v>590</v>
      </c>
      <c r="D33" s="374"/>
      <c r="E33" s="831"/>
      <c r="F33" s="374"/>
      <c r="G33" s="374" cm="1">
        <f t="array" ref="G33">_xlfn.XLOOKUP(1,($B33=$B$684:$B$716)*(G$23=$C$684:$C$716),$G$684:$G$716,"Not found",0,1)</f>
        <v>-587.492718446602</v>
      </c>
      <c r="H33" s="374" cm="1">
        <f t="array" aca="1" ref="H33" ca="1">_xlfn.XLOOKUP(1,($B33=$B$889:$B$920)*(H$23=$C$889:$C$920),$G$889:$G$920,"Not found",0,1)</f>
        <v>-671.17605123858391</v>
      </c>
      <c r="I33" s="374" t="s">
        <v>2621</v>
      </c>
      <c r="J33" s="374" t="str" cm="1">
        <f t="array" ref="J33">_xlfn.XLOOKUP(1,($B33=$B$994:$B$1020)*(J$23=$C$994:$C$1020),$G$994:$G$1020,"Not found",0,1)</f>
        <v>LG(L)</v>
      </c>
      <c r="K33" s="374" cm="1">
        <f t="array" ref="K33">_xlfn.XLOOKUP(1,($B33=$B$1161:$B$1172)*(K$23=$C$1161:$C$1172),$G$1161:$G$1172,"Not found",0,1)</f>
        <v>-8531.2000000000007</v>
      </c>
      <c r="L33" s="374"/>
      <c r="M33" s="374"/>
      <c r="N33" s="374"/>
    </row>
    <row r="34" spans="2:14">
      <c r="B34" s="231" t="s">
        <v>597</v>
      </c>
      <c r="C34" s="214" t="s">
        <v>590</v>
      </c>
      <c r="D34" s="374"/>
      <c r="E34" s="831"/>
      <c r="F34" s="374"/>
      <c r="G34" s="374" cm="1">
        <f t="array" ref="G34">_xlfn.XLOOKUP(1,($B34=$B$684:$B$716)*(G$23=$C$684:$C$716),$G$684:$G$716,"Not found",0,1)</f>
        <v>-440.61953883495153</v>
      </c>
      <c r="H34" s="374" cm="1">
        <f t="array" aca="1" ref="H34" ca="1">_xlfn.XLOOKUP(1,($B34=$B$889:$B$920)*(H$23=$C$889:$C$920),$G$889:$G$920,"Not found",0,1)</f>
        <v>-503.3820384289379</v>
      </c>
      <c r="I34" s="374" t="s">
        <v>2621</v>
      </c>
      <c r="J34" s="374" t="str" cm="1">
        <f t="array" ref="J34">_xlfn.XLOOKUP(1,($B34=$B$994:$B$1020)*(J$23=$C$994:$C$1020),$G$994:$G$1020,"Not found",0,1)</f>
        <v>LG(L)</v>
      </c>
      <c r="K34" s="374" cm="1">
        <f t="array" ref="K34">_xlfn.XLOOKUP(1,($B34=$B$1161:$B$1172)*(K$23=$C$1161:$C$1172),$G$1161:$G$1172,"Not found",0,1)</f>
        <v>-6398.4000000000005</v>
      </c>
      <c r="L34" s="374"/>
      <c r="M34" s="374"/>
      <c r="N34" s="374"/>
    </row>
    <row r="35" spans="2:14">
      <c r="B35" s="231" t="s">
        <v>598</v>
      </c>
      <c r="C35" s="214" t="s">
        <v>590</v>
      </c>
      <c r="D35" s="374"/>
      <c r="E35" s="831"/>
      <c r="F35" s="374"/>
      <c r="G35" s="374" cm="1">
        <f t="array" ref="G35">_xlfn.XLOOKUP(1,($B35=$B$684:$B$716)*(G$23=$C$684:$C$716),$G$684:$G$716,"Not found",0,1)</f>
        <v>-293.746359223301</v>
      </c>
      <c r="H35" s="374" cm="1">
        <f t="array" aca="1" ref="H35" ca="1">_xlfn.XLOOKUP(1,($B35=$B$889:$B$920)*(H$23=$C$889:$C$920),$G$889:$G$920,"Not found",0,1)</f>
        <v>-335.58802561929195</v>
      </c>
      <c r="I35" s="374"/>
      <c r="J35" s="374" t="str" cm="1">
        <f t="array" ref="J35">_xlfn.XLOOKUP(1,($B35=$B$994:$B$1020)*(J$23=$C$994:$C$1020),$G$994:$G$1020,"Not found",0,1)</f>
        <v>LG(L)</v>
      </c>
      <c r="K35" s="374" cm="1">
        <f t="array" ref="K35">_xlfn.XLOOKUP(1,($B35=$B$1161:$B$1172)*(K$23=$C$1161:$C$1172),$G$1161:$G$1172,"Not found",0,1)</f>
        <v>-4265.6000000000004</v>
      </c>
      <c r="L35" s="374"/>
      <c r="M35" s="374"/>
      <c r="N35" s="374"/>
    </row>
    <row r="36" spans="2:14">
      <c r="B36" s="281" t="s">
        <v>599</v>
      </c>
      <c r="C36" s="278" t="s">
        <v>590</v>
      </c>
      <c r="D36" s="374"/>
      <c r="E36" s="374" t="str" cm="1">
        <f t="array" ref="E36">_xlfn.XLOOKUP(1,($B36=$B$370:$B$390)*(E$23=$C$370:$C$390),$G$370:$G$390,"Not found",0,1)</f>
        <v>&lt;/&gt;</v>
      </c>
      <c r="F36" s="374" cm="1">
        <f t="array" ref="F36">_xlfn.XLOOKUP(1,($B36=$B$538:$B$555)*(F$23=$C$538:$C$555),$G$538:$G$555,"Not found",0,1)</f>
        <v>-107.44120913612439</v>
      </c>
      <c r="G36" s="374" cm="1">
        <f t="array" ref="G36">_xlfn.XLOOKUP(1,($B36=$B$684:$B$716)*(G$23=$C$684:$C$716),$G$684:$G$716,"Not found",0,1)</f>
        <v>-589.10683012259199</v>
      </c>
      <c r="H36" s="374" cm="1">
        <f t="array" aca="1" ref="H36" ca="1">_xlfn.XLOOKUP(1,($B36=$B$889:$B$920)*(H$23=$C$889:$C$920),$G$889:$G$920,"Not found",0,1)</f>
        <v>-2536.2575101835373</v>
      </c>
      <c r="I36" s="374"/>
      <c r="J36" s="374" cm="1">
        <f t="array" ref="J36">_xlfn.XLOOKUP(1,($B36=$B$994:$B$1020)*(J$23=$C$994:$C$1020),$G$994:$G$1020,"Not found",0,1)</f>
        <v>-751.38680702776674</v>
      </c>
      <c r="K36" s="374"/>
      <c r="L36" s="374"/>
      <c r="M36" s="374"/>
      <c r="N36" s="374"/>
    </row>
    <row r="37" spans="2:14">
      <c r="B37" s="231" t="s">
        <v>600</v>
      </c>
      <c r="C37" s="214" t="s">
        <v>590</v>
      </c>
      <c r="D37" s="374"/>
      <c r="E37" s="374" t="str" cm="1">
        <f t="array" ref="E37">_xlfn.XLOOKUP(1,($B37=$B$370:$B$390)*(E$23=$C$370:$C$390),$G$370:$G$390,"Not found",0,1)</f>
        <v>&lt;/&gt;</v>
      </c>
      <c r="F37" s="374" cm="1">
        <f t="array" ref="F37">_xlfn.XLOOKUP(1,($B37=$B$538:$B$555)*(F$23=$C$538:$C$555),$G$538:$G$555,"Not found",0,1)</f>
        <v>-80.580906852093293</v>
      </c>
      <c r="G37" s="374" cm="1">
        <f t="array" ref="G37">_xlfn.XLOOKUP(1,($B37=$B$684:$B$716)*(G$23=$C$684:$C$716),$G$684:$G$716,"Not found",0,1)</f>
        <v>-441.83012259194402</v>
      </c>
      <c r="H37" s="374" cm="1">
        <f t="array" aca="1" ref="H37" ca="1">_xlfn.XLOOKUP(1,($B37=$B$889:$B$920)*(H$23=$C$889:$C$920),$G$889:$G$920,"Not found",0,1)</f>
        <v>-1902.193132637653</v>
      </c>
      <c r="I37" s="374"/>
      <c r="J37" s="374" cm="1">
        <f t="array" ref="J37">_xlfn.XLOOKUP(1,($B37=$B$994:$B$1020)*(J$23=$C$994:$C$1020),$G$994:$G$1020,"Not found",0,1)</f>
        <v>-563.54010527082505</v>
      </c>
      <c r="K37" s="374"/>
      <c r="L37" s="374"/>
      <c r="M37" s="374"/>
      <c r="N37" s="374"/>
    </row>
    <row r="38" spans="2:14">
      <c r="B38" s="231" t="s">
        <v>601</v>
      </c>
      <c r="C38" s="214" t="s">
        <v>590</v>
      </c>
      <c r="D38" s="374"/>
      <c r="E38" s="374" t="str" cm="1">
        <f t="array" ref="E38">_xlfn.XLOOKUP(1,($B38=$B$370:$B$390)*(E$23=$C$370:$C$390),$G$370:$G$390,"Not found",0,1)</f>
        <v>&lt;/&gt;</v>
      </c>
      <c r="F38" s="374" cm="1">
        <f t="array" ref="F38">_xlfn.XLOOKUP(1,($B38=$B$538:$B$555)*(F$23=$C$538:$C$555),$G$538:$G$555,"Not found",0,1)</f>
        <v>-53.720604568062193</v>
      </c>
      <c r="G38" s="374" cm="1">
        <f t="array" ref="G38">_xlfn.XLOOKUP(1,($B38=$B$684:$B$716)*(G$23=$C$684:$C$716),$G$684:$G$716,"Not found",0,1)</f>
        <v>-294.55341506129599</v>
      </c>
      <c r="H38" s="374" cm="1">
        <f t="array" aca="1" ref="H38" ca="1">_xlfn.XLOOKUP(1,($B38=$B$889:$B$920)*(H$23=$C$889:$C$920),$G$889:$G$920,"Not found",0,1)</f>
        <v>-1268.1287550917687</v>
      </c>
      <c r="I38" s="374"/>
      <c r="J38" s="374" cm="1">
        <f t="array" ref="J38">_xlfn.XLOOKUP(1,($B38=$B$994:$B$1020)*(J$23=$C$994:$C$1020),$G$994:$G$1020,"Not found",0,1)</f>
        <v>-375.69340351388337</v>
      </c>
      <c r="K38" s="374"/>
      <c r="L38" s="374"/>
      <c r="M38" s="374"/>
      <c r="N38" s="374"/>
    </row>
    <row r="39" spans="2:14">
      <c r="B39" s="281" t="s">
        <v>602</v>
      </c>
      <c r="C39" s="278" t="s">
        <v>590</v>
      </c>
      <c r="D39" s="374"/>
      <c r="E39" s="374" t="str" cm="1">
        <f t="array" ref="E39">_xlfn.XLOOKUP(1,($B39=$B$370:$B$390)*(E$23=$C$370:$C$390),$G$370:$G$390,"Not found",0,1)</f>
        <v>&lt;/&gt;</v>
      </c>
      <c r="F39" s="374"/>
      <c r="G39" s="374" cm="1">
        <f t="array" ref="G39">_xlfn.XLOOKUP(1,($B39=$B$684:$B$716)*(G$23=$C$684:$C$716),$G$684:$G$716,"Not found",0,1)</f>
        <v>-16.670634920634921</v>
      </c>
      <c r="H39" s="374" cm="1">
        <f t="array" aca="1" ref="H39" ca="1">_xlfn.XLOOKUP(1,($B39=$B$889:$B$920)*(H$23=$C$889:$C$920),$G$889:$G$920,"Not found",0,1)</f>
        <v>-6804.6276389723107</v>
      </c>
      <c r="I39" s="374"/>
      <c r="J39" s="831" t="str" cm="1">
        <f t="array" ref="J39">_xlfn.XLOOKUP(1,($B39=$B$994:$B$1020)*(J$23=$C$994:$C$1020),$G$994:$G$1020,"Not found",0,1)</f>
        <v>LG(L)</v>
      </c>
      <c r="K39" s="374"/>
      <c r="L39" s="374"/>
      <c r="M39" s="374"/>
      <c r="N39" s="374"/>
    </row>
    <row r="40" spans="2:14">
      <c r="B40" s="231" t="s">
        <v>603</v>
      </c>
      <c r="C40" s="214" t="s">
        <v>590</v>
      </c>
      <c r="D40" s="374"/>
      <c r="E40" s="374" t="str" cm="1">
        <f t="array" ref="E40">_xlfn.XLOOKUP(1,($B40=$B$370:$B$390)*(E$23=$C$370:$C$390),$G$370:$G$390,"Not found",0,1)</f>
        <v>&lt;/&gt;</v>
      </c>
      <c r="F40" s="374"/>
      <c r="G40" s="374" cm="1">
        <f t="array" ref="G40">_xlfn.XLOOKUP(1,($B40=$B$684:$B$716)*(G$23=$C$684:$C$716),$G$684:$G$716,"Not found",0,1)</f>
        <v>-12.50297619047619</v>
      </c>
      <c r="H40" s="374" cm="1">
        <f t="array" aca="1" ref="H40" ca="1">_xlfn.XLOOKUP(1,($B40=$B$889:$B$920)*(H$23=$C$889:$C$920),$G$889:$G$920,"Not found",0,1)</f>
        <v>-5103.4707292292323</v>
      </c>
      <c r="I40" s="374"/>
      <c r="J40" s="831" t="str" cm="1">
        <f t="array" ref="J40">_xlfn.XLOOKUP(1,($B40=$B$994:$B$1020)*(J$23=$C$994:$C$1020),$G$994:$G$1020,"Not found",0,1)</f>
        <v>LG(L)</v>
      </c>
      <c r="K40" s="374"/>
      <c r="L40" s="374"/>
      <c r="M40" s="374"/>
      <c r="N40" s="374"/>
    </row>
    <row r="41" spans="2:14">
      <c r="B41" s="281" t="s">
        <v>604</v>
      </c>
      <c r="C41" s="388" t="s">
        <v>590</v>
      </c>
      <c r="D41" s="374"/>
      <c r="E41" s="374" t="str" cm="1">
        <f t="array" ref="E41">_xlfn.XLOOKUP(1,($B41=$B$370:$B$390)*(E$23=$C$370:$C$390),$G$370:$G$390,"Not found",0,1)</f>
        <v>&lt;/&gt;</v>
      </c>
      <c r="F41" s="374"/>
      <c r="G41" s="374" cm="1">
        <f t="array" ref="G41">_xlfn.XLOOKUP(1,($B41=$B$684:$B$716)*(G$23=$C$684:$C$716),$G$684:$G$716,"Not found",0,1)</f>
        <v>-8.3353174603174605</v>
      </c>
      <c r="H41" s="374" cm="1">
        <f t="array" aca="1" ref="H41" ca="1">_xlfn.XLOOKUP(1,($B41=$B$889:$B$920)*(H$23=$C$889:$C$920),$G$889:$G$920,"Not found",0,1)</f>
        <v>-3402.3138194861554</v>
      </c>
      <c r="I41" s="374"/>
      <c r="J41" s="831" t="str" cm="1">
        <f t="array" ref="J41">_xlfn.XLOOKUP(1,($B41=$B$994:$B$1020)*(J$23=$C$994:$C$1020),$G$994:$G$1020,"Not found",0,1)</f>
        <v>LG(L)</v>
      </c>
      <c r="K41" s="374"/>
      <c r="L41" s="374"/>
      <c r="M41" s="374"/>
      <c r="N41" s="374"/>
    </row>
    <row r="42" spans="2:14">
      <c r="B42" s="278" t="s">
        <v>605</v>
      </c>
      <c r="C42" s="388" t="s">
        <v>590</v>
      </c>
      <c r="D42" s="374"/>
      <c r="E42" s="374"/>
      <c r="F42" s="374"/>
      <c r="G42" s="374" cm="1">
        <f t="array" ref="G42">_xlfn.XLOOKUP(1,($B42=$B$684:$B$716)*(G$23=$C$684:$C$716),$G$684:$G$716,"Not found",0,1)</f>
        <v>-17.747478822105688</v>
      </c>
      <c r="H42" s="374" cm="1">
        <f t="array" aca="1" ref="H42" ca="1">_xlfn.XLOOKUP(1,($B42=$B$889:$B$920)*(H$23=$C$889:$C$920),$G$889:$G$920,"Not found",0,1)</f>
        <v>-671.17605123858391</v>
      </c>
      <c r="I42" s="374"/>
      <c r="J42" s="374" t="str" cm="1">
        <f t="array" ref="J42">_xlfn.XLOOKUP(1,($B42=$B$994:$B$1020)*(J$23=$C$994:$C$1020),$G$994:$G$1020,"Not found",0,1)</f>
        <v>LG(L)</v>
      </c>
      <c r="K42" s="374"/>
      <c r="L42" s="374"/>
      <c r="M42" s="374"/>
      <c r="N42" s="374"/>
    </row>
    <row r="43" spans="2:14">
      <c r="B43" s="278" t="s">
        <v>606</v>
      </c>
      <c r="C43" s="388" t="s">
        <v>590</v>
      </c>
      <c r="D43" s="374"/>
      <c r="E43" s="374"/>
      <c r="F43" s="374"/>
      <c r="G43" s="374" cm="1">
        <f t="array" ref="G43">_xlfn.XLOOKUP(1,($B43=$B$684:$B$716)*(G$23=$C$684:$C$716),$G$684:$G$716,"Not found",0,1)</f>
        <v>-13.310609116579265</v>
      </c>
      <c r="H43" s="374" cm="1">
        <f t="array" aca="1" ref="H43" ca="1">_xlfn.XLOOKUP(1,($B43=$B$889:$B$920)*(H$23=$C$889:$C$920),$G$889:$G$920,"Not found",0,1)</f>
        <v>-503.3820384289379</v>
      </c>
      <c r="I43" s="374"/>
      <c r="J43" s="374" t="str" cm="1">
        <f t="array" ref="J43">_xlfn.XLOOKUP(1,($B43=$B$994:$B$1020)*(J$23=$C$994:$C$1020),$G$994:$G$1020,"Not found",0,1)</f>
        <v>LG(L)</v>
      </c>
      <c r="K43" s="374"/>
      <c r="L43" s="374"/>
      <c r="M43" s="374"/>
      <c r="N43" s="374"/>
    </row>
    <row r="44" spans="2:14">
      <c r="B44" s="281" t="s">
        <v>607</v>
      </c>
      <c r="C44" s="388" t="s">
        <v>590</v>
      </c>
      <c r="D44" s="374"/>
      <c r="E44" s="374"/>
      <c r="F44" s="374"/>
      <c r="G44" s="374" cm="1">
        <f t="array" ref="G44">_xlfn.XLOOKUP(1,($B44=$B$684:$B$716)*(G$23=$C$684:$C$716),$G$684:$G$716,"Not found",0,1)</f>
        <v>-8.8737394110528438</v>
      </c>
      <c r="H44" s="374" cm="1">
        <f t="array" aca="1" ref="H44" ca="1">_xlfn.XLOOKUP(1,($B44=$B$889:$B$920)*(H$23=$C$889:$C$920),$G$889:$G$920,"Not found",0,1)</f>
        <v>-335.58802561929195</v>
      </c>
      <c r="I44" s="374"/>
      <c r="J44" s="374" t="str" cm="1">
        <f t="array" ref="J44">_xlfn.XLOOKUP(1,($B44=$B$994:$B$1020)*(J$23=$C$994:$C$1020),$G$994:$G$1020,"Not found",0,1)</f>
        <v>LG(L)</v>
      </c>
      <c r="K44" s="374"/>
      <c r="L44" s="374"/>
      <c r="M44" s="374"/>
      <c r="N44" s="374"/>
    </row>
    <row r="45" spans="2:14">
      <c r="B45" s="281" t="s">
        <v>608</v>
      </c>
      <c r="C45" s="388" t="s">
        <v>590</v>
      </c>
      <c r="D45" s="374"/>
      <c r="E45" s="374" cm="1">
        <f t="array" ref="E45">_xlfn.XLOOKUP(1,($B45=$B$370:$B$390)*(E$23=$C$370:$C$390),$G$370:$G$390,"Not found",0,1)</f>
        <v>9.7679149987972522</v>
      </c>
      <c r="F45" s="374"/>
      <c r="G45" s="374" cm="1">
        <f t="array" ref="G45">_xlfn.XLOOKUP(1,($B45=$B$684:$B$716)*(G$23=$C$684:$C$716),$G$684:$G$716,"Not found",0,1)</f>
        <v>-34.662912308930011</v>
      </c>
      <c r="H45" s="374"/>
      <c r="I45" s="374"/>
      <c r="J45" s="374"/>
      <c r="K45" s="374"/>
      <c r="L45" s="374"/>
      <c r="M45" s="374"/>
      <c r="N45" s="374" cm="1">
        <f t="array" ref="N45">_xlfn.XLOOKUP(1,($B45=$B$1416:$B$1418)*(N$23=$C$1416:$C$1418),$G$1416:$G$1418,"Not found",0,1)</f>
        <v>-1093.3015246686928</v>
      </c>
    </row>
    <row r="46" spans="2:14">
      <c r="B46" s="281" t="s">
        <v>609</v>
      </c>
      <c r="C46" s="388" t="s">
        <v>590</v>
      </c>
      <c r="D46" s="374"/>
      <c r="E46" s="374" cm="1">
        <f t="array" ref="E46">_xlfn.XLOOKUP(1,($B46=$B$370:$B$390)*(E$23=$C$370:$C$390),$G$370:$G$390,"Not found",0,1)</f>
        <v>14.651872498195877</v>
      </c>
      <c r="F46" s="374"/>
      <c r="G46" s="374" cm="1">
        <f t="array" ref="G46">_xlfn.XLOOKUP(1,($B46=$B$684:$B$716)*(G$23=$C$684:$C$716),$G$684:$G$716,"Not found",0,1)</f>
        <v>-25.99718423169751</v>
      </c>
      <c r="H46" s="374" cm="1">
        <f t="array" aca="1" ref="H46" ca="1">_xlfn.XLOOKUP(1,($B46=$B$889:$B$920)*(H$23=$C$889:$C$920),$G$889:$G$920,"Not found",0,1)</f>
        <v>122.41575777307503</v>
      </c>
      <c r="I46" s="374"/>
      <c r="J46" s="374"/>
      <c r="K46" s="374"/>
      <c r="L46" s="374"/>
      <c r="M46" s="374"/>
      <c r="N46" s="374" cm="1">
        <f t="array" ref="N46">_xlfn.XLOOKUP(1,($B46=$B$1416:$B$1418)*(N$23=$C$1416:$C$1418),$G$1416:$G$1418,"Not found",0,1)</f>
        <v>-819.97614350151946</v>
      </c>
    </row>
    <row r="47" spans="2:14">
      <c r="B47" s="281" t="s">
        <v>610</v>
      </c>
      <c r="C47" s="388" t="s">
        <v>590</v>
      </c>
      <c r="D47" s="374"/>
      <c r="E47" s="374" cm="1">
        <f t="array" ref="E47">_xlfn.XLOOKUP(1,($B47=$B$370:$B$390)*(E$23=$C$370:$C$390),$G$370:$G$390,"Not found",0,1)</f>
        <v>19.535829997594504</v>
      </c>
      <c r="F47" s="374"/>
      <c r="G47" s="374" cm="1">
        <f t="array" ref="G47">_xlfn.XLOOKUP(1,($B47=$B$684:$B$716)*(G$23=$C$684:$C$716),$G$684:$G$716,"Not found",0,1)</f>
        <v>-17.331456154465005</v>
      </c>
      <c r="H47" s="374" cm="1">
        <f t="array" aca="1" ref="H47" ca="1">_xlfn.XLOOKUP(1,($B47=$B$889:$B$920)*(H$23=$C$889:$C$920),$G$889:$G$920,"Not found",0,1)</f>
        <v>295.4863118660432</v>
      </c>
      <c r="I47" s="374"/>
      <c r="J47" s="374"/>
      <c r="K47" s="374"/>
      <c r="L47" s="374"/>
      <c r="M47" s="374"/>
      <c r="N47" s="374" cm="1">
        <f t="array" ref="N47">_xlfn.XLOOKUP(1,($B47=$B$1416:$B$1418)*(N$23=$C$1416:$C$1418),$G$1416:$G$1418,"Not found",0,1)</f>
        <v>-546.65076233434638</v>
      </c>
    </row>
    <row r="48" spans="2:14">
      <c r="B48" s="281" t="s">
        <v>611</v>
      </c>
      <c r="C48" s="388" t="s">
        <v>590</v>
      </c>
      <c r="D48" s="374"/>
      <c r="E48" s="374" cm="1">
        <f t="array" ref="E48">_xlfn.XLOOKUP(1,($B48=$B$370:$B$390)*(E$23=$C$370:$C$390),$G$370:$G$390,"Not found",0,1)</f>
        <v>0.26942542623513155</v>
      </c>
      <c r="F48" s="374" t="str" cm="1">
        <f t="array" ref="F48">_xlfn.XLOOKUP(1,($B48=$B$538:$B$555)*(F$23=$C$538:$C$555),$G$538:$G$555,"Not found",0,1)</f>
        <v>LG(L)</v>
      </c>
      <c r="G48" s="374" cm="1">
        <f t="array" ref="G48">_xlfn.XLOOKUP(1,($B48=$B$684:$B$716)*(G$23=$C$684:$C$716),$G$684:$G$716,"Not found",0,1)</f>
        <v>-10.21331636980492</v>
      </c>
      <c r="H48" s="374" cm="1">
        <f t="array" aca="1" ref="H48" ca="1">_xlfn.XLOOKUP(1,($B48=$B$889:$B$920)*(H$23=$C$889:$C$920),$G$889:$G$920,"Not found",0,1)</f>
        <v>-284.93322929939882</v>
      </c>
      <c r="I48" s="374"/>
      <c r="J48" s="374" t="str" cm="1">
        <f t="array" ref="J48">_xlfn.XLOOKUP(1,($B48=$B$994:$B$1020)*(J$23=$C$994:$C$1020),$G$994:$G$1020,"Not found",0,1)</f>
        <v>LG(L)</v>
      </c>
      <c r="K48" s="374"/>
      <c r="L48" s="374"/>
      <c r="M48" s="374"/>
      <c r="N48" s="374"/>
    </row>
    <row r="49" spans="1:14">
      <c r="B49" s="281" t="s">
        <v>612</v>
      </c>
      <c r="C49" s="388" t="s">
        <v>590</v>
      </c>
      <c r="D49" s="374"/>
      <c r="E49" s="374" cm="1">
        <f t="array" ref="E49">_xlfn.XLOOKUP(1,($B49=$B$370:$B$390)*(E$23=$C$370:$C$390),$G$370:$G$390,"Not found",0,1)</f>
        <v>0.40413813935269732</v>
      </c>
      <c r="F49" s="374" t="str" cm="1">
        <f t="array" ref="F49">_xlfn.XLOOKUP(1,($B49=$B$538:$B$555)*(F$23=$C$538:$C$555),$G$538:$G$555,"Not found",0,1)</f>
        <v>LG(L)</v>
      </c>
      <c r="G49" s="374" cm="1">
        <f t="array" ref="G49">_xlfn.XLOOKUP(1,($B49=$B$684:$B$716)*(G$23=$C$684:$C$716),$G$684:$G$716,"Not found",0,1)</f>
        <v>-7.6599872773536894</v>
      </c>
      <c r="H49" s="374" cm="1">
        <f t="array" aca="1" ref="H49" ca="1">_xlfn.XLOOKUP(1,($B49=$B$889:$B$920)*(H$23=$C$889:$C$920),$G$889:$G$920,"Not found",0,1)</f>
        <v>-213.69992197454914</v>
      </c>
      <c r="I49" s="374"/>
      <c r="J49" s="374" t="str" cm="1">
        <f t="array" ref="J49">_xlfn.XLOOKUP(1,($B49=$B$994:$B$1020)*(J$23=$C$994:$C$1020),$G$994:$G$1020,"Not found",0,1)</f>
        <v>LG(L)</v>
      </c>
      <c r="K49" s="374"/>
      <c r="L49" s="374"/>
      <c r="M49" s="374"/>
      <c r="N49" s="374"/>
    </row>
    <row r="50" spans="1:14">
      <c r="B50" s="281" t="s">
        <v>613</v>
      </c>
      <c r="C50" s="388" t="s">
        <v>590</v>
      </c>
      <c r="D50" s="374"/>
      <c r="E50" s="374" cm="1">
        <f t="array" ref="E50">_xlfn.XLOOKUP(1,($B50=$B$370:$B$390)*(E$23=$C$370:$C$390),$G$370:$G$390,"Not found",0,1)</f>
        <v>0.5388508524702631</v>
      </c>
      <c r="F50" s="374" t="str" cm="1">
        <f t="array" ref="F50">_xlfn.XLOOKUP(1,($B50=$B$538:$B$555)*(F$23=$C$538:$C$555),$G$538:$G$555,"Not found",0,1)</f>
        <v>LG(L)</v>
      </c>
      <c r="G50" s="374" cm="1">
        <f t="array" ref="G50">_xlfn.XLOOKUP(1,($B50=$B$684:$B$716)*(G$23=$C$684:$C$716),$G$684:$G$716,"Not found",0,1)</f>
        <v>-5.1066581849024599</v>
      </c>
      <c r="H50" s="374" cm="1">
        <f t="array" aca="1" ref="H50" ca="1">_xlfn.XLOOKUP(1,($B50=$B$889:$B$920)*(H$23=$C$889:$C$920),$G$889:$G$920,"Not found",0,1)</f>
        <v>-142.46661464969941</v>
      </c>
      <c r="I50" s="374"/>
      <c r="J50" s="374" t="str" cm="1">
        <f t="array" ref="J50">_xlfn.XLOOKUP(1,($B50=$B$994:$B$1020)*(J$23=$C$994:$C$1020),$G$994:$G$1020,"Not found",0,1)</f>
        <v>LG(L)</v>
      </c>
      <c r="K50" s="374"/>
      <c r="L50" s="374"/>
      <c r="M50" s="374"/>
      <c r="N50" s="374"/>
    </row>
    <row r="51" spans="1:14">
      <c r="B51" s="278" t="s">
        <v>614</v>
      </c>
      <c r="C51" s="388" t="s">
        <v>590</v>
      </c>
      <c r="D51" s="374"/>
      <c r="E51" s="374"/>
      <c r="F51" s="374" t="str" cm="1">
        <f t="array" ref="F51">_xlfn.XLOOKUP(1,($B51=$B$538:$B$555)*(F$23=$C$538:$C$555),$G$538:$G$555,"Not found",0,1)</f>
        <v>LG(L)</v>
      </c>
      <c r="G51" s="374" cm="1">
        <f t="array" ref="G51">_xlfn.XLOOKUP(1,($B51=$B$684:$B$716)*(G$23=$C$684:$C$716),$G$684:$G$716,"Not found",0,1)</f>
        <v>-10.21331636980492</v>
      </c>
      <c r="H51" s="374" cm="1">
        <f t="array" aca="1" ref="H51" ca="1">_xlfn.XLOOKUP(1,($B51=$B$889:$B$920)*(H$23=$C$889:$C$920),$G$889:$G$920,"Not found",0,1)</f>
        <v>-151.96438895967935</v>
      </c>
      <c r="I51" s="374"/>
      <c r="J51" s="374" t="str" cm="1">
        <f t="array" ref="J51">_xlfn.XLOOKUP(1,($B51=$B$994:$B$1020)*(J$23=$C$994:$C$1020),$G$994:$G$1020,"Not found",0,1)</f>
        <v>LG(L)</v>
      </c>
      <c r="K51" s="374"/>
      <c r="L51" s="374"/>
      <c r="M51" s="374"/>
      <c r="N51" s="374"/>
    </row>
    <row r="52" spans="1:14">
      <c r="B52" s="278" t="s">
        <v>615</v>
      </c>
      <c r="C52" s="388" t="s">
        <v>590</v>
      </c>
      <c r="D52" s="374"/>
      <c r="E52" s="374"/>
      <c r="F52" s="374" t="str" cm="1">
        <f t="array" ref="F52">_xlfn.XLOOKUP(1,($B52=$B$538:$B$555)*(F$23=$C$538:$C$555),$G$538:$G$555,"Not found",0,1)</f>
        <v>LG(L)</v>
      </c>
      <c r="G52" s="374" cm="1">
        <f t="array" ref="G52">_xlfn.XLOOKUP(1,($B52=$B$684:$B$716)*(G$23=$C$684:$C$716),$G$684:$G$716,"Not found",0,1)</f>
        <v>-7.6599872773536894</v>
      </c>
      <c r="H52" s="374" cm="1">
        <f t="array" aca="1" ref="H52" ca="1">_xlfn.XLOOKUP(1,($B52=$B$889:$B$920)*(H$23=$C$889:$C$920),$G$889:$G$920,"Not found",0,1)</f>
        <v>1401.4493648503762</v>
      </c>
      <c r="I52" s="374"/>
      <c r="J52" s="374" t="str" cm="1">
        <f t="array" ref="J52">_xlfn.XLOOKUP(1,($B52=$B$994:$B$1020)*(J$23=$C$994:$C$1020),$G$994:$G$1020,"Not found",0,1)</f>
        <v>LG(L)</v>
      </c>
      <c r="K52" s="374"/>
      <c r="L52" s="374"/>
      <c r="M52" s="374"/>
      <c r="N52" s="374"/>
    </row>
    <row r="53" spans="1:14">
      <c r="B53" s="278" t="s">
        <v>616</v>
      </c>
      <c r="C53" s="388" t="s">
        <v>590</v>
      </c>
      <c r="D53" s="374"/>
      <c r="E53" s="374"/>
      <c r="F53" s="374" t="str" cm="1">
        <f t="array" ref="F53">_xlfn.XLOOKUP(1,($B53=$B$538:$B$555)*(F$23=$C$538:$C$555),$G$538:$G$555,"Not found",0,1)</f>
        <v>LG(L)</v>
      </c>
      <c r="G53" s="374" cm="1">
        <f t="array" ref="G53">_xlfn.XLOOKUP(1,($B53=$B$684:$B$716)*(G$23=$C$684:$C$716),$G$684:$G$716,"Not found",0,1)</f>
        <v>-5.1066581849024599</v>
      </c>
      <c r="H53" s="374" cm="1">
        <f t="array" aca="1" ref="H53" ca="1">_xlfn.XLOOKUP(1,($B53=$B$889:$B$920)*(H$23=$C$889:$C$920),$G$889:$G$920,"Not found",0,1)</f>
        <v>7480.02492323755</v>
      </c>
      <c r="I53" s="374"/>
      <c r="J53" s="374" t="str" cm="1">
        <f t="array" ref="J53">_xlfn.XLOOKUP(1,($B53=$B$994:$B$1020)*(J$23=$C$994:$C$1020),$G$994:$G$1020,"Not found",0,1)</f>
        <v>LG(L)</v>
      </c>
      <c r="K53" s="374"/>
      <c r="L53" s="374"/>
      <c r="M53" s="374"/>
      <c r="N53" s="374"/>
    </row>
    <row r="54" spans="1:14">
      <c r="B54" s="278" t="s">
        <v>617</v>
      </c>
      <c r="C54" s="388" t="s">
        <v>590</v>
      </c>
      <c r="D54" s="374" cm="1">
        <f t="array" ref="D54">_xlfn.XLOOKUP(1,($B54=$B$157:$B$162)*(D$23=$C$157:$C$162),$G$157:$G$162,"Not found",0,1)</f>
        <v>-19.332984418995487</v>
      </c>
      <c r="E54" s="374" cm="1">
        <f t="array" ref="E54">_xlfn.XLOOKUP(1,($B54=$B$370:$B$390)*(E$23=$C$370:$C$390),$G$370:$G$390,"Not found",0,1)</f>
        <v>-3085.6824060175295</v>
      </c>
      <c r="F54" s="374" cm="1">
        <f t="array" ref="F54">_xlfn.XLOOKUP(1,($B54=$B$538:$B$555)*(F$23=$C$538:$C$555),$G$538:$G$555,"Not found",0,1)</f>
        <v>-4300.2081057679961</v>
      </c>
      <c r="G54" s="374" cm="1">
        <f t="array" ref="G54">_xlfn.XLOOKUP(1,($B54=$B$684:$B$716)*(G$23=$C$684:$C$716),$G$684:$G$716,"Not found",0,1)</f>
        <v>-151.92592592592595</v>
      </c>
      <c r="H54" s="374" cm="1">
        <f t="array" aca="1" ref="H54" ca="1">_xlfn.XLOOKUP(1,($B54=$B$889:$B$920)*(H$23=$C$889:$C$920),$G$889:$G$920,"Not found",0,1)</f>
        <v>-835.80413927823656</v>
      </c>
      <c r="I54" s="374"/>
      <c r="J54" s="374" t="str" cm="1">
        <f t="array" ref="J54">_xlfn.XLOOKUP(1,($B54=$B$994:$B$1020)*(J$23=$C$994:$C$1020),$G$994:$G$1020,"Not found",0,1)</f>
        <v>LG(L)</v>
      </c>
      <c r="K54" s="374"/>
      <c r="L54" s="374"/>
      <c r="M54" s="374"/>
      <c r="N54" s="374"/>
    </row>
    <row r="55" spans="1:14">
      <c r="B55" s="278" t="s">
        <v>618</v>
      </c>
      <c r="C55" s="388" t="s">
        <v>590</v>
      </c>
      <c r="D55" s="374" cm="1">
        <f t="array" ref="D55">_xlfn.XLOOKUP(1,($B55=$B$157:$B$162)*(D$23=$C$157:$C$162),$G$157:$G$162,"Not found",0,1)</f>
        <v>-14.499738314246615</v>
      </c>
      <c r="E55" s="374" cm="1">
        <f t="array" ref="E55">_xlfn.XLOOKUP(1,($B55=$B$370:$B$390)*(E$23=$C$370:$C$390),$G$370:$G$390,"Not found",0,1)</f>
        <v>-2314.2618045131471</v>
      </c>
      <c r="F55" s="374" cm="1">
        <f t="array" ref="F55">_xlfn.XLOOKUP(1,($B55=$B$538:$B$555)*(F$23=$C$538:$C$555),$G$538:$G$555,"Not found",0,1)</f>
        <v>-3225.1560793259969</v>
      </c>
      <c r="G55" s="374" cm="1">
        <f t="array" ref="G55">_xlfn.XLOOKUP(1,($B55=$B$684:$B$716)*(G$23=$C$684:$C$716),$G$684:$G$716,"Not found",0,1)</f>
        <v>-113.94444444444446</v>
      </c>
      <c r="H55" s="374" cm="1">
        <f t="array" aca="1" ref="H55" ca="1">_xlfn.XLOOKUP(1,($B55=$B$889:$B$920)*(H$23=$C$889:$C$920),$G$889:$G$920,"Not found",0,1)</f>
        <v>-626.85310445867742</v>
      </c>
      <c r="I55" s="374"/>
      <c r="J55" s="374" t="str" cm="1">
        <f t="array" ref="J55">_xlfn.XLOOKUP(1,($B55=$B$994:$B$1020)*(J$23=$C$994:$C$1020),$G$994:$G$1020,"Not found",0,1)</f>
        <v>LG(L)</v>
      </c>
      <c r="K55" s="374"/>
      <c r="L55" s="374"/>
      <c r="M55" s="374"/>
      <c r="N55" s="374"/>
    </row>
    <row r="56" spans="1:14">
      <c r="B56" s="278" t="s">
        <v>619</v>
      </c>
      <c r="C56" s="388" t="s">
        <v>590</v>
      </c>
      <c r="D56" s="374" cm="1">
        <f t="array" ref="D56">_xlfn.XLOOKUP(1,($B56=$B$157:$B$162)*(D$23=$C$157:$C$162),$G$157:$G$162,"Not found",0,1)</f>
        <v>-9.6664922094977435</v>
      </c>
      <c r="E56" s="374" cm="1">
        <f t="array" ref="E56">_xlfn.XLOOKUP(1,($B56=$B$370:$B$390)*(E$23=$C$370:$C$390),$G$370:$G$390,"Not found",0,1)</f>
        <v>-1542.8412030087648</v>
      </c>
      <c r="F56" s="374" cm="1">
        <f t="array" ref="F56">_xlfn.XLOOKUP(1,($B56=$B$538:$B$555)*(F$23=$C$538:$C$555),$G$538:$G$555,"Not found",0,1)</f>
        <v>-2150.1040528839981</v>
      </c>
      <c r="G56" s="374" cm="1">
        <f t="array" ref="G56">_xlfn.XLOOKUP(1,($B56=$B$684:$B$716)*(G$23=$C$684:$C$716),$G$684:$G$716,"Not found",0,1)</f>
        <v>-75.962962962962976</v>
      </c>
      <c r="H56" s="374" cm="1">
        <f t="array" aca="1" ref="H56" ca="1">_xlfn.XLOOKUP(1,($B56=$B$889:$B$920)*(H$23=$C$889:$C$920),$G$889:$G$920,"Not found",0,1)</f>
        <v>-417.90206963911828</v>
      </c>
      <c r="I56" s="374"/>
      <c r="J56" s="374" t="str" cm="1">
        <f t="array" ref="J56">_xlfn.XLOOKUP(1,($B56=$B$994:$B$1020)*(J$23=$C$994:$C$1020),$G$994:$G$1020,"Not found",0,1)</f>
        <v>LG(L)</v>
      </c>
      <c r="K56" s="374"/>
      <c r="L56" s="374"/>
      <c r="M56" s="374"/>
      <c r="N56" s="374"/>
    </row>
    <row r="57" spans="1:14">
      <c r="B57" s="278" t="s">
        <v>620</v>
      </c>
      <c r="C57" s="388" t="s">
        <v>621</v>
      </c>
      <c r="D57" s="374"/>
      <c r="E57" s="374"/>
      <c r="F57" s="374"/>
      <c r="G57" s="374"/>
      <c r="H57" s="374"/>
      <c r="I57" s="374"/>
      <c r="J57" s="374"/>
      <c r="K57" s="374"/>
      <c r="L57" s="374"/>
      <c r="M57" s="374"/>
      <c r="N57" s="374"/>
    </row>
    <row r="58" spans="1:14">
      <c r="B58" s="278" t="s">
        <v>622</v>
      </c>
      <c r="C58" s="278" t="s">
        <v>623</v>
      </c>
      <c r="D58" s="374"/>
      <c r="E58" s="374"/>
      <c r="F58" s="374"/>
      <c r="G58" s="374"/>
      <c r="H58" s="374"/>
      <c r="I58" s="374"/>
      <c r="J58" s="374">
        <f>G1369</f>
        <v>-28156.545890101625</v>
      </c>
      <c r="K58" s="374"/>
      <c r="L58" s="374"/>
      <c r="M58" s="374"/>
      <c r="N58" s="374"/>
    </row>
    <row r="59" spans="1:14">
      <c r="B59" s="278" t="s">
        <v>624</v>
      </c>
      <c r="C59" s="278" t="s">
        <v>623</v>
      </c>
      <c r="D59" s="374"/>
      <c r="E59" s="374"/>
      <c r="F59" s="374"/>
      <c r="G59" s="374"/>
      <c r="H59" s="374"/>
      <c r="I59" s="374"/>
      <c r="J59" s="374">
        <f t="shared" ref="J59:J60" si="0">G1370</f>
        <v>-25340.891301091462</v>
      </c>
      <c r="K59" s="374"/>
      <c r="L59" s="374"/>
      <c r="M59" s="374"/>
      <c r="N59" s="374"/>
    </row>
    <row r="60" spans="1:14">
      <c r="B60" s="214" t="s">
        <v>625</v>
      </c>
      <c r="C60" s="214" t="s">
        <v>623</v>
      </c>
      <c r="D60" s="935"/>
      <c r="E60" s="935"/>
      <c r="F60" s="935"/>
      <c r="G60" s="935"/>
      <c r="H60" s="935"/>
      <c r="I60" s="935"/>
      <c r="J60" s="935">
        <f t="shared" si="0"/>
        <v>-22525.2367120813</v>
      </c>
      <c r="K60" s="935"/>
      <c r="L60" s="935"/>
      <c r="M60" s="935"/>
      <c r="N60" s="935"/>
    </row>
    <row r="61" spans="1:14">
      <c r="B61" s="278" t="s">
        <v>626</v>
      </c>
      <c r="C61" s="278" t="s">
        <v>623</v>
      </c>
      <c r="D61" s="374"/>
      <c r="E61" s="374"/>
      <c r="F61" s="374"/>
      <c r="G61" s="374"/>
      <c r="H61" s="374"/>
      <c r="I61" s="374"/>
      <c r="J61" s="374">
        <f>G1372</f>
        <v>-154740.82139648063</v>
      </c>
      <c r="K61" s="374"/>
      <c r="L61" s="374"/>
      <c r="M61" s="374"/>
      <c r="N61" s="374"/>
    </row>
    <row r="62" spans="1:14">
      <c r="B62" s="800" t="s">
        <v>896</v>
      </c>
    </row>
    <row r="63" spans="1:14">
      <c r="B63" s="800"/>
    </row>
    <row r="64" spans="1:14">
      <c r="A64" s="721"/>
      <c r="B64" s="722" t="s">
        <v>453</v>
      </c>
      <c r="C64" s="721"/>
      <c r="D64" s="721"/>
      <c r="E64" s="721"/>
      <c r="F64" s="721"/>
      <c r="G64" s="721"/>
      <c r="H64" s="721"/>
      <c r="I64" s="721"/>
      <c r="J64" s="721"/>
    </row>
    <row r="65" spans="1:10">
      <c r="A65" s="727"/>
      <c r="B65" s="729" t="s">
        <v>897</v>
      </c>
      <c r="C65" s="727"/>
      <c r="D65" s="727"/>
      <c r="E65" s="727"/>
      <c r="F65" s="727"/>
      <c r="G65" s="727"/>
      <c r="H65" s="727"/>
      <c r="I65" s="727"/>
      <c r="J65" s="727"/>
    </row>
    <row r="66" spans="1:10">
      <c r="B66" s="277" t="s">
        <v>898</v>
      </c>
      <c r="C66" s="277" t="s">
        <v>899</v>
      </c>
    </row>
    <row r="67" spans="1:10">
      <c r="B67" s="278" t="s">
        <v>453</v>
      </c>
      <c r="C67" s="278" t="s">
        <v>2622</v>
      </c>
    </row>
    <row r="68" spans="1:10">
      <c r="B68" s="16"/>
    </row>
    <row r="69" spans="1:10">
      <c r="A69" s="727"/>
      <c r="B69" s="728" t="s">
        <v>911</v>
      </c>
      <c r="C69" s="727"/>
      <c r="D69" s="727"/>
      <c r="E69" s="727"/>
      <c r="F69" s="727"/>
      <c r="G69" s="727"/>
      <c r="H69" s="727"/>
      <c r="I69" s="727"/>
      <c r="J69" s="727"/>
    </row>
    <row r="70" spans="1:10">
      <c r="A70" s="725"/>
      <c r="B70" s="726" t="s">
        <v>912</v>
      </c>
      <c r="C70" s="725"/>
      <c r="D70" s="725"/>
      <c r="E70" s="725"/>
      <c r="F70" s="725"/>
      <c r="G70" s="725"/>
      <c r="H70" s="725"/>
      <c r="I70" s="725"/>
      <c r="J70" s="725"/>
    </row>
    <row r="71" spans="1:10" ht="29.1">
      <c r="B71" s="719" t="s">
        <v>913</v>
      </c>
      <c r="C71" s="719" t="s">
        <v>914</v>
      </c>
      <c r="D71" s="719" t="s">
        <v>915</v>
      </c>
      <c r="E71" s="719" t="s">
        <v>916</v>
      </c>
      <c r="F71" s="719" t="s">
        <v>917</v>
      </c>
      <c r="G71" s="719" t="s">
        <v>918</v>
      </c>
      <c r="H71" s="719" t="s">
        <v>919</v>
      </c>
    </row>
    <row r="72" spans="1:10">
      <c r="B72" s="278">
        <v>116</v>
      </c>
      <c r="C72" s="278" t="s">
        <v>2623</v>
      </c>
      <c r="D72" s="279" t="s">
        <v>907</v>
      </c>
      <c r="E72" s="278">
        <v>2021</v>
      </c>
      <c r="F72" s="278" t="s">
        <v>1047</v>
      </c>
      <c r="G72" s="278" t="s">
        <v>1047</v>
      </c>
      <c r="H72" s="279" t="s">
        <v>907</v>
      </c>
    </row>
    <row r="73" spans="1:10">
      <c r="B73" s="16"/>
    </row>
    <row r="74" spans="1:10">
      <c r="A74" s="725"/>
      <c r="B74" s="726" t="s">
        <v>924</v>
      </c>
      <c r="C74" s="725"/>
      <c r="D74" s="725"/>
      <c r="E74" s="725"/>
      <c r="F74" s="725"/>
      <c r="G74" s="725"/>
      <c r="H74" s="725"/>
      <c r="I74" s="725"/>
      <c r="J74" s="725"/>
    </row>
    <row r="75" spans="1:10">
      <c r="B75" s="277" t="s">
        <v>165</v>
      </c>
      <c r="C75" s="277" t="s">
        <v>925</v>
      </c>
      <c r="D75" s="277" t="s">
        <v>926</v>
      </c>
      <c r="E75" s="1134" t="s">
        <v>953</v>
      </c>
      <c r="F75" s="1134"/>
      <c r="G75" s="1134"/>
      <c r="H75" s="1134"/>
      <c r="I75" s="1134"/>
      <c r="J75" s="1134"/>
    </row>
    <row r="76" spans="1:10">
      <c r="B76" s="278" t="s">
        <v>169</v>
      </c>
      <c r="C76" s="278" t="s">
        <v>167</v>
      </c>
      <c r="D76" s="278">
        <f>VLOOKUP(C76,METHODOLOGY!$C$175:$D$177,2,FALSE)</f>
        <v>2</v>
      </c>
      <c r="E76" s="1087" t="str">
        <f>_xlfn.XLOOKUP(C76,METHODOLOGY!$E$150:$O$150,METHODOLOGY!$E$151:$O$151,"",0,1)</f>
        <v>The monetary values are recommended / referenced in other, well recognised and accepted guidance / tools relevant to another sector.</v>
      </c>
      <c r="F76" s="1087"/>
      <c r="G76" s="1087"/>
      <c r="H76" s="1087"/>
      <c r="I76" s="1087"/>
      <c r="J76" s="1087"/>
    </row>
    <row r="77" spans="1:10">
      <c r="B77" s="278" t="s">
        <v>173</v>
      </c>
      <c r="C77" s="278" t="s">
        <v>166</v>
      </c>
      <c r="D77" s="278">
        <f>VLOOKUP(C77,METHODOLOGY!$C$175:$D$177,2,FALSE)</f>
        <v>3</v>
      </c>
      <c r="E77" s="1087" t="str">
        <f>_xlfn.XLOOKUP(C77,METHODOLOGY!$E$150:$O$150,METHODOLOGY!$E$155:$O$155,"",0,1)</f>
        <v>Study has few limitations and is considered robust.</v>
      </c>
      <c r="F77" s="1087"/>
      <c r="G77" s="1087"/>
      <c r="H77" s="1087"/>
      <c r="I77" s="1087"/>
      <c r="J77" s="1087"/>
    </row>
    <row r="78" spans="1:10">
      <c r="B78" s="278" t="s">
        <v>177</v>
      </c>
      <c r="C78" s="278" t="s">
        <v>166</v>
      </c>
      <c r="D78" s="278">
        <f>VLOOKUP(C78,METHODOLOGY!$C$175:$D$177,2,FALSE)</f>
        <v>3</v>
      </c>
      <c r="E78" s="1087" t="str">
        <f>_xlfn.XLOOKUP(C78,METHODOLOGY!$E$150:$O$150,METHODOLOGY!$E$158:$O$158,"",0,1)</f>
        <v>0 – 5 years</v>
      </c>
      <c r="F78" s="1087"/>
      <c r="G78" s="1087"/>
      <c r="H78" s="1087"/>
      <c r="I78" s="1087"/>
      <c r="J78" s="1087"/>
    </row>
    <row r="79" spans="1:10">
      <c r="B79" s="278" t="s">
        <v>181</v>
      </c>
      <c r="C79" s="278" t="s">
        <v>166</v>
      </c>
      <c r="D79" s="278">
        <f>VLOOKUP(C79,METHODOLOGY!$C$175:$D$177,2,FALSE)</f>
        <v>3</v>
      </c>
      <c r="E79" s="1087" t="str">
        <f>_xlfn.XLOOKUP(C79,METHODOLOGY!$E$150:$O$150,METHODOLOGY!$E$160:$O$160,"",0,1)</f>
        <v>Geographically relevant to UK</v>
      </c>
      <c r="F79" s="1087"/>
      <c r="G79" s="1087"/>
      <c r="H79" s="1087"/>
      <c r="I79" s="1087"/>
      <c r="J79" s="1087"/>
    </row>
    <row r="80" spans="1:10">
      <c r="B80" s="278" t="s">
        <v>928</v>
      </c>
      <c r="C80" s="278" t="s">
        <v>166</v>
      </c>
      <c r="D80" s="278">
        <f>VLOOKUP(C80,METHODOLOGY!$C$175:$D$177,2,FALSE)</f>
        <v>3</v>
      </c>
      <c r="E80" s="1087" t="str">
        <f>_xlfn.XLOOKUP(C80,METHODOLOGY!$E$150:$O$150,METHODOLOGY!$E162:$O162,"",0,1)</f>
        <v>Clear understanding of the valuation method and how the value should be applied.</v>
      </c>
      <c r="F80" s="1087"/>
      <c r="G80" s="1087"/>
      <c r="H80" s="1087"/>
      <c r="I80" s="1087"/>
      <c r="J80" s="1087"/>
    </row>
    <row r="81" spans="1:10">
      <c r="B81" s="278" t="s">
        <v>189</v>
      </c>
      <c r="C81" s="278" t="s">
        <v>167</v>
      </c>
      <c r="D81" s="278">
        <f>VLOOKUP(C81,METHODOLOGY!$C$175:$D$177,2,FALSE)</f>
        <v>2</v>
      </c>
      <c r="E81" s="1087" t="str">
        <f>_xlfn.XLOOKUP(C81,METHODOLOGY!$E$150:$O$150,METHODOLOGY!$E$164:$O$164,"",0,1)</f>
        <v xml:space="preserve">The original valuation can be used with some modification e.g. applying household numbers. The calculation is simple or introduces low levels of uncertainty. </v>
      </c>
      <c r="F81" s="1087"/>
      <c r="G81" s="1087"/>
      <c r="H81" s="1087"/>
      <c r="I81" s="1087"/>
      <c r="J81" s="1087"/>
    </row>
    <row r="82" spans="1:10">
      <c r="C82" s="282" t="s">
        <v>924</v>
      </c>
      <c r="D82" s="326">
        <f>IF(AND(D81=1,AVERAGE(D76:D81)&gt;2.14285714285714),2.14285714285714,IF(AND(D81=2,AVERAGE(D76:D81)&gt;2.57142857142857),2.57142857142857,AVERAGE(D76:D81)))</f>
        <v>2.5714285714285698</v>
      </c>
      <c r="E82" s="270" t="str">
        <f>IF(D82&lt;=2.14285714285714,"Red",IF(D82&lt;=2.57142857142857,"Amber",IF(D82&lt;=3,"Green")))</f>
        <v>Amber</v>
      </c>
    </row>
    <row r="84" spans="1:10">
      <c r="A84" s="725"/>
      <c r="B84" s="726" t="s">
        <v>929</v>
      </c>
      <c r="C84" s="725"/>
      <c r="D84" s="725"/>
      <c r="E84" s="725"/>
      <c r="F84" s="725"/>
      <c r="G84" s="725"/>
      <c r="H84" s="725"/>
      <c r="I84" s="725"/>
      <c r="J84" s="725"/>
    </row>
    <row r="85" spans="1:10">
      <c r="B85" s="277" t="s">
        <v>913</v>
      </c>
      <c r="C85" s="277" t="s">
        <v>902</v>
      </c>
      <c r="D85" s="277" t="s">
        <v>331</v>
      </c>
      <c r="E85" s="277" t="s">
        <v>226</v>
      </c>
      <c r="F85" s="1164" t="s">
        <v>930</v>
      </c>
      <c r="G85" s="1165"/>
      <c r="H85" s="1165"/>
      <c r="I85" s="1165"/>
      <c r="J85" s="1166"/>
    </row>
    <row r="86" spans="1:10" ht="32.450000000000003" customHeight="1">
      <c r="B86" s="1387">
        <v>116</v>
      </c>
      <c r="C86" s="278" t="s">
        <v>2624</v>
      </c>
      <c r="D86" s="278">
        <v>50</v>
      </c>
      <c r="E86" s="459" t="s">
        <v>2625</v>
      </c>
      <c r="F86" s="1095" t="s">
        <v>2626</v>
      </c>
      <c r="G86" s="1095"/>
      <c r="H86" s="1095"/>
      <c r="I86" s="1095"/>
      <c r="J86" s="1095"/>
    </row>
    <row r="87" spans="1:10" ht="32.450000000000003" customHeight="1">
      <c r="B87" s="1388"/>
      <c r="C87" s="278" t="s">
        <v>2627</v>
      </c>
      <c r="D87" s="278">
        <v>202</v>
      </c>
      <c r="E87" s="459" t="s">
        <v>2625</v>
      </c>
      <c r="F87" s="1095"/>
      <c r="G87" s="1095"/>
      <c r="H87" s="1095"/>
      <c r="I87" s="1095"/>
      <c r="J87" s="1095"/>
    </row>
    <row r="89" spans="1:10">
      <c r="A89" s="725"/>
      <c r="B89" s="726" t="s">
        <v>936</v>
      </c>
      <c r="C89" s="725"/>
      <c r="D89" s="725"/>
      <c r="E89" s="725"/>
      <c r="F89" s="725"/>
      <c r="G89" s="725"/>
      <c r="H89" s="725"/>
      <c r="I89" s="725"/>
      <c r="J89" s="725"/>
    </row>
    <row r="90" spans="1:10">
      <c r="B90" s="298" t="s">
        <v>902</v>
      </c>
      <c r="C90" s="298" t="s">
        <v>2628</v>
      </c>
      <c r="D90" s="1170" t="s">
        <v>930</v>
      </c>
      <c r="E90" s="1170"/>
      <c r="F90" s="1170"/>
    </row>
    <row r="91" spans="1:10">
      <c r="B91" s="383" t="s">
        <v>2624</v>
      </c>
      <c r="C91" s="604">
        <f>D86</f>
        <v>50</v>
      </c>
      <c r="D91" s="1105" t="s">
        <v>2629</v>
      </c>
      <c r="E91" s="1105"/>
      <c r="F91" s="1105"/>
    </row>
    <row r="92" spans="1:10">
      <c r="B92" s="383" t="s">
        <v>2627</v>
      </c>
      <c r="C92" s="604">
        <f>D87</f>
        <v>202</v>
      </c>
      <c r="D92" s="1105"/>
      <c r="E92" s="1105"/>
      <c r="F92" s="1105"/>
    </row>
    <row r="93" spans="1:10" ht="29.25" customHeight="1">
      <c r="B93" s="334" t="s">
        <v>2630</v>
      </c>
      <c r="C93" s="511">
        <f>AVERAGE(C91:C92)</f>
        <v>126</v>
      </c>
      <c r="D93" s="1095" t="s">
        <v>2631</v>
      </c>
      <c r="E93" s="1095"/>
      <c r="F93" s="1095"/>
    </row>
    <row r="114" spans="1:10">
      <c r="A114" s="727"/>
      <c r="B114" s="728" t="s">
        <v>943</v>
      </c>
      <c r="C114" s="727"/>
      <c r="D114" s="727"/>
      <c r="E114" s="727"/>
      <c r="F114" s="727"/>
      <c r="G114" s="727"/>
      <c r="H114" s="727"/>
      <c r="I114" s="727"/>
      <c r="J114" s="727"/>
    </row>
    <row r="115" spans="1:10">
      <c r="A115" s="725"/>
      <c r="B115" s="726" t="s">
        <v>912</v>
      </c>
      <c r="C115" s="725"/>
      <c r="D115" s="725"/>
      <c r="E115" s="725"/>
      <c r="F115" s="725"/>
      <c r="G115" s="725"/>
      <c r="H115" s="725"/>
      <c r="I115" s="725"/>
      <c r="J115" s="725"/>
    </row>
    <row r="116" spans="1:10" ht="29.1">
      <c r="B116" s="719" t="s">
        <v>913</v>
      </c>
      <c r="C116" s="719" t="s">
        <v>914</v>
      </c>
      <c r="D116" s="719" t="s">
        <v>915</v>
      </c>
      <c r="E116" s="719" t="s">
        <v>916</v>
      </c>
      <c r="F116" s="719" t="s">
        <v>917</v>
      </c>
      <c r="G116" s="719" t="s">
        <v>918</v>
      </c>
      <c r="H116" s="719" t="s">
        <v>919</v>
      </c>
    </row>
    <row r="117" spans="1:10">
      <c r="B117" s="278">
        <v>117</v>
      </c>
      <c r="C117" s="278" t="s">
        <v>2632</v>
      </c>
      <c r="D117" s="279" t="s">
        <v>1182</v>
      </c>
      <c r="E117" s="278">
        <v>2011</v>
      </c>
      <c r="F117" s="278" t="s">
        <v>1047</v>
      </c>
      <c r="G117" s="278" t="s">
        <v>1047</v>
      </c>
      <c r="H117" s="279" t="s">
        <v>907</v>
      </c>
    </row>
    <row r="118" spans="1:10">
      <c r="B118" s="16"/>
    </row>
    <row r="119" spans="1:10">
      <c r="A119" s="725"/>
      <c r="B119" s="726" t="s">
        <v>924</v>
      </c>
      <c r="C119" s="725"/>
      <c r="D119" s="725"/>
      <c r="E119" s="725"/>
      <c r="F119" s="725"/>
      <c r="G119" s="725"/>
      <c r="H119" s="725"/>
      <c r="I119" s="725"/>
      <c r="J119" s="725"/>
    </row>
    <row r="120" spans="1:10">
      <c r="B120" s="277" t="s">
        <v>165</v>
      </c>
      <c r="C120" s="277" t="s">
        <v>925</v>
      </c>
      <c r="D120" s="277" t="s">
        <v>926</v>
      </c>
      <c r="E120" s="1134" t="s">
        <v>953</v>
      </c>
      <c r="F120" s="1134"/>
      <c r="G120" s="1134"/>
      <c r="H120" s="1134"/>
      <c r="I120" s="1134"/>
      <c r="J120" s="1134"/>
    </row>
    <row r="121" spans="1:10">
      <c r="B121" s="278" t="s">
        <v>169</v>
      </c>
      <c r="C121" s="278" t="s">
        <v>166</v>
      </c>
      <c r="D121" s="278">
        <f>VLOOKUP(C121,METHODOLOGY!$C$175:$D$177,2,FALSE)</f>
        <v>3</v>
      </c>
      <c r="E121" s="1087" t="str">
        <f>_xlfn.XLOOKUP(C121,METHODOLOGY!$E$150:$O$150,METHODOLOGY!$E$151:$O$151,"",0,1)</f>
        <v>Monetary values have been peer reviewed or are recommended / referenced in other, well recognised and accepted guidance / tools relevant to the water sector.</v>
      </c>
      <c r="F121" s="1087"/>
      <c r="G121" s="1087"/>
      <c r="H121" s="1087"/>
      <c r="I121" s="1087"/>
      <c r="J121" s="1087"/>
    </row>
    <row r="122" spans="1:10">
      <c r="B122" s="278" t="s">
        <v>173</v>
      </c>
      <c r="C122" s="278" t="s">
        <v>166</v>
      </c>
      <c r="D122" s="278">
        <f>VLOOKUP(C122,METHODOLOGY!$C$175:$D$177,2,FALSE)</f>
        <v>3</v>
      </c>
      <c r="E122" s="1087" t="str">
        <f>_xlfn.XLOOKUP(C122,METHODOLOGY!$E$150:$O$150,METHODOLOGY!$E$155:$O$155,"",0,1)</f>
        <v>Study has few limitations and is considered robust.</v>
      </c>
      <c r="F122" s="1087"/>
      <c r="G122" s="1087"/>
      <c r="H122" s="1087"/>
      <c r="I122" s="1087"/>
      <c r="J122" s="1087"/>
    </row>
    <row r="123" spans="1:10">
      <c r="B123" s="278" t="s">
        <v>177</v>
      </c>
      <c r="C123" s="278" t="s">
        <v>168</v>
      </c>
      <c r="D123" s="278">
        <f>VLOOKUP(C123,METHODOLOGY!$C$175:$D$177,2,FALSE)</f>
        <v>1</v>
      </c>
      <c r="E123" s="1087" t="str">
        <f>_xlfn.XLOOKUP(C123,METHODOLOGY!$E$150:$O$150,METHODOLOGY!$E$158:$O$158,"",0,1)</f>
        <v>&gt;10 years</v>
      </c>
      <c r="F123" s="1087"/>
      <c r="G123" s="1087"/>
      <c r="H123" s="1087"/>
      <c r="I123" s="1087"/>
      <c r="J123" s="1087"/>
    </row>
    <row r="124" spans="1:10">
      <c r="B124" s="278" t="s">
        <v>181</v>
      </c>
      <c r="C124" s="278" t="s">
        <v>166</v>
      </c>
      <c r="D124" s="278">
        <f>VLOOKUP(C124,METHODOLOGY!$C$175:$D$177,2,FALSE)</f>
        <v>3</v>
      </c>
      <c r="E124" s="1087" t="str">
        <f>_xlfn.XLOOKUP(C124,METHODOLOGY!$E$150:$O$150,METHODOLOGY!$E$160:$O$160,"",0,1)</f>
        <v>Geographically relevant to UK</v>
      </c>
      <c r="F124" s="1087"/>
      <c r="G124" s="1087"/>
      <c r="H124" s="1087"/>
      <c r="I124" s="1087"/>
      <c r="J124" s="1087"/>
    </row>
    <row r="125" spans="1:10">
      <c r="B125" s="278" t="s">
        <v>928</v>
      </c>
      <c r="C125" s="278" t="s">
        <v>167</v>
      </c>
      <c r="D125" s="278">
        <f>VLOOKUP(C125,METHODOLOGY!$C$175:$D$177,2,FALSE)</f>
        <v>2</v>
      </c>
      <c r="E125" s="1087" t="str">
        <f>_xlfn.XLOOKUP(C125,METHODOLOGY!$E$150:$O$150,METHODOLOGY!$E$162:$O$162,"",0,1)</f>
        <v>Meta-analysis or limited understanding of what the value represents.</v>
      </c>
      <c r="F125" s="1087"/>
      <c r="G125" s="1087"/>
      <c r="H125" s="1087"/>
      <c r="I125" s="1087"/>
      <c r="J125" s="1087"/>
    </row>
    <row r="126" spans="1:10">
      <c r="B126" s="278" t="s">
        <v>189</v>
      </c>
      <c r="C126" s="278" t="s">
        <v>168</v>
      </c>
      <c r="D126" s="278">
        <f>VLOOKUP(C126,METHODOLOGY!$C$175:$D$177,2,FALSE)</f>
        <v>1</v>
      </c>
      <c r="E126" s="1087" t="str">
        <f>_xlfn.XLOOKUP(C126,METHODOLOGY!$E$150:$O$150,METHODOLOGY!$E$164:$O$164,"",0,1)</f>
        <v xml:space="preserve">The original valuation can be used with significant modification e.g. several additional data inputs are required to use the original source. The calculation is complex or introduces significant uncertainty. </v>
      </c>
      <c r="F126" s="1087"/>
      <c r="G126" s="1087"/>
      <c r="H126" s="1087"/>
      <c r="I126" s="1087"/>
      <c r="J126" s="1087"/>
    </row>
    <row r="127" spans="1:10">
      <c r="C127" s="282" t="s">
        <v>924</v>
      </c>
      <c r="D127" s="326">
        <f>IF(AND(D126=1,AVERAGE(D121:D126)&gt;2.14285714285714),2.14285714285714,IF(AND(D126=2,AVERAGE(D121:D126)&gt;2.57142857142857),2.57142857142857,AVERAGE(D121:D126)))</f>
        <v>2.1428571428571401</v>
      </c>
      <c r="E127" s="270" t="str">
        <f>IF(D127&lt;=2.14285714285714,"Red",IF(D127&lt;=2.57142857142857,"Amber",IF(D127&lt;=3,"Green")))</f>
        <v>Red</v>
      </c>
    </row>
    <row r="129" spans="1:10">
      <c r="A129" s="725"/>
      <c r="B129" s="726" t="s">
        <v>929</v>
      </c>
      <c r="C129" s="725"/>
      <c r="D129" s="725"/>
      <c r="E129" s="725"/>
      <c r="F129" s="725"/>
      <c r="G129" s="725"/>
      <c r="H129" s="725"/>
      <c r="I129" s="725"/>
      <c r="J129" s="725"/>
    </row>
    <row r="130" spans="1:10">
      <c r="B130" s="277" t="s">
        <v>913</v>
      </c>
      <c r="C130" s="277" t="s">
        <v>953</v>
      </c>
      <c r="D130" s="277" t="s">
        <v>331</v>
      </c>
      <c r="E130" s="277" t="s">
        <v>226</v>
      </c>
      <c r="F130" s="1164" t="s">
        <v>930</v>
      </c>
      <c r="G130" s="1165"/>
      <c r="H130" s="1165"/>
      <c r="I130" s="1165"/>
      <c r="J130" s="1166"/>
    </row>
    <row r="131" spans="1:10" ht="45" customHeight="1">
      <c r="B131" s="1246">
        <v>117</v>
      </c>
      <c r="C131" s="375" t="s">
        <v>2633</v>
      </c>
      <c r="D131" s="278">
        <v>16</v>
      </c>
      <c r="E131" s="394" t="s">
        <v>2095</v>
      </c>
      <c r="F131" s="1118" t="s">
        <v>2634</v>
      </c>
      <c r="G131" s="1119"/>
      <c r="H131" s="1119"/>
      <c r="I131" s="1119"/>
      <c r="J131" s="1091"/>
    </row>
    <row r="132" spans="1:10" ht="45" customHeight="1">
      <c r="B132" s="1246"/>
      <c r="C132" s="375" t="s">
        <v>2635</v>
      </c>
      <c r="D132" s="278">
        <v>12</v>
      </c>
      <c r="E132" s="394" t="s">
        <v>2095</v>
      </c>
      <c r="F132" s="1118" t="s">
        <v>2636</v>
      </c>
      <c r="G132" s="1119"/>
      <c r="H132" s="1119"/>
      <c r="I132" s="1119"/>
      <c r="J132" s="1091"/>
    </row>
    <row r="149" spans="1:10">
      <c r="A149" s="725"/>
      <c r="B149" s="726" t="s">
        <v>936</v>
      </c>
      <c r="C149" s="725"/>
      <c r="D149" s="725"/>
      <c r="E149" s="725"/>
      <c r="F149" s="725"/>
      <c r="G149" s="725"/>
      <c r="H149" s="725"/>
      <c r="I149" s="725"/>
      <c r="J149" s="725"/>
    </row>
    <row r="150" spans="1:10">
      <c r="B150" s="298" t="s">
        <v>902</v>
      </c>
      <c r="C150" s="298" t="s">
        <v>2628</v>
      </c>
      <c r="D150" s="1170" t="s">
        <v>930</v>
      </c>
      <c r="E150" s="1170"/>
      <c r="F150" s="1170"/>
    </row>
    <row r="151" spans="1:10" ht="45" customHeight="1">
      <c r="B151" s="383" t="s">
        <v>617</v>
      </c>
      <c r="C151" s="604">
        <f>AVERAGE(D131:D132)</f>
        <v>14</v>
      </c>
      <c r="D151" s="1381" t="s">
        <v>2637</v>
      </c>
      <c r="E151" s="1382"/>
      <c r="F151" s="1092"/>
    </row>
    <row r="152" spans="1:10" ht="30" customHeight="1">
      <c r="B152" s="383" t="s">
        <v>618</v>
      </c>
      <c r="C152" s="604">
        <f>C151*0.75</f>
        <v>10.5</v>
      </c>
      <c r="D152" s="1381" t="s">
        <v>2638</v>
      </c>
      <c r="E152" s="1382"/>
      <c r="F152" s="1092"/>
    </row>
    <row r="153" spans="1:10" ht="30" customHeight="1">
      <c r="B153" s="334" t="s">
        <v>619</v>
      </c>
      <c r="C153" s="511">
        <f>C151*0.5</f>
        <v>7</v>
      </c>
      <c r="D153" s="1381" t="s">
        <v>2639</v>
      </c>
      <c r="E153" s="1382"/>
      <c r="F153" s="1092"/>
    </row>
    <row r="155" spans="1:10">
      <c r="A155" s="727"/>
      <c r="B155" s="728" t="s">
        <v>901</v>
      </c>
      <c r="C155" s="727"/>
      <c r="D155" s="727"/>
      <c r="E155" s="727"/>
      <c r="F155" s="727"/>
      <c r="G155" s="727"/>
      <c r="H155" s="727"/>
      <c r="I155" s="727"/>
      <c r="J155" s="727"/>
    </row>
    <row r="156" spans="1:10" ht="29.1">
      <c r="B156" s="719" t="s">
        <v>902</v>
      </c>
      <c r="C156" s="719" t="s">
        <v>898</v>
      </c>
      <c r="D156" s="719" t="s">
        <v>899</v>
      </c>
      <c r="E156" s="719" t="s">
        <v>903</v>
      </c>
      <c r="F156" s="719" t="s">
        <v>904</v>
      </c>
      <c r="G156" s="719" t="s">
        <v>905</v>
      </c>
      <c r="H156" s="752" t="s">
        <v>924</v>
      </c>
      <c r="I156" s="752" t="s">
        <v>956</v>
      </c>
      <c r="J156" s="752" t="s">
        <v>927</v>
      </c>
    </row>
    <row r="157" spans="1:10" ht="30" customHeight="1">
      <c r="B157" s="383" t="s">
        <v>585</v>
      </c>
      <c r="C157" s="278" t="s">
        <v>453</v>
      </c>
      <c r="D157" s="299" t="s">
        <v>2622</v>
      </c>
      <c r="E157" s="299" t="s">
        <v>957</v>
      </c>
      <c r="F157" s="278" t="str" cm="1">
        <f t="array" ref="F157">_xlfn.XLOOKUP(1,($D$166:$D$171=B157)*($E$166:$E$171=C157),$B$166:$B$171,"Not found",0,1)</f>
        <v>30-1</v>
      </c>
      <c r="G157" s="311">
        <f>VLOOKUP(F157,B164:L167,11,FALSE)</f>
        <v>-227.50489079202114</v>
      </c>
      <c r="H157" s="1120">
        <f>$D$82</f>
        <v>2.5714285714285698</v>
      </c>
      <c r="I157" s="1149" t="s">
        <v>2640</v>
      </c>
      <c r="J157" s="1149" t="s">
        <v>2641</v>
      </c>
    </row>
    <row r="158" spans="1:10" ht="30" customHeight="1">
      <c r="B158" s="334" t="s">
        <v>587</v>
      </c>
      <c r="C158" s="278" t="s">
        <v>453</v>
      </c>
      <c r="D158" s="299" t="s">
        <v>2622</v>
      </c>
      <c r="E158" s="299" t="s">
        <v>957</v>
      </c>
      <c r="F158" s="278" t="str" cm="1">
        <f t="array" ref="F158">_xlfn.XLOOKUP(1,($D$166:$D$171=B158)*($E$166:$E$171=C158),$B$166:$B$171,"Not found",0,1)</f>
        <v>30-2</v>
      </c>
      <c r="G158" s="311">
        <f>VLOOKUP(F158,B165:L168,11,FALSE)</f>
        <v>-141.90899128611218</v>
      </c>
      <c r="H158" s="1121"/>
      <c r="I158" s="1149"/>
      <c r="J158" s="1149"/>
    </row>
    <row r="159" spans="1:10" ht="30" customHeight="1">
      <c r="B159" s="383" t="s">
        <v>588</v>
      </c>
      <c r="C159" s="278" t="s">
        <v>453</v>
      </c>
      <c r="D159" s="299" t="s">
        <v>2622</v>
      </c>
      <c r="E159" s="299" t="s">
        <v>957</v>
      </c>
      <c r="F159" s="278" t="str" cm="1">
        <f t="array" ref="F159">_xlfn.XLOOKUP(1,($D$166:$D$171=B159)*($E$166:$E$171=C159),$B$166:$B$171,"Not found",0,1)</f>
        <v>30-3</v>
      </c>
      <c r="G159" s="311">
        <f>VLOOKUP(F159,B165:L169,11,FALSE)</f>
        <v>-56.313091780203251</v>
      </c>
      <c r="H159" s="1122"/>
      <c r="I159" s="1149"/>
      <c r="J159" s="1149"/>
    </row>
    <row r="160" spans="1:10" ht="30" customHeight="1">
      <c r="B160" s="383" t="s">
        <v>617</v>
      </c>
      <c r="C160" s="278" t="s">
        <v>453</v>
      </c>
      <c r="D160" s="299" t="s">
        <v>2622</v>
      </c>
      <c r="E160" s="299" t="s">
        <v>960</v>
      </c>
      <c r="F160" s="278" t="str" cm="1">
        <f t="array" ref="F160">_xlfn.XLOOKUP(1,($D$166:$D$171=B160)*($E$166:$E$171=C160),$B$166:$B$171,"Not found",0,1)</f>
        <v>30-4</v>
      </c>
      <c r="G160" s="311">
        <f>VLOOKUP(F160,B166:L170,11,FALSE)</f>
        <v>-19.332984418995487</v>
      </c>
      <c r="H160" s="1120">
        <f>$D$127</f>
        <v>2.1428571428571401</v>
      </c>
      <c r="I160" s="1149" t="s">
        <v>2642</v>
      </c>
      <c r="J160" s="1149" t="s">
        <v>2643</v>
      </c>
    </row>
    <row r="161" spans="1:23" ht="30" customHeight="1">
      <c r="B161" s="383" t="s">
        <v>618</v>
      </c>
      <c r="C161" s="278" t="s">
        <v>453</v>
      </c>
      <c r="D161" s="299" t="s">
        <v>2622</v>
      </c>
      <c r="E161" s="299" t="s">
        <v>960</v>
      </c>
      <c r="F161" s="278" t="str" cm="1">
        <f t="array" ref="F161">_xlfn.XLOOKUP(1,($D$166:$D$171=B161)*($E$166:$E$171=C161),$B$166:$B$171,"Not found",0,1)</f>
        <v>30-5</v>
      </c>
      <c r="G161" s="311">
        <f>VLOOKUP(F161,B167:L171,11,FALSE)</f>
        <v>-14.499738314246615</v>
      </c>
      <c r="H161" s="1121"/>
      <c r="I161" s="1149"/>
      <c r="J161" s="1149"/>
    </row>
    <row r="162" spans="1:23" ht="30" customHeight="1">
      <c r="B162" s="334" t="s">
        <v>619</v>
      </c>
      <c r="C162" s="278" t="s">
        <v>453</v>
      </c>
      <c r="D162" s="299" t="s">
        <v>2622</v>
      </c>
      <c r="E162" s="299" t="s">
        <v>960</v>
      </c>
      <c r="F162" s="278" t="str" cm="1">
        <f t="array" ref="F162">_xlfn.XLOOKUP(1,($D$166:$D$171=B162)*($E$166:$E$171=C162),$B$166:$B$171,"Not found",0,1)</f>
        <v>30-6</v>
      </c>
      <c r="G162" s="311">
        <f>VLOOKUP(F162,B168:L172,11,FALSE)</f>
        <v>-9.6664922094977435</v>
      </c>
      <c r="H162" s="1122"/>
      <c r="I162" s="1149"/>
      <c r="J162" s="1149"/>
    </row>
    <row r="163" spans="1:23">
      <c r="B163" s="18"/>
    </row>
    <row r="164" spans="1:23">
      <c r="A164" s="725"/>
      <c r="B164" s="726" t="s">
        <v>962</v>
      </c>
      <c r="C164" s="725"/>
      <c r="D164" s="725"/>
      <c r="E164" s="725"/>
      <c r="F164" s="725"/>
      <c r="G164" s="725"/>
      <c r="H164" s="725"/>
      <c r="I164" s="725"/>
      <c r="J164" s="725"/>
    </row>
    <row r="165" spans="1:23">
      <c r="B165" s="277" t="s">
        <v>904</v>
      </c>
      <c r="C165" s="277" t="s">
        <v>62</v>
      </c>
      <c r="D165" s="277" t="s">
        <v>902</v>
      </c>
      <c r="E165" s="277" t="s">
        <v>898</v>
      </c>
      <c r="F165" s="277" t="s">
        <v>916</v>
      </c>
      <c r="G165" s="277" t="s">
        <v>963</v>
      </c>
      <c r="H165" s="277" t="s">
        <v>964</v>
      </c>
      <c r="I165" s="277" t="s">
        <v>965</v>
      </c>
      <c r="J165" s="277" t="s">
        <v>966</v>
      </c>
      <c r="K165" s="277" t="s">
        <v>967</v>
      </c>
      <c r="L165" s="277" t="s">
        <v>968</v>
      </c>
      <c r="M165" s="277" t="s">
        <v>956</v>
      </c>
      <c r="N165" s="277" t="s">
        <v>969</v>
      </c>
      <c r="O165" s="277" t="s">
        <v>970</v>
      </c>
      <c r="P165" s="277" t="s">
        <v>927</v>
      </c>
      <c r="Q165" s="277" t="s">
        <v>913</v>
      </c>
      <c r="R165" s="277" t="s">
        <v>914</v>
      </c>
      <c r="S165" s="277" t="s">
        <v>915</v>
      </c>
      <c r="T165" s="277" t="s">
        <v>916</v>
      </c>
      <c r="U165" s="277" t="s">
        <v>1291</v>
      </c>
      <c r="V165" s="277" t="s">
        <v>918</v>
      </c>
      <c r="W165" s="277" t="s">
        <v>919</v>
      </c>
    </row>
    <row r="166" spans="1:23">
      <c r="B166" s="302" t="s">
        <v>2644</v>
      </c>
      <c r="C166" s="278" t="s">
        <v>2645</v>
      </c>
      <c r="D166" s="299" t="s">
        <v>585</v>
      </c>
      <c r="E166" s="278" t="s">
        <v>453</v>
      </c>
      <c r="F166" s="299">
        <f>$E$72</f>
        <v>2021</v>
      </c>
      <c r="G166" s="278">
        <v>2021</v>
      </c>
      <c r="H166" s="278">
        <f>'COMPANY INPUT'!$C$16</f>
        <v>2023</v>
      </c>
      <c r="I166" s="278">
        <f>VLOOKUP(G166,'GDP Deflators'!$H$13:$I$86,2,FALSE)</f>
        <v>88.789299999999997</v>
      </c>
      <c r="J166" s="278">
        <f>VLOOKUP(H166,'GDP Deflators'!$H$13:$I$86,2,FALSE)</f>
        <v>100</v>
      </c>
      <c r="K166" s="297">
        <f>-C92</f>
        <v>-202</v>
      </c>
      <c r="L166" s="746">
        <f t="shared" ref="L166:L171" si="1">K166*(J166/I166)</f>
        <v>-227.50489079202114</v>
      </c>
      <c r="M166" s="278" t="str">
        <f>$I$157</f>
        <v>Based on B£ST</v>
      </c>
      <c r="N166" s="326">
        <f>$H$157</f>
        <v>2.5714285714285698</v>
      </c>
      <c r="O166" s="278" t="s">
        <v>718</v>
      </c>
      <c r="P166" s="278" t="str">
        <f>$J$157</f>
        <v>This is a recent piece of work carried out for the Storm Overflow Evidence Project and is UK specific valuation</v>
      </c>
      <c r="Q166" s="299">
        <f>B$72</f>
        <v>116</v>
      </c>
      <c r="R166" s="299" t="str">
        <f t="shared" ref="R166:W168" si="2">C$72</f>
        <v>Water UK / Stantec (2021) Storm overflow evidence project</v>
      </c>
      <c r="S166" s="299" t="str">
        <f t="shared" si="2"/>
        <v>/</v>
      </c>
      <c r="T166" s="299">
        <f t="shared" si="2"/>
        <v>2021</v>
      </c>
      <c r="U166" s="299" t="str">
        <f t="shared" si="2"/>
        <v>UK</v>
      </c>
      <c r="V166" s="299" t="str">
        <f t="shared" si="2"/>
        <v>UK</v>
      </c>
      <c r="W166" s="299" t="str">
        <f t="shared" si="2"/>
        <v>/</v>
      </c>
    </row>
    <row r="167" spans="1:23">
      <c r="B167" s="302" t="s">
        <v>2646</v>
      </c>
      <c r="C167" s="278" t="s">
        <v>2645</v>
      </c>
      <c r="D167" s="334" t="s">
        <v>587</v>
      </c>
      <c r="E167" s="278" t="s">
        <v>453</v>
      </c>
      <c r="F167" s="299">
        <f t="shared" ref="F167:F168" si="3">$E$72</f>
        <v>2021</v>
      </c>
      <c r="G167" s="278">
        <v>2021</v>
      </c>
      <c r="H167" s="278">
        <f>'COMPANY INPUT'!$C$16</f>
        <v>2023</v>
      </c>
      <c r="I167" s="278">
        <f>VLOOKUP(G167,'GDP Deflators'!$H$13:$I$86,2,FALSE)</f>
        <v>88.789299999999997</v>
      </c>
      <c r="J167" s="278">
        <f>VLOOKUP(H167,'GDP Deflators'!$H$13:$I$86,2,FALSE)</f>
        <v>100</v>
      </c>
      <c r="K167" s="297">
        <f>-C93</f>
        <v>-126</v>
      </c>
      <c r="L167" s="746">
        <f t="shared" si="1"/>
        <v>-141.90899128611218</v>
      </c>
      <c r="M167" s="278" t="str">
        <f>$I$157</f>
        <v>Based on B£ST</v>
      </c>
      <c r="N167" s="326">
        <f>$H$157</f>
        <v>2.5714285714285698</v>
      </c>
      <c r="O167" s="278" t="s">
        <v>718</v>
      </c>
      <c r="P167" s="278" t="str">
        <f>$J$157</f>
        <v>This is a recent piece of work carried out for the Storm Overflow Evidence Project and is UK specific valuation</v>
      </c>
      <c r="Q167" s="299">
        <f t="shared" ref="Q167:Q168" si="4">B$72</f>
        <v>116</v>
      </c>
      <c r="R167" s="299" t="str">
        <f t="shared" si="2"/>
        <v>Water UK / Stantec (2021) Storm overflow evidence project</v>
      </c>
      <c r="S167" s="299" t="str">
        <f t="shared" si="2"/>
        <v>/</v>
      </c>
      <c r="T167" s="299">
        <f t="shared" si="2"/>
        <v>2021</v>
      </c>
      <c r="U167" s="299" t="str">
        <f t="shared" si="2"/>
        <v>UK</v>
      </c>
      <c r="V167" s="299" t="str">
        <f t="shared" si="2"/>
        <v>UK</v>
      </c>
      <c r="W167" s="299" t="str">
        <f t="shared" si="2"/>
        <v>/</v>
      </c>
    </row>
    <row r="168" spans="1:23">
      <c r="B168" s="302" t="s">
        <v>2647</v>
      </c>
      <c r="C168" s="278" t="s">
        <v>2645</v>
      </c>
      <c r="D168" s="299" t="s">
        <v>588</v>
      </c>
      <c r="E168" s="278" t="s">
        <v>453</v>
      </c>
      <c r="F168" s="299">
        <f t="shared" si="3"/>
        <v>2021</v>
      </c>
      <c r="G168" s="278">
        <v>2021</v>
      </c>
      <c r="H168" s="278">
        <f>'COMPANY INPUT'!$C$16</f>
        <v>2023</v>
      </c>
      <c r="I168" s="278">
        <f>VLOOKUP(G168,'GDP Deflators'!$H$13:$I$86,2,FALSE)</f>
        <v>88.789299999999997</v>
      </c>
      <c r="J168" s="278">
        <f>VLOOKUP(H168,'GDP Deflators'!$H$13:$I$86,2,FALSE)</f>
        <v>100</v>
      </c>
      <c r="K168" s="297">
        <f>-C91</f>
        <v>-50</v>
      </c>
      <c r="L168" s="746">
        <f t="shared" si="1"/>
        <v>-56.313091780203251</v>
      </c>
      <c r="M168" s="278" t="str">
        <f>$I$157</f>
        <v>Based on B£ST</v>
      </c>
      <c r="N168" s="326">
        <f>$H$157</f>
        <v>2.5714285714285698</v>
      </c>
      <c r="O168" s="278" t="s">
        <v>718</v>
      </c>
      <c r="P168" s="278" t="str">
        <f>$J$157</f>
        <v>This is a recent piece of work carried out for the Storm Overflow Evidence Project and is UK specific valuation</v>
      </c>
      <c r="Q168" s="299">
        <f t="shared" si="4"/>
        <v>116</v>
      </c>
      <c r="R168" s="299" t="str">
        <f t="shared" si="2"/>
        <v>Water UK / Stantec (2021) Storm overflow evidence project</v>
      </c>
      <c r="S168" s="299" t="str">
        <f t="shared" si="2"/>
        <v>/</v>
      </c>
      <c r="T168" s="299">
        <f t="shared" si="2"/>
        <v>2021</v>
      </c>
      <c r="U168" s="299" t="str">
        <f t="shared" si="2"/>
        <v>UK</v>
      </c>
      <c r="V168" s="299" t="str">
        <f t="shared" si="2"/>
        <v>UK</v>
      </c>
      <c r="W168" s="299" t="str">
        <f t="shared" si="2"/>
        <v>/</v>
      </c>
    </row>
    <row r="169" spans="1:23">
      <c r="B169" s="302" t="s">
        <v>2648</v>
      </c>
      <c r="C169" s="278" t="s">
        <v>2645</v>
      </c>
      <c r="D169" s="299" t="s">
        <v>617</v>
      </c>
      <c r="E169" s="278" t="s">
        <v>453</v>
      </c>
      <c r="F169" s="299">
        <f>$E$117</f>
        <v>2011</v>
      </c>
      <c r="G169" s="278">
        <v>2010</v>
      </c>
      <c r="H169" s="278">
        <f>'COMPANY INPUT'!$C$16</f>
        <v>2023</v>
      </c>
      <c r="I169" s="278">
        <f>VLOOKUP(G169,'GDP Deflators'!$H$13:$I$86,2,FALSE)</f>
        <v>72.415099999999995</v>
      </c>
      <c r="J169" s="278">
        <f>VLOOKUP(H169,'GDP Deflators'!$H$13:$I$86,2,FALSE)</f>
        <v>100</v>
      </c>
      <c r="K169" s="297">
        <f>-C151</f>
        <v>-14</v>
      </c>
      <c r="L169" s="746">
        <f t="shared" si="1"/>
        <v>-19.332984418995487</v>
      </c>
      <c r="M169" s="278" t="str">
        <f>$I$160</f>
        <v>Cost of alternatives (sources of water)</v>
      </c>
      <c r="N169" s="326">
        <f>$H$160</f>
        <v>2.1428571428571401</v>
      </c>
      <c r="O169" s="278" t="s">
        <v>718</v>
      </c>
      <c r="P169" s="278" t="str">
        <f>$J$160</f>
        <v>This is the only value found available. We have decided to include as it is from a reputable source vetted by Defra</v>
      </c>
      <c r="Q169" s="299">
        <f t="shared" ref="Q169:Q171" si="5">B$117</f>
        <v>117</v>
      </c>
      <c r="R169" s="299" t="str">
        <f t="shared" ref="R169:W171" si="6">C$117</f>
        <v>Morris and Camino (2011) UK NEA Working Paper Economic Assessment of Freshwater, Wetland and Floodplain (FWF) Ecosystem Services</v>
      </c>
      <c r="S169" s="299" t="str">
        <f t="shared" si="6"/>
        <v>ENCA</v>
      </c>
      <c r="T169" s="299">
        <f t="shared" si="6"/>
        <v>2011</v>
      </c>
      <c r="U169" s="299" t="str">
        <f t="shared" si="6"/>
        <v>UK</v>
      </c>
      <c r="V169" s="299" t="str">
        <f t="shared" si="6"/>
        <v>UK</v>
      </c>
      <c r="W169" s="299" t="str">
        <f t="shared" si="6"/>
        <v>/</v>
      </c>
    </row>
    <row r="170" spans="1:23">
      <c r="B170" s="302" t="s">
        <v>2649</v>
      </c>
      <c r="C170" s="278" t="s">
        <v>2645</v>
      </c>
      <c r="D170" s="299" t="s">
        <v>618</v>
      </c>
      <c r="E170" s="278" t="s">
        <v>453</v>
      </c>
      <c r="F170" s="299">
        <f t="shared" ref="F170:F171" si="7">$E$117</f>
        <v>2011</v>
      </c>
      <c r="G170" s="278">
        <v>2010</v>
      </c>
      <c r="H170" s="278">
        <f>'COMPANY INPUT'!$C$16</f>
        <v>2023</v>
      </c>
      <c r="I170" s="278">
        <f>VLOOKUP(G170,'GDP Deflators'!$H$13:$I$86,2,FALSE)</f>
        <v>72.415099999999995</v>
      </c>
      <c r="J170" s="278">
        <f>VLOOKUP(H170,'GDP Deflators'!$H$13:$I$86,2,FALSE)</f>
        <v>100</v>
      </c>
      <c r="K170" s="297">
        <f>-C152</f>
        <v>-10.5</v>
      </c>
      <c r="L170" s="746">
        <f t="shared" si="1"/>
        <v>-14.499738314246615</v>
      </c>
      <c r="M170" s="278" t="str">
        <f>$I$160</f>
        <v>Cost of alternatives (sources of water)</v>
      </c>
      <c r="N170" s="326">
        <f>$H$160</f>
        <v>2.1428571428571401</v>
      </c>
      <c r="O170" s="278" t="s">
        <v>718</v>
      </c>
      <c r="P170" s="278" t="str">
        <f>$J$160</f>
        <v>This is the only value found available. We have decided to include as it is from a reputable source vetted by Defra</v>
      </c>
      <c r="Q170" s="299">
        <f t="shared" si="5"/>
        <v>117</v>
      </c>
      <c r="R170" s="299" t="str">
        <f t="shared" si="6"/>
        <v>Morris and Camino (2011) UK NEA Working Paper Economic Assessment of Freshwater, Wetland and Floodplain (FWF) Ecosystem Services</v>
      </c>
      <c r="S170" s="299" t="str">
        <f t="shared" si="6"/>
        <v>ENCA</v>
      </c>
      <c r="T170" s="299">
        <f t="shared" si="6"/>
        <v>2011</v>
      </c>
      <c r="U170" s="299" t="str">
        <f t="shared" si="6"/>
        <v>UK</v>
      </c>
      <c r="V170" s="299" t="str">
        <f t="shared" si="6"/>
        <v>UK</v>
      </c>
      <c r="W170" s="299" t="str">
        <f t="shared" si="6"/>
        <v>/</v>
      </c>
    </row>
    <row r="171" spans="1:23">
      <c r="B171" s="302" t="s">
        <v>2650</v>
      </c>
      <c r="C171" s="278" t="s">
        <v>2645</v>
      </c>
      <c r="D171" s="334" t="s">
        <v>619</v>
      </c>
      <c r="E171" s="278" t="s">
        <v>453</v>
      </c>
      <c r="F171" s="299">
        <f t="shared" si="7"/>
        <v>2011</v>
      </c>
      <c r="G171" s="278">
        <v>2010</v>
      </c>
      <c r="H171" s="278">
        <f>'COMPANY INPUT'!$C$16</f>
        <v>2023</v>
      </c>
      <c r="I171" s="278">
        <f>VLOOKUP(G171,'GDP Deflators'!$H$13:$I$86,2,FALSE)</f>
        <v>72.415099999999995</v>
      </c>
      <c r="J171" s="278">
        <f>VLOOKUP(H171,'GDP Deflators'!$H$13:$I$86,2,FALSE)</f>
        <v>100</v>
      </c>
      <c r="K171" s="297">
        <f>-C153</f>
        <v>-7</v>
      </c>
      <c r="L171" s="746">
        <f t="shared" si="1"/>
        <v>-9.6664922094977435</v>
      </c>
      <c r="M171" s="278" t="str">
        <f>$I$160</f>
        <v>Cost of alternatives (sources of water)</v>
      </c>
      <c r="N171" s="326">
        <f>$H$160</f>
        <v>2.1428571428571401</v>
      </c>
      <c r="O171" s="278" t="s">
        <v>718</v>
      </c>
      <c r="P171" s="278" t="str">
        <f>$J$160</f>
        <v>This is the only value found available. We have decided to include as it is from a reputable source vetted by Defra</v>
      </c>
      <c r="Q171" s="299">
        <f t="shared" si="5"/>
        <v>117</v>
      </c>
      <c r="R171" s="299" t="str">
        <f t="shared" si="6"/>
        <v>Morris and Camino (2011) UK NEA Working Paper Economic Assessment of Freshwater, Wetland and Floodplain (FWF) Ecosystem Services</v>
      </c>
      <c r="S171" s="299" t="str">
        <f t="shared" si="6"/>
        <v>ENCA</v>
      </c>
      <c r="T171" s="299">
        <f t="shared" si="6"/>
        <v>2011</v>
      </c>
      <c r="U171" s="299" t="str">
        <f t="shared" si="6"/>
        <v>UK</v>
      </c>
      <c r="V171" s="299" t="str">
        <f t="shared" si="6"/>
        <v>UK</v>
      </c>
      <c r="W171" s="299" t="str">
        <f t="shared" si="6"/>
        <v>/</v>
      </c>
    </row>
    <row r="173" spans="1:23">
      <c r="A173" s="721"/>
      <c r="B173" s="722" t="s">
        <v>354</v>
      </c>
      <c r="C173" s="721"/>
      <c r="D173" s="721"/>
      <c r="E173" s="721"/>
      <c r="F173" s="721"/>
      <c r="G173" s="721"/>
      <c r="H173" s="721"/>
      <c r="I173" s="721"/>
      <c r="J173" s="721"/>
    </row>
    <row r="174" spans="1:23">
      <c r="A174" s="727"/>
      <c r="B174" s="729" t="s">
        <v>897</v>
      </c>
      <c r="C174" s="727"/>
      <c r="D174" s="727"/>
      <c r="E174" s="727"/>
      <c r="F174" s="727"/>
      <c r="G174" s="727"/>
      <c r="H174" s="727"/>
      <c r="I174" s="727"/>
      <c r="J174" s="727"/>
    </row>
    <row r="175" spans="1:23">
      <c r="B175" s="277" t="s">
        <v>898</v>
      </c>
      <c r="C175" s="277" t="s">
        <v>899</v>
      </c>
    </row>
    <row r="176" spans="1:23">
      <c r="B176" s="278" t="s">
        <v>354</v>
      </c>
      <c r="C176" s="278" t="s">
        <v>2651</v>
      </c>
    </row>
    <row r="177" spans="1:10">
      <c r="B177" s="16"/>
    </row>
    <row r="178" spans="1:10">
      <c r="A178" s="727"/>
      <c r="B178" s="728" t="s">
        <v>1028</v>
      </c>
      <c r="C178" s="727"/>
      <c r="D178" s="727"/>
      <c r="E178" s="727"/>
      <c r="F178" s="727"/>
      <c r="G178" s="727"/>
      <c r="H178" s="727"/>
      <c r="I178" s="727"/>
      <c r="J178" s="727"/>
    </row>
    <row r="179" spans="1:10">
      <c r="A179" s="725"/>
      <c r="B179" s="726" t="s">
        <v>912</v>
      </c>
      <c r="C179" s="725"/>
      <c r="D179" s="725"/>
      <c r="E179" s="725"/>
      <c r="F179" s="725"/>
      <c r="G179" s="725"/>
      <c r="H179" s="725"/>
      <c r="I179" s="725"/>
      <c r="J179" s="725"/>
    </row>
    <row r="180" spans="1:10" ht="29.1">
      <c r="B180" s="719" t="s">
        <v>913</v>
      </c>
      <c r="C180" s="719" t="s">
        <v>914</v>
      </c>
      <c r="D180" s="719" t="s">
        <v>915</v>
      </c>
      <c r="E180" s="719" t="s">
        <v>916</v>
      </c>
      <c r="F180" s="719" t="s">
        <v>917</v>
      </c>
      <c r="G180" s="719" t="s">
        <v>918</v>
      </c>
      <c r="H180" s="719" t="s">
        <v>919</v>
      </c>
    </row>
    <row r="181" spans="1:10">
      <c r="B181" s="278">
        <v>117</v>
      </c>
      <c r="C181" s="278" t="s">
        <v>2632</v>
      </c>
      <c r="D181" s="279" t="s">
        <v>1182</v>
      </c>
      <c r="E181" s="278">
        <v>2011</v>
      </c>
      <c r="F181" s="278" t="s">
        <v>1047</v>
      </c>
      <c r="G181" s="278" t="s">
        <v>1047</v>
      </c>
      <c r="H181" s="279" t="s">
        <v>907</v>
      </c>
    </row>
    <row r="182" spans="1:10">
      <c r="B182" s="16"/>
    </row>
    <row r="183" spans="1:10">
      <c r="A183" s="725"/>
      <c r="B183" s="726" t="s">
        <v>924</v>
      </c>
      <c r="C183" s="725"/>
      <c r="D183" s="725"/>
      <c r="E183" s="725"/>
      <c r="F183" s="725"/>
      <c r="G183" s="725"/>
      <c r="H183" s="725"/>
      <c r="I183" s="725"/>
      <c r="J183" s="725"/>
    </row>
    <row r="184" spans="1:10">
      <c r="B184" s="277" t="s">
        <v>165</v>
      </c>
      <c r="C184" s="277" t="s">
        <v>925</v>
      </c>
      <c r="D184" s="277" t="s">
        <v>926</v>
      </c>
      <c r="E184" s="1134" t="s">
        <v>953</v>
      </c>
      <c r="F184" s="1134"/>
      <c r="G184" s="1134"/>
      <c r="H184" s="1134"/>
      <c r="I184" s="1134"/>
      <c r="J184" s="1134"/>
    </row>
    <row r="185" spans="1:10">
      <c r="B185" s="278" t="s">
        <v>169</v>
      </c>
      <c r="C185" s="278" t="s">
        <v>166</v>
      </c>
      <c r="D185" s="278">
        <f>VLOOKUP(C185,METHODOLOGY!$C$175:$D$177,2,FALSE)</f>
        <v>3</v>
      </c>
      <c r="E185" s="1087" t="str">
        <f>_xlfn.XLOOKUP(C185,METHODOLOGY!$E$150:$O$150,METHODOLOGY!$E$151:$O$151,"",0,1)</f>
        <v>Monetary values have been peer reviewed or are recommended / referenced in other, well recognised and accepted guidance / tools relevant to the water sector.</v>
      </c>
      <c r="F185" s="1087"/>
      <c r="G185" s="1087"/>
      <c r="H185" s="1087"/>
      <c r="I185" s="1087"/>
      <c r="J185" s="1087"/>
    </row>
    <row r="186" spans="1:10">
      <c r="B186" s="278" t="s">
        <v>173</v>
      </c>
      <c r="C186" s="278" t="s">
        <v>166</v>
      </c>
      <c r="D186" s="278">
        <f>VLOOKUP(C186,METHODOLOGY!$C$175:$D$177,2,FALSE)</f>
        <v>3</v>
      </c>
      <c r="E186" s="1087" t="str">
        <f>_xlfn.XLOOKUP(C186,METHODOLOGY!$E$150:$O$150,METHODOLOGY!$E$155:$O$155,"",0,1)</f>
        <v>Study has few limitations and is considered robust.</v>
      </c>
      <c r="F186" s="1087"/>
      <c r="G186" s="1087"/>
      <c r="H186" s="1087"/>
      <c r="I186" s="1087"/>
      <c r="J186" s="1087"/>
    </row>
    <row r="187" spans="1:10">
      <c r="B187" s="278" t="s">
        <v>177</v>
      </c>
      <c r="C187" s="278" t="s">
        <v>168</v>
      </c>
      <c r="D187" s="278">
        <f>VLOOKUP(C187,METHODOLOGY!$C$175:$D$177,2,FALSE)</f>
        <v>1</v>
      </c>
      <c r="E187" s="1087" t="str">
        <f>_xlfn.XLOOKUP(C187,METHODOLOGY!$E$150:$O$150,METHODOLOGY!$E$158:$O$158,"",0,1)</f>
        <v>&gt;10 years</v>
      </c>
      <c r="F187" s="1087"/>
      <c r="G187" s="1087"/>
      <c r="H187" s="1087"/>
      <c r="I187" s="1087"/>
      <c r="J187" s="1087"/>
    </row>
    <row r="188" spans="1:10">
      <c r="B188" s="278" t="s">
        <v>181</v>
      </c>
      <c r="C188" s="278" t="s">
        <v>166</v>
      </c>
      <c r="D188" s="278">
        <f>VLOOKUP(C188,METHODOLOGY!$C$175:$D$177,2,FALSE)</f>
        <v>3</v>
      </c>
      <c r="E188" s="1087" t="str">
        <f>_xlfn.XLOOKUP(C188,METHODOLOGY!$E$150:$O$150,METHODOLOGY!$E$160:$O$160,"",0,1)</f>
        <v>Geographically relevant to UK</v>
      </c>
      <c r="F188" s="1087"/>
      <c r="G188" s="1087"/>
      <c r="H188" s="1087"/>
      <c r="I188" s="1087"/>
      <c r="J188" s="1087"/>
    </row>
    <row r="189" spans="1:10">
      <c r="B189" s="278" t="s">
        <v>928</v>
      </c>
      <c r="C189" s="278" t="s">
        <v>167</v>
      </c>
      <c r="D189" s="278">
        <f>VLOOKUP(C189,METHODOLOGY!$C$175:$D$177,2,FALSE)</f>
        <v>2</v>
      </c>
      <c r="E189" s="1087" t="str">
        <f>_xlfn.XLOOKUP(C189,METHODOLOGY!$E$150:$O$150,METHODOLOGY!$E162:$O162,"",0,1)</f>
        <v>Meta-analysis or limited understanding of what the value represents.</v>
      </c>
      <c r="F189" s="1087"/>
      <c r="G189" s="1087"/>
      <c r="H189" s="1087"/>
      <c r="I189" s="1087"/>
      <c r="J189" s="1087"/>
    </row>
    <row r="190" spans="1:10">
      <c r="B190" s="278" t="s">
        <v>189</v>
      </c>
      <c r="C190" s="278" t="s">
        <v>168</v>
      </c>
      <c r="D190" s="278">
        <f>VLOOKUP(C190,METHODOLOGY!$C$175:$D$177,2,FALSE)</f>
        <v>1</v>
      </c>
      <c r="E190" s="1087" t="str">
        <f>_xlfn.XLOOKUP(C190,METHODOLOGY!$E$150:$O$150,METHODOLOGY!$E$164:$O$164,"",0,1)</f>
        <v xml:space="preserve">The original valuation can be used with significant modification e.g. several additional data inputs are required to use the original source. The calculation is complex or introduces significant uncertainty. </v>
      </c>
      <c r="F190" s="1087"/>
      <c r="G190" s="1087"/>
      <c r="H190" s="1087"/>
      <c r="I190" s="1087"/>
      <c r="J190" s="1087"/>
    </row>
    <row r="191" spans="1:10">
      <c r="C191" s="282" t="s">
        <v>924</v>
      </c>
      <c r="D191" s="326">
        <f>IF(AND(D190=1,AVERAGE(D185:D190)&gt;2.14285714285714),2.14285714285714,IF(AND(D190=2,AVERAGE(D185:D190)&gt;2.57142857142857),2.57142857142857,AVERAGE(D185:D190)))</f>
        <v>2.1428571428571401</v>
      </c>
      <c r="E191" s="270" t="str">
        <f>IF(D191&lt;=2.14285714285714,"Red",IF(D191&lt;=2.57142857142857,"Amber",IF(D191&lt;=3,"Green")))</f>
        <v>Red</v>
      </c>
    </row>
    <row r="193" spans="1:10">
      <c r="A193" s="725"/>
      <c r="B193" s="726" t="s">
        <v>929</v>
      </c>
      <c r="C193" s="725"/>
      <c r="D193" s="725"/>
      <c r="E193" s="725"/>
      <c r="F193" s="725"/>
      <c r="G193" s="725"/>
      <c r="H193" s="725"/>
      <c r="I193" s="725"/>
      <c r="J193" s="725"/>
    </row>
    <row r="194" spans="1:10">
      <c r="B194" s="277" t="s">
        <v>913</v>
      </c>
      <c r="C194" s="277" t="s">
        <v>953</v>
      </c>
      <c r="D194" s="277" t="s">
        <v>331</v>
      </c>
      <c r="E194" s="277" t="s">
        <v>226</v>
      </c>
      <c r="F194" s="1128" t="s">
        <v>930</v>
      </c>
      <c r="G194" s="1129"/>
      <c r="H194" s="1129"/>
      <c r="I194" s="1129"/>
      <c r="J194" s="1130"/>
    </row>
    <row r="195" spans="1:10" ht="45" customHeight="1">
      <c r="B195" s="1135">
        <v>117</v>
      </c>
      <c r="C195" s="375" t="s">
        <v>2652</v>
      </c>
      <c r="D195" s="278">
        <v>436</v>
      </c>
      <c r="E195" s="278" t="s">
        <v>2095</v>
      </c>
      <c r="F195" s="1395" t="s">
        <v>2653</v>
      </c>
      <c r="G195" s="1396"/>
      <c r="H195" s="1396"/>
      <c r="I195" s="1396"/>
      <c r="J195" s="1397"/>
    </row>
    <row r="196" spans="1:10" ht="45" customHeight="1">
      <c r="B196" s="1136"/>
      <c r="C196" s="375" t="s">
        <v>2654</v>
      </c>
      <c r="D196" s="278">
        <v>292</v>
      </c>
      <c r="E196" s="278" t="s">
        <v>2095</v>
      </c>
      <c r="F196" s="1395" t="s">
        <v>2655</v>
      </c>
      <c r="G196" s="1396"/>
      <c r="H196" s="1396"/>
      <c r="I196" s="1396"/>
      <c r="J196" s="1397"/>
    </row>
    <row r="197" spans="1:10" ht="45" customHeight="1">
      <c r="B197" s="1136"/>
      <c r="C197" s="375" t="s">
        <v>2656</v>
      </c>
      <c r="D197" s="278">
        <v>2676</v>
      </c>
      <c r="E197" s="278" t="s">
        <v>2095</v>
      </c>
      <c r="F197" s="1395" t="s">
        <v>2657</v>
      </c>
      <c r="G197" s="1396"/>
      <c r="H197" s="1396"/>
      <c r="I197" s="1396"/>
      <c r="J197" s="1397"/>
    </row>
    <row r="198" spans="1:10" ht="45" customHeight="1">
      <c r="B198" s="1137"/>
      <c r="C198" s="375" t="s">
        <v>2658</v>
      </c>
      <c r="D198" s="278">
        <v>1793</v>
      </c>
      <c r="E198" s="278" t="s">
        <v>2095</v>
      </c>
      <c r="F198" s="1395" t="s">
        <v>2636</v>
      </c>
      <c r="G198" s="1396"/>
      <c r="H198" s="1396"/>
      <c r="I198" s="1396"/>
      <c r="J198" s="1397"/>
    </row>
    <row r="200" spans="1:10">
      <c r="A200" s="725"/>
      <c r="B200" s="726" t="s">
        <v>936</v>
      </c>
      <c r="C200" s="725"/>
      <c r="D200" s="725"/>
      <c r="E200" s="725"/>
      <c r="F200" s="725"/>
      <c r="G200" s="725"/>
      <c r="H200" s="725"/>
      <c r="I200" s="725"/>
      <c r="J200" s="725"/>
    </row>
    <row r="201" spans="1:10">
      <c r="B201" s="298" t="s">
        <v>902</v>
      </c>
      <c r="C201" s="298" t="s">
        <v>2628</v>
      </c>
      <c r="D201" s="1170" t="s">
        <v>930</v>
      </c>
      <c r="E201" s="1170"/>
      <c r="F201" s="1170"/>
    </row>
    <row r="202" spans="1:10">
      <c r="B202" s="278" t="s">
        <v>593</v>
      </c>
      <c r="C202" s="604">
        <f>AVERAGE(D195:D196)</f>
        <v>364</v>
      </c>
      <c r="D202" s="1381" t="s">
        <v>2637</v>
      </c>
      <c r="E202" s="1382"/>
      <c r="F202" s="1092"/>
    </row>
    <row r="203" spans="1:10">
      <c r="B203" s="278" t="s">
        <v>2659</v>
      </c>
      <c r="C203" s="604">
        <f>C202*0.75</f>
        <v>273</v>
      </c>
      <c r="D203" s="1381" t="s">
        <v>2638</v>
      </c>
      <c r="E203" s="1382"/>
      <c r="F203" s="1092"/>
    </row>
    <row r="204" spans="1:10">
      <c r="B204" s="278" t="s">
        <v>2660</v>
      </c>
      <c r="C204" s="604">
        <f>C202*0.5</f>
        <v>182</v>
      </c>
      <c r="D204" s="1381" t="s">
        <v>2639</v>
      </c>
      <c r="E204" s="1382"/>
      <c r="F204" s="1092"/>
    </row>
    <row r="205" spans="1:10">
      <c r="B205" s="278" t="s">
        <v>602</v>
      </c>
      <c r="C205" s="604">
        <f>AVERAGE(D195:D196)</f>
        <v>364</v>
      </c>
      <c r="D205" s="1381" t="s">
        <v>2637</v>
      </c>
      <c r="E205" s="1382"/>
      <c r="F205" s="1092"/>
    </row>
    <row r="206" spans="1:10">
      <c r="B206" s="278" t="s">
        <v>603</v>
      </c>
      <c r="C206" s="604">
        <f>C205*0.75</f>
        <v>273</v>
      </c>
      <c r="D206" s="1381" t="s">
        <v>2638</v>
      </c>
      <c r="E206" s="1382"/>
      <c r="F206" s="1092"/>
    </row>
    <row r="207" spans="1:10">
      <c r="B207" s="278" t="s">
        <v>604</v>
      </c>
      <c r="C207" s="604">
        <f>C205*0.5</f>
        <v>182</v>
      </c>
      <c r="D207" s="1381" t="s">
        <v>2639</v>
      </c>
      <c r="E207" s="1382"/>
      <c r="F207" s="1092"/>
    </row>
    <row r="208" spans="1:10">
      <c r="B208" s="278" t="s">
        <v>617</v>
      </c>
      <c r="C208" s="604">
        <f>AVERAGE(D197:D198)</f>
        <v>2234.5</v>
      </c>
      <c r="D208" s="1381" t="s">
        <v>2637</v>
      </c>
      <c r="E208" s="1382"/>
      <c r="F208" s="1092"/>
    </row>
    <row r="209" spans="1:10">
      <c r="B209" s="278" t="s">
        <v>618</v>
      </c>
      <c r="C209" s="604">
        <f>C208*0.75</f>
        <v>1675.875</v>
      </c>
      <c r="D209" s="1381" t="s">
        <v>2638</v>
      </c>
      <c r="E209" s="1382"/>
      <c r="F209" s="1092"/>
    </row>
    <row r="210" spans="1:10">
      <c r="B210" s="278" t="s">
        <v>619</v>
      </c>
      <c r="C210" s="604">
        <f>C208*0.5</f>
        <v>1117.25</v>
      </c>
      <c r="D210" s="1381" t="s">
        <v>2639</v>
      </c>
      <c r="E210" s="1382"/>
      <c r="F210" s="1092"/>
    </row>
    <row r="212" spans="1:10">
      <c r="A212" s="727"/>
      <c r="B212" s="728" t="s">
        <v>1039</v>
      </c>
      <c r="C212" s="727"/>
      <c r="D212" s="727"/>
      <c r="E212" s="727"/>
      <c r="F212" s="727"/>
      <c r="G212" s="727"/>
      <c r="H212" s="727"/>
      <c r="I212" s="727"/>
      <c r="J212" s="727"/>
    </row>
    <row r="213" spans="1:10">
      <c r="A213" s="725"/>
      <c r="B213" s="726" t="s">
        <v>912</v>
      </c>
      <c r="C213" s="725"/>
      <c r="D213" s="725"/>
      <c r="E213" s="725"/>
      <c r="F213" s="725"/>
      <c r="G213" s="725"/>
      <c r="H213" s="725"/>
      <c r="I213" s="725"/>
      <c r="J213" s="725"/>
    </row>
    <row r="214" spans="1:10" ht="29.1">
      <c r="B214" s="719" t="s">
        <v>913</v>
      </c>
      <c r="C214" s="719" t="s">
        <v>914</v>
      </c>
      <c r="D214" s="719" t="s">
        <v>915</v>
      </c>
      <c r="E214" s="719" t="s">
        <v>916</v>
      </c>
      <c r="F214" s="719" t="s">
        <v>917</v>
      </c>
      <c r="G214" s="719" t="s">
        <v>918</v>
      </c>
      <c r="H214" s="719" t="s">
        <v>919</v>
      </c>
    </row>
    <row r="215" spans="1:10">
      <c r="B215" s="278">
        <v>118</v>
      </c>
      <c r="C215" s="278" t="s">
        <v>2661</v>
      </c>
      <c r="D215" s="279" t="s">
        <v>1182</v>
      </c>
      <c r="E215" s="278">
        <v>2011</v>
      </c>
      <c r="F215" s="278" t="s">
        <v>1047</v>
      </c>
      <c r="G215" s="278" t="s">
        <v>1047</v>
      </c>
      <c r="H215" s="279" t="s">
        <v>907</v>
      </c>
    </row>
    <row r="216" spans="1:10">
      <c r="B216" s="16"/>
    </row>
    <row r="217" spans="1:10">
      <c r="A217" s="725"/>
      <c r="B217" s="726" t="s">
        <v>924</v>
      </c>
      <c r="C217" s="725"/>
      <c r="D217" s="725"/>
      <c r="E217" s="725"/>
      <c r="F217" s="725"/>
      <c r="G217" s="725"/>
      <c r="H217" s="725"/>
      <c r="I217" s="725"/>
      <c r="J217" s="725"/>
    </row>
    <row r="218" spans="1:10">
      <c r="B218" s="277" t="s">
        <v>165</v>
      </c>
      <c r="C218" s="277" t="s">
        <v>925</v>
      </c>
      <c r="D218" s="277" t="s">
        <v>926</v>
      </c>
      <c r="E218" s="1134" t="s">
        <v>953</v>
      </c>
      <c r="F218" s="1134"/>
      <c r="G218" s="1134"/>
      <c r="H218" s="1134"/>
      <c r="I218" s="1134"/>
      <c r="J218" s="1134"/>
    </row>
    <row r="219" spans="1:10">
      <c r="B219" s="278" t="s">
        <v>169</v>
      </c>
      <c r="C219" s="278" t="s">
        <v>166</v>
      </c>
      <c r="D219" s="278">
        <f>VLOOKUP(C219,METHODOLOGY!$C$175:$D$177,2,FALSE)</f>
        <v>3</v>
      </c>
      <c r="E219" s="1087" t="str">
        <f>_xlfn.XLOOKUP(C219,METHODOLOGY!$E$150:$O$150,METHODOLOGY!$E$151:$O$151,"",0,1)</f>
        <v>Monetary values have been peer reviewed or are recommended / referenced in other, well recognised and accepted guidance / tools relevant to the water sector.</v>
      </c>
      <c r="F219" s="1087"/>
      <c r="G219" s="1087"/>
      <c r="H219" s="1087"/>
      <c r="I219" s="1087"/>
      <c r="J219" s="1087"/>
    </row>
    <row r="220" spans="1:10">
      <c r="B220" s="278" t="s">
        <v>173</v>
      </c>
      <c r="C220" s="278" t="s">
        <v>166</v>
      </c>
      <c r="D220" s="278">
        <f>VLOOKUP(C220,METHODOLOGY!$C$175:$D$177,2,FALSE)</f>
        <v>3</v>
      </c>
      <c r="E220" s="1087" t="str">
        <f>_xlfn.XLOOKUP(C220,METHODOLOGY!$E$150:$O$150,METHODOLOGY!$E$155:$O$155,"",0,1)</f>
        <v>Study has few limitations and is considered robust.</v>
      </c>
      <c r="F220" s="1087"/>
      <c r="G220" s="1087"/>
      <c r="H220" s="1087"/>
      <c r="I220" s="1087"/>
      <c r="J220" s="1087"/>
    </row>
    <row r="221" spans="1:10">
      <c r="B221" s="278" t="s">
        <v>177</v>
      </c>
      <c r="C221" s="278" t="s">
        <v>168</v>
      </c>
      <c r="D221" s="278">
        <f>VLOOKUP(C221,METHODOLOGY!$C$175:$D$177,2,FALSE)</f>
        <v>1</v>
      </c>
      <c r="E221" s="1087" t="str">
        <f>_xlfn.XLOOKUP(C221,METHODOLOGY!$E$150:$O$150,METHODOLOGY!$E$158:$O$158,"",0,1)</f>
        <v>&gt;10 years</v>
      </c>
      <c r="F221" s="1087"/>
      <c r="G221" s="1087"/>
      <c r="H221" s="1087"/>
      <c r="I221" s="1087"/>
      <c r="J221" s="1087"/>
    </row>
    <row r="222" spans="1:10">
      <c r="B222" s="278" t="s">
        <v>181</v>
      </c>
      <c r="C222" s="278" t="s">
        <v>166</v>
      </c>
      <c r="D222" s="278">
        <f>VLOOKUP(C222,METHODOLOGY!$C$175:$D$177,2,FALSE)</f>
        <v>3</v>
      </c>
      <c r="E222" s="1087" t="str">
        <f>_xlfn.XLOOKUP(C222,METHODOLOGY!$E$150:$O$150,METHODOLOGY!$E$160:$O$160,"",0,1)</f>
        <v>Geographically relevant to UK</v>
      </c>
      <c r="F222" s="1087"/>
      <c r="G222" s="1087"/>
      <c r="H222" s="1087"/>
      <c r="I222" s="1087"/>
      <c r="J222" s="1087"/>
    </row>
    <row r="223" spans="1:10">
      <c r="B223" s="278" t="s">
        <v>928</v>
      </c>
      <c r="C223" s="278" t="s">
        <v>167</v>
      </c>
      <c r="D223" s="278">
        <f>VLOOKUP(C223,METHODOLOGY!$C$175:$D$177,2,FALSE)</f>
        <v>2</v>
      </c>
      <c r="E223" s="1087" t="str">
        <f>_xlfn.XLOOKUP(C223,METHODOLOGY!$E$150:$O$150,METHODOLOGY!$E162:$O162,"",0,1)</f>
        <v>Meta-analysis or limited understanding of what the value represents.</v>
      </c>
      <c r="F223" s="1087"/>
      <c r="G223" s="1087"/>
      <c r="H223" s="1087"/>
      <c r="I223" s="1087"/>
      <c r="J223" s="1087"/>
    </row>
    <row r="224" spans="1:10">
      <c r="B224" s="278" t="s">
        <v>189</v>
      </c>
      <c r="C224" s="278" t="s">
        <v>168</v>
      </c>
      <c r="D224" s="278">
        <f>VLOOKUP(C224,METHODOLOGY!$C$175:$D$177,2,FALSE)</f>
        <v>1</v>
      </c>
      <c r="E224" s="1087" t="str">
        <f>_xlfn.XLOOKUP(C224,METHODOLOGY!$E$150:$O$150,METHODOLOGY!$E$164:$O$164,"",0,1)</f>
        <v xml:space="preserve">The original valuation can be used with significant modification e.g. several additional data inputs are required to use the original source. The calculation is complex or introduces significant uncertainty. </v>
      </c>
      <c r="F224" s="1087"/>
      <c r="G224" s="1087"/>
      <c r="H224" s="1087"/>
      <c r="I224" s="1087"/>
      <c r="J224" s="1087"/>
    </row>
    <row r="225" spans="1:11">
      <c r="C225" s="282" t="s">
        <v>924</v>
      </c>
      <c r="D225" s="326">
        <f>IF(AND(D224=1,AVERAGE(D219:D224)&gt;2.14285714285714),2.14285714285714,IF(AND(D224=2,AVERAGE(D219:D224)&gt;2.57142857142857),2.57142857142857,AVERAGE(D219:D224)))</f>
        <v>2.1428571428571401</v>
      </c>
      <c r="E225" s="270" t="str">
        <f>IF(D225&lt;=2.14285714285714,"Red",IF(D225&lt;=2.57142857142857,"Amber",IF(D225&lt;=3,"Green")))</f>
        <v>Red</v>
      </c>
    </row>
    <row r="227" spans="1:11">
      <c r="A227" s="725"/>
      <c r="B227" s="726" t="s">
        <v>929</v>
      </c>
      <c r="C227" s="725"/>
      <c r="D227" s="725"/>
      <c r="E227" s="725"/>
      <c r="F227" s="725"/>
      <c r="G227" s="725"/>
      <c r="H227" s="725"/>
      <c r="I227" s="725"/>
      <c r="J227" s="725"/>
    </row>
    <row r="228" spans="1:11">
      <c r="B228" s="277" t="s">
        <v>913</v>
      </c>
      <c r="C228" s="277" t="s">
        <v>2662</v>
      </c>
      <c r="D228" s="277" t="s">
        <v>953</v>
      </c>
      <c r="E228" s="277" t="s">
        <v>331</v>
      </c>
      <c r="F228" s="277" t="s">
        <v>226</v>
      </c>
    </row>
    <row r="229" spans="1:11">
      <c r="B229" s="1191">
        <v>118</v>
      </c>
      <c r="C229" s="278" t="s">
        <v>2663</v>
      </c>
      <c r="D229" s="278" t="s">
        <v>2664</v>
      </c>
      <c r="E229" s="304">
        <v>2902</v>
      </c>
      <c r="F229" s="278" t="s">
        <v>2665</v>
      </c>
      <c r="K229" s="219"/>
    </row>
    <row r="230" spans="1:11">
      <c r="B230" s="1192"/>
      <c r="C230" s="278" t="s">
        <v>2663</v>
      </c>
      <c r="D230" s="278" t="s">
        <v>2666</v>
      </c>
      <c r="E230" s="304">
        <v>160</v>
      </c>
      <c r="F230" s="278" t="s">
        <v>2665</v>
      </c>
      <c r="K230" s="219"/>
    </row>
    <row r="231" spans="1:11">
      <c r="B231" s="1192"/>
      <c r="C231" s="278" t="s">
        <v>2663</v>
      </c>
      <c r="D231" s="278" t="s">
        <v>2667</v>
      </c>
      <c r="E231" s="304">
        <v>6796</v>
      </c>
      <c r="F231" s="278" t="s">
        <v>2665</v>
      </c>
      <c r="K231" s="219"/>
    </row>
    <row r="232" spans="1:11">
      <c r="B232" s="1192"/>
      <c r="C232" s="278" t="s">
        <v>2668</v>
      </c>
      <c r="D232" s="278" t="s">
        <v>2664</v>
      </c>
      <c r="E232" s="304">
        <v>2028</v>
      </c>
      <c r="F232" s="278" t="s">
        <v>2665</v>
      </c>
    </row>
    <row r="233" spans="1:11">
      <c r="B233" s="1192"/>
      <c r="C233" s="278" t="s">
        <v>2668</v>
      </c>
      <c r="D233" s="278" t="s">
        <v>2669</v>
      </c>
      <c r="E233" s="304">
        <v>112</v>
      </c>
      <c r="F233" s="278" t="s">
        <v>2665</v>
      </c>
      <c r="K233" s="219"/>
    </row>
    <row r="234" spans="1:11">
      <c r="B234" s="1193"/>
      <c r="C234" s="278" t="s">
        <v>2668</v>
      </c>
      <c r="D234" s="278" t="s">
        <v>2667</v>
      </c>
      <c r="E234" s="304">
        <v>1377</v>
      </c>
      <c r="F234" s="278" t="s">
        <v>2665</v>
      </c>
    </row>
    <row r="235" spans="1:11">
      <c r="F235" s="3"/>
      <c r="G235" s="3"/>
      <c r="H235" s="3"/>
      <c r="I235" s="3"/>
      <c r="J235" s="3"/>
      <c r="K235" s="605"/>
    </row>
    <row r="236" spans="1:11">
      <c r="F236" s="3"/>
      <c r="G236" s="3"/>
      <c r="H236" s="3"/>
      <c r="I236" s="3"/>
      <c r="J236" s="3"/>
      <c r="K236" s="605"/>
    </row>
    <row r="237" spans="1:11">
      <c r="D237" s="606"/>
      <c r="F237" s="3"/>
      <c r="G237" s="3"/>
      <c r="H237" s="3"/>
      <c r="I237" s="3"/>
      <c r="J237" s="3"/>
      <c r="K237" s="605"/>
    </row>
    <row r="238" spans="1:11" ht="15" customHeight="1">
      <c r="D238" s="607"/>
      <c r="F238" s="3"/>
      <c r="G238" s="3"/>
      <c r="H238" s="3"/>
      <c r="I238" s="3"/>
      <c r="J238" s="3"/>
      <c r="K238" s="3"/>
    </row>
    <row r="239" spans="1:11" ht="15" customHeight="1">
      <c r="D239" s="607"/>
      <c r="F239" s="3"/>
      <c r="G239" s="3"/>
      <c r="H239" s="3"/>
      <c r="I239" s="3"/>
      <c r="J239" s="3"/>
      <c r="K239" s="605"/>
    </row>
    <row r="240" spans="1:11" ht="15" customHeight="1">
      <c r="D240" s="608"/>
      <c r="F240" s="3"/>
      <c r="G240" s="3"/>
      <c r="H240" s="3"/>
      <c r="I240" s="3"/>
      <c r="J240" s="3"/>
      <c r="K240" s="605"/>
    </row>
    <row r="241" spans="4:11" ht="15" customHeight="1">
      <c r="D241" s="608"/>
      <c r="F241" s="3"/>
      <c r="G241" s="3"/>
      <c r="H241" s="3"/>
      <c r="I241" s="3"/>
      <c r="J241" s="3"/>
      <c r="K241" s="3"/>
    </row>
    <row r="242" spans="4:11" ht="15" customHeight="1">
      <c r="D242" s="606"/>
      <c r="F242" s="3"/>
      <c r="G242" s="3"/>
      <c r="H242" s="3"/>
      <c r="I242" s="3"/>
      <c r="J242" s="3"/>
      <c r="K242" s="605"/>
    </row>
    <row r="243" spans="4:11">
      <c r="D243" s="609"/>
      <c r="F243" s="3"/>
      <c r="G243" s="3"/>
      <c r="H243" s="3"/>
      <c r="I243" s="3"/>
      <c r="J243" s="3"/>
      <c r="K243" s="605"/>
    </row>
    <row r="244" spans="4:11">
      <c r="D244" s="606"/>
      <c r="F244" s="3"/>
      <c r="G244" s="3"/>
      <c r="H244" s="3"/>
      <c r="I244" s="3"/>
      <c r="J244" s="3"/>
      <c r="K244" s="605"/>
    </row>
    <row r="245" spans="4:11" ht="15" customHeight="1">
      <c r="D245" s="608"/>
      <c r="F245" s="3"/>
      <c r="G245" s="3"/>
      <c r="H245" s="3"/>
      <c r="I245" s="3"/>
      <c r="J245" s="3"/>
      <c r="K245" s="3"/>
    </row>
    <row r="246" spans="4:11" ht="15" customHeight="1">
      <c r="D246" s="608"/>
      <c r="F246" s="3"/>
      <c r="G246" s="3"/>
      <c r="H246" s="3"/>
      <c r="I246" s="3"/>
      <c r="J246" s="3"/>
      <c r="K246" s="605"/>
    </row>
    <row r="247" spans="4:11" ht="15" customHeight="1">
      <c r="D247" s="608"/>
      <c r="F247" s="3"/>
      <c r="G247" s="3"/>
      <c r="H247" s="3"/>
      <c r="I247" s="3"/>
      <c r="J247" s="3"/>
      <c r="K247" s="605"/>
    </row>
    <row r="248" spans="4:11" ht="15" customHeight="1">
      <c r="D248" s="606"/>
      <c r="F248" s="3"/>
      <c r="G248" s="3"/>
      <c r="H248" s="3"/>
      <c r="I248" s="3"/>
      <c r="J248" s="3"/>
      <c r="K248" s="3"/>
    </row>
    <row r="249" spans="4:11" ht="15" customHeight="1">
      <c r="D249" s="608"/>
      <c r="F249" s="3"/>
      <c r="G249" s="3"/>
      <c r="H249" s="3"/>
      <c r="I249" s="3"/>
      <c r="J249" s="3"/>
      <c r="K249" s="3"/>
    </row>
    <row r="250" spans="4:11" ht="15" customHeight="1">
      <c r="D250" s="608"/>
      <c r="F250" s="3"/>
      <c r="G250" s="3"/>
      <c r="H250" s="3"/>
      <c r="I250" s="3"/>
      <c r="J250" s="3"/>
      <c r="K250" s="3"/>
    </row>
    <row r="251" spans="4:11" ht="15" customHeight="1">
      <c r="D251" s="608"/>
      <c r="F251" s="3"/>
      <c r="G251" s="3"/>
      <c r="H251" s="3"/>
      <c r="I251" s="3"/>
      <c r="J251" s="3"/>
      <c r="K251" s="3"/>
    </row>
    <row r="252" spans="4:11" ht="15" customHeight="1">
      <c r="D252" s="608"/>
      <c r="F252" s="3"/>
      <c r="G252" s="3"/>
      <c r="H252" s="3"/>
      <c r="I252" s="3"/>
      <c r="J252" s="3"/>
      <c r="K252" s="3"/>
    </row>
    <row r="253" spans="4:11" ht="15" customHeight="1">
      <c r="D253" s="608"/>
      <c r="F253" s="3"/>
      <c r="G253" s="3"/>
      <c r="H253" s="3"/>
      <c r="I253" s="3"/>
      <c r="J253" s="3"/>
      <c r="K253" s="3"/>
    </row>
    <row r="254" spans="4:11" ht="15" customHeight="1">
      <c r="D254" s="608"/>
      <c r="F254" s="3"/>
      <c r="G254" s="3"/>
      <c r="H254" s="3"/>
      <c r="I254" s="3"/>
      <c r="J254" s="3"/>
      <c r="K254" s="3"/>
    </row>
    <row r="255" spans="4:11" ht="15" customHeight="1">
      <c r="D255" s="608"/>
      <c r="F255" s="3"/>
      <c r="G255" s="3"/>
      <c r="H255" s="3"/>
      <c r="I255" s="3"/>
      <c r="J255" s="3"/>
      <c r="K255" s="3"/>
    </row>
    <row r="256" spans="4:11" ht="15" customHeight="1">
      <c r="D256" s="608"/>
      <c r="F256" s="3"/>
      <c r="G256" s="3"/>
      <c r="H256" s="3"/>
      <c r="I256" s="3"/>
      <c r="J256" s="3"/>
      <c r="K256" s="3"/>
    </row>
    <row r="257" spans="2:11" ht="15" customHeight="1">
      <c r="D257" s="608"/>
      <c r="F257" s="3"/>
      <c r="G257" s="3"/>
      <c r="H257" s="3"/>
      <c r="I257" s="3"/>
      <c r="J257" s="3"/>
      <c r="K257" s="3"/>
    </row>
    <row r="258" spans="2:11" ht="15" customHeight="1">
      <c r="D258" s="608"/>
      <c r="F258" s="3"/>
      <c r="G258" s="3"/>
      <c r="H258" s="3"/>
      <c r="I258" s="3"/>
      <c r="J258" s="3"/>
      <c r="K258" s="3"/>
    </row>
    <row r="259" spans="2:11" ht="15" customHeight="1">
      <c r="D259" s="608"/>
      <c r="F259" s="3"/>
      <c r="G259" s="3"/>
      <c r="H259" s="3"/>
      <c r="I259" s="3"/>
      <c r="J259" s="3"/>
      <c r="K259" s="3"/>
    </row>
    <row r="260" spans="2:11" ht="15" customHeight="1">
      <c r="D260" s="608"/>
      <c r="F260" s="3"/>
      <c r="G260" s="3"/>
      <c r="H260" s="3"/>
      <c r="I260" s="3"/>
      <c r="J260" s="3"/>
      <c r="K260" s="3"/>
    </row>
    <row r="261" spans="2:11" ht="15" customHeight="1">
      <c r="D261" s="608"/>
      <c r="F261" s="3"/>
      <c r="G261" s="3"/>
      <c r="H261" s="3"/>
      <c r="I261" s="3"/>
      <c r="J261" s="3"/>
      <c r="K261" s="3"/>
    </row>
    <row r="262" spans="2:11" ht="15" customHeight="1">
      <c r="D262" s="608"/>
      <c r="F262" s="3"/>
      <c r="G262" s="3"/>
      <c r="H262" s="3"/>
      <c r="I262" s="3"/>
      <c r="J262" s="3"/>
      <c r="K262" s="3"/>
    </row>
    <row r="263" spans="2:11" ht="15" customHeight="1">
      <c r="D263" s="608"/>
      <c r="F263" s="3"/>
      <c r="G263" s="3"/>
      <c r="H263" s="3"/>
      <c r="I263" s="3"/>
      <c r="J263" s="3"/>
      <c r="K263" s="3"/>
    </row>
    <row r="264" spans="2:11" ht="15" customHeight="1">
      <c r="D264" s="608"/>
      <c r="F264" s="3"/>
      <c r="G264" s="3"/>
      <c r="H264" s="3"/>
      <c r="I264" s="3"/>
      <c r="J264" s="3"/>
      <c r="K264" s="3"/>
    </row>
    <row r="265" spans="2:11" ht="15" customHeight="1">
      <c r="D265" s="608"/>
      <c r="F265" s="3"/>
      <c r="G265" s="3"/>
      <c r="H265" s="3"/>
      <c r="I265" s="3"/>
      <c r="J265" s="3"/>
      <c r="K265" s="3"/>
    </row>
    <row r="266" spans="2:11">
      <c r="B266" s="277" t="s">
        <v>913</v>
      </c>
      <c r="C266" s="277" t="s">
        <v>2670</v>
      </c>
      <c r="D266" s="277" t="s">
        <v>331</v>
      </c>
      <c r="E266" s="277" t="s">
        <v>226</v>
      </c>
      <c r="F266" s="3"/>
      <c r="G266" s="3"/>
      <c r="H266" s="3"/>
      <c r="I266" s="3"/>
      <c r="J266" s="3"/>
      <c r="K266" s="3"/>
    </row>
    <row r="267" spans="2:11">
      <c r="B267" s="1190">
        <v>118</v>
      </c>
      <c r="C267" s="278" t="s">
        <v>2671</v>
      </c>
      <c r="D267" s="610">
        <v>0</v>
      </c>
      <c r="E267" s="1398" t="s">
        <v>2672</v>
      </c>
      <c r="F267" s="3"/>
      <c r="G267" s="3"/>
      <c r="H267" s="3"/>
      <c r="I267" s="3"/>
      <c r="J267" s="3"/>
      <c r="K267" s="3"/>
    </row>
    <row r="268" spans="2:11">
      <c r="B268" s="1190"/>
      <c r="C268" s="278" t="s">
        <v>2673</v>
      </c>
      <c r="D268" s="610">
        <v>0.41</v>
      </c>
      <c r="E268" s="1399"/>
      <c r="F268" s="3"/>
      <c r="G268" s="3"/>
      <c r="H268" s="3"/>
      <c r="I268" s="3"/>
      <c r="J268" s="3"/>
      <c r="K268" s="3"/>
    </row>
    <row r="269" spans="2:11">
      <c r="B269" s="1190"/>
      <c r="C269" s="278" t="s">
        <v>2674</v>
      </c>
      <c r="D269" s="610">
        <v>0.42</v>
      </c>
      <c r="E269" s="1399"/>
      <c r="F269" s="3"/>
      <c r="G269" s="3"/>
      <c r="H269" s="3"/>
      <c r="I269" s="3"/>
      <c r="J269" s="3"/>
      <c r="K269" s="3"/>
    </row>
    <row r="270" spans="2:11">
      <c r="B270" s="1190"/>
      <c r="C270" s="278" t="s">
        <v>2675</v>
      </c>
      <c r="D270" s="610">
        <v>0.42</v>
      </c>
      <c r="E270" s="1399"/>
      <c r="F270" s="3"/>
      <c r="G270" s="3"/>
      <c r="H270" s="3"/>
      <c r="I270" s="3"/>
      <c r="J270" s="3"/>
      <c r="K270" s="3"/>
    </row>
    <row r="271" spans="2:11">
      <c r="B271" s="1190"/>
      <c r="C271" s="278" t="s">
        <v>2676</v>
      </c>
      <c r="D271" s="610">
        <v>0.39</v>
      </c>
      <c r="E271" s="1399"/>
      <c r="F271" s="3"/>
      <c r="G271" s="3"/>
      <c r="H271" s="3"/>
      <c r="I271" s="3"/>
      <c r="J271" s="3"/>
      <c r="K271" s="3"/>
    </row>
    <row r="272" spans="2:11">
      <c r="B272" s="1190"/>
      <c r="C272" s="278" t="s">
        <v>2677</v>
      </c>
      <c r="D272" s="610">
        <v>0.38</v>
      </c>
      <c r="E272" s="1399"/>
      <c r="F272" s="3"/>
      <c r="G272" s="3"/>
      <c r="H272" s="3"/>
      <c r="I272" s="3"/>
      <c r="J272" s="3"/>
      <c r="K272" s="3"/>
    </row>
    <row r="273" spans="2:11">
      <c r="B273" s="1190"/>
      <c r="C273" s="278" t="s">
        <v>2678</v>
      </c>
      <c r="D273" s="610">
        <v>0</v>
      </c>
      <c r="E273" s="1399"/>
      <c r="F273" s="3"/>
      <c r="G273" s="3"/>
      <c r="H273" s="3"/>
      <c r="I273" s="3"/>
      <c r="J273" s="3"/>
      <c r="K273" s="3"/>
    </row>
    <row r="274" spans="2:11">
      <c r="B274" s="1190"/>
      <c r="C274" s="278" t="s">
        <v>2679</v>
      </c>
      <c r="D274" s="610">
        <v>0</v>
      </c>
      <c r="E274" s="1399"/>
      <c r="F274" s="3"/>
      <c r="G274" s="3"/>
      <c r="H274" s="3"/>
      <c r="I274" s="3"/>
      <c r="J274" s="3"/>
      <c r="K274" s="3"/>
    </row>
    <row r="275" spans="2:11">
      <c r="B275" s="1190"/>
      <c r="C275" s="278" t="s">
        <v>2680</v>
      </c>
      <c r="D275" s="610">
        <v>0</v>
      </c>
      <c r="E275" s="1399"/>
      <c r="F275" s="3"/>
      <c r="G275" s="3"/>
      <c r="H275" s="3"/>
      <c r="I275" s="3"/>
      <c r="J275" s="3"/>
      <c r="K275" s="3"/>
    </row>
    <row r="276" spans="2:11">
      <c r="B276" s="1190"/>
      <c r="C276" s="278" t="s">
        <v>2681</v>
      </c>
      <c r="D276" s="610">
        <v>0</v>
      </c>
      <c r="E276" s="1400"/>
      <c r="F276" s="3"/>
      <c r="G276" s="3"/>
      <c r="H276" s="3"/>
      <c r="I276" s="3"/>
      <c r="J276" s="3"/>
      <c r="K276" s="3"/>
    </row>
    <row r="278" spans="2:11">
      <c r="B278" s="285" t="s">
        <v>913</v>
      </c>
      <c r="C278" s="285" t="s">
        <v>2670</v>
      </c>
      <c r="D278" s="285" t="s">
        <v>2682</v>
      </c>
      <c r="E278" s="285" t="s">
        <v>2683</v>
      </c>
      <c r="F278" s="285" t="s">
        <v>2684</v>
      </c>
      <c r="G278" s="285" t="s">
        <v>2685</v>
      </c>
      <c r="H278" s="285" t="s">
        <v>226</v>
      </c>
    </row>
    <row r="279" spans="2:11">
      <c r="B279" s="1191">
        <v>118</v>
      </c>
      <c r="C279" s="278" t="s">
        <v>2671</v>
      </c>
      <c r="D279" s="278">
        <v>0</v>
      </c>
      <c r="E279" s="278">
        <v>10</v>
      </c>
      <c r="F279" s="278">
        <v>5</v>
      </c>
      <c r="G279" s="278">
        <v>0</v>
      </c>
      <c r="H279" s="1103" t="s">
        <v>2686</v>
      </c>
      <c r="I279" s="23"/>
    </row>
    <row r="280" spans="2:11">
      <c r="B280" s="1192"/>
      <c r="C280" s="278" t="s">
        <v>2673</v>
      </c>
      <c r="D280" s="278">
        <v>2</v>
      </c>
      <c r="E280" s="278">
        <v>20</v>
      </c>
      <c r="F280" s="278">
        <v>5.08</v>
      </c>
      <c r="G280" s="278">
        <v>15</v>
      </c>
      <c r="H280" s="1104"/>
    </row>
    <row r="281" spans="2:11">
      <c r="B281" s="1192"/>
      <c r="C281" s="278" t="s">
        <v>2674</v>
      </c>
      <c r="D281" s="278">
        <v>1.92</v>
      </c>
      <c r="E281" s="278">
        <v>22.4</v>
      </c>
      <c r="F281" s="278">
        <v>20.3</v>
      </c>
      <c r="G281" s="278">
        <v>20</v>
      </c>
      <c r="H281" s="1104"/>
    </row>
    <row r="282" spans="2:11">
      <c r="B282" s="1192"/>
      <c r="C282" s="278" t="s">
        <v>2675</v>
      </c>
      <c r="D282" s="278">
        <v>1</v>
      </c>
      <c r="E282" s="278">
        <v>6.3</v>
      </c>
      <c r="F282" s="278">
        <v>3.46</v>
      </c>
      <c r="G282" s="278">
        <v>10</v>
      </c>
      <c r="H282" s="1104"/>
    </row>
    <row r="283" spans="2:11">
      <c r="B283" s="1192"/>
      <c r="C283" s="278" t="s">
        <v>2676</v>
      </c>
      <c r="D283" s="278">
        <v>0.36</v>
      </c>
      <c r="E283" s="278">
        <v>4.49</v>
      </c>
      <c r="F283" s="278">
        <v>4.09</v>
      </c>
      <c r="G283" s="278">
        <v>7</v>
      </c>
      <c r="H283" s="1104"/>
    </row>
    <row r="284" spans="2:11">
      <c r="B284" s="1192"/>
      <c r="C284" s="278" t="s">
        <v>2677</v>
      </c>
      <c r="D284" s="278">
        <v>1.29</v>
      </c>
      <c r="E284" s="278">
        <v>2.0699999999999998</v>
      </c>
      <c r="F284" s="278">
        <v>1.5</v>
      </c>
      <c r="G284" s="278">
        <v>10</v>
      </c>
      <c r="H284" s="1104"/>
    </row>
    <row r="285" spans="2:11">
      <c r="B285" s="1192"/>
      <c r="C285" s="278" t="s">
        <v>2678</v>
      </c>
      <c r="D285" s="278">
        <v>0.05</v>
      </c>
      <c r="E285" s="278">
        <v>0.75</v>
      </c>
      <c r="F285" s="278">
        <v>0.22</v>
      </c>
      <c r="G285" s="278">
        <v>10</v>
      </c>
      <c r="H285" s="1104"/>
    </row>
    <row r="286" spans="2:11">
      <c r="B286" s="1192"/>
      <c r="C286" s="278" t="s">
        <v>2687</v>
      </c>
      <c r="D286" s="278">
        <v>0.01</v>
      </c>
      <c r="E286" s="278">
        <v>0.5</v>
      </c>
      <c r="F286" s="278">
        <v>0.05</v>
      </c>
      <c r="G286" s="278">
        <v>0.7</v>
      </c>
      <c r="H286" s="1104"/>
    </row>
    <row r="287" spans="2:11">
      <c r="B287" s="1192"/>
      <c r="C287" s="278" t="s">
        <v>2680</v>
      </c>
      <c r="D287" s="278">
        <v>0.01</v>
      </c>
      <c r="E287" s="278">
        <v>0.5</v>
      </c>
      <c r="F287" s="278">
        <v>0.05</v>
      </c>
      <c r="G287" s="278">
        <v>0.7</v>
      </c>
      <c r="H287" s="1104"/>
    </row>
    <row r="288" spans="2:11">
      <c r="B288" s="1193"/>
      <c r="C288" s="278" t="s">
        <v>2681</v>
      </c>
      <c r="D288" s="278">
        <v>0.01</v>
      </c>
      <c r="E288" s="278">
        <v>0.5</v>
      </c>
      <c r="F288" s="278">
        <v>0.05</v>
      </c>
      <c r="G288" s="278">
        <v>0.7</v>
      </c>
      <c r="H288" s="1094"/>
    </row>
    <row r="290" spans="1:10">
      <c r="B290" s="285" t="s">
        <v>913</v>
      </c>
      <c r="C290" s="285" t="s">
        <v>2670</v>
      </c>
      <c r="D290" s="285" t="s">
        <v>2682</v>
      </c>
      <c r="E290" s="285" t="s">
        <v>2683</v>
      </c>
      <c r="F290" s="285" t="s">
        <v>2684</v>
      </c>
      <c r="G290" s="285" t="s">
        <v>2685</v>
      </c>
      <c r="H290" s="285" t="s">
        <v>2688</v>
      </c>
      <c r="I290" s="277" t="s">
        <v>226</v>
      </c>
    </row>
    <row r="291" spans="1:10">
      <c r="B291" s="1191">
        <v>118</v>
      </c>
      <c r="C291" s="278" t="s">
        <v>2671</v>
      </c>
      <c r="D291" s="415">
        <v>887200</v>
      </c>
      <c r="E291" s="415">
        <v>147900</v>
      </c>
      <c r="F291" s="415">
        <v>416500</v>
      </c>
      <c r="G291" s="415">
        <v>20600</v>
      </c>
      <c r="H291" s="415">
        <f>SUM(D291:G291)</f>
        <v>1472200</v>
      </c>
      <c r="I291" s="1103" t="s">
        <v>2689</v>
      </c>
    </row>
    <row r="292" spans="1:10">
      <c r="B292" s="1192"/>
      <c r="C292" s="278" t="s">
        <v>2673</v>
      </c>
      <c r="D292" s="415">
        <v>25865</v>
      </c>
      <c r="E292" s="415">
        <v>18357</v>
      </c>
      <c r="F292" s="415">
        <v>15306</v>
      </c>
      <c r="G292" s="415">
        <v>1280</v>
      </c>
      <c r="H292" s="415">
        <f t="shared" ref="H292:H300" si="8">SUM(D292:G292)</f>
        <v>60808</v>
      </c>
      <c r="I292" s="1104"/>
    </row>
    <row r="293" spans="1:10">
      <c r="B293" s="1192"/>
      <c r="C293" s="278" t="s">
        <v>2674</v>
      </c>
      <c r="D293" s="415">
        <v>172841</v>
      </c>
      <c r="E293" s="415">
        <v>83731</v>
      </c>
      <c r="F293" s="415">
        <v>99330</v>
      </c>
      <c r="G293" s="415">
        <v>8234</v>
      </c>
      <c r="H293" s="415">
        <f t="shared" si="8"/>
        <v>364136</v>
      </c>
      <c r="I293" s="1104"/>
    </row>
    <row r="294" spans="1:10">
      <c r="B294" s="1192"/>
      <c r="C294" s="278" t="s">
        <v>2675</v>
      </c>
      <c r="D294" s="415">
        <v>2719842</v>
      </c>
      <c r="E294" s="415">
        <v>542876</v>
      </c>
      <c r="F294" s="415">
        <v>774493</v>
      </c>
      <c r="G294" s="415">
        <v>46997</v>
      </c>
      <c r="H294" s="415">
        <f t="shared" si="8"/>
        <v>4084208</v>
      </c>
      <c r="I294" s="1104"/>
    </row>
    <row r="295" spans="1:10">
      <c r="B295" s="1192"/>
      <c r="C295" s="278" t="s">
        <v>2676</v>
      </c>
      <c r="D295" s="415">
        <v>2300360</v>
      </c>
      <c r="E295" s="415">
        <v>462761</v>
      </c>
      <c r="F295" s="415">
        <v>582906</v>
      </c>
      <c r="G295" s="415">
        <v>129170</v>
      </c>
      <c r="H295" s="415">
        <f t="shared" si="8"/>
        <v>3475197</v>
      </c>
      <c r="I295" s="1104"/>
    </row>
    <row r="296" spans="1:10">
      <c r="B296" s="1192"/>
      <c r="C296" s="278" t="s">
        <v>2677</v>
      </c>
      <c r="D296" s="415">
        <v>733419</v>
      </c>
      <c r="E296" s="415">
        <v>123289</v>
      </c>
      <c r="F296" s="415">
        <v>209579</v>
      </c>
      <c r="G296" s="415">
        <v>535332</v>
      </c>
      <c r="H296" s="415">
        <f t="shared" si="8"/>
        <v>1601619</v>
      </c>
      <c r="I296" s="1104"/>
    </row>
    <row r="297" spans="1:10">
      <c r="B297" s="1192"/>
      <c r="C297" s="278" t="s">
        <v>2678</v>
      </c>
      <c r="D297" s="415">
        <v>346707</v>
      </c>
      <c r="E297" s="415">
        <v>73579</v>
      </c>
      <c r="F297" s="415">
        <v>161262</v>
      </c>
      <c r="G297" s="415">
        <v>86914</v>
      </c>
      <c r="H297" s="415">
        <f t="shared" si="8"/>
        <v>668462</v>
      </c>
      <c r="I297" s="1104"/>
    </row>
    <row r="298" spans="1:10">
      <c r="B298" s="1192"/>
      <c r="C298" s="278" t="s">
        <v>2687</v>
      </c>
      <c r="D298" s="415">
        <v>150009</v>
      </c>
      <c r="E298" s="415">
        <v>30192</v>
      </c>
      <c r="F298" s="415">
        <v>100666</v>
      </c>
      <c r="G298" s="415">
        <v>124791</v>
      </c>
      <c r="H298" s="415">
        <f t="shared" si="8"/>
        <v>405658</v>
      </c>
      <c r="I298" s="1104"/>
    </row>
    <row r="299" spans="1:10">
      <c r="B299" s="1192"/>
      <c r="C299" s="278" t="s">
        <v>2680</v>
      </c>
      <c r="D299" s="415">
        <v>680383</v>
      </c>
      <c r="E299" s="415">
        <v>158698</v>
      </c>
      <c r="F299" s="415">
        <v>236225</v>
      </c>
      <c r="G299" s="415">
        <v>53581</v>
      </c>
      <c r="H299" s="415">
        <f t="shared" si="8"/>
        <v>1128887</v>
      </c>
      <c r="I299" s="1104"/>
    </row>
    <row r="300" spans="1:10">
      <c r="B300" s="1193"/>
      <c r="C300" s="278" t="s">
        <v>2681</v>
      </c>
      <c r="D300" s="415">
        <v>152700</v>
      </c>
      <c r="E300" s="415">
        <v>39200</v>
      </c>
      <c r="F300" s="415">
        <v>90900</v>
      </c>
      <c r="G300" s="415">
        <v>384600</v>
      </c>
      <c r="H300" s="415">
        <f t="shared" si="8"/>
        <v>667400</v>
      </c>
      <c r="I300" s="1094"/>
    </row>
    <row r="302" spans="1:10">
      <c r="A302" s="725"/>
      <c r="B302" s="726" t="s">
        <v>936</v>
      </c>
      <c r="C302" s="725"/>
      <c r="D302" s="725"/>
      <c r="E302" s="725"/>
      <c r="F302" s="725"/>
      <c r="G302" s="725"/>
      <c r="H302" s="725"/>
      <c r="I302" s="725"/>
      <c r="J302" s="725"/>
    </row>
    <row r="303" spans="1:10">
      <c r="B303" s="1401" t="s">
        <v>2690</v>
      </c>
      <c r="C303" s="1401"/>
    </row>
    <row r="304" spans="1:10">
      <c r="B304" s="285" t="s">
        <v>2691</v>
      </c>
      <c r="C304" s="285" t="s">
        <v>2692</v>
      </c>
      <c r="H304" s="23"/>
    </row>
    <row r="305" spans="2:11">
      <c r="B305" s="278" t="s">
        <v>2693</v>
      </c>
      <c r="C305" s="297">
        <f>SUM(E229:E231)*1000</f>
        <v>9858000</v>
      </c>
    </row>
    <row r="306" spans="2:11">
      <c r="B306" s="278" t="s">
        <v>2694</v>
      </c>
      <c r="C306" s="297">
        <f>SUM(E232:E234)*1000</f>
        <v>3517000</v>
      </c>
    </row>
    <row r="307" spans="2:11">
      <c r="B307" s="216"/>
      <c r="C307" s="216"/>
    </row>
    <row r="308" spans="2:11" ht="30" customHeight="1">
      <c r="C308" s="1422" t="s">
        <v>2695</v>
      </c>
      <c r="D308" s="1423"/>
      <c r="E308" s="1423"/>
      <c r="F308" s="1423"/>
      <c r="G308" s="1424"/>
    </row>
    <row r="309" spans="2:11">
      <c r="C309" s="786" t="s">
        <v>2696</v>
      </c>
      <c r="D309" s="786"/>
      <c r="E309" s="786"/>
      <c r="F309" s="786"/>
      <c r="G309" s="786"/>
    </row>
    <row r="310" spans="2:11" ht="45" customHeight="1">
      <c r="B310" s="285" t="s">
        <v>2670</v>
      </c>
      <c r="C310" s="285" t="s">
        <v>2682</v>
      </c>
      <c r="D310" s="285" t="s">
        <v>2683</v>
      </c>
      <c r="E310" s="285" t="s">
        <v>2684</v>
      </c>
      <c r="F310" s="285" t="s">
        <v>2685</v>
      </c>
      <c r="G310" s="294" t="s">
        <v>2697</v>
      </c>
      <c r="H310" s="285" t="s">
        <v>1562</v>
      </c>
      <c r="I310" s="294" t="s">
        <v>2698</v>
      </c>
      <c r="J310" s="294" t="s">
        <v>2699</v>
      </c>
      <c r="K310" s="285" t="s">
        <v>930</v>
      </c>
    </row>
    <row r="311" spans="2:11">
      <c r="B311" s="278" t="s">
        <v>2671</v>
      </c>
      <c r="C311" s="278">
        <f t="shared" ref="C311:F320" si="9">D291*D279</f>
        <v>0</v>
      </c>
      <c r="D311" s="278">
        <f t="shared" si="9"/>
        <v>1479000</v>
      </c>
      <c r="E311" s="278">
        <f t="shared" si="9"/>
        <v>2082500</v>
      </c>
      <c r="F311" s="278">
        <f t="shared" si="9"/>
        <v>0</v>
      </c>
      <c r="G311" s="278">
        <f>SUM(C311:F311)</f>
        <v>3561500</v>
      </c>
      <c r="H311" s="610">
        <f>G311/SUM($G$311:$G$320)</f>
        <v>0.1101431204438733</v>
      </c>
      <c r="I311" s="300">
        <f>H311*$C$305</f>
        <v>1085790.881335703</v>
      </c>
      <c r="J311" s="228">
        <f t="shared" ref="J311:J320" si="10">I311/H291</f>
        <v>0.73752946701243238</v>
      </c>
      <c r="K311" s="1103" t="s">
        <v>2700</v>
      </c>
    </row>
    <row r="312" spans="2:11">
      <c r="B312" s="278" t="s">
        <v>2673</v>
      </c>
      <c r="C312" s="278">
        <f t="shared" si="9"/>
        <v>51730</v>
      </c>
      <c r="D312" s="278">
        <f t="shared" si="9"/>
        <v>367140</v>
      </c>
      <c r="E312" s="278">
        <f t="shared" si="9"/>
        <v>77754.48</v>
      </c>
      <c r="F312" s="278">
        <f t="shared" si="9"/>
        <v>19200</v>
      </c>
      <c r="G312" s="278">
        <f t="shared" ref="G312:G320" si="11">SUM(C312:F312)</f>
        <v>515824.48</v>
      </c>
      <c r="H312" s="610">
        <f t="shared" ref="H312:H320" si="12">G312/SUM($G$311:$G$320)</f>
        <v>1.5952412699294767E-2</v>
      </c>
      <c r="I312" s="300">
        <f t="shared" ref="I312:I319" si="13">H312*$C$305</f>
        <v>157258.88438964781</v>
      </c>
      <c r="J312" s="228">
        <f t="shared" si="10"/>
        <v>2.586154525550056</v>
      </c>
      <c r="K312" s="1104"/>
    </row>
    <row r="313" spans="2:11">
      <c r="B313" s="280" t="s">
        <v>2674</v>
      </c>
      <c r="C313" s="278">
        <f t="shared" si="9"/>
        <v>331854.71999999997</v>
      </c>
      <c r="D313" s="278">
        <f t="shared" si="9"/>
        <v>1875574.4</v>
      </c>
      <c r="E313" s="278">
        <f t="shared" si="9"/>
        <v>2016399</v>
      </c>
      <c r="F313" s="278">
        <f t="shared" si="9"/>
        <v>164680</v>
      </c>
      <c r="G313" s="278">
        <f t="shared" si="11"/>
        <v>4388508.12</v>
      </c>
      <c r="H313" s="610">
        <f t="shared" si="12"/>
        <v>0.13571921337359988</v>
      </c>
      <c r="I313" s="300">
        <f t="shared" si="13"/>
        <v>1337920.0054369476</v>
      </c>
      <c r="J313" s="228">
        <f t="shared" si="10"/>
        <v>3.6742316207047576</v>
      </c>
      <c r="K313" s="1104"/>
    </row>
    <row r="314" spans="2:11">
      <c r="B314" s="280" t="s">
        <v>2675</v>
      </c>
      <c r="C314" s="278">
        <f t="shared" si="9"/>
        <v>2719842</v>
      </c>
      <c r="D314" s="278">
        <f t="shared" si="9"/>
        <v>3420118.8</v>
      </c>
      <c r="E314" s="278">
        <f t="shared" si="9"/>
        <v>2679745.7799999998</v>
      </c>
      <c r="F314" s="278">
        <f t="shared" si="9"/>
        <v>469970</v>
      </c>
      <c r="G314" s="278">
        <f t="shared" si="11"/>
        <v>9289676.5800000001</v>
      </c>
      <c r="H314" s="610">
        <f t="shared" si="12"/>
        <v>0.2872929851005388</v>
      </c>
      <c r="I314" s="300">
        <f t="shared" si="13"/>
        <v>2832134.2471211115</v>
      </c>
      <c r="J314" s="228">
        <f t="shared" si="10"/>
        <v>0.69343536056956734</v>
      </c>
      <c r="K314" s="1104"/>
    </row>
    <row r="315" spans="2:11">
      <c r="B315" s="278" t="s">
        <v>2676</v>
      </c>
      <c r="C315" s="278">
        <f t="shared" si="9"/>
        <v>828129.6</v>
      </c>
      <c r="D315" s="278">
        <f t="shared" si="9"/>
        <v>2077796.8900000001</v>
      </c>
      <c r="E315" s="278">
        <f t="shared" si="9"/>
        <v>2384085.54</v>
      </c>
      <c r="F315" s="278">
        <f t="shared" si="9"/>
        <v>904190</v>
      </c>
      <c r="G315" s="278">
        <f t="shared" si="11"/>
        <v>6194202.0300000003</v>
      </c>
      <c r="H315" s="610">
        <f t="shared" si="12"/>
        <v>0.19156219015694917</v>
      </c>
      <c r="I315" s="300">
        <f t="shared" si="13"/>
        <v>1888420.0705672048</v>
      </c>
      <c r="J315" s="228">
        <f t="shared" si="10"/>
        <v>0.54339943046889283</v>
      </c>
      <c r="K315" s="1104"/>
    </row>
    <row r="316" spans="2:11">
      <c r="B316" s="278" t="s">
        <v>2677</v>
      </c>
      <c r="C316" s="278">
        <f t="shared" si="9"/>
        <v>946110.51</v>
      </c>
      <c r="D316" s="278">
        <f t="shared" si="9"/>
        <v>255208.22999999998</v>
      </c>
      <c r="E316" s="278">
        <f t="shared" si="9"/>
        <v>314368.5</v>
      </c>
      <c r="F316" s="278">
        <f t="shared" si="9"/>
        <v>5353320</v>
      </c>
      <c r="G316" s="278">
        <f t="shared" si="11"/>
        <v>6869007.2400000002</v>
      </c>
      <c r="H316" s="610">
        <f t="shared" si="12"/>
        <v>0.21243124856525558</v>
      </c>
      <c r="I316" s="300">
        <f t="shared" si="13"/>
        <v>2094147.2483562895</v>
      </c>
      <c r="J316" s="228">
        <f t="shared" si="10"/>
        <v>1.3075189844502904</v>
      </c>
      <c r="K316" s="1104"/>
    </row>
    <row r="317" spans="2:11">
      <c r="B317" s="278" t="s">
        <v>2678</v>
      </c>
      <c r="C317" s="278">
        <f t="shared" si="9"/>
        <v>17335.350000000002</v>
      </c>
      <c r="D317" s="278">
        <f t="shared" si="9"/>
        <v>55184.25</v>
      </c>
      <c r="E317" s="278">
        <f t="shared" si="9"/>
        <v>35477.64</v>
      </c>
      <c r="F317" s="278">
        <f t="shared" si="9"/>
        <v>869140</v>
      </c>
      <c r="G317" s="278">
        <f t="shared" si="11"/>
        <v>977137.24</v>
      </c>
      <c r="H317" s="610">
        <f t="shared" si="12"/>
        <v>3.0218993321778444E-2</v>
      </c>
      <c r="I317" s="300">
        <f t="shared" si="13"/>
        <v>297898.8361660919</v>
      </c>
      <c r="J317" s="228">
        <f t="shared" si="10"/>
        <v>0.44564812385160546</v>
      </c>
      <c r="K317" s="1104"/>
    </row>
    <row r="318" spans="2:11">
      <c r="B318" s="278" t="s">
        <v>2687</v>
      </c>
      <c r="C318" s="278">
        <f t="shared" si="9"/>
        <v>1500.09</v>
      </c>
      <c r="D318" s="278">
        <f t="shared" si="9"/>
        <v>15096</v>
      </c>
      <c r="E318" s="278">
        <f t="shared" si="9"/>
        <v>5033.3</v>
      </c>
      <c r="F318" s="278">
        <f t="shared" si="9"/>
        <v>87353.7</v>
      </c>
      <c r="G318" s="278">
        <f t="shared" si="11"/>
        <v>108983.09</v>
      </c>
      <c r="H318" s="610">
        <f t="shared" si="12"/>
        <v>3.370416287579807E-3</v>
      </c>
      <c r="I318" s="300">
        <f t="shared" si="13"/>
        <v>33225.563762961734</v>
      </c>
      <c r="J318" s="228">
        <f t="shared" si="10"/>
        <v>8.1905358116841617E-2</v>
      </c>
      <c r="K318" s="1104"/>
    </row>
    <row r="319" spans="2:11">
      <c r="B319" s="280" t="s">
        <v>2680</v>
      </c>
      <c r="C319" s="278">
        <f t="shared" si="9"/>
        <v>6803.83</v>
      </c>
      <c r="D319" s="278">
        <f t="shared" si="9"/>
        <v>79349</v>
      </c>
      <c r="E319" s="278">
        <f t="shared" si="9"/>
        <v>11811.25</v>
      </c>
      <c r="F319" s="278">
        <f t="shared" si="9"/>
        <v>37506.699999999997</v>
      </c>
      <c r="G319" s="278">
        <f t="shared" si="11"/>
        <v>135470.78</v>
      </c>
      <c r="H319" s="610">
        <f t="shared" si="12"/>
        <v>4.1895758635871012E-3</v>
      </c>
      <c r="I319" s="300">
        <f t="shared" si="13"/>
        <v>41300.838863241646</v>
      </c>
      <c r="J319" s="228">
        <f t="shared" si="10"/>
        <v>3.6585449972620504E-2</v>
      </c>
      <c r="K319" s="1104"/>
    </row>
    <row r="320" spans="2:11">
      <c r="B320" s="280" t="s">
        <v>2681</v>
      </c>
      <c r="C320" s="278">
        <f t="shared" si="9"/>
        <v>1527</v>
      </c>
      <c r="D320" s="278">
        <f t="shared" si="9"/>
        <v>19600</v>
      </c>
      <c r="E320" s="278">
        <f t="shared" si="9"/>
        <v>4545</v>
      </c>
      <c r="F320" s="278">
        <f t="shared" si="9"/>
        <v>269220</v>
      </c>
      <c r="G320" s="278">
        <f t="shared" si="11"/>
        <v>294892</v>
      </c>
      <c r="H320" s="610">
        <f t="shared" si="12"/>
        <v>9.119844187543082E-3</v>
      </c>
      <c r="I320" s="300">
        <f>H320*$C$305</f>
        <v>89903.4240007997</v>
      </c>
      <c r="J320" s="300">
        <f t="shared" si="10"/>
        <v>0.13470695834701782</v>
      </c>
      <c r="K320" s="1094"/>
    </row>
    <row r="321" spans="2:11">
      <c r="B321" s="216"/>
      <c r="F321" s="611" t="s">
        <v>2701</v>
      </c>
      <c r="G321" s="305">
        <f>SUM(G311:G320)</f>
        <v>32335201.560000002</v>
      </c>
      <c r="H321" s="612"/>
      <c r="I321" s="23"/>
      <c r="J321" s="23"/>
      <c r="K321" s="24"/>
    </row>
    <row r="322" spans="2:11" ht="29.1">
      <c r="B322" s="216"/>
      <c r="F322" s="622" t="s">
        <v>2702</v>
      </c>
      <c r="G322" s="300">
        <f>C305/G321</f>
        <v>0.30486898254547323</v>
      </c>
      <c r="H322" s="612"/>
      <c r="I322" s="23"/>
      <c r="J322" s="23"/>
      <c r="K322" s="24"/>
    </row>
    <row r="324" spans="2:11">
      <c r="B324" s="1428" t="s">
        <v>2703</v>
      </c>
      <c r="C324" s="1428"/>
      <c r="D324" s="1428"/>
      <c r="E324" s="1428"/>
      <c r="F324" s="1428"/>
      <c r="G324" s="1428"/>
    </row>
    <row r="325" spans="2:11">
      <c r="B325" s="1429" t="s">
        <v>2686</v>
      </c>
      <c r="C325" s="1429"/>
      <c r="D325" s="1429"/>
      <c r="E325" s="1429"/>
      <c r="F325" s="1429"/>
      <c r="G325" s="1429"/>
    </row>
    <row r="326" spans="2:11" ht="43.5">
      <c r="B326" s="285" t="s">
        <v>2670</v>
      </c>
      <c r="C326" s="285" t="s">
        <v>2682</v>
      </c>
      <c r="D326" s="285" t="s">
        <v>2683</v>
      </c>
      <c r="E326" s="285" t="s">
        <v>2684</v>
      </c>
      <c r="F326" s="285" t="s">
        <v>2685</v>
      </c>
      <c r="G326" s="294" t="s">
        <v>2704</v>
      </c>
    </row>
    <row r="327" spans="2:11">
      <c r="B327" s="278" t="s">
        <v>2671</v>
      </c>
      <c r="C327" s="278">
        <v>0</v>
      </c>
      <c r="D327" s="278">
        <v>10</v>
      </c>
      <c r="E327" s="278">
        <v>5</v>
      </c>
      <c r="F327" s="278">
        <v>0</v>
      </c>
      <c r="G327" s="300">
        <f>SUM(C327:F327)*$G$322</f>
        <v>4.5730347381820984</v>
      </c>
    </row>
    <row r="328" spans="2:11">
      <c r="B328" s="278" t="s">
        <v>2673</v>
      </c>
      <c r="C328" s="278">
        <v>2</v>
      </c>
      <c r="D328" s="278">
        <v>20</v>
      </c>
      <c r="E328" s="278">
        <v>5.08</v>
      </c>
      <c r="F328" s="278">
        <v>15</v>
      </c>
      <c r="G328" s="300">
        <f t="shared" ref="G328:G336" si="14">SUM(C328:F328)*$G$322</f>
        <v>12.828886785513513</v>
      </c>
    </row>
    <row r="329" spans="2:11">
      <c r="B329" s="278" t="s">
        <v>2674</v>
      </c>
      <c r="C329" s="278">
        <v>1.92</v>
      </c>
      <c r="D329" s="278">
        <v>22.4</v>
      </c>
      <c r="E329" s="278">
        <v>20.3</v>
      </c>
      <c r="F329" s="278">
        <v>20</v>
      </c>
      <c r="G329" s="300">
        <f t="shared" si="14"/>
        <v>19.700633652088481</v>
      </c>
    </row>
    <row r="330" spans="2:11">
      <c r="B330" s="278" t="s">
        <v>2675</v>
      </c>
      <c r="C330" s="278">
        <v>1</v>
      </c>
      <c r="D330" s="278">
        <v>6.3</v>
      </c>
      <c r="E330" s="278">
        <v>3.46</v>
      </c>
      <c r="F330" s="278">
        <v>10</v>
      </c>
      <c r="G330" s="300">
        <f t="shared" si="14"/>
        <v>6.3290800776440239</v>
      </c>
    </row>
    <row r="331" spans="2:11">
      <c r="B331" s="278" t="s">
        <v>2676</v>
      </c>
      <c r="C331" s="278">
        <v>0.36</v>
      </c>
      <c r="D331" s="278">
        <v>4.49</v>
      </c>
      <c r="E331" s="278">
        <v>4.09</v>
      </c>
      <c r="F331" s="278">
        <v>7</v>
      </c>
      <c r="G331" s="300">
        <f t="shared" si="14"/>
        <v>4.8596115817748435</v>
      </c>
    </row>
    <row r="332" spans="2:11">
      <c r="B332" s="278" t="s">
        <v>2677</v>
      </c>
      <c r="C332" s="278">
        <v>1.29</v>
      </c>
      <c r="D332" s="278">
        <v>2.0699999999999998</v>
      </c>
      <c r="E332" s="278">
        <v>1.5</v>
      </c>
      <c r="F332" s="278">
        <v>10</v>
      </c>
      <c r="G332" s="300">
        <f t="shared" si="14"/>
        <v>4.5303530806257317</v>
      </c>
    </row>
    <row r="333" spans="2:11">
      <c r="B333" s="278" t="s">
        <v>2678</v>
      </c>
      <c r="C333" s="278">
        <v>0.05</v>
      </c>
      <c r="D333" s="278">
        <v>0.75</v>
      </c>
      <c r="E333" s="278">
        <v>0.22</v>
      </c>
      <c r="F333" s="278">
        <v>10</v>
      </c>
      <c r="G333" s="300">
        <f t="shared" si="14"/>
        <v>3.3596561876511148</v>
      </c>
    </row>
    <row r="334" spans="2:11">
      <c r="B334" s="278" t="s">
        <v>2687</v>
      </c>
      <c r="C334" s="278">
        <v>0.01</v>
      </c>
      <c r="D334" s="278">
        <v>0.5</v>
      </c>
      <c r="E334" s="278">
        <v>0.05</v>
      </c>
      <c r="F334" s="278">
        <v>0.7</v>
      </c>
      <c r="G334" s="300">
        <f t="shared" si="14"/>
        <v>0.38413491800729627</v>
      </c>
    </row>
    <row r="335" spans="2:11">
      <c r="B335" s="278" t="s">
        <v>2680</v>
      </c>
      <c r="C335" s="278">
        <v>0.01</v>
      </c>
      <c r="D335" s="278">
        <v>0.5</v>
      </c>
      <c r="E335" s="278">
        <v>0.05</v>
      </c>
      <c r="F335" s="278">
        <v>0.7</v>
      </c>
      <c r="G335" s="300">
        <f t="shared" si="14"/>
        <v>0.38413491800729627</v>
      </c>
    </row>
    <row r="336" spans="2:11">
      <c r="B336" s="278" t="s">
        <v>2681</v>
      </c>
      <c r="C336" s="278">
        <v>0.01</v>
      </c>
      <c r="D336" s="278">
        <v>0.5</v>
      </c>
      <c r="E336" s="278">
        <v>0.05</v>
      </c>
      <c r="F336" s="278">
        <v>0.7</v>
      </c>
      <c r="G336" s="300">
        <f t="shared" si="14"/>
        <v>0.38413491800729627</v>
      </c>
    </row>
    <row r="338" spans="2:3" ht="33" customHeight="1">
      <c r="B338" s="1422" t="s">
        <v>2705</v>
      </c>
      <c r="C338" s="1424"/>
    </row>
    <row r="339" spans="2:3">
      <c r="B339" s="294" t="s">
        <v>2670</v>
      </c>
      <c r="C339" s="294" t="s">
        <v>2706</v>
      </c>
    </row>
    <row r="340" spans="2:3">
      <c r="B340" s="278" t="s">
        <v>2671</v>
      </c>
      <c r="C340" s="305">
        <f t="shared" ref="C340:C349" si="15">D267*H291</f>
        <v>0</v>
      </c>
    </row>
    <row r="341" spans="2:3">
      <c r="B341" s="278" t="s">
        <v>2673</v>
      </c>
      <c r="C341" s="305">
        <f t="shared" si="15"/>
        <v>24931.279999999999</v>
      </c>
    </row>
    <row r="342" spans="2:3">
      <c r="B342" s="280" t="s">
        <v>2674</v>
      </c>
      <c r="C342" s="305">
        <f t="shared" si="15"/>
        <v>152937.12</v>
      </c>
    </row>
    <row r="343" spans="2:3">
      <c r="B343" s="280" t="s">
        <v>2675</v>
      </c>
      <c r="C343" s="305">
        <f t="shared" si="15"/>
        <v>1715367.3599999999</v>
      </c>
    </row>
    <row r="344" spans="2:3">
      <c r="B344" s="278" t="s">
        <v>2676</v>
      </c>
      <c r="C344" s="305">
        <f t="shared" si="15"/>
        <v>1355326.83</v>
      </c>
    </row>
    <row r="345" spans="2:3">
      <c r="B345" s="278" t="s">
        <v>2677</v>
      </c>
      <c r="C345" s="305">
        <f t="shared" si="15"/>
        <v>608615.22</v>
      </c>
    </row>
    <row r="346" spans="2:3">
      <c r="B346" s="278" t="s">
        <v>2678</v>
      </c>
      <c r="C346" s="305">
        <f t="shared" si="15"/>
        <v>0</v>
      </c>
    </row>
    <row r="347" spans="2:3">
      <c r="B347" s="278" t="s">
        <v>2687</v>
      </c>
      <c r="C347" s="305">
        <f t="shared" si="15"/>
        <v>0</v>
      </c>
    </row>
    <row r="348" spans="2:3">
      <c r="B348" s="280" t="s">
        <v>2680</v>
      </c>
      <c r="C348" s="305">
        <f t="shared" si="15"/>
        <v>0</v>
      </c>
    </row>
    <row r="349" spans="2:3">
      <c r="B349" s="280" t="s">
        <v>2681</v>
      </c>
      <c r="C349" s="305">
        <f t="shared" si="15"/>
        <v>0</v>
      </c>
    </row>
    <row r="350" spans="2:3">
      <c r="B350" s="611" t="s">
        <v>2701</v>
      </c>
      <c r="C350" s="305">
        <f>SUM(C340:C349)</f>
        <v>3857177.8099999996</v>
      </c>
    </row>
    <row r="351" spans="2:3">
      <c r="B351" s="611" t="s">
        <v>2707</v>
      </c>
      <c r="C351" s="300">
        <f>C306/C350</f>
        <v>0.9118065521589217</v>
      </c>
    </row>
    <row r="353" spans="1:10" ht="49.5" customHeight="1">
      <c r="B353" s="1430" t="s">
        <v>2708</v>
      </c>
      <c r="C353" s="1095"/>
      <c r="D353" s="1095"/>
    </row>
    <row r="354" spans="1:10">
      <c r="B354" s="234" t="s">
        <v>2670</v>
      </c>
      <c r="C354" s="234" t="s">
        <v>902</v>
      </c>
      <c r="D354" s="234" t="s">
        <v>2709</v>
      </c>
    </row>
    <row r="355" spans="1:10">
      <c r="B355" s="1087" t="s">
        <v>2710</v>
      </c>
      <c r="C355" s="278" t="s">
        <v>2711</v>
      </c>
      <c r="D355" s="300">
        <f>AVERAGE(G329:G330)+C351</f>
        <v>13.926663417025175</v>
      </c>
    </row>
    <row r="356" spans="1:10">
      <c r="B356" s="1087"/>
      <c r="C356" s="278" t="s">
        <v>2712</v>
      </c>
      <c r="D356" s="300">
        <f>D355*0.75</f>
        <v>10.444997562768881</v>
      </c>
    </row>
    <row r="357" spans="1:10">
      <c r="B357" s="1087"/>
      <c r="C357" s="278" t="s">
        <v>2713</v>
      </c>
      <c r="D357" s="300">
        <f>D355*0.5</f>
        <v>6.9633317085125874</v>
      </c>
    </row>
    <row r="358" spans="1:10">
      <c r="B358" s="1087" t="s">
        <v>2680</v>
      </c>
      <c r="C358" s="278" t="s">
        <v>2714</v>
      </c>
      <c r="D358" s="300">
        <f>G335</f>
        <v>0.38413491800729627</v>
      </c>
    </row>
    <row r="359" spans="1:10">
      <c r="B359" s="1087"/>
      <c r="C359" s="278" t="s">
        <v>2715</v>
      </c>
      <c r="D359" s="300">
        <f>D358*0.75</f>
        <v>0.28810118850547217</v>
      </c>
    </row>
    <row r="360" spans="1:10">
      <c r="B360" s="1087"/>
      <c r="C360" s="278" t="s">
        <v>2716</v>
      </c>
      <c r="D360" s="300">
        <f>D358*0.5</f>
        <v>0.19206745900364813</v>
      </c>
    </row>
    <row r="361" spans="1:10">
      <c r="B361" s="1087" t="s">
        <v>2680</v>
      </c>
      <c r="C361" s="278" t="s">
        <v>2717</v>
      </c>
      <c r="D361" s="300">
        <f>G335</f>
        <v>0.38413491800729627</v>
      </c>
    </row>
    <row r="362" spans="1:10">
      <c r="B362" s="1087"/>
      <c r="C362" s="278" t="s">
        <v>2718</v>
      </c>
      <c r="D362" s="300">
        <f>D361*0.75</f>
        <v>0.28810118850547217</v>
      </c>
    </row>
    <row r="363" spans="1:10">
      <c r="B363" s="1087"/>
      <c r="C363" s="278" t="s">
        <v>2719</v>
      </c>
      <c r="D363" s="300">
        <f>D361*0.5</f>
        <v>0.19206745900364813</v>
      </c>
    </row>
    <row r="364" spans="1:10">
      <c r="B364" s="1087" t="s">
        <v>2681</v>
      </c>
      <c r="C364" s="278" t="s">
        <v>2720</v>
      </c>
      <c r="D364" s="300">
        <f>G336</f>
        <v>0.38413491800729627</v>
      </c>
    </row>
    <row r="365" spans="1:10">
      <c r="B365" s="1087"/>
      <c r="C365" s="278" t="s">
        <v>2721</v>
      </c>
      <c r="D365" s="300">
        <f>D364*0.75</f>
        <v>0.28810118850547217</v>
      </c>
    </row>
    <row r="366" spans="1:10">
      <c r="B366" s="1087"/>
      <c r="C366" s="278" t="s">
        <v>2722</v>
      </c>
      <c r="D366" s="300">
        <f>D364*0.5</f>
        <v>0.19206745900364813</v>
      </c>
    </row>
    <row r="368" spans="1:10">
      <c r="A368" s="727"/>
      <c r="B368" s="728" t="s">
        <v>901</v>
      </c>
      <c r="C368" s="727"/>
      <c r="D368" s="727"/>
      <c r="E368" s="727"/>
      <c r="F368" s="727"/>
      <c r="G368" s="727"/>
      <c r="H368" s="727"/>
      <c r="I368" s="727"/>
      <c r="J368" s="727"/>
    </row>
    <row r="369" spans="2:10" ht="29.1">
      <c r="B369" s="277" t="s">
        <v>902</v>
      </c>
      <c r="C369" s="277" t="s">
        <v>898</v>
      </c>
      <c r="D369" s="277" t="s">
        <v>899</v>
      </c>
      <c r="E369" s="298" t="s">
        <v>903</v>
      </c>
      <c r="F369" s="277" t="s">
        <v>904</v>
      </c>
      <c r="G369" s="277" t="s">
        <v>905</v>
      </c>
      <c r="H369" s="233" t="s">
        <v>924</v>
      </c>
      <c r="I369" s="233" t="s">
        <v>956</v>
      </c>
      <c r="J369" s="233" t="s">
        <v>927</v>
      </c>
    </row>
    <row r="370" spans="2:10">
      <c r="B370" s="278" t="s">
        <v>610</v>
      </c>
      <c r="C370" s="278" t="s">
        <v>354</v>
      </c>
      <c r="D370" s="299" t="s">
        <v>2651</v>
      </c>
      <c r="E370" s="299" t="s">
        <v>1427</v>
      </c>
      <c r="F370" s="278" t="str" cm="1">
        <f t="array" ref="F370">_xlfn.XLOOKUP(1,($D$394:$D$414=B370)*($E$394:$E$414=C370),$B$394:$B$414,"Not found",0,1)</f>
        <v>30-7</v>
      </c>
      <c r="G370" s="311">
        <f t="shared" ref="G370:G390" si="16">VLOOKUP(F370,$B$394:$L$414,11,FALSE)</f>
        <v>19.535829997594504</v>
      </c>
      <c r="H370" s="1120">
        <f>$D$225</f>
        <v>2.1428571428571401</v>
      </c>
      <c r="I370" s="1178" t="s">
        <v>1343</v>
      </c>
      <c r="J370" s="1149" t="s">
        <v>2723</v>
      </c>
    </row>
    <row r="371" spans="2:10">
      <c r="B371" s="278" t="s">
        <v>609</v>
      </c>
      <c r="C371" s="278" t="s">
        <v>354</v>
      </c>
      <c r="D371" s="299" t="s">
        <v>2651</v>
      </c>
      <c r="E371" s="299" t="s">
        <v>1427</v>
      </c>
      <c r="F371" s="278" t="str" cm="1">
        <f t="array" ref="F371">_xlfn.XLOOKUP(1,($D$394:$D$414=B371)*($E$394:$E$414=C371),$B$394:$B$414,"Not found",0,1)</f>
        <v>30-8</v>
      </c>
      <c r="G371" s="311">
        <f t="shared" si="16"/>
        <v>14.651872498195877</v>
      </c>
      <c r="H371" s="1121"/>
      <c r="I371" s="1178"/>
      <c r="J371" s="1149"/>
    </row>
    <row r="372" spans="2:10">
      <c r="B372" s="278" t="s">
        <v>608</v>
      </c>
      <c r="C372" s="278" t="s">
        <v>354</v>
      </c>
      <c r="D372" s="299" t="s">
        <v>2651</v>
      </c>
      <c r="E372" s="299" t="s">
        <v>1427</v>
      </c>
      <c r="F372" s="278" t="str" cm="1">
        <f t="array" ref="F372">_xlfn.XLOOKUP(1,($D$394:$D$414=B372)*($E$394:$E$414=C372),$B$394:$B$414,"Not found",0,1)</f>
        <v>30-9</v>
      </c>
      <c r="G372" s="311">
        <f t="shared" si="16"/>
        <v>9.7679149987972522</v>
      </c>
      <c r="H372" s="1121"/>
      <c r="I372" s="1178"/>
      <c r="J372" s="1149"/>
    </row>
    <row r="373" spans="2:10">
      <c r="B373" s="278" t="s">
        <v>592</v>
      </c>
      <c r="C373" s="278" t="s">
        <v>354</v>
      </c>
      <c r="D373" s="299" t="s">
        <v>2651</v>
      </c>
      <c r="E373" s="299" t="s">
        <v>2724</v>
      </c>
      <c r="F373" s="299" t="s">
        <v>2724</v>
      </c>
      <c r="G373" s="311" t="s">
        <v>473</v>
      </c>
      <c r="H373" s="1121"/>
      <c r="I373" s="1178"/>
      <c r="J373" s="1149"/>
    </row>
    <row r="374" spans="2:10">
      <c r="B374" s="278" t="s">
        <v>591</v>
      </c>
      <c r="C374" s="278" t="s">
        <v>354</v>
      </c>
      <c r="D374" s="299" t="s">
        <v>2651</v>
      </c>
      <c r="E374" s="299" t="s">
        <v>2724</v>
      </c>
      <c r="F374" s="299" t="s">
        <v>2724</v>
      </c>
      <c r="G374" s="311" t="s">
        <v>473</v>
      </c>
      <c r="H374" s="1121"/>
      <c r="I374" s="1178"/>
      <c r="J374" s="1149"/>
    </row>
    <row r="375" spans="2:10">
      <c r="B375" s="278" t="s">
        <v>589</v>
      </c>
      <c r="C375" s="278" t="s">
        <v>354</v>
      </c>
      <c r="D375" s="299" t="s">
        <v>2651</v>
      </c>
      <c r="E375" s="299" t="s">
        <v>2724</v>
      </c>
      <c r="F375" s="299" t="s">
        <v>2724</v>
      </c>
      <c r="G375" s="311" t="s">
        <v>473</v>
      </c>
      <c r="H375" s="1121"/>
      <c r="I375" s="1178"/>
      <c r="J375" s="1149"/>
    </row>
    <row r="376" spans="2:10">
      <c r="B376" s="278" t="s">
        <v>601</v>
      </c>
      <c r="C376" s="278" t="s">
        <v>354</v>
      </c>
      <c r="D376" s="299" t="s">
        <v>2651</v>
      </c>
      <c r="E376" s="299" t="s">
        <v>2724</v>
      </c>
      <c r="F376" s="299" t="s">
        <v>2724</v>
      </c>
      <c r="G376" s="311" t="s">
        <v>473</v>
      </c>
      <c r="H376" s="1121"/>
      <c r="I376" s="1178"/>
      <c r="J376" s="1149"/>
    </row>
    <row r="377" spans="2:10">
      <c r="B377" s="278" t="s">
        <v>600</v>
      </c>
      <c r="C377" s="278" t="s">
        <v>354</v>
      </c>
      <c r="D377" s="299" t="s">
        <v>2651</v>
      </c>
      <c r="E377" s="299" t="s">
        <v>2724</v>
      </c>
      <c r="F377" s="299" t="s">
        <v>2724</v>
      </c>
      <c r="G377" s="311" t="s">
        <v>473</v>
      </c>
      <c r="H377" s="1121"/>
      <c r="I377" s="1178"/>
      <c r="J377" s="1149"/>
    </row>
    <row r="378" spans="2:10">
      <c r="B378" s="278" t="s">
        <v>599</v>
      </c>
      <c r="C378" s="278" t="s">
        <v>354</v>
      </c>
      <c r="D378" s="299" t="s">
        <v>2651</v>
      </c>
      <c r="E378" s="299" t="s">
        <v>2724</v>
      </c>
      <c r="F378" s="299" t="s">
        <v>2724</v>
      </c>
      <c r="G378" s="311" t="s">
        <v>473</v>
      </c>
      <c r="H378" s="1121"/>
      <c r="I378" s="1178"/>
      <c r="J378" s="1149"/>
    </row>
    <row r="379" spans="2:10">
      <c r="B379" s="278" t="s">
        <v>613</v>
      </c>
      <c r="C379" s="278" t="s">
        <v>354</v>
      </c>
      <c r="D379" s="299" t="s">
        <v>2651</v>
      </c>
      <c r="E379" s="299" t="s">
        <v>1427</v>
      </c>
      <c r="F379" s="278" t="str" cm="1">
        <f t="array" ref="F379">_xlfn.XLOOKUP(1,($D$394:$D$414=B379)*($E$394:$E$414=C379),$B$394:$B$414,"Not found",0,1)</f>
        <v>30-16</v>
      </c>
      <c r="G379" s="311">
        <f t="shared" si="16"/>
        <v>0.5388508524702631</v>
      </c>
      <c r="H379" s="1121"/>
      <c r="I379" s="1178"/>
      <c r="J379" s="1149"/>
    </row>
    <row r="380" spans="2:10">
      <c r="B380" s="278" t="s">
        <v>612</v>
      </c>
      <c r="C380" s="278" t="s">
        <v>354</v>
      </c>
      <c r="D380" s="299" t="s">
        <v>2651</v>
      </c>
      <c r="E380" s="299" t="s">
        <v>1427</v>
      </c>
      <c r="F380" s="278" t="str" cm="1">
        <f t="array" ref="F380">_xlfn.XLOOKUP(1,($D$394:$D$414=B380)*($E$394:$E$414=C380),$B$394:$B$414,"Not found",0,1)</f>
        <v>30-17</v>
      </c>
      <c r="G380" s="311">
        <f t="shared" si="16"/>
        <v>0.40413813935269732</v>
      </c>
      <c r="H380" s="1121"/>
      <c r="I380" s="1178"/>
      <c r="J380" s="1149"/>
    </row>
    <row r="381" spans="2:10">
      <c r="B381" s="278" t="s">
        <v>611</v>
      </c>
      <c r="C381" s="278" t="s">
        <v>354</v>
      </c>
      <c r="D381" s="299" t="s">
        <v>2651</v>
      </c>
      <c r="E381" s="299" t="s">
        <v>1427</v>
      </c>
      <c r="F381" s="278" t="str" cm="1">
        <f t="array" ref="F381">_xlfn.XLOOKUP(1,($D$394:$D$414=B381)*($E$394:$E$414=C381),$B$394:$B$414,"Not found",0,1)</f>
        <v>30-18</v>
      </c>
      <c r="G381" s="311">
        <f t="shared" si="16"/>
        <v>0.26942542623513155</v>
      </c>
      <c r="H381" s="1122"/>
      <c r="I381" s="1178"/>
      <c r="J381" s="1149"/>
    </row>
    <row r="382" spans="2:10">
      <c r="B382" s="278" t="s">
        <v>593</v>
      </c>
      <c r="C382" s="278" t="s">
        <v>354</v>
      </c>
      <c r="D382" s="299" t="s">
        <v>2651</v>
      </c>
      <c r="E382" s="299" t="s">
        <v>2724</v>
      </c>
      <c r="F382" s="299" t="s">
        <v>2724</v>
      </c>
      <c r="G382" s="311" t="s">
        <v>473</v>
      </c>
      <c r="H382" s="1120">
        <f>$D$191</f>
        <v>2.1428571428571401</v>
      </c>
      <c r="I382" s="1131" t="s">
        <v>2725</v>
      </c>
      <c r="J382" s="1167" t="s">
        <v>2723</v>
      </c>
    </row>
    <row r="383" spans="2:10">
      <c r="B383" s="278" t="s">
        <v>594</v>
      </c>
      <c r="C383" s="278" t="s">
        <v>354</v>
      </c>
      <c r="D383" s="299" t="s">
        <v>2651</v>
      </c>
      <c r="E383" s="299" t="s">
        <v>2724</v>
      </c>
      <c r="F383" s="299" t="s">
        <v>2724</v>
      </c>
      <c r="G383" s="311" t="s">
        <v>473</v>
      </c>
      <c r="H383" s="1121"/>
      <c r="I383" s="1132"/>
      <c r="J383" s="1168"/>
    </row>
    <row r="384" spans="2:10">
      <c r="B384" s="278" t="s">
        <v>595</v>
      </c>
      <c r="C384" s="278" t="s">
        <v>354</v>
      </c>
      <c r="D384" s="299" t="s">
        <v>2651</v>
      </c>
      <c r="E384" s="299" t="s">
        <v>2724</v>
      </c>
      <c r="F384" s="299" t="s">
        <v>2724</v>
      </c>
      <c r="G384" s="311" t="s">
        <v>473</v>
      </c>
      <c r="H384" s="1121"/>
      <c r="I384" s="1132"/>
      <c r="J384" s="1168"/>
    </row>
    <row r="385" spans="1:23">
      <c r="B385" s="278" t="s">
        <v>602</v>
      </c>
      <c r="C385" s="278" t="s">
        <v>354</v>
      </c>
      <c r="D385" s="299" t="s">
        <v>2651</v>
      </c>
      <c r="E385" s="299" t="s">
        <v>2724</v>
      </c>
      <c r="F385" s="299" t="s">
        <v>2724</v>
      </c>
      <c r="G385" s="311" t="s">
        <v>473</v>
      </c>
      <c r="H385" s="1121"/>
      <c r="I385" s="1132"/>
      <c r="J385" s="1168"/>
    </row>
    <row r="386" spans="1:23">
      <c r="B386" s="278" t="s">
        <v>603</v>
      </c>
      <c r="C386" s="278" t="s">
        <v>354</v>
      </c>
      <c r="D386" s="299" t="s">
        <v>2651</v>
      </c>
      <c r="E386" s="299" t="s">
        <v>2724</v>
      </c>
      <c r="F386" s="299" t="s">
        <v>2724</v>
      </c>
      <c r="G386" s="311" t="s">
        <v>473</v>
      </c>
      <c r="H386" s="1121"/>
      <c r="I386" s="1132"/>
      <c r="J386" s="1168"/>
    </row>
    <row r="387" spans="1:23">
      <c r="B387" s="278" t="s">
        <v>604</v>
      </c>
      <c r="C387" s="278" t="s">
        <v>354</v>
      </c>
      <c r="D387" s="299" t="s">
        <v>2651</v>
      </c>
      <c r="E387" s="299" t="s">
        <v>2724</v>
      </c>
      <c r="F387" s="299" t="s">
        <v>2724</v>
      </c>
      <c r="G387" s="311" t="s">
        <v>473</v>
      </c>
      <c r="H387" s="1121"/>
      <c r="I387" s="1132"/>
      <c r="J387" s="1168"/>
    </row>
    <row r="388" spans="1:23">
      <c r="B388" s="278" t="s">
        <v>617</v>
      </c>
      <c r="C388" s="278" t="s">
        <v>354</v>
      </c>
      <c r="D388" s="299" t="s">
        <v>2651</v>
      </c>
      <c r="E388" s="299" t="s">
        <v>1202</v>
      </c>
      <c r="F388" s="278" t="str" cm="1">
        <f t="array" ref="F388">_xlfn.XLOOKUP(1,($D$394:$D$414=B388)*($E$394:$E$414=C388),$B$394:$B$414,"Not found",0,1)</f>
        <v>30-25</v>
      </c>
      <c r="G388" s="311">
        <f t="shared" si="16"/>
        <v>-3085.6824060175295</v>
      </c>
      <c r="H388" s="1121"/>
      <c r="I388" s="1132"/>
      <c r="J388" s="1168"/>
    </row>
    <row r="389" spans="1:23">
      <c r="B389" s="278" t="s">
        <v>618</v>
      </c>
      <c r="C389" s="278" t="s">
        <v>354</v>
      </c>
      <c r="D389" s="299" t="s">
        <v>2651</v>
      </c>
      <c r="E389" s="299" t="s">
        <v>1202</v>
      </c>
      <c r="F389" s="278" t="str" cm="1">
        <f t="array" ref="F389">_xlfn.XLOOKUP(1,($D$394:$D$414=B389)*($E$394:$E$414=C389),$B$394:$B$414,"Not found",0,1)</f>
        <v>30-26</v>
      </c>
      <c r="G389" s="311">
        <f t="shared" si="16"/>
        <v>-2314.2618045131471</v>
      </c>
      <c r="H389" s="1121"/>
      <c r="I389" s="1132"/>
      <c r="J389" s="1168"/>
    </row>
    <row r="390" spans="1:23">
      <c r="B390" s="278" t="s">
        <v>619</v>
      </c>
      <c r="C390" s="278" t="s">
        <v>354</v>
      </c>
      <c r="D390" s="299" t="s">
        <v>2651</v>
      </c>
      <c r="E390" s="299" t="s">
        <v>1202</v>
      </c>
      <c r="F390" s="278" t="str" cm="1">
        <f t="array" ref="F390">_xlfn.XLOOKUP(1,($D$394:$D$414=B390)*($E$394:$E$414=C390),$B$394:$B$414,"Not found",0,1)</f>
        <v>30-27</v>
      </c>
      <c r="G390" s="311">
        <f t="shared" si="16"/>
        <v>-1542.8412030087648</v>
      </c>
      <c r="H390" s="1122"/>
      <c r="I390" s="1133"/>
      <c r="J390" s="1169"/>
    </row>
    <row r="391" spans="1:23">
      <c r="B391" s="18"/>
    </row>
    <row r="392" spans="1:23">
      <c r="A392" s="725"/>
      <c r="B392" s="726" t="s">
        <v>962</v>
      </c>
      <c r="C392" s="725"/>
      <c r="D392" s="725"/>
      <c r="E392" s="725"/>
      <c r="F392" s="725"/>
      <c r="G392" s="725"/>
      <c r="H392" s="725"/>
      <c r="I392" s="725"/>
      <c r="J392" s="725"/>
    </row>
    <row r="393" spans="1:23">
      <c r="B393" s="277" t="s">
        <v>904</v>
      </c>
      <c r="C393" s="277" t="s">
        <v>62</v>
      </c>
      <c r="D393" s="277" t="s">
        <v>902</v>
      </c>
      <c r="E393" s="277" t="s">
        <v>898</v>
      </c>
      <c r="F393" s="277" t="s">
        <v>916</v>
      </c>
      <c r="G393" s="277" t="s">
        <v>963</v>
      </c>
      <c r="H393" s="277" t="s">
        <v>964</v>
      </c>
      <c r="I393" s="277" t="s">
        <v>965</v>
      </c>
      <c r="J393" s="277" t="s">
        <v>966</v>
      </c>
      <c r="K393" s="277" t="s">
        <v>967</v>
      </c>
      <c r="L393" s="277" t="s">
        <v>968</v>
      </c>
      <c r="M393" s="277" t="s">
        <v>956</v>
      </c>
      <c r="N393" s="277" t="s">
        <v>969</v>
      </c>
      <c r="O393" s="277" t="s">
        <v>970</v>
      </c>
      <c r="P393" s="277" t="s">
        <v>927</v>
      </c>
      <c r="Q393" s="277" t="s">
        <v>913</v>
      </c>
      <c r="R393" s="277" t="s">
        <v>914</v>
      </c>
      <c r="S393" s="277" t="s">
        <v>915</v>
      </c>
      <c r="T393" s="277" t="s">
        <v>916</v>
      </c>
      <c r="U393" s="277" t="s">
        <v>1291</v>
      </c>
      <c r="V393" s="277" t="s">
        <v>918</v>
      </c>
      <c r="W393" s="277" t="s">
        <v>919</v>
      </c>
    </row>
    <row r="394" spans="1:23">
      <c r="B394" s="302" t="s">
        <v>2726</v>
      </c>
      <c r="C394" s="278" t="s">
        <v>2645</v>
      </c>
      <c r="D394" s="278" t="s">
        <v>610</v>
      </c>
      <c r="E394" s="278" t="s">
        <v>354</v>
      </c>
      <c r="F394" s="299">
        <f t="shared" ref="F394:F405" si="17">$E$215</f>
        <v>2011</v>
      </c>
      <c r="G394" s="278">
        <v>2009</v>
      </c>
      <c r="H394" s="278">
        <f>'COMPANY INPUT'!$C$16</f>
        <v>2023</v>
      </c>
      <c r="I394" s="278">
        <f>VLOOKUP(G394,'GDP Deflators'!$H$13:$I$86,2,FALSE)</f>
        <v>71.287800000000004</v>
      </c>
      <c r="J394" s="278">
        <f>VLOOKUP(H394,'GDP Deflators'!$H$13:$I$86,2,FALSE)</f>
        <v>100</v>
      </c>
      <c r="K394" s="300">
        <f t="shared" ref="K394:K405" si="18">D355</f>
        <v>13.926663417025175</v>
      </c>
      <c r="L394" s="746">
        <f t="shared" ref="L394:L399" si="19">K394*(J394/I394)</f>
        <v>19.535829997594504</v>
      </c>
      <c r="M394" s="278" t="str">
        <f t="shared" ref="M394:M405" si="20">$I$370</f>
        <v>Avoided cost</v>
      </c>
      <c r="N394" s="326">
        <f t="shared" ref="N394:N405" si="21">$H$370</f>
        <v>2.1428571428571401</v>
      </c>
      <c r="O394" s="278" t="s">
        <v>718</v>
      </c>
      <c r="P394" s="278" t="str">
        <f>$J$370</f>
        <v>This is the only value found available. We have decided to include as it is vetted by Defra.</v>
      </c>
      <c r="Q394" s="299">
        <f t="shared" ref="Q394:Q405" si="22">B$215</f>
        <v>118</v>
      </c>
      <c r="R394" s="299" t="str">
        <f t="shared" ref="R394:R405" si="23">C$215</f>
        <v>Cranfield University (2011) The total costs of soil degradation in England and Wales</v>
      </c>
      <c r="S394" s="299" t="str">
        <f t="shared" ref="S394:S405" si="24">D$215</f>
        <v>ENCA</v>
      </c>
      <c r="T394" s="299">
        <f t="shared" ref="T394:T405" si="25">E$215</f>
        <v>2011</v>
      </c>
      <c r="U394" s="299" t="str">
        <f t="shared" ref="U394:U405" si="26">F$215</f>
        <v>UK</v>
      </c>
      <c r="V394" s="299" t="str">
        <f t="shared" ref="V394:V405" si="27">G$215</f>
        <v>UK</v>
      </c>
      <c r="W394" s="299" t="str">
        <f t="shared" ref="W394:W405" si="28">H$215</f>
        <v>/</v>
      </c>
    </row>
    <row r="395" spans="1:23">
      <c r="B395" s="302" t="s">
        <v>2727</v>
      </c>
      <c r="C395" s="278" t="s">
        <v>2645</v>
      </c>
      <c r="D395" s="278" t="s">
        <v>609</v>
      </c>
      <c r="E395" s="278" t="s">
        <v>354</v>
      </c>
      <c r="F395" s="299">
        <f t="shared" si="17"/>
        <v>2011</v>
      </c>
      <c r="G395" s="278">
        <v>2009</v>
      </c>
      <c r="H395" s="278">
        <f>'COMPANY INPUT'!$C$16</f>
        <v>2023</v>
      </c>
      <c r="I395" s="278">
        <f>VLOOKUP(G395,'GDP Deflators'!$H$13:$I$86,2,FALSE)</f>
        <v>71.287800000000004</v>
      </c>
      <c r="J395" s="278">
        <f>VLOOKUP(H395,'GDP Deflators'!$H$13:$I$86,2,FALSE)</f>
        <v>100</v>
      </c>
      <c r="K395" s="300">
        <f t="shared" si="18"/>
        <v>10.444997562768881</v>
      </c>
      <c r="L395" s="746">
        <f t="shared" si="19"/>
        <v>14.651872498195877</v>
      </c>
      <c r="M395" s="278" t="str">
        <f t="shared" si="20"/>
        <v>Avoided cost</v>
      </c>
      <c r="N395" s="326">
        <f t="shared" si="21"/>
        <v>2.1428571428571401</v>
      </c>
      <c r="O395" s="278" t="s">
        <v>718</v>
      </c>
      <c r="P395" s="278" t="str">
        <f>$J$370</f>
        <v>This is the only value found available. We have decided to include as it is vetted by Defra.</v>
      </c>
      <c r="Q395" s="299">
        <f t="shared" si="22"/>
        <v>118</v>
      </c>
      <c r="R395" s="299" t="str">
        <f t="shared" si="23"/>
        <v>Cranfield University (2011) The total costs of soil degradation in England and Wales</v>
      </c>
      <c r="S395" s="299" t="str">
        <f t="shared" si="24"/>
        <v>ENCA</v>
      </c>
      <c r="T395" s="299">
        <f t="shared" si="25"/>
        <v>2011</v>
      </c>
      <c r="U395" s="299" t="str">
        <f t="shared" si="26"/>
        <v>UK</v>
      </c>
      <c r="V395" s="299" t="str">
        <f t="shared" si="27"/>
        <v>UK</v>
      </c>
      <c r="W395" s="299" t="str">
        <f t="shared" si="28"/>
        <v>/</v>
      </c>
    </row>
    <row r="396" spans="1:23">
      <c r="B396" s="302" t="s">
        <v>2728</v>
      </c>
      <c r="C396" s="278" t="s">
        <v>2645</v>
      </c>
      <c r="D396" s="278" t="s">
        <v>608</v>
      </c>
      <c r="E396" s="278" t="s">
        <v>354</v>
      </c>
      <c r="F396" s="299">
        <f t="shared" si="17"/>
        <v>2011</v>
      </c>
      <c r="G396" s="278">
        <v>2009</v>
      </c>
      <c r="H396" s="278">
        <f>'COMPANY INPUT'!$C$16</f>
        <v>2023</v>
      </c>
      <c r="I396" s="278">
        <f>VLOOKUP(G396,'GDP Deflators'!$H$13:$I$86,2,FALSE)</f>
        <v>71.287800000000004</v>
      </c>
      <c r="J396" s="278">
        <f>VLOOKUP(H396,'GDP Deflators'!$H$13:$I$86,2,FALSE)</f>
        <v>100</v>
      </c>
      <c r="K396" s="300">
        <f t="shared" si="18"/>
        <v>6.9633317085125874</v>
      </c>
      <c r="L396" s="746">
        <f t="shared" si="19"/>
        <v>9.7679149987972522</v>
      </c>
      <c r="M396" s="278" t="str">
        <f t="shared" si="20"/>
        <v>Avoided cost</v>
      </c>
      <c r="N396" s="326">
        <f t="shared" si="21"/>
        <v>2.1428571428571401</v>
      </c>
      <c r="O396" s="278" t="s">
        <v>718</v>
      </c>
      <c r="P396" s="278" t="str">
        <f>$J$370</f>
        <v>This is the only value found available. We have decided to include as it is vetted by Defra.</v>
      </c>
      <c r="Q396" s="299">
        <f t="shared" si="22"/>
        <v>118</v>
      </c>
      <c r="R396" s="299" t="str">
        <f t="shared" si="23"/>
        <v>Cranfield University (2011) The total costs of soil degradation in England and Wales</v>
      </c>
      <c r="S396" s="299" t="str">
        <f t="shared" si="24"/>
        <v>ENCA</v>
      </c>
      <c r="T396" s="299">
        <f t="shared" si="25"/>
        <v>2011</v>
      </c>
      <c r="U396" s="299" t="str">
        <f t="shared" si="26"/>
        <v>UK</v>
      </c>
      <c r="V396" s="299" t="str">
        <f t="shared" si="27"/>
        <v>UK</v>
      </c>
      <c r="W396" s="299" t="str">
        <f t="shared" si="28"/>
        <v>/</v>
      </c>
    </row>
    <row r="397" spans="1:23">
      <c r="B397" s="302" t="s">
        <v>2729</v>
      </c>
      <c r="C397" s="278" t="s">
        <v>2645</v>
      </c>
      <c r="D397" s="278" t="s">
        <v>592</v>
      </c>
      <c r="E397" s="278" t="s">
        <v>354</v>
      </c>
      <c r="F397" s="299">
        <f t="shared" si="17"/>
        <v>2011</v>
      </c>
      <c r="G397" s="278">
        <v>2009</v>
      </c>
      <c r="H397" s="278">
        <f>'COMPANY INPUT'!$C$16</f>
        <v>2023</v>
      </c>
      <c r="I397" s="278">
        <f>VLOOKUP(G397,'GDP Deflators'!$H$13:$I$86,2,FALSE)</f>
        <v>71.287800000000004</v>
      </c>
      <c r="J397" s="278">
        <f>VLOOKUP(H397,'GDP Deflators'!$H$13:$I$86,2,FALSE)</f>
        <v>100</v>
      </c>
      <c r="K397" s="300">
        <f t="shared" si="18"/>
        <v>0.38413491800729627</v>
      </c>
      <c r="L397" s="746">
        <f t="shared" si="19"/>
        <v>0.5388508524702631</v>
      </c>
      <c r="M397" s="278" t="str">
        <f t="shared" si="20"/>
        <v>Avoided cost</v>
      </c>
      <c r="N397" s="326">
        <f t="shared" si="21"/>
        <v>2.1428571428571401</v>
      </c>
      <c r="O397" s="278" t="s">
        <v>717</v>
      </c>
      <c r="P397" s="278" t="s">
        <v>2730</v>
      </c>
      <c r="Q397" s="299">
        <f t="shared" si="22"/>
        <v>118</v>
      </c>
      <c r="R397" s="299" t="str">
        <f t="shared" si="23"/>
        <v>Cranfield University (2011) The total costs of soil degradation in England and Wales</v>
      </c>
      <c r="S397" s="299" t="str">
        <f t="shared" si="24"/>
        <v>ENCA</v>
      </c>
      <c r="T397" s="299">
        <f t="shared" si="25"/>
        <v>2011</v>
      </c>
      <c r="U397" s="299" t="str">
        <f t="shared" si="26"/>
        <v>UK</v>
      </c>
      <c r="V397" s="299" t="str">
        <f t="shared" si="27"/>
        <v>UK</v>
      </c>
      <c r="W397" s="299" t="str">
        <f t="shared" si="28"/>
        <v>/</v>
      </c>
    </row>
    <row r="398" spans="1:23">
      <c r="B398" s="302" t="s">
        <v>2731</v>
      </c>
      <c r="C398" s="278" t="s">
        <v>2645</v>
      </c>
      <c r="D398" s="278" t="s">
        <v>591</v>
      </c>
      <c r="E398" s="278" t="s">
        <v>354</v>
      </c>
      <c r="F398" s="299">
        <f t="shared" si="17"/>
        <v>2011</v>
      </c>
      <c r="G398" s="278">
        <v>2009</v>
      </c>
      <c r="H398" s="278">
        <f>'COMPANY INPUT'!$C$16</f>
        <v>2023</v>
      </c>
      <c r="I398" s="278">
        <f>VLOOKUP(G398,'GDP Deflators'!$H$13:$I$86,2,FALSE)</f>
        <v>71.287800000000004</v>
      </c>
      <c r="J398" s="278">
        <f>VLOOKUP(H398,'GDP Deflators'!$H$13:$I$86,2,FALSE)</f>
        <v>100</v>
      </c>
      <c r="K398" s="300">
        <f t="shared" si="18"/>
        <v>0.28810118850547217</v>
      </c>
      <c r="L398" s="746">
        <f t="shared" si="19"/>
        <v>0.40413813935269732</v>
      </c>
      <c r="M398" s="278" t="str">
        <f t="shared" si="20"/>
        <v>Avoided cost</v>
      </c>
      <c r="N398" s="326">
        <f t="shared" si="21"/>
        <v>2.1428571428571401</v>
      </c>
      <c r="O398" s="278" t="s">
        <v>717</v>
      </c>
      <c r="P398" s="278" t="s">
        <v>2730</v>
      </c>
      <c r="Q398" s="299">
        <f t="shared" si="22"/>
        <v>118</v>
      </c>
      <c r="R398" s="299" t="str">
        <f t="shared" si="23"/>
        <v>Cranfield University (2011) The total costs of soil degradation in England and Wales</v>
      </c>
      <c r="S398" s="299" t="str">
        <f t="shared" si="24"/>
        <v>ENCA</v>
      </c>
      <c r="T398" s="299">
        <f t="shared" si="25"/>
        <v>2011</v>
      </c>
      <c r="U398" s="299" t="str">
        <f t="shared" si="26"/>
        <v>UK</v>
      </c>
      <c r="V398" s="299" t="str">
        <f t="shared" si="27"/>
        <v>UK</v>
      </c>
      <c r="W398" s="299" t="str">
        <f t="shared" si="28"/>
        <v>/</v>
      </c>
    </row>
    <row r="399" spans="1:23">
      <c r="B399" s="302" t="s">
        <v>2732</v>
      </c>
      <c r="C399" s="278" t="s">
        <v>2645</v>
      </c>
      <c r="D399" s="278" t="s">
        <v>589</v>
      </c>
      <c r="E399" s="278" t="s">
        <v>354</v>
      </c>
      <c r="F399" s="299">
        <f t="shared" si="17"/>
        <v>2011</v>
      </c>
      <c r="G399" s="278">
        <v>2009</v>
      </c>
      <c r="H399" s="278">
        <f>'COMPANY INPUT'!$C$16</f>
        <v>2023</v>
      </c>
      <c r="I399" s="278">
        <f>VLOOKUP(G399,'GDP Deflators'!$H$13:$I$86,2,FALSE)</f>
        <v>71.287800000000004</v>
      </c>
      <c r="J399" s="278">
        <f>VLOOKUP(H399,'GDP Deflators'!$H$13:$I$86,2,FALSE)</f>
        <v>100</v>
      </c>
      <c r="K399" s="300">
        <f t="shared" si="18"/>
        <v>0.19206745900364813</v>
      </c>
      <c r="L399" s="746">
        <f t="shared" si="19"/>
        <v>0.26942542623513155</v>
      </c>
      <c r="M399" s="278" t="str">
        <f t="shared" si="20"/>
        <v>Avoided cost</v>
      </c>
      <c r="N399" s="326">
        <f t="shared" si="21"/>
        <v>2.1428571428571401</v>
      </c>
      <c r="O399" s="278" t="s">
        <v>717</v>
      </c>
      <c r="P399" s="278" t="s">
        <v>2730</v>
      </c>
      <c r="Q399" s="299">
        <f t="shared" si="22"/>
        <v>118</v>
      </c>
      <c r="R399" s="299" t="str">
        <f t="shared" si="23"/>
        <v>Cranfield University (2011) The total costs of soil degradation in England and Wales</v>
      </c>
      <c r="S399" s="299" t="str">
        <f t="shared" si="24"/>
        <v>ENCA</v>
      </c>
      <c r="T399" s="299">
        <f t="shared" si="25"/>
        <v>2011</v>
      </c>
      <c r="U399" s="299" t="str">
        <f t="shared" si="26"/>
        <v>UK</v>
      </c>
      <c r="V399" s="299" t="str">
        <f t="shared" si="27"/>
        <v>UK</v>
      </c>
      <c r="W399" s="299" t="str">
        <f t="shared" si="28"/>
        <v>/</v>
      </c>
    </row>
    <row r="400" spans="1:23">
      <c r="B400" s="302" t="s">
        <v>2733</v>
      </c>
      <c r="C400" s="278" t="s">
        <v>2645</v>
      </c>
      <c r="D400" s="278" t="s">
        <v>601</v>
      </c>
      <c r="E400" s="278" t="s">
        <v>354</v>
      </c>
      <c r="F400" s="299">
        <f t="shared" si="17"/>
        <v>2011</v>
      </c>
      <c r="G400" s="278">
        <v>2009</v>
      </c>
      <c r="H400" s="278">
        <f>'COMPANY INPUT'!$C$16</f>
        <v>2023</v>
      </c>
      <c r="I400" s="278">
        <f>VLOOKUP(G400,'GDP Deflators'!$H$13:$I$86,2,FALSE)</f>
        <v>71.287800000000004</v>
      </c>
      <c r="J400" s="278">
        <f>VLOOKUP(H400,'GDP Deflators'!$H$13:$I$86,2,FALSE)</f>
        <v>100</v>
      </c>
      <c r="K400" s="300">
        <f t="shared" si="18"/>
        <v>0.38413491800729627</v>
      </c>
      <c r="L400" s="746">
        <f t="shared" ref="L400:L414" si="29">K400*(J400/I400)</f>
        <v>0.5388508524702631</v>
      </c>
      <c r="M400" s="278" t="str">
        <f t="shared" si="20"/>
        <v>Avoided cost</v>
      </c>
      <c r="N400" s="326">
        <f t="shared" si="21"/>
        <v>2.1428571428571401</v>
      </c>
      <c r="O400" s="278" t="s">
        <v>717</v>
      </c>
      <c r="P400" s="278" t="s">
        <v>2730</v>
      </c>
      <c r="Q400" s="299">
        <f t="shared" si="22"/>
        <v>118</v>
      </c>
      <c r="R400" s="299" t="str">
        <f t="shared" si="23"/>
        <v>Cranfield University (2011) The total costs of soil degradation in England and Wales</v>
      </c>
      <c r="S400" s="299" t="str">
        <f t="shared" si="24"/>
        <v>ENCA</v>
      </c>
      <c r="T400" s="299">
        <f t="shared" si="25"/>
        <v>2011</v>
      </c>
      <c r="U400" s="299" t="str">
        <f t="shared" si="26"/>
        <v>UK</v>
      </c>
      <c r="V400" s="299" t="str">
        <f t="shared" si="27"/>
        <v>UK</v>
      </c>
      <c r="W400" s="299" t="str">
        <f t="shared" si="28"/>
        <v>/</v>
      </c>
    </row>
    <row r="401" spans="1:23">
      <c r="B401" s="302" t="s">
        <v>2734</v>
      </c>
      <c r="C401" s="278" t="s">
        <v>2645</v>
      </c>
      <c r="D401" s="278" t="s">
        <v>600</v>
      </c>
      <c r="E401" s="278" t="s">
        <v>354</v>
      </c>
      <c r="F401" s="299">
        <f t="shared" si="17"/>
        <v>2011</v>
      </c>
      <c r="G401" s="278">
        <v>2009</v>
      </c>
      <c r="H401" s="278">
        <f>'COMPANY INPUT'!$C$16</f>
        <v>2023</v>
      </c>
      <c r="I401" s="278">
        <f>VLOOKUP(G401,'GDP Deflators'!$H$13:$I$86,2,FALSE)</f>
        <v>71.287800000000004</v>
      </c>
      <c r="J401" s="278">
        <f>VLOOKUP(H401,'GDP Deflators'!$H$13:$I$86,2,FALSE)</f>
        <v>100</v>
      </c>
      <c r="K401" s="300">
        <f t="shared" si="18"/>
        <v>0.28810118850547217</v>
      </c>
      <c r="L401" s="746">
        <f t="shared" si="29"/>
        <v>0.40413813935269732</v>
      </c>
      <c r="M401" s="278" t="str">
        <f t="shared" si="20"/>
        <v>Avoided cost</v>
      </c>
      <c r="N401" s="326">
        <f t="shared" si="21"/>
        <v>2.1428571428571401</v>
      </c>
      <c r="O401" s="278" t="s">
        <v>717</v>
      </c>
      <c r="P401" s="278" t="s">
        <v>2730</v>
      </c>
      <c r="Q401" s="299">
        <f t="shared" si="22"/>
        <v>118</v>
      </c>
      <c r="R401" s="299" t="str">
        <f t="shared" si="23"/>
        <v>Cranfield University (2011) The total costs of soil degradation in England and Wales</v>
      </c>
      <c r="S401" s="299" t="str">
        <f t="shared" si="24"/>
        <v>ENCA</v>
      </c>
      <c r="T401" s="299">
        <f t="shared" si="25"/>
        <v>2011</v>
      </c>
      <c r="U401" s="299" t="str">
        <f t="shared" si="26"/>
        <v>UK</v>
      </c>
      <c r="V401" s="299" t="str">
        <f t="shared" si="27"/>
        <v>UK</v>
      </c>
      <c r="W401" s="299" t="str">
        <f t="shared" si="28"/>
        <v>/</v>
      </c>
    </row>
    <row r="402" spans="1:23">
      <c r="B402" s="302" t="s">
        <v>2735</v>
      </c>
      <c r="C402" s="278" t="s">
        <v>2645</v>
      </c>
      <c r="D402" s="278" t="s">
        <v>599</v>
      </c>
      <c r="E402" s="278" t="s">
        <v>354</v>
      </c>
      <c r="F402" s="299">
        <f t="shared" si="17"/>
        <v>2011</v>
      </c>
      <c r="G402" s="278">
        <v>2009</v>
      </c>
      <c r="H402" s="278">
        <f>'COMPANY INPUT'!$C$16</f>
        <v>2023</v>
      </c>
      <c r="I402" s="278">
        <f>VLOOKUP(G402,'GDP Deflators'!$H$13:$I$86,2,FALSE)</f>
        <v>71.287800000000004</v>
      </c>
      <c r="J402" s="278">
        <f>VLOOKUP(H402,'GDP Deflators'!$H$13:$I$86,2,FALSE)</f>
        <v>100</v>
      </c>
      <c r="K402" s="300">
        <f t="shared" si="18"/>
        <v>0.19206745900364813</v>
      </c>
      <c r="L402" s="746">
        <f t="shared" si="29"/>
        <v>0.26942542623513155</v>
      </c>
      <c r="M402" s="278" t="str">
        <f t="shared" si="20"/>
        <v>Avoided cost</v>
      </c>
      <c r="N402" s="326">
        <f t="shared" si="21"/>
        <v>2.1428571428571401</v>
      </c>
      <c r="O402" s="278" t="s">
        <v>717</v>
      </c>
      <c r="P402" s="278" t="s">
        <v>2730</v>
      </c>
      <c r="Q402" s="299">
        <f t="shared" si="22"/>
        <v>118</v>
      </c>
      <c r="R402" s="299" t="str">
        <f t="shared" si="23"/>
        <v>Cranfield University (2011) The total costs of soil degradation in England and Wales</v>
      </c>
      <c r="S402" s="299" t="str">
        <f t="shared" si="24"/>
        <v>ENCA</v>
      </c>
      <c r="T402" s="299">
        <f t="shared" si="25"/>
        <v>2011</v>
      </c>
      <c r="U402" s="299" t="str">
        <f t="shared" si="26"/>
        <v>UK</v>
      </c>
      <c r="V402" s="299" t="str">
        <f t="shared" si="27"/>
        <v>UK</v>
      </c>
      <c r="W402" s="299" t="str">
        <f t="shared" si="28"/>
        <v>/</v>
      </c>
    </row>
    <row r="403" spans="1:23">
      <c r="B403" s="302" t="s">
        <v>2736</v>
      </c>
      <c r="C403" s="278" t="s">
        <v>2645</v>
      </c>
      <c r="D403" s="278" t="s">
        <v>613</v>
      </c>
      <c r="E403" s="278" t="s">
        <v>354</v>
      </c>
      <c r="F403" s="299">
        <f t="shared" si="17"/>
        <v>2011</v>
      </c>
      <c r="G403" s="278">
        <v>2009</v>
      </c>
      <c r="H403" s="278">
        <f>'COMPANY INPUT'!$C$16</f>
        <v>2023</v>
      </c>
      <c r="I403" s="278">
        <f>VLOOKUP(G403,'GDP Deflators'!$H$13:$I$86,2,FALSE)</f>
        <v>71.287800000000004</v>
      </c>
      <c r="J403" s="278">
        <f>VLOOKUP(H403,'GDP Deflators'!$H$13:$I$86,2,FALSE)</f>
        <v>100</v>
      </c>
      <c r="K403" s="300">
        <f t="shared" si="18"/>
        <v>0.38413491800729627</v>
      </c>
      <c r="L403" s="746">
        <f t="shared" si="29"/>
        <v>0.5388508524702631</v>
      </c>
      <c r="M403" s="278" t="str">
        <f t="shared" si="20"/>
        <v>Avoided cost</v>
      </c>
      <c r="N403" s="326">
        <f t="shared" si="21"/>
        <v>2.1428571428571401</v>
      </c>
      <c r="O403" s="278" t="s">
        <v>718</v>
      </c>
      <c r="P403" s="278" t="str">
        <f>$J$370</f>
        <v>This is the only value found available. We have decided to include as it is vetted by Defra.</v>
      </c>
      <c r="Q403" s="299">
        <f t="shared" si="22"/>
        <v>118</v>
      </c>
      <c r="R403" s="299" t="str">
        <f t="shared" si="23"/>
        <v>Cranfield University (2011) The total costs of soil degradation in England and Wales</v>
      </c>
      <c r="S403" s="299" t="str">
        <f t="shared" si="24"/>
        <v>ENCA</v>
      </c>
      <c r="T403" s="299">
        <f t="shared" si="25"/>
        <v>2011</v>
      </c>
      <c r="U403" s="299" t="str">
        <f t="shared" si="26"/>
        <v>UK</v>
      </c>
      <c r="V403" s="299" t="str">
        <f t="shared" si="27"/>
        <v>UK</v>
      </c>
      <c r="W403" s="299" t="str">
        <f t="shared" si="28"/>
        <v>/</v>
      </c>
    </row>
    <row r="404" spans="1:23">
      <c r="B404" s="302" t="s">
        <v>2737</v>
      </c>
      <c r="C404" s="278" t="s">
        <v>2645</v>
      </c>
      <c r="D404" s="278" t="s">
        <v>612</v>
      </c>
      <c r="E404" s="278" t="s">
        <v>354</v>
      </c>
      <c r="F404" s="299">
        <f t="shared" si="17"/>
        <v>2011</v>
      </c>
      <c r="G404" s="278">
        <v>2009</v>
      </c>
      <c r="H404" s="278">
        <f>'COMPANY INPUT'!$C$16</f>
        <v>2023</v>
      </c>
      <c r="I404" s="278">
        <f>VLOOKUP(G404,'GDP Deflators'!$H$13:$I$86,2,FALSE)</f>
        <v>71.287800000000004</v>
      </c>
      <c r="J404" s="278">
        <f>VLOOKUP(H404,'GDP Deflators'!$H$13:$I$86,2,FALSE)</f>
        <v>100</v>
      </c>
      <c r="K404" s="300">
        <f t="shared" si="18"/>
        <v>0.28810118850547217</v>
      </c>
      <c r="L404" s="746">
        <f t="shared" si="29"/>
        <v>0.40413813935269732</v>
      </c>
      <c r="M404" s="278" t="str">
        <f t="shared" si="20"/>
        <v>Avoided cost</v>
      </c>
      <c r="N404" s="326">
        <f t="shared" si="21"/>
        <v>2.1428571428571401</v>
      </c>
      <c r="O404" s="278" t="s">
        <v>718</v>
      </c>
      <c r="P404" s="278" t="str">
        <f>$J$370</f>
        <v>This is the only value found available. We have decided to include as it is vetted by Defra.</v>
      </c>
      <c r="Q404" s="299">
        <f t="shared" si="22"/>
        <v>118</v>
      </c>
      <c r="R404" s="299" t="str">
        <f t="shared" si="23"/>
        <v>Cranfield University (2011) The total costs of soil degradation in England and Wales</v>
      </c>
      <c r="S404" s="299" t="str">
        <f t="shared" si="24"/>
        <v>ENCA</v>
      </c>
      <c r="T404" s="299">
        <f t="shared" si="25"/>
        <v>2011</v>
      </c>
      <c r="U404" s="299" t="str">
        <f t="shared" si="26"/>
        <v>UK</v>
      </c>
      <c r="V404" s="299" t="str">
        <f t="shared" si="27"/>
        <v>UK</v>
      </c>
      <c r="W404" s="299" t="str">
        <f t="shared" si="28"/>
        <v>/</v>
      </c>
    </row>
    <row r="405" spans="1:23">
      <c r="B405" s="229" t="s">
        <v>2738</v>
      </c>
      <c r="C405" s="214" t="s">
        <v>2645</v>
      </c>
      <c r="D405" s="214" t="s">
        <v>611</v>
      </c>
      <c r="E405" s="214" t="s">
        <v>354</v>
      </c>
      <c r="F405" s="227">
        <f t="shared" si="17"/>
        <v>2011</v>
      </c>
      <c r="G405" s="214">
        <v>2009</v>
      </c>
      <c r="H405" s="214">
        <f>'COMPANY INPUT'!$C$16</f>
        <v>2023</v>
      </c>
      <c r="I405" s="214">
        <f>VLOOKUP(G405,'GDP Deflators'!$H$13:$I$86,2,FALSE)</f>
        <v>71.287800000000004</v>
      </c>
      <c r="J405" s="214">
        <f>VLOOKUP(H405,'GDP Deflators'!$H$13:$I$86,2,FALSE)</f>
        <v>100</v>
      </c>
      <c r="K405" s="228">
        <f t="shared" si="18"/>
        <v>0.19206745900364813</v>
      </c>
      <c r="L405" s="787">
        <f t="shared" si="29"/>
        <v>0.26942542623513155</v>
      </c>
      <c r="M405" s="278" t="str">
        <f t="shared" si="20"/>
        <v>Avoided cost</v>
      </c>
      <c r="N405" s="326">
        <f t="shared" si="21"/>
        <v>2.1428571428571401</v>
      </c>
      <c r="O405" s="214" t="s">
        <v>718</v>
      </c>
      <c r="P405" s="278" t="str">
        <f>$J$370</f>
        <v>This is the only value found available. We have decided to include as it is vetted by Defra.</v>
      </c>
      <c r="Q405" s="227">
        <f t="shared" si="22"/>
        <v>118</v>
      </c>
      <c r="R405" s="227" t="str">
        <f t="shared" si="23"/>
        <v>Cranfield University (2011) The total costs of soil degradation in England and Wales</v>
      </c>
      <c r="S405" s="227" t="str">
        <f t="shared" si="24"/>
        <v>ENCA</v>
      </c>
      <c r="T405" s="227">
        <f t="shared" si="25"/>
        <v>2011</v>
      </c>
      <c r="U405" s="227" t="str">
        <f t="shared" si="26"/>
        <v>UK</v>
      </c>
      <c r="V405" s="227" t="str">
        <f t="shared" si="27"/>
        <v>UK</v>
      </c>
      <c r="W405" s="227" t="str">
        <f t="shared" si="28"/>
        <v>/</v>
      </c>
    </row>
    <row r="406" spans="1:23">
      <c r="B406" s="302" t="s">
        <v>2739</v>
      </c>
      <c r="C406" s="278" t="s">
        <v>2645</v>
      </c>
      <c r="D406" s="278" t="s">
        <v>593</v>
      </c>
      <c r="E406" s="278" t="s">
        <v>354</v>
      </c>
      <c r="F406" s="299">
        <f t="shared" ref="F406:F414" si="30">$E$181</f>
        <v>2011</v>
      </c>
      <c r="G406" s="278">
        <v>2010</v>
      </c>
      <c r="H406" s="278">
        <f>'COMPANY INPUT'!$C$16</f>
        <v>2023</v>
      </c>
      <c r="I406" s="278">
        <f>VLOOKUP(G406,'GDP Deflators'!$H$13:$I$86,2,FALSE)</f>
        <v>72.415099999999995</v>
      </c>
      <c r="J406" s="278">
        <f>VLOOKUP(H406,'GDP Deflators'!$H$13:$I$86,2,FALSE)</f>
        <v>100</v>
      </c>
      <c r="K406" s="300">
        <f t="shared" ref="K406:K414" si="31">-C202</f>
        <v>-364</v>
      </c>
      <c r="L406" s="746">
        <f t="shared" si="29"/>
        <v>-502.65759489388262</v>
      </c>
      <c r="M406" s="278" t="str">
        <f t="shared" ref="M406:M414" si="32">$I$382</f>
        <v>Unclear</v>
      </c>
      <c r="N406" s="326">
        <f t="shared" ref="N406:N414" si="33">$H$382</f>
        <v>2.1428571428571401</v>
      </c>
      <c r="O406" s="278" t="s">
        <v>717</v>
      </c>
      <c r="P406" s="278" t="s">
        <v>2730</v>
      </c>
      <c r="Q406" s="299">
        <f t="shared" ref="Q406:Q414" si="34">B$181</f>
        <v>117</v>
      </c>
      <c r="R406" s="299" t="str">
        <f t="shared" ref="R406:R414" si="35">C$181</f>
        <v>Morris and Camino (2011) UK NEA Working Paper Economic Assessment of Freshwater, Wetland and Floodplain (FWF) Ecosystem Services</v>
      </c>
      <c r="S406" s="299" t="str">
        <f t="shared" ref="S406:S414" si="36">D$181</f>
        <v>ENCA</v>
      </c>
      <c r="T406" s="299">
        <f t="shared" ref="T406:T414" si="37">E$181</f>
        <v>2011</v>
      </c>
      <c r="U406" s="299" t="str">
        <f t="shared" ref="U406:U414" si="38">F$181</f>
        <v>UK</v>
      </c>
      <c r="V406" s="299" t="str">
        <f t="shared" ref="V406:V414" si="39">G$181</f>
        <v>UK</v>
      </c>
      <c r="W406" s="299" t="str">
        <f t="shared" ref="W406:W414" si="40">H$181</f>
        <v>/</v>
      </c>
    </row>
    <row r="407" spans="1:23">
      <c r="B407" s="302" t="s">
        <v>2740</v>
      </c>
      <c r="C407" s="278" t="s">
        <v>2645</v>
      </c>
      <c r="D407" s="278" t="s">
        <v>594</v>
      </c>
      <c r="E407" s="278" t="s">
        <v>354</v>
      </c>
      <c r="F407" s="299">
        <f t="shared" si="30"/>
        <v>2011</v>
      </c>
      <c r="G407" s="278">
        <v>2010</v>
      </c>
      <c r="H407" s="278">
        <f>'COMPANY INPUT'!$C$16</f>
        <v>2023</v>
      </c>
      <c r="I407" s="278">
        <f>VLOOKUP(G407,'GDP Deflators'!$H$13:$I$86,2,FALSE)</f>
        <v>72.415099999999995</v>
      </c>
      <c r="J407" s="278">
        <f>VLOOKUP(H407,'GDP Deflators'!$H$13:$I$86,2,FALSE)</f>
        <v>100</v>
      </c>
      <c r="K407" s="300">
        <f t="shared" si="31"/>
        <v>-273</v>
      </c>
      <c r="L407" s="746">
        <f t="shared" si="29"/>
        <v>-376.99319617041198</v>
      </c>
      <c r="M407" s="278" t="str">
        <f t="shared" si="32"/>
        <v>Unclear</v>
      </c>
      <c r="N407" s="326">
        <f t="shared" si="33"/>
        <v>2.1428571428571401</v>
      </c>
      <c r="O407" s="278" t="s">
        <v>717</v>
      </c>
      <c r="P407" s="278" t="s">
        <v>2730</v>
      </c>
      <c r="Q407" s="299">
        <f t="shared" si="34"/>
        <v>117</v>
      </c>
      <c r="R407" s="299" t="str">
        <f t="shared" si="35"/>
        <v>Morris and Camino (2011) UK NEA Working Paper Economic Assessment of Freshwater, Wetland and Floodplain (FWF) Ecosystem Services</v>
      </c>
      <c r="S407" s="299" t="str">
        <f t="shared" si="36"/>
        <v>ENCA</v>
      </c>
      <c r="T407" s="299">
        <f t="shared" si="37"/>
        <v>2011</v>
      </c>
      <c r="U407" s="299" t="str">
        <f t="shared" si="38"/>
        <v>UK</v>
      </c>
      <c r="V407" s="299" t="str">
        <f t="shared" si="39"/>
        <v>UK</v>
      </c>
      <c r="W407" s="299" t="str">
        <f t="shared" si="40"/>
        <v>/</v>
      </c>
    </row>
    <row r="408" spans="1:23">
      <c r="B408" s="302" t="s">
        <v>2741</v>
      </c>
      <c r="C408" s="278" t="s">
        <v>2645</v>
      </c>
      <c r="D408" s="278" t="s">
        <v>595</v>
      </c>
      <c r="E408" s="278" t="s">
        <v>354</v>
      </c>
      <c r="F408" s="299">
        <f t="shared" si="30"/>
        <v>2011</v>
      </c>
      <c r="G408" s="278">
        <v>2010</v>
      </c>
      <c r="H408" s="278">
        <f>'COMPANY INPUT'!$C$16</f>
        <v>2023</v>
      </c>
      <c r="I408" s="278">
        <f>VLOOKUP(G408,'GDP Deflators'!$H$13:$I$86,2,FALSE)</f>
        <v>72.415099999999995</v>
      </c>
      <c r="J408" s="278">
        <f>VLOOKUP(H408,'GDP Deflators'!$H$13:$I$86,2,FALSE)</f>
        <v>100</v>
      </c>
      <c r="K408" s="300">
        <f t="shared" si="31"/>
        <v>-182</v>
      </c>
      <c r="L408" s="746">
        <f t="shared" si="29"/>
        <v>-251.32879744694131</v>
      </c>
      <c r="M408" s="278" t="str">
        <f t="shared" si="32"/>
        <v>Unclear</v>
      </c>
      <c r="N408" s="326">
        <f t="shared" si="33"/>
        <v>2.1428571428571401</v>
      </c>
      <c r="O408" s="278" t="s">
        <v>717</v>
      </c>
      <c r="P408" s="278" t="s">
        <v>2730</v>
      </c>
      <c r="Q408" s="299">
        <f t="shared" si="34"/>
        <v>117</v>
      </c>
      <c r="R408" s="299" t="str">
        <f t="shared" si="35"/>
        <v>Morris and Camino (2011) UK NEA Working Paper Economic Assessment of Freshwater, Wetland and Floodplain (FWF) Ecosystem Services</v>
      </c>
      <c r="S408" s="299" t="str">
        <f t="shared" si="36"/>
        <v>ENCA</v>
      </c>
      <c r="T408" s="299">
        <f t="shared" si="37"/>
        <v>2011</v>
      </c>
      <c r="U408" s="299" t="str">
        <f t="shared" si="38"/>
        <v>UK</v>
      </c>
      <c r="V408" s="299" t="str">
        <f t="shared" si="39"/>
        <v>UK</v>
      </c>
      <c r="W408" s="299" t="str">
        <f t="shared" si="40"/>
        <v>/</v>
      </c>
    </row>
    <row r="409" spans="1:23">
      <c r="B409" s="302" t="s">
        <v>2742</v>
      </c>
      <c r="C409" s="278" t="s">
        <v>2645</v>
      </c>
      <c r="D409" s="278" t="s">
        <v>602</v>
      </c>
      <c r="E409" s="278" t="s">
        <v>354</v>
      </c>
      <c r="F409" s="299">
        <f t="shared" si="30"/>
        <v>2011</v>
      </c>
      <c r="G409" s="278">
        <v>2010</v>
      </c>
      <c r="H409" s="278">
        <f>'COMPANY INPUT'!$C$16</f>
        <v>2023</v>
      </c>
      <c r="I409" s="278">
        <f>VLOOKUP(G409,'GDP Deflators'!$H$13:$I$86,2,FALSE)</f>
        <v>72.415099999999995</v>
      </c>
      <c r="J409" s="278">
        <f>VLOOKUP(H409,'GDP Deflators'!$H$13:$I$86,2,FALSE)</f>
        <v>100</v>
      </c>
      <c r="K409" s="300">
        <f t="shared" si="31"/>
        <v>-364</v>
      </c>
      <c r="L409" s="746">
        <f t="shared" si="29"/>
        <v>-502.65759489388262</v>
      </c>
      <c r="M409" s="278" t="str">
        <f t="shared" si="32"/>
        <v>Unclear</v>
      </c>
      <c r="N409" s="326">
        <f t="shared" si="33"/>
        <v>2.1428571428571401</v>
      </c>
      <c r="O409" s="278" t="s">
        <v>717</v>
      </c>
      <c r="P409" s="278" t="s">
        <v>2730</v>
      </c>
      <c r="Q409" s="299">
        <f t="shared" si="34"/>
        <v>117</v>
      </c>
      <c r="R409" s="299" t="str">
        <f t="shared" si="35"/>
        <v>Morris and Camino (2011) UK NEA Working Paper Economic Assessment of Freshwater, Wetland and Floodplain (FWF) Ecosystem Services</v>
      </c>
      <c r="S409" s="299" t="str">
        <f t="shared" si="36"/>
        <v>ENCA</v>
      </c>
      <c r="T409" s="299">
        <f t="shared" si="37"/>
        <v>2011</v>
      </c>
      <c r="U409" s="299" t="str">
        <f t="shared" si="38"/>
        <v>UK</v>
      </c>
      <c r="V409" s="299" t="str">
        <f t="shared" si="39"/>
        <v>UK</v>
      </c>
      <c r="W409" s="299" t="str">
        <f t="shared" si="40"/>
        <v>/</v>
      </c>
    </row>
    <row r="410" spans="1:23">
      <c r="B410" s="302" t="s">
        <v>2743</v>
      </c>
      <c r="C410" s="278" t="s">
        <v>2645</v>
      </c>
      <c r="D410" s="278" t="s">
        <v>603</v>
      </c>
      <c r="E410" s="278" t="s">
        <v>354</v>
      </c>
      <c r="F410" s="299">
        <f t="shared" si="30"/>
        <v>2011</v>
      </c>
      <c r="G410" s="278">
        <v>2010</v>
      </c>
      <c r="H410" s="278">
        <f>'COMPANY INPUT'!$C$16</f>
        <v>2023</v>
      </c>
      <c r="I410" s="278">
        <f>VLOOKUP(G410,'GDP Deflators'!$H$13:$I$86,2,FALSE)</f>
        <v>72.415099999999995</v>
      </c>
      <c r="J410" s="278">
        <f>VLOOKUP(H410,'GDP Deflators'!$H$13:$I$86,2,FALSE)</f>
        <v>100</v>
      </c>
      <c r="K410" s="300">
        <f t="shared" si="31"/>
        <v>-273</v>
      </c>
      <c r="L410" s="746">
        <f t="shared" si="29"/>
        <v>-376.99319617041198</v>
      </c>
      <c r="M410" s="278" t="str">
        <f t="shared" si="32"/>
        <v>Unclear</v>
      </c>
      <c r="N410" s="326">
        <f t="shared" si="33"/>
        <v>2.1428571428571401</v>
      </c>
      <c r="O410" s="278" t="s">
        <v>717</v>
      </c>
      <c r="P410" s="278" t="s">
        <v>2730</v>
      </c>
      <c r="Q410" s="299">
        <f t="shared" si="34"/>
        <v>117</v>
      </c>
      <c r="R410" s="299" t="str">
        <f t="shared" si="35"/>
        <v>Morris and Camino (2011) UK NEA Working Paper Economic Assessment of Freshwater, Wetland and Floodplain (FWF) Ecosystem Services</v>
      </c>
      <c r="S410" s="299" t="str">
        <f t="shared" si="36"/>
        <v>ENCA</v>
      </c>
      <c r="T410" s="299">
        <f t="shared" si="37"/>
        <v>2011</v>
      </c>
      <c r="U410" s="299" t="str">
        <f t="shared" si="38"/>
        <v>UK</v>
      </c>
      <c r="V410" s="299" t="str">
        <f t="shared" si="39"/>
        <v>UK</v>
      </c>
      <c r="W410" s="299" t="str">
        <f t="shared" si="40"/>
        <v>/</v>
      </c>
    </row>
    <row r="411" spans="1:23">
      <c r="B411" s="302" t="s">
        <v>2744</v>
      </c>
      <c r="C411" s="278" t="s">
        <v>2645</v>
      </c>
      <c r="D411" s="278" t="s">
        <v>604</v>
      </c>
      <c r="E411" s="278" t="s">
        <v>354</v>
      </c>
      <c r="F411" s="299">
        <f t="shared" si="30"/>
        <v>2011</v>
      </c>
      <c r="G411" s="278">
        <v>2010</v>
      </c>
      <c r="H411" s="278">
        <f>'COMPANY INPUT'!$C$16</f>
        <v>2023</v>
      </c>
      <c r="I411" s="278">
        <f>VLOOKUP(G411,'GDP Deflators'!$H$13:$I$86,2,FALSE)</f>
        <v>72.415099999999995</v>
      </c>
      <c r="J411" s="278">
        <f>VLOOKUP(H411,'GDP Deflators'!$H$13:$I$86,2,FALSE)</f>
        <v>100</v>
      </c>
      <c r="K411" s="300">
        <f t="shared" si="31"/>
        <v>-182</v>
      </c>
      <c r="L411" s="746">
        <f t="shared" si="29"/>
        <v>-251.32879744694131</v>
      </c>
      <c r="M411" s="278" t="str">
        <f t="shared" si="32"/>
        <v>Unclear</v>
      </c>
      <c r="N411" s="326">
        <f t="shared" si="33"/>
        <v>2.1428571428571401</v>
      </c>
      <c r="O411" s="278" t="s">
        <v>717</v>
      </c>
      <c r="P411" s="278" t="s">
        <v>2730</v>
      </c>
      <c r="Q411" s="299">
        <f t="shared" si="34"/>
        <v>117</v>
      </c>
      <c r="R411" s="299" t="str">
        <f t="shared" si="35"/>
        <v>Morris and Camino (2011) UK NEA Working Paper Economic Assessment of Freshwater, Wetland and Floodplain (FWF) Ecosystem Services</v>
      </c>
      <c r="S411" s="299" t="str">
        <f t="shared" si="36"/>
        <v>ENCA</v>
      </c>
      <c r="T411" s="299">
        <f t="shared" si="37"/>
        <v>2011</v>
      </c>
      <c r="U411" s="299" t="str">
        <f t="shared" si="38"/>
        <v>UK</v>
      </c>
      <c r="V411" s="299" t="str">
        <f t="shared" si="39"/>
        <v>UK</v>
      </c>
      <c r="W411" s="299" t="str">
        <f t="shared" si="40"/>
        <v>/</v>
      </c>
    </row>
    <row r="412" spans="1:23">
      <c r="B412" s="302" t="s">
        <v>2745</v>
      </c>
      <c r="C412" s="278" t="s">
        <v>2645</v>
      </c>
      <c r="D412" s="278" t="s">
        <v>617</v>
      </c>
      <c r="E412" s="278" t="s">
        <v>354</v>
      </c>
      <c r="F412" s="299">
        <f t="shared" si="30"/>
        <v>2011</v>
      </c>
      <c r="G412" s="278">
        <v>2010</v>
      </c>
      <c r="H412" s="278">
        <f>'COMPANY INPUT'!$C$16</f>
        <v>2023</v>
      </c>
      <c r="I412" s="278">
        <f>VLOOKUP(G412,'GDP Deflators'!$H$13:$I$86,2,FALSE)</f>
        <v>72.415099999999995</v>
      </c>
      <c r="J412" s="278">
        <f>VLOOKUP(H412,'GDP Deflators'!$H$13:$I$86,2,FALSE)</f>
        <v>100</v>
      </c>
      <c r="K412" s="300">
        <f t="shared" si="31"/>
        <v>-2234.5</v>
      </c>
      <c r="L412" s="746">
        <f t="shared" si="29"/>
        <v>-3085.6824060175295</v>
      </c>
      <c r="M412" s="278" t="str">
        <f t="shared" si="32"/>
        <v>Unclear</v>
      </c>
      <c r="N412" s="326">
        <f t="shared" si="33"/>
        <v>2.1428571428571401</v>
      </c>
      <c r="O412" s="278" t="s">
        <v>718</v>
      </c>
      <c r="P412" s="278" t="str">
        <f>$J$382</f>
        <v>This is the only value found available. We have decided to include as it is vetted by Defra.</v>
      </c>
      <c r="Q412" s="299">
        <f t="shared" si="34"/>
        <v>117</v>
      </c>
      <c r="R412" s="299" t="str">
        <f t="shared" si="35"/>
        <v>Morris and Camino (2011) UK NEA Working Paper Economic Assessment of Freshwater, Wetland and Floodplain (FWF) Ecosystem Services</v>
      </c>
      <c r="S412" s="299" t="str">
        <f t="shared" si="36"/>
        <v>ENCA</v>
      </c>
      <c r="T412" s="299">
        <f t="shared" si="37"/>
        <v>2011</v>
      </c>
      <c r="U412" s="299" t="str">
        <f t="shared" si="38"/>
        <v>UK</v>
      </c>
      <c r="V412" s="299" t="str">
        <f t="shared" si="39"/>
        <v>UK</v>
      </c>
      <c r="W412" s="299" t="str">
        <f t="shared" si="40"/>
        <v>/</v>
      </c>
    </row>
    <row r="413" spans="1:23">
      <c r="B413" s="302" t="s">
        <v>2746</v>
      </c>
      <c r="C413" s="278" t="s">
        <v>2645</v>
      </c>
      <c r="D413" s="278" t="s">
        <v>618</v>
      </c>
      <c r="E413" s="278" t="s">
        <v>354</v>
      </c>
      <c r="F413" s="299">
        <f t="shared" si="30"/>
        <v>2011</v>
      </c>
      <c r="G413" s="278">
        <v>2010</v>
      </c>
      <c r="H413" s="278">
        <f>'COMPANY INPUT'!$C$16</f>
        <v>2023</v>
      </c>
      <c r="I413" s="278">
        <f>VLOOKUP(G413,'GDP Deflators'!$H$13:$I$86,2,FALSE)</f>
        <v>72.415099999999995</v>
      </c>
      <c r="J413" s="278">
        <f>VLOOKUP(H413,'GDP Deflators'!$H$13:$I$86,2,FALSE)</f>
        <v>100</v>
      </c>
      <c r="K413" s="300">
        <f t="shared" si="31"/>
        <v>-1675.875</v>
      </c>
      <c r="L413" s="746">
        <f t="shared" si="29"/>
        <v>-2314.2618045131471</v>
      </c>
      <c r="M413" s="278" t="str">
        <f t="shared" si="32"/>
        <v>Unclear</v>
      </c>
      <c r="N413" s="326">
        <f t="shared" si="33"/>
        <v>2.1428571428571401</v>
      </c>
      <c r="O413" s="278" t="s">
        <v>718</v>
      </c>
      <c r="P413" s="278" t="str">
        <f>$J$382</f>
        <v>This is the only value found available. We have decided to include as it is vetted by Defra.</v>
      </c>
      <c r="Q413" s="299">
        <f t="shared" si="34"/>
        <v>117</v>
      </c>
      <c r="R413" s="299" t="str">
        <f t="shared" si="35"/>
        <v>Morris and Camino (2011) UK NEA Working Paper Economic Assessment of Freshwater, Wetland and Floodplain (FWF) Ecosystem Services</v>
      </c>
      <c r="S413" s="299" t="str">
        <f t="shared" si="36"/>
        <v>ENCA</v>
      </c>
      <c r="T413" s="299">
        <f t="shared" si="37"/>
        <v>2011</v>
      </c>
      <c r="U413" s="299" t="str">
        <f t="shared" si="38"/>
        <v>UK</v>
      </c>
      <c r="V413" s="299" t="str">
        <f t="shared" si="39"/>
        <v>UK</v>
      </c>
      <c r="W413" s="299" t="str">
        <f t="shared" si="40"/>
        <v>/</v>
      </c>
    </row>
    <row r="414" spans="1:23">
      <c r="B414" s="302" t="s">
        <v>2747</v>
      </c>
      <c r="C414" s="278" t="s">
        <v>2645</v>
      </c>
      <c r="D414" s="278" t="s">
        <v>619</v>
      </c>
      <c r="E414" s="278" t="s">
        <v>354</v>
      </c>
      <c r="F414" s="299">
        <f t="shared" si="30"/>
        <v>2011</v>
      </c>
      <c r="G414" s="278">
        <v>2010</v>
      </c>
      <c r="H414" s="278">
        <f>'COMPANY INPUT'!$C$16</f>
        <v>2023</v>
      </c>
      <c r="I414" s="278">
        <f>VLOOKUP(G414,'GDP Deflators'!$H$13:$I$86,2,FALSE)</f>
        <v>72.415099999999995</v>
      </c>
      <c r="J414" s="278">
        <f>VLOOKUP(H414,'GDP Deflators'!$H$13:$I$86,2,FALSE)</f>
        <v>100</v>
      </c>
      <c r="K414" s="300">
        <f t="shared" si="31"/>
        <v>-1117.25</v>
      </c>
      <c r="L414" s="746">
        <f t="shared" si="29"/>
        <v>-1542.8412030087648</v>
      </c>
      <c r="M414" s="278" t="str">
        <f t="shared" si="32"/>
        <v>Unclear</v>
      </c>
      <c r="N414" s="326">
        <f t="shared" si="33"/>
        <v>2.1428571428571401</v>
      </c>
      <c r="O414" s="278" t="s">
        <v>718</v>
      </c>
      <c r="P414" s="278" t="str">
        <f>$J$382</f>
        <v>This is the only value found available. We have decided to include as it is vetted by Defra.</v>
      </c>
      <c r="Q414" s="299">
        <f t="shared" si="34"/>
        <v>117</v>
      </c>
      <c r="R414" s="299" t="str">
        <f t="shared" si="35"/>
        <v>Morris and Camino (2011) UK NEA Working Paper Economic Assessment of Freshwater, Wetland and Floodplain (FWF) Ecosystem Services</v>
      </c>
      <c r="S414" s="299" t="str">
        <f t="shared" si="36"/>
        <v>ENCA</v>
      </c>
      <c r="T414" s="299">
        <f t="shared" si="37"/>
        <v>2011</v>
      </c>
      <c r="U414" s="299" t="str">
        <f t="shared" si="38"/>
        <v>UK</v>
      </c>
      <c r="V414" s="299" t="str">
        <f t="shared" si="39"/>
        <v>UK</v>
      </c>
      <c r="W414" s="299" t="str">
        <f t="shared" si="40"/>
        <v>/</v>
      </c>
    </row>
    <row r="416" spans="1:23">
      <c r="A416" s="721"/>
      <c r="B416" s="722" t="s">
        <v>454</v>
      </c>
      <c r="C416" s="721"/>
      <c r="D416" s="721"/>
      <c r="E416" s="721"/>
      <c r="F416" s="721"/>
      <c r="G416" s="721"/>
      <c r="H416" s="721"/>
      <c r="I416" s="721"/>
      <c r="J416" s="721"/>
    </row>
    <row r="417" spans="1:10">
      <c r="A417" s="727"/>
      <c r="B417" s="729" t="s">
        <v>897</v>
      </c>
      <c r="C417" s="727"/>
      <c r="D417" s="727"/>
      <c r="E417" s="727"/>
      <c r="F417" s="727"/>
      <c r="G417" s="727"/>
      <c r="H417" s="727"/>
      <c r="I417" s="727"/>
      <c r="J417" s="727"/>
    </row>
    <row r="418" spans="1:10">
      <c r="B418" s="277" t="s">
        <v>898</v>
      </c>
      <c r="C418" s="277" t="s">
        <v>899</v>
      </c>
    </row>
    <row r="419" spans="1:10">
      <c r="B419" s="278" t="s">
        <v>454</v>
      </c>
      <c r="C419" s="278" t="s">
        <v>2748</v>
      </c>
    </row>
    <row r="420" spans="1:10">
      <c r="B420" s="16"/>
    </row>
    <row r="421" spans="1:10">
      <c r="A421" s="727"/>
      <c r="B421" s="728" t="s">
        <v>1045</v>
      </c>
      <c r="C421" s="727"/>
      <c r="D421" s="727"/>
      <c r="E421" s="727"/>
      <c r="F421" s="727"/>
      <c r="G421" s="727"/>
      <c r="H421" s="727"/>
      <c r="I421" s="727"/>
      <c r="J421" s="727"/>
    </row>
    <row r="422" spans="1:10">
      <c r="A422" s="725"/>
      <c r="B422" s="726" t="s">
        <v>912</v>
      </c>
      <c r="C422" s="725"/>
      <c r="D422" s="725"/>
      <c r="E422" s="725"/>
      <c r="F422" s="725"/>
      <c r="G422" s="725"/>
      <c r="H422" s="725"/>
      <c r="I422" s="725"/>
      <c r="J422" s="725"/>
    </row>
    <row r="423" spans="1:10" ht="29.1">
      <c r="B423" s="719" t="s">
        <v>913</v>
      </c>
      <c r="C423" s="719" t="s">
        <v>914</v>
      </c>
      <c r="D423" s="719" t="s">
        <v>915</v>
      </c>
      <c r="E423" s="719" t="s">
        <v>916</v>
      </c>
      <c r="F423" s="719" t="s">
        <v>917</v>
      </c>
      <c r="G423" s="719" t="s">
        <v>918</v>
      </c>
      <c r="H423" s="719" t="s">
        <v>919</v>
      </c>
    </row>
    <row r="424" spans="1:10">
      <c r="B424" s="278">
        <v>116</v>
      </c>
      <c r="C424" s="278" t="s">
        <v>2623</v>
      </c>
      <c r="D424" s="279" t="s">
        <v>907</v>
      </c>
      <c r="E424" s="278">
        <v>2021</v>
      </c>
      <c r="F424" s="278" t="s">
        <v>1047</v>
      </c>
      <c r="G424" s="278" t="s">
        <v>1047</v>
      </c>
      <c r="H424" s="279" t="s">
        <v>907</v>
      </c>
    </row>
    <row r="425" spans="1:10">
      <c r="B425" s="16"/>
    </row>
    <row r="426" spans="1:10">
      <c r="A426" s="725"/>
      <c r="B426" s="726" t="s">
        <v>924</v>
      </c>
      <c r="C426" s="725"/>
      <c r="D426" s="725"/>
      <c r="E426" s="725"/>
      <c r="F426" s="725"/>
      <c r="G426" s="725"/>
      <c r="H426" s="725"/>
      <c r="I426" s="725"/>
      <c r="J426" s="725"/>
    </row>
    <row r="427" spans="1:10">
      <c r="B427" s="277" t="s">
        <v>165</v>
      </c>
      <c r="C427" s="277" t="s">
        <v>925</v>
      </c>
      <c r="D427" s="277" t="s">
        <v>926</v>
      </c>
      <c r="E427" s="1134" t="s">
        <v>953</v>
      </c>
      <c r="F427" s="1134"/>
      <c r="G427" s="1134"/>
      <c r="H427" s="1134"/>
      <c r="I427" s="1134"/>
      <c r="J427" s="1134"/>
    </row>
    <row r="428" spans="1:10">
      <c r="B428" s="278" t="s">
        <v>169</v>
      </c>
      <c r="C428" s="278" t="s">
        <v>167</v>
      </c>
      <c r="D428" s="278">
        <f>VLOOKUP(C428,METHODOLOGY!$C$175:$D$177,2,FALSE)</f>
        <v>2</v>
      </c>
      <c r="E428" s="1087" t="str">
        <f>_xlfn.XLOOKUP(C428,METHODOLOGY!$E$150:$O$150,METHODOLOGY!$E$151:$O$151,"",0,1)</f>
        <v>The monetary values are recommended / referenced in other, well recognised and accepted guidance / tools relevant to another sector.</v>
      </c>
      <c r="F428" s="1087"/>
      <c r="G428" s="1087"/>
      <c r="H428" s="1087"/>
      <c r="I428" s="1087"/>
      <c r="J428" s="1087"/>
    </row>
    <row r="429" spans="1:10">
      <c r="B429" s="278" t="s">
        <v>173</v>
      </c>
      <c r="C429" s="278" t="s">
        <v>166</v>
      </c>
      <c r="D429" s="278">
        <f>VLOOKUP(C429,METHODOLOGY!$C$175:$D$177,2,FALSE)</f>
        <v>3</v>
      </c>
      <c r="E429" s="1087" t="str">
        <f>_xlfn.XLOOKUP(C429,METHODOLOGY!$E$150:$O$150,METHODOLOGY!$E$155:$O$155,"",0,1)</f>
        <v>Study has few limitations and is considered robust.</v>
      </c>
      <c r="F429" s="1087"/>
      <c r="G429" s="1087"/>
      <c r="H429" s="1087"/>
      <c r="I429" s="1087"/>
      <c r="J429" s="1087"/>
    </row>
    <row r="430" spans="1:10">
      <c r="B430" s="278" t="s">
        <v>177</v>
      </c>
      <c r="C430" s="278" t="s">
        <v>166</v>
      </c>
      <c r="D430" s="278">
        <f>VLOOKUP(C430,METHODOLOGY!$C$175:$D$177,2,FALSE)</f>
        <v>3</v>
      </c>
      <c r="E430" s="1087" t="str">
        <f>_xlfn.XLOOKUP(C430,METHODOLOGY!$E$150:$O$150,METHODOLOGY!$E$158:$O$158,"",0,1)</f>
        <v>0 – 5 years</v>
      </c>
      <c r="F430" s="1087"/>
      <c r="G430" s="1087"/>
      <c r="H430" s="1087"/>
      <c r="I430" s="1087"/>
      <c r="J430" s="1087"/>
    </row>
    <row r="431" spans="1:10">
      <c r="B431" s="278" t="s">
        <v>181</v>
      </c>
      <c r="C431" s="278" t="s">
        <v>166</v>
      </c>
      <c r="D431" s="278">
        <f>VLOOKUP(C431,METHODOLOGY!$C$175:$D$177,2,FALSE)</f>
        <v>3</v>
      </c>
      <c r="E431" s="1087" t="str">
        <f>_xlfn.XLOOKUP(C431,METHODOLOGY!$E$150:$O$150,METHODOLOGY!$E$160:$O$160,"",0,1)</f>
        <v>Geographically relevant to UK</v>
      </c>
      <c r="F431" s="1087"/>
      <c r="G431" s="1087"/>
      <c r="H431" s="1087"/>
      <c r="I431" s="1087"/>
      <c r="J431" s="1087"/>
    </row>
    <row r="432" spans="1:10">
      <c r="B432" s="278" t="s">
        <v>928</v>
      </c>
      <c r="C432" s="278" t="s">
        <v>166</v>
      </c>
      <c r="D432" s="278">
        <f>VLOOKUP(C432,METHODOLOGY!$C$175:$D$177,2,FALSE)</f>
        <v>3</v>
      </c>
      <c r="E432" s="1087" t="str">
        <f>_xlfn.XLOOKUP(C432,METHODOLOGY!$E$150:$O$150,METHODOLOGY!$E162:$O162,"",0,1)</f>
        <v>Clear understanding of the valuation method and how the value should be applied.</v>
      </c>
      <c r="F432" s="1087"/>
      <c r="G432" s="1087"/>
      <c r="H432" s="1087"/>
      <c r="I432" s="1087"/>
      <c r="J432" s="1087"/>
    </row>
    <row r="433" spans="1:10">
      <c r="B433" s="278" t="s">
        <v>189</v>
      </c>
      <c r="C433" s="278" t="s">
        <v>167</v>
      </c>
      <c r="D433" s="278">
        <f>VLOOKUP(C433,METHODOLOGY!$C$175:$D$177,2,FALSE)</f>
        <v>2</v>
      </c>
      <c r="E433" s="1087" t="str">
        <f>_xlfn.XLOOKUP(C433,METHODOLOGY!$E$150:$O$150,METHODOLOGY!$E$164:$O$164,"",0,1)</f>
        <v xml:space="preserve">The original valuation can be used with some modification e.g. applying household numbers. The calculation is simple or introduces low levels of uncertainty. </v>
      </c>
      <c r="F433" s="1087"/>
      <c r="G433" s="1087"/>
      <c r="H433" s="1087"/>
      <c r="I433" s="1087"/>
      <c r="J433" s="1087"/>
    </row>
    <row r="434" spans="1:10">
      <c r="C434" s="282" t="s">
        <v>924</v>
      </c>
      <c r="D434" s="326">
        <f>IF(AND(D433=1,AVERAGE(D428:D433)&gt;2.14285714285714),2.14285714285714,IF(AND(D433=2,AVERAGE(D428:D433)&gt;2.57142857142857),2.57142857142857,AVERAGE(D428:D433)))</f>
        <v>2.5714285714285698</v>
      </c>
      <c r="E434" s="270" t="str">
        <f>IF(D434&lt;=2.14285714285714,"Red",IF(D434&lt;=2.57142857142857,"Amber",IF(D434&lt;=3,"Green")))</f>
        <v>Amber</v>
      </c>
    </row>
    <row r="436" spans="1:10">
      <c r="A436" s="725"/>
      <c r="B436" s="726" t="s">
        <v>929</v>
      </c>
      <c r="C436" s="725"/>
      <c r="D436" s="725"/>
      <c r="E436" s="725"/>
      <c r="F436" s="725"/>
      <c r="G436" s="725"/>
      <c r="H436" s="725"/>
      <c r="I436" s="725"/>
      <c r="J436" s="725"/>
    </row>
    <row r="437" spans="1:10">
      <c r="B437" s="277" t="s">
        <v>913</v>
      </c>
      <c r="C437" s="277" t="s">
        <v>902</v>
      </c>
      <c r="D437" s="277" t="s">
        <v>331</v>
      </c>
      <c r="E437" s="277" t="s">
        <v>226</v>
      </c>
      <c r="F437" s="1128" t="s">
        <v>930</v>
      </c>
      <c r="G437" s="1129"/>
      <c r="H437" s="1129"/>
      <c r="I437" s="1129"/>
      <c r="J437" s="1130"/>
    </row>
    <row r="438" spans="1:10" ht="32.450000000000003" customHeight="1">
      <c r="B438" s="1387">
        <v>116</v>
      </c>
      <c r="C438" s="278" t="s">
        <v>2624</v>
      </c>
      <c r="D438" s="278">
        <v>5465</v>
      </c>
      <c r="E438" s="459" t="s">
        <v>2625</v>
      </c>
      <c r="F438" s="1095" t="s">
        <v>2749</v>
      </c>
      <c r="G438" s="1095"/>
      <c r="H438" s="1095"/>
      <c r="I438" s="1095"/>
      <c r="J438" s="1095"/>
    </row>
    <row r="439" spans="1:10" ht="32.450000000000003" customHeight="1">
      <c r="B439" s="1388"/>
      <c r="C439" s="278" t="s">
        <v>2627</v>
      </c>
      <c r="D439" s="278">
        <v>14572</v>
      </c>
      <c r="E439" s="459" t="s">
        <v>2625</v>
      </c>
      <c r="F439" s="1095"/>
      <c r="G439" s="1095"/>
      <c r="H439" s="1095"/>
      <c r="I439" s="1095"/>
      <c r="J439" s="1095"/>
    </row>
    <row r="441" spans="1:10">
      <c r="A441" s="725"/>
      <c r="B441" s="726" t="s">
        <v>936</v>
      </c>
      <c r="C441" s="725"/>
      <c r="D441" s="725"/>
      <c r="E441" s="725"/>
      <c r="F441" s="725"/>
      <c r="G441" s="725"/>
      <c r="H441" s="725"/>
      <c r="I441" s="725"/>
      <c r="J441" s="725"/>
    </row>
    <row r="442" spans="1:10">
      <c r="B442" s="298" t="s">
        <v>902</v>
      </c>
      <c r="C442" s="298" t="s">
        <v>2628</v>
      </c>
      <c r="D442" s="1170" t="s">
        <v>930</v>
      </c>
      <c r="E442" s="1170"/>
      <c r="F442" s="1170"/>
    </row>
    <row r="443" spans="1:10">
      <c r="B443" s="383" t="s">
        <v>2624</v>
      </c>
      <c r="C443" s="604">
        <f>D438</f>
        <v>5465</v>
      </c>
      <c r="D443" s="1105" t="s">
        <v>2629</v>
      </c>
      <c r="E443" s="1105"/>
      <c r="F443" s="1105"/>
    </row>
    <row r="444" spans="1:10">
      <c r="B444" s="383" t="s">
        <v>2627</v>
      </c>
      <c r="C444" s="604">
        <f>D439</f>
        <v>14572</v>
      </c>
      <c r="D444" s="1105"/>
      <c r="E444" s="1105"/>
      <c r="F444" s="1105"/>
    </row>
    <row r="445" spans="1:10" ht="29.25" customHeight="1">
      <c r="B445" s="334" t="s">
        <v>2630</v>
      </c>
      <c r="C445" s="511">
        <f>AVERAGE(C443:C444)</f>
        <v>10018.5</v>
      </c>
      <c r="D445" s="1095" t="s">
        <v>2631</v>
      </c>
      <c r="E445" s="1095"/>
      <c r="F445" s="1095"/>
    </row>
    <row r="466" spans="1:10">
      <c r="A466" s="727"/>
      <c r="B466" s="728" t="s">
        <v>1565</v>
      </c>
      <c r="C466" s="727"/>
      <c r="D466" s="727"/>
      <c r="E466" s="727"/>
      <c r="F466" s="727"/>
      <c r="G466" s="727"/>
      <c r="H466" s="727"/>
      <c r="I466" s="727"/>
      <c r="J466" s="727"/>
    </row>
    <row r="467" spans="1:10">
      <c r="A467" s="725"/>
      <c r="B467" s="726" t="s">
        <v>912</v>
      </c>
      <c r="C467" s="725"/>
      <c r="D467" s="725"/>
      <c r="E467" s="725"/>
      <c r="F467" s="725"/>
      <c r="G467" s="725"/>
      <c r="H467" s="725"/>
      <c r="I467" s="725"/>
      <c r="J467" s="725"/>
    </row>
    <row r="468" spans="1:10" ht="29.1">
      <c r="B468" s="719" t="s">
        <v>913</v>
      </c>
      <c r="C468" s="719" t="s">
        <v>914</v>
      </c>
      <c r="D468" s="719" t="s">
        <v>915</v>
      </c>
      <c r="E468" s="719" t="s">
        <v>916</v>
      </c>
      <c r="F468" s="719" t="s">
        <v>917</v>
      </c>
      <c r="G468" s="719" t="s">
        <v>918</v>
      </c>
      <c r="H468" s="719" t="s">
        <v>919</v>
      </c>
    </row>
    <row r="469" spans="1:10">
      <c r="B469" s="278">
        <v>117</v>
      </c>
      <c r="C469" s="278" t="s">
        <v>2632</v>
      </c>
      <c r="D469" s="279" t="s">
        <v>1182</v>
      </c>
      <c r="E469" s="278">
        <v>2011</v>
      </c>
      <c r="F469" s="278" t="s">
        <v>1047</v>
      </c>
      <c r="G469" s="278" t="s">
        <v>1047</v>
      </c>
      <c r="H469" s="279" t="s">
        <v>907</v>
      </c>
    </row>
    <row r="470" spans="1:10">
      <c r="B470" s="16"/>
    </row>
    <row r="471" spans="1:10">
      <c r="A471" s="725"/>
      <c r="B471" s="726" t="s">
        <v>924</v>
      </c>
      <c r="C471" s="725"/>
      <c r="D471" s="725"/>
      <c r="E471" s="725"/>
      <c r="F471" s="725"/>
      <c r="G471" s="725"/>
      <c r="H471" s="725"/>
      <c r="I471" s="725"/>
      <c r="J471" s="725"/>
    </row>
    <row r="472" spans="1:10">
      <c r="B472" s="277" t="s">
        <v>165</v>
      </c>
      <c r="C472" s="277" t="s">
        <v>925</v>
      </c>
      <c r="D472" s="277" t="s">
        <v>926</v>
      </c>
      <c r="E472" s="1179" t="s">
        <v>953</v>
      </c>
      <c r="F472" s="1179"/>
      <c r="G472" s="1179"/>
      <c r="H472" s="1179"/>
      <c r="I472" s="1179"/>
      <c r="J472" s="1179"/>
    </row>
    <row r="473" spans="1:10">
      <c r="B473" s="278" t="s">
        <v>169</v>
      </c>
      <c r="C473" s="278" t="s">
        <v>166</v>
      </c>
      <c r="D473" s="278">
        <f>VLOOKUP(C473,METHODOLOGY!$C$175:$D$177,2,FALSE)</f>
        <v>3</v>
      </c>
      <c r="E473" s="1087" t="str">
        <f>_xlfn.XLOOKUP(C473,METHODOLOGY!$E$150:$O$150,METHODOLOGY!$E$151:$O$151,"",0,1)</f>
        <v>Monetary values have been peer reviewed or are recommended / referenced in other, well recognised and accepted guidance / tools relevant to the water sector.</v>
      </c>
      <c r="F473" s="1087"/>
      <c r="G473" s="1087"/>
      <c r="H473" s="1087"/>
      <c r="I473" s="1087"/>
      <c r="J473" s="1087"/>
    </row>
    <row r="474" spans="1:10">
      <c r="B474" s="278" t="s">
        <v>173</v>
      </c>
      <c r="C474" s="278" t="s">
        <v>166</v>
      </c>
      <c r="D474" s="278">
        <f>VLOOKUP(C474,METHODOLOGY!$C$175:$D$177,2,FALSE)</f>
        <v>3</v>
      </c>
      <c r="E474" s="1087" t="str">
        <f>_xlfn.XLOOKUP(C474,METHODOLOGY!$E$150:$O$150,METHODOLOGY!$E$155:$O$155,"",0,1)</f>
        <v>Study has few limitations and is considered robust.</v>
      </c>
      <c r="F474" s="1087"/>
      <c r="G474" s="1087"/>
      <c r="H474" s="1087"/>
      <c r="I474" s="1087"/>
      <c r="J474" s="1087"/>
    </row>
    <row r="475" spans="1:10">
      <c r="B475" s="278" t="s">
        <v>177</v>
      </c>
      <c r="C475" s="278" t="s">
        <v>168</v>
      </c>
      <c r="D475" s="278">
        <f>VLOOKUP(C475,METHODOLOGY!$C$175:$D$177,2,FALSE)</f>
        <v>1</v>
      </c>
      <c r="E475" s="1087" t="str">
        <f>_xlfn.XLOOKUP(C475,METHODOLOGY!$E$150:$O$150,METHODOLOGY!$E$158:$O$158,"",0,1)</f>
        <v>&gt;10 years</v>
      </c>
      <c r="F475" s="1087"/>
      <c r="G475" s="1087"/>
      <c r="H475" s="1087"/>
      <c r="I475" s="1087"/>
      <c r="J475" s="1087"/>
    </row>
    <row r="476" spans="1:10">
      <c r="B476" s="278" t="s">
        <v>181</v>
      </c>
      <c r="C476" s="278" t="s">
        <v>166</v>
      </c>
      <c r="D476" s="278">
        <f>VLOOKUP(C476,METHODOLOGY!$C$175:$D$177,2,FALSE)</f>
        <v>3</v>
      </c>
      <c r="E476" s="1087" t="str">
        <f>_xlfn.XLOOKUP(C476,METHODOLOGY!$E$150:$O$150,METHODOLOGY!$E$160:$O$160,"",0,1)</f>
        <v>Geographically relevant to UK</v>
      </c>
      <c r="F476" s="1087"/>
      <c r="G476" s="1087"/>
      <c r="H476" s="1087"/>
      <c r="I476" s="1087"/>
      <c r="J476" s="1087"/>
    </row>
    <row r="477" spans="1:10">
      <c r="B477" s="278" t="s">
        <v>928</v>
      </c>
      <c r="C477" s="278" t="s">
        <v>167</v>
      </c>
      <c r="D477" s="278">
        <f>VLOOKUP(C477,METHODOLOGY!$C$175:$D$177,2,FALSE)</f>
        <v>2</v>
      </c>
      <c r="E477" s="1087" t="str">
        <f>_xlfn.XLOOKUP(C477,METHODOLOGY!$E$150:$O$150,METHODOLOGY!$E162:$O162,"",0,1)</f>
        <v>Meta-analysis or limited understanding of what the value represents.</v>
      </c>
      <c r="F477" s="1087"/>
      <c r="G477" s="1087"/>
      <c r="H477" s="1087"/>
      <c r="I477" s="1087"/>
      <c r="J477" s="1087"/>
    </row>
    <row r="478" spans="1:10">
      <c r="B478" s="278" t="s">
        <v>189</v>
      </c>
      <c r="C478" s="278" t="s">
        <v>168</v>
      </c>
      <c r="D478" s="278">
        <f>VLOOKUP(C478,METHODOLOGY!$C$175:$D$177,2,FALSE)</f>
        <v>1</v>
      </c>
      <c r="E478" s="1087" t="str">
        <f>_xlfn.XLOOKUP(C478,METHODOLOGY!$E$150:$O$150,METHODOLOGY!$E$164:$O$164,"",0,1)</f>
        <v xml:space="preserve">The original valuation can be used with significant modification e.g. several additional data inputs are required to use the original source. The calculation is complex or introduces significant uncertainty. </v>
      </c>
      <c r="F478" s="1087"/>
      <c r="G478" s="1087"/>
      <c r="H478" s="1087"/>
      <c r="I478" s="1087"/>
      <c r="J478" s="1087"/>
    </row>
    <row r="479" spans="1:10">
      <c r="C479" s="282" t="s">
        <v>924</v>
      </c>
      <c r="D479" s="326">
        <f>IF(AND(D478=1,AVERAGE(D473:D478)&gt;2.14285714285714),2.14285714285714,IF(AND(D478=2,AVERAGE(D473:D478)&gt;2.57142857142857),2.57142857142857,AVERAGE(D473:D478)))</f>
        <v>2.1428571428571401</v>
      </c>
      <c r="E479" s="270" t="str">
        <f>IF(D479&lt;=2.14285714285714,"Red",IF(D479&lt;=2.57142857142857,"Amber",IF(D479&lt;=3,"Green")))</f>
        <v>Red</v>
      </c>
    </row>
    <row r="481" spans="1:10">
      <c r="A481" s="725"/>
      <c r="B481" s="726" t="s">
        <v>929</v>
      </c>
      <c r="C481" s="725"/>
      <c r="D481" s="725"/>
      <c r="E481" s="725"/>
      <c r="F481" s="725"/>
      <c r="G481" s="725"/>
      <c r="H481" s="725"/>
      <c r="I481" s="725"/>
      <c r="J481" s="725"/>
    </row>
    <row r="482" spans="1:10">
      <c r="B482" s="277" t="s">
        <v>913</v>
      </c>
      <c r="C482" s="277" t="s">
        <v>953</v>
      </c>
      <c r="D482" s="277" t="s">
        <v>331</v>
      </c>
      <c r="E482" s="277" t="s">
        <v>226</v>
      </c>
      <c r="F482" s="1128" t="s">
        <v>930</v>
      </c>
      <c r="G482" s="1129"/>
      <c r="H482" s="1129"/>
      <c r="I482" s="1129"/>
      <c r="J482" s="1130"/>
    </row>
    <row r="483" spans="1:10" ht="45" customHeight="1">
      <c r="B483" s="1246">
        <v>117</v>
      </c>
      <c r="C483" s="375" t="s">
        <v>2633</v>
      </c>
      <c r="D483" s="278">
        <v>3730</v>
      </c>
      <c r="E483" s="394" t="s">
        <v>2095</v>
      </c>
      <c r="F483" s="1118" t="s">
        <v>2750</v>
      </c>
      <c r="G483" s="1119"/>
      <c r="H483" s="1119"/>
      <c r="I483" s="1119"/>
      <c r="J483" s="1091"/>
    </row>
    <row r="484" spans="1:10" ht="45" customHeight="1">
      <c r="B484" s="1246"/>
      <c r="C484" s="375" t="s">
        <v>2635</v>
      </c>
      <c r="D484" s="278">
        <v>2498</v>
      </c>
      <c r="E484" s="394" t="s">
        <v>2095</v>
      </c>
      <c r="F484" s="1118" t="s">
        <v>2636</v>
      </c>
      <c r="G484" s="1119"/>
      <c r="H484" s="1119"/>
      <c r="I484" s="1119"/>
      <c r="J484" s="1091"/>
    </row>
    <row r="486" spans="1:10">
      <c r="A486" s="725"/>
      <c r="B486" s="726" t="s">
        <v>936</v>
      </c>
      <c r="C486" s="725"/>
      <c r="D486" s="725"/>
      <c r="E486" s="725"/>
      <c r="F486" s="725"/>
      <c r="G486" s="725"/>
      <c r="H486" s="725"/>
      <c r="I486" s="725"/>
      <c r="J486" s="725"/>
    </row>
    <row r="487" spans="1:10">
      <c r="B487" s="298" t="s">
        <v>902</v>
      </c>
      <c r="C487" s="298" t="s">
        <v>2628</v>
      </c>
      <c r="D487" s="1170" t="s">
        <v>930</v>
      </c>
      <c r="E487" s="1170"/>
      <c r="F487" s="1170"/>
    </row>
    <row r="488" spans="1:10" ht="60" customHeight="1">
      <c r="B488" s="383" t="s">
        <v>617</v>
      </c>
      <c r="C488" s="604">
        <f>AVERAGE(D483:D484)</f>
        <v>3114</v>
      </c>
      <c r="D488" s="1402" t="s">
        <v>2751</v>
      </c>
      <c r="E488" s="1403"/>
      <c r="F488" s="1404"/>
    </row>
    <row r="489" spans="1:10" ht="60" customHeight="1">
      <c r="B489" s="383" t="s">
        <v>618</v>
      </c>
      <c r="C489" s="604">
        <f>C488*0.75</f>
        <v>2335.5</v>
      </c>
      <c r="D489" s="1105" t="s">
        <v>2752</v>
      </c>
      <c r="E489" s="1105"/>
      <c r="F489" s="1105"/>
    </row>
    <row r="490" spans="1:10" ht="60" customHeight="1">
      <c r="B490" s="334" t="s">
        <v>619</v>
      </c>
      <c r="C490" s="511">
        <f>C488*0.5</f>
        <v>1557</v>
      </c>
      <c r="D490" s="1105" t="s">
        <v>2753</v>
      </c>
      <c r="E490" s="1105"/>
      <c r="F490" s="1105"/>
    </row>
    <row r="492" spans="1:10">
      <c r="D492" s="613"/>
      <c r="E492" s="613"/>
      <c r="F492" s="613"/>
    </row>
    <row r="493" spans="1:10">
      <c r="D493" s="613"/>
      <c r="E493" s="613"/>
      <c r="F493" s="613"/>
    </row>
    <row r="494" spans="1:10">
      <c r="D494" s="613"/>
      <c r="E494" s="613"/>
      <c r="F494" s="613"/>
    </row>
    <row r="495" spans="1:10">
      <c r="D495" s="613"/>
      <c r="E495" s="613"/>
      <c r="F495" s="613"/>
    </row>
    <row r="496" spans="1:10">
      <c r="D496" s="613"/>
      <c r="E496" s="613"/>
      <c r="F496" s="613"/>
    </row>
    <row r="497" spans="1:10">
      <c r="D497" s="613"/>
      <c r="E497" s="613"/>
      <c r="F497" s="613"/>
    </row>
    <row r="498" spans="1:10">
      <c r="D498" s="613"/>
      <c r="E498" s="613"/>
      <c r="F498" s="613"/>
    </row>
    <row r="499" spans="1:10">
      <c r="D499" s="613"/>
      <c r="E499" s="613"/>
      <c r="F499" s="613"/>
    </row>
    <row r="500" spans="1:10">
      <c r="D500" s="613"/>
      <c r="E500" s="613"/>
      <c r="F500" s="613"/>
    </row>
    <row r="508" spans="1:10">
      <c r="A508" s="727"/>
      <c r="B508" s="728" t="s">
        <v>1575</v>
      </c>
      <c r="C508" s="727"/>
      <c r="D508" s="727"/>
      <c r="E508" s="727"/>
      <c r="F508" s="727"/>
      <c r="G508" s="727"/>
      <c r="H508" s="727"/>
      <c r="I508" s="727"/>
      <c r="J508" s="727"/>
    </row>
    <row r="509" spans="1:10">
      <c r="A509" s="725"/>
      <c r="B509" s="726" t="s">
        <v>912</v>
      </c>
      <c r="C509" s="725"/>
      <c r="D509" s="725"/>
      <c r="E509" s="725"/>
      <c r="F509" s="725"/>
      <c r="G509" s="725"/>
      <c r="H509" s="725"/>
      <c r="I509" s="725"/>
      <c r="J509" s="725"/>
    </row>
    <row r="510" spans="1:10" ht="29.1">
      <c r="B510" s="719" t="s">
        <v>913</v>
      </c>
      <c r="C510" s="719" t="s">
        <v>914</v>
      </c>
      <c r="D510" s="719" t="s">
        <v>915</v>
      </c>
      <c r="E510" s="719" t="s">
        <v>916</v>
      </c>
      <c r="F510" s="719" t="s">
        <v>917</v>
      </c>
      <c r="G510" s="719" t="s">
        <v>918</v>
      </c>
      <c r="H510" s="719" t="s">
        <v>919</v>
      </c>
    </row>
    <row r="511" spans="1:10">
      <c r="B511" s="278">
        <v>119</v>
      </c>
      <c r="C511" s="278" t="s">
        <v>2754</v>
      </c>
      <c r="D511" s="279" t="s">
        <v>1182</v>
      </c>
      <c r="E511" s="278">
        <v>2018</v>
      </c>
      <c r="F511" s="278" t="s">
        <v>2755</v>
      </c>
      <c r="G511" s="278" t="s">
        <v>2755</v>
      </c>
      <c r="H511" s="279" t="s">
        <v>907</v>
      </c>
    </row>
    <row r="512" spans="1:10">
      <c r="B512" s="16"/>
    </row>
    <row r="513" spans="1:10">
      <c r="A513" s="725"/>
      <c r="B513" s="726" t="s">
        <v>924</v>
      </c>
      <c r="C513" s="725"/>
      <c r="D513" s="725"/>
      <c r="E513" s="725"/>
      <c r="F513" s="725"/>
      <c r="G513" s="725"/>
      <c r="H513" s="725"/>
      <c r="I513" s="725"/>
      <c r="J513" s="725"/>
    </row>
    <row r="514" spans="1:10">
      <c r="B514" s="277" t="s">
        <v>165</v>
      </c>
      <c r="C514" s="277" t="s">
        <v>925</v>
      </c>
      <c r="D514" s="277" t="s">
        <v>926</v>
      </c>
      <c r="E514" s="1134" t="s">
        <v>953</v>
      </c>
      <c r="F514" s="1134"/>
      <c r="G514" s="1134"/>
      <c r="H514" s="1134"/>
      <c r="I514" s="1134"/>
      <c r="J514" s="1134"/>
    </row>
    <row r="515" spans="1:10">
      <c r="B515" s="278" t="s">
        <v>169</v>
      </c>
      <c r="C515" s="278" t="s">
        <v>166</v>
      </c>
      <c r="D515" s="278">
        <f>VLOOKUP(C515,METHODOLOGY!$C$175:$D$177,2,FALSE)</f>
        <v>3</v>
      </c>
      <c r="E515" s="1087" t="str">
        <f>_xlfn.XLOOKUP(C515,METHODOLOGY!$E$150:$O$150,METHODOLOGY!$E$151:$O$151,"",0,1)</f>
        <v>Monetary values have been peer reviewed or are recommended / referenced in other, well recognised and accepted guidance / tools relevant to the water sector.</v>
      </c>
      <c r="F515" s="1087"/>
      <c r="G515" s="1087"/>
      <c r="H515" s="1087"/>
      <c r="I515" s="1087"/>
      <c r="J515" s="1087"/>
    </row>
    <row r="516" spans="1:10">
      <c r="B516" s="278" t="s">
        <v>173</v>
      </c>
      <c r="C516" s="278" t="s">
        <v>167</v>
      </c>
      <c r="D516" s="278">
        <f>VLOOKUP(C516,METHODOLOGY!$C$175:$D$177,2,FALSE)</f>
        <v>2</v>
      </c>
      <c r="E516" s="1087" t="str">
        <f>_xlfn.XLOOKUP(C516,METHODOLOGY!$E$150:$O$150,METHODOLOGY!$E$155:$O$155,"",0,1)</f>
        <v>Study has some limitations which may impact on the robustness of the value.</v>
      </c>
      <c r="F516" s="1087"/>
      <c r="G516" s="1087"/>
      <c r="H516" s="1087"/>
      <c r="I516" s="1087"/>
      <c r="J516" s="1087"/>
    </row>
    <row r="517" spans="1:10">
      <c r="B517" s="278" t="s">
        <v>177</v>
      </c>
      <c r="C517" s="278" t="s">
        <v>167</v>
      </c>
      <c r="D517" s="278">
        <f>VLOOKUP(C517,METHODOLOGY!$C$175:$D$177,2,FALSE)</f>
        <v>2</v>
      </c>
      <c r="E517" s="1087" t="str">
        <f>_xlfn.XLOOKUP(C517,METHODOLOGY!$E$150:$O$150,METHODOLOGY!$E$158:$O$158,"",0,1)</f>
        <v>6-10 years</v>
      </c>
      <c r="F517" s="1087"/>
      <c r="G517" s="1087"/>
      <c r="H517" s="1087"/>
      <c r="I517" s="1087"/>
      <c r="J517" s="1087"/>
    </row>
    <row r="518" spans="1:10">
      <c r="B518" s="278" t="s">
        <v>181</v>
      </c>
      <c r="C518" s="278" t="s">
        <v>166</v>
      </c>
      <c r="D518" s="278">
        <f>VLOOKUP(C518,METHODOLOGY!$C$175:$D$177,2,FALSE)</f>
        <v>3</v>
      </c>
      <c r="E518" s="1087" t="str">
        <f>_xlfn.XLOOKUP(C518,METHODOLOGY!$E$150:$O$150,METHODOLOGY!$E$160:$O$160,"",0,1)</f>
        <v>Geographically relevant to UK</v>
      </c>
      <c r="F518" s="1087"/>
      <c r="G518" s="1087"/>
      <c r="H518" s="1087"/>
      <c r="I518" s="1087"/>
      <c r="J518" s="1087"/>
    </row>
    <row r="519" spans="1:10">
      <c r="B519" s="278" t="s">
        <v>928</v>
      </c>
      <c r="C519" s="278" t="s">
        <v>166</v>
      </c>
      <c r="D519" s="278">
        <f>VLOOKUP(C519,METHODOLOGY!$C$175:$D$177,2,FALSE)</f>
        <v>3</v>
      </c>
      <c r="E519" s="1087" t="str">
        <f>_xlfn.XLOOKUP(C519,METHODOLOGY!$E$150:$O$150,METHODOLOGY!$E162:$O162,"",0,1)</f>
        <v>Clear understanding of the valuation method and how the value should be applied.</v>
      </c>
      <c r="F519" s="1087"/>
      <c r="G519" s="1087"/>
      <c r="H519" s="1087"/>
      <c r="I519" s="1087"/>
      <c r="J519" s="1087"/>
    </row>
    <row r="520" spans="1:10">
      <c r="B520" s="278" t="s">
        <v>189</v>
      </c>
      <c r="C520" s="278" t="s">
        <v>167</v>
      </c>
      <c r="D520" s="278">
        <f>VLOOKUP(C520,METHODOLOGY!$C$175:$D$177,2,FALSE)</f>
        <v>2</v>
      </c>
      <c r="E520" s="1087" t="str">
        <f>_xlfn.XLOOKUP(C520,METHODOLOGY!$E$150:$O$150,METHODOLOGY!$E$164:$O$164,"",0,1)</f>
        <v xml:space="preserve">The original valuation can be used with some modification e.g. applying household numbers. The calculation is simple or introduces low levels of uncertainty. </v>
      </c>
      <c r="F520" s="1087"/>
      <c r="G520" s="1087"/>
      <c r="H520" s="1087"/>
      <c r="I520" s="1087"/>
      <c r="J520" s="1087"/>
    </row>
    <row r="521" spans="1:10">
      <c r="C521" s="282" t="s">
        <v>924</v>
      </c>
      <c r="D521" s="326">
        <f>IF(AND(D520=1,AVERAGE(D515:D520)&gt;2.14285714285714),2.14285714285714,IF(AND(D520=2,AVERAGE(D515:D520)&gt;2.57142857142857),2.57142857142857,AVERAGE(D515:D520)))</f>
        <v>2.5</v>
      </c>
      <c r="E521" s="270" t="str">
        <f>IF(D521&lt;=2.14285714285714,"Red",IF(D521&lt;=2.57142857142857,"Amber",IF(D521&lt;=3,"Green")))</f>
        <v>Amber</v>
      </c>
    </row>
    <row r="523" spans="1:10">
      <c r="A523" s="725"/>
      <c r="B523" s="726" t="s">
        <v>929</v>
      </c>
      <c r="C523" s="725"/>
      <c r="D523" s="725"/>
      <c r="E523" s="725"/>
      <c r="F523" s="725"/>
      <c r="G523" s="725"/>
      <c r="H523" s="725"/>
      <c r="I523" s="725"/>
      <c r="J523" s="725"/>
    </row>
    <row r="524" spans="1:10">
      <c r="B524" s="277" t="s">
        <v>913</v>
      </c>
      <c r="C524" s="277" t="s">
        <v>953</v>
      </c>
      <c r="D524" s="277" t="s">
        <v>331</v>
      </c>
      <c r="E524" s="277" t="s">
        <v>2756</v>
      </c>
      <c r="F524" s="1164" t="s">
        <v>930</v>
      </c>
      <c r="G524" s="1165"/>
      <c r="H524" s="1165"/>
      <c r="I524" s="1165"/>
      <c r="J524" s="1166"/>
    </row>
    <row r="525" spans="1:10" ht="111.75" customHeight="1">
      <c r="B525" s="1246">
        <v>119</v>
      </c>
      <c r="C525" s="375" t="s">
        <v>2757</v>
      </c>
      <c r="D525" s="297">
        <v>89</v>
      </c>
      <c r="E525" s="394" t="s">
        <v>2084</v>
      </c>
      <c r="F525" s="1118" t="s">
        <v>2758</v>
      </c>
      <c r="G525" s="1119"/>
      <c r="H525" s="1119"/>
      <c r="I525" s="1119"/>
      <c r="J525" s="1091"/>
    </row>
    <row r="527" spans="1:10">
      <c r="A527" s="725"/>
      <c r="B527" s="726" t="s">
        <v>936</v>
      </c>
      <c r="C527" s="725"/>
      <c r="D527" s="725"/>
      <c r="E527" s="725"/>
      <c r="F527" s="725"/>
      <c r="G527" s="725"/>
      <c r="H527" s="725"/>
      <c r="I527" s="725"/>
      <c r="J527" s="725"/>
    </row>
    <row r="528" spans="1:10">
      <c r="B528" s="298" t="s">
        <v>902</v>
      </c>
      <c r="C528" s="298" t="s">
        <v>2628</v>
      </c>
      <c r="D528" s="1170" t="s">
        <v>930</v>
      </c>
      <c r="E528" s="1170"/>
      <c r="F528" s="1170"/>
    </row>
    <row r="529" spans="1:10" ht="28.5" customHeight="1">
      <c r="B529" s="278" t="s">
        <v>589</v>
      </c>
      <c r="C529" s="604">
        <f>D525</f>
        <v>89</v>
      </c>
      <c r="D529" s="1402" t="s">
        <v>2759</v>
      </c>
      <c r="E529" s="1403"/>
      <c r="F529" s="1404"/>
    </row>
    <row r="530" spans="1:10" ht="28.5" customHeight="1">
      <c r="B530" s="214" t="s">
        <v>591</v>
      </c>
      <c r="C530" s="604">
        <f>C529*0.75</f>
        <v>66.75</v>
      </c>
      <c r="D530" s="1405"/>
      <c r="E530" s="1406"/>
      <c r="F530" s="1407"/>
    </row>
    <row r="531" spans="1:10" ht="28.5" customHeight="1">
      <c r="B531" s="214" t="s">
        <v>592</v>
      </c>
      <c r="C531" s="511">
        <f>C529*0.5</f>
        <v>44.5</v>
      </c>
      <c r="D531" s="1405"/>
      <c r="E531" s="1406"/>
      <c r="F531" s="1407"/>
    </row>
    <row r="532" spans="1:10" ht="28.5" customHeight="1">
      <c r="B532" s="383" t="s">
        <v>599</v>
      </c>
      <c r="C532" s="511">
        <f>D525</f>
        <v>89</v>
      </c>
      <c r="D532" s="1405"/>
      <c r="E532" s="1406"/>
      <c r="F532" s="1407"/>
    </row>
    <row r="533" spans="1:10" ht="28.5" customHeight="1">
      <c r="B533" s="383" t="s">
        <v>600</v>
      </c>
      <c r="C533" s="604">
        <f>C532*0.75</f>
        <v>66.75</v>
      </c>
      <c r="D533" s="1405"/>
      <c r="E533" s="1406"/>
      <c r="F533" s="1407"/>
    </row>
    <row r="534" spans="1:10" ht="28.5" customHeight="1">
      <c r="B534" s="334" t="s">
        <v>601</v>
      </c>
      <c r="C534" s="511">
        <f>C532*0.5</f>
        <v>44.5</v>
      </c>
      <c r="D534" s="1408"/>
      <c r="E534" s="1409"/>
      <c r="F534" s="1410"/>
    </row>
    <row r="536" spans="1:10">
      <c r="A536" s="727"/>
      <c r="B536" s="728" t="s">
        <v>901</v>
      </c>
      <c r="C536" s="727"/>
      <c r="D536" s="727"/>
      <c r="E536" s="727"/>
      <c r="F536" s="727"/>
      <c r="G536" s="727"/>
      <c r="H536" s="727"/>
      <c r="I536" s="727"/>
      <c r="J536" s="727"/>
    </row>
    <row r="537" spans="1:10" ht="29.1">
      <c r="B537" s="784" t="s">
        <v>902</v>
      </c>
      <c r="C537" s="784" t="s">
        <v>898</v>
      </c>
      <c r="D537" s="784" t="s">
        <v>899</v>
      </c>
      <c r="E537" s="784" t="s">
        <v>903</v>
      </c>
      <c r="F537" s="784" t="s">
        <v>904</v>
      </c>
      <c r="G537" s="784" t="s">
        <v>905</v>
      </c>
      <c r="H537" s="784" t="s">
        <v>924</v>
      </c>
      <c r="I537" s="788" t="s">
        <v>956</v>
      </c>
      <c r="J537" s="788" t="s">
        <v>927</v>
      </c>
    </row>
    <row r="538" spans="1:10">
      <c r="B538" s="383" t="s">
        <v>585</v>
      </c>
      <c r="C538" s="278" t="s">
        <v>454</v>
      </c>
      <c r="D538" s="299" t="s">
        <v>2760</v>
      </c>
      <c r="E538" s="299" t="s">
        <v>1058</v>
      </c>
      <c r="F538" s="278" t="str" cm="1">
        <f t="array" ref="F538">_xlfn.XLOOKUP(1,($D$559:$D$570=B538)*($E$559:$E$570=C538),$B$559:$B$570,"Not found",0,1)</f>
        <v>30-13</v>
      </c>
      <c r="G538" s="300">
        <f t="shared" ref="G538:G546" si="41">VLOOKUP(F538,$B$559:$L$570,11,FALSE)</f>
        <v>-16411.887468422436</v>
      </c>
      <c r="H538" s="1120">
        <f>$D$434</f>
        <v>2.5714285714285698</v>
      </c>
      <c r="I538" s="1149" t="s">
        <v>2761</v>
      </c>
      <c r="J538" s="1149" t="s">
        <v>2762</v>
      </c>
    </row>
    <row r="539" spans="1:10">
      <c r="B539" s="334" t="s">
        <v>587</v>
      </c>
      <c r="C539" s="278" t="s">
        <v>454</v>
      </c>
      <c r="D539" s="299" t="s">
        <v>2760</v>
      </c>
      <c r="E539" s="299" t="s">
        <v>1058</v>
      </c>
      <c r="F539" s="278" t="str" cm="1">
        <f t="array" ref="F539">_xlfn.XLOOKUP(1,($D$559:$D$570=B539)*($E$559:$E$570=C539),$B$559:$B$570,"Not found",0,1)</f>
        <v>30-14</v>
      </c>
      <c r="G539" s="300">
        <f t="shared" si="41"/>
        <v>-11283.454199999325</v>
      </c>
      <c r="H539" s="1121"/>
      <c r="I539" s="1149"/>
      <c r="J539" s="1149"/>
    </row>
    <row r="540" spans="1:10">
      <c r="B540" s="383" t="s">
        <v>588</v>
      </c>
      <c r="C540" s="278" t="s">
        <v>454</v>
      </c>
      <c r="D540" s="299" t="s">
        <v>2760</v>
      </c>
      <c r="E540" s="299" t="s">
        <v>1058</v>
      </c>
      <c r="F540" s="278" t="str" cm="1">
        <f t="array" ref="F540">_xlfn.XLOOKUP(1,($D$559:$D$570=B540)*($E$559:$E$570=C540),$B$559:$B$570,"Not found",0,1)</f>
        <v>30-15</v>
      </c>
      <c r="G540" s="300">
        <f t="shared" si="41"/>
        <v>-6155.0209315762149</v>
      </c>
      <c r="H540" s="1122"/>
      <c r="I540" s="1149"/>
      <c r="J540" s="1149"/>
    </row>
    <row r="541" spans="1:10">
      <c r="B541" s="383" t="s">
        <v>589</v>
      </c>
      <c r="C541" s="278" t="s">
        <v>454</v>
      </c>
      <c r="D541" s="299" t="s">
        <v>2760</v>
      </c>
      <c r="E541" s="299" t="s">
        <v>2763</v>
      </c>
      <c r="F541" s="278" t="str" cm="1">
        <f t="array" ref="F541">_xlfn.XLOOKUP(1,($D$559:$D$570=B541)*($E$559:$E$570=C541),$B$559:$B$570,"Not found",0,1)</f>
        <v>30-16</v>
      </c>
      <c r="G541" s="300">
        <f t="shared" si="41"/>
        <v>-107.44120913612439</v>
      </c>
      <c r="H541" s="1120">
        <f>$D$521</f>
        <v>2.5</v>
      </c>
      <c r="I541" s="1149" t="s">
        <v>2100</v>
      </c>
      <c r="J541" s="1149" t="s">
        <v>2723</v>
      </c>
    </row>
    <row r="542" spans="1:10">
      <c r="B542" s="383" t="s">
        <v>591</v>
      </c>
      <c r="C542" s="278" t="s">
        <v>454</v>
      </c>
      <c r="D542" s="299" t="s">
        <v>2760</v>
      </c>
      <c r="E542" s="299" t="s">
        <v>2763</v>
      </c>
      <c r="F542" s="278" t="str" cm="1">
        <f t="array" ref="F542">_xlfn.XLOOKUP(1,($D$559:$D$570=B542)*($E$559:$E$570=C542),$B$559:$B$570,"Not found",0,1)</f>
        <v>30-17</v>
      </c>
      <c r="G542" s="300">
        <f t="shared" si="41"/>
        <v>-80.580906852093293</v>
      </c>
      <c r="H542" s="1121"/>
      <c r="I542" s="1149"/>
      <c r="J542" s="1149"/>
    </row>
    <row r="543" spans="1:10">
      <c r="B543" s="383" t="s">
        <v>592</v>
      </c>
      <c r="C543" s="278" t="s">
        <v>454</v>
      </c>
      <c r="D543" s="299" t="s">
        <v>2760</v>
      </c>
      <c r="E543" s="299" t="s">
        <v>2763</v>
      </c>
      <c r="F543" s="278" t="str" cm="1">
        <f t="array" ref="F543">_xlfn.XLOOKUP(1,($D$559:$D$570=B543)*($E$559:$E$570=C543),$B$559:$B$570,"Not found",0,1)</f>
        <v>30-18</v>
      </c>
      <c r="G543" s="300">
        <f t="shared" si="41"/>
        <v>-53.720604568062193</v>
      </c>
      <c r="H543" s="1121"/>
      <c r="I543" s="1149"/>
      <c r="J543" s="1149"/>
    </row>
    <row r="544" spans="1:10">
      <c r="B544" s="383" t="s">
        <v>599</v>
      </c>
      <c r="C544" s="278" t="s">
        <v>454</v>
      </c>
      <c r="D544" s="299" t="s">
        <v>2760</v>
      </c>
      <c r="E544" s="299" t="s">
        <v>2763</v>
      </c>
      <c r="F544" s="278" t="str" cm="1">
        <f t="array" ref="F544">_xlfn.XLOOKUP(1,($D$559:$D$570=B544)*($E$559:$E$570=C544),$B$559:$B$570,"Not found",0,1)</f>
        <v>30-19</v>
      </c>
      <c r="G544" s="300">
        <f t="shared" si="41"/>
        <v>-107.44120913612439</v>
      </c>
      <c r="H544" s="1121"/>
      <c r="I544" s="1149"/>
      <c r="J544" s="1149"/>
    </row>
    <row r="545" spans="1:23">
      <c r="B545" s="383" t="s">
        <v>600</v>
      </c>
      <c r="C545" s="278" t="s">
        <v>454</v>
      </c>
      <c r="D545" s="299" t="s">
        <v>2760</v>
      </c>
      <c r="E545" s="299" t="s">
        <v>2763</v>
      </c>
      <c r="F545" s="278" t="str" cm="1">
        <f t="array" ref="F545">_xlfn.XLOOKUP(1,($D$559:$D$570=B545)*($E$559:$E$570=C545),$B$559:$B$570,"Not found",0,1)</f>
        <v>30-20</v>
      </c>
      <c r="G545" s="300">
        <f t="shared" si="41"/>
        <v>-80.580906852093293</v>
      </c>
      <c r="H545" s="1121"/>
      <c r="I545" s="1149"/>
      <c r="J545" s="1149"/>
    </row>
    <row r="546" spans="1:23">
      <c r="B546" s="383" t="s">
        <v>601</v>
      </c>
      <c r="C546" s="278" t="s">
        <v>454</v>
      </c>
      <c r="D546" s="299" t="s">
        <v>2760</v>
      </c>
      <c r="E546" s="299" t="s">
        <v>2763</v>
      </c>
      <c r="F546" s="278" t="str" cm="1">
        <f t="array" ref="F546">_xlfn.XLOOKUP(1,($D$559:$D$570=B546)*($E$559:$E$570=C546),$B$559:$B$570,"Not found",0,1)</f>
        <v>30-21</v>
      </c>
      <c r="G546" s="300">
        <f t="shared" si="41"/>
        <v>-53.720604568062193</v>
      </c>
      <c r="H546" s="1122"/>
      <c r="I546" s="1149"/>
      <c r="J546" s="1149"/>
    </row>
    <row r="547" spans="1:23">
      <c r="B547" s="383" t="s">
        <v>611</v>
      </c>
      <c r="C547" s="278" t="s">
        <v>454</v>
      </c>
      <c r="D547" s="299" t="s">
        <v>2760</v>
      </c>
      <c r="E547" s="299" t="s">
        <v>906</v>
      </c>
      <c r="F547" s="278" t="s">
        <v>907</v>
      </c>
      <c r="G547" s="300" t="s">
        <v>961</v>
      </c>
      <c r="H547" s="1438" t="s">
        <v>907</v>
      </c>
      <c r="I547" s="1415" t="s">
        <v>907</v>
      </c>
      <c r="J547" s="1415" t="s">
        <v>907</v>
      </c>
    </row>
    <row r="548" spans="1:23">
      <c r="B548" s="383" t="s">
        <v>612</v>
      </c>
      <c r="C548" s="278" t="s">
        <v>454</v>
      </c>
      <c r="D548" s="299" t="s">
        <v>2760</v>
      </c>
      <c r="E548" s="299" t="s">
        <v>906</v>
      </c>
      <c r="F548" s="278" t="s">
        <v>907</v>
      </c>
      <c r="G548" s="300" t="s">
        <v>961</v>
      </c>
      <c r="H548" s="1439"/>
      <c r="I548" s="1149"/>
      <c r="J548" s="1149"/>
    </row>
    <row r="549" spans="1:23">
      <c r="B549" s="383" t="s">
        <v>613</v>
      </c>
      <c r="C549" s="278" t="s">
        <v>454</v>
      </c>
      <c r="D549" s="299" t="s">
        <v>2760</v>
      </c>
      <c r="E549" s="299" t="s">
        <v>906</v>
      </c>
      <c r="F549" s="278" t="s">
        <v>907</v>
      </c>
      <c r="G549" s="300" t="s">
        <v>961</v>
      </c>
      <c r="H549" s="1439"/>
      <c r="I549" s="1149"/>
      <c r="J549" s="1149"/>
    </row>
    <row r="550" spans="1:23">
      <c r="B550" s="383" t="s">
        <v>614</v>
      </c>
      <c r="C550" s="278" t="s">
        <v>454</v>
      </c>
      <c r="D550" s="299" t="s">
        <v>2760</v>
      </c>
      <c r="E550" s="299" t="s">
        <v>906</v>
      </c>
      <c r="F550" s="278" t="s">
        <v>907</v>
      </c>
      <c r="G550" s="300" t="s">
        <v>961</v>
      </c>
      <c r="H550" s="1439"/>
      <c r="I550" s="1149"/>
      <c r="J550" s="1149"/>
    </row>
    <row r="551" spans="1:23">
      <c r="B551" s="383" t="s">
        <v>615</v>
      </c>
      <c r="C551" s="278" t="s">
        <v>454</v>
      </c>
      <c r="D551" s="299" t="s">
        <v>2760</v>
      </c>
      <c r="E551" s="299" t="s">
        <v>906</v>
      </c>
      <c r="F551" s="278" t="s">
        <v>907</v>
      </c>
      <c r="G551" s="300" t="s">
        <v>961</v>
      </c>
      <c r="H551" s="1439"/>
      <c r="I551" s="1149"/>
      <c r="J551" s="1149"/>
    </row>
    <row r="552" spans="1:23">
      <c r="B552" s="383" t="s">
        <v>616</v>
      </c>
      <c r="C552" s="278" t="s">
        <v>454</v>
      </c>
      <c r="D552" s="299" t="s">
        <v>2760</v>
      </c>
      <c r="E552" s="299" t="s">
        <v>906</v>
      </c>
      <c r="F552" s="278" t="s">
        <v>907</v>
      </c>
      <c r="G552" s="300" t="s">
        <v>961</v>
      </c>
      <c r="H552" s="1440"/>
      <c r="I552" s="1149"/>
      <c r="J552" s="1149"/>
    </row>
    <row r="553" spans="1:23">
      <c r="B553" s="383" t="s">
        <v>617</v>
      </c>
      <c r="C553" s="278" t="s">
        <v>454</v>
      </c>
      <c r="D553" s="299" t="s">
        <v>2760</v>
      </c>
      <c r="E553" s="299" t="s">
        <v>2764</v>
      </c>
      <c r="F553" s="278" t="str" cm="1">
        <f t="array" ref="F553">_xlfn.XLOOKUP(1,($D$559:$D$570=B553)*($E$559:$E$570=C553),$B$559:$B$570,"Not found",0,1)</f>
        <v>30-22</v>
      </c>
      <c r="G553" s="300">
        <f>VLOOKUP(F553,$B$559:$L$570,11,FALSE)</f>
        <v>-4300.2081057679961</v>
      </c>
      <c r="H553" s="1120">
        <f>$D$479</f>
        <v>2.1428571428571401</v>
      </c>
      <c r="I553" s="1149" t="s">
        <v>2765</v>
      </c>
      <c r="J553" s="1149" t="s">
        <v>2723</v>
      </c>
    </row>
    <row r="554" spans="1:23">
      <c r="B554" s="383" t="s">
        <v>618</v>
      </c>
      <c r="C554" s="278" t="s">
        <v>454</v>
      </c>
      <c r="D554" s="299" t="s">
        <v>2760</v>
      </c>
      <c r="E554" s="299" t="s">
        <v>2764</v>
      </c>
      <c r="F554" s="278" t="str" cm="1">
        <f t="array" ref="F554">_xlfn.XLOOKUP(1,($D$559:$D$570=B554)*($E$559:$E$570=C554),$B$559:$B$570,"Not found",0,1)</f>
        <v>30-23</v>
      </c>
      <c r="G554" s="300">
        <f>VLOOKUP(F554,$B$559:$L$570,11,FALSE)</f>
        <v>-3225.1560793259969</v>
      </c>
      <c r="H554" s="1121"/>
      <c r="I554" s="1149"/>
      <c r="J554" s="1149"/>
    </row>
    <row r="555" spans="1:23">
      <c r="B555" s="334" t="s">
        <v>619</v>
      </c>
      <c r="C555" s="278" t="s">
        <v>454</v>
      </c>
      <c r="D555" s="299" t="s">
        <v>2760</v>
      </c>
      <c r="E555" s="299" t="s">
        <v>2764</v>
      </c>
      <c r="F555" s="278" t="str" cm="1">
        <f t="array" ref="F555">_xlfn.XLOOKUP(1,($D$559:$D$570=B555)*($E$559:$E$570=C555),$B$559:$B$570,"Not found",0,1)</f>
        <v>30-24</v>
      </c>
      <c r="G555" s="300">
        <f>VLOOKUP(F555,$B$559:$L$570,11,FALSE)</f>
        <v>-2150.1040528839981</v>
      </c>
      <c r="H555" s="1122"/>
      <c r="I555" s="1149"/>
      <c r="J555" s="1149"/>
    </row>
    <row r="556" spans="1:23">
      <c r="B556" s="18"/>
    </row>
    <row r="557" spans="1:23">
      <c r="A557" s="725"/>
      <c r="B557" s="726" t="s">
        <v>962</v>
      </c>
      <c r="C557" s="725"/>
      <c r="D557" s="725"/>
      <c r="E557" s="725"/>
      <c r="F557" s="725"/>
      <c r="G557" s="725"/>
      <c r="H557" s="725"/>
      <c r="I557" s="725"/>
      <c r="J557" s="725"/>
    </row>
    <row r="558" spans="1:23">
      <c r="B558" s="602" t="s">
        <v>904</v>
      </c>
      <c r="C558" s="602" t="s">
        <v>62</v>
      </c>
      <c r="D558" s="602" t="s">
        <v>902</v>
      </c>
      <c r="E558" s="602" t="s">
        <v>898</v>
      </c>
      <c r="F558" s="602" t="s">
        <v>916</v>
      </c>
      <c r="G558" s="602" t="s">
        <v>963</v>
      </c>
      <c r="H558" s="602" t="s">
        <v>964</v>
      </c>
      <c r="I558" s="602" t="s">
        <v>965</v>
      </c>
      <c r="J558" s="602" t="s">
        <v>966</v>
      </c>
      <c r="K558" s="602" t="s">
        <v>967</v>
      </c>
      <c r="L558" s="602" t="s">
        <v>968</v>
      </c>
      <c r="M558" s="602" t="s">
        <v>956</v>
      </c>
      <c r="N558" s="602" t="s">
        <v>969</v>
      </c>
      <c r="O558" s="602" t="s">
        <v>970</v>
      </c>
      <c r="P558" s="602" t="s">
        <v>927</v>
      </c>
      <c r="Q558" s="602" t="s">
        <v>913</v>
      </c>
      <c r="R558" s="602" t="s">
        <v>914</v>
      </c>
      <c r="S558" s="602" t="s">
        <v>915</v>
      </c>
      <c r="T558" s="602" t="s">
        <v>916</v>
      </c>
      <c r="U558" s="602" t="s">
        <v>1291</v>
      </c>
      <c r="V558" s="602" t="s">
        <v>918</v>
      </c>
      <c r="W558" s="602" t="s">
        <v>919</v>
      </c>
    </row>
    <row r="559" spans="1:23">
      <c r="B559" s="302" t="s">
        <v>2733</v>
      </c>
      <c r="C559" s="278" t="s">
        <v>2645</v>
      </c>
      <c r="D559" s="299" t="s">
        <v>585</v>
      </c>
      <c r="E559" s="278" t="s">
        <v>454</v>
      </c>
      <c r="F559" s="299">
        <f>$E$72</f>
        <v>2021</v>
      </c>
      <c r="G559" s="278">
        <v>2021</v>
      </c>
      <c r="H559" s="278">
        <f>'COMPANY INPUT'!$C$16</f>
        <v>2023</v>
      </c>
      <c r="I559" s="278">
        <f>VLOOKUP(G559,'GDP Deflators'!$H$13:$I$86,2,FALSE)</f>
        <v>88.789299999999997</v>
      </c>
      <c r="J559" s="278">
        <f>VLOOKUP(H559,'GDP Deflators'!$H$13:$I$86,2,FALSE)</f>
        <v>100</v>
      </c>
      <c r="K559" s="297">
        <f>-C444</f>
        <v>-14572</v>
      </c>
      <c r="L559" s="746">
        <f t="shared" ref="L559:L570" si="42">K559*(J559/I559)</f>
        <v>-16411.887468422436</v>
      </c>
      <c r="M559" s="278" t="str">
        <f>$I$538</f>
        <v>Calculated using B£ST</v>
      </c>
      <c r="N559" s="326">
        <f>$H$538</f>
        <v>2.5714285714285698</v>
      </c>
      <c r="O559" s="278" t="s">
        <v>718</v>
      </c>
      <c r="P559" s="278" t="str">
        <f>$J$538</f>
        <v>Recently completed, geographically relevant</v>
      </c>
      <c r="Q559" s="299">
        <f>B$72</f>
        <v>116</v>
      </c>
      <c r="R559" s="299" t="str">
        <f t="shared" ref="R559:W561" si="43">C$72</f>
        <v>Water UK / Stantec (2021) Storm overflow evidence project</v>
      </c>
      <c r="S559" s="299" t="str">
        <f t="shared" si="43"/>
        <v>/</v>
      </c>
      <c r="T559" s="299">
        <f t="shared" si="43"/>
        <v>2021</v>
      </c>
      <c r="U559" s="299" t="str">
        <f t="shared" si="43"/>
        <v>UK</v>
      </c>
      <c r="V559" s="299" t="str">
        <f t="shared" si="43"/>
        <v>UK</v>
      </c>
      <c r="W559" s="299" t="str">
        <f t="shared" si="43"/>
        <v>/</v>
      </c>
    </row>
    <row r="560" spans="1:23">
      <c r="B560" s="302" t="s">
        <v>2734</v>
      </c>
      <c r="C560" s="278" t="s">
        <v>2645</v>
      </c>
      <c r="D560" s="299" t="s">
        <v>587</v>
      </c>
      <c r="E560" s="278" t="s">
        <v>454</v>
      </c>
      <c r="F560" s="299">
        <f t="shared" ref="F560:F561" si="44">$E$72</f>
        <v>2021</v>
      </c>
      <c r="G560" s="278">
        <v>2021</v>
      </c>
      <c r="H560" s="278">
        <f>'COMPANY INPUT'!$C$16</f>
        <v>2023</v>
      </c>
      <c r="I560" s="278">
        <f>VLOOKUP(G560,'GDP Deflators'!$H$13:$I$86,2,FALSE)</f>
        <v>88.789299999999997</v>
      </c>
      <c r="J560" s="278">
        <f>VLOOKUP(H560,'GDP Deflators'!$H$13:$I$86,2,FALSE)</f>
        <v>100</v>
      </c>
      <c r="K560" s="297">
        <f>-C445</f>
        <v>-10018.5</v>
      </c>
      <c r="L560" s="746">
        <f t="shared" si="42"/>
        <v>-11283.454199999325</v>
      </c>
      <c r="M560" s="278" t="str">
        <f>$I$538</f>
        <v>Calculated using B£ST</v>
      </c>
      <c r="N560" s="326">
        <f>$H$538</f>
        <v>2.5714285714285698</v>
      </c>
      <c r="O560" s="278" t="s">
        <v>718</v>
      </c>
      <c r="P560" s="278" t="str">
        <f>$J$538</f>
        <v>Recently completed, geographically relevant</v>
      </c>
      <c r="Q560" s="299">
        <f t="shared" ref="Q560:Q561" si="45">B$72</f>
        <v>116</v>
      </c>
      <c r="R560" s="299" t="str">
        <f t="shared" si="43"/>
        <v>Water UK / Stantec (2021) Storm overflow evidence project</v>
      </c>
      <c r="S560" s="299" t="str">
        <f t="shared" si="43"/>
        <v>/</v>
      </c>
      <c r="T560" s="299">
        <f t="shared" si="43"/>
        <v>2021</v>
      </c>
      <c r="U560" s="299" t="str">
        <f t="shared" si="43"/>
        <v>UK</v>
      </c>
      <c r="V560" s="299" t="str">
        <f t="shared" si="43"/>
        <v>UK</v>
      </c>
      <c r="W560" s="299" t="str">
        <f t="shared" si="43"/>
        <v>/</v>
      </c>
    </row>
    <row r="561" spans="1:23">
      <c r="B561" s="302" t="s">
        <v>2735</v>
      </c>
      <c r="C561" s="278" t="s">
        <v>2645</v>
      </c>
      <c r="D561" s="299" t="s">
        <v>588</v>
      </c>
      <c r="E561" s="278" t="s">
        <v>454</v>
      </c>
      <c r="F561" s="299">
        <f t="shared" si="44"/>
        <v>2021</v>
      </c>
      <c r="G561" s="278">
        <v>2021</v>
      </c>
      <c r="H561" s="278">
        <f>'COMPANY INPUT'!$C$16</f>
        <v>2023</v>
      </c>
      <c r="I561" s="278">
        <f>VLOOKUP(G561,'GDP Deflators'!$H$13:$I$86,2,FALSE)</f>
        <v>88.789299999999997</v>
      </c>
      <c r="J561" s="278">
        <f>VLOOKUP(H561,'GDP Deflators'!$H$13:$I$86,2,FALSE)</f>
        <v>100</v>
      </c>
      <c r="K561" s="297">
        <f>-C443</f>
        <v>-5465</v>
      </c>
      <c r="L561" s="746">
        <f t="shared" si="42"/>
        <v>-6155.0209315762149</v>
      </c>
      <c r="M561" s="278" t="str">
        <f>$I$538</f>
        <v>Calculated using B£ST</v>
      </c>
      <c r="N561" s="326">
        <f>$H$538</f>
        <v>2.5714285714285698</v>
      </c>
      <c r="O561" s="278" t="s">
        <v>718</v>
      </c>
      <c r="P561" s="278" t="str">
        <f>$J$538</f>
        <v>Recently completed, geographically relevant</v>
      </c>
      <c r="Q561" s="299">
        <f t="shared" si="45"/>
        <v>116</v>
      </c>
      <c r="R561" s="299" t="str">
        <f t="shared" si="43"/>
        <v>Water UK / Stantec (2021) Storm overflow evidence project</v>
      </c>
      <c r="S561" s="299" t="str">
        <f t="shared" si="43"/>
        <v>/</v>
      </c>
      <c r="T561" s="299">
        <f t="shared" si="43"/>
        <v>2021</v>
      </c>
      <c r="U561" s="299" t="str">
        <f t="shared" si="43"/>
        <v>UK</v>
      </c>
      <c r="V561" s="299" t="str">
        <f t="shared" si="43"/>
        <v>UK</v>
      </c>
      <c r="W561" s="299" t="str">
        <f t="shared" si="43"/>
        <v>/</v>
      </c>
    </row>
    <row r="562" spans="1:23">
      <c r="B562" s="302" t="s">
        <v>2736</v>
      </c>
      <c r="C562" s="278" t="s">
        <v>2645</v>
      </c>
      <c r="D562" s="299" t="s">
        <v>589</v>
      </c>
      <c r="E562" s="278" t="s">
        <v>454</v>
      </c>
      <c r="F562" s="299">
        <f>$E$511</f>
        <v>2018</v>
      </c>
      <c r="G562" s="278">
        <v>2018</v>
      </c>
      <c r="H562" s="278">
        <f>'COMPANY INPUT'!$C$16</f>
        <v>2023</v>
      </c>
      <c r="I562" s="278">
        <f>VLOOKUP(G562,'GDP Deflators'!$H$13:$I$86,2,FALSE)</f>
        <v>82.835999999999999</v>
      </c>
      <c r="J562" s="278">
        <f>VLOOKUP(H562,'GDP Deflators'!$H$13:$I$86,2,FALSE)</f>
        <v>100</v>
      </c>
      <c r="K562" s="297">
        <f t="shared" ref="K562:K567" si="46">-C529</f>
        <v>-89</v>
      </c>
      <c r="L562" s="746">
        <f t="shared" si="42"/>
        <v>-107.44120913612439</v>
      </c>
      <c r="M562" s="278" t="str">
        <f t="shared" ref="M562:M567" si="47">$I$541</f>
        <v>Replacement cost</v>
      </c>
      <c r="N562" s="326">
        <f t="shared" ref="N562:N567" si="48">$H$541</f>
        <v>2.5</v>
      </c>
      <c r="O562" s="278" t="s">
        <v>718</v>
      </c>
      <c r="P562" s="278" t="str">
        <f t="shared" ref="P562:P567" si="49">$J$541</f>
        <v>This is the only value found available. We have decided to include as it is vetted by Defra.</v>
      </c>
      <c r="Q562" s="299">
        <f>B$511</f>
        <v>119</v>
      </c>
      <c r="R562" s="299" t="str">
        <f t="shared" ref="R562:W567" si="50">C$511</f>
        <v>Forest Research (2019) Valuing flood regulation services of existing forest cover to inform natural capital accounts</v>
      </c>
      <c r="S562" s="299" t="str">
        <f t="shared" si="50"/>
        <v>ENCA</v>
      </c>
      <c r="T562" s="299">
        <f t="shared" si="50"/>
        <v>2018</v>
      </c>
      <c r="U562" s="299" t="str">
        <f t="shared" si="50"/>
        <v>Great Britain</v>
      </c>
      <c r="V562" s="299" t="str">
        <f t="shared" si="50"/>
        <v>Great Britain</v>
      </c>
      <c r="W562" s="299" t="str">
        <f t="shared" si="50"/>
        <v>/</v>
      </c>
    </row>
    <row r="563" spans="1:23">
      <c r="B563" s="302" t="s">
        <v>2737</v>
      </c>
      <c r="C563" s="278" t="s">
        <v>2645</v>
      </c>
      <c r="D563" s="299" t="s">
        <v>591</v>
      </c>
      <c r="E563" s="278" t="s">
        <v>454</v>
      </c>
      <c r="F563" s="299">
        <f t="shared" ref="F563:F567" si="51">$E$511</f>
        <v>2018</v>
      </c>
      <c r="G563" s="278">
        <v>2018</v>
      </c>
      <c r="H563" s="278">
        <f>'COMPANY INPUT'!$C$16</f>
        <v>2023</v>
      </c>
      <c r="I563" s="278">
        <f>VLOOKUP(G563,'GDP Deflators'!$H$13:$I$86,2,FALSE)</f>
        <v>82.835999999999999</v>
      </c>
      <c r="J563" s="278">
        <f>VLOOKUP(H563,'GDP Deflators'!$H$13:$I$86,2,FALSE)</f>
        <v>100</v>
      </c>
      <c r="K563" s="297">
        <f t="shared" si="46"/>
        <v>-66.75</v>
      </c>
      <c r="L563" s="746">
        <f t="shared" si="42"/>
        <v>-80.580906852093293</v>
      </c>
      <c r="M563" s="278" t="str">
        <f t="shared" si="47"/>
        <v>Replacement cost</v>
      </c>
      <c r="N563" s="326">
        <f t="shared" si="48"/>
        <v>2.5</v>
      </c>
      <c r="O563" s="278" t="s">
        <v>718</v>
      </c>
      <c r="P563" s="278" t="str">
        <f t="shared" si="49"/>
        <v>This is the only value found available. We have decided to include as it is vetted by Defra.</v>
      </c>
      <c r="Q563" s="299">
        <f t="shared" ref="Q563:Q567" si="52">B$511</f>
        <v>119</v>
      </c>
      <c r="R563" s="299" t="str">
        <f t="shared" si="50"/>
        <v>Forest Research (2019) Valuing flood regulation services of existing forest cover to inform natural capital accounts</v>
      </c>
      <c r="S563" s="299" t="str">
        <f t="shared" si="50"/>
        <v>ENCA</v>
      </c>
      <c r="T563" s="299">
        <f t="shared" si="50"/>
        <v>2018</v>
      </c>
      <c r="U563" s="299" t="str">
        <f t="shared" si="50"/>
        <v>Great Britain</v>
      </c>
      <c r="V563" s="299" t="str">
        <f t="shared" si="50"/>
        <v>Great Britain</v>
      </c>
      <c r="W563" s="299" t="str">
        <f t="shared" si="50"/>
        <v>/</v>
      </c>
    </row>
    <row r="564" spans="1:23">
      <c r="B564" s="302" t="s">
        <v>2738</v>
      </c>
      <c r="C564" s="278" t="s">
        <v>2645</v>
      </c>
      <c r="D564" s="299" t="s">
        <v>592</v>
      </c>
      <c r="E564" s="278" t="s">
        <v>454</v>
      </c>
      <c r="F564" s="299">
        <f t="shared" si="51"/>
        <v>2018</v>
      </c>
      <c r="G564" s="278">
        <v>2018</v>
      </c>
      <c r="H564" s="278">
        <f>'COMPANY INPUT'!$C$16</f>
        <v>2023</v>
      </c>
      <c r="I564" s="278">
        <f>VLOOKUP(G564,'GDP Deflators'!$H$13:$I$86,2,FALSE)</f>
        <v>82.835999999999999</v>
      </c>
      <c r="J564" s="278">
        <f>VLOOKUP(H564,'GDP Deflators'!$H$13:$I$86,2,FALSE)</f>
        <v>100</v>
      </c>
      <c r="K564" s="297">
        <f t="shared" si="46"/>
        <v>-44.5</v>
      </c>
      <c r="L564" s="746">
        <f t="shared" si="42"/>
        <v>-53.720604568062193</v>
      </c>
      <c r="M564" s="278" t="str">
        <f t="shared" si="47"/>
        <v>Replacement cost</v>
      </c>
      <c r="N564" s="326">
        <f t="shared" si="48"/>
        <v>2.5</v>
      </c>
      <c r="O564" s="278" t="s">
        <v>718</v>
      </c>
      <c r="P564" s="278" t="str">
        <f t="shared" si="49"/>
        <v>This is the only value found available. We have decided to include as it is vetted by Defra.</v>
      </c>
      <c r="Q564" s="299">
        <f t="shared" si="52"/>
        <v>119</v>
      </c>
      <c r="R564" s="299" t="str">
        <f t="shared" si="50"/>
        <v>Forest Research (2019) Valuing flood regulation services of existing forest cover to inform natural capital accounts</v>
      </c>
      <c r="S564" s="299" t="str">
        <f t="shared" si="50"/>
        <v>ENCA</v>
      </c>
      <c r="T564" s="299">
        <f t="shared" si="50"/>
        <v>2018</v>
      </c>
      <c r="U564" s="299" t="str">
        <f t="shared" si="50"/>
        <v>Great Britain</v>
      </c>
      <c r="V564" s="299" t="str">
        <f t="shared" si="50"/>
        <v>Great Britain</v>
      </c>
      <c r="W564" s="299" t="str">
        <f t="shared" si="50"/>
        <v>/</v>
      </c>
    </row>
    <row r="565" spans="1:23">
      <c r="B565" s="302" t="s">
        <v>2739</v>
      </c>
      <c r="C565" s="278" t="s">
        <v>2645</v>
      </c>
      <c r="D565" s="299" t="s">
        <v>599</v>
      </c>
      <c r="E565" s="278" t="s">
        <v>454</v>
      </c>
      <c r="F565" s="299">
        <f>$E$511</f>
        <v>2018</v>
      </c>
      <c r="G565" s="278">
        <v>2018</v>
      </c>
      <c r="H565" s="278">
        <f>'COMPANY INPUT'!$C$16</f>
        <v>2023</v>
      </c>
      <c r="I565" s="278">
        <f>VLOOKUP(G565,'GDP Deflators'!$H$13:$I$86,2,FALSE)</f>
        <v>82.835999999999999</v>
      </c>
      <c r="J565" s="278">
        <f>VLOOKUP(H565,'GDP Deflators'!$H$13:$I$86,2,FALSE)</f>
        <v>100</v>
      </c>
      <c r="K565" s="297">
        <f t="shared" si="46"/>
        <v>-89</v>
      </c>
      <c r="L565" s="746">
        <f t="shared" si="42"/>
        <v>-107.44120913612439</v>
      </c>
      <c r="M565" s="278" t="str">
        <f t="shared" si="47"/>
        <v>Replacement cost</v>
      </c>
      <c r="N565" s="326">
        <f t="shared" si="48"/>
        <v>2.5</v>
      </c>
      <c r="O565" s="278" t="s">
        <v>718</v>
      </c>
      <c r="P565" s="278" t="str">
        <f t="shared" si="49"/>
        <v>This is the only value found available. We have decided to include as it is vetted by Defra.</v>
      </c>
      <c r="Q565" s="299">
        <f t="shared" si="52"/>
        <v>119</v>
      </c>
      <c r="R565" s="299" t="str">
        <f t="shared" si="50"/>
        <v>Forest Research (2019) Valuing flood regulation services of existing forest cover to inform natural capital accounts</v>
      </c>
      <c r="S565" s="299" t="str">
        <f t="shared" si="50"/>
        <v>ENCA</v>
      </c>
      <c r="T565" s="299">
        <f t="shared" si="50"/>
        <v>2018</v>
      </c>
      <c r="U565" s="299" t="str">
        <f t="shared" si="50"/>
        <v>Great Britain</v>
      </c>
      <c r="V565" s="299" t="str">
        <f t="shared" si="50"/>
        <v>Great Britain</v>
      </c>
      <c r="W565" s="299" t="str">
        <f t="shared" si="50"/>
        <v>/</v>
      </c>
    </row>
    <row r="566" spans="1:23">
      <c r="B566" s="302" t="s">
        <v>2740</v>
      </c>
      <c r="C566" s="278" t="s">
        <v>2645</v>
      </c>
      <c r="D566" s="334" t="s">
        <v>600</v>
      </c>
      <c r="E566" s="278" t="s">
        <v>454</v>
      </c>
      <c r="F566" s="299">
        <f t="shared" si="51"/>
        <v>2018</v>
      </c>
      <c r="G566" s="278">
        <v>2018</v>
      </c>
      <c r="H566" s="278">
        <f>'COMPANY INPUT'!$C$16</f>
        <v>2023</v>
      </c>
      <c r="I566" s="278">
        <f>VLOOKUP(G566,'GDP Deflators'!$H$13:$I$86,2,FALSE)</f>
        <v>82.835999999999999</v>
      </c>
      <c r="J566" s="278">
        <f>VLOOKUP(H566,'GDP Deflators'!$H$13:$I$86,2,FALSE)</f>
        <v>100</v>
      </c>
      <c r="K566" s="297">
        <f t="shared" si="46"/>
        <v>-66.75</v>
      </c>
      <c r="L566" s="746">
        <f t="shared" si="42"/>
        <v>-80.580906852093293</v>
      </c>
      <c r="M566" s="278" t="str">
        <f t="shared" si="47"/>
        <v>Replacement cost</v>
      </c>
      <c r="N566" s="326">
        <f t="shared" si="48"/>
        <v>2.5</v>
      </c>
      <c r="O566" s="278" t="s">
        <v>718</v>
      </c>
      <c r="P566" s="278" t="str">
        <f t="shared" si="49"/>
        <v>This is the only value found available. We have decided to include as it is vetted by Defra.</v>
      </c>
      <c r="Q566" s="299">
        <f t="shared" si="52"/>
        <v>119</v>
      </c>
      <c r="R566" s="299" t="str">
        <f t="shared" si="50"/>
        <v>Forest Research (2019) Valuing flood regulation services of existing forest cover to inform natural capital accounts</v>
      </c>
      <c r="S566" s="299" t="str">
        <f t="shared" si="50"/>
        <v>ENCA</v>
      </c>
      <c r="T566" s="299">
        <f t="shared" si="50"/>
        <v>2018</v>
      </c>
      <c r="U566" s="299" t="str">
        <f t="shared" si="50"/>
        <v>Great Britain</v>
      </c>
      <c r="V566" s="299" t="str">
        <f t="shared" si="50"/>
        <v>Great Britain</v>
      </c>
      <c r="W566" s="299" t="str">
        <f t="shared" si="50"/>
        <v>/</v>
      </c>
    </row>
    <row r="567" spans="1:23">
      <c r="B567" s="302" t="s">
        <v>2741</v>
      </c>
      <c r="C567" s="278" t="s">
        <v>2645</v>
      </c>
      <c r="D567" s="299" t="s">
        <v>601</v>
      </c>
      <c r="E567" s="278" t="s">
        <v>454</v>
      </c>
      <c r="F567" s="299">
        <f t="shared" si="51"/>
        <v>2018</v>
      </c>
      <c r="G567" s="278">
        <v>2018</v>
      </c>
      <c r="H567" s="278">
        <f>'COMPANY INPUT'!$C$16</f>
        <v>2023</v>
      </c>
      <c r="I567" s="278">
        <f>VLOOKUP(G567,'GDP Deflators'!$H$13:$I$86,2,FALSE)</f>
        <v>82.835999999999999</v>
      </c>
      <c r="J567" s="278">
        <f>VLOOKUP(H567,'GDP Deflators'!$H$13:$I$86,2,FALSE)</f>
        <v>100</v>
      </c>
      <c r="K567" s="297">
        <f t="shared" si="46"/>
        <v>-44.5</v>
      </c>
      <c r="L567" s="746">
        <f t="shared" si="42"/>
        <v>-53.720604568062193</v>
      </c>
      <c r="M567" s="278" t="str">
        <f t="shared" si="47"/>
        <v>Replacement cost</v>
      </c>
      <c r="N567" s="326">
        <f t="shared" si="48"/>
        <v>2.5</v>
      </c>
      <c r="O567" s="278" t="s">
        <v>718</v>
      </c>
      <c r="P567" s="278" t="str">
        <f t="shared" si="49"/>
        <v>This is the only value found available. We have decided to include as it is vetted by Defra.</v>
      </c>
      <c r="Q567" s="299">
        <f t="shared" si="52"/>
        <v>119</v>
      </c>
      <c r="R567" s="299" t="str">
        <f t="shared" si="50"/>
        <v>Forest Research (2019) Valuing flood regulation services of existing forest cover to inform natural capital accounts</v>
      </c>
      <c r="S567" s="299" t="str">
        <f t="shared" si="50"/>
        <v>ENCA</v>
      </c>
      <c r="T567" s="299">
        <f t="shared" si="50"/>
        <v>2018</v>
      </c>
      <c r="U567" s="299" t="str">
        <f t="shared" si="50"/>
        <v>Great Britain</v>
      </c>
      <c r="V567" s="299" t="str">
        <f t="shared" si="50"/>
        <v>Great Britain</v>
      </c>
      <c r="W567" s="299" t="str">
        <f t="shared" si="50"/>
        <v>/</v>
      </c>
    </row>
    <row r="568" spans="1:23">
      <c r="B568" s="302" t="s">
        <v>2742</v>
      </c>
      <c r="C568" s="278" t="s">
        <v>2645</v>
      </c>
      <c r="D568" s="299" t="s">
        <v>617</v>
      </c>
      <c r="E568" s="278" t="s">
        <v>454</v>
      </c>
      <c r="F568" s="299">
        <f>$E$469</f>
        <v>2011</v>
      </c>
      <c r="G568" s="278">
        <v>2010</v>
      </c>
      <c r="H568" s="278">
        <f>'COMPANY INPUT'!$C$16</f>
        <v>2023</v>
      </c>
      <c r="I568" s="278">
        <f>VLOOKUP(G568,'GDP Deflators'!$H$13:$I$86,2,FALSE)</f>
        <v>72.415099999999995</v>
      </c>
      <c r="J568" s="278">
        <f>VLOOKUP(H568,'GDP Deflators'!$H$13:$I$86,2,FALSE)</f>
        <v>100</v>
      </c>
      <c r="K568" s="297">
        <f>-C488</f>
        <v>-3114</v>
      </c>
      <c r="L568" s="746">
        <f t="shared" si="42"/>
        <v>-4300.2081057679961</v>
      </c>
      <c r="M568" s="278" t="str">
        <f>$I$553</f>
        <v>Unclear - value transfer function informed by evidence of wetlands across Europe and applied to UK site</v>
      </c>
      <c r="N568" s="326">
        <f>$H$553</f>
        <v>2.1428571428571401</v>
      </c>
      <c r="O568" s="278" t="s">
        <v>718</v>
      </c>
      <c r="P568" s="278" t="str">
        <f>$J$553</f>
        <v>This is the only value found available. We have decided to include as it is vetted by Defra.</v>
      </c>
      <c r="Q568" s="299">
        <f>B$469</f>
        <v>117</v>
      </c>
      <c r="R568" s="299" t="str">
        <f t="shared" ref="R568:W570" si="53">C$469</f>
        <v>Morris and Camino (2011) UK NEA Working Paper Economic Assessment of Freshwater, Wetland and Floodplain (FWF) Ecosystem Services</v>
      </c>
      <c r="S568" s="299" t="str">
        <f t="shared" si="53"/>
        <v>ENCA</v>
      </c>
      <c r="T568" s="299">
        <f t="shared" si="53"/>
        <v>2011</v>
      </c>
      <c r="U568" s="299" t="str">
        <f t="shared" si="53"/>
        <v>UK</v>
      </c>
      <c r="V568" s="299" t="str">
        <f t="shared" si="53"/>
        <v>UK</v>
      </c>
      <c r="W568" s="299" t="str">
        <f t="shared" si="53"/>
        <v>/</v>
      </c>
    </row>
    <row r="569" spans="1:23">
      <c r="B569" s="302" t="s">
        <v>2743</v>
      </c>
      <c r="C569" s="278" t="s">
        <v>2645</v>
      </c>
      <c r="D569" s="299" t="s">
        <v>618</v>
      </c>
      <c r="E569" s="278" t="s">
        <v>454</v>
      </c>
      <c r="F569" s="299">
        <f t="shared" ref="F569:F570" si="54">$E$469</f>
        <v>2011</v>
      </c>
      <c r="G569" s="278">
        <v>2010</v>
      </c>
      <c r="H569" s="278">
        <f>'COMPANY INPUT'!$C$16</f>
        <v>2023</v>
      </c>
      <c r="I569" s="278">
        <f>VLOOKUP(G569,'GDP Deflators'!$H$13:$I$86,2,FALSE)</f>
        <v>72.415099999999995</v>
      </c>
      <c r="J569" s="278">
        <f>VLOOKUP(H569,'GDP Deflators'!$H$13:$I$86,2,FALSE)</f>
        <v>100</v>
      </c>
      <c r="K569" s="297">
        <f>-C489</f>
        <v>-2335.5</v>
      </c>
      <c r="L569" s="746">
        <f t="shared" si="42"/>
        <v>-3225.1560793259969</v>
      </c>
      <c r="M569" s="278" t="str">
        <f>$I$553</f>
        <v>Unclear - value transfer function informed by evidence of wetlands across Europe and applied to UK site</v>
      </c>
      <c r="N569" s="326">
        <f>$H$553</f>
        <v>2.1428571428571401</v>
      </c>
      <c r="O569" s="278" t="s">
        <v>718</v>
      </c>
      <c r="P569" s="278" t="str">
        <f>$J$553</f>
        <v>This is the only value found available. We have decided to include as it is vetted by Defra.</v>
      </c>
      <c r="Q569" s="299">
        <f t="shared" ref="Q569:Q570" si="55">B$469</f>
        <v>117</v>
      </c>
      <c r="R569" s="299" t="str">
        <f t="shared" si="53"/>
        <v>Morris and Camino (2011) UK NEA Working Paper Economic Assessment of Freshwater, Wetland and Floodplain (FWF) Ecosystem Services</v>
      </c>
      <c r="S569" s="299" t="str">
        <f t="shared" si="53"/>
        <v>ENCA</v>
      </c>
      <c r="T569" s="299">
        <f t="shared" si="53"/>
        <v>2011</v>
      </c>
      <c r="U569" s="299" t="str">
        <f t="shared" si="53"/>
        <v>UK</v>
      </c>
      <c r="V569" s="299" t="str">
        <f t="shared" si="53"/>
        <v>UK</v>
      </c>
      <c r="W569" s="299" t="str">
        <f t="shared" si="53"/>
        <v>/</v>
      </c>
    </row>
    <row r="570" spans="1:23">
      <c r="B570" s="302" t="s">
        <v>2744</v>
      </c>
      <c r="C570" s="278" t="s">
        <v>2645</v>
      </c>
      <c r="D570" s="334" t="s">
        <v>619</v>
      </c>
      <c r="E570" s="278" t="s">
        <v>454</v>
      </c>
      <c r="F570" s="299">
        <f t="shared" si="54"/>
        <v>2011</v>
      </c>
      <c r="G570" s="278">
        <v>2010</v>
      </c>
      <c r="H570" s="278">
        <f>'COMPANY INPUT'!$C$16</f>
        <v>2023</v>
      </c>
      <c r="I570" s="278">
        <f>VLOOKUP(G570,'GDP Deflators'!$H$13:$I$86,2,FALSE)</f>
        <v>72.415099999999995</v>
      </c>
      <c r="J570" s="278">
        <f>VLOOKUP(H570,'GDP Deflators'!$H$13:$I$86,2,FALSE)</f>
        <v>100</v>
      </c>
      <c r="K570" s="297">
        <f>-C490</f>
        <v>-1557</v>
      </c>
      <c r="L570" s="746">
        <f t="shared" si="42"/>
        <v>-2150.1040528839981</v>
      </c>
      <c r="M570" s="278" t="str">
        <f>$I$553</f>
        <v>Unclear - value transfer function informed by evidence of wetlands across Europe and applied to UK site</v>
      </c>
      <c r="N570" s="326">
        <f>$H$553</f>
        <v>2.1428571428571401</v>
      </c>
      <c r="O570" s="278" t="s">
        <v>718</v>
      </c>
      <c r="P570" s="278" t="str">
        <f>$J$553</f>
        <v>This is the only value found available. We have decided to include as it is vetted by Defra.</v>
      </c>
      <c r="Q570" s="299">
        <f t="shared" si="55"/>
        <v>117</v>
      </c>
      <c r="R570" s="299" t="str">
        <f t="shared" si="53"/>
        <v>Morris and Camino (2011) UK NEA Working Paper Economic Assessment of Freshwater, Wetland and Floodplain (FWF) Ecosystem Services</v>
      </c>
      <c r="S570" s="299" t="str">
        <f t="shared" si="53"/>
        <v>ENCA</v>
      </c>
      <c r="T570" s="299">
        <f t="shared" si="53"/>
        <v>2011</v>
      </c>
      <c r="U570" s="299" t="str">
        <f t="shared" si="53"/>
        <v>UK</v>
      </c>
      <c r="V570" s="299" t="str">
        <f t="shared" si="53"/>
        <v>UK</v>
      </c>
      <c r="W570" s="299" t="str">
        <f t="shared" si="53"/>
        <v>/</v>
      </c>
    </row>
    <row r="572" spans="1:23">
      <c r="A572" s="721"/>
      <c r="B572" s="722" t="s">
        <v>455</v>
      </c>
      <c r="C572" s="721"/>
      <c r="D572" s="721"/>
      <c r="E572" s="721"/>
      <c r="F572" s="721"/>
      <c r="G572" s="721"/>
      <c r="H572" s="721"/>
      <c r="I572" s="721"/>
      <c r="J572" s="721"/>
    </row>
    <row r="573" spans="1:23">
      <c r="A573" s="727"/>
      <c r="B573" s="729" t="s">
        <v>897</v>
      </c>
      <c r="C573" s="727"/>
      <c r="D573" s="727"/>
      <c r="E573" s="727"/>
      <c r="F573" s="727"/>
      <c r="G573" s="727"/>
      <c r="H573" s="727"/>
      <c r="I573" s="727"/>
      <c r="J573" s="727"/>
    </row>
    <row r="574" spans="1:23">
      <c r="B574" s="277" t="s">
        <v>898</v>
      </c>
      <c r="C574" s="277" t="s">
        <v>899</v>
      </c>
    </row>
    <row r="575" spans="1:23">
      <c r="B575" s="278" t="s">
        <v>455</v>
      </c>
      <c r="C575" s="278" t="s">
        <v>2766</v>
      </c>
    </row>
    <row r="576" spans="1:23">
      <c r="B576" s="16"/>
    </row>
    <row r="577" spans="1:10">
      <c r="A577" s="727"/>
      <c r="B577" s="728" t="s">
        <v>2767</v>
      </c>
      <c r="C577" s="727"/>
      <c r="D577" s="727"/>
      <c r="E577" s="727"/>
      <c r="F577" s="727"/>
      <c r="G577" s="727"/>
      <c r="H577" s="727"/>
      <c r="I577" s="727"/>
      <c r="J577" s="727"/>
    </row>
    <row r="578" spans="1:10">
      <c r="A578" s="725"/>
      <c r="B578" s="726" t="s">
        <v>912</v>
      </c>
      <c r="C578" s="725"/>
      <c r="D578" s="725"/>
      <c r="E578" s="725"/>
      <c r="F578" s="725"/>
      <c r="G578" s="725"/>
      <c r="H578" s="725"/>
      <c r="I578" s="725"/>
      <c r="J578" s="725"/>
    </row>
    <row r="579" spans="1:10" ht="29.1">
      <c r="B579" s="719" t="s">
        <v>913</v>
      </c>
      <c r="C579" s="719" t="s">
        <v>914</v>
      </c>
      <c r="D579" s="719" t="s">
        <v>915</v>
      </c>
      <c r="E579" s="719" t="s">
        <v>916</v>
      </c>
      <c r="F579" s="719" t="s">
        <v>917</v>
      </c>
      <c r="G579" s="719" t="s">
        <v>918</v>
      </c>
      <c r="H579" s="719" t="s">
        <v>919</v>
      </c>
    </row>
    <row r="580" spans="1:10">
      <c r="B580" s="278">
        <v>120</v>
      </c>
      <c r="C580" s="278" t="s">
        <v>2768</v>
      </c>
      <c r="D580" s="279" t="s">
        <v>1182</v>
      </c>
      <c r="E580" s="278">
        <v>2024</v>
      </c>
      <c r="F580" s="278" t="s">
        <v>1047</v>
      </c>
      <c r="G580" s="278" t="s">
        <v>1047</v>
      </c>
      <c r="H580" s="279" t="s">
        <v>907</v>
      </c>
    </row>
    <row r="581" spans="1:10">
      <c r="B581" s="16"/>
    </row>
    <row r="582" spans="1:10">
      <c r="A582" s="725"/>
      <c r="B582" s="726" t="s">
        <v>924</v>
      </c>
      <c r="C582" s="725"/>
      <c r="D582" s="725"/>
      <c r="E582" s="725"/>
      <c r="F582" s="725"/>
      <c r="G582" s="725"/>
      <c r="H582" s="725"/>
      <c r="I582" s="725"/>
      <c r="J582" s="725"/>
    </row>
    <row r="583" spans="1:10">
      <c r="B583" s="277" t="s">
        <v>165</v>
      </c>
      <c r="C583" s="277" t="s">
        <v>925</v>
      </c>
      <c r="D583" s="277" t="s">
        <v>926</v>
      </c>
      <c r="E583" s="1134" t="s">
        <v>953</v>
      </c>
      <c r="F583" s="1134"/>
      <c r="G583" s="1134"/>
      <c r="H583" s="1134"/>
      <c r="I583" s="1134"/>
      <c r="J583" s="1134"/>
    </row>
    <row r="584" spans="1:10">
      <c r="B584" s="278" t="s">
        <v>169</v>
      </c>
      <c r="C584" s="278" t="s">
        <v>166</v>
      </c>
      <c r="D584" s="278">
        <f>VLOOKUP(C584,METHODOLOGY!$C$175:$D$177,2,FALSE)</f>
        <v>3</v>
      </c>
      <c r="E584" s="1087" t="str">
        <f>_xlfn.XLOOKUP(C584,METHODOLOGY!$E$150:$O$150,METHODOLOGY!$E$151:$O$151,"",0,1)</f>
        <v>Monetary values have been peer reviewed or are recommended / referenced in other, well recognised and accepted guidance / tools relevant to the water sector.</v>
      </c>
      <c r="F584" s="1087"/>
      <c r="G584" s="1087"/>
      <c r="H584" s="1087"/>
      <c r="I584" s="1087"/>
      <c r="J584" s="1087"/>
    </row>
    <row r="585" spans="1:10">
      <c r="B585" s="278" t="s">
        <v>173</v>
      </c>
      <c r="C585" s="278" t="s">
        <v>166</v>
      </c>
      <c r="D585" s="278">
        <f>VLOOKUP(C585,METHODOLOGY!$C$175:$D$177,2,FALSE)</f>
        <v>3</v>
      </c>
      <c r="E585" s="1087" t="str">
        <f>_xlfn.XLOOKUP(C585,METHODOLOGY!$E$150:$O$150,METHODOLOGY!$E$155:$O$155,"",0,1)</f>
        <v>Study has few limitations and is considered robust.</v>
      </c>
      <c r="F585" s="1087"/>
      <c r="G585" s="1087"/>
      <c r="H585" s="1087"/>
      <c r="I585" s="1087"/>
      <c r="J585" s="1087"/>
    </row>
    <row r="586" spans="1:10">
      <c r="B586" s="278" t="s">
        <v>177</v>
      </c>
      <c r="C586" s="278" t="s">
        <v>166</v>
      </c>
      <c r="D586" s="278">
        <f>VLOOKUP(C586,METHODOLOGY!$C$175:$D$177,2,FALSE)</f>
        <v>3</v>
      </c>
      <c r="E586" s="1087" t="str">
        <f>_xlfn.XLOOKUP(C586,METHODOLOGY!$E$150:$O$150,METHODOLOGY!$E$158:$O$158,"",0,1)</f>
        <v>0 – 5 years</v>
      </c>
      <c r="F586" s="1087"/>
      <c r="G586" s="1087"/>
      <c r="H586" s="1087"/>
      <c r="I586" s="1087"/>
      <c r="J586" s="1087"/>
    </row>
    <row r="587" spans="1:10">
      <c r="B587" s="278" t="s">
        <v>181</v>
      </c>
      <c r="C587" s="278" t="s">
        <v>166</v>
      </c>
      <c r="D587" s="278">
        <f>VLOOKUP(C587,METHODOLOGY!$C$175:$D$177,2,FALSE)</f>
        <v>3</v>
      </c>
      <c r="E587" s="1087" t="str">
        <f>_xlfn.XLOOKUP(C587,METHODOLOGY!$E$150:$O$150,METHODOLOGY!$E$160:$O$160,"",0,1)</f>
        <v>Geographically relevant to UK</v>
      </c>
      <c r="F587" s="1087"/>
      <c r="G587" s="1087"/>
      <c r="H587" s="1087"/>
      <c r="I587" s="1087"/>
      <c r="J587" s="1087"/>
    </row>
    <row r="588" spans="1:10">
      <c r="B588" s="278" t="s">
        <v>928</v>
      </c>
      <c r="C588" s="278" t="s">
        <v>166</v>
      </c>
      <c r="D588" s="278">
        <f>VLOOKUP(C588,METHODOLOGY!$C$175:$D$177,2,FALSE)</f>
        <v>3</v>
      </c>
      <c r="E588" s="1087" t="str">
        <f>_xlfn.XLOOKUP(C588,METHODOLOGY!$E$150:$O$150,METHODOLOGY!$E162:$O162,"",0,1)</f>
        <v>Clear understanding of the valuation method and how the value should be applied.</v>
      </c>
      <c r="F588" s="1087"/>
      <c r="G588" s="1087"/>
      <c r="H588" s="1087"/>
      <c r="I588" s="1087"/>
      <c r="J588" s="1087"/>
    </row>
    <row r="589" spans="1:10">
      <c r="B589" s="278" t="s">
        <v>189</v>
      </c>
      <c r="C589" s="278" t="s">
        <v>168</v>
      </c>
      <c r="D589" s="278">
        <f>VLOOKUP(C589,METHODOLOGY!$C$175:$D$177,2,FALSE)</f>
        <v>1</v>
      </c>
      <c r="E589" s="1087" t="str">
        <f>_xlfn.XLOOKUP(C589,METHODOLOGY!$E$150:$O$150,METHODOLOGY!$E$164:$O$164,"",0,1)</f>
        <v xml:space="preserve">The original valuation can be used with significant modification e.g. several additional data inputs are required to use the original source. The calculation is complex or introduces significant uncertainty. </v>
      </c>
      <c r="F589" s="1087"/>
      <c r="G589" s="1087"/>
      <c r="H589" s="1087"/>
      <c r="I589" s="1087"/>
      <c r="J589" s="1087"/>
    </row>
    <row r="590" spans="1:10">
      <c r="C590" s="282" t="s">
        <v>924</v>
      </c>
      <c r="D590" s="326">
        <f>IF(AND(D589=1,AVERAGE(D584:D589)&gt;2.14285714285714),2.14285714285714,IF(AND(D589=2,AVERAGE(D584:D589)&gt;2.57142857142857),2.57142857142857,AVERAGE(D584:D589)))</f>
        <v>2.1428571428571401</v>
      </c>
      <c r="E590" s="270" t="str">
        <f>IF(D590&lt;=2.14285714285714,"Red",IF(D590&lt;=2.57142857142857,"Amber",IF(D590&lt;=3,"Green")))</f>
        <v>Red</v>
      </c>
    </row>
    <row r="592" spans="1:10">
      <c r="A592" s="725"/>
      <c r="B592" s="726" t="s">
        <v>2769</v>
      </c>
      <c r="C592" s="725"/>
      <c r="D592" s="725"/>
      <c r="E592" s="725"/>
      <c r="F592" s="725"/>
      <c r="G592" s="725"/>
      <c r="H592" s="725"/>
      <c r="I592" s="725"/>
      <c r="J592" s="725"/>
    </row>
    <row r="593" spans="1:18" ht="72.599999999999994">
      <c r="B593" s="277" t="s">
        <v>913</v>
      </c>
      <c r="C593" s="277" t="s">
        <v>2770</v>
      </c>
      <c r="D593" s="298" t="s">
        <v>2771</v>
      </c>
      <c r="E593" s="298" t="s">
        <v>2772</v>
      </c>
      <c r="F593" s="298" t="s">
        <v>2773</v>
      </c>
      <c r="G593" s="298" t="s">
        <v>2774</v>
      </c>
      <c r="H593" s="298" t="s">
        <v>2775</v>
      </c>
      <c r="I593" s="277" t="s">
        <v>930</v>
      </c>
      <c r="J593" s="613"/>
      <c r="K593" s="613"/>
      <c r="L593" s="613"/>
      <c r="M593" s="613"/>
      <c r="N593" s="613"/>
      <c r="O593" s="613"/>
      <c r="P593" s="613"/>
      <c r="Q593" s="613"/>
      <c r="R593" s="613"/>
    </row>
    <row r="594" spans="1:18" ht="15" customHeight="1">
      <c r="B594" s="1387">
        <v>120</v>
      </c>
      <c r="C594" s="375" t="s">
        <v>2776</v>
      </c>
      <c r="D594" s="297">
        <v>1009.14</v>
      </c>
      <c r="E594" s="297">
        <f>D594*1000000</f>
        <v>1009140000</v>
      </c>
      <c r="F594" s="614">
        <v>17130</v>
      </c>
      <c r="G594" s="614">
        <f>F594*100</f>
        <v>1713000</v>
      </c>
      <c r="H594" s="615">
        <f>E594/G594</f>
        <v>589.10683012259199</v>
      </c>
      <c r="I594" s="1109" t="s">
        <v>2777</v>
      </c>
      <c r="J594" s="613"/>
      <c r="K594" s="613"/>
      <c r="L594" s="613"/>
      <c r="M594" s="613"/>
      <c r="N594" s="613"/>
      <c r="O594" s="613"/>
      <c r="P594" s="613"/>
      <c r="Q594" s="613"/>
      <c r="R594" s="613"/>
    </row>
    <row r="595" spans="1:18">
      <c r="B595" s="1411"/>
      <c r="C595" s="375" t="s">
        <v>48</v>
      </c>
      <c r="D595" s="297">
        <v>16.408000000000001</v>
      </c>
      <c r="E595" s="297">
        <f t="shared" ref="E595:E602" si="56">D595*1000000</f>
        <v>16408000.000000002</v>
      </c>
      <c r="F595" s="614">
        <v>1080</v>
      </c>
      <c r="G595" s="614">
        <f t="shared" ref="G595:G602" si="57">F595*100</f>
        <v>108000</v>
      </c>
      <c r="H595" s="615">
        <f t="shared" ref="H595:H602" si="58">E595/G595</f>
        <v>151.92592592592595</v>
      </c>
      <c r="I595" s="1110"/>
      <c r="J595" s="613"/>
      <c r="K595" s="613"/>
      <c r="L595" s="613"/>
      <c r="M595" s="613"/>
      <c r="N595" s="613"/>
      <c r="O595" s="613"/>
      <c r="P595" s="613"/>
      <c r="Q595" s="613"/>
      <c r="R595" s="613"/>
    </row>
    <row r="596" spans="1:18">
      <c r="B596" s="1411"/>
      <c r="C596" s="375" t="s">
        <v>2778</v>
      </c>
      <c r="D596" s="297">
        <v>259.411</v>
      </c>
      <c r="E596" s="297">
        <f t="shared" si="56"/>
        <v>259411000</v>
      </c>
      <c r="F596" s="614">
        <v>14680</v>
      </c>
      <c r="G596" s="614">
        <f t="shared" si="57"/>
        <v>1468000</v>
      </c>
      <c r="H596" s="615">
        <f t="shared" si="58"/>
        <v>176.71049046321525</v>
      </c>
      <c r="I596" s="1110"/>
      <c r="J596" s="613"/>
      <c r="K596" s="613"/>
      <c r="L596" s="613"/>
      <c r="M596" s="613"/>
      <c r="N596" s="613"/>
      <c r="O596" s="613"/>
      <c r="P596" s="613"/>
      <c r="Q596" s="613"/>
      <c r="R596" s="613"/>
    </row>
    <row r="597" spans="1:18">
      <c r="B597" s="1411"/>
      <c r="C597" s="375" t="s">
        <v>2779</v>
      </c>
      <c r="D597" s="297">
        <v>430.86</v>
      </c>
      <c r="E597" s="297">
        <f t="shared" si="56"/>
        <v>430860000</v>
      </c>
      <c r="F597" s="614">
        <v>124300</v>
      </c>
      <c r="G597" s="614">
        <f t="shared" si="57"/>
        <v>12430000</v>
      </c>
      <c r="H597" s="615">
        <f t="shared" si="58"/>
        <v>34.662912308930011</v>
      </c>
      <c r="I597" s="1110"/>
      <c r="J597" s="613"/>
      <c r="K597" s="613"/>
      <c r="L597" s="613"/>
      <c r="M597" s="613"/>
      <c r="N597" s="613"/>
      <c r="O597" s="613"/>
      <c r="P597" s="613"/>
      <c r="Q597" s="613"/>
      <c r="R597" s="613"/>
    </row>
    <row r="598" spans="1:18">
      <c r="B598" s="1411"/>
      <c r="C598" s="375" t="s">
        <v>2780</v>
      </c>
      <c r="D598" s="297">
        <v>16.803999999999998</v>
      </c>
      <c r="E598" s="297">
        <f t="shared" si="56"/>
        <v>16804000</v>
      </c>
      <c r="F598" s="614">
        <v>10080</v>
      </c>
      <c r="G598" s="614">
        <f t="shared" si="57"/>
        <v>1008000</v>
      </c>
      <c r="H598" s="615">
        <f t="shared" si="58"/>
        <v>16.670634920634921</v>
      </c>
      <c r="I598" s="1110"/>
      <c r="J598" s="613"/>
      <c r="K598" s="613"/>
      <c r="L598" s="613"/>
      <c r="M598" s="613"/>
      <c r="N598" s="613"/>
      <c r="O598" s="613"/>
      <c r="P598" s="613"/>
      <c r="Q598" s="613"/>
      <c r="R598" s="613"/>
    </row>
    <row r="599" spans="1:18">
      <c r="B599" s="1411"/>
      <c r="C599" s="375" t="s">
        <v>2781</v>
      </c>
      <c r="D599" s="297">
        <v>24.082999999999998</v>
      </c>
      <c r="E599" s="297">
        <f t="shared" si="56"/>
        <v>24083000</v>
      </c>
      <c r="F599" s="614">
        <v>23580</v>
      </c>
      <c r="G599" s="614">
        <f t="shared" si="57"/>
        <v>2358000</v>
      </c>
      <c r="H599" s="615">
        <f t="shared" si="58"/>
        <v>10.21331636980492</v>
      </c>
      <c r="I599" s="1110"/>
      <c r="J599" s="613"/>
      <c r="K599" s="613"/>
      <c r="L599" s="613"/>
      <c r="M599" s="613"/>
      <c r="N599" s="613"/>
      <c r="O599" s="613"/>
      <c r="P599" s="613"/>
      <c r="Q599" s="613"/>
      <c r="R599" s="613"/>
    </row>
    <row r="600" spans="1:18">
      <c r="B600" s="1411"/>
      <c r="C600" s="375" t="s">
        <v>2782</v>
      </c>
      <c r="D600" s="297">
        <v>43.996000000000002</v>
      </c>
      <c r="E600" s="297">
        <f t="shared" si="56"/>
        <v>43996000</v>
      </c>
      <c r="F600" s="614">
        <v>24790</v>
      </c>
      <c r="G600" s="614">
        <f t="shared" si="57"/>
        <v>2479000</v>
      </c>
      <c r="H600" s="615">
        <f t="shared" si="58"/>
        <v>17.747478822105688</v>
      </c>
      <c r="I600" s="1110"/>
      <c r="J600" s="613"/>
      <c r="K600" s="613"/>
      <c r="L600" s="613"/>
      <c r="M600" s="613"/>
      <c r="N600" s="613"/>
      <c r="O600" s="613"/>
      <c r="P600" s="613"/>
      <c r="Q600" s="613"/>
      <c r="R600" s="613"/>
    </row>
    <row r="601" spans="1:18">
      <c r="B601" s="1411"/>
      <c r="C601" s="375" t="s">
        <v>2599</v>
      </c>
      <c r="D601" s="297">
        <v>242.047</v>
      </c>
      <c r="E601" s="297">
        <f t="shared" si="56"/>
        <v>242047000</v>
      </c>
      <c r="F601" s="614">
        <v>4120</v>
      </c>
      <c r="G601" s="614">
        <f t="shared" si="57"/>
        <v>412000</v>
      </c>
      <c r="H601" s="615">
        <f t="shared" si="58"/>
        <v>587.492718446602</v>
      </c>
      <c r="I601" s="1110"/>
      <c r="J601" s="613"/>
      <c r="K601" s="613"/>
      <c r="L601" s="613"/>
      <c r="M601" s="613"/>
      <c r="N601" s="613"/>
      <c r="O601" s="613"/>
      <c r="P601" s="613"/>
      <c r="Q601" s="613"/>
      <c r="R601" s="613"/>
    </row>
    <row r="602" spans="1:18">
      <c r="B602" s="1388"/>
      <c r="C602" s="375" t="s">
        <v>2783</v>
      </c>
      <c r="D602" s="297">
        <v>558.86699999999996</v>
      </c>
      <c r="E602" s="297">
        <f t="shared" si="56"/>
        <v>558867000</v>
      </c>
      <c r="F602" s="614">
        <v>970</v>
      </c>
      <c r="G602" s="614">
        <f t="shared" si="57"/>
        <v>97000</v>
      </c>
      <c r="H602" s="616">
        <f t="shared" si="58"/>
        <v>5761.5154639175262</v>
      </c>
      <c r="I602" s="1111"/>
      <c r="J602" s="613"/>
      <c r="K602" s="613"/>
      <c r="L602" s="613"/>
      <c r="M602" s="613"/>
      <c r="N602" s="613"/>
      <c r="O602" s="613"/>
      <c r="P602" s="613"/>
      <c r="Q602" s="613"/>
      <c r="R602" s="613"/>
    </row>
    <row r="604" spans="1:18">
      <c r="A604" s="725"/>
      <c r="B604" s="726" t="s">
        <v>2784</v>
      </c>
      <c r="C604" s="725"/>
      <c r="D604" s="725"/>
      <c r="E604" s="725"/>
      <c r="F604" s="725"/>
      <c r="G604" s="725"/>
      <c r="H604" s="725"/>
      <c r="I604" s="725"/>
      <c r="J604" s="725"/>
    </row>
    <row r="605" spans="1:18" ht="43.5">
      <c r="B605" s="603" t="s">
        <v>902</v>
      </c>
      <c r="C605" s="603" t="s">
        <v>2785</v>
      </c>
      <c r="D605" s="603" t="s">
        <v>2786</v>
      </c>
      <c r="E605" s="603" t="s">
        <v>930</v>
      </c>
    </row>
    <row r="606" spans="1:18" ht="15" customHeight="1">
      <c r="B606" s="278" t="s">
        <v>589</v>
      </c>
      <c r="C606" s="617">
        <f>H602</f>
        <v>5761.5154639175262</v>
      </c>
      <c r="D606" s="1103" t="s">
        <v>2783</v>
      </c>
      <c r="E606" s="1112" t="s">
        <v>2787</v>
      </c>
    </row>
    <row r="607" spans="1:18" ht="15" customHeight="1">
      <c r="B607" s="278" t="s">
        <v>591</v>
      </c>
      <c r="C607" s="604">
        <f>C606*0.75</f>
        <v>4321.1365979381444</v>
      </c>
      <c r="D607" s="1104"/>
      <c r="E607" s="1112"/>
    </row>
    <row r="608" spans="1:18" ht="15" customHeight="1">
      <c r="B608" s="278" t="s">
        <v>592</v>
      </c>
      <c r="C608" s="604">
        <f>C606*0.5</f>
        <v>2880.7577319587631</v>
      </c>
      <c r="D608" s="1094"/>
      <c r="E608" s="1112"/>
    </row>
    <row r="609" spans="2:5" ht="15" customHeight="1">
      <c r="B609" s="367" t="s">
        <v>593</v>
      </c>
      <c r="C609" s="618">
        <f>H598</f>
        <v>16.670634920634921</v>
      </c>
      <c r="D609" s="1412" t="s">
        <v>2780</v>
      </c>
      <c r="E609" s="1112"/>
    </row>
    <row r="610" spans="2:5" ht="15" customHeight="1">
      <c r="B610" s="367" t="s">
        <v>594</v>
      </c>
      <c r="C610" s="618">
        <f>C609*0.75</f>
        <v>12.50297619047619</v>
      </c>
      <c r="D610" s="1413"/>
      <c r="E610" s="1112"/>
    </row>
    <row r="611" spans="2:5" ht="15" customHeight="1">
      <c r="B611" s="367" t="s">
        <v>595</v>
      </c>
      <c r="C611" s="618">
        <f>C609*0.5</f>
        <v>8.3353174603174605</v>
      </c>
      <c r="D611" s="1414"/>
      <c r="E611" s="1112"/>
    </row>
    <row r="612" spans="2:5" ht="15" customHeight="1">
      <c r="B612" s="278" t="s">
        <v>596</v>
      </c>
      <c r="C612" s="604">
        <f>H601</f>
        <v>587.492718446602</v>
      </c>
      <c r="D612" s="1103" t="s">
        <v>2599</v>
      </c>
      <c r="E612" s="1112"/>
    </row>
    <row r="613" spans="2:5" ht="15" customHeight="1">
      <c r="B613" s="278" t="s">
        <v>597</v>
      </c>
      <c r="C613" s="604">
        <f>C612*0.75</f>
        <v>440.61953883495153</v>
      </c>
      <c r="D613" s="1104"/>
      <c r="E613" s="1112"/>
    </row>
    <row r="614" spans="2:5" ht="15" customHeight="1">
      <c r="B614" s="278" t="s">
        <v>598</v>
      </c>
      <c r="C614" s="604">
        <f>C612*0.5</f>
        <v>293.746359223301</v>
      </c>
      <c r="D614" s="1094"/>
      <c r="E614" s="1112"/>
    </row>
    <row r="615" spans="2:5" ht="15" customHeight="1">
      <c r="B615" s="367" t="s">
        <v>599</v>
      </c>
      <c r="C615" s="618">
        <f>H594</f>
        <v>589.10683012259199</v>
      </c>
      <c r="D615" s="1412" t="s">
        <v>2776</v>
      </c>
      <c r="E615" s="1112"/>
    </row>
    <row r="616" spans="2:5" ht="15" customHeight="1">
      <c r="B616" s="367" t="s">
        <v>600</v>
      </c>
      <c r="C616" s="618">
        <f>C615*0.75</f>
        <v>441.83012259194402</v>
      </c>
      <c r="D616" s="1413"/>
      <c r="E616" s="1112"/>
    </row>
    <row r="617" spans="2:5" ht="15" customHeight="1">
      <c r="B617" s="367" t="s">
        <v>601</v>
      </c>
      <c r="C617" s="618">
        <f>C615*0.5</f>
        <v>294.55341506129599</v>
      </c>
      <c r="D617" s="1414"/>
      <c r="E617" s="1112"/>
    </row>
    <row r="618" spans="2:5" ht="15" customHeight="1">
      <c r="B618" s="278" t="s">
        <v>602</v>
      </c>
      <c r="C618" s="604">
        <f>H598</f>
        <v>16.670634920634921</v>
      </c>
      <c r="D618" s="1103" t="s">
        <v>2780</v>
      </c>
      <c r="E618" s="1112"/>
    </row>
    <row r="619" spans="2:5" ht="15" customHeight="1">
      <c r="B619" s="278" t="s">
        <v>603</v>
      </c>
      <c r="C619" s="604">
        <f>C618*0.75</f>
        <v>12.50297619047619</v>
      </c>
      <c r="D619" s="1104"/>
      <c r="E619" s="1112"/>
    </row>
    <row r="620" spans="2:5" ht="15" customHeight="1">
      <c r="B620" s="278" t="s">
        <v>604</v>
      </c>
      <c r="C620" s="604">
        <f>C618*0.5</f>
        <v>8.3353174603174605</v>
      </c>
      <c r="D620" s="1094"/>
      <c r="E620" s="1112"/>
    </row>
    <row r="621" spans="2:5" ht="15" customHeight="1">
      <c r="B621" s="367" t="s">
        <v>605</v>
      </c>
      <c r="C621" s="618">
        <f>H600</f>
        <v>17.747478822105688</v>
      </c>
      <c r="D621" s="1412" t="s">
        <v>2782</v>
      </c>
      <c r="E621" s="1112"/>
    </row>
    <row r="622" spans="2:5" ht="15" customHeight="1">
      <c r="B622" s="367" t="s">
        <v>606</v>
      </c>
      <c r="C622" s="618">
        <f>C621*0.75</f>
        <v>13.310609116579265</v>
      </c>
      <c r="D622" s="1413"/>
      <c r="E622" s="1112"/>
    </row>
    <row r="623" spans="2:5" ht="15" customHeight="1">
      <c r="B623" s="367" t="s">
        <v>607</v>
      </c>
      <c r="C623" s="618">
        <f>C621*0.5</f>
        <v>8.8737394110528438</v>
      </c>
      <c r="D623" s="1414"/>
      <c r="E623" s="1112"/>
    </row>
    <row r="624" spans="2:5" ht="15" customHeight="1">
      <c r="B624" s="278" t="s">
        <v>608</v>
      </c>
      <c r="C624" s="604">
        <f>H597</f>
        <v>34.662912308930011</v>
      </c>
      <c r="D624" s="1103" t="s">
        <v>2779</v>
      </c>
      <c r="E624" s="1112"/>
    </row>
    <row r="625" spans="1:10" ht="15" customHeight="1">
      <c r="B625" s="278" t="s">
        <v>609</v>
      </c>
      <c r="C625" s="604">
        <f>C624*0.75</f>
        <v>25.99718423169751</v>
      </c>
      <c r="D625" s="1104"/>
      <c r="E625" s="1112"/>
    </row>
    <row r="626" spans="1:10" ht="15" customHeight="1">
      <c r="B626" s="278" t="s">
        <v>610</v>
      </c>
      <c r="C626" s="604">
        <f>C624*0.5</f>
        <v>17.331456154465005</v>
      </c>
      <c r="D626" s="1094"/>
      <c r="E626" s="1112"/>
    </row>
    <row r="627" spans="1:10" ht="15" customHeight="1">
      <c r="B627" s="367" t="s">
        <v>611</v>
      </c>
      <c r="C627" s="618">
        <f>H599</f>
        <v>10.21331636980492</v>
      </c>
      <c r="D627" s="1412" t="s">
        <v>2781</v>
      </c>
      <c r="E627" s="1112"/>
    </row>
    <row r="628" spans="1:10" ht="15" customHeight="1">
      <c r="B628" s="367" t="s">
        <v>612</v>
      </c>
      <c r="C628" s="618">
        <f>C627*0.75</f>
        <v>7.6599872773536894</v>
      </c>
      <c r="D628" s="1413"/>
      <c r="E628" s="1112"/>
    </row>
    <row r="629" spans="1:10" ht="15" customHeight="1">
      <c r="B629" s="367" t="s">
        <v>613</v>
      </c>
      <c r="C629" s="618">
        <f>C627*0.5</f>
        <v>5.1066581849024599</v>
      </c>
      <c r="D629" s="1414"/>
      <c r="E629" s="1112"/>
    </row>
    <row r="630" spans="1:10" ht="15" customHeight="1">
      <c r="B630" s="278" t="s">
        <v>614</v>
      </c>
      <c r="C630" s="604">
        <f>H599</f>
        <v>10.21331636980492</v>
      </c>
      <c r="D630" s="1103" t="s">
        <v>2781</v>
      </c>
      <c r="E630" s="1112"/>
    </row>
    <row r="631" spans="1:10" ht="15" customHeight="1">
      <c r="B631" s="278" t="s">
        <v>615</v>
      </c>
      <c r="C631" s="604">
        <f>C630*0.75</f>
        <v>7.6599872773536894</v>
      </c>
      <c r="D631" s="1104"/>
      <c r="E631" s="1112"/>
    </row>
    <row r="632" spans="1:10" ht="15" customHeight="1">
      <c r="B632" s="278" t="s">
        <v>616</v>
      </c>
      <c r="C632" s="604">
        <f>C630*0.5</f>
        <v>5.1066581849024599</v>
      </c>
      <c r="D632" s="1094"/>
      <c r="E632" s="1112"/>
    </row>
    <row r="633" spans="1:10" ht="15" customHeight="1">
      <c r="B633" s="367" t="s">
        <v>617</v>
      </c>
      <c r="C633" s="618">
        <f>H595</f>
        <v>151.92592592592595</v>
      </c>
      <c r="D633" s="1412" t="s">
        <v>48</v>
      </c>
      <c r="E633" s="1112"/>
    </row>
    <row r="634" spans="1:10" ht="15" customHeight="1">
      <c r="B634" s="367" t="s">
        <v>618</v>
      </c>
      <c r="C634" s="618">
        <f>C633*0.75</f>
        <v>113.94444444444446</v>
      </c>
      <c r="D634" s="1413"/>
      <c r="E634" s="1112"/>
    </row>
    <row r="635" spans="1:10" ht="15" customHeight="1">
      <c r="B635" s="367" t="s">
        <v>619</v>
      </c>
      <c r="C635" s="618">
        <f>C633*0.5</f>
        <v>75.962962962962976</v>
      </c>
      <c r="D635" s="1414"/>
      <c r="E635" s="1112"/>
    </row>
    <row r="637" spans="1:10">
      <c r="A637" s="727"/>
      <c r="B637" s="728" t="s">
        <v>2788</v>
      </c>
      <c r="C637" s="727"/>
      <c r="D637" s="727"/>
      <c r="E637" s="727"/>
      <c r="F637" s="727"/>
      <c r="G637" s="727"/>
      <c r="H637" s="727"/>
      <c r="I637" s="727"/>
      <c r="J637" s="727"/>
    </row>
    <row r="638" spans="1:10">
      <c r="A638" s="725"/>
      <c r="B638" s="726" t="s">
        <v>912</v>
      </c>
      <c r="C638" s="725"/>
      <c r="D638" s="725"/>
      <c r="E638" s="725"/>
      <c r="F638" s="725"/>
      <c r="G638" s="725"/>
      <c r="H638" s="725"/>
      <c r="I638" s="725"/>
      <c r="J638" s="725"/>
    </row>
    <row r="639" spans="1:10" ht="29.1">
      <c r="B639" s="719" t="s">
        <v>913</v>
      </c>
      <c r="C639" s="719" t="s">
        <v>914</v>
      </c>
      <c r="D639" s="719" t="s">
        <v>915</v>
      </c>
      <c r="E639" s="719" t="s">
        <v>916</v>
      </c>
      <c r="F639" s="719" t="s">
        <v>917</v>
      </c>
      <c r="G639" s="719" t="s">
        <v>918</v>
      </c>
      <c r="H639" s="719" t="s">
        <v>919</v>
      </c>
    </row>
    <row r="640" spans="1:10">
      <c r="B640" s="278">
        <v>116</v>
      </c>
      <c r="C640" s="278" t="s">
        <v>2623</v>
      </c>
      <c r="D640" s="279" t="s">
        <v>907</v>
      </c>
      <c r="E640" s="278">
        <v>2021</v>
      </c>
      <c r="F640" s="278" t="s">
        <v>1047</v>
      </c>
      <c r="G640" s="278" t="s">
        <v>1047</v>
      </c>
      <c r="H640" s="279" t="s">
        <v>907</v>
      </c>
    </row>
    <row r="641" spans="1:10">
      <c r="B641" s="16"/>
    </row>
    <row r="642" spans="1:10">
      <c r="A642" s="725"/>
      <c r="B642" s="726" t="s">
        <v>924</v>
      </c>
      <c r="C642" s="725"/>
      <c r="D642" s="725"/>
      <c r="E642" s="725"/>
      <c r="F642" s="725"/>
      <c r="G642" s="725"/>
      <c r="H642" s="725"/>
      <c r="I642" s="725"/>
      <c r="J642" s="725"/>
    </row>
    <row r="643" spans="1:10">
      <c r="B643" s="277" t="s">
        <v>165</v>
      </c>
      <c r="C643" s="277" t="s">
        <v>925</v>
      </c>
      <c r="D643" s="277" t="s">
        <v>926</v>
      </c>
      <c r="E643" s="1134" t="s">
        <v>953</v>
      </c>
      <c r="F643" s="1134"/>
      <c r="G643" s="1134"/>
      <c r="H643" s="1134"/>
      <c r="I643" s="1134"/>
      <c r="J643" s="1134"/>
    </row>
    <row r="644" spans="1:10">
      <c r="B644" s="278" t="s">
        <v>169</v>
      </c>
      <c r="C644" s="278" t="s">
        <v>167</v>
      </c>
      <c r="D644" s="278">
        <f>VLOOKUP(C644,METHODOLOGY!$C$175:$D$177,2,FALSE)</f>
        <v>2</v>
      </c>
      <c r="E644" s="1087" t="str">
        <f>_xlfn.XLOOKUP(C644,METHODOLOGY!$E$150:$O$150,METHODOLOGY!$E$151:$O$151,"",0,1)</f>
        <v>The monetary values are recommended / referenced in other, well recognised and accepted guidance / tools relevant to another sector.</v>
      </c>
      <c r="F644" s="1087"/>
      <c r="G644" s="1087"/>
      <c r="H644" s="1087"/>
      <c r="I644" s="1087"/>
      <c r="J644" s="1087"/>
    </row>
    <row r="645" spans="1:10">
      <c r="B645" s="278" t="s">
        <v>173</v>
      </c>
      <c r="C645" s="278" t="s">
        <v>166</v>
      </c>
      <c r="D645" s="278">
        <f>VLOOKUP(C645,METHODOLOGY!$C$175:$D$177,2,FALSE)</f>
        <v>3</v>
      </c>
      <c r="E645" s="1087" t="str">
        <f>_xlfn.XLOOKUP(C645,METHODOLOGY!$E$150:$O$150,METHODOLOGY!$E$155:$O$155,"",0,1)</f>
        <v>Study has few limitations and is considered robust.</v>
      </c>
      <c r="F645" s="1087"/>
      <c r="G645" s="1087"/>
      <c r="H645" s="1087"/>
      <c r="I645" s="1087"/>
      <c r="J645" s="1087"/>
    </row>
    <row r="646" spans="1:10">
      <c r="B646" s="278" t="s">
        <v>177</v>
      </c>
      <c r="C646" s="278" t="s">
        <v>166</v>
      </c>
      <c r="D646" s="278">
        <f>VLOOKUP(C646,METHODOLOGY!$C$175:$D$177,2,FALSE)</f>
        <v>3</v>
      </c>
      <c r="E646" s="1087" t="str">
        <f>_xlfn.XLOOKUP(C646,METHODOLOGY!$E$150:$O$150,METHODOLOGY!$E$158:$O$158,"",0,1)</f>
        <v>0 – 5 years</v>
      </c>
      <c r="F646" s="1087"/>
      <c r="G646" s="1087"/>
      <c r="H646" s="1087"/>
      <c r="I646" s="1087"/>
      <c r="J646" s="1087"/>
    </row>
    <row r="647" spans="1:10">
      <c r="B647" s="278" t="s">
        <v>181</v>
      </c>
      <c r="C647" s="278" t="s">
        <v>166</v>
      </c>
      <c r="D647" s="278">
        <f>VLOOKUP(C647,METHODOLOGY!$C$175:$D$177,2,FALSE)</f>
        <v>3</v>
      </c>
      <c r="E647" s="1087" t="str">
        <f>_xlfn.XLOOKUP(C647,METHODOLOGY!$E$150:$O$150,METHODOLOGY!$E$160:$O$160,"",0,1)</f>
        <v>Geographically relevant to UK</v>
      </c>
      <c r="F647" s="1087"/>
      <c r="G647" s="1087"/>
      <c r="H647" s="1087"/>
      <c r="I647" s="1087"/>
      <c r="J647" s="1087"/>
    </row>
    <row r="648" spans="1:10">
      <c r="B648" s="278" t="s">
        <v>928</v>
      </c>
      <c r="C648" s="278" t="s">
        <v>166</v>
      </c>
      <c r="D648" s="278">
        <f>VLOOKUP(C648,METHODOLOGY!$C$175:$D$177,2,FALSE)</f>
        <v>3</v>
      </c>
      <c r="E648" s="1087" t="str">
        <f>_xlfn.XLOOKUP(C648,METHODOLOGY!$E$150:$O$150,METHODOLOGY!$E162:$O162,"",0,1)</f>
        <v>Clear understanding of the valuation method and how the value should be applied.</v>
      </c>
      <c r="F648" s="1087"/>
      <c r="G648" s="1087"/>
      <c r="H648" s="1087"/>
      <c r="I648" s="1087"/>
      <c r="J648" s="1087"/>
    </row>
    <row r="649" spans="1:10">
      <c r="B649" s="278" t="s">
        <v>189</v>
      </c>
      <c r="C649" s="278" t="s">
        <v>167</v>
      </c>
      <c r="D649" s="278">
        <f>VLOOKUP(C649,METHODOLOGY!$C$175:$D$177,2,FALSE)</f>
        <v>2</v>
      </c>
      <c r="E649" s="1087" t="str">
        <f>_xlfn.XLOOKUP(C649,METHODOLOGY!$E$150:$O$150,METHODOLOGY!$E$164:$O$164,"",0,1)</f>
        <v xml:space="preserve">The original valuation can be used with some modification e.g. applying household numbers. The calculation is simple or introduces low levels of uncertainty. </v>
      </c>
      <c r="F649" s="1087"/>
      <c r="G649" s="1087"/>
      <c r="H649" s="1087"/>
      <c r="I649" s="1087"/>
      <c r="J649" s="1087"/>
    </row>
    <row r="650" spans="1:10">
      <c r="C650" s="282" t="s">
        <v>924</v>
      </c>
      <c r="D650" s="326">
        <f>IF(AND(D649=1,AVERAGE(D644:D649)&gt;2.14285714285714),2.14285714285714,IF(AND(D649=2,AVERAGE(D644:D649)&gt;2.57142857142857),2.57142857142857,AVERAGE(D644:D649)))</f>
        <v>2.5714285714285698</v>
      </c>
      <c r="E650" s="270" t="str">
        <f>IF(D650&lt;=2.14285714285714,"Red",IF(D650&lt;=2.57142857142857,"Amber",IF(D650&lt;=3,"Green")))</f>
        <v>Amber</v>
      </c>
    </row>
    <row r="652" spans="1:10">
      <c r="A652" s="725"/>
      <c r="B652" s="726" t="s">
        <v>929</v>
      </c>
      <c r="C652" s="725"/>
      <c r="D652" s="725"/>
      <c r="E652" s="725"/>
      <c r="F652" s="725"/>
      <c r="G652" s="725"/>
      <c r="H652" s="725"/>
      <c r="I652" s="725"/>
      <c r="J652" s="725"/>
    </row>
    <row r="653" spans="1:10">
      <c r="B653" s="277" t="s">
        <v>913</v>
      </c>
      <c r="C653" s="277" t="s">
        <v>902</v>
      </c>
      <c r="D653" s="277" t="s">
        <v>331</v>
      </c>
      <c r="E653" s="277" t="s">
        <v>226</v>
      </c>
      <c r="F653" s="1164" t="s">
        <v>930</v>
      </c>
      <c r="G653" s="1165"/>
      <c r="H653" s="1165"/>
      <c r="I653" s="1165"/>
      <c r="J653" s="1166"/>
    </row>
    <row r="654" spans="1:10" ht="32.450000000000003" customHeight="1">
      <c r="B654" s="1387">
        <v>116</v>
      </c>
      <c r="C654" s="278" t="s">
        <v>2624</v>
      </c>
      <c r="D654" s="278">
        <v>115</v>
      </c>
      <c r="E654" s="459" t="s">
        <v>2625</v>
      </c>
      <c r="F654" s="1095" t="s">
        <v>2789</v>
      </c>
      <c r="G654" s="1095"/>
      <c r="H654" s="1095"/>
      <c r="I654" s="1095"/>
      <c r="J654" s="1095"/>
    </row>
    <row r="655" spans="1:10" ht="32.450000000000003" customHeight="1">
      <c r="B655" s="1388"/>
      <c r="C655" s="278" t="s">
        <v>2627</v>
      </c>
      <c r="D655" s="278">
        <v>230</v>
      </c>
      <c r="E655" s="459" t="s">
        <v>2625</v>
      </c>
      <c r="F655" s="1095"/>
      <c r="G655" s="1095"/>
      <c r="H655" s="1095"/>
      <c r="I655" s="1095"/>
      <c r="J655" s="1095"/>
    </row>
    <row r="657" spans="1:10">
      <c r="A657" s="725"/>
      <c r="B657" s="726" t="s">
        <v>936</v>
      </c>
      <c r="C657" s="725"/>
      <c r="D657" s="725"/>
      <c r="E657" s="725"/>
      <c r="F657" s="725"/>
      <c r="G657" s="725"/>
      <c r="H657" s="725"/>
      <c r="I657" s="725"/>
      <c r="J657" s="725"/>
    </row>
    <row r="658" spans="1:10">
      <c r="B658" s="298" t="s">
        <v>902</v>
      </c>
      <c r="C658" s="298" t="s">
        <v>2628</v>
      </c>
      <c r="D658" s="1170" t="s">
        <v>930</v>
      </c>
      <c r="E658" s="1170"/>
      <c r="F658" s="1170"/>
    </row>
    <row r="659" spans="1:10">
      <c r="B659" s="383" t="s">
        <v>2624</v>
      </c>
      <c r="C659" s="604">
        <f>D654</f>
        <v>115</v>
      </c>
      <c r="D659" s="1105" t="s">
        <v>2629</v>
      </c>
      <c r="E659" s="1105"/>
      <c r="F659" s="1105"/>
    </row>
    <row r="660" spans="1:10">
      <c r="B660" s="383" t="s">
        <v>2627</v>
      </c>
      <c r="C660" s="604">
        <f>D655</f>
        <v>230</v>
      </c>
      <c r="D660" s="1105"/>
      <c r="E660" s="1105"/>
      <c r="F660" s="1105"/>
    </row>
    <row r="661" spans="1:10" ht="29.25" customHeight="1">
      <c r="B661" s="334" t="s">
        <v>2630</v>
      </c>
      <c r="C661" s="511">
        <f>AVERAGE(C659:C660)</f>
        <v>172.5</v>
      </c>
      <c r="D661" s="1095" t="s">
        <v>2631</v>
      </c>
      <c r="E661" s="1095"/>
      <c r="F661" s="1095"/>
    </row>
    <row r="682" spans="1:10">
      <c r="A682" s="727"/>
      <c r="B682" s="728" t="s">
        <v>901</v>
      </c>
      <c r="C682" s="727"/>
      <c r="D682" s="727"/>
      <c r="E682" s="727"/>
      <c r="F682" s="727"/>
      <c r="G682" s="727"/>
      <c r="H682" s="727"/>
      <c r="I682" s="727"/>
      <c r="J682" s="727"/>
    </row>
    <row r="683" spans="1:10" ht="29.1">
      <c r="B683" s="277" t="s">
        <v>902</v>
      </c>
      <c r="C683" s="277" t="s">
        <v>898</v>
      </c>
      <c r="D683" s="277" t="s">
        <v>899</v>
      </c>
      <c r="E683" s="298" t="s">
        <v>903</v>
      </c>
      <c r="F683" s="277" t="s">
        <v>904</v>
      </c>
      <c r="G683" s="277" t="s">
        <v>905</v>
      </c>
      <c r="H683" s="277" t="s">
        <v>924</v>
      </c>
      <c r="I683" s="277" t="s">
        <v>956</v>
      </c>
      <c r="J683" s="277" t="s">
        <v>927</v>
      </c>
    </row>
    <row r="684" spans="1:10">
      <c r="B684" s="278" t="s">
        <v>585</v>
      </c>
      <c r="C684" s="278" t="s">
        <v>455</v>
      </c>
      <c r="D684" s="299" t="s">
        <v>2766</v>
      </c>
      <c r="E684" s="299" t="s">
        <v>2790</v>
      </c>
      <c r="F684" s="278" t="str" cm="1">
        <f t="array" ref="F684">_xlfn.XLOOKUP(1,($D$720:$D$752=B684)*($E$720:$E$752=C684),$B$720:$B$752,"Not found",0,1)</f>
        <v>30-25</v>
      </c>
      <c r="G684" s="300">
        <f t="shared" ref="G684:G716" si="59">VLOOKUP(F684,$B$720:$L$752,11,FALSE)</f>
        <v>-259.04022218893493</v>
      </c>
      <c r="H684" s="1120">
        <f>$D$650</f>
        <v>2.5714285714285698</v>
      </c>
      <c r="I684" s="1167" t="s">
        <v>2761</v>
      </c>
      <c r="J684" s="1167" t="s">
        <v>2762</v>
      </c>
    </row>
    <row r="685" spans="1:10">
      <c r="B685" s="278" t="s">
        <v>587</v>
      </c>
      <c r="C685" s="278" t="s">
        <v>455</v>
      </c>
      <c r="D685" s="299" t="s">
        <v>2766</v>
      </c>
      <c r="E685" s="299" t="s">
        <v>2790</v>
      </c>
      <c r="F685" s="278" t="str" cm="1">
        <f t="array" ref="F685">_xlfn.XLOOKUP(1,($D$720:$D$752=B685)*($E$720:$E$752=C685),$B$720:$B$752,"Not found",0,1)</f>
        <v>30-26</v>
      </c>
      <c r="G685" s="300">
        <f t="shared" si="59"/>
        <v>-194.28016664170121</v>
      </c>
      <c r="H685" s="1121"/>
      <c r="I685" s="1168"/>
      <c r="J685" s="1168"/>
    </row>
    <row r="686" spans="1:10">
      <c r="B686" s="278" t="s">
        <v>588</v>
      </c>
      <c r="C686" s="278" t="s">
        <v>455</v>
      </c>
      <c r="D686" s="299" t="s">
        <v>2766</v>
      </c>
      <c r="E686" s="299" t="s">
        <v>2790</v>
      </c>
      <c r="F686" s="278" t="str" cm="1">
        <f t="array" ref="F686">_xlfn.XLOOKUP(1,($D$720:$D$752=B686)*($E$720:$E$752=C686),$B$720:$B$752,"Not found",0,1)</f>
        <v>30-27</v>
      </c>
      <c r="G686" s="300">
        <f t="shared" si="59"/>
        <v>-129.52011109446747</v>
      </c>
      <c r="H686" s="1122"/>
      <c r="I686" s="1169"/>
      <c r="J686" s="1169"/>
    </row>
    <row r="687" spans="1:10">
      <c r="B687" s="278" t="s">
        <v>589</v>
      </c>
      <c r="C687" s="278" t="s">
        <v>455</v>
      </c>
      <c r="D687" s="299" t="s">
        <v>2766</v>
      </c>
      <c r="E687" s="299" t="s">
        <v>2791</v>
      </c>
      <c r="F687" s="278" t="str" cm="1">
        <f t="array" ref="F687">_xlfn.XLOOKUP(1,($D$720:$D$752=B687)*($E$720:$E$752=C687),$B$720:$B$752,"Not found",0,1)</f>
        <v>30-28</v>
      </c>
      <c r="G687" s="300">
        <f t="shared" si="59"/>
        <v>-5761.5154639175262</v>
      </c>
      <c r="H687" s="1120">
        <f>$D$127</f>
        <v>2.1428571428571401</v>
      </c>
      <c r="I687" s="1167" t="s">
        <v>2792</v>
      </c>
      <c r="J687" s="1167" t="s">
        <v>2793</v>
      </c>
    </row>
    <row r="688" spans="1:10">
      <c r="B688" s="214" t="s">
        <v>591</v>
      </c>
      <c r="C688" s="278" t="s">
        <v>455</v>
      </c>
      <c r="D688" s="299" t="s">
        <v>2766</v>
      </c>
      <c r="E688" s="299" t="s">
        <v>2791</v>
      </c>
      <c r="F688" s="278" t="str" cm="1">
        <f t="array" ref="F688">_xlfn.XLOOKUP(1,($D$720:$D$752=B688)*($E$720:$E$752=C688),$B$720:$B$752,"Not found",0,1)</f>
        <v>30-29</v>
      </c>
      <c r="G688" s="300">
        <f t="shared" si="59"/>
        <v>-4321.1365979381444</v>
      </c>
      <c r="H688" s="1121"/>
      <c r="I688" s="1168"/>
      <c r="J688" s="1168"/>
    </row>
    <row r="689" spans="2:10">
      <c r="B689" s="214" t="s">
        <v>592</v>
      </c>
      <c r="C689" s="278" t="s">
        <v>455</v>
      </c>
      <c r="D689" s="299" t="s">
        <v>2766</v>
      </c>
      <c r="E689" s="299" t="s">
        <v>2791</v>
      </c>
      <c r="F689" s="278" t="str" cm="1">
        <f t="array" ref="F689">_xlfn.XLOOKUP(1,($D$720:$D$752=B689)*($E$720:$E$752=C689),$B$720:$B$752,"Not found",0,1)</f>
        <v>30-30</v>
      </c>
      <c r="G689" s="300">
        <f t="shared" si="59"/>
        <v>-2880.7577319587631</v>
      </c>
      <c r="H689" s="1121"/>
      <c r="I689" s="1168"/>
      <c r="J689" s="1168"/>
    </row>
    <row r="690" spans="2:10">
      <c r="B690" s="278" t="s">
        <v>593</v>
      </c>
      <c r="C690" s="278" t="s">
        <v>455</v>
      </c>
      <c r="D690" s="299" t="s">
        <v>2766</v>
      </c>
      <c r="E690" s="299" t="s">
        <v>2791</v>
      </c>
      <c r="F690" s="278" t="str" cm="1">
        <f t="array" ref="F690">_xlfn.XLOOKUP(1,($D$720:$D$752=B690)*($E$720:$E$752=C690),$B$720:$B$752,"Not found",0,1)</f>
        <v>30-31</v>
      </c>
      <c r="G690" s="300">
        <f t="shared" si="59"/>
        <v>-16.670634920634921</v>
      </c>
      <c r="H690" s="1121"/>
      <c r="I690" s="1168"/>
      <c r="J690" s="1168"/>
    </row>
    <row r="691" spans="2:10">
      <c r="B691" s="214" t="s">
        <v>594</v>
      </c>
      <c r="C691" s="278" t="s">
        <v>455</v>
      </c>
      <c r="D691" s="299" t="s">
        <v>2766</v>
      </c>
      <c r="E691" s="299" t="s">
        <v>2791</v>
      </c>
      <c r="F691" s="278" t="str" cm="1">
        <f t="array" ref="F691">_xlfn.XLOOKUP(1,($D$720:$D$752=B691)*($E$720:$E$752=C691),$B$720:$B$752,"Not found",0,1)</f>
        <v>30-32</v>
      </c>
      <c r="G691" s="300">
        <f t="shared" si="59"/>
        <v>-12.50297619047619</v>
      </c>
      <c r="H691" s="1121"/>
      <c r="I691" s="1168"/>
      <c r="J691" s="1168"/>
    </row>
    <row r="692" spans="2:10">
      <c r="B692" s="214" t="s">
        <v>595</v>
      </c>
      <c r="C692" s="278" t="s">
        <v>455</v>
      </c>
      <c r="D692" s="299" t="s">
        <v>2766</v>
      </c>
      <c r="E692" s="299" t="s">
        <v>2791</v>
      </c>
      <c r="F692" s="278" t="str" cm="1">
        <f t="array" ref="F692">_xlfn.XLOOKUP(1,($D$720:$D$752=B692)*($E$720:$E$752=C692),$B$720:$B$752,"Not found",0,1)</f>
        <v>30-33</v>
      </c>
      <c r="G692" s="300">
        <f t="shared" si="59"/>
        <v>-8.3353174603174605</v>
      </c>
      <c r="H692" s="1121"/>
      <c r="I692" s="1168"/>
      <c r="J692" s="1168"/>
    </row>
    <row r="693" spans="2:10">
      <c r="B693" s="278" t="s">
        <v>596</v>
      </c>
      <c r="C693" s="278" t="s">
        <v>455</v>
      </c>
      <c r="D693" s="299" t="s">
        <v>2766</v>
      </c>
      <c r="E693" s="299" t="s">
        <v>2791</v>
      </c>
      <c r="F693" s="278" t="str" cm="1">
        <f t="array" ref="F693">_xlfn.XLOOKUP(1,($D$720:$D$752=B693)*($E$720:$E$752=C693),$B$720:$B$752,"Not found",0,1)</f>
        <v>30-34</v>
      </c>
      <c r="G693" s="300">
        <f t="shared" si="59"/>
        <v>-587.492718446602</v>
      </c>
      <c r="H693" s="1121"/>
      <c r="I693" s="1168"/>
      <c r="J693" s="1168"/>
    </row>
    <row r="694" spans="2:10">
      <c r="B694" s="214" t="s">
        <v>597</v>
      </c>
      <c r="C694" s="278" t="s">
        <v>455</v>
      </c>
      <c r="D694" s="299" t="s">
        <v>2766</v>
      </c>
      <c r="E694" s="299" t="s">
        <v>2791</v>
      </c>
      <c r="F694" s="278" t="str" cm="1">
        <f t="array" ref="F694">_xlfn.XLOOKUP(1,($D$720:$D$752=B694)*($E$720:$E$752=C694),$B$720:$B$752,"Not found",0,1)</f>
        <v>30-35</v>
      </c>
      <c r="G694" s="300">
        <f t="shared" si="59"/>
        <v>-440.61953883495153</v>
      </c>
      <c r="H694" s="1121"/>
      <c r="I694" s="1168"/>
      <c r="J694" s="1168"/>
    </row>
    <row r="695" spans="2:10">
      <c r="B695" s="214" t="s">
        <v>598</v>
      </c>
      <c r="C695" s="278" t="s">
        <v>455</v>
      </c>
      <c r="D695" s="299" t="s">
        <v>2766</v>
      </c>
      <c r="E695" s="299" t="s">
        <v>2791</v>
      </c>
      <c r="F695" s="278" t="str" cm="1">
        <f t="array" ref="F695">_xlfn.XLOOKUP(1,($D$720:$D$752=B695)*($E$720:$E$752=C695),$B$720:$B$752,"Not found",0,1)</f>
        <v>30-36</v>
      </c>
      <c r="G695" s="300">
        <f t="shared" si="59"/>
        <v>-293.746359223301</v>
      </c>
      <c r="H695" s="1121"/>
      <c r="I695" s="1168"/>
      <c r="J695" s="1168"/>
    </row>
    <row r="696" spans="2:10">
      <c r="B696" s="278" t="s">
        <v>599</v>
      </c>
      <c r="C696" s="278" t="s">
        <v>455</v>
      </c>
      <c r="D696" s="299" t="s">
        <v>2766</v>
      </c>
      <c r="E696" s="299" t="s">
        <v>2791</v>
      </c>
      <c r="F696" s="278" t="str" cm="1">
        <f t="array" ref="F696">_xlfn.XLOOKUP(1,($D$720:$D$752=B696)*($E$720:$E$752=C696),$B$720:$B$752,"Not found",0,1)</f>
        <v>30-37</v>
      </c>
      <c r="G696" s="300">
        <f t="shared" si="59"/>
        <v>-589.10683012259199</v>
      </c>
      <c r="H696" s="1121"/>
      <c r="I696" s="1168"/>
      <c r="J696" s="1168"/>
    </row>
    <row r="697" spans="2:10">
      <c r="B697" s="214" t="s">
        <v>600</v>
      </c>
      <c r="C697" s="278" t="s">
        <v>455</v>
      </c>
      <c r="D697" s="299" t="s">
        <v>2766</v>
      </c>
      <c r="E697" s="299" t="s">
        <v>2791</v>
      </c>
      <c r="F697" s="278" t="str" cm="1">
        <f t="array" ref="F697">_xlfn.XLOOKUP(1,($D$720:$D$752=B697)*($E$720:$E$752=C697),$B$720:$B$752,"Not found",0,1)</f>
        <v>30-38</v>
      </c>
      <c r="G697" s="300">
        <f t="shared" si="59"/>
        <v>-441.83012259194402</v>
      </c>
      <c r="H697" s="1121"/>
      <c r="I697" s="1168"/>
      <c r="J697" s="1168"/>
    </row>
    <row r="698" spans="2:10">
      <c r="B698" s="214" t="s">
        <v>601</v>
      </c>
      <c r="C698" s="278" t="s">
        <v>455</v>
      </c>
      <c r="D698" s="299" t="s">
        <v>2766</v>
      </c>
      <c r="E698" s="299" t="s">
        <v>2791</v>
      </c>
      <c r="F698" s="278" t="str" cm="1">
        <f t="array" ref="F698">_xlfn.XLOOKUP(1,($D$720:$D$752=B698)*($E$720:$E$752=C698),$B$720:$B$752,"Not found",0,1)</f>
        <v>30-39</v>
      </c>
      <c r="G698" s="300">
        <f t="shared" si="59"/>
        <v>-294.55341506129599</v>
      </c>
      <c r="H698" s="1121"/>
      <c r="I698" s="1168"/>
      <c r="J698" s="1168"/>
    </row>
    <row r="699" spans="2:10">
      <c r="B699" s="278" t="s">
        <v>602</v>
      </c>
      <c r="C699" s="278" t="s">
        <v>455</v>
      </c>
      <c r="D699" s="299" t="s">
        <v>2766</v>
      </c>
      <c r="E699" s="299" t="s">
        <v>2791</v>
      </c>
      <c r="F699" s="278" t="str" cm="1">
        <f t="array" ref="F699">_xlfn.XLOOKUP(1,($D$720:$D$752=B699)*($E$720:$E$752=C699),$B$720:$B$752,"Not found",0,1)</f>
        <v>30-40</v>
      </c>
      <c r="G699" s="300">
        <f t="shared" si="59"/>
        <v>-16.670634920634921</v>
      </c>
      <c r="H699" s="1121"/>
      <c r="I699" s="1168"/>
      <c r="J699" s="1168"/>
    </row>
    <row r="700" spans="2:10">
      <c r="B700" s="214" t="s">
        <v>603</v>
      </c>
      <c r="C700" s="278" t="s">
        <v>455</v>
      </c>
      <c r="D700" s="299" t="s">
        <v>2766</v>
      </c>
      <c r="E700" s="299" t="s">
        <v>2791</v>
      </c>
      <c r="F700" s="278" t="str" cm="1">
        <f t="array" ref="F700">_xlfn.XLOOKUP(1,($D$720:$D$752=B700)*($E$720:$E$752=C700),$B$720:$B$752,"Not found",0,1)</f>
        <v>30-41</v>
      </c>
      <c r="G700" s="300">
        <f t="shared" si="59"/>
        <v>-12.50297619047619</v>
      </c>
      <c r="H700" s="1121"/>
      <c r="I700" s="1168"/>
      <c r="J700" s="1168"/>
    </row>
    <row r="701" spans="2:10">
      <c r="B701" s="278" t="s">
        <v>604</v>
      </c>
      <c r="C701" s="278" t="s">
        <v>455</v>
      </c>
      <c r="D701" s="299" t="s">
        <v>2766</v>
      </c>
      <c r="E701" s="299" t="s">
        <v>2791</v>
      </c>
      <c r="F701" s="278" t="str" cm="1">
        <f t="array" ref="F701">_xlfn.XLOOKUP(1,($D$720:$D$752=B701)*($E$720:$E$752=C701),$B$720:$B$752,"Not found",0,1)</f>
        <v>30-42</v>
      </c>
      <c r="G701" s="300">
        <f t="shared" si="59"/>
        <v>-8.3353174603174605</v>
      </c>
      <c r="H701" s="1121"/>
      <c r="I701" s="1168"/>
      <c r="J701" s="1168"/>
    </row>
    <row r="702" spans="2:10">
      <c r="B702" s="278" t="s">
        <v>605</v>
      </c>
      <c r="C702" s="278" t="s">
        <v>455</v>
      </c>
      <c r="D702" s="299" t="s">
        <v>2766</v>
      </c>
      <c r="E702" s="299" t="s">
        <v>2791</v>
      </c>
      <c r="F702" s="278" t="str" cm="1">
        <f t="array" ref="F702">_xlfn.XLOOKUP(1,($D$720:$D$752=B702)*($E$720:$E$752=C702),$B$720:$B$752,"Not found",0,1)</f>
        <v>30-43</v>
      </c>
      <c r="G702" s="300">
        <f t="shared" si="59"/>
        <v>-17.747478822105688</v>
      </c>
      <c r="H702" s="1121"/>
      <c r="I702" s="1168"/>
      <c r="J702" s="1168"/>
    </row>
    <row r="703" spans="2:10">
      <c r="B703" s="278" t="s">
        <v>606</v>
      </c>
      <c r="C703" s="278" t="s">
        <v>455</v>
      </c>
      <c r="D703" s="299" t="s">
        <v>2766</v>
      </c>
      <c r="E703" s="299" t="s">
        <v>2791</v>
      </c>
      <c r="F703" s="278" t="str" cm="1">
        <f t="array" ref="F703">_xlfn.XLOOKUP(1,($D$720:$D$752=B703)*($E$720:$E$752=C703),$B$720:$B$752,"Not found",0,1)</f>
        <v>30-44</v>
      </c>
      <c r="G703" s="300">
        <f t="shared" si="59"/>
        <v>-13.310609116579265</v>
      </c>
      <c r="H703" s="1121"/>
      <c r="I703" s="1168"/>
      <c r="J703" s="1168"/>
    </row>
    <row r="704" spans="2:10">
      <c r="B704" s="278" t="s">
        <v>607</v>
      </c>
      <c r="C704" s="278" t="s">
        <v>455</v>
      </c>
      <c r="D704" s="299" t="s">
        <v>2766</v>
      </c>
      <c r="E704" s="299" t="s">
        <v>2791</v>
      </c>
      <c r="F704" s="278" t="str" cm="1">
        <f t="array" ref="F704">_xlfn.XLOOKUP(1,($D$720:$D$752=B704)*($E$720:$E$752=C704),$B$720:$B$752,"Not found",0,1)</f>
        <v>30-45</v>
      </c>
      <c r="G704" s="300">
        <f t="shared" si="59"/>
        <v>-8.8737394110528438</v>
      </c>
      <c r="H704" s="1121"/>
      <c r="I704" s="1168"/>
      <c r="J704" s="1168"/>
    </row>
    <row r="705" spans="1:23">
      <c r="B705" s="278" t="s">
        <v>608</v>
      </c>
      <c r="C705" s="278" t="s">
        <v>455</v>
      </c>
      <c r="D705" s="299" t="s">
        <v>2766</v>
      </c>
      <c r="E705" s="299" t="s">
        <v>2791</v>
      </c>
      <c r="F705" s="278" t="str" cm="1">
        <f t="array" ref="F705">_xlfn.XLOOKUP(1,($D$720:$D$752=B705)*($E$720:$E$752=C705),$B$720:$B$752,"Not found",0,1)</f>
        <v>30-46</v>
      </c>
      <c r="G705" s="300">
        <f t="shared" si="59"/>
        <v>-34.662912308930011</v>
      </c>
      <c r="H705" s="1121"/>
      <c r="I705" s="1168"/>
      <c r="J705" s="1168"/>
    </row>
    <row r="706" spans="1:23">
      <c r="B706" s="278" t="s">
        <v>609</v>
      </c>
      <c r="C706" s="278" t="s">
        <v>455</v>
      </c>
      <c r="D706" s="299" t="s">
        <v>2766</v>
      </c>
      <c r="E706" s="299" t="s">
        <v>2791</v>
      </c>
      <c r="F706" s="278" t="str" cm="1">
        <f t="array" ref="F706">_xlfn.XLOOKUP(1,($D$720:$D$752=B706)*($E$720:$E$752=C706),$B$720:$B$752,"Not found",0,1)</f>
        <v>30-47</v>
      </c>
      <c r="G706" s="300">
        <f t="shared" si="59"/>
        <v>-25.99718423169751</v>
      </c>
      <c r="H706" s="1121"/>
      <c r="I706" s="1168"/>
      <c r="J706" s="1168"/>
    </row>
    <row r="707" spans="1:23">
      <c r="B707" s="278" t="s">
        <v>610</v>
      </c>
      <c r="C707" s="278" t="s">
        <v>455</v>
      </c>
      <c r="D707" s="299" t="s">
        <v>2766</v>
      </c>
      <c r="E707" s="299" t="s">
        <v>2791</v>
      </c>
      <c r="F707" s="278" t="str" cm="1">
        <f t="array" ref="F707">_xlfn.XLOOKUP(1,($D$720:$D$752=B707)*($E$720:$E$752=C707),$B$720:$B$752,"Not found",0,1)</f>
        <v>30-48</v>
      </c>
      <c r="G707" s="300">
        <f t="shared" si="59"/>
        <v>-17.331456154465005</v>
      </c>
      <c r="H707" s="1121"/>
      <c r="I707" s="1168"/>
      <c r="J707" s="1168"/>
    </row>
    <row r="708" spans="1:23">
      <c r="B708" s="278" t="s">
        <v>611</v>
      </c>
      <c r="C708" s="278" t="s">
        <v>455</v>
      </c>
      <c r="D708" s="299" t="s">
        <v>2766</v>
      </c>
      <c r="E708" s="299" t="s">
        <v>2791</v>
      </c>
      <c r="F708" s="278" t="str" cm="1">
        <f t="array" ref="F708">_xlfn.XLOOKUP(1,($D$720:$D$752=B708)*($E$720:$E$752=C708),$B$720:$B$752,"Not found",0,1)</f>
        <v>30-49</v>
      </c>
      <c r="G708" s="300">
        <f t="shared" si="59"/>
        <v>-10.21331636980492</v>
      </c>
      <c r="H708" s="1121"/>
      <c r="I708" s="1168"/>
      <c r="J708" s="1168"/>
    </row>
    <row r="709" spans="1:23">
      <c r="B709" s="278" t="s">
        <v>612</v>
      </c>
      <c r="C709" s="278" t="s">
        <v>455</v>
      </c>
      <c r="D709" s="299" t="s">
        <v>2766</v>
      </c>
      <c r="E709" s="299" t="s">
        <v>2791</v>
      </c>
      <c r="F709" s="278" t="str" cm="1">
        <f t="array" ref="F709">_xlfn.XLOOKUP(1,($D$720:$D$752=B709)*($E$720:$E$752=C709),$B$720:$B$752,"Not found",0,1)</f>
        <v>30-50</v>
      </c>
      <c r="G709" s="300">
        <f t="shared" si="59"/>
        <v>-7.6599872773536894</v>
      </c>
      <c r="H709" s="1121"/>
      <c r="I709" s="1168"/>
      <c r="J709" s="1168"/>
    </row>
    <row r="710" spans="1:23">
      <c r="B710" s="278" t="s">
        <v>613</v>
      </c>
      <c r="C710" s="278" t="s">
        <v>455</v>
      </c>
      <c r="D710" s="299" t="s">
        <v>2766</v>
      </c>
      <c r="E710" s="299" t="s">
        <v>2791</v>
      </c>
      <c r="F710" s="278" t="str" cm="1">
        <f t="array" ref="F710">_xlfn.XLOOKUP(1,($D$720:$D$752=B710)*($E$720:$E$752=C710),$B$720:$B$752,"Not found",0,1)</f>
        <v>30-51</v>
      </c>
      <c r="G710" s="300">
        <f t="shared" si="59"/>
        <v>-5.1066581849024599</v>
      </c>
      <c r="H710" s="1121"/>
      <c r="I710" s="1168"/>
      <c r="J710" s="1168"/>
    </row>
    <row r="711" spans="1:23">
      <c r="B711" s="278" t="s">
        <v>614</v>
      </c>
      <c r="C711" s="278" t="s">
        <v>455</v>
      </c>
      <c r="D711" s="299" t="s">
        <v>2766</v>
      </c>
      <c r="E711" s="299" t="s">
        <v>2791</v>
      </c>
      <c r="F711" s="278" t="str" cm="1">
        <f t="array" ref="F711">_xlfn.XLOOKUP(1,($D$720:$D$752=B711)*($E$720:$E$752=C711),$B$720:$B$752,"Not found",0,1)</f>
        <v>30-52</v>
      </c>
      <c r="G711" s="300">
        <f t="shared" si="59"/>
        <v>-10.21331636980492</v>
      </c>
      <c r="H711" s="1121"/>
      <c r="I711" s="1168"/>
      <c r="J711" s="1168"/>
    </row>
    <row r="712" spans="1:23">
      <c r="B712" s="278" t="s">
        <v>615</v>
      </c>
      <c r="C712" s="278" t="s">
        <v>455</v>
      </c>
      <c r="D712" s="299" t="s">
        <v>2766</v>
      </c>
      <c r="E712" s="299" t="s">
        <v>2791</v>
      </c>
      <c r="F712" s="278" t="str" cm="1">
        <f t="array" ref="F712">_xlfn.XLOOKUP(1,($D$720:$D$752=B712)*($E$720:$E$752=C712),$B$720:$B$752,"Not found",0,1)</f>
        <v>30-53</v>
      </c>
      <c r="G712" s="300">
        <f t="shared" si="59"/>
        <v>-7.6599872773536894</v>
      </c>
      <c r="H712" s="1121"/>
      <c r="I712" s="1168"/>
      <c r="J712" s="1168"/>
    </row>
    <row r="713" spans="1:23">
      <c r="B713" s="278" t="s">
        <v>616</v>
      </c>
      <c r="C713" s="278" t="s">
        <v>455</v>
      </c>
      <c r="D713" s="299" t="s">
        <v>2766</v>
      </c>
      <c r="E713" s="299" t="s">
        <v>2791</v>
      </c>
      <c r="F713" s="278" t="str" cm="1">
        <f t="array" ref="F713">_xlfn.XLOOKUP(1,($D$720:$D$752=B713)*($E$720:$E$752=C713),$B$720:$B$752,"Not found",0,1)</f>
        <v>30-54</v>
      </c>
      <c r="G713" s="300">
        <f t="shared" si="59"/>
        <v>-5.1066581849024599</v>
      </c>
      <c r="H713" s="1121"/>
      <c r="I713" s="1168"/>
      <c r="J713" s="1168"/>
    </row>
    <row r="714" spans="1:23">
      <c r="B714" s="278" t="s">
        <v>617</v>
      </c>
      <c r="C714" s="278" t="s">
        <v>455</v>
      </c>
      <c r="D714" s="299" t="s">
        <v>2766</v>
      </c>
      <c r="E714" s="299" t="s">
        <v>2791</v>
      </c>
      <c r="F714" s="278" t="str" cm="1">
        <f t="array" ref="F714">_xlfn.XLOOKUP(1,($D$720:$D$752=B714)*($E$720:$E$752=C714),$B$720:$B$752,"Not found",0,1)</f>
        <v>30-55</v>
      </c>
      <c r="G714" s="300">
        <f t="shared" si="59"/>
        <v>-151.92592592592595</v>
      </c>
      <c r="H714" s="1121"/>
      <c r="I714" s="1168"/>
      <c r="J714" s="1168"/>
    </row>
    <row r="715" spans="1:23">
      <c r="B715" s="278" t="s">
        <v>618</v>
      </c>
      <c r="C715" s="278" t="s">
        <v>455</v>
      </c>
      <c r="D715" s="299" t="s">
        <v>2766</v>
      </c>
      <c r="E715" s="299" t="s">
        <v>2791</v>
      </c>
      <c r="F715" s="278" t="str" cm="1">
        <f t="array" ref="F715">_xlfn.XLOOKUP(1,($D$720:$D$752=B715)*($E$720:$E$752=C715),$B$720:$B$752,"Not found",0,1)</f>
        <v>30-56</v>
      </c>
      <c r="G715" s="300">
        <f t="shared" si="59"/>
        <v>-113.94444444444446</v>
      </c>
      <c r="H715" s="1121"/>
      <c r="I715" s="1168"/>
      <c r="J715" s="1168"/>
    </row>
    <row r="716" spans="1:23">
      <c r="B716" s="278" t="s">
        <v>619</v>
      </c>
      <c r="C716" s="278" t="s">
        <v>455</v>
      </c>
      <c r="D716" s="299" t="s">
        <v>2766</v>
      </c>
      <c r="E716" s="299" t="s">
        <v>2791</v>
      </c>
      <c r="F716" s="278" t="str" cm="1">
        <f t="array" ref="F716">_xlfn.XLOOKUP(1,($D$720:$D$752=B716)*($E$720:$E$752=C716),$B$720:$B$752,"Not found",0,1)</f>
        <v>30-57</v>
      </c>
      <c r="G716" s="300">
        <f t="shared" si="59"/>
        <v>-75.962962962962976</v>
      </c>
      <c r="H716" s="1122"/>
      <c r="I716" s="1169"/>
      <c r="J716" s="1169"/>
    </row>
    <row r="717" spans="1:23">
      <c r="B717" s="18"/>
    </row>
    <row r="718" spans="1:23">
      <c r="A718" s="725"/>
      <c r="B718" s="726" t="s">
        <v>962</v>
      </c>
      <c r="C718" s="725"/>
      <c r="D718" s="725"/>
      <c r="E718" s="725"/>
      <c r="F718" s="725"/>
      <c r="G718" s="725"/>
      <c r="H718" s="725"/>
      <c r="I718" s="725"/>
      <c r="J718" s="725"/>
    </row>
    <row r="719" spans="1:23">
      <c r="B719" s="277" t="s">
        <v>904</v>
      </c>
      <c r="C719" s="277" t="s">
        <v>62</v>
      </c>
      <c r="D719" s="277" t="s">
        <v>902</v>
      </c>
      <c r="E719" s="277" t="s">
        <v>898</v>
      </c>
      <c r="F719" s="277" t="s">
        <v>916</v>
      </c>
      <c r="G719" s="277" t="s">
        <v>963</v>
      </c>
      <c r="H719" s="277" t="s">
        <v>964</v>
      </c>
      <c r="I719" s="277" t="s">
        <v>965</v>
      </c>
      <c r="J719" s="277" t="s">
        <v>966</v>
      </c>
      <c r="K719" s="277" t="s">
        <v>967</v>
      </c>
      <c r="L719" s="277" t="s">
        <v>968</v>
      </c>
      <c r="M719" s="277" t="s">
        <v>956</v>
      </c>
      <c r="N719" s="277" t="s">
        <v>969</v>
      </c>
      <c r="O719" s="277" t="s">
        <v>970</v>
      </c>
      <c r="P719" s="277" t="s">
        <v>927</v>
      </c>
      <c r="Q719" s="277" t="s">
        <v>913</v>
      </c>
      <c r="R719" s="277" t="s">
        <v>914</v>
      </c>
      <c r="S719" s="277" t="s">
        <v>915</v>
      </c>
      <c r="T719" s="277" t="s">
        <v>916</v>
      </c>
      <c r="U719" s="277" t="s">
        <v>1291</v>
      </c>
      <c r="V719" s="277" t="s">
        <v>918</v>
      </c>
      <c r="W719" s="277" t="s">
        <v>919</v>
      </c>
    </row>
    <row r="720" spans="1:23">
      <c r="B720" s="302" t="s">
        <v>2745</v>
      </c>
      <c r="C720" s="278" t="s">
        <v>2645</v>
      </c>
      <c r="D720" s="278" t="s">
        <v>585</v>
      </c>
      <c r="E720" s="278" t="s">
        <v>455</v>
      </c>
      <c r="F720" s="299">
        <f>$E$640</f>
        <v>2021</v>
      </c>
      <c r="G720" s="278">
        <v>2021</v>
      </c>
      <c r="H720" s="278">
        <f>'COMPANY INPUT'!$C$16</f>
        <v>2023</v>
      </c>
      <c r="I720" s="278">
        <f>VLOOKUP(G720,'GDP Deflators'!$H$13:$I$86,2,FALSE)</f>
        <v>88.789299999999997</v>
      </c>
      <c r="J720" s="278">
        <f>VLOOKUP(H720,'GDP Deflators'!$H$13:$I$86,2,FALSE)</f>
        <v>100</v>
      </c>
      <c r="K720" s="297">
        <f>-C660</f>
        <v>-230</v>
      </c>
      <c r="L720" s="746">
        <f t="shared" ref="L720:L752" si="60">K720*(J720/I720)</f>
        <v>-259.04022218893493</v>
      </c>
      <c r="M720" s="278" t="str">
        <f>$I$684</f>
        <v>Calculated using B£ST</v>
      </c>
      <c r="N720" s="326">
        <f>$H$684</f>
        <v>2.5714285714285698</v>
      </c>
      <c r="O720" s="278" t="s">
        <v>718</v>
      </c>
      <c r="P720" s="278" t="str">
        <f>$J$684</f>
        <v>Recently completed, geographically relevant</v>
      </c>
      <c r="Q720" s="299">
        <f>B$640</f>
        <v>116</v>
      </c>
      <c r="R720" s="299" t="str">
        <f t="shared" ref="R720:W722" si="61">C$640</f>
        <v>Water UK / Stantec (2021) Storm overflow evidence project</v>
      </c>
      <c r="S720" s="299" t="str">
        <f t="shared" si="61"/>
        <v>/</v>
      </c>
      <c r="T720" s="299">
        <f t="shared" si="61"/>
        <v>2021</v>
      </c>
      <c r="U720" s="299" t="str">
        <f t="shared" si="61"/>
        <v>UK</v>
      </c>
      <c r="V720" s="299" t="str">
        <f t="shared" si="61"/>
        <v>UK</v>
      </c>
      <c r="W720" s="299" t="str">
        <f t="shared" si="61"/>
        <v>/</v>
      </c>
    </row>
    <row r="721" spans="2:23">
      <c r="B721" s="302" t="s">
        <v>2746</v>
      </c>
      <c r="C721" s="278" t="s">
        <v>2645</v>
      </c>
      <c r="D721" s="278" t="s">
        <v>587</v>
      </c>
      <c r="E721" s="278" t="s">
        <v>455</v>
      </c>
      <c r="F721" s="299">
        <f>$E$640</f>
        <v>2021</v>
      </c>
      <c r="G721" s="278">
        <v>2021</v>
      </c>
      <c r="H721" s="278">
        <f>'COMPANY INPUT'!$C$16</f>
        <v>2023</v>
      </c>
      <c r="I721" s="278">
        <f>VLOOKUP(G721,'GDP Deflators'!$H$13:$I$86,2,FALSE)</f>
        <v>88.789299999999997</v>
      </c>
      <c r="J721" s="278">
        <f>VLOOKUP(H721,'GDP Deflators'!$H$13:$I$86,2,FALSE)</f>
        <v>100</v>
      </c>
      <c r="K721" s="297">
        <f>-C661</f>
        <v>-172.5</v>
      </c>
      <c r="L721" s="746">
        <f t="shared" si="60"/>
        <v>-194.28016664170121</v>
      </c>
      <c r="M721" s="278" t="str">
        <f>$I$684</f>
        <v>Calculated using B£ST</v>
      </c>
      <c r="N721" s="326">
        <f>$H$684</f>
        <v>2.5714285714285698</v>
      </c>
      <c r="O721" s="278" t="s">
        <v>718</v>
      </c>
      <c r="P721" s="278" t="str">
        <f>$J$684</f>
        <v>Recently completed, geographically relevant</v>
      </c>
      <c r="Q721" s="299">
        <f t="shared" ref="Q721:Q722" si="62">B$640</f>
        <v>116</v>
      </c>
      <c r="R721" s="299" t="str">
        <f t="shared" si="61"/>
        <v>Water UK / Stantec (2021) Storm overflow evidence project</v>
      </c>
      <c r="S721" s="299" t="str">
        <f t="shared" si="61"/>
        <v>/</v>
      </c>
      <c r="T721" s="299">
        <f t="shared" si="61"/>
        <v>2021</v>
      </c>
      <c r="U721" s="299" t="str">
        <f t="shared" si="61"/>
        <v>UK</v>
      </c>
      <c r="V721" s="299" t="str">
        <f t="shared" si="61"/>
        <v>UK</v>
      </c>
      <c r="W721" s="299" t="str">
        <f t="shared" si="61"/>
        <v>/</v>
      </c>
    </row>
    <row r="722" spans="2:23">
      <c r="B722" s="302" t="s">
        <v>2747</v>
      </c>
      <c r="C722" s="278" t="s">
        <v>2645</v>
      </c>
      <c r="D722" s="278" t="s">
        <v>588</v>
      </c>
      <c r="E722" s="278" t="s">
        <v>455</v>
      </c>
      <c r="F722" s="299">
        <f>$E$640</f>
        <v>2021</v>
      </c>
      <c r="G722" s="278">
        <v>2021</v>
      </c>
      <c r="H722" s="278">
        <f>'COMPANY INPUT'!$C$16</f>
        <v>2023</v>
      </c>
      <c r="I722" s="278">
        <f>VLOOKUP(G722,'GDP Deflators'!$H$13:$I$86,2,FALSE)</f>
        <v>88.789299999999997</v>
      </c>
      <c r="J722" s="278">
        <f>VLOOKUP(H722,'GDP Deflators'!$H$13:$I$86,2,FALSE)</f>
        <v>100</v>
      </c>
      <c r="K722" s="297">
        <f>-C659</f>
        <v>-115</v>
      </c>
      <c r="L722" s="746">
        <f t="shared" si="60"/>
        <v>-129.52011109446747</v>
      </c>
      <c r="M722" s="278" t="str">
        <f>$I$684</f>
        <v>Calculated using B£ST</v>
      </c>
      <c r="N722" s="326">
        <f>$H$684</f>
        <v>2.5714285714285698</v>
      </c>
      <c r="O722" s="278" t="s">
        <v>718</v>
      </c>
      <c r="P722" s="278" t="str">
        <f>$J$684</f>
        <v>Recently completed, geographically relevant</v>
      </c>
      <c r="Q722" s="299">
        <f t="shared" si="62"/>
        <v>116</v>
      </c>
      <c r="R722" s="299" t="str">
        <f t="shared" si="61"/>
        <v>Water UK / Stantec (2021) Storm overflow evidence project</v>
      </c>
      <c r="S722" s="299" t="str">
        <f t="shared" si="61"/>
        <v>/</v>
      </c>
      <c r="T722" s="299">
        <f t="shared" si="61"/>
        <v>2021</v>
      </c>
      <c r="U722" s="299" t="str">
        <f t="shared" si="61"/>
        <v>UK</v>
      </c>
      <c r="V722" s="299" t="str">
        <f t="shared" si="61"/>
        <v>UK</v>
      </c>
      <c r="W722" s="299" t="str">
        <f t="shared" si="61"/>
        <v>/</v>
      </c>
    </row>
    <row r="723" spans="2:23">
      <c r="B723" s="302" t="s">
        <v>2794</v>
      </c>
      <c r="C723" s="278" t="s">
        <v>2645</v>
      </c>
      <c r="D723" s="278" t="s">
        <v>589</v>
      </c>
      <c r="E723" s="278" t="s">
        <v>455</v>
      </c>
      <c r="F723" s="299">
        <f>$E$580</f>
        <v>2024</v>
      </c>
      <c r="G723" s="278">
        <v>2023</v>
      </c>
      <c r="H723" s="278">
        <f>'COMPANY INPUT'!$C$16</f>
        <v>2023</v>
      </c>
      <c r="I723" s="278">
        <f>VLOOKUP(G723,'GDP Deflators'!$H$13:$I$86,2,FALSE)</f>
        <v>100</v>
      </c>
      <c r="J723" s="278">
        <f>VLOOKUP(H723,'GDP Deflators'!$H$13:$I$86,2,FALSE)</f>
        <v>100</v>
      </c>
      <c r="K723" s="297">
        <f t="shared" ref="K723:K752" si="63">-C606</f>
        <v>-5761.5154639175262</v>
      </c>
      <c r="L723" s="746">
        <f t="shared" si="60"/>
        <v>-5761.5154639175262</v>
      </c>
      <c r="M723" s="278" t="str">
        <f t="shared" ref="M723:M752" si="64">$I$687</f>
        <v>QALY</v>
      </c>
      <c r="N723" s="326">
        <f t="shared" ref="N723:N752" si="65">$H$687</f>
        <v>2.1428571428571401</v>
      </c>
      <c r="O723" s="278" t="s">
        <v>718</v>
      </c>
      <c r="P723" s="278" t="str">
        <f t="shared" ref="P723:P752" si="66">$J$687</f>
        <v>Recently published values, geographically relevant, quoted in ENCA</v>
      </c>
      <c r="Q723" s="299">
        <f>B$580</f>
        <v>120</v>
      </c>
      <c r="R723" s="299" t="str">
        <f t="shared" ref="R723:W738" si="67">C$580</f>
        <v>ONS (2024) UK Natural Capital Accounts: 2024 - detailed summary tables</v>
      </c>
      <c r="S723" s="299" t="str">
        <f t="shared" si="67"/>
        <v>ENCA</v>
      </c>
      <c r="T723" s="299">
        <f t="shared" si="67"/>
        <v>2024</v>
      </c>
      <c r="U723" s="299" t="str">
        <f t="shared" si="67"/>
        <v>UK</v>
      </c>
      <c r="V723" s="299" t="str">
        <f t="shared" si="67"/>
        <v>UK</v>
      </c>
      <c r="W723" s="299" t="str">
        <f t="shared" si="67"/>
        <v>/</v>
      </c>
    </row>
    <row r="724" spans="2:23">
      <c r="B724" s="302" t="s">
        <v>2795</v>
      </c>
      <c r="C724" s="278" t="s">
        <v>2645</v>
      </c>
      <c r="D724" s="214" t="s">
        <v>591</v>
      </c>
      <c r="E724" s="278" t="s">
        <v>455</v>
      </c>
      <c r="F724" s="299">
        <f t="shared" ref="F724:F752" si="68">$E$580</f>
        <v>2024</v>
      </c>
      <c r="G724" s="278">
        <v>2023</v>
      </c>
      <c r="H724" s="278">
        <f>'COMPANY INPUT'!$C$16</f>
        <v>2023</v>
      </c>
      <c r="I724" s="278">
        <f>VLOOKUP(G724,'GDP Deflators'!$H$13:$I$86,2,FALSE)</f>
        <v>100</v>
      </c>
      <c r="J724" s="278">
        <f>VLOOKUP(H724,'GDP Deflators'!$H$13:$I$86,2,FALSE)</f>
        <v>100</v>
      </c>
      <c r="K724" s="297">
        <f t="shared" si="63"/>
        <v>-4321.1365979381444</v>
      </c>
      <c r="L724" s="746">
        <f t="shared" si="60"/>
        <v>-4321.1365979381444</v>
      </c>
      <c r="M724" s="278" t="str">
        <f t="shared" si="64"/>
        <v>QALY</v>
      </c>
      <c r="N724" s="326">
        <f t="shared" si="65"/>
        <v>2.1428571428571401</v>
      </c>
      <c r="O724" s="278" t="s">
        <v>718</v>
      </c>
      <c r="P724" s="278" t="str">
        <f t="shared" si="66"/>
        <v>Recently published values, geographically relevant, quoted in ENCA</v>
      </c>
      <c r="Q724" s="299">
        <f t="shared" ref="Q724:Q752" si="69">B$580</f>
        <v>120</v>
      </c>
      <c r="R724" s="299" t="str">
        <f t="shared" si="67"/>
        <v>ONS (2024) UK Natural Capital Accounts: 2024 - detailed summary tables</v>
      </c>
      <c r="S724" s="299" t="str">
        <f t="shared" si="67"/>
        <v>ENCA</v>
      </c>
      <c r="T724" s="299">
        <f t="shared" si="67"/>
        <v>2024</v>
      </c>
      <c r="U724" s="299" t="str">
        <f t="shared" si="67"/>
        <v>UK</v>
      </c>
      <c r="V724" s="299" t="str">
        <f t="shared" si="67"/>
        <v>UK</v>
      </c>
      <c r="W724" s="299" t="str">
        <f t="shared" si="67"/>
        <v>/</v>
      </c>
    </row>
    <row r="725" spans="2:23">
      <c r="B725" s="302" t="s">
        <v>2796</v>
      </c>
      <c r="C725" s="278" t="s">
        <v>2645</v>
      </c>
      <c r="D725" s="214" t="s">
        <v>592</v>
      </c>
      <c r="E725" s="278" t="s">
        <v>455</v>
      </c>
      <c r="F725" s="299">
        <f t="shared" si="68"/>
        <v>2024</v>
      </c>
      <c r="G725" s="278">
        <v>2023</v>
      </c>
      <c r="H725" s="278">
        <f>'COMPANY INPUT'!$C$16</f>
        <v>2023</v>
      </c>
      <c r="I725" s="278">
        <f>VLOOKUP(G725,'GDP Deflators'!$H$13:$I$86,2,FALSE)</f>
        <v>100</v>
      </c>
      <c r="J725" s="278">
        <f>VLOOKUP(H725,'GDP Deflators'!$H$13:$I$86,2,FALSE)</f>
        <v>100</v>
      </c>
      <c r="K725" s="297">
        <f t="shared" si="63"/>
        <v>-2880.7577319587631</v>
      </c>
      <c r="L725" s="746">
        <f t="shared" si="60"/>
        <v>-2880.7577319587631</v>
      </c>
      <c r="M725" s="278" t="str">
        <f t="shared" si="64"/>
        <v>QALY</v>
      </c>
      <c r="N725" s="326">
        <f t="shared" si="65"/>
        <v>2.1428571428571401</v>
      </c>
      <c r="O725" s="278" t="s">
        <v>718</v>
      </c>
      <c r="P725" s="278" t="str">
        <f t="shared" si="66"/>
        <v>Recently published values, geographically relevant, quoted in ENCA</v>
      </c>
      <c r="Q725" s="299">
        <f t="shared" si="69"/>
        <v>120</v>
      </c>
      <c r="R725" s="299" t="str">
        <f t="shared" si="67"/>
        <v>ONS (2024) UK Natural Capital Accounts: 2024 - detailed summary tables</v>
      </c>
      <c r="S725" s="299" t="str">
        <f t="shared" si="67"/>
        <v>ENCA</v>
      </c>
      <c r="T725" s="299">
        <f t="shared" si="67"/>
        <v>2024</v>
      </c>
      <c r="U725" s="299" t="str">
        <f t="shared" si="67"/>
        <v>UK</v>
      </c>
      <c r="V725" s="299" t="str">
        <f t="shared" si="67"/>
        <v>UK</v>
      </c>
      <c r="W725" s="299" t="str">
        <f t="shared" si="67"/>
        <v>/</v>
      </c>
    </row>
    <row r="726" spans="2:23">
      <c r="B726" s="302" t="s">
        <v>2797</v>
      </c>
      <c r="C726" s="278" t="s">
        <v>2645</v>
      </c>
      <c r="D726" s="278" t="s">
        <v>593</v>
      </c>
      <c r="E726" s="278" t="s">
        <v>455</v>
      </c>
      <c r="F726" s="299">
        <f t="shared" si="68"/>
        <v>2024</v>
      </c>
      <c r="G726" s="278">
        <v>2023</v>
      </c>
      <c r="H726" s="278">
        <f>'COMPANY INPUT'!$C$16</f>
        <v>2023</v>
      </c>
      <c r="I726" s="278">
        <f>VLOOKUP(G726,'GDP Deflators'!$H$13:$I$86,2,FALSE)</f>
        <v>100</v>
      </c>
      <c r="J726" s="278">
        <f>VLOOKUP(H726,'GDP Deflators'!$H$13:$I$86,2,FALSE)</f>
        <v>100</v>
      </c>
      <c r="K726" s="297">
        <f t="shared" si="63"/>
        <v>-16.670634920634921</v>
      </c>
      <c r="L726" s="746">
        <f t="shared" si="60"/>
        <v>-16.670634920634921</v>
      </c>
      <c r="M726" s="278" t="str">
        <f t="shared" si="64"/>
        <v>QALY</v>
      </c>
      <c r="N726" s="326">
        <f t="shared" si="65"/>
        <v>2.1428571428571401</v>
      </c>
      <c r="O726" s="278" t="s">
        <v>718</v>
      </c>
      <c r="P726" s="278" t="str">
        <f t="shared" si="66"/>
        <v>Recently published values, geographically relevant, quoted in ENCA</v>
      </c>
      <c r="Q726" s="299">
        <f t="shared" si="69"/>
        <v>120</v>
      </c>
      <c r="R726" s="299" t="str">
        <f t="shared" si="67"/>
        <v>ONS (2024) UK Natural Capital Accounts: 2024 - detailed summary tables</v>
      </c>
      <c r="S726" s="299" t="str">
        <f t="shared" si="67"/>
        <v>ENCA</v>
      </c>
      <c r="T726" s="299">
        <f t="shared" si="67"/>
        <v>2024</v>
      </c>
      <c r="U726" s="299" t="str">
        <f t="shared" si="67"/>
        <v>UK</v>
      </c>
      <c r="V726" s="299" t="str">
        <f t="shared" si="67"/>
        <v>UK</v>
      </c>
      <c r="W726" s="299" t="str">
        <f t="shared" si="67"/>
        <v>/</v>
      </c>
    </row>
    <row r="727" spans="2:23">
      <c r="B727" s="302" t="s">
        <v>2798</v>
      </c>
      <c r="C727" s="278" t="s">
        <v>2645</v>
      </c>
      <c r="D727" s="214" t="s">
        <v>594</v>
      </c>
      <c r="E727" s="278" t="s">
        <v>455</v>
      </c>
      <c r="F727" s="299">
        <f t="shared" si="68"/>
        <v>2024</v>
      </c>
      <c r="G727" s="278">
        <v>2023</v>
      </c>
      <c r="H727" s="278">
        <f>'COMPANY INPUT'!$C$16</f>
        <v>2023</v>
      </c>
      <c r="I727" s="278">
        <f>VLOOKUP(G727,'GDP Deflators'!$H$13:$I$86,2,FALSE)</f>
        <v>100</v>
      </c>
      <c r="J727" s="278">
        <f>VLOOKUP(H727,'GDP Deflators'!$H$13:$I$86,2,FALSE)</f>
        <v>100</v>
      </c>
      <c r="K727" s="297">
        <f t="shared" si="63"/>
        <v>-12.50297619047619</v>
      </c>
      <c r="L727" s="746">
        <f t="shared" si="60"/>
        <v>-12.50297619047619</v>
      </c>
      <c r="M727" s="278" t="str">
        <f t="shared" si="64"/>
        <v>QALY</v>
      </c>
      <c r="N727" s="326">
        <f t="shared" si="65"/>
        <v>2.1428571428571401</v>
      </c>
      <c r="O727" s="278" t="s">
        <v>718</v>
      </c>
      <c r="P727" s="278" t="str">
        <f t="shared" si="66"/>
        <v>Recently published values, geographically relevant, quoted in ENCA</v>
      </c>
      <c r="Q727" s="299">
        <f t="shared" si="69"/>
        <v>120</v>
      </c>
      <c r="R727" s="299" t="str">
        <f t="shared" si="67"/>
        <v>ONS (2024) UK Natural Capital Accounts: 2024 - detailed summary tables</v>
      </c>
      <c r="S727" s="299" t="str">
        <f t="shared" si="67"/>
        <v>ENCA</v>
      </c>
      <c r="T727" s="299">
        <f t="shared" si="67"/>
        <v>2024</v>
      </c>
      <c r="U727" s="299" t="str">
        <f t="shared" si="67"/>
        <v>UK</v>
      </c>
      <c r="V727" s="299" t="str">
        <f t="shared" si="67"/>
        <v>UK</v>
      </c>
      <c r="W727" s="299" t="str">
        <f t="shared" si="67"/>
        <v>/</v>
      </c>
    </row>
    <row r="728" spans="2:23">
      <c r="B728" s="302" t="s">
        <v>2799</v>
      </c>
      <c r="C728" s="278" t="s">
        <v>2645</v>
      </c>
      <c r="D728" s="214" t="s">
        <v>595</v>
      </c>
      <c r="E728" s="278" t="s">
        <v>455</v>
      </c>
      <c r="F728" s="299">
        <f t="shared" si="68"/>
        <v>2024</v>
      </c>
      <c r="G728" s="278">
        <v>2023</v>
      </c>
      <c r="H728" s="278">
        <f>'COMPANY INPUT'!$C$16</f>
        <v>2023</v>
      </c>
      <c r="I728" s="278">
        <f>VLOOKUP(G728,'GDP Deflators'!$H$13:$I$86,2,FALSE)</f>
        <v>100</v>
      </c>
      <c r="J728" s="278">
        <f>VLOOKUP(H728,'GDP Deflators'!$H$13:$I$86,2,FALSE)</f>
        <v>100</v>
      </c>
      <c r="K728" s="297">
        <f t="shared" si="63"/>
        <v>-8.3353174603174605</v>
      </c>
      <c r="L728" s="746">
        <f t="shared" si="60"/>
        <v>-8.3353174603174605</v>
      </c>
      <c r="M728" s="278" t="str">
        <f t="shared" si="64"/>
        <v>QALY</v>
      </c>
      <c r="N728" s="326">
        <f t="shared" si="65"/>
        <v>2.1428571428571401</v>
      </c>
      <c r="O728" s="278" t="s">
        <v>718</v>
      </c>
      <c r="P728" s="278" t="str">
        <f t="shared" si="66"/>
        <v>Recently published values, geographically relevant, quoted in ENCA</v>
      </c>
      <c r="Q728" s="299">
        <f t="shared" si="69"/>
        <v>120</v>
      </c>
      <c r="R728" s="299" t="str">
        <f t="shared" si="67"/>
        <v>ONS (2024) UK Natural Capital Accounts: 2024 - detailed summary tables</v>
      </c>
      <c r="S728" s="299" t="str">
        <f t="shared" si="67"/>
        <v>ENCA</v>
      </c>
      <c r="T728" s="299">
        <f t="shared" si="67"/>
        <v>2024</v>
      </c>
      <c r="U728" s="299" t="str">
        <f t="shared" si="67"/>
        <v>UK</v>
      </c>
      <c r="V728" s="299" t="str">
        <f t="shared" si="67"/>
        <v>UK</v>
      </c>
      <c r="W728" s="299" t="str">
        <f t="shared" si="67"/>
        <v>/</v>
      </c>
    </row>
    <row r="729" spans="2:23">
      <c r="B729" s="302" t="s">
        <v>2800</v>
      </c>
      <c r="C729" s="278" t="s">
        <v>2645</v>
      </c>
      <c r="D729" s="278" t="s">
        <v>596</v>
      </c>
      <c r="E729" s="278" t="s">
        <v>455</v>
      </c>
      <c r="F729" s="299">
        <f t="shared" si="68"/>
        <v>2024</v>
      </c>
      <c r="G729" s="278">
        <v>2023</v>
      </c>
      <c r="H729" s="278">
        <f>'COMPANY INPUT'!$C$16</f>
        <v>2023</v>
      </c>
      <c r="I729" s="278">
        <f>VLOOKUP(G729,'GDP Deflators'!$H$13:$I$86,2,FALSE)</f>
        <v>100</v>
      </c>
      <c r="J729" s="278">
        <f>VLOOKUP(H729,'GDP Deflators'!$H$13:$I$86,2,FALSE)</f>
        <v>100</v>
      </c>
      <c r="K729" s="297">
        <f t="shared" si="63"/>
        <v>-587.492718446602</v>
      </c>
      <c r="L729" s="746">
        <f t="shared" si="60"/>
        <v>-587.492718446602</v>
      </c>
      <c r="M729" s="278" t="str">
        <f t="shared" si="64"/>
        <v>QALY</v>
      </c>
      <c r="N729" s="326">
        <f t="shared" si="65"/>
        <v>2.1428571428571401</v>
      </c>
      <c r="O729" s="278" t="s">
        <v>718</v>
      </c>
      <c r="P729" s="278" t="str">
        <f t="shared" si="66"/>
        <v>Recently published values, geographically relevant, quoted in ENCA</v>
      </c>
      <c r="Q729" s="299">
        <f t="shared" si="69"/>
        <v>120</v>
      </c>
      <c r="R729" s="299" t="str">
        <f t="shared" si="67"/>
        <v>ONS (2024) UK Natural Capital Accounts: 2024 - detailed summary tables</v>
      </c>
      <c r="S729" s="299" t="str">
        <f t="shared" si="67"/>
        <v>ENCA</v>
      </c>
      <c r="T729" s="299">
        <f t="shared" si="67"/>
        <v>2024</v>
      </c>
      <c r="U729" s="299" t="str">
        <f t="shared" si="67"/>
        <v>UK</v>
      </c>
      <c r="V729" s="299" t="str">
        <f t="shared" si="67"/>
        <v>UK</v>
      </c>
      <c r="W729" s="299" t="str">
        <f t="shared" si="67"/>
        <v>/</v>
      </c>
    </row>
    <row r="730" spans="2:23">
      <c r="B730" s="302" t="s">
        <v>2801</v>
      </c>
      <c r="C730" s="278" t="s">
        <v>2645</v>
      </c>
      <c r="D730" s="214" t="s">
        <v>597</v>
      </c>
      <c r="E730" s="278" t="s">
        <v>455</v>
      </c>
      <c r="F730" s="299">
        <f t="shared" si="68"/>
        <v>2024</v>
      </c>
      <c r="G730" s="278">
        <v>2023</v>
      </c>
      <c r="H730" s="278">
        <f>'COMPANY INPUT'!$C$16</f>
        <v>2023</v>
      </c>
      <c r="I730" s="278">
        <f>VLOOKUP(G730,'GDP Deflators'!$H$13:$I$86,2,FALSE)</f>
        <v>100</v>
      </c>
      <c r="J730" s="278">
        <f>VLOOKUP(H730,'GDP Deflators'!$H$13:$I$86,2,FALSE)</f>
        <v>100</v>
      </c>
      <c r="K730" s="297">
        <f t="shared" si="63"/>
        <v>-440.61953883495153</v>
      </c>
      <c r="L730" s="746">
        <f t="shared" si="60"/>
        <v>-440.61953883495153</v>
      </c>
      <c r="M730" s="278" t="str">
        <f t="shared" si="64"/>
        <v>QALY</v>
      </c>
      <c r="N730" s="326">
        <f t="shared" si="65"/>
        <v>2.1428571428571401</v>
      </c>
      <c r="O730" s="278" t="s">
        <v>718</v>
      </c>
      <c r="P730" s="278" t="str">
        <f t="shared" si="66"/>
        <v>Recently published values, geographically relevant, quoted in ENCA</v>
      </c>
      <c r="Q730" s="299">
        <f t="shared" si="69"/>
        <v>120</v>
      </c>
      <c r="R730" s="299" t="str">
        <f t="shared" si="67"/>
        <v>ONS (2024) UK Natural Capital Accounts: 2024 - detailed summary tables</v>
      </c>
      <c r="S730" s="299" t="str">
        <f t="shared" si="67"/>
        <v>ENCA</v>
      </c>
      <c r="T730" s="299">
        <f t="shared" si="67"/>
        <v>2024</v>
      </c>
      <c r="U730" s="299" t="str">
        <f t="shared" si="67"/>
        <v>UK</v>
      </c>
      <c r="V730" s="299" t="str">
        <f t="shared" si="67"/>
        <v>UK</v>
      </c>
      <c r="W730" s="299" t="str">
        <f t="shared" si="67"/>
        <v>/</v>
      </c>
    </row>
    <row r="731" spans="2:23">
      <c r="B731" s="302" t="s">
        <v>2802</v>
      </c>
      <c r="C731" s="278" t="s">
        <v>2645</v>
      </c>
      <c r="D731" s="214" t="s">
        <v>598</v>
      </c>
      <c r="E731" s="278" t="s">
        <v>455</v>
      </c>
      <c r="F731" s="299">
        <f t="shared" si="68"/>
        <v>2024</v>
      </c>
      <c r="G731" s="278">
        <v>2023</v>
      </c>
      <c r="H731" s="278">
        <f>'COMPANY INPUT'!$C$16</f>
        <v>2023</v>
      </c>
      <c r="I731" s="278">
        <f>VLOOKUP(G731,'GDP Deflators'!$H$13:$I$86,2,FALSE)</f>
        <v>100</v>
      </c>
      <c r="J731" s="278">
        <f>VLOOKUP(H731,'GDP Deflators'!$H$13:$I$86,2,FALSE)</f>
        <v>100</v>
      </c>
      <c r="K731" s="297">
        <f t="shared" si="63"/>
        <v>-293.746359223301</v>
      </c>
      <c r="L731" s="746">
        <f t="shared" si="60"/>
        <v>-293.746359223301</v>
      </c>
      <c r="M731" s="278" t="str">
        <f t="shared" si="64"/>
        <v>QALY</v>
      </c>
      <c r="N731" s="326">
        <f t="shared" si="65"/>
        <v>2.1428571428571401</v>
      </c>
      <c r="O731" s="278" t="s">
        <v>718</v>
      </c>
      <c r="P731" s="278" t="str">
        <f t="shared" si="66"/>
        <v>Recently published values, geographically relevant, quoted in ENCA</v>
      </c>
      <c r="Q731" s="299">
        <f t="shared" si="69"/>
        <v>120</v>
      </c>
      <c r="R731" s="299" t="str">
        <f t="shared" si="67"/>
        <v>ONS (2024) UK Natural Capital Accounts: 2024 - detailed summary tables</v>
      </c>
      <c r="S731" s="299" t="str">
        <f t="shared" si="67"/>
        <v>ENCA</v>
      </c>
      <c r="T731" s="299">
        <f t="shared" si="67"/>
        <v>2024</v>
      </c>
      <c r="U731" s="299" t="str">
        <f t="shared" si="67"/>
        <v>UK</v>
      </c>
      <c r="V731" s="299" t="str">
        <f t="shared" si="67"/>
        <v>UK</v>
      </c>
      <c r="W731" s="299" t="str">
        <f t="shared" si="67"/>
        <v>/</v>
      </c>
    </row>
    <row r="732" spans="2:23">
      <c r="B732" s="302" t="s">
        <v>2803</v>
      </c>
      <c r="C732" s="278" t="s">
        <v>2645</v>
      </c>
      <c r="D732" s="278" t="s">
        <v>599</v>
      </c>
      <c r="E732" s="278" t="s">
        <v>455</v>
      </c>
      <c r="F732" s="299">
        <f t="shared" si="68"/>
        <v>2024</v>
      </c>
      <c r="G732" s="278">
        <v>2023</v>
      </c>
      <c r="H732" s="278">
        <f>'COMPANY INPUT'!$C$16</f>
        <v>2023</v>
      </c>
      <c r="I732" s="278">
        <f>VLOOKUP(G732,'GDP Deflators'!$H$13:$I$86,2,FALSE)</f>
        <v>100</v>
      </c>
      <c r="J732" s="278">
        <f>VLOOKUP(H732,'GDP Deflators'!$H$13:$I$86,2,FALSE)</f>
        <v>100</v>
      </c>
      <c r="K732" s="297">
        <f t="shared" si="63"/>
        <v>-589.10683012259199</v>
      </c>
      <c r="L732" s="746">
        <f t="shared" si="60"/>
        <v>-589.10683012259199</v>
      </c>
      <c r="M732" s="278" t="str">
        <f t="shared" si="64"/>
        <v>QALY</v>
      </c>
      <c r="N732" s="326">
        <f t="shared" si="65"/>
        <v>2.1428571428571401</v>
      </c>
      <c r="O732" s="278" t="s">
        <v>718</v>
      </c>
      <c r="P732" s="278" t="str">
        <f t="shared" si="66"/>
        <v>Recently published values, geographically relevant, quoted in ENCA</v>
      </c>
      <c r="Q732" s="299">
        <f t="shared" si="69"/>
        <v>120</v>
      </c>
      <c r="R732" s="299" t="str">
        <f t="shared" si="67"/>
        <v>ONS (2024) UK Natural Capital Accounts: 2024 - detailed summary tables</v>
      </c>
      <c r="S732" s="299" t="str">
        <f t="shared" si="67"/>
        <v>ENCA</v>
      </c>
      <c r="T732" s="299">
        <f t="shared" si="67"/>
        <v>2024</v>
      </c>
      <c r="U732" s="299" t="str">
        <f t="shared" si="67"/>
        <v>UK</v>
      </c>
      <c r="V732" s="299" t="str">
        <f t="shared" si="67"/>
        <v>UK</v>
      </c>
      <c r="W732" s="299" t="str">
        <f t="shared" si="67"/>
        <v>/</v>
      </c>
    </row>
    <row r="733" spans="2:23">
      <c r="B733" s="302" t="s">
        <v>2804</v>
      </c>
      <c r="C733" s="278" t="s">
        <v>2645</v>
      </c>
      <c r="D733" s="214" t="s">
        <v>600</v>
      </c>
      <c r="E733" s="278" t="s">
        <v>455</v>
      </c>
      <c r="F733" s="299">
        <f t="shared" si="68"/>
        <v>2024</v>
      </c>
      <c r="G733" s="278">
        <v>2023</v>
      </c>
      <c r="H733" s="278">
        <f>'COMPANY INPUT'!$C$16</f>
        <v>2023</v>
      </c>
      <c r="I733" s="278">
        <f>VLOOKUP(G733,'GDP Deflators'!$H$13:$I$86,2,FALSE)</f>
        <v>100</v>
      </c>
      <c r="J733" s="278">
        <f>VLOOKUP(H733,'GDP Deflators'!$H$13:$I$86,2,FALSE)</f>
        <v>100</v>
      </c>
      <c r="K733" s="297">
        <f t="shared" si="63"/>
        <v>-441.83012259194402</v>
      </c>
      <c r="L733" s="746">
        <f t="shared" si="60"/>
        <v>-441.83012259194402</v>
      </c>
      <c r="M733" s="278" t="str">
        <f t="shared" si="64"/>
        <v>QALY</v>
      </c>
      <c r="N733" s="326">
        <f t="shared" si="65"/>
        <v>2.1428571428571401</v>
      </c>
      <c r="O733" s="278" t="s">
        <v>718</v>
      </c>
      <c r="P733" s="278" t="str">
        <f t="shared" si="66"/>
        <v>Recently published values, geographically relevant, quoted in ENCA</v>
      </c>
      <c r="Q733" s="299">
        <f t="shared" si="69"/>
        <v>120</v>
      </c>
      <c r="R733" s="299" t="str">
        <f t="shared" si="67"/>
        <v>ONS (2024) UK Natural Capital Accounts: 2024 - detailed summary tables</v>
      </c>
      <c r="S733" s="299" t="str">
        <f t="shared" si="67"/>
        <v>ENCA</v>
      </c>
      <c r="T733" s="299">
        <f t="shared" si="67"/>
        <v>2024</v>
      </c>
      <c r="U733" s="299" t="str">
        <f t="shared" si="67"/>
        <v>UK</v>
      </c>
      <c r="V733" s="299" t="str">
        <f t="shared" si="67"/>
        <v>UK</v>
      </c>
      <c r="W733" s="299" t="str">
        <f t="shared" si="67"/>
        <v>/</v>
      </c>
    </row>
    <row r="734" spans="2:23">
      <c r="B734" s="302" t="s">
        <v>2805</v>
      </c>
      <c r="C734" s="278" t="s">
        <v>2645</v>
      </c>
      <c r="D734" s="214" t="s">
        <v>601</v>
      </c>
      <c r="E734" s="278" t="s">
        <v>455</v>
      </c>
      <c r="F734" s="299">
        <f t="shared" si="68"/>
        <v>2024</v>
      </c>
      <c r="G734" s="278">
        <v>2023</v>
      </c>
      <c r="H734" s="278">
        <f>'COMPANY INPUT'!$C$16</f>
        <v>2023</v>
      </c>
      <c r="I734" s="278">
        <f>VLOOKUP(G734,'GDP Deflators'!$H$13:$I$86,2,FALSE)</f>
        <v>100</v>
      </c>
      <c r="J734" s="278">
        <f>VLOOKUP(H734,'GDP Deflators'!$H$13:$I$86,2,FALSE)</f>
        <v>100</v>
      </c>
      <c r="K734" s="297">
        <f t="shared" si="63"/>
        <v>-294.55341506129599</v>
      </c>
      <c r="L734" s="746">
        <f t="shared" si="60"/>
        <v>-294.55341506129599</v>
      </c>
      <c r="M734" s="278" t="str">
        <f t="shared" si="64"/>
        <v>QALY</v>
      </c>
      <c r="N734" s="326">
        <f t="shared" si="65"/>
        <v>2.1428571428571401</v>
      </c>
      <c r="O734" s="278" t="s">
        <v>718</v>
      </c>
      <c r="P734" s="278" t="str">
        <f t="shared" si="66"/>
        <v>Recently published values, geographically relevant, quoted in ENCA</v>
      </c>
      <c r="Q734" s="299">
        <f t="shared" si="69"/>
        <v>120</v>
      </c>
      <c r="R734" s="299" t="str">
        <f t="shared" si="67"/>
        <v>ONS (2024) UK Natural Capital Accounts: 2024 - detailed summary tables</v>
      </c>
      <c r="S734" s="299" t="str">
        <f t="shared" si="67"/>
        <v>ENCA</v>
      </c>
      <c r="T734" s="299">
        <f t="shared" si="67"/>
        <v>2024</v>
      </c>
      <c r="U734" s="299" t="str">
        <f t="shared" si="67"/>
        <v>UK</v>
      </c>
      <c r="V734" s="299" t="str">
        <f t="shared" si="67"/>
        <v>UK</v>
      </c>
      <c r="W734" s="299" t="str">
        <f t="shared" si="67"/>
        <v>/</v>
      </c>
    </row>
    <row r="735" spans="2:23">
      <c r="B735" s="302" t="s">
        <v>2806</v>
      </c>
      <c r="C735" s="278" t="s">
        <v>2645</v>
      </c>
      <c r="D735" s="278" t="s">
        <v>602</v>
      </c>
      <c r="E735" s="278" t="s">
        <v>455</v>
      </c>
      <c r="F735" s="299">
        <f t="shared" si="68"/>
        <v>2024</v>
      </c>
      <c r="G735" s="278">
        <v>2023</v>
      </c>
      <c r="H735" s="278">
        <f>'COMPANY INPUT'!$C$16</f>
        <v>2023</v>
      </c>
      <c r="I735" s="278">
        <f>VLOOKUP(G735,'GDP Deflators'!$H$13:$I$86,2,FALSE)</f>
        <v>100</v>
      </c>
      <c r="J735" s="278">
        <f>VLOOKUP(H735,'GDP Deflators'!$H$13:$I$86,2,FALSE)</f>
        <v>100</v>
      </c>
      <c r="K735" s="297">
        <f t="shared" si="63"/>
        <v>-16.670634920634921</v>
      </c>
      <c r="L735" s="746">
        <f t="shared" si="60"/>
        <v>-16.670634920634921</v>
      </c>
      <c r="M735" s="278" t="str">
        <f t="shared" si="64"/>
        <v>QALY</v>
      </c>
      <c r="N735" s="326">
        <f t="shared" si="65"/>
        <v>2.1428571428571401</v>
      </c>
      <c r="O735" s="278" t="s">
        <v>718</v>
      </c>
      <c r="P735" s="278" t="str">
        <f t="shared" si="66"/>
        <v>Recently published values, geographically relevant, quoted in ENCA</v>
      </c>
      <c r="Q735" s="299">
        <f t="shared" si="69"/>
        <v>120</v>
      </c>
      <c r="R735" s="299" t="str">
        <f t="shared" si="67"/>
        <v>ONS (2024) UK Natural Capital Accounts: 2024 - detailed summary tables</v>
      </c>
      <c r="S735" s="299" t="str">
        <f t="shared" si="67"/>
        <v>ENCA</v>
      </c>
      <c r="T735" s="299">
        <f t="shared" si="67"/>
        <v>2024</v>
      </c>
      <c r="U735" s="299" t="str">
        <f t="shared" si="67"/>
        <v>UK</v>
      </c>
      <c r="V735" s="299" t="str">
        <f t="shared" si="67"/>
        <v>UK</v>
      </c>
      <c r="W735" s="299" t="str">
        <f t="shared" si="67"/>
        <v>/</v>
      </c>
    </row>
    <row r="736" spans="2:23">
      <c r="B736" s="302" t="s">
        <v>2807</v>
      </c>
      <c r="C736" s="278" t="s">
        <v>2645</v>
      </c>
      <c r="D736" s="214" t="s">
        <v>603</v>
      </c>
      <c r="E736" s="278" t="s">
        <v>455</v>
      </c>
      <c r="F736" s="299">
        <f t="shared" si="68"/>
        <v>2024</v>
      </c>
      <c r="G736" s="278">
        <v>2023</v>
      </c>
      <c r="H736" s="278">
        <f>'COMPANY INPUT'!$C$16</f>
        <v>2023</v>
      </c>
      <c r="I736" s="278">
        <f>VLOOKUP(G736,'GDP Deflators'!$H$13:$I$86,2,FALSE)</f>
        <v>100</v>
      </c>
      <c r="J736" s="278">
        <f>VLOOKUP(H736,'GDP Deflators'!$H$13:$I$86,2,FALSE)</f>
        <v>100</v>
      </c>
      <c r="K736" s="297">
        <f t="shared" si="63"/>
        <v>-12.50297619047619</v>
      </c>
      <c r="L736" s="746">
        <f t="shared" si="60"/>
        <v>-12.50297619047619</v>
      </c>
      <c r="M736" s="278" t="str">
        <f t="shared" si="64"/>
        <v>QALY</v>
      </c>
      <c r="N736" s="326">
        <f t="shared" si="65"/>
        <v>2.1428571428571401</v>
      </c>
      <c r="O736" s="278" t="s">
        <v>718</v>
      </c>
      <c r="P736" s="278" t="str">
        <f t="shared" si="66"/>
        <v>Recently published values, geographically relevant, quoted in ENCA</v>
      </c>
      <c r="Q736" s="299">
        <f t="shared" si="69"/>
        <v>120</v>
      </c>
      <c r="R736" s="299" t="str">
        <f t="shared" si="67"/>
        <v>ONS (2024) UK Natural Capital Accounts: 2024 - detailed summary tables</v>
      </c>
      <c r="S736" s="299" t="str">
        <f t="shared" si="67"/>
        <v>ENCA</v>
      </c>
      <c r="T736" s="299">
        <f t="shared" si="67"/>
        <v>2024</v>
      </c>
      <c r="U736" s="299" t="str">
        <f t="shared" si="67"/>
        <v>UK</v>
      </c>
      <c r="V736" s="299" t="str">
        <f t="shared" si="67"/>
        <v>UK</v>
      </c>
      <c r="W736" s="299" t="str">
        <f t="shared" si="67"/>
        <v>/</v>
      </c>
    </row>
    <row r="737" spans="2:23">
      <c r="B737" s="302" t="s">
        <v>2808</v>
      </c>
      <c r="C737" s="278" t="s">
        <v>2645</v>
      </c>
      <c r="D737" s="278" t="s">
        <v>604</v>
      </c>
      <c r="E737" s="278" t="s">
        <v>455</v>
      </c>
      <c r="F737" s="299">
        <f t="shared" si="68"/>
        <v>2024</v>
      </c>
      <c r="G737" s="278">
        <v>2023</v>
      </c>
      <c r="H737" s="278">
        <f>'COMPANY INPUT'!$C$16</f>
        <v>2023</v>
      </c>
      <c r="I737" s="278">
        <f>VLOOKUP(G737,'GDP Deflators'!$H$13:$I$86,2,FALSE)</f>
        <v>100</v>
      </c>
      <c r="J737" s="278">
        <f>VLOOKUP(H737,'GDP Deflators'!$H$13:$I$86,2,FALSE)</f>
        <v>100</v>
      </c>
      <c r="K737" s="297">
        <f t="shared" si="63"/>
        <v>-8.3353174603174605</v>
      </c>
      <c r="L737" s="746">
        <f t="shared" si="60"/>
        <v>-8.3353174603174605</v>
      </c>
      <c r="M737" s="278" t="str">
        <f t="shared" si="64"/>
        <v>QALY</v>
      </c>
      <c r="N737" s="326">
        <f t="shared" si="65"/>
        <v>2.1428571428571401</v>
      </c>
      <c r="O737" s="278" t="s">
        <v>718</v>
      </c>
      <c r="P737" s="278" t="str">
        <f t="shared" si="66"/>
        <v>Recently published values, geographically relevant, quoted in ENCA</v>
      </c>
      <c r="Q737" s="299">
        <f t="shared" si="69"/>
        <v>120</v>
      </c>
      <c r="R737" s="299" t="str">
        <f t="shared" si="67"/>
        <v>ONS (2024) UK Natural Capital Accounts: 2024 - detailed summary tables</v>
      </c>
      <c r="S737" s="299" t="str">
        <f t="shared" si="67"/>
        <v>ENCA</v>
      </c>
      <c r="T737" s="299">
        <f t="shared" si="67"/>
        <v>2024</v>
      </c>
      <c r="U737" s="299" t="str">
        <f t="shared" si="67"/>
        <v>UK</v>
      </c>
      <c r="V737" s="299" t="str">
        <f t="shared" si="67"/>
        <v>UK</v>
      </c>
      <c r="W737" s="299" t="str">
        <f t="shared" si="67"/>
        <v>/</v>
      </c>
    </row>
    <row r="738" spans="2:23">
      <c r="B738" s="302" t="s">
        <v>2809</v>
      </c>
      <c r="C738" s="278" t="s">
        <v>2645</v>
      </c>
      <c r="D738" s="278" t="s">
        <v>605</v>
      </c>
      <c r="E738" s="278" t="s">
        <v>455</v>
      </c>
      <c r="F738" s="299">
        <f t="shared" si="68"/>
        <v>2024</v>
      </c>
      <c r="G738" s="278">
        <v>2023</v>
      </c>
      <c r="H738" s="278">
        <f>'COMPANY INPUT'!$C$16</f>
        <v>2023</v>
      </c>
      <c r="I738" s="278">
        <f>VLOOKUP(G738,'GDP Deflators'!$H$13:$I$86,2,FALSE)</f>
        <v>100</v>
      </c>
      <c r="J738" s="278">
        <f>VLOOKUP(H738,'GDP Deflators'!$H$13:$I$86,2,FALSE)</f>
        <v>100</v>
      </c>
      <c r="K738" s="297">
        <f t="shared" si="63"/>
        <v>-17.747478822105688</v>
      </c>
      <c r="L738" s="746">
        <f t="shared" si="60"/>
        <v>-17.747478822105688</v>
      </c>
      <c r="M738" s="278" t="str">
        <f t="shared" si="64"/>
        <v>QALY</v>
      </c>
      <c r="N738" s="326">
        <f t="shared" si="65"/>
        <v>2.1428571428571401</v>
      </c>
      <c r="O738" s="278" t="s">
        <v>718</v>
      </c>
      <c r="P738" s="278" t="str">
        <f t="shared" si="66"/>
        <v>Recently published values, geographically relevant, quoted in ENCA</v>
      </c>
      <c r="Q738" s="299">
        <f t="shared" si="69"/>
        <v>120</v>
      </c>
      <c r="R738" s="299" t="str">
        <f t="shared" si="67"/>
        <v>ONS (2024) UK Natural Capital Accounts: 2024 - detailed summary tables</v>
      </c>
      <c r="S738" s="299" t="str">
        <f t="shared" si="67"/>
        <v>ENCA</v>
      </c>
      <c r="T738" s="299">
        <f t="shared" si="67"/>
        <v>2024</v>
      </c>
      <c r="U738" s="299" t="str">
        <f t="shared" si="67"/>
        <v>UK</v>
      </c>
      <c r="V738" s="299" t="str">
        <f t="shared" si="67"/>
        <v>UK</v>
      </c>
      <c r="W738" s="299" t="str">
        <f t="shared" si="67"/>
        <v>/</v>
      </c>
    </row>
    <row r="739" spans="2:23">
      <c r="B739" s="302" t="s">
        <v>2810</v>
      </c>
      <c r="C739" s="278" t="s">
        <v>2645</v>
      </c>
      <c r="D739" s="278" t="s">
        <v>606</v>
      </c>
      <c r="E739" s="278" t="s">
        <v>455</v>
      </c>
      <c r="F739" s="299">
        <f t="shared" si="68"/>
        <v>2024</v>
      </c>
      <c r="G739" s="278">
        <v>2023</v>
      </c>
      <c r="H739" s="278">
        <f>'COMPANY INPUT'!$C$16</f>
        <v>2023</v>
      </c>
      <c r="I739" s="278">
        <f>VLOOKUP(G739,'GDP Deflators'!$H$13:$I$86,2,FALSE)</f>
        <v>100</v>
      </c>
      <c r="J739" s="278">
        <f>VLOOKUP(H739,'GDP Deflators'!$H$13:$I$86,2,FALSE)</f>
        <v>100</v>
      </c>
      <c r="K739" s="297">
        <f t="shared" si="63"/>
        <v>-13.310609116579265</v>
      </c>
      <c r="L739" s="746">
        <f t="shared" si="60"/>
        <v>-13.310609116579265</v>
      </c>
      <c r="M739" s="278" t="str">
        <f t="shared" si="64"/>
        <v>QALY</v>
      </c>
      <c r="N739" s="326">
        <f t="shared" si="65"/>
        <v>2.1428571428571401</v>
      </c>
      <c r="O739" s="278" t="s">
        <v>718</v>
      </c>
      <c r="P739" s="278" t="str">
        <f t="shared" si="66"/>
        <v>Recently published values, geographically relevant, quoted in ENCA</v>
      </c>
      <c r="Q739" s="299">
        <f t="shared" si="69"/>
        <v>120</v>
      </c>
      <c r="R739" s="299" t="str">
        <f t="shared" ref="R739:R752" si="70">C$580</f>
        <v>ONS (2024) UK Natural Capital Accounts: 2024 - detailed summary tables</v>
      </c>
      <c r="S739" s="299" t="str">
        <f t="shared" ref="S739:S752" si="71">D$580</f>
        <v>ENCA</v>
      </c>
      <c r="T739" s="299">
        <f t="shared" ref="T739:T752" si="72">E$580</f>
        <v>2024</v>
      </c>
      <c r="U739" s="299" t="str">
        <f t="shared" ref="U739:U752" si="73">F$580</f>
        <v>UK</v>
      </c>
      <c r="V739" s="299" t="str">
        <f t="shared" ref="V739:V752" si="74">G$580</f>
        <v>UK</v>
      </c>
      <c r="W739" s="299" t="str">
        <f t="shared" ref="W739:W752" si="75">H$580</f>
        <v>/</v>
      </c>
    </row>
    <row r="740" spans="2:23">
      <c r="B740" s="302" t="s">
        <v>2811</v>
      </c>
      <c r="C740" s="278" t="s">
        <v>2645</v>
      </c>
      <c r="D740" s="278" t="s">
        <v>607</v>
      </c>
      <c r="E740" s="278" t="s">
        <v>455</v>
      </c>
      <c r="F740" s="299">
        <f t="shared" si="68"/>
        <v>2024</v>
      </c>
      <c r="G740" s="278">
        <v>2023</v>
      </c>
      <c r="H740" s="278">
        <f>'COMPANY INPUT'!$C$16</f>
        <v>2023</v>
      </c>
      <c r="I740" s="278">
        <f>VLOOKUP(G740,'GDP Deflators'!$H$13:$I$86,2,FALSE)</f>
        <v>100</v>
      </c>
      <c r="J740" s="278">
        <f>VLOOKUP(H740,'GDP Deflators'!$H$13:$I$86,2,FALSE)</f>
        <v>100</v>
      </c>
      <c r="K740" s="297">
        <f t="shared" si="63"/>
        <v>-8.8737394110528438</v>
      </c>
      <c r="L740" s="746">
        <f t="shared" si="60"/>
        <v>-8.8737394110528438</v>
      </c>
      <c r="M740" s="278" t="str">
        <f t="shared" si="64"/>
        <v>QALY</v>
      </c>
      <c r="N740" s="326">
        <f t="shared" si="65"/>
        <v>2.1428571428571401</v>
      </c>
      <c r="O740" s="278" t="s">
        <v>718</v>
      </c>
      <c r="P740" s="278" t="str">
        <f t="shared" si="66"/>
        <v>Recently published values, geographically relevant, quoted in ENCA</v>
      </c>
      <c r="Q740" s="299">
        <f t="shared" si="69"/>
        <v>120</v>
      </c>
      <c r="R740" s="299" t="str">
        <f t="shared" si="70"/>
        <v>ONS (2024) UK Natural Capital Accounts: 2024 - detailed summary tables</v>
      </c>
      <c r="S740" s="299" t="str">
        <f t="shared" si="71"/>
        <v>ENCA</v>
      </c>
      <c r="T740" s="299">
        <f t="shared" si="72"/>
        <v>2024</v>
      </c>
      <c r="U740" s="299" t="str">
        <f t="shared" si="73"/>
        <v>UK</v>
      </c>
      <c r="V740" s="299" t="str">
        <f t="shared" si="74"/>
        <v>UK</v>
      </c>
      <c r="W740" s="299" t="str">
        <f t="shared" si="75"/>
        <v>/</v>
      </c>
    </row>
    <row r="741" spans="2:23">
      <c r="B741" s="302" t="s">
        <v>2812</v>
      </c>
      <c r="C741" s="278" t="s">
        <v>2645</v>
      </c>
      <c r="D741" s="278" t="s">
        <v>608</v>
      </c>
      <c r="E741" s="278" t="s">
        <v>455</v>
      </c>
      <c r="F741" s="299">
        <f t="shared" si="68"/>
        <v>2024</v>
      </c>
      <c r="G741" s="278">
        <v>2023</v>
      </c>
      <c r="H741" s="278">
        <f>'COMPANY INPUT'!$C$16</f>
        <v>2023</v>
      </c>
      <c r="I741" s="278">
        <f>VLOOKUP(G741,'GDP Deflators'!$H$13:$I$86,2,FALSE)</f>
        <v>100</v>
      </c>
      <c r="J741" s="278">
        <f>VLOOKUP(H741,'GDP Deflators'!$H$13:$I$86,2,FALSE)</f>
        <v>100</v>
      </c>
      <c r="K741" s="297">
        <f t="shared" si="63"/>
        <v>-34.662912308930011</v>
      </c>
      <c r="L741" s="746">
        <f t="shared" si="60"/>
        <v>-34.662912308930011</v>
      </c>
      <c r="M741" s="278" t="str">
        <f t="shared" si="64"/>
        <v>QALY</v>
      </c>
      <c r="N741" s="326">
        <f t="shared" si="65"/>
        <v>2.1428571428571401</v>
      </c>
      <c r="O741" s="278" t="s">
        <v>718</v>
      </c>
      <c r="P741" s="278" t="str">
        <f t="shared" si="66"/>
        <v>Recently published values, geographically relevant, quoted in ENCA</v>
      </c>
      <c r="Q741" s="299">
        <f t="shared" si="69"/>
        <v>120</v>
      </c>
      <c r="R741" s="299" t="str">
        <f t="shared" si="70"/>
        <v>ONS (2024) UK Natural Capital Accounts: 2024 - detailed summary tables</v>
      </c>
      <c r="S741" s="299" t="str">
        <f t="shared" si="71"/>
        <v>ENCA</v>
      </c>
      <c r="T741" s="299">
        <f t="shared" si="72"/>
        <v>2024</v>
      </c>
      <c r="U741" s="299" t="str">
        <f t="shared" si="73"/>
        <v>UK</v>
      </c>
      <c r="V741" s="299" t="str">
        <f t="shared" si="74"/>
        <v>UK</v>
      </c>
      <c r="W741" s="299" t="str">
        <f t="shared" si="75"/>
        <v>/</v>
      </c>
    </row>
    <row r="742" spans="2:23">
      <c r="B742" s="302" t="s">
        <v>2813</v>
      </c>
      <c r="C742" s="278" t="s">
        <v>2645</v>
      </c>
      <c r="D742" s="278" t="s">
        <v>609</v>
      </c>
      <c r="E742" s="278" t="s">
        <v>455</v>
      </c>
      <c r="F742" s="299">
        <f t="shared" si="68"/>
        <v>2024</v>
      </c>
      <c r="G742" s="278">
        <v>2023</v>
      </c>
      <c r="H742" s="278">
        <f>'COMPANY INPUT'!$C$16</f>
        <v>2023</v>
      </c>
      <c r="I742" s="278">
        <f>VLOOKUP(G742,'GDP Deflators'!$H$13:$I$86,2,FALSE)</f>
        <v>100</v>
      </c>
      <c r="J742" s="278">
        <f>VLOOKUP(H742,'GDP Deflators'!$H$13:$I$86,2,FALSE)</f>
        <v>100</v>
      </c>
      <c r="K742" s="297">
        <f t="shared" si="63"/>
        <v>-25.99718423169751</v>
      </c>
      <c r="L742" s="746">
        <f t="shared" si="60"/>
        <v>-25.99718423169751</v>
      </c>
      <c r="M742" s="278" t="str">
        <f t="shared" si="64"/>
        <v>QALY</v>
      </c>
      <c r="N742" s="326">
        <f t="shared" si="65"/>
        <v>2.1428571428571401</v>
      </c>
      <c r="O742" s="278" t="s">
        <v>718</v>
      </c>
      <c r="P742" s="278" t="str">
        <f t="shared" si="66"/>
        <v>Recently published values, geographically relevant, quoted in ENCA</v>
      </c>
      <c r="Q742" s="299">
        <f t="shared" si="69"/>
        <v>120</v>
      </c>
      <c r="R742" s="299" t="str">
        <f t="shared" si="70"/>
        <v>ONS (2024) UK Natural Capital Accounts: 2024 - detailed summary tables</v>
      </c>
      <c r="S742" s="299" t="str">
        <f t="shared" si="71"/>
        <v>ENCA</v>
      </c>
      <c r="T742" s="299">
        <f t="shared" si="72"/>
        <v>2024</v>
      </c>
      <c r="U742" s="299" t="str">
        <f t="shared" si="73"/>
        <v>UK</v>
      </c>
      <c r="V742" s="299" t="str">
        <f t="shared" si="74"/>
        <v>UK</v>
      </c>
      <c r="W742" s="299" t="str">
        <f t="shared" si="75"/>
        <v>/</v>
      </c>
    </row>
    <row r="743" spans="2:23">
      <c r="B743" s="302" t="s">
        <v>2814</v>
      </c>
      <c r="C743" s="278" t="s">
        <v>2645</v>
      </c>
      <c r="D743" s="278" t="s">
        <v>610</v>
      </c>
      <c r="E743" s="278" t="s">
        <v>455</v>
      </c>
      <c r="F743" s="299">
        <f t="shared" si="68"/>
        <v>2024</v>
      </c>
      <c r="G743" s="278">
        <v>2023</v>
      </c>
      <c r="H743" s="278">
        <f>'COMPANY INPUT'!$C$16</f>
        <v>2023</v>
      </c>
      <c r="I743" s="278">
        <f>VLOOKUP(G743,'GDP Deflators'!$H$13:$I$86,2,FALSE)</f>
        <v>100</v>
      </c>
      <c r="J743" s="278">
        <f>VLOOKUP(H743,'GDP Deflators'!$H$13:$I$86,2,FALSE)</f>
        <v>100</v>
      </c>
      <c r="K743" s="297">
        <f t="shared" si="63"/>
        <v>-17.331456154465005</v>
      </c>
      <c r="L743" s="746">
        <f t="shared" si="60"/>
        <v>-17.331456154465005</v>
      </c>
      <c r="M743" s="278" t="str">
        <f t="shared" si="64"/>
        <v>QALY</v>
      </c>
      <c r="N743" s="326">
        <f t="shared" si="65"/>
        <v>2.1428571428571401</v>
      </c>
      <c r="O743" s="278" t="s">
        <v>718</v>
      </c>
      <c r="P743" s="278" t="str">
        <f t="shared" si="66"/>
        <v>Recently published values, geographically relevant, quoted in ENCA</v>
      </c>
      <c r="Q743" s="299">
        <f t="shared" si="69"/>
        <v>120</v>
      </c>
      <c r="R743" s="299" t="str">
        <f t="shared" si="70"/>
        <v>ONS (2024) UK Natural Capital Accounts: 2024 - detailed summary tables</v>
      </c>
      <c r="S743" s="299" t="str">
        <f t="shared" si="71"/>
        <v>ENCA</v>
      </c>
      <c r="T743" s="299">
        <f t="shared" si="72"/>
        <v>2024</v>
      </c>
      <c r="U743" s="299" t="str">
        <f t="shared" si="73"/>
        <v>UK</v>
      </c>
      <c r="V743" s="299" t="str">
        <f t="shared" si="74"/>
        <v>UK</v>
      </c>
      <c r="W743" s="299" t="str">
        <f t="shared" si="75"/>
        <v>/</v>
      </c>
    </row>
    <row r="744" spans="2:23">
      <c r="B744" s="302" t="s">
        <v>2815</v>
      </c>
      <c r="C744" s="278" t="s">
        <v>2645</v>
      </c>
      <c r="D744" s="278" t="s">
        <v>611</v>
      </c>
      <c r="E744" s="278" t="s">
        <v>455</v>
      </c>
      <c r="F744" s="299">
        <f t="shared" si="68"/>
        <v>2024</v>
      </c>
      <c r="G744" s="278">
        <v>2023</v>
      </c>
      <c r="H744" s="278">
        <f>'COMPANY INPUT'!$C$16</f>
        <v>2023</v>
      </c>
      <c r="I744" s="278">
        <f>VLOOKUP(G744,'GDP Deflators'!$H$13:$I$86,2,FALSE)</f>
        <v>100</v>
      </c>
      <c r="J744" s="278">
        <f>VLOOKUP(H744,'GDP Deflators'!$H$13:$I$86,2,FALSE)</f>
        <v>100</v>
      </c>
      <c r="K744" s="297">
        <f t="shared" si="63"/>
        <v>-10.21331636980492</v>
      </c>
      <c r="L744" s="746">
        <f t="shared" si="60"/>
        <v>-10.21331636980492</v>
      </c>
      <c r="M744" s="278" t="str">
        <f t="shared" si="64"/>
        <v>QALY</v>
      </c>
      <c r="N744" s="326">
        <f t="shared" si="65"/>
        <v>2.1428571428571401</v>
      </c>
      <c r="O744" s="278" t="s">
        <v>718</v>
      </c>
      <c r="P744" s="278" t="str">
        <f t="shared" si="66"/>
        <v>Recently published values, geographically relevant, quoted in ENCA</v>
      </c>
      <c r="Q744" s="299">
        <f t="shared" si="69"/>
        <v>120</v>
      </c>
      <c r="R744" s="299" t="str">
        <f t="shared" si="70"/>
        <v>ONS (2024) UK Natural Capital Accounts: 2024 - detailed summary tables</v>
      </c>
      <c r="S744" s="299" t="str">
        <f t="shared" si="71"/>
        <v>ENCA</v>
      </c>
      <c r="T744" s="299">
        <f t="shared" si="72"/>
        <v>2024</v>
      </c>
      <c r="U744" s="299" t="str">
        <f t="shared" si="73"/>
        <v>UK</v>
      </c>
      <c r="V744" s="299" t="str">
        <f t="shared" si="74"/>
        <v>UK</v>
      </c>
      <c r="W744" s="299" t="str">
        <f t="shared" si="75"/>
        <v>/</v>
      </c>
    </row>
    <row r="745" spans="2:23">
      <c r="B745" s="302" t="s">
        <v>2816</v>
      </c>
      <c r="C745" s="278" t="s">
        <v>2645</v>
      </c>
      <c r="D745" s="278" t="s">
        <v>612</v>
      </c>
      <c r="E745" s="278" t="s">
        <v>455</v>
      </c>
      <c r="F745" s="299">
        <f t="shared" si="68"/>
        <v>2024</v>
      </c>
      <c r="G745" s="278">
        <v>2023</v>
      </c>
      <c r="H745" s="278">
        <f>'COMPANY INPUT'!$C$16</f>
        <v>2023</v>
      </c>
      <c r="I745" s="278">
        <f>VLOOKUP(G745,'GDP Deflators'!$H$13:$I$86,2,FALSE)</f>
        <v>100</v>
      </c>
      <c r="J745" s="278">
        <f>VLOOKUP(H745,'GDP Deflators'!$H$13:$I$86,2,FALSE)</f>
        <v>100</v>
      </c>
      <c r="K745" s="297">
        <f t="shared" si="63"/>
        <v>-7.6599872773536894</v>
      </c>
      <c r="L745" s="746">
        <f t="shared" si="60"/>
        <v>-7.6599872773536894</v>
      </c>
      <c r="M745" s="278" t="str">
        <f t="shared" si="64"/>
        <v>QALY</v>
      </c>
      <c r="N745" s="326">
        <f t="shared" si="65"/>
        <v>2.1428571428571401</v>
      </c>
      <c r="O745" s="278" t="s">
        <v>718</v>
      </c>
      <c r="P745" s="278" t="str">
        <f t="shared" si="66"/>
        <v>Recently published values, geographically relevant, quoted in ENCA</v>
      </c>
      <c r="Q745" s="299">
        <f t="shared" si="69"/>
        <v>120</v>
      </c>
      <c r="R745" s="299" t="str">
        <f t="shared" si="70"/>
        <v>ONS (2024) UK Natural Capital Accounts: 2024 - detailed summary tables</v>
      </c>
      <c r="S745" s="299" t="str">
        <f t="shared" si="71"/>
        <v>ENCA</v>
      </c>
      <c r="T745" s="299">
        <f t="shared" si="72"/>
        <v>2024</v>
      </c>
      <c r="U745" s="299" t="str">
        <f t="shared" si="73"/>
        <v>UK</v>
      </c>
      <c r="V745" s="299" t="str">
        <f t="shared" si="74"/>
        <v>UK</v>
      </c>
      <c r="W745" s="299" t="str">
        <f t="shared" si="75"/>
        <v>/</v>
      </c>
    </row>
    <row r="746" spans="2:23">
      <c r="B746" s="302" t="s">
        <v>2817</v>
      </c>
      <c r="C746" s="278" t="s">
        <v>2645</v>
      </c>
      <c r="D746" s="278" t="s">
        <v>613</v>
      </c>
      <c r="E746" s="278" t="s">
        <v>455</v>
      </c>
      <c r="F746" s="299">
        <f t="shared" si="68"/>
        <v>2024</v>
      </c>
      <c r="G746" s="278">
        <v>2023</v>
      </c>
      <c r="H746" s="278">
        <f>'COMPANY INPUT'!$C$16</f>
        <v>2023</v>
      </c>
      <c r="I746" s="278">
        <f>VLOOKUP(G746,'GDP Deflators'!$H$13:$I$86,2,FALSE)</f>
        <v>100</v>
      </c>
      <c r="J746" s="278">
        <f>VLOOKUP(H746,'GDP Deflators'!$H$13:$I$86,2,FALSE)</f>
        <v>100</v>
      </c>
      <c r="K746" s="297">
        <f t="shared" si="63"/>
        <v>-5.1066581849024599</v>
      </c>
      <c r="L746" s="746">
        <f t="shared" si="60"/>
        <v>-5.1066581849024599</v>
      </c>
      <c r="M746" s="278" t="str">
        <f t="shared" si="64"/>
        <v>QALY</v>
      </c>
      <c r="N746" s="326">
        <f t="shared" si="65"/>
        <v>2.1428571428571401</v>
      </c>
      <c r="O746" s="278" t="s">
        <v>718</v>
      </c>
      <c r="P746" s="278" t="str">
        <f t="shared" si="66"/>
        <v>Recently published values, geographically relevant, quoted in ENCA</v>
      </c>
      <c r="Q746" s="299">
        <f t="shared" si="69"/>
        <v>120</v>
      </c>
      <c r="R746" s="299" t="str">
        <f t="shared" si="70"/>
        <v>ONS (2024) UK Natural Capital Accounts: 2024 - detailed summary tables</v>
      </c>
      <c r="S746" s="299" t="str">
        <f t="shared" si="71"/>
        <v>ENCA</v>
      </c>
      <c r="T746" s="299">
        <f t="shared" si="72"/>
        <v>2024</v>
      </c>
      <c r="U746" s="299" t="str">
        <f t="shared" si="73"/>
        <v>UK</v>
      </c>
      <c r="V746" s="299" t="str">
        <f t="shared" si="74"/>
        <v>UK</v>
      </c>
      <c r="W746" s="299" t="str">
        <f t="shared" si="75"/>
        <v>/</v>
      </c>
    </row>
    <row r="747" spans="2:23">
      <c r="B747" s="302" t="s">
        <v>2818</v>
      </c>
      <c r="C747" s="278" t="s">
        <v>2645</v>
      </c>
      <c r="D747" s="278" t="s">
        <v>614</v>
      </c>
      <c r="E747" s="278" t="s">
        <v>455</v>
      </c>
      <c r="F747" s="299">
        <f t="shared" si="68"/>
        <v>2024</v>
      </c>
      <c r="G747" s="278">
        <v>2023</v>
      </c>
      <c r="H747" s="278">
        <f>'COMPANY INPUT'!$C$16</f>
        <v>2023</v>
      </c>
      <c r="I747" s="278">
        <f>VLOOKUP(G747,'GDP Deflators'!$H$13:$I$86,2,FALSE)</f>
        <v>100</v>
      </c>
      <c r="J747" s="278">
        <f>VLOOKUP(H747,'GDP Deflators'!$H$13:$I$86,2,FALSE)</f>
        <v>100</v>
      </c>
      <c r="K747" s="297">
        <f t="shared" si="63"/>
        <v>-10.21331636980492</v>
      </c>
      <c r="L747" s="746">
        <f t="shared" si="60"/>
        <v>-10.21331636980492</v>
      </c>
      <c r="M747" s="278" t="str">
        <f t="shared" si="64"/>
        <v>QALY</v>
      </c>
      <c r="N747" s="326">
        <f t="shared" si="65"/>
        <v>2.1428571428571401</v>
      </c>
      <c r="O747" s="278" t="s">
        <v>718</v>
      </c>
      <c r="P747" s="278" t="str">
        <f t="shared" si="66"/>
        <v>Recently published values, geographically relevant, quoted in ENCA</v>
      </c>
      <c r="Q747" s="299">
        <f t="shared" si="69"/>
        <v>120</v>
      </c>
      <c r="R747" s="299" t="str">
        <f t="shared" si="70"/>
        <v>ONS (2024) UK Natural Capital Accounts: 2024 - detailed summary tables</v>
      </c>
      <c r="S747" s="299" t="str">
        <f t="shared" si="71"/>
        <v>ENCA</v>
      </c>
      <c r="T747" s="299">
        <f t="shared" si="72"/>
        <v>2024</v>
      </c>
      <c r="U747" s="299" t="str">
        <f t="shared" si="73"/>
        <v>UK</v>
      </c>
      <c r="V747" s="299" t="str">
        <f t="shared" si="74"/>
        <v>UK</v>
      </c>
      <c r="W747" s="299" t="str">
        <f t="shared" si="75"/>
        <v>/</v>
      </c>
    </row>
    <row r="748" spans="2:23">
      <c r="B748" s="302" t="s">
        <v>2819</v>
      </c>
      <c r="C748" s="278" t="s">
        <v>2645</v>
      </c>
      <c r="D748" s="278" t="s">
        <v>615</v>
      </c>
      <c r="E748" s="278" t="s">
        <v>455</v>
      </c>
      <c r="F748" s="299">
        <f t="shared" si="68"/>
        <v>2024</v>
      </c>
      <c r="G748" s="278">
        <v>2023</v>
      </c>
      <c r="H748" s="278">
        <f>'COMPANY INPUT'!$C$16</f>
        <v>2023</v>
      </c>
      <c r="I748" s="278">
        <f>VLOOKUP(G748,'GDP Deflators'!$H$13:$I$86,2,FALSE)</f>
        <v>100</v>
      </c>
      <c r="J748" s="278">
        <f>VLOOKUP(H748,'GDP Deflators'!$H$13:$I$86,2,FALSE)</f>
        <v>100</v>
      </c>
      <c r="K748" s="297">
        <f t="shared" si="63"/>
        <v>-7.6599872773536894</v>
      </c>
      <c r="L748" s="746">
        <f t="shared" si="60"/>
        <v>-7.6599872773536894</v>
      </c>
      <c r="M748" s="278" t="str">
        <f t="shared" si="64"/>
        <v>QALY</v>
      </c>
      <c r="N748" s="326">
        <f t="shared" si="65"/>
        <v>2.1428571428571401</v>
      </c>
      <c r="O748" s="278" t="s">
        <v>718</v>
      </c>
      <c r="P748" s="278" t="str">
        <f t="shared" si="66"/>
        <v>Recently published values, geographically relevant, quoted in ENCA</v>
      </c>
      <c r="Q748" s="299">
        <f t="shared" si="69"/>
        <v>120</v>
      </c>
      <c r="R748" s="299" t="str">
        <f t="shared" si="70"/>
        <v>ONS (2024) UK Natural Capital Accounts: 2024 - detailed summary tables</v>
      </c>
      <c r="S748" s="299" t="str">
        <f t="shared" si="71"/>
        <v>ENCA</v>
      </c>
      <c r="T748" s="299">
        <f t="shared" si="72"/>
        <v>2024</v>
      </c>
      <c r="U748" s="299" t="str">
        <f t="shared" si="73"/>
        <v>UK</v>
      </c>
      <c r="V748" s="299" t="str">
        <f t="shared" si="74"/>
        <v>UK</v>
      </c>
      <c r="W748" s="299" t="str">
        <f t="shared" si="75"/>
        <v>/</v>
      </c>
    </row>
    <row r="749" spans="2:23">
      <c r="B749" s="302" t="s">
        <v>2820</v>
      </c>
      <c r="C749" s="278" t="s">
        <v>2645</v>
      </c>
      <c r="D749" s="278" t="s">
        <v>616</v>
      </c>
      <c r="E749" s="278" t="s">
        <v>455</v>
      </c>
      <c r="F749" s="299">
        <f t="shared" si="68"/>
        <v>2024</v>
      </c>
      <c r="G749" s="278">
        <v>2023</v>
      </c>
      <c r="H749" s="278">
        <f>'COMPANY INPUT'!$C$16</f>
        <v>2023</v>
      </c>
      <c r="I749" s="278">
        <f>VLOOKUP(G749,'GDP Deflators'!$H$13:$I$86,2,FALSE)</f>
        <v>100</v>
      </c>
      <c r="J749" s="278">
        <f>VLOOKUP(H749,'GDP Deflators'!$H$13:$I$86,2,FALSE)</f>
        <v>100</v>
      </c>
      <c r="K749" s="297">
        <f t="shared" si="63"/>
        <v>-5.1066581849024599</v>
      </c>
      <c r="L749" s="746">
        <f t="shared" si="60"/>
        <v>-5.1066581849024599</v>
      </c>
      <c r="M749" s="278" t="str">
        <f t="shared" si="64"/>
        <v>QALY</v>
      </c>
      <c r="N749" s="326">
        <f t="shared" si="65"/>
        <v>2.1428571428571401</v>
      </c>
      <c r="O749" s="278" t="s">
        <v>718</v>
      </c>
      <c r="P749" s="278" t="str">
        <f t="shared" si="66"/>
        <v>Recently published values, geographically relevant, quoted in ENCA</v>
      </c>
      <c r="Q749" s="299">
        <f t="shared" si="69"/>
        <v>120</v>
      </c>
      <c r="R749" s="299" t="str">
        <f t="shared" si="70"/>
        <v>ONS (2024) UK Natural Capital Accounts: 2024 - detailed summary tables</v>
      </c>
      <c r="S749" s="299" t="str">
        <f t="shared" si="71"/>
        <v>ENCA</v>
      </c>
      <c r="T749" s="299">
        <f t="shared" si="72"/>
        <v>2024</v>
      </c>
      <c r="U749" s="299" t="str">
        <f t="shared" si="73"/>
        <v>UK</v>
      </c>
      <c r="V749" s="299" t="str">
        <f t="shared" si="74"/>
        <v>UK</v>
      </c>
      <c r="W749" s="299" t="str">
        <f t="shared" si="75"/>
        <v>/</v>
      </c>
    </row>
    <row r="750" spans="2:23">
      <c r="B750" s="302" t="s">
        <v>2821</v>
      </c>
      <c r="C750" s="278" t="s">
        <v>2645</v>
      </c>
      <c r="D750" s="278" t="s">
        <v>617</v>
      </c>
      <c r="E750" s="278" t="s">
        <v>455</v>
      </c>
      <c r="F750" s="299">
        <f t="shared" si="68"/>
        <v>2024</v>
      </c>
      <c r="G750" s="278">
        <v>2023</v>
      </c>
      <c r="H750" s="278">
        <f>'COMPANY INPUT'!$C$16</f>
        <v>2023</v>
      </c>
      <c r="I750" s="278">
        <f>VLOOKUP(G750,'GDP Deflators'!$H$13:$I$86,2,FALSE)</f>
        <v>100</v>
      </c>
      <c r="J750" s="278">
        <f>VLOOKUP(H750,'GDP Deflators'!$H$13:$I$86,2,FALSE)</f>
        <v>100</v>
      </c>
      <c r="K750" s="297">
        <f t="shared" si="63"/>
        <v>-151.92592592592595</v>
      </c>
      <c r="L750" s="746">
        <f t="shared" si="60"/>
        <v>-151.92592592592595</v>
      </c>
      <c r="M750" s="278" t="str">
        <f t="shared" si="64"/>
        <v>QALY</v>
      </c>
      <c r="N750" s="326">
        <f t="shared" si="65"/>
        <v>2.1428571428571401</v>
      </c>
      <c r="O750" s="278" t="s">
        <v>718</v>
      </c>
      <c r="P750" s="278" t="str">
        <f t="shared" si="66"/>
        <v>Recently published values, geographically relevant, quoted in ENCA</v>
      </c>
      <c r="Q750" s="299">
        <f t="shared" si="69"/>
        <v>120</v>
      </c>
      <c r="R750" s="299" t="str">
        <f t="shared" si="70"/>
        <v>ONS (2024) UK Natural Capital Accounts: 2024 - detailed summary tables</v>
      </c>
      <c r="S750" s="299" t="str">
        <f t="shared" si="71"/>
        <v>ENCA</v>
      </c>
      <c r="T750" s="299">
        <f t="shared" si="72"/>
        <v>2024</v>
      </c>
      <c r="U750" s="299" t="str">
        <f t="shared" si="73"/>
        <v>UK</v>
      </c>
      <c r="V750" s="299" t="str">
        <f t="shared" si="74"/>
        <v>UK</v>
      </c>
      <c r="W750" s="299" t="str">
        <f t="shared" si="75"/>
        <v>/</v>
      </c>
    </row>
    <row r="751" spans="2:23">
      <c r="B751" s="302" t="s">
        <v>2822</v>
      </c>
      <c r="C751" s="278" t="s">
        <v>2645</v>
      </c>
      <c r="D751" s="278" t="s">
        <v>618</v>
      </c>
      <c r="E751" s="278" t="s">
        <v>455</v>
      </c>
      <c r="F751" s="299">
        <f t="shared" si="68"/>
        <v>2024</v>
      </c>
      <c r="G751" s="278">
        <v>2023</v>
      </c>
      <c r="H751" s="278">
        <f>'COMPANY INPUT'!$C$16</f>
        <v>2023</v>
      </c>
      <c r="I751" s="278">
        <f>VLOOKUP(G751,'GDP Deflators'!$H$13:$I$86,2,FALSE)</f>
        <v>100</v>
      </c>
      <c r="J751" s="278">
        <f>VLOOKUP(H751,'GDP Deflators'!$H$13:$I$86,2,FALSE)</f>
        <v>100</v>
      </c>
      <c r="K751" s="297">
        <f t="shared" si="63"/>
        <v>-113.94444444444446</v>
      </c>
      <c r="L751" s="746">
        <f t="shared" si="60"/>
        <v>-113.94444444444446</v>
      </c>
      <c r="M751" s="278" t="str">
        <f t="shared" si="64"/>
        <v>QALY</v>
      </c>
      <c r="N751" s="326">
        <f t="shared" si="65"/>
        <v>2.1428571428571401</v>
      </c>
      <c r="O751" s="278" t="s">
        <v>718</v>
      </c>
      <c r="P751" s="278" t="str">
        <f t="shared" si="66"/>
        <v>Recently published values, geographically relevant, quoted in ENCA</v>
      </c>
      <c r="Q751" s="299">
        <f t="shared" si="69"/>
        <v>120</v>
      </c>
      <c r="R751" s="299" t="str">
        <f t="shared" si="70"/>
        <v>ONS (2024) UK Natural Capital Accounts: 2024 - detailed summary tables</v>
      </c>
      <c r="S751" s="299" t="str">
        <f t="shared" si="71"/>
        <v>ENCA</v>
      </c>
      <c r="T751" s="299">
        <f t="shared" si="72"/>
        <v>2024</v>
      </c>
      <c r="U751" s="299" t="str">
        <f t="shared" si="73"/>
        <v>UK</v>
      </c>
      <c r="V751" s="299" t="str">
        <f t="shared" si="74"/>
        <v>UK</v>
      </c>
      <c r="W751" s="299" t="str">
        <f t="shared" si="75"/>
        <v>/</v>
      </c>
    </row>
    <row r="752" spans="2:23">
      <c r="B752" s="302" t="s">
        <v>2823</v>
      </c>
      <c r="C752" s="278" t="s">
        <v>2645</v>
      </c>
      <c r="D752" s="278" t="s">
        <v>619</v>
      </c>
      <c r="E752" s="278" t="s">
        <v>455</v>
      </c>
      <c r="F752" s="299">
        <f t="shared" si="68"/>
        <v>2024</v>
      </c>
      <c r="G752" s="278">
        <v>2023</v>
      </c>
      <c r="H752" s="278">
        <f>'COMPANY INPUT'!$C$16</f>
        <v>2023</v>
      </c>
      <c r="I752" s="278">
        <f>VLOOKUP(G752,'GDP Deflators'!$H$13:$I$86,2,FALSE)</f>
        <v>100</v>
      </c>
      <c r="J752" s="278">
        <f>VLOOKUP(H752,'GDP Deflators'!$H$13:$I$86,2,FALSE)</f>
        <v>100</v>
      </c>
      <c r="K752" s="297">
        <f t="shared" si="63"/>
        <v>-75.962962962962976</v>
      </c>
      <c r="L752" s="746">
        <f t="shared" si="60"/>
        <v>-75.962962962962976</v>
      </c>
      <c r="M752" s="278" t="str">
        <f t="shared" si="64"/>
        <v>QALY</v>
      </c>
      <c r="N752" s="326">
        <f t="shared" si="65"/>
        <v>2.1428571428571401</v>
      </c>
      <c r="O752" s="278" t="s">
        <v>718</v>
      </c>
      <c r="P752" s="278" t="str">
        <f t="shared" si="66"/>
        <v>Recently published values, geographically relevant, quoted in ENCA</v>
      </c>
      <c r="Q752" s="299">
        <f t="shared" si="69"/>
        <v>120</v>
      </c>
      <c r="R752" s="299" t="str">
        <f t="shared" si="70"/>
        <v>ONS (2024) UK Natural Capital Accounts: 2024 - detailed summary tables</v>
      </c>
      <c r="S752" s="299" t="str">
        <f t="shared" si="71"/>
        <v>ENCA</v>
      </c>
      <c r="T752" s="299">
        <f t="shared" si="72"/>
        <v>2024</v>
      </c>
      <c r="U752" s="299" t="str">
        <f t="shared" si="73"/>
        <v>UK</v>
      </c>
      <c r="V752" s="299" t="str">
        <f t="shared" si="74"/>
        <v>UK</v>
      </c>
      <c r="W752" s="299" t="str">
        <f t="shared" si="75"/>
        <v>/</v>
      </c>
    </row>
    <row r="754" spans="1:10">
      <c r="A754" s="721"/>
      <c r="B754" s="722" t="s">
        <v>456</v>
      </c>
      <c r="C754" s="721"/>
      <c r="D754" s="721"/>
      <c r="E754" s="721"/>
      <c r="F754" s="721"/>
      <c r="G754" s="721"/>
      <c r="H754" s="721"/>
      <c r="I754" s="721"/>
      <c r="J754" s="721"/>
    </row>
    <row r="755" spans="1:10">
      <c r="A755" s="727"/>
      <c r="B755" s="729" t="s">
        <v>897</v>
      </c>
      <c r="C755" s="727"/>
      <c r="D755" s="727"/>
      <c r="E755" s="727"/>
      <c r="F755" s="727"/>
      <c r="G755" s="727"/>
      <c r="H755" s="727"/>
      <c r="I755" s="727"/>
      <c r="J755" s="727"/>
    </row>
    <row r="756" spans="1:10">
      <c r="B756" s="277" t="s">
        <v>898</v>
      </c>
      <c r="C756" s="277" t="s">
        <v>899</v>
      </c>
    </row>
    <row r="757" spans="1:10">
      <c r="B757" s="278" t="s">
        <v>456</v>
      </c>
      <c r="C757" s="278" t="s">
        <v>2824</v>
      </c>
    </row>
    <row r="758" spans="1:10">
      <c r="B758" s="16"/>
    </row>
    <row r="759" spans="1:10">
      <c r="A759" s="727"/>
      <c r="B759" s="728" t="s">
        <v>2825</v>
      </c>
      <c r="C759" s="727"/>
      <c r="D759" s="727"/>
      <c r="E759" s="727"/>
      <c r="F759" s="727"/>
      <c r="G759" s="727"/>
      <c r="H759" s="727"/>
      <c r="I759" s="727"/>
      <c r="J759" s="727"/>
    </row>
    <row r="760" spans="1:10">
      <c r="A760" s="725"/>
      <c r="B760" s="726" t="s">
        <v>912</v>
      </c>
      <c r="C760" s="725"/>
      <c r="D760" s="725"/>
      <c r="E760" s="725"/>
      <c r="F760" s="725"/>
      <c r="G760" s="725"/>
      <c r="H760" s="725"/>
      <c r="I760" s="725"/>
      <c r="J760" s="725"/>
    </row>
    <row r="761" spans="1:10" ht="29.1">
      <c r="B761" s="719" t="s">
        <v>913</v>
      </c>
      <c r="C761" s="719" t="s">
        <v>914</v>
      </c>
      <c r="D761" s="719" t="s">
        <v>915</v>
      </c>
      <c r="E761" s="719" t="s">
        <v>916</v>
      </c>
      <c r="F761" s="719" t="s">
        <v>917</v>
      </c>
      <c r="G761" s="719" t="s">
        <v>918</v>
      </c>
      <c r="H761" s="719" t="s">
        <v>919</v>
      </c>
    </row>
    <row r="762" spans="1:10">
      <c r="B762" s="278">
        <v>40</v>
      </c>
      <c r="C762" s="278" t="s">
        <v>2826</v>
      </c>
      <c r="D762" s="278" t="s">
        <v>1182</v>
      </c>
      <c r="E762" s="278">
        <v>2021</v>
      </c>
      <c r="F762" s="278" t="s">
        <v>1047</v>
      </c>
      <c r="G762" s="278" t="s">
        <v>1047</v>
      </c>
      <c r="H762" s="278" t="s">
        <v>906</v>
      </c>
    </row>
    <row r="763" spans="1:10">
      <c r="B763" s="16"/>
    </row>
    <row r="764" spans="1:10">
      <c r="A764" s="725"/>
      <c r="B764" s="726" t="s">
        <v>924</v>
      </c>
      <c r="C764" s="725"/>
      <c r="D764" s="725"/>
      <c r="E764" s="725"/>
      <c r="F764" s="725"/>
      <c r="G764" s="725"/>
      <c r="H764" s="725"/>
      <c r="I764" s="725"/>
      <c r="J764" s="725"/>
    </row>
    <row r="765" spans="1:10">
      <c r="B765" s="277" t="s">
        <v>165</v>
      </c>
      <c r="C765" s="277" t="s">
        <v>925</v>
      </c>
      <c r="D765" s="277" t="s">
        <v>926</v>
      </c>
      <c r="E765" s="1134" t="s">
        <v>927</v>
      </c>
      <c r="F765" s="1134"/>
      <c r="G765" s="1134"/>
      <c r="H765" s="1134"/>
      <c r="I765" s="1134"/>
      <c r="J765" s="1134"/>
    </row>
    <row r="766" spans="1:10">
      <c r="B766" s="278" t="s">
        <v>169</v>
      </c>
      <c r="C766" s="278" t="s">
        <v>166</v>
      </c>
      <c r="D766" s="278">
        <f>VLOOKUP(C766,METHODOLOGY!$C$175:$D$177,2,FALSE)</f>
        <v>3</v>
      </c>
      <c r="E766" s="1087" t="str">
        <f>_xlfn.XLOOKUP(C766,METHODOLOGY!$E$150:$O$150,METHODOLOGY!$E$151:$O$151,"",0,1)</f>
        <v>Monetary values have been peer reviewed or are recommended / referenced in other, well recognised and accepted guidance / tools relevant to the water sector.</v>
      </c>
      <c r="F766" s="1087"/>
      <c r="G766" s="1087"/>
      <c r="H766" s="1087"/>
      <c r="I766" s="1087"/>
      <c r="J766" s="1087"/>
    </row>
    <row r="767" spans="1:10">
      <c r="B767" s="278" t="s">
        <v>173</v>
      </c>
      <c r="C767" s="278" t="s">
        <v>166</v>
      </c>
      <c r="D767" s="278">
        <f>VLOOKUP(C767,METHODOLOGY!$C$175:$D$177,2,FALSE)</f>
        <v>3</v>
      </c>
      <c r="E767" s="1087" t="str">
        <f>_xlfn.XLOOKUP(C767,METHODOLOGY!$E$150:$O$150,METHODOLOGY!$E$155:$O$155,"",0,1)</f>
        <v>Study has few limitations and is considered robust.</v>
      </c>
      <c r="F767" s="1087"/>
      <c r="G767" s="1087"/>
      <c r="H767" s="1087"/>
      <c r="I767" s="1087"/>
      <c r="J767" s="1087"/>
    </row>
    <row r="768" spans="1:10">
      <c r="B768" s="278" t="s">
        <v>177</v>
      </c>
      <c r="C768" s="278" t="s">
        <v>166</v>
      </c>
      <c r="D768" s="278">
        <f>VLOOKUP(C768,METHODOLOGY!$C$175:$D$177,2,FALSE)</f>
        <v>3</v>
      </c>
      <c r="E768" s="1087" t="str">
        <f>_xlfn.XLOOKUP(C768,METHODOLOGY!$E$150:$O$150,METHODOLOGY!$E$158:$O$158,"",0,1)</f>
        <v>0 – 5 years</v>
      </c>
      <c r="F768" s="1087"/>
      <c r="G768" s="1087"/>
      <c r="H768" s="1087"/>
      <c r="I768" s="1087"/>
      <c r="J768" s="1087"/>
    </row>
    <row r="769" spans="1:10">
      <c r="B769" s="278" t="s">
        <v>181</v>
      </c>
      <c r="C769" s="278" t="s">
        <v>166</v>
      </c>
      <c r="D769" s="278">
        <f>VLOOKUP(C769,METHODOLOGY!$C$175:$D$177,2,FALSE)</f>
        <v>3</v>
      </c>
      <c r="E769" s="1087" t="str">
        <f>_xlfn.XLOOKUP(C769,METHODOLOGY!$E$150:$O$150,METHODOLOGY!$E$160:$O$160,"",0,1)</f>
        <v>Geographically relevant to UK</v>
      </c>
      <c r="F769" s="1087"/>
      <c r="G769" s="1087"/>
      <c r="H769" s="1087"/>
      <c r="I769" s="1087"/>
      <c r="J769" s="1087"/>
    </row>
    <row r="770" spans="1:10">
      <c r="B770" s="278" t="s">
        <v>928</v>
      </c>
      <c r="C770" s="278" t="s">
        <v>166</v>
      </c>
      <c r="D770" s="278">
        <f>VLOOKUP(C770,METHODOLOGY!$C$175:$D$177,2,FALSE)</f>
        <v>3</v>
      </c>
      <c r="E770" s="1087" t="str">
        <f>_xlfn.XLOOKUP(C770,METHODOLOGY!$E$150:$O$150,METHODOLOGY!$E162:$O162,"",0,1)</f>
        <v>Clear understanding of the valuation method and how the value should be applied.</v>
      </c>
      <c r="F770" s="1087"/>
      <c r="G770" s="1087"/>
      <c r="H770" s="1087"/>
      <c r="I770" s="1087"/>
      <c r="J770" s="1087"/>
    </row>
    <row r="771" spans="1:10">
      <c r="B771" s="278" t="s">
        <v>189</v>
      </c>
      <c r="C771" s="278" t="s">
        <v>168</v>
      </c>
      <c r="D771" s="278">
        <f>VLOOKUP(C771,METHODOLOGY!$C$175:$D$177,2,FALSE)</f>
        <v>1</v>
      </c>
      <c r="E771" s="1087" t="str">
        <f>_xlfn.XLOOKUP(C771,METHODOLOGY!$E$150:$O$150,METHODOLOGY!$E$164:$O$164,"",0,1)</f>
        <v xml:space="preserve">The original valuation can be used with significant modification e.g. several additional data inputs are required to use the original source. The calculation is complex or introduces significant uncertainty. </v>
      </c>
      <c r="F771" s="1087"/>
      <c r="G771" s="1087"/>
      <c r="H771" s="1087"/>
      <c r="I771" s="1087"/>
      <c r="J771" s="1087"/>
    </row>
    <row r="772" spans="1:10">
      <c r="C772" s="282" t="s">
        <v>924</v>
      </c>
      <c r="D772" s="326">
        <f>IF(AND(D771=1,AVERAGE(D766:D771)&gt;2.14285714285714),2.14285714285714,IF(AND(D771=2,AVERAGE(D766:D771)&gt;2.57142857142857),2.57142857142857,AVERAGE(D766:D771)))</f>
        <v>2.1428571428571401</v>
      </c>
      <c r="E772" s="270" t="str">
        <f>IF(D772&lt;=2.14285714285714,"Red",IF(D772&lt;=2.57142857142857,"Amber",IF(D772&lt;=3,"Green")))</f>
        <v>Red</v>
      </c>
    </row>
    <row r="774" spans="1:10">
      <c r="A774" s="725"/>
      <c r="B774" s="726" t="s">
        <v>929</v>
      </c>
      <c r="C774" s="725"/>
      <c r="D774" s="725"/>
      <c r="E774" s="725"/>
      <c r="F774" s="725"/>
      <c r="G774" s="725"/>
      <c r="H774" s="725"/>
      <c r="I774" s="725"/>
      <c r="J774" s="725"/>
    </row>
    <row r="776" spans="1:10">
      <c r="B776" s="332" t="s">
        <v>2827</v>
      </c>
      <c r="C776" s="982"/>
      <c r="D776" s="982"/>
      <c r="E776" s="982"/>
      <c r="F776" s="982"/>
      <c r="G776" s="982"/>
      <c r="H776" s="982"/>
      <c r="I776" s="982"/>
      <c r="J776" s="983"/>
    </row>
    <row r="777" spans="1:10" ht="29.1">
      <c r="B777" s="981" t="s">
        <v>913</v>
      </c>
      <c r="C777" s="981" t="s">
        <v>2770</v>
      </c>
      <c r="D777" s="981" t="s">
        <v>2828</v>
      </c>
      <c r="E777" s="1392" t="s">
        <v>2829</v>
      </c>
      <c r="F777" s="1393"/>
      <c r="G777" s="1394"/>
      <c r="H777" s="1392" t="s">
        <v>2830</v>
      </c>
      <c r="I777" s="1393"/>
      <c r="J777" s="1394"/>
    </row>
    <row r="778" spans="1:10">
      <c r="B778" s="1259">
        <v>27</v>
      </c>
      <c r="C778" s="1262" t="s">
        <v>2680</v>
      </c>
      <c r="D778" s="278">
        <v>-5.4</v>
      </c>
      <c r="E778" s="1219" t="s">
        <v>2831</v>
      </c>
      <c r="F778" s="1220"/>
      <c r="G778" s="1221"/>
      <c r="H778" s="1378" t="s">
        <v>2832</v>
      </c>
      <c r="I778" s="1279"/>
      <c r="J778" s="1280"/>
    </row>
    <row r="779" spans="1:10">
      <c r="B779" s="1260"/>
      <c r="C779" s="1263"/>
      <c r="D779" s="278">
        <v>-5.5</v>
      </c>
      <c r="E779" s="1219" t="s">
        <v>2833</v>
      </c>
      <c r="F779" s="1220"/>
      <c r="G779" s="1221"/>
      <c r="H779" s="1379"/>
      <c r="I779" s="1282"/>
      <c r="J779" s="1283"/>
    </row>
    <row r="780" spans="1:10">
      <c r="B780" s="1260"/>
      <c r="C780" s="1263"/>
      <c r="D780" s="278">
        <v>-4.5999999999999996</v>
      </c>
      <c r="E780" s="1219" t="s">
        <v>2834</v>
      </c>
      <c r="F780" s="1220"/>
      <c r="G780" s="1221"/>
      <c r="H780" s="1379"/>
      <c r="I780" s="1282"/>
      <c r="J780" s="1283"/>
    </row>
    <row r="781" spans="1:10">
      <c r="B781" s="1260"/>
      <c r="C781" s="1263"/>
      <c r="D781" s="278">
        <v>-3.9</v>
      </c>
      <c r="E781" s="1219" t="s">
        <v>2835</v>
      </c>
      <c r="F781" s="1220"/>
      <c r="G781" s="1221"/>
      <c r="H781" s="1379"/>
      <c r="I781" s="1282"/>
      <c r="J781" s="1283"/>
    </row>
    <row r="782" spans="1:10">
      <c r="B782" s="1260"/>
      <c r="C782" s="1263"/>
      <c r="D782" s="278">
        <v>-4.5</v>
      </c>
      <c r="E782" s="1219" t="s">
        <v>2836</v>
      </c>
      <c r="F782" s="1220"/>
      <c r="G782" s="1221"/>
      <c r="H782" s="1379"/>
      <c r="I782" s="1282"/>
      <c r="J782" s="1283"/>
    </row>
    <row r="783" spans="1:10">
      <c r="B783" s="1260"/>
      <c r="C783" s="1263"/>
      <c r="D783" s="278">
        <v>-5</v>
      </c>
      <c r="E783" s="1219" t="s">
        <v>2837</v>
      </c>
      <c r="F783" s="1220"/>
      <c r="G783" s="1221"/>
      <c r="H783" s="1379"/>
      <c r="I783" s="1282"/>
      <c r="J783" s="1283"/>
    </row>
    <row r="784" spans="1:10">
      <c r="B784" s="1260"/>
      <c r="C784" s="1263"/>
      <c r="D784" s="278">
        <v>-8.6999999999999993</v>
      </c>
      <c r="E784" s="1219" t="s">
        <v>2838</v>
      </c>
      <c r="F784" s="1220"/>
      <c r="G784" s="1221"/>
      <c r="H784" s="1379"/>
      <c r="I784" s="1282"/>
      <c r="J784" s="1283"/>
    </row>
    <row r="785" spans="2:12">
      <c r="B785" s="1260"/>
      <c r="C785" s="1263"/>
      <c r="D785" s="278">
        <v>-3.6</v>
      </c>
      <c r="E785" s="1219" t="s">
        <v>2839</v>
      </c>
      <c r="F785" s="1220"/>
      <c r="G785" s="1221"/>
      <c r="H785" s="1379"/>
      <c r="I785" s="1282"/>
      <c r="J785" s="1283"/>
    </row>
    <row r="786" spans="2:12">
      <c r="B786" s="1260"/>
      <c r="C786" s="1263"/>
      <c r="D786" s="278">
        <v>-6.3</v>
      </c>
      <c r="E786" s="1219" t="s">
        <v>2840</v>
      </c>
      <c r="F786" s="1220"/>
      <c r="G786" s="1221"/>
      <c r="H786" s="1379"/>
      <c r="I786" s="1282"/>
      <c r="J786" s="1283"/>
    </row>
    <row r="787" spans="2:12">
      <c r="B787" s="1260"/>
      <c r="C787" s="1263"/>
      <c r="D787" s="278">
        <v>-10.6</v>
      </c>
      <c r="E787" s="1219" t="s">
        <v>2841</v>
      </c>
      <c r="F787" s="1220"/>
      <c r="G787" s="1221"/>
      <c r="H787" s="1379"/>
      <c r="I787" s="1282"/>
      <c r="J787" s="1283"/>
    </row>
    <row r="788" spans="2:12">
      <c r="B788" s="1260"/>
      <c r="C788" s="1263"/>
      <c r="D788" s="278">
        <v>-7</v>
      </c>
      <c r="E788" s="1219" t="s">
        <v>2842</v>
      </c>
      <c r="F788" s="1220"/>
      <c r="G788" s="1221"/>
      <c r="H788" s="1379"/>
      <c r="I788" s="1282"/>
      <c r="J788" s="1283"/>
    </row>
    <row r="789" spans="2:12">
      <c r="B789" s="1261"/>
      <c r="C789" s="1264"/>
      <c r="D789" s="278">
        <v>-7</v>
      </c>
      <c r="E789" s="1219" t="s">
        <v>2843</v>
      </c>
      <c r="F789" s="1220"/>
      <c r="G789" s="1221"/>
      <c r="H789" s="1380"/>
      <c r="I789" s="1285"/>
      <c r="J789" s="1286"/>
    </row>
    <row r="791" spans="2:12" ht="29.1">
      <c r="B791" s="298" t="s">
        <v>913</v>
      </c>
      <c r="C791" s="298" t="s">
        <v>2770</v>
      </c>
      <c r="D791" s="298" t="s">
        <v>2828</v>
      </c>
      <c r="E791" s="1159" t="s">
        <v>930</v>
      </c>
      <c r="F791" s="1160"/>
      <c r="G791" s="1161"/>
      <c r="H791" s="298" t="s">
        <v>2844</v>
      </c>
      <c r="I791" s="1170" t="s">
        <v>2845</v>
      </c>
      <c r="J791" s="1170"/>
      <c r="K791" s="1170"/>
      <c r="L791" s="1170"/>
    </row>
    <row r="792" spans="2:12">
      <c r="B792" s="299">
        <v>2</v>
      </c>
      <c r="C792" s="299" t="s">
        <v>2680</v>
      </c>
      <c r="D792" s="379" t="s">
        <v>2846</v>
      </c>
      <c r="E792" s="1416"/>
      <c r="F792" s="1417"/>
      <c r="G792" s="1418"/>
      <c r="H792" s="376"/>
      <c r="I792" s="1105" t="s">
        <v>2847</v>
      </c>
      <c r="J792" s="1105"/>
      <c r="K792" s="1105"/>
      <c r="L792" s="1105"/>
    </row>
    <row r="793" spans="2:12">
      <c r="B793" s="299">
        <v>123</v>
      </c>
      <c r="C793" s="299" t="s">
        <v>2680</v>
      </c>
      <c r="D793" s="379" t="s">
        <v>2848</v>
      </c>
      <c r="E793" s="299" t="s">
        <v>2849</v>
      </c>
      <c r="F793" s="299"/>
      <c r="G793" s="299"/>
      <c r="H793" s="376"/>
      <c r="I793" s="1105"/>
      <c r="J793" s="1105"/>
      <c r="K793" s="1105"/>
      <c r="L793" s="1105"/>
    </row>
    <row r="794" spans="2:12" ht="29.1" customHeight="1">
      <c r="B794" s="299">
        <v>27</v>
      </c>
      <c r="C794" s="299" t="s">
        <v>2680</v>
      </c>
      <c r="D794" s="379">
        <f>AVERAGE(D778:D789)</f>
        <v>-6.0083333333333329</v>
      </c>
      <c r="E794" s="1381" t="s">
        <v>2850</v>
      </c>
      <c r="F794" s="1382"/>
      <c r="G794" s="1092"/>
      <c r="H794" s="376" t="s">
        <v>718</v>
      </c>
      <c r="I794" s="1381" t="s">
        <v>2851</v>
      </c>
      <c r="J794" s="1382"/>
      <c r="K794" s="1382"/>
      <c r="L794" s="1092"/>
    </row>
    <row r="795" spans="2:12">
      <c r="B795" s="377">
        <v>121</v>
      </c>
      <c r="C795" s="377" t="s">
        <v>2603</v>
      </c>
      <c r="D795" s="378">
        <v>-0.107</v>
      </c>
      <c r="E795" s="1419"/>
      <c r="F795" s="1420"/>
      <c r="G795" s="1421"/>
      <c r="H795" s="378"/>
      <c r="I795" s="1441" t="s">
        <v>2852</v>
      </c>
      <c r="J795" s="1441"/>
      <c r="K795" s="1441"/>
      <c r="L795" s="1441"/>
    </row>
    <row r="796" spans="2:12">
      <c r="B796" s="377">
        <v>123</v>
      </c>
      <c r="C796" s="377" t="s">
        <v>2603</v>
      </c>
      <c r="D796" s="378">
        <v>0</v>
      </c>
      <c r="E796" s="1419" t="s">
        <v>2853</v>
      </c>
      <c r="F796" s="1420"/>
      <c r="G796" s="1421"/>
      <c r="H796" s="378" t="s">
        <v>718</v>
      </c>
      <c r="I796" s="1441"/>
      <c r="J796" s="1441"/>
      <c r="K796" s="1441"/>
      <c r="L796" s="1441"/>
    </row>
    <row r="797" spans="2:12">
      <c r="B797" s="377">
        <v>123</v>
      </c>
      <c r="C797" s="377" t="s">
        <v>2603</v>
      </c>
      <c r="D797" s="378">
        <v>0.28999999999999998</v>
      </c>
      <c r="E797" s="1419" t="s">
        <v>2854</v>
      </c>
      <c r="F797" s="1420"/>
      <c r="G797" s="1421"/>
      <c r="H797" s="378" t="s">
        <v>718</v>
      </c>
      <c r="I797" s="1441"/>
      <c r="J797" s="1441"/>
      <c r="K797" s="1441"/>
      <c r="L797" s="1441"/>
    </row>
    <row r="798" spans="2:12">
      <c r="B798" s="377">
        <v>123</v>
      </c>
      <c r="C798" s="377" t="s">
        <v>2603</v>
      </c>
      <c r="D798" s="378">
        <v>0.7</v>
      </c>
      <c r="E798" s="1419" t="s">
        <v>2855</v>
      </c>
      <c r="F798" s="1420"/>
      <c r="G798" s="1421"/>
      <c r="H798" s="378" t="s">
        <v>718</v>
      </c>
      <c r="I798" s="1441"/>
      <c r="J798" s="1441"/>
      <c r="K798" s="1441"/>
      <c r="L798" s="1441"/>
    </row>
    <row r="799" spans="2:12">
      <c r="B799" s="299">
        <v>122</v>
      </c>
      <c r="C799" s="299" t="s">
        <v>2856</v>
      </c>
      <c r="D799" s="376">
        <v>-0.36</v>
      </c>
      <c r="E799" s="1416" t="s">
        <v>2857</v>
      </c>
      <c r="F799" s="1417"/>
      <c r="G799" s="1418"/>
      <c r="H799" s="376" t="s">
        <v>718</v>
      </c>
      <c r="I799" s="1105" t="s">
        <v>2858</v>
      </c>
      <c r="J799" s="1105"/>
      <c r="K799" s="1105"/>
      <c r="L799" s="1105"/>
    </row>
    <row r="800" spans="2:12">
      <c r="B800" s="299">
        <v>122</v>
      </c>
      <c r="C800" s="299" t="s">
        <v>2856</v>
      </c>
      <c r="D800" s="376">
        <v>3.32</v>
      </c>
      <c r="E800" s="1416" t="s">
        <v>2859</v>
      </c>
      <c r="F800" s="1417"/>
      <c r="G800" s="1418"/>
      <c r="H800" s="376" t="s">
        <v>718</v>
      </c>
      <c r="I800" s="1105"/>
      <c r="J800" s="1105"/>
      <c r="K800" s="1105"/>
      <c r="L800" s="1105"/>
    </row>
    <row r="801" spans="1:12">
      <c r="B801" s="299">
        <v>122</v>
      </c>
      <c r="C801" s="299" t="s">
        <v>2856</v>
      </c>
      <c r="D801" s="376">
        <v>17.72</v>
      </c>
      <c r="E801" s="1416" t="s">
        <v>2860</v>
      </c>
      <c r="F801" s="1417"/>
      <c r="G801" s="1418"/>
      <c r="H801" s="376" t="s">
        <v>718</v>
      </c>
      <c r="I801" s="1105"/>
      <c r="J801" s="1105"/>
      <c r="K801" s="1105"/>
      <c r="L801" s="1105"/>
    </row>
    <row r="802" spans="1:12">
      <c r="B802" s="377">
        <v>121</v>
      </c>
      <c r="C802" s="377" t="s">
        <v>2861</v>
      </c>
      <c r="D802" s="380" t="s">
        <v>2862</v>
      </c>
      <c r="E802" s="1419"/>
      <c r="F802" s="1420"/>
      <c r="G802" s="1421"/>
      <c r="H802" s="378"/>
      <c r="I802" s="1441" t="s">
        <v>2852</v>
      </c>
      <c r="J802" s="1441"/>
      <c r="K802" s="1441"/>
      <c r="L802" s="1441"/>
    </row>
    <row r="803" spans="1:12">
      <c r="B803" s="377">
        <v>123</v>
      </c>
      <c r="C803" s="377" t="s">
        <v>2861</v>
      </c>
      <c r="D803" s="380" t="s">
        <v>2863</v>
      </c>
      <c r="E803" s="1419" t="s">
        <v>2864</v>
      </c>
      <c r="F803" s="1420"/>
      <c r="G803" s="1421"/>
      <c r="H803" s="378" t="s">
        <v>718</v>
      </c>
      <c r="I803" s="1441"/>
      <c r="J803" s="1441"/>
      <c r="K803" s="1441"/>
      <c r="L803" s="1441"/>
    </row>
    <row r="804" spans="1:12">
      <c r="B804" s="299">
        <v>121</v>
      </c>
      <c r="C804" s="299" t="s">
        <v>2865</v>
      </c>
      <c r="D804" s="379" t="s">
        <v>2866</v>
      </c>
      <c r="E804" s="1416"/>
      <c r="F804" s="1417"/>
      <c r="G804" s="1418"/>
      <c r="H804" s="376"/>
      <c r="I804" s="1442" t="s">
        <v>2867</v>
      </c>
      <c r="J804" s="1442"/>
      <c r="K804" s="1442"/>
      <c r="L804" s="1442"/>
    </row>
    <row r="805" spans="1:12">
      <c r="B805" s="377">
        <v>123</v>
      </c>
      <c r="C805" s="377" t="s">
        <v>2868</v>
      </c>
      <c r="D805" s="380" t="s">
        <v>2869</v>
      </c>
      <c r="E805" s="1419" t="s">
        <v>2870</v>
      </c>
      <c r="F805" s="1420"/>
      <c r="G805" s="1421"/>
      <c r="H805" s="378" t="s">
        <v>718</v>
      </c>
      <c r="I805" s="1441" t="s">
        <v>2871</v>
      </c>
      <c r="J805" s="1441"/>
      <c r="K805" s="1441"/>
      <c r="L805" s="1441"/>
    </row>
    <row r="806" spans="1:12" ht="25.5" customHeight="1">
      <c r="B806" s="299">
        <v>123</v>
      </c>
      <c r="C806" s="299" t="s">
        <v>2872</v>
      </c>
      <c r="D806" s="379" t="s">
        <v>2873</v>
      </c>
      <c r="E806" s="1416" t="s">
        <v>2874</v>
      </c>
      <c r="F806" s="1417"/>
      <c r="G806" s="1418"/>
      <c r="H806" s="376" t="s">
        <v>718</v>
      </c>
      <c r="I806" s="1442" t="s">
        <v>2871</v>
      </c>
      <c r="J806" s="1442"/>
      <c r="K806" s="1442"/>
      <c r="L806" s="1442"/>
    </row>
    <row r="808" spans="1:12">
      <c r="B808" s="285" t="s">
        <v>953</v>
      </c>
      <c r="C808" s="285" t="s">
        <v>2875</v>
      </c>
    </row>
    <row r="809" spans="1:12">
      <c r="B809" s="278" t="s">
        <v>2876</v>
      </c>
      <c r="C809" s="297">
        <f ca="1">'Carbon values'!$H$16</f>
        <v>376</v>
      </c>
    </row>
    <row r="811" spans="1:12">
      <c r="A811" s="725"/>
      <c r="B811" s="726" t="s">
        <v>936</v>
      </c>
      <c r="C811" s="725"/>
      <c r="D811" s="725"/>
      <c r="E811" s="725"/>
      <c r="F811" s="725"/>
      <c r="G811" s="725"/>
      <c r="H811" s="725"/>
      <c r="I811" s="725"/>
      <c r="J811" s="725"/>
    </row>
    <row r="812" spans="1:12">
      <c r="B812" s="298" t="s">
        <v>902</v>
      </c>
      <c r="C812" s="298" t="s">
        <v>2877</v>
      </c>
      <c r="D812" s="280" t="s">
        <v>1420</v>
      </c>
    </row>
    <row r="813" spans="1:12">
      <c r="B813" s="383" t="s">
        <v>589</v>
      </c>
      <c r="C813" s="931">
        <f ca="1">D794*C809</f>
        <v>-2259.1333333333332</v>
      </c>
      <c r="D813" s="1103" t="s">
        <v>2878</v>
      </c>
    </row>
    <row r="814" spans="1:12">
      <c r="B814" s="383" t="s">
        <v>591</v>
      </c>
      <c r="C814" s="931">
        <f ca="1">C813*0.75</f>
        <v>-1694.35</v>
      </c>
      <c r="D814" s="1104"/>
    </row>
    <row r="815" spans="1:12">
      <c r="B815" s="383" t="s">
        <v>592</v>
      </c>
      <c r="C815" s="931">
        <f ca="1">C813*0.5</f>
        <v>-1129.5666666666666</v>
      </c>
      <c r="D815" s="1104"/>
    </row>
    <row r="816" spans="1:12">
      <c r="B816" s="382" t="s">
        <v>593</v>
      </c>
      <c r="C816" s="932">
        <f ca="1">D806*C809</f>
        <v>-6061.1200000000008</v>
      </c>
      <c r="D816" s="1104"/>
    </row>
    <row r="817" spans="2:4">
      <c r="B817" s="382" t="s">
        <v>594</v>
      </c>
      <c r="C817" s="932">
        <f ca="1">C816*0.75</f>
        <v>-4545.84</v>
      </c>
      <c r="D817" s="1104"/>
    </row>
    <row r="818" spans="2:4">
      <c r="B818" s="382" t="s">
        <v>595</v>
      </c>
      <c r="C818" s="932">
        <f ca="1">C816*0.5</f>
        <v>-3030.5600000000004</v>
      </c>
      <c r="D818" s="1104"/>
    </row>
    <row r="819" spans="2:4">
      <c r="B819" s="383" t="s">
        <v>596</v>
      </c>
      <c r="C819" s="931">
        <f ca="1">D803*C809</f>
        <v>-597.84</v>
      </c>
      <c r="D819" s="1104"/>
    </row>
    <row r="820" spans="2:4">
      <c r="B820" s="383" t="s">
        <v>597</v>
      </c>
      <c r="C820" s="931">
        <f ca="1">C819*0.75</f>
        <v>-448.38</v>
      </c>
      <c r="D820" s="1104"/>
    </row>
    <row r="821" spans="2:4">
      <c r="B821" s="383" t="s">
        <v>598</v>
      </c>
      <c r="C821" s="931">
        <f ca="1">C819*0.5</f>
        <v>-298.92</v>
      </c>
      <c r="D821" s="1104"/>
    </row>
    <row r="822" spans="2:4">
      <c r="B822" s="382" t="s">
        <v>599</v>
      </c>
      <c r="C822" s="932">
        <f ca="1">D794*C809</f>
        <v>-2259.1333333333332</v>
      </c>
      <c r="D822" s="1104"/>
    </row>
    <row r="823" spans="2:4">
      <c r="B823" s="382" t="s">
        <v>600</v>
      </c>
      <c r="C823" s="933">
        <f ca="1">C822*0.75</f>
        <v>-1694.35</v>
      </c>
      <c r="D823" s="1104"/>
    </row>
    <row r="824" spans="2:4">
      <c r="B824" s="382" t="s">
        <v>601</v>
      </c>
      <c r="C824" s="933">
        <f ca="1">C822*0.5</f>
        <v>-1129.5666666666666</v>
      </c>
      <c r="D824" s="1104"/>
    </row>
    <row r="825" spans="2:4">
      <c r="B825" s="383" t="s">
        <v>602</v>
      </c>
      <c r="C825" s="934">
        <f ca="1">D806*C809</f>
        <v>-6061.1200000000008</v>
      </c>
      <c r="D825" s="1104"/>
    </row>
    <row r="826" spans="2:4">
      <c r="B826" s="383" t="s">
        <v>603</v>
      </c>
      <c r="C826" s="934">
        <f ca="1">C825*0.75</f>
        <v>-4545.84</v>
      </c>
      <c r="D826" s="1104"/>
    </row>
    <row r="827" spans="2:4">
      <c r="B827" s="383" t="s">
        <v>604</v>
      </c>
      <c r="C827" s="934">
        <f ca="1">C825*0.5</f>
        <v>-3030.5600000000004</v>
      </c>
      <c r="D827" s="1104"/>
    </row>
    <row r="828" spans="2:4">
      <c r="B828" s="382" t="s">
        <v>605</v>
      </c>
      <c r="C828" s="933">
        <f ca="1">D803*C809</f>
        <v>-597.84</v>
      </c>
      <c r="D828" s="1104"/>
    </row>
    <row r="829" spans="2:4">
      <c r="B829" s="382" t="s">
        <v>606</v>
      </c>
      <c r="C829" s="932">
        <f ca="1">C828*0.75</f>
        <v>-448.38</v>
      </c>
      <c r="D829" s="1104"/>
    </row>
    <row r="830" spans="2:4">
      <c r="B830" s="382" t="s">
        <v>607</v>
      </c>
      <c r="C830" s="932">
        <f ca="1">C828*0.5</f>
        <v>-298.92</v>
      </c>
      <c r="D830" s="1104"/>
    </row>
    <row r="831" spans="2:4">
      <c r="B831" s="383" t="s">
        <v>609</v>
      </c>
      <c r="C831" s="934">
        <f ca="1">D797*$C$809</f>
        <v>109.03999999999999</v>
      </c>
      <c r="D831" s="1104"/>
    </row>
    <row r="832" spans="2:4">
      <c r="B832" s="383" t="s">
        <v>610</v>
      </c>
      <c r="C832" s="934">
        <f ca="1">D798*$C$809</f>
        <v>263.2</v>
      </c>
      <c r="D832" s="1104"/>
    </row>
    <row r="833" spans="1:10">
      <c r="B833" s="382" t="s">
        <v>611</v>
      </c>
      <c r="C833" s="933">
        <f ca="1">D804*C809</f>
        <v>-253.8</v>
      </c>
      <c r="D833" s="1104"/>
    </row>
    <row r="834" spans="1:10">
      <c r="B834" s="382" t="s">
        <v>612</v>
      </c>
      <c r="C834" s="933">
        <f ca="1">C833*0.75</f>
        <v>-190.35000000000002</v>
      </c>
      <c r="D834" s="1104"/>
    </row>
    <row r="835" spans="1:10">
      <c r="B835" s="382" t="s">
        <v>613</v>
      </c>
      <c r="C835" s="933">
        <f ca="1">C833*0.5</f>
        <v>-126.9</v>
      </c>
      <c r="D835" s="1104"/>
    </row>
    <row r="836" spans="1:10">
      <c r="B836" s="383" t="s">
        <v>614</v>
      </c>
      <c r="C836" s="934">
        <f ca="1">D799*$C$809</f>
        <v>-135.35999999999999</v>
      </c>
      <c r="D836" s="1104"/>
    </row>
    <row r="837" spans="1:10">
      <c r="B837" s="383" t="s">
        <v>615</v>
      </c>
      <c r="C837" s="934">
        <f ca="1">D800*$C$809</f>
        <v>1248.32</v>
      </c>
      <c r="D837" s="1104"/>
    </row>
    <row r="838" spans="1:10">
      <c r="B838" s="383" t="s">
        <v>616</v>
      </c>
      <c r="C838" s="934">
        <f ca="1">D801*$C$809</f>
        <v>6662.7199999999993</v>
      </c>
      <c r="D838" s="1104"/>
    </row>
    <row r="839" spans="1:10">
      <c r="B839" s="382" t="s">
        <v>617</v>
      </c>
      <c r="C839" s="933">
        <f ca="1">D805*C809</f>
        <v>-744.48</v>
      </c>
      <c r="D839" s="1104"/>
    </row>
    <row r="840" spans="1:10">
      <c r="B840" s="382" t="s">
        <v>618</v>
      </c>
      <c r="C840" s="933">
        <f ca="1">C839*0.75</f>
        <v>-558.36</v>
      </c>
      <c r="D840" s="1104"/>
    </row>
    <row r="841" spans="1:10">
      <c r="B841" s="382" t="s">
        <v>619</v>
      </c>
      <c r="C841" s="933">
        <f ca="1">C839*0.5</f>
        <v>-372.24</v>
      </c>
      <c r="D841" s="1094"/>
    </row>
    <row r="843" spans="1:10">
      <c r="A843" s="727"/>
      <c r="B843" s="728" t="s">
        <v>2879</v>
      </c>
      <c r="C843" s="727"/>
      <c r="D843" s="727"/>
      <c r="E843" s="727"/>
      <c r="F843" s="727"/>
      <c r="G843" s="727"/>
      <c r="H843" s="727"/>
      <c r="I843" s="727"/>
      <c r="J843" s="727"/>
    </row>
    <row r="844" spans="1:10">
      <c r="A844" s="725"/>
      <c r="B844" s="726" t="s">
        <v>912</v>
      </c>
      <c r="C844" s="725"/>
      <c r="D844" s="725"/>
      <c r="E844" s="725"/>
      <c r="F844" s="725"/>
      <c r="G844" s="725"/>
      <c r="H844" s="725"/>
      <c r="I844" s="725"/>
      <c r="J844" s="725"/>
    </row>
    <row r="845" spans="1:10" ht="29.1">
      <c r="B845" s="719" t="s">
        <v>913</v>
      </c>
      <c r="C845" s="719" t="s">
        <v>914</v>
      </c>
      <c r="D845" s="719" t="s">
        <v>915</v>
      </c>
      <c r="E845" s="719" t="s">
        <v>916</v>
      </c>
      <c r="F845" s="719" t="s">
        <v>917</v>
      </c>
      <c r="G845" s="719" t="s">
        <v>918</v>
      </c>
      <c r="H845" s="719" t="s">
        <v>919</v>
      </c>
    </row>
    <row r="846" spans="1:10">
      <c r="B846" s="278">
        <v>116</v>
      </c>
      <c r="C846" s="278" t="s">
        <v>2623</v>
      </c>
      <c r="D846" s="279" t="s">
        <v>907</v>
      </c>
      <c r="E846" s="278">
        <v>2021</v>
      </c>
      <c r="F846" s="278" t="s">
        <v>1047</v>
      </c>
      <c r="G846" s="278" t="s">
        <v>1047</v>
      </c>
      <c r="H846" s="279" t="s">
        <v>907</v>
      </c>
    </row>
    <row r="847" spans="1:10">
      <c r="B847" s="16"/>
    </row>
    <row r="848" spans="1:10">
      <c r="A848" s="725"/>
      <c r="B848" s="726" t="s">
        <v>924</v>
      </c>
      <c r="C848" s="725"/>
      <c r="D848" s="725"/>
      <c r="E848" s="725"/>
      <c r="F848" s="725"/>
      <c r="G848" s="725"/>
      <c r="H848" s="725"/>
      <c r="I848" s="725"/>
      <c r="J848" s="725"/>
    </row>
    <row r="849" spans="1:10">
      <c r="B849" s="277" t="s">
        <v>165</v>
      </c>
      <c r="C849" s="277" t="s">
        <v>925</v>
      </c>
      <c r="D849" s="277" t="s">
        <v>926</v>
      </c>
      <c r="E849" s="1134" t="s">
        <v>953</v>
      </c>
      <c r="F849" s="1134"/>
      <c r="G849" s="1134"/>
      <c r="H849" s="1134"/>
      <c r="I849" s="1134"/>
      <c r="J849" s="1134"/>
    </row>
    <row r="850" spans="1:10">
      <c r="B850" s="278" t="s">
        <v>169</v>
      </c>
      <c r="C850" s="278" t="s">
        <v>167</v>
      </c>
      <c r="D850" s="278">
        <f>VLOOKUP(C850,METHODOLOGY!$C$175:$D$177,2,FALSE)</f>
        <v>2</v>
      </c>
      <c r="E850" s="1087" t="str">
        <f>_xlfn.XLOOKUP(C850,METHODOLOGY!$E$150:$O$150,METHODOLOGY!$E$151:$O$151,"",0,1)</f>
        <v>The monetary values are recommended / referenced in other, well recognised and accepted guidance / tools relevant to another sector.</v>
      </c>
      <c r="F850" s="1087"/>
      <c r="G850" s="1087"/>
      <c r="H850" s="1087"/>
      <c r="I850" s="1087"/>
      <c r="J850" s="1087"/>
    </row>
    <row r="851" spans="1:10">
      <c r="B851" s="278" t="s">
        <v>173</v>
      </c>
      <c r="C851" s="278" t="s">
        <v>166</v>
      </c>
      <c r="D851" s="278">
        <f>VLOOKUP(C851,METHODOLOGY!$C$175:$D$177,2,FALSE)</f>
        <v>3</v>
      </c>
      <c r="E851" s="1087" t="str">
        <f>_xlfn.XLOOKUP(C851,METHODOLOGY!$E$150:$O$150,METHODOLOGY!$E$155:$O$155,"",0,1)</f>
        <v>Study has few limitations and is considered robust.</v>
      </c>
      <c r="F851" s="1087"/>
      <c r="G851" s="1087"/>
      <c r="H851" s="1087"/>
      <c r="I851" s="1087"/>
      <c r="J851" s="1087"/>
    </row>
    <row r="852" spans="1:10">
      <c r="B852" s="278" t="s">
        <v>177</v>
      </c>
      <c r="C852" s="278" t="s">
        <v>166</v>
      </c>
      <c r="D852" s="278">
        <f>VLOOKUP(C852,METHODOLOGY!$C$175:$D$177,2,FALSE)</f>
        <v>3</v>
      </c>
      <c r="E852" s="1087" t="str">
        <f>_xlfn.XLOOKUP(C852,METHODOLOGY!$E$150:$O$150,METHODOLOGY!$E$158:$O$158,"",0,1)</f>
        <v>0 – 5 years</v>
      </c>
      <c r="F852" s="1087"/>
      <c r="G852" s="1087"/>
      <c r="H852" s="1087"/>
      <c r="I852" s="1087"/>
      <c r="J852" s="1087"/>
    </row>
    <row r="853" spans="1:10">
      <c r="B853" s="278" t="s">
        <v>181</v>
      </c>
      <c r="C853" s="278" t="s">
        <v>166</v>
      </c>
      <c r="D853" s="278">
        <f>VLOOKUP(C853,METHODOLOGY!$C$175:$D$177,2,FALSE)</f>
        <v>3</v>
      </c>
      <c r="E853" s="1087" t="str">
        <f>_xlfn.XLOOKUP(C853,METHODOLOGY!$E$150:$O$150,METHODOLOGY!$E$160:$O$160,"",0,1)</f>
        <v>Geographically relevant to UK</v>
      </c>
      <c r="F853" s="1087"/>
      <c r="G853" s="1087"/>
      <c r="H853" s="1087"/>
      <c r="I853" s="1087"/>
      <c r="J853" s="1087"/>
    </row>
    <row r="854" spans="1:10">
      <c r="B854" s="278" t="s">
        <v>928</v>
      </c>
      <c r="C854" s="278" t="s">
        <v>166</v>
      </c>
      <c r="D854" s="278">
        <f>VLOOKUP(C854,METHODOLOGY!$C$175:$D$177,2,FALSE)</f>
        <v>3</v>
      </c>
      <c r="E854" s="1087" t="str">
        <f>_xlfn.XLOOKUP(C854,METHODOLOGY!$E$150:$O$150,METHODOLOGY!$E162:$O162,"",0,1)</f>
        <v>Clear understanding of the valuation method and how the value should be applied.</v>
      </c>
      <c r="F854" s="1087"/>
      <c r="G854" s="1087"/>
      <c r="H854" s="1087"/>
      <c r="I854" s="1087"/>
      <c r="J854" s="1087"/>
    </row>
    <row r="855" spans="1:10">
      <c r="B855" s="278" t="s">
        <v>189</v>
      </c>
      <c r="C855" s="278" t="s">
        <v>167</v>
      </c>
      <c r="D855" s="278">
        <f>VLOOKUP(C855,METHODOLOGY!$C$175:$D$177,2,FALSE)</f>
        <v>2</v>
      </c>
      <c r="E855" s="1087" t="str">
        <f>_xlfn.XLOOKUP(C855,METHODOLOGY!$E$150:$O$150,METHODOLOGY!$E$164:$O$164,"",0,1)</f>
        <v xml:space="preserve">The original valuation can be used with some modification e.g. applying household numbers. The calculation is simple or introduces low levels of uncertainty. </v>
      </c>
      <c r="F855" s="1087"/>
      <c r="G855" s="1087"/>
      <c r="H855" s="1087"/>
      <c r="I855" s="1087"/>
      <c r="J855" s="1087"/>
    </row>
    <row r="856" spans="1:10">
      <c r="C856" s="282" t="s">
        <v>924</v>
      </c>
      <c r="D856" s="326">
        <f>IF(AND(D855=1,AVERAGE(D850:D855)&gt;2.14285714285714),2.14285714285714,IF(AND(D855=2,AVERAGE(D850:D855)&gt;2.57142857142857),2.57142857142857,AVERAGE(D850:D855)))</f>
        <v>2.5714285714285698</v>
      </c>
      <c r="E856" s="270" t="str">
        <f>IF(D856&lt;=2.14285714285714,"Red",IF(D856&lt;=2.57142857142857,"Amber",IF(D856&lt;=3,"Green")))</f>
        <v>Amber</v>
      </c>
    </row>
    <row r="858" spans="1:10">
      <c r="A858" s="725"/>
      <c r="B858" s="726" t="s">
        <v>929</v>
      </c>
      <c r="C858" s="725"/>
      <c r="D858" s="725"/>
      <c r="E858" s="725"/>
      <c r="F858" s="725"/>
      <c r="G858" s="725"/>
      <c r="H858" s="725"/>
      <c r="I858" s="725"/>
      <c r="J858" s="725"/>
    </row>
    <row r="859" spans="1:10">
      <c r="B859" s="277" t="s">
        <v>913</v>
      </c>
      <c r="C859" s="277" t="s">
        <v>902</v>
      </c>
      <c r="D859" s="277" t="s">
        <v>331</v>
      </c>
      <c r="E859" s="277" t="s">
        <v>226</v>
      </c>
      <c r="F859" s="1128" t="s">
        <v>930</v>
      </c>
      <c r="G859" s="1129"/>
      <c r="H859" s="1129"/>
      <c r="I859" s="1129"/>
      <c r="J859" s="1130"/>
    </row>
    <row r="860" spans="1:10" ht="32.450000000000003" customHeight="1">
      <c r="B860" s="1387">
        <v>116</v>
      </c>
      <c r="C860" s="278" t="s">
        <v>2624</v>
      </c>
      <c r="D860" s="278">
        <v>37</v>
      </c>
      <c r="E860" s="459" t="s">
        <v>2625</v>
      </c>
      <c r="F860" s="1095" t="s">
        <v>2880</v>
      </c>
      <c r="G860" s="1095"/>
      <c r="H860" s="1095"/>
      <c r="I860" s="1095"/>
      <c r="J860" s="1095"/>
    </row>
    <row r="861" spans="1:10" ht="32.450000000000003" customHeight="1">
      <c r="B861" s="1388"/>
      <c r="C861" s="278" t="s">
        <v>2627</v>
      </c>
      <c r="D861" s="278">
        <v>66</v>
      </c>
      <c r="E861" s="459" t="s">
        <v>2625</v>
      </c>
      <c r="F861" s="1095"/>
      <c r="G861" s="1095"/>
      <c r="H861" s="1095"/>
      <c r="I861" s="1095"/>
      <c r="J861" s="1095"/>
    </row>
    <row r="863" spans="1:10">
      <c r="A863" s="725"/>
      <c r="B863" s="726" t="s">
        <v>936</v>
      </c>
      <c r="C863" s="725"/>
      <c r="D863" s="725"/>
      <c r="E863" s="725"/>
      <c r="F863" s="725"/>
      <c r="G863" s="725"/>
      <c r="H863" s="725"/>
      <c r="I863" s="725"/>
      <c r="J863" s="725"/>
    </row>
    <row r="864" spans="1:10">
      <c r="B864" s="298" t="s">
        <v>902</v>
      </c>
      <c r="C864" s="298" t="s">
        <v>2628</v>
      </c>
      <c r="D864" s="1170" t="s">
        <v>930</v>
      </c>
      <c r="E864" s="1170"/>
      <c r="F864" s="1170"/>
    </row>
    <row r="865" spans="2:6">
      <c r="B865" s="383" t="s">
        <v>2624</v>
      </c>
      <c r="C865" s="604">
        <f>D860</f>
        <v>37</v>
      </c>
      <c r="D865" s="1105" t="s">
        <v>2629</v>
      </c>
      <c r="E865" s="1105"/>
      <c r="F865" s="1105"/>
    </row>
    <row r="866" spans="2:6">
      <c r="B866" s="383" t="s">
        <v>2627</v>
      </c>
      <c r="C866" s="604">
        <f>D861</f>
        <v>66</v>
      </c>
      <c r="D866" s="1105"/>
      <c r="E866" s="1105"/>
      <c r="F866" s="1105"/>
    </row>
    <row r="867" spans="2:6" ht="29.25" customHeight="1">
      <c r="B867" s="334" t="s">
        <v>2630</v>
      </c>
      <c r="C867" s="511">
        <f>AVERAGE(C865:C866)</f>
        <v>51.5</v>
      </c>
      <c r="D867" s="1095" t="s">
        <v>2631</v>
      </c>
      <c r="E867" s="1095"/>
      <c r="F867" s="1095"/>
    </row>
    <row r="887" spans="1:11">
      <c r="A887" s="727"/>
      <c r="B887" s="728" t="s">
        <v>901</v>
      </c>
      <c r="C887" s="727"/>
      <c r="D887" s="727"/>
      <c r="E887" s="727"/>
      <c r="F887" s="727"/>
      <c r="G887" s="727"/>
      <c r="H887" s="727"/>
      <c r="I887" s="727"/>
      <c r="J887" s="727"/>
    </row>
    <row r="888" spans="1:11" ht="29.1">
      <c r="B888" s="719" t="s">
        <v>902</v>
      </c>
      <c r="C888" s="719" t="s">
        <v>898</v>
      </c>
      <c r="D888" s="719" t="s">
        <v>899</v>
      </c>
      <c r="E888" s="719" t="s">
        <v>903</v>
      </c>
      <c r="F888" s="719" t="s">
        <v>904</v>
      </c>
      <c r="G888" s="719" t="s">
        <v>905</v>
      </c>
      <c r="H888" s="719" t="s">
        <v>924</v>
      </c>
      <c r="I888" s="719" t="s">
        <v>956</v>
      </c>
      <c r="J888" s="719" t="s">
        <v>927</v>
      </c>
      <c r="K888" s="719" t="s">
        <v>930</v>
      </c>
    </row>
    <row r="889" spans="1:11">
      <c r="B889" s="278" t="s">
        <v>588</v>
      </c>
      <c r="C889" s="278" t="s">
        <v>456</v>
      </c>
      <c r="D889" s="299" t="s">
        <v>2824</v>
      </c>
      <c r="E889" s="299" t="s">
        <v>2881</v>
      </c>
      <c r="F889" s="278" t="str" cm="1">
        <f t="array" ref="F889">_xlfn.XLOOKUP(1,($D$924:$D$955=B889)*($E$924:$E$955=C889),$B$924:$B$955,"Not found",0,1)</f>
        <v>30-58</v>
      </c>
      <c r="G889" s="300">
        <f t="shared" ref="G889:G920" si="76">VLOOKUP(F889,$B$924:$L$956,11,FALSE)</f>
        <v>-41.671687917350404</v>
      </c>
      <c r="H889" s="1120">
        <f>$D$856</f>
        <v>2.5714285714285698</v>
      </c>
      <c r="I889" s="1167" t="s">
        <v>2761</v>
      </c>
      <c r="J889" s="1167" t="s">
        <v>2762</v>
      </c>
      <c r="K889" s="1095" t="s">
        <v>2787</v>
      </c>
    </row>
    <row r="890" spans="1:11">
      <c r="B890" s="278" t="s">
        <v>585</v>
      </c>
      <c r="C890" s="278" t="s">
        <v>456</v>
      </c>
      <c r="D890" s="299" t="s">
        <v>2824</v>
      </c>
      <c r="E890" s="299" t="s">
        <v>2881</v>
      </c>
      <c r="F890" s="278" t="str" cm="1">
        <f t="array" ref="F890">_xlfn.XLOOKUP(1,($D$924:$D$955=B890)*($E$924:$E$955=C890),$B$924:$B$955,"Not found",0,1)</f>
        <v>30-59</v>
      </c>
      <c r="G890" s="300">
        <f t="shared" si="76"/>
        <v>-74.333281149868284</v>
      </c>
      <c r="H890" s="1121"/>
      <c r="I890" s="1168"/>
      <c r="J890" s="1168"/>
      <c r="K890" s="1095"/>
    </row>
    <row r="891" spans="1:11">
      <c r="B891" s="278" t="s">
        <v>587</v>
      </c>
      <c r="C891" s="278" t="s">
        <v>456</v>
      </c>
      <c r="D891" s="299" t="s">
        <v>2824</v>
      </c>
      <c r="E891" s="299" t="s">
        <v>2881</v>
      </c>
      <c r="F891" s="278" t="str" cm="1">
        <f t="array" ref="F891">_xlfn.XLOOKUP(1,($D$924:$D$955=B891)*($E$924:$E$955=C891),$B$924:$B$955,"Not found",0,1)</f>
        <v>30-60</v>
      </c>
      <c r="G891" s="300">
        <f t="shared" si="76"/>
        <v>-58.002484533609348</v>
      </c>
      <c r="H891" s="1122"/>
      <c r="I891" s="1169"/>
      <c r="J891" s="1169"/>
      <c r="K891" s="1095"/>
    </row>
    <row r="892" spans="1:11">
      <c r="B892" s="278" t="s">
        <v>589</v>
      </c>
      <c r="C892" s="278" t="s">
        <v>456</v>
      </c>
      <c r="D892" s="299" t="s">
        <v>2824</v>
      </c>
      <c r="E892" s="299" t="s">
        <v>2882</v>
      </c>
      <c r="F892" s="278" t="str" cm="1">
        <f t="array" ref="F892">_xlfn.XLOOKUP(1,($D$924:$D$955=B892)*($E$924:$E$955=C892),$B$924:$B$955,"Not found",0,1)</f>
        <v>30-61</v>
      </c>
      <c r="G892" s="300">
        <f t="shared" ca="1" si="76"/>
        <v>-2536.2575101835373</v>
      </c>
      <c r="H892" s="1120">
        <f>$D$772</f>
        <v>2.1428571428571401</v>
      </c>
      <c r="I892" s="1167" t="s">
        <v>2883</v>
      </c>
      <c r="J892" s="1167" t="s">
        <v>2884</v>
      </c>
      <c r="K892" s="1095"/>
    </row>
    <row r="893" spans="1:11">
      <c r="B893" s="278" t="s">
        <v>591</v>
      </c>
      <c r="C893" s="278" t="s">
        <v>456</v>
      </c>
      <c r="D893" s="299" t="s">
        <v>2824</v>
      </c>
      <c r="E893" s="299" t="s">
        <v>2882</v>
      </c>
      <c r="F893" s="278" t="str" cm="1">
        <f t="array" ref="F893">_xlfn.XLOOKUP(1,($D$924:$D$955=B893)*($E$924:$E$955=C893),$B$924:$B$955,"Not found",0,1)</f>
        <v>30-62</v>
      </c>
      <c r="G893" s="300">
        <f t="shared" ca="1" si="76"/>
        <v>-1902.193132637653</v>
      </c>
      <c r="H893" s="1121"/>
      <c r="I893" s="1168"/>
      <c r="J893" s="1168"/>
      <c r="K893" s="1095"/>
    </row>
    <row r="894" spans="1:11">
      <c r="B894" s="278" t="s">
        <v>592</v>
      </c>
      <c r="C894" s="278" t="s">
        <v>456</v>
      </c>
      <c r="D894" s="299" t="s">
        <v>2824</v>
      </c>
      <c r="E894" s="299" t="s">
        <v>2882</v>
      </c>
      <c r="F894" s="278" t="str" cm="1">
        <f t="array" ref="F894">_xlfn.XLOOKUP(1,($D$924:$D$955=B894)*($E$924:$E$955=C894),$B$924:$B$955,"Not found",0,1)</f>
        <v>30-63</v>
      </c>
      <c r="G894" s="300">
        <f t="shared" ca="1" si="76"/>
        <v>-1268.1287550917687</v>
      </c>
      <c r="H894" s="1121"/>
      <c r="I894" s="1168"/>
      <c r="J894" s="1168"/>
      <c r="K894" s="1095"/>
    </row>
    <row r="895" spans="1:11">
      <c r="B895" s="278" t="s">
        <v>593</v>
      </c>
      <c r="C895" s="278" t="s">
        <v>456</v>
      </c>
      <c r="D895" s="299" t="s">
        <v>2824</v>
      </c>
      <c r="E895" s="299" t="s">
        <v>2882</v>
      </c>
      <c r="F895" s="278" t="str" cm="1">
        <f t="array" ref="F895">_xlfn.XLOOKUP(1,($D$924:$D$955=B895)*($E$924:$E$955=C895),$B$924:$B$955,"Not found",0,1)</f>
        <v>30-64</v>
      </c>
      <c r="G895" s="300">
        <f t="shared" ca="1" si="76"/>
        <v>-6804.6276389723107</v>
      </c>
      <c r="H895" s="1121"/>
      <c r="I895" s="1168"/>
      <c r="J895" s="1168"/>
      <c r="K895" s="1095"/>
    </row>
    <row r="896" spans="1:11">
      <c r="B896" s="278" t="s">
        <v>594</v>
      </c>
      <c r="C896" s="278" t="s">
        <v>456</v>
      </c>
      <c r="D896" s="299" t="s">
        <v>2824</v>
      </c>
      <c r="E896" s="299" t="s">
        <v>2882</v>
      </c>
      <c r="F896" s="278" t="str" cm="1">
        <f t="array" ref="F896">_xlfn.XLOOKUP(1,($D$924:$D$955=B896)*($E$924:$E$955=C896),$B$924:$B$955,"Not found",0,1)</f>
        <v>30-65</v>
      </c>
      <c r="G896" s="300">
        <f t="shared" ca="1" si="76"/>
        <v>-5103.4707292292323</v>
      </c>
      <c r="H896" s="1121"/>
      <c r="I896" s="1168"/>
      <c r="J896" s="1168"/>
      <c r="K896" s="1095"/>
    </row>
    <row r="897" spans="2:11">
      <c r="B897" s="278" t="s">
        <v>595</v>
      </c>
      <c r="C897" s="278" t="s">
        <v>456</v>
      </c>
      <c r="D897" s="299" t="s">
        <v>2824</v>
      </c>
      <c r="E897" s="299" t="s">
        <v>2882</v>
      </c>
      <c r="F897" s="278" t="str" cm="1">
        <f t="array" ref="F897">_xlfn.XLOOKUP(1,($D$924:$D$955=B897)*($E$924:$E$955=C897),$B$924:$B$955,"Not found",0,1)</f>
        <v>30-66</v>
      </c>
      <c r="G897" s="300">
        <f t="shared" ca="1" si="76"/>
        <v>-3402.3138194861554</v>
      </c>
      <c r="H897" s="1121"/>
      <c r="I897" s="1168"/>
      <c r="J897" s="1168"/>
      <c r="K897" s="1095"/>
    </row>
    <row r="898" spans="2:11">
      <c r="B898" s="278" t="s">
        <v>596</v>
      </c>
      <c r="C898" s="278" t="s">
        <v>456</v>
      </c>
      <c r="D898" s="299" t="s">
        <v>2824</v>
      </c>
      <c r="E898" s="299" t="s">
        <v>2882</v>
      </c>
      <c r="F898" s="278" t="str" cm="1">
        <f t="array" ref="F898">_xlfn.XLOOKUP(1,($D$924:$D$955=B898)*($E$924:$E$955=C898),$B$924:$B$955,"Not found",0,1)</f>
        <v>30-67</v>
      </c>
      <c r="G898" s="300">
        <f t="shared" ca="1" si="76"/>
        <v>-671.17605123858391</v>
      </c>
      <c r="H898" s="1121"/>
      <c r="I898" s="1168"/>
      <c r="J898" s="1168"/>
      <c r="K898" s="1095"/>
    </row>
    <row r="899" spans="2:11">
      <c r="B899" s="278" t="s">
        <v>597</v>
      </c>
      <c r="C899" s="278" t="s">
        <v>456</v>
      </c>
      <c r="D899" s="299" t="s">
        <v>2824</v>
      </c>
      <c r="E899" s="299" t="s">
        <v>2882</v>
      </c>
      <c r="F899" s="278" t="str" cm="1">
        <f t="array" ref="F899">_xlfn.XLOOKUP(1,($D$924:$D$955=B899)*($E$924:$E$955=C899),$B$924:$B$955,"Not found",0,1)</f>
        <v>30-68</v>
      </c>
      <c r="G899" s="300">
        <f t="shared" ca="1" si="76"/>
        <v>-503.3820384289379</v>
      </c>
      <c r="H899" s="1121"/>
      <c r="I899" s="1168"/>
      <c r="J899" s="1168"/>
      <c r="K899" s="1095"/>
    </row>
    <row r="900" spans="2:11">
      <c r="B900" s="278" t="s">
        <v>598</v>
      </c>
      <c r="C900" s="278" t="s">
        <v>456</v>
      </c>
      <c r="D900" s="299" t="s">
        <v>2824</v>
      </c>
      <c r="E900" s="299" t="s">
        <v>2882</v>
      </c>
      <c r="F900" s="278" t="str" cm="1">
        <f t="array" ref="F900">_xlfn.XLOOKUP(1,($D$924:$D$955=B900)*($E$924:$E$955=C900),$B$924:$B$955,"Not found",0,1)</f>
        <v>30-69</v>
      </c>
      <c r="G900" s="300">
        <f t="shared" ca="1" si="76"/>
        <v>-335.58802561929195</v>
      </c>
      <c r="H900" s="1121"/>
      <c r="I900" s="1168"/>
      <c r="J900" s="1168"/>
      <c r="K900" s="1095"/>
    </row>
    <row r="901" spans="2:11">
      <c r="B901" s="278" t="s">
        <v>599</v>
      </c>
      <c r="C901" s="278" t="s">
        <v>456</v>
      </c>
      <c r="D901" s="299" t="s">
        <v>2824</v>
      </c>
      <c r="E901" s="299" t="s">
        <v>2882</v>
      </c>
      <c r="F901" s="278" t="str" cm="1">
        <f t="array" ref="F901">_xlfn.XLOOKUP(1,($D$924:$D$955=B901)*($E$924:$E$955=C901),$B$924:$B$955,"Not found",0,1)</f>
        <v>30-70</v>
      </c>
      <c r="G901" s="300">
        <f t="shared" ca="1" si="76"/>
        <v>-2536.2575101835373</v>
      </c>
      <c r="H901" s="1121"/>
      <c r="I901" s="1168"/>
      <c r="J901" s="1168"/>
      <c r="K901" s="1095"/>
    </row>
    <row r="902" spans="2:11">
      <c r="B902" s="278" t="s">
        <v>600</v>
      </c>
      <c r="C902" s="278" t="s">
        <v>456</v>
      </c>
      <c r="D902" s="299" t="s">
        <v>2824</v>
      </c>
      <c r="E902" s="299" t="s">
        <v>2882</v>
      </c>
      <c r="F902" s="278" t="str" cm="1">
        <f t="array" ref="F902">_xlfn.XLOOKUP(1,($D$924:$D$955=B902)*($E$924:$E$955=C902),$B$924:$B$955,"Not found",0,1)</f>
        <v>30-71</v>
      </c>
      <c r="G902" s="300">
        <f t="shared" ca="1" si="76"/>
        <v>-1902.193132637653</v>
      </c>
      <c r="H902" s="1121"/>
      <c r="I902" s="1168"/>
      <c r="J902" s="1168"/>
      <c r="K902" s="1095"/>
    </row>
    <row r="903" spans="2:11">
      <c r="B903" s="278" t="s">
        <v>601</v>
      </c>
      <c r="C903" s="278" t="s">
        <v>456</v>
      </c>
      <c r="D903" s="299" t="s">
        <v>2824</v>
      </c>
      <c r="E903" s="299" t="s">
        <v>2882</v>
      </c>
      <c r="F903" s="278" t="str" cm="1">
        <f t="array" ref="F903">_xlfn.XLOOKUP(1,($D$924:$D$955=B903)*($E$924:$E$955=C903),$B$924:$B$955,"Not found",0,1)</f>
        <v>30-72</v>
      </c>
      <c r="G903" s="300">
        <f t="shared" ca="1" si="76"/>
        <v>-1268.1287550917687</v>
      </c>
      <c r="H903" s="1121"/>
      <c r="I903" s="1168"/>
      <c r="J903" s="1168"/>
      <c r="K903" s="1095"/>
    </row>
    <row r="904" spans="2:11">
      <c r="B904" s="278" t="s">
        <v>602</v>
      </c>
      <c r="C904" s="278" t="s">
        <v>456</v>
      </c>
      <c r="D904" s="299" t="s">
        <v>2824</v>
      </c>
      <c r="E904" s="299" t="s">
        <v>2882</v>
      </c>
      <c r="F904" s="278" t="str" cm="1">
        <f t="array" ref="F904">_xlfn.XLOOKUP(1,($D$924:$D$955=B904)*($E$924:$E$955=C904),$B$924:$B$955,"Not found",0,1)</f>
        <v>30-73</v>
      </c>
      <c r="G904" s="300">
        <f t="shared" ca="1" si="76"/>
        <v>-6804.6276389723107</v>
      </c>
      <c r="H904" s="1121"/>
      <c r="I904" s="1168"/>
      <c r="J904" s="1168"/>
      <c r="K904" s="1095"/>
    </row>
    <row r="905" spans="2:11">
      <c r="B905" s="278" t="s">
        <v>603</v>
      </c>
      <c r="C905" s="278" t="s">
        <v>456</v>
      </c>
      <c r="D905" s="299" t="s">
        <v>2824</v>
      </c>
      <c r="E905" s="299" t="s">
        <v>2882</v>
      </c>
      <c r="F905" s="278" t="str" cm="1">
        <f t="array" ref="F905">_xlfn.XLOOKUP(1,($D$924:$D$955=B905)*($E$924:$E$955=C905),$B$924:$B$955,"Not found",0,1)</f>
        <v>30-74</v>
      </c>
      <c r="G905" s="300">
        <f t="shared" ca="1" si="76"/>
        <v>-5103.4707292292323</v>
      </c>
      <c r="H905" s="1121"/>
      <c r="I905" s="1168"/>
      <c r="J905" s="1168"/>
      <c r="K905" s="1095"/>
    </row>
    <row r="906" spans="2:11">
      <c r="B906" s="278" t="s">
        <v>604</v>
      </c>
      <c r="C906" s="278" t="s">
        <v>456</v>
      </c>
      <c r="D906" s="299" t="s">
        <v>2824</v>
      </c>
      <c r="E906" s="299" t="s">
        <v>2882</v>
      </c>
      <c r="F906" s="278" t="str" cm="1">
        <f t="array" ref="F906">_xlfn.XLOOKUP(1,($D$924:$D$955=B906)*($E$924:$E$955=C906),$B$924:$B$955,"Not found",0,1)</f>
        <v>30-75</v>
      </c>
      <c r="G906" s="300">
        <f t="shared" ca="1" si="76"/>
        <v>-3402.3138194861554</v>
      </c>
      <c r="H906" s="1121"/>
      <c r="I906" s="1168"/>
      <c r="J906" s="1168"/>
      <c r="K906" s="1095"/>
    </row>
    <row r="907" spans="2:11">
      <c r="B907" s="278" t="s">
        <v>605</v>
      </c>
      <c r="C907" s="278" t="s">
        <v>456</v>
      </c>
      <c r="D907" s="299" t="s">
        <v>2824</v>
      </c>
      <c r="E907" s="299" t="s">
        <v>2882</v>
      </c>
      <c r="F907" s="278" t="str" cm="1">
        <f t="array" ref="F907">_xlfn.XLOOKUP(1,($D$924:$D$955=B907)*($E$924:$E$955=C907),$B$924:$B$955,"Not found",0,1)</f>
        <v>30-76</v>
      </c>
      <c r="G907" s="300">
        <f t="shared" ca="1" si="76"/>
        <v>-671.17605123858391</v>
      </c>
      <c r="H907" s="1121"/>
      <c r="I907" s="1168"/>
      <c r="J907" s="1168"/>
      <c r="K907" s="1095"/>
    </row>
    <row r="908" spans="2:11">
      <c r="B908" s="278" t="s">
        <v>606</v>
      </c>
      <c r="C908" s="278" t="s">
        <v>456</v>
      </c>
      <c r="D908" s="299" t="s">
        <v>2824</v>
      </c>
      <c r="E908" s="299" t="s">
        <v>2882</v>
      </c>
      <c r="F908" s="278" t="str" cm="1">
        <f t="array" ref="F908">_xlfn.XLOOKUP(1,($D$924:$D$955=B908)*($E$924:$E$955=C908),$B$924:$B$955,"Not found",0,1)</f>
        <v>30-77</v>
      </c>
      <c r="G908" s="300">
        <f t="shared" ca="1" si="76"/>
        <v>-503.3820384289379</v>
      </c>
      <c r="H908" s="1121"/>
      <c r="I908" s="1168"/>
      <c r="J908" s="1168"/>
      <c r="K908" s="1095"/>
    </row>
    <row r="909" spans="2:11">
      <c r="B909" s="278" t="s">
        <v>607</v>
      </c>
      <c r="C909" s="278" t="s">
        <v>456</v>
      </c>
      <c r="D909" s="299" t="s">
        <v>2824</v>
      </c>
      <c r="E909" s="299" t="s">
        <v>2882</v>
      </c>
      <c r="F909" s="278" t="str" cm="1">
        <f t="array" ref="F909">_xlfn.XLOOKUP(1,($D$924:$D$955=B909)*($E$924:$E$955=C909),$B$924:$B$955,"Not found",0,1)</f>
        <v>30-78</v>
      </c>
      <c r="G909" s="300">
        <f t="shared" ca="1" si="76"/>
        <v>-335.58802561929195</v>
      </c>
      <c r="H909" s="1121"/>
      <c r="I909" s="1168"/>
      <c r="J909" s="1168"/>
      <c r="K909" s="1095"/>
    </row>
    <row r="910" spans="2:11">
      <c r="B910" s="278" t="s">
        <v>609</v>
      </c>
      <c r="C910" s="278" t="s">
        <v>456</v>
      </c>
      <c r="D910" s="299" t="s">
        <v>2824</v>
      </c>
      <c r="E910" s="299" t="s">
        <v>2882</v>
      </c>
      <c r="F910" s="278" t="str" cm="1">
        <f t="array" ref="F910">_xlfn.XLOOKUP(1,($D$924:$D$955=B910)*($E$924:$E$955=C910),$B$924:$B$955,"Not found",0,1)</f>
        <v>30-79</v>
      </c>
      <c r="G910" s="300">
        <f t="shared" ca="1" si="76"/>
        <v>122.41575777307503</v>
      </c>
      <c r="H910" s="1121"/>
      <c r="I910" s="1168"/>
      <c r="J910" s="1168"/>
      <c r="K910" s="1095"/>
    </row>
    <row r="911" spans="2:11">
      <c r="B911" s="278" t="s">
        <v>610</v>
      </c>
      <c r="C911" s="278" t="s">
        <v>456</v>
      </c>
      <c r="D911" s="299" t="s">
        <v>2824</v>
      </c>
      <c r="E911" s="299" t="s">
        <v>2882</v>
      </c>
      <c r="F911" s="278" t="str" cm="1">
        <f t="array" ref="F911">_xlfn.XLOOKUP(1,($D$924:$D$955=B911)*($E$924:$E$955=C911),$B$924:$B$955,"Not found",0,1)</f>
        <v>30-80</v>
      </c>
      <c r="G911" s="300">
        <f t="shared" ca="1" si="76"/>
        <v>295.4863118660432</v>
      </c>
      <c r="H911" s="1121"/>
      <c r="I911" s="1168"/>
      <c r="J911" s="1168"/>
      <c r="K911" s="1095"/>
    </row>
    <row r="912" spans="2:11">
      <c r="B912" s="278" t="s">
        <v>611</v>
      </c>
      <c r="C912" s="278" t="s">
        <v>456</v>
      </c>
      <c r="D912" s="299" t="s">
        <v>2824</v>
      </c>
      <c r="E912" s="299" t="s">
        <v>2882</v>
      </c>
      <c r="F912" s="278" t="str" cm="1">
        <f t="array" ref="F912">_xlfn.XLOOKUP(1,($D$924:$D$955=B912)*($E$924:$E$955=C912),$B$924:$B$955,"Not found",0,1)</f>
        <v>30-81</v>
      </c>
      <c r="G912" s="300">
        <f t="shared" ca="1" si="76"/>
        <v>-284.93322929939882</v>
      </c>
      <c r="H912" s="1121"/>
      <c r="I912" s="1168"/>
      <c r="J912" s="1168"/>
      <c r="K912" s="1095"/>
    </row>
    <row r="913" spans="1:23">
      <c r="B913" s="278" t="s">
        <v>612</v>
      </c>
      <c r="C913" s="278" t="s">
        <v>456</v>
      </c>
      <c r="D913" s="299" t="s">
        <v>2824</v>
      </c>
      <c r="E913" s="299" t="s">
        <v>2882</v>
      </c>
      <c r="F913" s="278" t="str" cm="1">
        <f t="array" ref="F913">_xlfn.XLOOKUP(1,($D$924:$D$955=B913)*($E$924:$E$955=C913),$B$924:$B$955,"Not found",0,1)</f>
        <v>30-82</v>
      </c>
      <c r="G913" s="300">
        <f t="shared" ca="1" si="76"/>
        <v>-213.69992197454914</v>
      </c>
      <c r="H913" s="1121"/>
      <c r="I913" s="1168"/>
      <c r="J913" s="1168"/>
      <c r="K913" s="1095"/>
    </row>
    <row r="914" spans="1:23">
      <c r="B914" s="278" t="s">
        <v>613</v>
      </c>
      <c r="C914" s="278" t="s">
        <v>456</v>
      </c>
      <c r="D914" s="299" t="s">
        <v>2824</v>
      </c>
      <c r="E914" s="299" t="s">
        <v>2882</v>
      </c>
      <c r="F914" s="278" t="str" cm="1">
        <f t="array" ref="F914">_xlfn.XLOOKUP(1,($D$924:$D$955=B914)*($E$924:$E$955=C914),$B$924:$B$955,"Not found",0,1)</f>
        <v>30-83</v>
      </c>
      <c r="G914" s="300">
        <f t="shared" ca="1" si="76"/>
        <v>-142.46661464969941</v>
      </c>
      <c r="H914" s="1121"/>
      <c r="I914" s="1168"/>
      <c r="J914" s="1168"/>
      <c r="K914" s="1095"/>
    </row>
    <row r="915" spans="1:23">
      <c r="B915" s="278" t="s">
        <v>614</v>
      </c>
      <c r="C915" s="278" t="s">
        <v>456</v>
      </c>
      <c r="D915" s="299" t="s">
        <v>2824</v>
      </c>
      <c r="E915" s="299" t="s">
        <v>2882</v>
      </c>
      <c r="F915" s="278" t="str" cm="1">
        <f t="array" ref="F915">_xlfn.XLOOKUP(1,($D$924:$D$955=B915)*($E$924:$E$955=C915),$B$924:$B$955,"Not found",0,1)</f>
        <v>30-84</v>
      </c>
      <c r="G915" s="300">
        <f t="shared" ca="1" si="76"/>
        <v>-151.96438895967935</v>
      </c>
      <c r="H915" s="1121"/>
      <c r="I915" s="1168"/>
      <c r="J915" s="1168"/>
      <c r="K915" s="1095"/>
    </row>
    <row r="916" spans="1:23">
      <c r="B916" s="278" t="s">
        <v>615</v>
      </c>
      <c r="C916" s="278" t="s">
        <v>456</v>
      </c>
      <c r="D916" s="299" t="s">
        <v>2824</v>
      </c>
      <c r="E916" s="299" t="s">
        <v>2882</v>
      </c>
      <c r="F916" s="278" t="str" cm="1">
        <f t="array" ref="F916">_xlfn.XLOOKUP(1,($D$924:$D$955=B916)*($E$924:$E$955=C916),$B$924:$B$955,"Not found",0,1)</f>
        <v>30-85</v>
      </c>
      <c r="G916" s="300">
        <f t="shared" ca="1" si="76"/>
        <v>1401.4493648503762</v>
      </c>
      <c r="H916" s="1121"/>
      <c r="I916" s="1168"/>
      <c r="J916" s="1168"/>
      <c r="K916" s="1095"/>
    </row>
    <row r="917" spans="1:23">
      <c r="B917" s="278" t="s">
        <v>616</v>
      </c>
      <c r="C917" s="278" t="s">
        <v>456</v>
      </c>
      <c r="D917" s="299" t="s">
        <v>2824</v>
      </c>
      <c r="E917" s="299" t="s">
        <v>2882</v>
      </c>
      <c r="F917" s="278" t="str" cm="1">
        <f t="array" ref="F917">_xlfn.XLOOKUP(1,($D$924:$D$955=B917)*($E$924:$E$955=C917),$B$924:$B$955,"Not found",0,1)</f>
        <v>30-86</v>
      </c>
      <c r="G917" s="300">
        <f t="shared" ca="1" si="76"/>
        <v>7480.02492323755</v>
      </c>
      <c r="H917" s="1121"/>
      <c r="I917" s="1168"/>
      <c r="J917" s="1168"/>
      <c r="K917" s="1095"/>
    </row>
    <row r="918" spans="1:23">
      <c r="B918" s="278" t="s">
        <v>617</v>
      </c>
      <c r="C918" s="278" t="s">
        <v>456</v>
      </c>
      <c r="D918" s="299" t="s">
        <v>2824</v>
      </c>
      <c r="E918" s="299" t="s">
        <v>2882</v>
      </c>
      <c r="F918" s="278" t="str" cm="1">
        <f t="array" ref="F918">_xlfn.XLOOKUP(1,($D$924:$D$955=B918)*($E$924:$E$955=C918),$B$924:$B$955,"Not found",0,1)</f>
        <v>30-87</v>
      </c>
      <c r="G918" s="300">
        <f t="shared" ca="1" si="76"/>
        <v>-835.80413927823656</v>
      </c>
      <c r="H918" s="1121"/>
      <c r="I918" s="1168"/>
      <c r="J918" s="1168"/>
      <c r="K918" s="1095"/>
    </row>
    <row r="919" spans="1:23">
      <c r="B919" s="278" t="s">
        <v>618</v>
      </c>
      <c r="C919" s="278" t="s">
        <v>456</v>
      </c>
      <c r="D919" s="299" t="s">
        <v>2824</v>
      </c>
      <c r="E919" s="299" t="s">
        <v>2882</v>
      </c>
      <c r="F919" s="278" t="str" cm="1">
        <f t="array" ref="F919">_xlfn.XLOOKUP(1,($D$924:$D$955=B919)*($E$924:$E$955=C919),$B$924:$B$955,"Not found",0,1)</f>
        <v>30-88</v>
      </c>
      <c r="G919" s="300">
        <f t="shared" ca="1" si="76"/>
        <v>-626.85310445867742</v>
      </c>
      <c r="H919" s="1121"/>
      <c r="I919" s="1168"/>
      <c r="J919" s="1168"/>
      <c r="K919" s="1095"/>
    </row>
    <row r="920" spans="1:23">
      <c r="B920" s="278" t="s">
        <v>619</v>
      </c>
      <c r="C920" s="278" t="s">
        <v>456</v>
      </c>
      <c r="D920" s="299" t="s">
        <v>2824</v>
      </c>
      <c r="E920" s="299" t="s">
        <v>2882</v>
      </c>
      <c r="F920" s="278" t="str" cm="1">
        <f t="array" ref="F920">_xlfn.XLOOKUP(1,($D$924:$D$955=B920)*($E$924:$E$955=C920),$B$924:$B$955,"Not found",0,1)</f>
        <v>30-89</v>
      </c>
      <c r="G920" s="300">
        <f t="shared" ca="1" si="76"/>
        <v>-417.90206963911828</v>
      </c>
      <c r="H920" s="1122"/>
      <c r="I920" s="1169"/>
      <c r="J920" s="1169"/>
      <c r="K920" s="1095"/>
    </row>
    <row r="921" spans="1:23">
      <c r="B921" s="18"/>
    </row>
    <row r="922" spans="1:23">
      <c r="A922" s="725"/>
      <c r="B922" s="726" t="s">
        <v>962</v>
      </c>
      <c r="C922" s="725"/>
      <c r="D922" s="725"/>
      <c r="E922" s="725"/>
      <c r="F922" s="725"/>
      <c r="G922" s="725"/>
      <c r="H922" s="725"/>
      <c r="I922" s="725"/>
      <c r="J922" s="725"/>
    </row>
    <row r="923" spans="1:23">
      <c r="B923" s="277" t="s">
        <v>904</v>
      </c>
      <c r="C923" s="277" t="s">
        <v>62</v>
      </c>
      <c r="D923" s="277" t="s">
        <v>902</v>
      </c>
      <c r="E923" s="277" t="s">
        <v>898</v>
      </c>
      <c r="F923" s="277" t="s">
        <v>916</v>
      </c>
      <c r="G923" s="277" t="s">
        <v>963</v>
      </c>
      <c r="H923" s="277" t="s">
        <v>964</v>
      </c>
      <c r="I923" s="277" t="s">
        <v>965</v>
      </c>
      <c r="J923" s="277" t="s">
        <v>966</v>
      </c>
      <c r="K923" s="277" t="s">
        <v>967</v>
      </c>
      <c r="L923" s="277" t="s">
        <v>968</v>
      </c>
      <c r="M923" s="277" t="s">
        <v>956</v>
      </c>
      <c r="N923" s="277" t="s">
        <v>969</v>
      </c>
      <c r="O923" s="277" t="s">
        <v>970</v>
      </c>
      <c r="P923" s="277" t="s">
        <v>927</v>
      </c>
      <c r="Q923" s="277" t="s">
        <v>913</v>
      </c>
      <c r="R923" s="277" t="s">
        <v>914</v>
      </c>
      <c r="S923" s="277" t="s">
        <v>915</v>
      </c>
      <c r="T923" s="277" t="s">
        <v>916</v>
      </c>
      <c r="U923" s="277" t="s">
        <v>917</v>
      </c>
      <c r="V923" s="277" t="s">
        <v>918</v>
      </c>
      <c r="W923" s="277" t="s">
        <v>919</v>
      </c>
    </row>
    <row r="924" spans="1:23">
      <c r="B924" s="302" t="s">
        <v>2885</v>
      </c>
      <c r="C924" s="279" t="s">
        <v>2645</v>
      </c>
      <c r="D924" s="278" t="s">
        <v>588</v>
      </c>
      <c r="E924" s="278" t="s">
        <v>456</v>
      </c>
      <c r="F924" s="299">
        <f>E$846</f>
        <v>2021</v>
      </c>
      <c r="G924" s="278">
        <v>2021</v>
      </c>
      <c r="H924" s="278">
        <f>'COMPANY INPUT'!$C$16</f>
        <v>2023</v>
      </c>
      <c r="I924" s="278">
        <f>VLOOKUP(G924,'GDP Deflators'!$H$13:$I$86,2,FALSE)</f>
        <v>88.789299999999997</v>
      </c>
      <c r="J924" s="278">
        <f>VLOOKUP(H924,'GDP Deflators'!$H$13:$I$86,2,FALSE)</f>
        <v>100</v>
      </c>
      <c r="K924" s="297">
        <f>-C865</f>
        <v>-37</v>
      </c>
      <c r="L924" s="746">
        <f>K924*(J924/I924)</f>
        <v>-41.671687917350404</v>
      </c>
      <c r="M924" s="278" t="str">
        <f>$I$889</f>
        <v>Calculated using B£ST</v>
      </c>
      <c r="N924" s="326">
        <f>$H$889</f>
        <v>2.5714285714285698</v>
      </c>
      <c r="O924" s="278" t="s">
        <v>718</v>
      </c>
      <c r="P924" s="278" t="str">
        <f>$J$889</f>
        <v>Recently completed, geographically relevant</v>
      </c>
      <c r="Q924" s="299">
        <f>B$846</f>
        <v>116</v>
      </c>
      <c r="R924" s="299" t="str">
        <f t="shared" ref="R924:W926" si="77">C$846</f>
        <v>Water UK / Stantec (2021) Storm overflow evidence project</v>
      </c>
      <c r="S924" s="299" t="str">
        <f t="shared" si="77"/>
        <v>/</v>
      </c>
      <c r="T924" s="299">
        <f t="shared" si="77"/>
        <v>2021</v>
      </c>
      <c r="U924" s="299" t="str">
        <f t="shared" si="77"/>
        <v>UK</v>
      </c>
      <c r="V924" s="299" t="str">
        <f t="shared" si="77"/>
        <v>UK</v>
      </c>
      <c r="W924" s="299" t="str">
        <f t="shared" si="77"/>
        <v>/</v>
      </c>
    </row>
    <row r="925" spans="1:23">
      <c r="B925" s="302" t="s">
        <v>2886</v>
      </c>
      <c r="C925" s="279" t="s">
        <v>2645</v>
      </c>
      <c r="D925" s="278" t="s">
        <v>585</v>
      </c>
      <c r="E925" s="278" t="s">
        <v>456</v>
      </c>
      <c r="F925" s="299">
        <f t="shared" ref="F925:F926" si="78">E$846</f>
        <v>2021</v>
      </c>
      <c r="G925" s="278">
        <v>2021</v>
      </c>
      <c r="H925" s="278">
        <f>'COMPANY INPUT'!$C$16</f>
        <v>2023</v>
      </c>
      <c r="I925" s="278">
        <f>VLOOKUP(G925,'GDP Deflators'!$H$13:$I$86,2,FALSE)</f>
        <v>88.789299999999997</v>
      </c>
      <c r="J925" s="278">
        <f>VLOOKUP(H925,'GDP Deflators'!$H$13:$I$86,2,FALSE)</f>
        <v>100</v>
      </c>
      <c r="K925" s="297">
        <f>-C866</f>
        <v>-66</v>
      </c>
      <c r="L925" s="746">
        <f t="shared" ref="L925:L955" si="79">K925*(J925/I925)</f>
        <v>-74.333281149868284</v>
      </c>
      <c r="M925" s="278" t="str">
        <f>$I$889</f>
        <v>Calculated using B£ST</v>
      </c>
      <c r="N925" s="326">
        <f>$H$889</f>
        <v>2.5714285714285698</v>
      </c>
      <c r="O925" s="278" t="s">
        <v>718</v>
      </c>
      <c r="P925" s="278" t="str">
        <f>$J$889</f>
        <v>Recently completed, geographically relevant</v>
      </c>
      <c r="Q925" s="299">
        <f t="shared" ref="Q925:Q926" si="80">B$846</f>
        <v>116</v>
      </c>
      <c r="R925" s="299" t="str">
        <f t="shared" si="77"/>
        <v>Water UK / Stantec (2021) Storm overflow evidence project</v>
      </c>
      <c r="S925" s="299" t="str">
        <f t="shared" si="77"/>
        <v>/</v>
      </c>
      <c r="T925" s="299">
        <f t="shared" si="77"/>
        <v>2021</v>
      </c>
      <c r="U925" s="299" t="str">
        <f t="shared" si="77"/>
        <v>UK</v>
      </c>
      <c r="V925" s="299" t="str">
        <f t="shared" si="77"/>
        <v>UK</v>
      </c>
      <c r="W925" s="299" t="str">
        <f t="shared" si="77"/>
        <v>/</v>
      </c>
    </row>
    <row r="926" spans="1:23">
      <c r="B926" s="302" t="s">
        <v>2887</v>
      </c>
      <c r="C926" s="279" t="s">
        <v>2645</v>
      </c>
      <c r="D926" s="278" t="s">
        <v>587</v>
      </c>
      <c r="E926" s="278" t="s">
        <v>456</v>
      </c>
      <c r="F926" s="299">
        <f t="shared" si="78"/>
        <v>2021</v>
      </c>
      <c r="G926" s="278">
        <v>2021</v>
      </c>
      <c r="H926" s="278">
        <f>'COMPANY INPUT'!$C$16</f>
        <v>2023</v>
      </c>
      <c r="I926" s="278">
        <f>VLOOKUP(G926,'GDP Deflators'!$H$13:$I$86,2,FALSE)</f>
        <v>88.789299999999997</v>
      </c>
      <c r="J926" s="278">
        <f>VLOOKUP(H926,'GDP Deflators'!$H$13:$I$86,2,FALSE)</f>
        <v>100</v>
      </c>
      <c r="K926" s="297">
        <f>-C867</f>
        <v>-51.5</v>
      </c>
      <c r="L926" s="746">
        <f t="shared" si="79"/>
        <v>-58.002484533609348</v>
      </c>
      <c r="M926" s="278" t="str">
        <f>$I$889</f>
        <v>Calculated using B£ST</v>
      </c>
      <c r="N926" s="326">
        <f>$H$889</f>
        <v>2.5714285714285698</v>
      </c>
      <c r="O926" s="278" t="s">
        <v>718</v>
      </c>
      <c r="P926" s="278" t="str">
        <f>$J$889</f>
        <v>Recently completed, geographically relevant</v>
      </c>
      <c r="Q926" s="299">
        <f t="shared" si="80"/>
        <v>116</v>
      </c>
      <c r="R926" s="299" t="str">
        <f t="shared" si="77"/>
        <v>Water UK / Stantec (2021) Storm overflow evidence project</v>
      </c>
      <c r="S926" s="299" t="str">
        <f t="shared" si="77"/>
        <v>/</v>
      </c>
      <c r="T926" s="299">
        <f t="shared" si="77"/>
        <v>2021</v>
      </c>
      <c r="U926" s="299" t="str">
        <f t="shared" si="77"/>
        <v>UK</v>
      </c>
      <c r="V926" s="299" t="str">
        <f t="shared" si="77"/>
        <v>UK</v>
      </c>
      <c r="W926" s="299" t="str">
        <f t="shared" si="77"/>
        <v>/</v>
      </c>
    </row>
    <row r="927" spans="1:23">
      <c r="B927" s="302" t="s">
        <v>2888</v>
      </c>
      <c r="C927" s="279" t="s">
        <v>2645</v>
      </c>
      <c r="D927" s="278" t="s">
        <v>589</v>
      </c>
      <c r="E927" s="278" t="s">
        <v>456</v>
      </c>
      <c r="F927" s="299">
        <f>$E$762</f>
        <v>2021</v>
      </c>
      <c r="G927" s="278">
        <v>2020</v>
      </c>
      <c r="H927" s="278">
        <f>'COMPANY INPUT'!$C$16</f>
        <v>2023</v>
      </c>
      <c r="I927" s="278">
        <f>VLOOKUP(G927,'GDP Deflators'!$H$13:$I$86,2,FALSE)</f>
        <v>89.073499999999996</v>
      </c>
      <c r="J927" s="278">
        <f>VLOOKUP(H927,'GDP Deflators'!$H$13:$I$86,2,FALSE)</f>
        <v>100</v>
      </c>
      <c r="K927" s="297">
        <f t="shared" ref="K927:K955" ca="1" si="81">C813</f>
        <v>-2259.1333333333332</v>
      </c>
      <c r="L927" s="746">
        <f t="shared" ca="1" si="79"/>
        <v>-2536.2575101835373</v>
      </c>
      <c r="M927" s="278" t="str">
        <f t="shared" ref="M927:M955" si="82">$I$892</f>
        <v>Carbon valuation</v>
      </c>
      <c r="N927" s="326">
        <f t="shared" ref="N927:N955" si="83">$H$892</f>
        <v>2.1428571428571401</v>
      </c>
      <c r="O927" s="278" t="s">
        <v>718</v>
      </c>
      <c r="P927" s="278" t="str">
        <f t="shared" ref="P927:P955" si="84">$J$892</f>
        <v>UK government carbon values</v>
      </c>
      <c r="Q927" s="299">
        <f>B$762</f>
        <v>40</v>
      </c>
      <c r="R927" s="299" t="str">
        <f t="shared" ref="R927:W942" si="85">C$762</f>
        <v>BEIS (2021) Valuing greenhouse gas emissions in policy appraisal</v>
      </c>
      <c r="S927" s="299" t="str">
        <f t="shared" si="85"/>
        <v>ENCA</v>
      </c>
      <c r="T927" s="299">
        <f t="shared" si="85"/>
        <v>2021</v>
      </c>
      <c r="U927" s="299" t="str">
        <f t="shared" si="85"/>
        <v>UK</v>
      </c>
      <c r="V927" s="299" t="str">
        <f t="shared" si="85"/>
        <v>UK</v>
      </c>
      <c r="W927" s="299" t="str">
        <f t="shared" si="85"/>
        <v>N/A</v>
      </c>
    </row>
    <row r="928" spans="1:23">
      <c r="B928" s="302" t="s">
        <v>2889</v>
      </c>
      <c r="C928" s="279" t="s">
        <v>2645</v>
      </c>
      <c r="D928" s="278" t="s">
        <v>591</v>
      </c>
      <c r="E928" s="278" t="s">
        <v>456</v>
      </c>
      <c r="F928" s="299">
        <f t="shared" ref="F928:F955" si="86">$E$762</f>
        <v>2021</v>
      </c>
      <c r="G928" s="278">
        <v>2020</v>
      </c>
      <c r="H928" s="278">
        <f>'COMPANY INPUT'!$C$16</f>
        <v>2023</v>
      </c>
      <c r="I928" s="278">
        <f>VLOOKUP(G928,'GDP Deflators'!$H$13:$I$86,2,FALSE)</f>
        <v>89.073499999999996</v>
      </c>
      <c r="J928" s="278">
        <f>VLOOKUP(H928,'GDP Deflators'!$H$13:$I$86,2,FALSE)</f>
        <v>100</v>
      </c>
      <c r="K928" s="297">
        <f t="shared" ca="1" si="81"/>
        <v>-1694.35</v>
      </c>
      <c r="L928" s="746">
        <f t="shared" ca="1" si="79"/>
        <v>-1902.193132637653</v>
      </c>
      <c r="M928" s="278" t="str">
        <f t="shared" si="82"/>
        <v>Carbon valuation</v>
      </c>
      <c r="N928" s="326">
        <f t="shared" si="83"/>
        <v>2.1428571428571401</v>
      </c>
      <c r="O928" s="278" t="s">
        <v>718</v>
      </c>
      <c r="P928" s="278" t="str">
        <f t="shared" si="84"/>
        <v>UK government carbon values</v>
      </c>
      <c r="Q928" s="299">
        <f t="shared" ref="Q928:Q955" si="87">B$762</f>
        <v>40</v>
      </c>
      <c r="R928" s="299" t="str">
        <f t="shared" si="85"/>
        <v>BEIS (2021) Valuing greenhouse gas emissions in policy appraisal</v>
      </c>
      <c r="S928" s="299" t="str">
        <f t="shared" si="85"/>
        <v>ENCA</v>
      </c>
      <c r="T928" s="299">
        <f t="shared" si="85"/>
        <v>2021</v>
      </c>
      <c r="U928" s="299" t="str">
        <f t="shared" si="85"/>
        <v>UK</v>
      </c>
      <c r="V928" s="299" t="str">
        <f t="shared" si="85"/>
        <v>UK</v>
      </c>
      <c r="W928" s="299" t="str">
        <f t="shared" si="85"/>
        <v>N/A</v>
      </c>
    </row>
    <row r="929" spans="2:23">
      <c r="B929" s="302" t="s">
        <v>2890</v>
      </c>
      <c r="C929" s="279" t="s">
        <v>2645</v>
      </c>
      <c r="D929" s="278" t="s">
        <v>592</v>
      </c>
      <c r="E929" s="278" t="s">
        <v>456</v>
      </c>
      <c r="F929" s="299">
        <f t="shared" si="86"/>
        <v>2021</v>
      </c>
      <c r="G929" s="278">
        <v>2020</v>
      </c>
      <c r="H929" s="278">
        <f>'COMPANY INPUT'!$C$16</f>
        <v>2023</v>
      </c>
      <c r="I929" s="278">
        <f>VLOOKUP(G929,'GDP Deflators'!$H$13:$I$86,2,FALSE)</f>
        <v>89.073499999999996</v>
      </c>
      <c r="J929" s="278">
        <f>VLOOKUP(H929,'GDP Deflators'!$H$13:$I$86,2,FALSE)</f>
        <v>100</v>
      </c>
      <c r="K929" s="297">
        <f t="shared" ca="1" si="81"/>
        <v>-1129.5666666666666</v>
      </c>
      <c r="L929" s="746">
        <f t="shared" ca="1" si="79"/>
        <v>-1268.1287550917687</v>
      </c>
      <c r="M929" s="278" t="str">
        <f t="shared" si="82"/>
        <v>Carbon valuation</v>
      </c>
      <c r="N929" s="326">
        <f t="shared" si="83"/>
        <v>2.1428571428571401</v>
      </c>
      <c r="O929" s="278" t="s">
        <v>718</v>
      </c>
      <c r="P929" s="278" t="str">
        <f t="shared" si="84"/>
        <v>UK government carbon values</v>
      </c>
      <c r="Q929" s="299">
        <f t="shared" si="87"/>
        <v>40</v>
      </c>
      <c r="R929" s="299" t="str">
        <f t="shared" si="85"/>
        <v>BEIS (2021) Valuing greenhouse gas emissions in policy appraisal</v>
      </c>
      <c r="S929" s="299" t="str">
        <f t="shared" si="85"/>
        <v>ENCA</v>
      </c>
      <c r="T929" s="299">
        <f t="shared" si="85"/>
        <v>2021</v>
      </c>
      <c r="U929" s="299" t="str">
        <f t="shared" si="85"/>
        <v>UK</v>
      </c>
      <c r="V929" s="299" t="str">
        <f t="shared" si="85"/>
        <v>UK</v>
      </c>
      <c r="W929" s="299" t="str">
        <f t="shared" si="85"/>
        <v>N/A</v>
      </c>
    </row>
    <row r="930" spans="2:23">
      <c r="B930" s="302" t="s">
        <v>2891</v>
      </c>
      <c r="C930" s="279" t="s">
        <v>2645</v>
      </c>
      <c r="D930" s="278" t="s">
        <v>593</v>
      </c>
      <c r="E930" s="278" t="s">
        <v>456</v>
      </c>
      <c r="F930" s="299">
        <f t="shared" si="86"/>
        <v>2021</v>
      </c>
      <c r="G930" s="278">
        <v>2020</v>
      </c>
      <c r="H930" s="278">
        <f>'COMPANY INPUT'!$C$16</f>
        <v>2023</v>
      </c>
      <c r="I930" s="278">
        <f>VLOOKUP(G930,'GDP Deflators'!$H$13:$I$86,2,FALSE)</f>
        <v>89.073499999999996</v>
      </c>
      <c r="J930" s="278">
        <f>VLOOKUP(H930,'GDP Deflators'!$H$13:$I$86,2,FALSE)</f>
        <v>100</v>
      </c>
      <c r="K930" s="297">
        <f t="shared" ca="1" si="81"/>
        <v>-6061.1200000000008</v>
      </c>
      <c r="L930" s="746">
        <f t="shared" ca="1" si="79"/>
        <v>-6804.6276389723107</v>
      </c>
      <c r="M930" s="278" t="str">
        <f t="shared" si="82"/>
        <v>Carbon valuation</v>
      </c>
      <c r="N930" s="326">
        <f t="shared" si="83"/>
        <v>2.1428571428571401</v>
      </c>
      <c r="O930" s="278" t="s">
        <v>718</v>
      </c>
      <c r="P930" s="278" t="str">
        <f t="shared" si="84"/>
        <v>UK government carbon values</v>
      </c>
      <c r="Q930" s="299">
        <f t="shared" si="87"/>
        <v>40</v>
      </c>
      <c r="R930" s="299" t="str">
        <f t="shared" si="85"/>
        <v>BEIS (2021) Valuing greenhouse gas emissions in policy appraisal</v>
      </c>
      <c r="S930" s="299" t="str">
        <f t="shared" si="85"/>
        <v>ENCA</v>
      </c>
      <c r="T930" s="299">
        <f t="shared" si="85"/>
        <v>2021</v>
      </c>
      <c r="U930" s="299" t="str">
        <f t="shared" si="85"/>
        <v>UK</v>
      </c>
      <c r="V930" s="299" t="str">
        <f t="shared" si="85"/>
        <v>UK</v>
      </c>
      <c r="W930" s="299" t="str">
        <f t="shared" si="85"/>
        <v>N/A</v>
      </c>
    </row>
    <row r="931" spans="2:23">
      <c r="B931" s="302" t="s">
        <v>2892</v>
      </c>
      <c r="C931" s="279" t="s">
        <v>2645</v>
      </c>
      <c r="D931" s="278" t="s">
        <v>594</v>
      </c>
      <c r="E931" s="278" t="s">
        <v>456</v>
      </c>
      <c r="F931" s="299">
        <f t="shared" si="86"/>
        <v>2021</v>
      </c>
      <c r="G931" s="278">
        <v>2020</v>
      </c>
      <c r="H931" s="278">
        <f>'COMPANY INPUT'!$C$16</f>
        <v>2023</v>
      </c>
      <c r="I931" s="278">
        <f>VLOOKUP(G931,'GDP Deflators'!$H$13:$I$86,2,FALSE)</f>
        <v>89.073499999999996</v>
      </c>
      <c r="J931" s="278">
        <f>VLOOKUP(H931,'GDP Deflators'!$H$13:$I$86,2,FALSE)</f>
        <v>100</v>
      </c>
      <c r="K931" s="297">
        <f t="shared" ca="1" si="81"/>
        <v>-4545.84</v>
      </c>
      <c r="L931" s="746">
        <f t="shared" ca="1" si="79"/>
        <v>-5103.4707292292323</v>
      </c>
      <c r="M931" s="278" t="str">
        <f t="shared" si="82"/>
        <v>Carbon valuation</v>
      </c>
      <c r="N931" s="326">
        <f t="shared" si="83"/>
        <v>2.1428571428571401</v>
      </c>
      <c r="O931" s="278" t="s">
        <v>718</v>
      </c>
      <c r="P931" s="278" t="str">
        <f t="shared" si="84"/>
        <v>UK government carbon values</v>
      </c>
      <c r="Q931" s="299">
        <f t="shared" si="87"/>
        <v>40</v>
      </c>
      <c r="R931" s="299" t="str">
        <f t="shared" si="85"/>
        <v>BEIS (2021) Valuing greenhouse gas emissions in policy appraisal</v>
      </c>
      <c r="S931" s="299" t="str">
        <f t="shared" si="85"/>
        <v>ENCA</v>
      </c>
      <c r="T931" s="299">
        <f t="shared" si="85"/>
        <v>2021</v>
      </c>
      <c r="U931" s="299" t="str">
        <f t="shared" si="85"/>
        <v>UK</v>
      </c>
      <c r="V931" s="299" t="str">
        <f t="shared" si="85"/>
        <v>UK</v>
      </c>
      <c r="W931" s="299" t="str">
        <f t="shared" si="85"/>
        <v>N/A</v>
      </c>
    </row>
    <row r="932" spans="2:23">
      <c r="B932" s="302" t="s">
        <v>2893</v>
      </c>
      <c r="C932" s="279" t="s">
        <v>2645</v>
      </c>
      <c r="D932" s="278" t="s">
        <v>595</v>
      </c>
      <c r="E932" s="278" t="s">
        <v>456</v>
      </c>
      <c r="F932" s="299">
        <f t="shared" si="86"/>
        <v>2021</v>
      </c>
      <c r="G932" s="278">
        <v>2020</v>
      </c>
      <c r="H932" s="278">
        <f>'COMPANY INPUT'!$C$16</f>
        <v>2023</v>
      </c>
      <c r="I932" s="278">
        <f>VLOOKUP(G932,'GDP Deflators'!$H$13:$I$86,2,FALSE)</f>
        <v>89.073499999999996</v>
      </c>
      <c r="J932" s="278">
        <f>VLOOKUP(H932,'GDP Deflators'!$H$13:$I$86,2,FALSE)</f>
        <v>100</v>
      </c>
      <c r="K932" s="297">
        <f t="shared" ca="1" si="81"/>
        <v>-3030.5600000000004</v>
      </c>
      <c r="L932" s="746">
        <f t="shared" ca="1" si="79"/>
        <v>-3402.3138194861554</v>
      </c>
      <c r="M932" s="278" t="str">
        <f t="shared" si="82"/>
        <v>Carbon valuation</v>
      </c>
      <c r="N932" s="326">
        <f t="shared" si="83"/>
        <v>2.1428571428571401</v>
      </c>
      <c r="O932" s="278" t="s">
        <v>718</v>
      </c>
      <c r="P932" s="278" t="str">
        <f t="shared" si="84"/>
        <v>UK government carbon values</v>
      </c>
      <c r="Q932" s="299">
        <f t="shared" si="87"/>
        <v>40</v>
      </c>
      <c r="R932" s="299" t="str">
        <f t="shared" si="85"/>
        <v>BEIS (2021) Valuing greenhouse gas emissions in policy appraisal</v>
      </c>
      <c r="S932" s="299" t="str">
        <f t="shared" si="85"/>
        <v>ENCA</v>
      </c>
      <c r="T932" s="299">
        <f t="shared" si="85"/>
        <v>2021</v>
      </c>
      <c r="U932" s="299" t="str">
        <f t="shared" si="85"/>
        <v>UK</v>
      </c>
      <c r="V932" s="299" t="str">
        <f t="shared" si="85"/>
        <v>UK</v>
      </c>
      <c r="W932" s="299" t="str">
        <f t="shared" si="85"/>
        <v>N/A</v>
      </c>
    </row>
    <row r="933" spans="2:23">
      <c r="B933" s="302" t="s">
        <v>2894</v>
      </c>
      <c r="C933" s="279" t="s">
        <v>2645</v>
      </c>
      <c r="D933" s="278" t="s">
        <v>596</v>
      </c>
      <c r="E933" s="278" t="s">
        <v>456</v>
      </c>
      <c r="F933" s="299">
        <f t="shared" si="86"/>
        <v>2021</v>
      </c>
      <c r="G933" s="278">
        <v>2020</v>
      </c>
      <c r="H933" s="278">
        <f>'COMPANY INPUT'!$C$16</f>
        <v>2023</v>
      </c>
      <c r="I933" s="278">
        <f>VLOOKUP(G933,'GDP Deflators'!$H$13:$I$86,2,FALSE)</f>
        <v>89.073499999999996</v>
      </c>
      <c r="J933" s="278">
        <f>VLOOKUP(H933,'GDP Deflators'!$H$13:$I$86,2,FALSE)</f>
        <v>100</v>
      </c>
      <c r="K933" s="297">
        <f t="shared" ca="1" si="81"/>
        <v>-597.84</v>
      </c>
      <c r="L933" s="746">
        <f t="shared" ca="1" si="79"/>
        <v>-671.17605123858391</v>
      </c>
      <c r="M933" s="278" t="str">
        <f t="shared" si="82"/>
        <v>Carbon valuation</v>
      </c>
      <c r="N933" s="326">
        <f t="shared" si="83"/>
        <v>2.1428571428571401</v>
      </c>
      <c r="O933" s="278" t="s">
        <v>718</v>
      </c>
      <c r="P933" s="278" t="str">
        <f t="shared" si="84"/>
        <v>UK government carbon values</v>
      </c>
      <c r="Q933" s="299">
        <f t="shared" si="87"/>
        <v>40</v>
      </c>
      <c r="R933" s="299" t="str">
        <f t="shared" si="85"/>
        <v>BEIS (2021) Valuing greenhouse gas emissions in policy appraisal</v>
      </c>
      <c r="S933" s="299" t="str">
        <f t="shared" si="85"/>
        <v>ENCA</v>
      </c>
      <c r="T933" s="299">
        <f t="shared" si="85"/>
        <v>2021</v>
      </c>
      <c r="U933" s="299" t="str">
        <f t="shared" si="85"/>
        <v>UK</v>
      </c>
      <c r="V933" s="299" t="str">
        <f t="shared" si="85"/>
        <v>UK</v>
      </c>
      <c r="W933" s="299" t="str">
        <f t="shared" si="85"/>
        <v>N/A</v>
      </c>
    </row>
    <row r="934" spans="2:23">
      <c r="B934" s="302" t="s">
        <v>2895</v>
      </c>
      <c r="C934" s="279" t="s">
        <v>2645</v>
      </c>
      <c r="D934" s="278" t="s">
        <v>597</v>
      </c>
      <c r="E934" s="278" t="s">
        <v>456</v>
      </c>
      <c r="F934" s="299">
        <f t="shared" si="86"/>
        <v>2021</v>
      </c>
      <c r="G934" s="278">
        <v>2020</v>
      </c>
      <c r="H934" s="278">
        <f>'COMPANY INPUT'!$C$16</f>
        <v>2023</v>
      </c>
      <c r="I934" s="278">
        <f>VLOOKUP(G934,'GDP Deflators'!$H$13:$I$86,2,FALSE)</f>
        <v>89.073499999999996</v>
      </c>
      <c r="J934" s="278">
        <f>VLOOKUP(H934,'GDP Deflators'!$H$13:$I$86,2,FALSE)</f>
        <v>100</v>
      </c>
      <c r="K934" s="297">
        <f t="shared" ca="1" si="81"/>
        <v>-448.38</v>
      </c>
      <c r="L934" s="746">
        <f t="shared" ca="1" si="79"/>
        <v>-503.3820384289379</v>
      </c>
      <c r="M934" s="278" t="str">
        <f t="shared" si="82"/>
        <v>Carbon valuation</v>
      </c>
      <c r="N934" s="326">
        <f t="shared" si="83"/>
        <v>2.1428571428571401</v>
      </c>
      <c r="O934" s="278" t="s">
        <v>718</v>
      </c>
      <c r="P934" s="278" t="str">
        <f t="shared" si="84"/>
        <v>UK government carbon values</v>
      </c>
      <c r="Q934" s="299">
        <f t="shared" si="87"/>
        <v>40</v>
      </c>
      <c r="R934" s="299" t="str">
        <f t="shared" si="85"/>
        <v>BEIS (2021) Valuing greenhouse gas emissions in policy appraisal</v>
      </c>
      <c r="S934" s="299" t="str">
        <f t="shared" si="85"/>
        <v>ENCA</v>
      </c>
      <c r="T934" s="299">
        <f t="shared" si="85"/>
        <v>2021</v>
      </c>
      <c r="U934" s="299" t="str">
        <f t="shared" si="85"/>
        <v>UK</v>
      </c>
      <c r="V934" s="299" t="str">
        <f t="shared" si="85"/>
        <v>UK</v>
      </c>
      <c r="W934" s="299" t="str">
        <f t="shared" si="85"/>
        <v>N/A</v>
      </c>
    </row>
    <row r="935" spans="2:23">
      <c r="B935" s="302" t="s">
        <v>2896</v>
      </c>
      <c r="C935" s="279" t="s">
        <v>2645</v>
      </c>
      <c r="D935" s="278" t="s">
        <v>598</v>
      </c>
      <c r="E935" s="278" t="s">
        <v>456</v>
      </c>
      <c r="F935" s="299">
        <f t="shared" si="86"/>
        <v>2021</v>
      </c>
      <c r="G935" s="278">
        <v>2020</v>
      </c>
      <c r="H935" s="278">
        <f>'COMPANY INPUT'!$C$16</f>
        <v>2023</v>
      </c>
      <c r="I935" s="278">
        <f>VLOOKUP(G935,'GDP Deflators'!$H$13:$I$86,2,FALSE)</f>
        <v>89.073499999999996</v>
      </c>
      <c r="J935" s="278">
        <f>VLOOKUP(H935,'GDP Deflators'!$H$13:$I$86,2,FALSE)</f>
        <v>100</v>
      </c>
      <c r="K935" s="297">
        <f t="shared" ca="1" si="81"/>
        <v>-298.92</v>
      </c>
      <c r="L935" s="746">
        <f t="shared" ca="1" si="79"/>
        <v>-335.58802561929195</v>
      </c>
      <c r="M935" s="278" t="str">
        <f t="shared" si="82"/>
        <v>Carbon valuation</v>
      </c>
      <c r="N935" s="326">
        <f t="shared" si="83"/>
        <v>2.1428571428571401</v>
      </c>
      <c r="O935" s="278" t="s">
        <v>718</v>
      </c>
      <c r="P935" s="278" t="str">
        <f t="shared" si="84"/>
        <v>UK government carbon values</v>
      </c>
      <c r="Q935" s="299">
        <f t="shared" si="87"/>
        <v>40</v>
      </c>
      <c r="R935" s="299" t="str">
        <f t="shared" si="85"/>
        <v>BEIS (2021) Valuing greenhouse gas emissions in policy appraisal</v>
      </c>
      <c r="S935" s="299" t="str">
        <f t="shared" si="85"/>
        <v>ENCA</v>
      </c>
      <c r="T935" s="299">
        <f t="shared" si="85"/>
        <v>2021</v>
      </c>
      <c r="U935" s="299" t="str">
        <f t="shared" si="85"/>
        <v>UK</v>
      </c>
      <c r="V935" s="299" t="str">
        <f t="shared" si="85"/>
        <v>UK</v>
      </c>
      <c r="W935" s="299" t="str">
        <f t="shared" si="85"/>
        <v>N/A</v>
      </c>
    </row>
    <row r="936" spans="2:23">
      <c r="B936" s="302" t="s">
        <v>2897</v>
      </c>
      <c r="C936" s="279" t="s">
        <v>2645</v>
      </c>
      <c r="D936" s="278" t="s">
        <v>599</v>
      </c>
      <c r="E936" s="278" t="s">
        <v>456</v>
      </c>
      <c r="F936" s="299">
        <f t="shared" si="86"/>
        <v>2021</v>
      </c>
      <c r="G936" s="278">
        <v>2020</v>
      </c>
      <c r="H936" s="278">
        <f>'COMPANY INPUT'!$C$16</f>
        <v>2023</v>
      </c>
      <c r="I936" s="278">
        <f>VLOOKUP(G936,'GDP Deflators'!$H$13:$I$86,2,FALSE)</f>
        <v>89.073499999999996</v>
      </c>
      <c r="J936" s="278">
        <f>VLOOKUP(H936,'GDP Deflators'!$H$13:$I$86,2,FALSE)</f>
        <v>100</v>
      </c>
      <c r="K936" s="297">
        <f t="shared" ca="1" si="81"/>
        <v>-2259.1333333333332</v>
      </c>
      <c r="L936" s="746">
        <f t="shared" ca="1" si="79"/>
        <v>-2536.2575101835373</v>
      </c>
      <c r="M936" s="278" t="str">
        <f t="shared" si="82"/>
        <v>Carbon valuation</v>
      </c>
      <c r="N936" s="326">
        <f t="shared" si="83"/>
        <v>2.1428571428571401</v>
      </c>
      <c r="O936" s="278" t="s">
        <v>718</v>
      </c>
      <c r="P936" s="278" t="str">
        <f t="shared" si="84"/>
        <v>UK government carbon values</v>
      </c>
      <c r="Q936" s="299">
        <f t="shared" si="87"/>
        <v>40</v>
      </c>
      <c r="R936" s="299" t="str">
        <f t="shared" si="85"/>
        <v>BEIS (2021) Valuing greenhouse gas emissions in policy appraisal</v>
      </c>
      <c r="S936" s="299" t="str">
        <f t="shared" si="85"/>
        <v>ENCA</v>
      </c>
      <c r="T936" s="299">
        <f t="shared" si="85"/>
        <v>2021</v>
      </c>
      <c r="U936" s="299" t="str">
        <f t="shared" si="85"/>
        <v>UK</v>
      </c>
      <c r="V936" s="299" t="str">
        <f t="shared" si="85"/>
        <v>UK</v>
      </c>
      <c r="W936" s="299" t="str">
        <f t="shared" si="85"/>
        <v>N/A</v>
      </c>
    </row>
    <row r="937" spans="2:23">
      <c r="B937" s="302" t="s">
        <v>2898</v>
      </c>
      <c r="C937" s="279" t="s">
        <v>2645</v>
      </c>
      <c r="D937" s="278" t="s">
        <v>600</v>
      </c>
      <c r="E937" s="278" t="s">
        <v>456</v>
      </c>
      <c r="F937" s="299">
        <f t="shared" si="86"/>
        <v>2021</v>
      </c>
      <c r="G937" s="278">
        <v>2020</v>
      </c>
      <c r="H937" s="278">
        <f>'COMPANY INPUT'!$C$16</f>
        <v>2023</v>
      </c>
      <c r="I937" s="278">
        <f>VLOOKUP(G937,'GDP Deflators'!$H$13:$I$86,2,FALSE)</f>
        <v>89.073499999999996</v>
      </c>
      <c r="J937" s="278">
        <f>VLOOKUP(H937,'GDP Deflators'!$H$13:$I$86,2,FALSE)</f>
        <v>100</v>
      </c>
      <c r="K937" s="297">
        <f t="shared" ca="1" si="81"/>
        <v>-1694.35</v>
      </c>
      <c r="L937" s="746">
        <f t="shared" ca="1" si="79"/>
        <v>-1902.193132637653</v>
      </c>
      <c r="M937" s="278" t="str">
        <f t="shared" si="82"/>
        <v>Carbon valuation</v>
      </c>
      <c r="N937" s="326">
        <f t="shared" si="83"/>
        <v>2.1428571428571401</v>
      </c>
      <c r="O937" s="278" t="s">
        <v>718</v>
      </c>
      <c r="P937" s="278" t="str">
        <f t="shared" si="84"/>
        <v>UK government carbon values</v>
      </c>
      <c r="Q937" s="299">
        <f t="shared" si="87"/>
        <v>40</v>
      </c>
      <c r="R937" s="299" t="str">
        <f t="shared" si="85"/>
        <v>BEIS (2021) Valuing greenhouse gas emissions in policy appraisal</v>
      </c>
      <c r="S937" s="299" t="str">
        <f t="shared" si="85"/>
        <v>ENCA</v>
      </c>
      <c r="T937" s="299">
        <f t="shared" si="85"/>
        <v>2021</v>
      </c>
      <c r="U937" s="299" t="str">
        <f t="shared" si="85"/>
        <v>UK</v>
      </c>
      <c r="V937" s="299" t="str">
        <f t="shared" si="85"/>
        <v>UK</v>
      </c>
      <c r="W937" s="299" t="str">
        <f t="shared" si="85"/>
        <v>N/A</v>
      </c>
    </row>
    <row r="938" spans="2:23">
      <c r="B938" s="302" t="s">
        <v>2899</v>
      </c>
      <c r="C938" s="279" t="s">
        <v>2645</v>
      </c>
      <c r="D938" s="278" t="s">
        <v>601</v>
      </c>
      <c r="E938" s="278" t="s">
        <v>456</v>
      </c>
      <c r="F938" s="299">
        <f t="shared" si="86"/>
        <v>2021</v>
      </c>
      <c r="G938" s="278">
        <v>2020</v>
      </c>
      <c r="H938" s="278">
        <f>'COMPANY INPUT'!$C$16</f>
        <v>2023</v>
      </c>
      <c r="I938" s="278">
        <f>VLOOKUP(G938,'GDP Deflators'!$H$13:$I$86,2,FALSE)</f>
        <v>89.073499999999996</v>
      </c>
      <c r="J938" s="278">
        <f>VLOOKUP(H938,'GDP Deflators'!$H$13:$I$86,2,FALSE)</f>
        <v>100</v>
      </c>
      <c r="K938" s="297">
        <f t="shared" ca="1" si="81"/>
        <v>-1129.5666666666666</v>
      </c>
      <c r="L938" s="746">
        <f t="shared" ca="1" si="79"/>
        <v>-1268.1287550917687</v>
      </c>
      <c r="M938" s="278" t="str">
        <f t="shared" si="82"/>
        <v>Carbon valuation</v>
      </c>
      <c r="N938" s="326">
        <f t="shared" si="83"/>
        <v>2.1428571428571401</v>
      </c>
      <c r="O938" s="278" t="s">
        <v>718</v>
      </c>
      <c r="P938" s="278" t="str">
        <f t="shared" si="84"/>
        <v>UK government carbon values</v>
      </c>
      <c r="Q938" s="299">
        <f t="shared" si="87"/>
        <v>40</v>
      </c>
      <c r="R938" s="299" t="str">
        <f t="shared" si="85"/>
        <v>BEIS (2021) Valuing greenhouse gas emissions in policy appraisal</v>
      </c>
      <c r="S938" s="299" t="str">
        <f t="shared" si="85"/>
        <v>ENCA</v>
      </c>
      <c r="T938" s="299">
        <f t="shared" si="85"/>
        <v>2021</v>
      </c>
      <c r="U938" s="299" t="str">
        <f t="shared" si="85"/>
        <v>UK</v>
      </c>
      <c r="V938" s="299" t="str">
        <f t="shared" si="85"/>
        <v>UK</v>
      </c>
      <c r="W938" s="299" t="str">
        <f t="shared" si="85"/>
        <v>N/A</v>
      </c>
    </row>
    <row r="939" spans="2:23">
      <c r="B939" s="302" t="s">
        <v>2900</v>
      </c>
      <c r="C939" s="279" t="s">
        <v>2645</v>
      </c>
      <c r="D939" s="278" t="s">
        <v>602</v>
      </c>
      <c r="E939" s="278" t="s">
        <v>456</v>
      </c>
      <c r="F939" s="299">
        <f t="shared" si="86"/>
        <v>2021</v>
      </c>
      <c r="G939" s="278">
        <v>2020</v>
      </c>
      <c r="H939" s="278">
        <f>'COMPANY INPUT'!$C$16</f>
        <v>2023</v>
      </c>
      <c r="I939" s="278">
        <f>VLOOKUP(G939,'GDP Deflators'!$H$13:$I$86,2,FALSE)</f>
        <v>89.073499999999996</v>
      </c>
      <c r="J939" s="278">
        <f>VLOOKUP(H939,'GDP Deflators'!$H$13:$I$86,2,FALSE)</f>
        <v>100</v>
      </c>
      <c r="K939" s="297">
        <f t="shared" ca="1" si="81"/>
        <v>-6061.1200000000008</v>
      </c>
      <c r="L939" s="746">
        <f t="shared" ca="1" si="79"/>
        <v>-6804.6276389723107</v>
      </c>
      <c r="M939" s="278" t="str">
        <f t="shared" si="82"/>
        <v>Carbon valuation</v>
      </c>
      <c r="N939" s="326">
        <f t="shared" si="83"/>
        <v>2.1428571428571401</v>
      </c>
      <c r="O939" s="278" t="s">
        <v>718</v>
      </c>
      <c r="P939" s="278" t="str">
        <f t="shared" si="84"/>
        <v>UK government carbon values</v>
      </c>
      <c r="Q939" s="299">
        <f t="shared" si="87"/>
        <v>40</v>
      </c>
      <c r="R939" s="299" t="str">
        <f t="shared" si="85"/>
        <v>BEIS (2021) Valuing greenhouse gas emissions in policy appraisal</v>
      </c>
      <c r="S939" s="299" t="str">
        <f t="shared" si="85"/>
        <v>ENCA</v>
      </c>
      <c r="T939" s="299">
        <f t="shared" si="85"/>
        <v>2021</v>
      </c>
      <c r="U939" s="299" t="str">
        <f t="shared" si="85"/>
        <v>UK</v>
      </c>
      <c r="V939" s="299" t="str">
        <f t="shared" si="85"/>
        <v>UK</v>
      </c>
      <c r="W939" s="299" t="str">
        <f t="shared" si="85"/>
        <v>N/A</v>
      </c>
    </row>
    <row r="940" spans="2:23">
      <c r="B940" s="302" t="s">
        <v>2901</v>
      </c>
      <c r="C940" s="279" t="s">
        <v>2645</v>
      </c>
      <c r="D940" s="278" t="s">
        <v>603</v>
      </c>
      <c r="E940" s="278" t="s">
        <v>456</v>
      </c>
      <c r="F940" s="299">
        <f t="shared" si="86"/>
        <v>2021</v>
      </c>
      <c r="G940" s="278">
        <v>2020</v>
      </c>
      <c r="H940" s="278">
        <f>'COMPANY INPUT'!$C$16</f>
        <v>2023</v>
      </c>
      <c r="I940" s="278">
        <f>VLOOKUP(G940,'GDP Deflators'!$H$13:$I$86,2,FALSE)</f>
        <v>89.073499999999996</v>
      </c>
      <c r="J940" s="278">
        <f>VLOOKUP(H940,'GDP Deflators'!$H$13:$I$86,2,FALSE)</f>
        <v>100</v>
      </c>
      <c r="K940" s="297">
        <f t="shared" ca="1" si="81"/>
        <v>-4545.84</v>
      </c>
      <c r="L940" s="746">
        <f t="shared" ca="1" si="79"/>
        <v>-5103.4707292292323</v>
      </c>
      <c r="M940" s="278" t="str">
        <f t="shared" si="82"/>
        <v>Carbon valuation</v>
      </c>
      <c r="N940" s="326">
        <f t="shared" si="83"/>
        <v>2.1428571428571401</v>
      </c>
      <c r="O940" s="278" t="s">
        <v>718</v>
      </c>
      <c r="P940" s="278" t="str">
        <f t="shared" si="84"/>
        <v>UK government carbon values</v>
      </c>
      <c r="Q940" s="299">
        <f t="shared" si="87"/>
        <v>40</v>
      </c>
      <c r="R940" s="299" t="str">
        <f t="shared" si="85"/>
        <v>BEIS (2021) Valuing greenhouse gas emissions in policy appraisal</v>
      </c>
      <c r="S940" s="299" t="str">
        <f t="shared" si="85"/>
        <v>ENCA</v>
      </c>
      <c r="T940" s="299">
        <f t="shared" si="85"/>
        <v>2021</v>
      </c>
      <c r="U940" s="299" t="str">
        <f t="shared" si="85"/>
        <v>UK</v>
      </c>
      <c r="V940" s="299" t="str">
        <f t="shared" si="85"/>
        <v>UK</v>
      </c>
      <c r="W940" s="299" t="str">
        <f t="shared" si="85"/>
        <v>N/A</v>
      </c>
    </row>
    <row r="941" spans="2:23">
      <c r="B941" s="302" t="s">
        <v>2902</v>
      </c>
      <c r="C941" s="279" t="s">
        <v>2645</v>
      </c>
      <c r="D941" s="278" t="s">
        <v>604</v>
      </c>
      <c r="E941" s="278" t="s">
        <v>456</v>
      </c>
      <c r="F941" s="299">
        <f t="shared" si="86"/>
        <v>2021</v>
      </c>
      <c r="G941" s="278">
        <v>2020</v>
      </c>
      <c r="H941" s="278">
        <f>'COMPANY INPUT'!$C$16</f>
        <v>2023</v>
      </c>
      <c r="I941" s="278">
        <f>VLOOKUP(G941,'GDP Deflators'!$H$13:$I$86,2,FALSE)</f>
        <v>89.073499999999996</v>
      </c>
      <c r="J941" s="278">
        <f>VLOOKUP(H941,'GDP Deflators'!$H$13:$I$86,2,FALSE)</f>
        <v>100</v>
      </c>
      <c r="K941" s="297">
        <f t="shared" ca="1" si="81"/>
        <v>-3030.5600000000004</v>
      </c>
      <c r="L941" s="746">
        <f t="shared" ca="1" si="79"/>
        <v>-3402.3138194861554</v>
      </c>
      <c r="M941" s="278" t="str">
        <f t="shared" si="82"/>
        <v>Carbon valuation</v>
      </c>
      <c r="N941" s="326">
        <f t="shared" si="83"/>
        <v>2.1428571428571401</v>
      </c>
      <c r="O941" s="278" t="s">
        <v>718</v>
      </c>
      <c r="P941" s="278" t="str">
        <f t="shared" si="84"/>
        <v>UK government carbon values</v>
      </c>
      <c r="Q941" s="299">
        <f t="shared" si="87"/>
        <v>40</v>
      </c>
      <c r="R941" s="299" t="str">
        <f t="shared" si="85"/>
        <v>BEIS (2021) Valuing greenhouse gas emissions in policy appraisal</v>
      </c>
      <c r="S941" s="299" t="str">
        <f t="shared" si="85"/>
        <v>ENCA</v>
      </c>
      <c r="T941" s="299">
        <f t="shared" si="85"/>
        <v>2021</v>
      </c>
      <c r="U941" s="299" t="str">
        <f t="shared" si="85"/>
        <v>UK</v>
      </c>
      <c r="V941" s="299" t="str">
        <f t="shared" si="85"/>
        <v>UK</v>
      </c>
      <c r="W941" s="299" t="str">
        <f t="shared" si="85"/>
        <v>N/A</v>
      </c>
    </row>
    <row r="942" spans="2:23">
      <c r="B942" s="302" t="s">
        <v>2903</v>
      </c>
      <c r="C942" s="279" t="s">
        <v>2645</v>
      </c>
      <c r="D942" s="278" t="s">
        <v>605</v>
      </c>
      <c r="E942" s="278" t="s">
        <v>456</v>
      </c>
      <c r="F942" s="299">
        <f t="shared" si="86"/>
        <v>2021</v>
      </c>
      <c r="G942" s="278">
        <v>2020</v>
      </c>
      <c r="H942" s="278">
        <f>'COMPANY INPUT'!$C$16</f>
        <v>2023</v>
      </c>
      <c r="I942" s="278">
        <f>VLOOKUP(G942,'GDP Deflators'!$H$13:$I$86,2,FALSE)</f>
        <v>89.073499999999996</v>
      </c>
      <c r="J942" s="278">
        <f>VLOOKUP(H942,'GDP Deflators'!$H$13:$I$86,2,FALSE)</f>
        <v>100</v>
      </c>
      <c r="K942" s="297">
        <f t="shared" ca="1" si="81"/>
        <v>-597.84</v>
      </c>
      <c r="L942" s="746">
        <f t="shared" ca="1" si="79"/>
        <v>-671.17605123858391</v>
      </c>
      <c r="M942" s="278" t="str">
        <f t="shared" si="82"/>
        <v>Carbon valuation</v>
      </c>
      <c r="N942" s="326">
        <f t="shared" si="83"/>
        <v>2.1428571428571401</v>
      </c>
      <c r="O942" s="278" t="s">
        <v>718</v>
      </c>
      <c r="P942" s="278" t="str">
        <f t="shared" si="84"/>
        <v>UK government carbon values</v>
      </c>
      <c r="Q942" s="299">
        <f t="shared" si="87"/>
        <v>40</v>
      </c>
      <c r="R942" s="299" t="str">
        <f t="shared" si="85"/>
        <v>BEIS (2021) Valuing greenhouse gas emissions in policy appraisal</v>
      </c>
      <c r="S942" s="299" t="str">
        <f t="shared" si="85"/>
        <v>ENCA</v>
      </c>
      <c r="T942" s="299">
        <f t="shared" si="85"/>
        <v>2021</v>
      </c>
      <c r="U942" s="299" t="str">
        <f t="shared" si="85"/>
        <v>UK</v>
      </c>
      <c r="V942" s="299" t="str">
        <f t="shared" si="85"/>
        <v>UK</v>
      </c>
      <c r="W942" s="299" t="str">
        <f t="shared" si="85"/>
        <v>N/A</v>
      </c>
    </row>
    <row r="943" spans="2:23">
      <c r="B943" s="302" t="s">
        <v>2904</v>
      </c>
      <c r="C943" s="279" t="s">
        <v>2645</v>
      </c>
      <c r="D943" s="278" t="s">
        <v>606</v>
      </c>
      <c r="E943" s="278" t="s">
        <v>456</v>
      </c>
      <c r="F943" s="299">
        <f t="shared" si="86"/>
        <v>2021</v>
      </c>
      <c r="G943" s="278">
        <v>2020</v>
      </c>
      <c r="H943" s="278">
        <f>'COMPANY INPUT'!$C$16</f>
        <v>2023</v>
      </c>
      <c r="I943" s="278">
        <f>VLOOKUP(G943,'GDP Deflators'!$H$13:$I$86,2,FALSE)</f>
        <v>89.073499999999996</v>
      </c>
      <c r="J943" s="278">
        <f>VLOOKUP(H943,'GDP Deflators'!$H$13:$I$86,2,FALSE)</f>
        <v>100</v>
      </c>
      <c r="K943" s="297">
        <f t="shared" ca="1" si="81"/>
        <v>-448.38</v>
      </c>
      <c r="L943" s="746">
        <f t="shared" ca="1" si="79"/>
        <v>-503.3820384289379</v>
      </c>
      <c r="M943" s="278" t="str">
        <f t="shared" si="82"/>
        <v>Carbon valuation</v>
      </c>
      <c r="N943" s="326">
        <f t="shared" si="83"/>
        <v>2.1428571428571401</v>
      </c>
      <c r="O943" s="278" t="s">
        <v>718</v>
      </c>
      <c r="P943" s="278" t="str">
        <f t="shared" si="84"/>
        <v>UK government carbon values</v>
      </c>
      <c r="Q943" s="299">
        <f t="shared" si="87"/>
        <v>40</v>
      </c>
      <c r="R943" s="299" t="str">
        <f t="shared" ref="R943:R955" si="88">C$762</f>
        <v>BEIS (2021) Valuing greenhouse gas emissions in policy appraisal</v>
      </c>
      <c r="S943" s="299" t="str">
        <f t="shared" ref="S943:S955" si="89">D$762</f>
        <v>ENCA</v>
      </c>
      <c r="T943" s="299">
        <f t="shared" ref="T943:T955" si="90">E$762</f>
        <v>2021</v>
      </c>
      <c r="U943" s="299" t="str">
        <f t="shared" ref="U943:U955" si="91">F$762</f>
        <v>UK</v>
      </c>
      <c r="V943" s="299" t="str">
        <f t="shared" ref="V943:V955" si="92">G$762</f>
        <v>UK</v>
      </c>
      <c r="W943" s="299" t="str">
        <f t="shared" ref="W943:W955" si="93">H$762</f>
        <v>N/A</v>
      </c>
    </row>
    <row r="944" spans="2:23">
      <c r="B944" s="302" t="s">
        <v>2905</v>
      </c>
      <c r="C944" s="279" t="s">
        <v>2645</v>
      </c>
      <c r="D944" s="278" t="s">
        <v>607</v>
      </c>
      <c r="E944" s="278" t="s">
        <v>456</v>
      </c>
      <c r="F944" s="299">
        <f t="shared" si="86"/>
        <v>2021</v>
      </c>
      <c r="G944" s="278">
        <v>2020</v>
      </c>
      <c r="H944" s="278">
        <f>'COMPANY INPUT'!$C$16</f>
        <v>2023</v>
      </c>
      <c r="I944" s="278">
        <f>VLOOKUP(G944,'GDP Deflators'!$H$13:$I$86,2,FALSE)</f>
        <v>89.073499999999996</v>
      </c>
      <c r="J944" s="278">
        <f>VLOOKUP(H944,'GDP Deflators'!$H$13:$I$86,2,FALSE)</f>
        <v>100</v>
      </c>
      <c r="K944" s="297">
        <f t="shared" ca="1" si="81"/>
        <v>-298.92</v>
      </c>
      <c r="L944" s="746">
        <f t="shared" ca="1" si="79"/>
        <v>-335.58802561929195</v>
      </c>
      <c r="M944" s="278" t="str">
        <f t="shared" si="82"/>
        <v>Carbon valuation</v>
      </c>
      <c r="N944" s="326">
        <f t="shared" si="83"/>
        <v>2.1428571428571401</v>
      </c>
      <c r="O944" s="278" t="s">
        <v>718</v>
      </c>
      <c r="P944" s="278" t="str">
        <f t="shared" si="84"/>
        <v>UK government carbon values</v>
      </c>
      <c r="Q944" s="299">
        <f t="shared" si="87"/>
        <v>40</v>
      </c>
      <c r="R944" s="299" t="str">
        <f t="shared" si="88"/>
        <v>BEIS (2021) Valuing greenhouse gas emissions in policy appraisal</v>
      </c>
      <c r="S944" s="299" t="str">
        <f t="shared" si="89"/>
        <v>ENCA</v>
      </c>
      <c r="T944" s="299">
        <f t="shared" si="90"/>
        <v>2021</v>
      </c>
      <c r="U944" s="299" t="str">
        <f t="shared" si="91"/>
        <v>UK</v>
      </c>
      <c r="V944" s="299" t="str">
        <f t="shared" si="92"/>
        <v>UK</v>
      </c>
      <c r="W944" s="299" t="str">
        <f t="shared" si="93"/>
        <v>N/A</v>
      </c>
    </row>
    <row r="945" spans="1:23">
      <c r="B945" s="302" t="s">
        <v>2906</v>
      </c>
      <c r="C945" s="279" t="s">
        <v>2645</v>
      </c>
      <c r="D945" s="278" t="s">
        <v>609</v>
      </c>
      <c r="E945" s="278" t="s">
        <v>456</v>
      </c>
      <c r="F945" s="299">
        <f t="shared" si="86"/>
        <v>2021</v>
      </c>
      <c r="G945" s="278">
        <v>2020</v>
      </c>
      <c r="H945" s="278">
        <f>'COMPANY INPUT'!$C$16</f>
        <v>2023</v>
      </c>
      <c r="I945" s="278">
        <f>VLOOKUP(G945,'GDP Deflators'!$H$13:$I$86,2,FALSE)</f>
        <v>89.073499999999996</v>
      </c>
      <c r="J945" s="278">
        <f>VLOOKUP(H945,'GDP Deflators'!$H$13:$I$86,2,FALSE)</f>
        <v>100</v>
      </c>
      <c r="K945" s="297">
        <f t="shared" ca="1" si="81"/>
        <v>109.03999999999999</v>
      </c>
      <c r="L945" s="746">
        <f t="shared" ca="1" si="79"/>
        <v>122.41575777307503</v>
      </c>
      <c r="M945" s="278" t="str">
        <f t="shared" si="82"/>
        <v>Carbon valuation</v>
      </c>
      <c r="N945" s="326">
        <f t="shared" si="83"/>
        <v>2.1428571428571401</v>
      </c>
      <c r="O945" s="278" t="s">
        <v>718</v>
      </c>
      <c r="P945" s="278" t="str">
        <f t="shared" si="84"/>
        <v>UK government carbon values</v>
      </c>
      <c r="Q945" s="299">
        <f t="shared" si="87"/>
        <v>40</v>
      </c>
      <c r="R945" s="299" t="str">
        <f t="shared" si="88"/>
        <v>BEIS (2021) Valuing greenhouse gas emissions in policy appraisal</v>
      </c>
      <c r="S945" s="299" t="str">
        <f t="shared" si="89"/>
        <v>ENCA</v>
      </c>
      <c r="T945" s="299">
        <f t="shared" si="90"/>
        <v>2021</v>
      </c>
      <c r="U945" s="299" t="str">
        <f t="shared" si="91"/>
        <v>UK</v>
      </c>
      <c r="V945" s="299" t="str">
        <f t="shared" si="92"/>
        <v>UK</v>
      </c>
      <c r="W945" s="299" t="str">
        <f t="shared" si="93"/>
        <v>N/A</v>
      </c>
    </row>
    <row r="946" spans="1:23">
      <c r="B946" s="302" t="s">
        <v>2907</v>
      </c>
      <c r="C946" s="279" t="s">
        <v>2645</v>
      </c>
      <c r="D946" s="278" t="s">
        <v>610</v>
      </c>
      <c r="E946" s="278" t="s">
        <v>456</v>
      </c>
      <c r="F946" s="299">
        <f t="shared" si="86"/>
        <v>2021</v>
      </c>
      <c r="G946" s="278">
        <v>2020</v>
      </c>
      <c r="H946" s="278">
        <f>'COMPANY INPUT'!$C$16</f>
        <v>2023</v>
      </c>
      <c r="I946" s="278">
        <f>VLOOKUP(G946,'GDP Deflators'!$H$13:$I$86,2,FALSE)</f>
        <v>89.073499999999996</v>
      </c>
      <c r="J946" s="278">
        <f>VLOOKUP(H946,'GDP Deflators'!$H$13:$I$86,2,FALSE)</f>
        <v>100</v>
      </c>
      <c r="K946" s="297">
        <f t="shared" ca="1" si="81"/>
        <v>263.2</v>
      </c>
      <c r="L946" s="746">
        <f t="shared" ca="1" si="79"/>
        <v>295.4863118660432</v>
      </c>
      <c r="M946" s="278" t="str">
        <f t="shared" si="82"/>
        <v>Carbon valuation</v>
      </c>
      <c r="N946" s="326">
        <f t="shared" si="83"/>
        <v>2.1428571428571401</v>
      </c>
      <c r="O946" s="278" t="s">
        <v>718</v>
      </c>
      <c r="P946" s="278" t="str">
        <f t="shared" si="84"/>
        <v>UK government carbon values</v>
      </c>
      <c r="Q946" s="299">
        <f t="shared" si="87"/>
        <v>40</v>
      </c>
      <c r="R946" s="299" t="str">
        <f t="shared" si="88"/>
        <v>BEIS (2021) Valuing greenhouse gas emissions in policy appraisal</v>
      </c>
      <c r="S946" s="299" t="str">
        <f t="shared" si="89"/>
        <v>ENCA</v>
      </c>
      <c r="T946" s="299">
        <f t="shared" si="90"/>
        <v>2021</v>
      </c>
      <c r="U946" s="299" t="str">
        <f t="shared" si="91"/>
        <v>UK</v>
      </c>
      <c r="V946" s="299" t="str">
        <f t="shared" si="92"/>
        <v>UK</v>
      </c>
      <c r="W946" s="299" t="str">
        <f t="shared" si="93"/>
        <v>N/A</v>
      </c>
    </row>
    <row r="947" spans="1:23">
      <c r="B947" s="302" t="s">
        <v>2908</v>
      </c>
      <c r="C947" s="279" t="s">
        <v>2645</v>
      </c>
      <c r="D947" s="278" t="s">
        <v>611</v>
      </c>
      <c r="E947" s="278" t="s">
        <v>456</v>
      </c>
      <c r="F947" s="299">
        <f t="shared" si="86"/>
        <v>2021</v>
      </c>
      <c r="G947" s="278">
        <v>2020</v>
      </c>
      <c r="H947" s="278">
        <f>'COMPANY INPUT'!$C$16</f>
        <v>2023</v>
      </c>
      <c r="I947" s="278">
        <f>VLOOKUP(G947,'GDP Deflators'!$H$13:$I$86,2,FALSE)</f>
        <v>89.073499999999996</v>
      </c>
      <c r="J947" s="278">
        <f>VLOOKUP(H947,'GDP Deflators'!$H$13:$I$86,2,FALSE)</f>
        <v>100</v>
      </c>
      <c r="K947" s="297">
        <f t="shared" ca="1" si="81"/>
        <v>-253.8</v>
      </c>
      <c r="L947" s="746">
        <f t="shared" ca="1" si="79"/>
        <v>-284.93322929939882</v>
      </c>
      <c r="M947" s="278" t="str">
        <f t="shared" si="82"/>
        <v>Carbon valuation</v>
      </c>
      <c r="N947" s="326">
        <f t="shared" si="83"/>
        <v>2.1428571428571401</v>
      </c>
      <c r="O947" s="278" t="s">
        <v>718</v>
      </c>
      <c r="P947" s="278" t="str">
        <f t="shared" si="84"/>
        <v>UK government carbon values</v>
      </c>
      <c r="Q947" s="299">
        <f t="shared" si="87"/>
        <v>40</v>
      </c>
      <c r="R947" s="299" t="str">
        <f t="shared" si="88"/>
        <v>BEIS (2021) Valuing greenhouse gas emissions in policy appraisal</v>
      </c>
      <c r="S947" s="299" t="str">
        <f t="shared" si="89"/>
        <v>ENCA</v>
      </c>
      <c r="T947" s="299">
        <f t="shared" si="90"/>
        <v>2021</v>
      </c>
      <c r="U947" s="299" t="str">
        <f t="shared" si="91"/>
        <v>UK</v>
      </c>
      <c r="V947" s="299" t="str">
        <f t="shared" si="92"/>
        <v>UK</v>
      </c>
      <c r="W947" s="299" t="str">
        <f t="shared" si="93"/>
        <v>N/A</v>
      </c>
    </row>
    <row r="948" spans="1:23">
      <c r="B948" s="302" t="s">
        <v>2909</v>
      </c>
      <c r="C948" s="279" t="s">
        <v>2645</v>
      </c>
      <c r="D948" s="278" t="s">
        <v>612</v>
      </c>
      <c r="E948" s="278" t="s">
        <v>456</v>
      </c>
      <c r="F948" s="299">
        <f t="shared" si="86"/>
        <v>2021</v>
      </c>
      <c r="G948" s="278">
        <v>2020</v>
      </c>
      <c r="H948" s="278">
        <f>'COMPANY INPUT'!$C$16</f>
        <v>2023</v>
      </c>
      <c r="I948" s="278">
        <f>VLOOKUP(G948,'GDP Deflators'!$H$13:$I$86,2,FALSE)</f>
        <v>89.073499999999996</v>
      </c>
      <c r="J948" s="278">
        <f>VLOOKUP(H948,'GDP Deflators'!$H$13:$I$86,2,FALSE)</f>
        <v>100</v>
      </c>
      <c r="K948" s="297">
        <f t="shared" ca="1" si="81"/>
        <v>-190.35000000000002</v>
      </c>
      <c r="L948" s="746">
        <f t="shared" ca="1" si="79"/>
        <v>-213.69992197454914</v>
      </c>
      <c r="M948" s="278" t="str">
        <f t="shared" si="82"/>
        <v>Carbon valuation</v>
      </c>
      <c r="N948" s="326">
        <f t="shared" si="83"/>
        <v>2.1428571428571401</v>
      </c>
      <c r="O948" s="278" t="s">
        <v>718</v>
      </c>
      <c r="P948" s="278" t="str">
        <f t="shared" si="84"/>
        <v>UK government carbon values</v>
      </c>
      <c r="Q948" s="299">
        <f t="shared" si="87"/>
        <v>40</v>
      </c>
      <c r="R948" s="299" t="str">
        <f t="shared" si="88"/>
        <v>BEIS (2021) Valuing greenhouse gas emissions in policy appraisal</v>
      </c>
      <c r="S948" s="299" t="str">
        <f t="shared" si="89"/>
        <v>ENCA</v>
      </c>
      <c r="T948" s="299">
        <f t="shared" si="90"/>
        <v>2021</v>
      </c>
      <c r="U948" s="299" t="str">
        <f t="shared" si="91"/>
        <v>UK</v>
      </c>
      <c r="V948" s="299" t="str">
        <f t="shared" si="92"/>
        <v>UK</v>
      </c>
      <c r="W948" s="299" t="str">
        <f t="shared" si="93"/>
        <v>N/A</v>
      </c>
    </row>
    <row r="949" spans="1:23">
      <c r="B949" s="302" t="s">
        <v>2910</v>
      </c>
      <c r="C949" s="279" t="s">
        <v>2645</v>
      </c>
      <c r="D949" s="278" t="s">
        <v>613</v>
      </c>
      <c r="E949" s="278" t="s">
        <v>456</v>
      </c>
      <c r="F949" s="299">
        <f t="shared" si="86"/>
        <v>2021</v>
      </c>
      <c r="G949" s="278">
        <v>2020</v>
      </c>
      <c r="H949" s="278">
        <f>'COMPANY INPUT'!$C$16</f>
        <v>2023</v>
      </c>
      <c r="I949" s="278">
        <f>VLOOKUP(G949,'GDP Deflators'!$H$13:$I$86,2,FALSE)</f>
        <v>89.073499999999996</v>
      </c>
      <c r="J949" s="278">
        <f>VLOOKUP(H949,'GDP Deflators'!$H$13:$I$86,2,FALSE)</f>
        <v>100</v>
      </c>
      <c r="K949" s="297">
        <f t="shared" ca="1" si="81"/>
        <v>-126.9</v>
      </c>
      <c r="L949" s="746">
        <f t="shared" ca="1" si="79"/>
        <v>-142.46661464969941</v>
      </c>
      <c r="M949" s="278" t="str">
        <f t="shared" si="82"/>
        <v>Carbon valuation</v>
      </c>
      <c r="N949" s="326">
        <f t="shared" si="83"/>
        <v>2.1428571428571401</v>
      </c>
      <c r="O949" s="278" t="s">
        <v>718</v>
      </c>
      <c r="P949" s="278" t="str">
        <f t="shared" si="84"/>
        <v>UK government carbon values</v>
      </c>
      <c r="Q949" s="299">
        <f t="shared" si="87"/>
        <v>40</v>
      </c>
      <c r="R949" s="299" t="str">
        <f t="shared" si="88"/>
        <v>BEIS (2021) Valuing greenhouse gas emissions in policy appraisal</v>
      </c>
      <c r="S949" s="299" t="str">
        <f t="shared" si="89"/>
        <v>ENCA</v>
      </c>
      <c r="T949" s="299">
        <f t="shared" si="90"/>
        <v>2021</v>
      </c>
      <c r="U949" s="299" t="str">
        <f t="shared" si="91"/>
        <v>UK</v>
      </c>
      <c r="V949" s="299" t="str">
        <f t="shared" si="92"/>
        <v>UK</v>
      </c>
      <c r="W949" s="299" t="str">
        <f t="shared" si="93"/>
        <v>N/A</v>
      </c>
    </row>
    <row r="950" spans="1:23">
      <c r="B950" s="302" t="s">
        <v>2911</v>
      </c>
      <c r="C950" s="279" t="s">
        <v>2645</v>
      </c>
      <c r="D950" s="278" t="s">
        <v>614</v>
      </c>
      <c r="E950" s="278" t="s">
        <v>456</v>
      </c>
      <c r="F950" s="299">
        <f t="shared" si="86"/>
        <v>2021</v>
      </c>
      <c r="G950" s="278">
        <v>2020</v>
      </c>
      <c r="H950" s="278">
        <f>'COMPANY INPUT'!$C$16</f>
        <v>2023</v>
      </c>
      <c r="I950" s="278">
        <f>VLOOKUP(G950,'GDP Deflators'!$H$13:$I$86,2,FALSE)</f>
        <v>89.073499999999996</v>
      </c>
      <c r="J950" s="278">
        <f>VLOOKUP(H950,'GDP Deflators'!$H$13:$I$86,2,FALSE)</f>
        <v>100</v>
      </c>
      <c r="K950" s="297">
        <f t="shared" ca="1" si="81"/>
        <v>-135.35999999999999</v>
      </c>
      <c r="L950" s="746">
        <f t="shared" ca="1" si="79"/>
        <v>-151.96438895967935</v>
      </c>
      <c r="M950" s="278" t="str">
        <f t="shared" si="82"/>
        <v>Carbon valuation</v>
      </c>
      <c r="N950" s="326">
        <f t="shared" si="83"/>
        <v>2.1428571428571401</v>
      </c>
      <c r="O950" s="278" t="s">
        <v>718</v>
      </c>
      <c r="P950" s="278" t="str">
        <f t="shared" si="84"/>
        <v>UK government carbon values</v>
      </c>
      <c r="Q950" s="299">
        <f t="shared" si="87"/>
        <v>40</v>
      </c>
      <c r="R950" s="299" t="str">
        <f t="shared" si="88"/>
        <v>BEIS (2021) Valuing greenhouse gas emissions in policy appraisal</v>
      </c>
      <c r="S950" s="299" t="str">
        <f t="shared" si="89"/>
        <v>ENCA</v>
      </c>
      <c r="T950" s="299">
        <f t="shared" si="90"/>
        <v>2021</v>
      </c>
      <c r="U950" s="299" t="str">
        <f t="shared" si="91"/>
        <v>UK</v>
      </c>
      <c r="V950" s="299" t="str">
        <f t="shared" si="92"/>
        <v>UK</v>
      </c>
      <c r="W950" s="299" t="str">
        <f t="shared" si="93"/>
        <v>N/A</v>
      </c>
    </row>
    <row r="951" spans="1:23">
      <c r="B951" s="302" t="s">
        <v>2912</v>
      </c>
      <c r="C951" s="279" t="s">
        <v>2645</v>
      </c>
      <c r="D951" s="278" t="s">
        <v>615</v>
      </c>
      <c r="E951" s="278" t="s">
        <v>456</v>
      </c>
      <c r="F951" s="299">
        <f t="shared" si="86"/>
        <v>2021</v>
      </c>
      <c r="G951" s="278">
        <v>2020</v>
      </c>
      <c r="H951" s="278">
        <f>'COMPANY INPUT'!$C$16</f>
        <v>2023</v>
      </c>
      <c r="I951" s="278">
        <f>VLOOKUP(G951,'GDP Deflators'!$H$13:$I$86,2,FALSE)</f>
        <v>89.073499999999996</v>
      </c>
      <c r="J951" s="278">
        <f>VLOOKUP(H951,'GDP Deflators'!$H$13:$I$86,2,FALSE)</f>
        <v>100</v>
      </c>
      <c r="K951" s="297">
        <f t="shared" ca="1" si="81"/>
        <v>1248.32</v>
      </c>
      <c r="L951" s="746">
        <f t="shared" ca="1" si="79"/>
        <v>1401.4493648503762</v>
      </c>
      <c r="M951" s="278" t="str">
        <f t="shared" si="82"/>
        <v>Carbon valuation</v>
      </c>
      <c r="N951" s="326">
        <f t="shared" si="83"/>
        <v>2.1428571428571401</v>
      </c>
      <c r="O951" s="278" t="s">
        <v>718</v>
      </c>
      <c r="P951" s="278" t="str">
        <f t="shared" si="84"/>
        <v>UK government carbon values</v>
      </c>
      <c r="Q951" s="299">
        <f t="shared" si="87"/>
        <v>40</v>
      </c>
      <c r="R951" s="299" t="str">
        <f t="shared" si="88"/>
        <v>BEIS (2021) Valuing greenhouse gas emissions in policy appraisal</v>
      </c>
      <c r="S951" s="299" t="str">
        <f t="shared" si="89"/>
        <v>ENCA</v>
      </c>
      <c r="T951" s="299">
        <f t="shared" si="90"/>
        <v>2021</v>
      </c>
      <c r="U951" s="299" t="str">
        <f t="shared" si="91"/>
        <v>UK</v>
      </c>
      <c r="V951" s="299" t="str">
        <f t="shared" si="92"/>
        <v>UK</v>
      </c>
      <c r="W951" s="299" t="str">
        <f t="shared" si="93"/>
        <v>N/A</v>
      </c>
    </row>
    <row r="952" spans="1:23">
      <c r="B952" s="302" t="s">
        <v>2913</v>
      </c>
      <c r="C952" s="279" t="s">
        <v>2645</v>
      </c>
      <c r="D952" s="278" t="s">
        <v>616</v>
      </c>
      <c r="E952" s="278" t="s">
        <v>456</v>
      </c>
      <c r="F952" s="299">
        <f t="shared" si="86"/>
        <v>2021</v>
      </c>
      <c r="G952" s="278">
        <v>2020</v>
      </c>
      <c r="H952" s="278">
        <f>'COMPANY INPUT'!$C$16</f>
        <v>2023</v>
      </c>
      <c r="I952" s="278">
        <f>VLOOKUP(G952,'GDP Deflators'!$H$13:$I$86,2,FALSE)</f>
        <v>89.073499999999996</v>
      </c>
      <c r="J952" s="278">
        <f>VLOOKUP(H952,'GDP Deflators'!$H$13:$I$86,2,FALSE)</f>
        <v>100</v>
      </c>
      <c r="K952" s="297">
        <f t="shared" ca="1" si="81"/>
        <v>6662.7199999999993</v>
      </c>
      <c r="L952" s="746">
        <f t="shared" ca="1" si="79"/>
        <v>7480.02492323755</v>
      </c>
      <c r="M952" s="278" t="str">
        <f t="shared" si="82"/>
        <v>Carbon valuation</v>
      </c>
      <c r="N952" s="326">
        <f t="shared" si="83"/>
        <v>2.1428571428571401</v>
      </c>
      <c r="O952" s="278" t="s">
        <v>718</v>
      </c>
      <c r="P952" s="278" t="str">
        <f t="shared" si="84"/>
        <v>UK government carbon values</v>
      </c>
      <c r="Q952" s="299">
        <f t="shared" si="87"/>
        <v>40</v>
      </c>
      <c r="R952" s="299" t="str">
        <f t="shared" si="88"/>
        <v>BEIS (2021) Valuing greenhouse gas emissions in policy appraisal</v>
      </c>
      <c r="S952" s="299" t="str">
        <f t="shared" si="89"/>
        <v>ENCA</v>
      </c>
      <c r="T952" s="299">
        <f t="shared" si="90"/>
        <v>2021</v>
      </c>
      <c r="U952" s="299" t="str">
        <f t="shared" si="91"/>
        <v>UK</v>
      </c>
      <c r="V952" s="299" t="str">
        <f t="shared" si="92"/>
        <v>UK</v>
      </c>
      <c r="W952" s="299" t="str">
        <f t="shared" si="93"/>
        <v>N/A</v>
      </c>
    </row>
    <row r="953" spans="1:23">
      <c r="B953" s="302" t="s">
        <v>2914</v>
      </c>
      <c r="C953" s="279" t="s">
        <v>2645</v>
      </c>
      <c r="D953" s="278" t="s">
        <v>617</v>
      </c>
      <c r="E953" s="278" t="s">
        <v>456</v>
      </c>
      <c r="F953" s="299">
        <f t="shared" si="86"/>
        <v>2021</v>
      </c>
      <c r="G953" s="278">
        <v>2020</v>
      </c>
      <c r="H953" s="278">
        <f>'COMPANY INPUT'!$C$16</f>
        <v>2023</v>
      </c>
      <c r="I953" s="278">
        <f>VLOOKUP(G953,'GDP Deflators'!$H$13:$I$86,2,FALSE)</f>
        <v>89.073499999999996</v>
      </c>
      <c r="J953" s="278">
        <f>VLOOKUP(H953,'GDP Deflators'!$H$13:$I$86,2,FALSE)</f>
        <v>100</v>
      </c>
      <c r="K953" s="297">
        <f t="shared" ca="1" si="81"/>
        <v>-744.48</v>
      </c>
      <c r="L953" s="746">
        <f t="shared" ca="1" si="79"/>
        <v>-835.80413927823656</v>
      </c>
      <c r="M953" s="278" t="str">
        <f t="shared" si="82"/>
        <v>Carbon valuation</v>
      </c>
      <c r="N953" s="326">
        <f t="shared" si="83"/>
        <v>2.1428571428571401</v>
      </c>
      <c r="O953" s="278" t="s">
        <v>718</v>
      </c>
      <c r="P953" s="278" t="str">
        <f t="shared" si="84"/>
        <v>UK government carbon values</v>
      </c>
      <c r="Q953" s="299">
        <f t="shared" si="87"/>
        <v>40</v>
      </c>
      <c r="R953" s="299" t="str">
        <f t="shared" si="88"/>
        <v>BEIS (2021) Valuing greenhouse gas emissions in policy appraisal</v>
      </c>
      <c r="S953" s="299" t="str">
        <f t="shared" si="89"/>
        <v>ENCA</v>
      </c>
      <c r="T953" s="299">
        <f t="shared" si="90"/>
        <v>2021</v>
      </c>
      <c r="U953" s="299" t="str">
        <f t="shared" si="91"/>
        <v>UK</v>
      </c>
      <c r="V953" s="299" t="str">
        <f t="shared" si="92"/>
        <v>UK</v>
      </c>
      <c r="W953" s="299" t="str">
        <f t="shared" si="93"/>
        <v>N/A</v>
      </c>
    </row>
    <row r="954" spans="1:23">
      <c r="B954" s="302" t="s">
        <v>2915</v>
      </c>
      <c r="C954" s="279" t="s">
        <v>2645</v>
      </c>
      <c r="D954" s="278" t="s">
        <v>618</v>
      </c>
      <c r="E954" s="278" t="s">
        <v>456</v>
      </c>
      <c r="F954" s="299">
        <f t="shared" si="86"/>
        <v>2021</v>
      </c>
      <c r="G954" s="278">
        <v>2020</v>
      </c>
      <c r="H954" s="278">
        <f>'COMPANY INPUT'!$C$16</f>
        <v>2023</v>
      </c>
      <c r="I954" s="278">
        <f>VLOOKUP(G954,'GDP Deflators'!$H$13:$I$86,2,FALSE)</f>
        <v>89.073499999999996</v>
      </c>
      <c r="J954" s="278">
        <f>VLOOKUP(H954,'GDP Deflators'!$H$13:$I$86,2,FALSE)</f>
        <v>100</v>
      </c>
      <c r="K954" s="297">
        <f t="shared" ca="1" si="81"/>
        <v>-558.36</v>
      </c>
      <c r="L954" s="746">
        <f t="shared" ca="1" si="79"/>
        <v>-626.85310445867742</v>
      </c>
      <c r="M954" s="278" t="str">
        <f t="shared" si="82"/>
        <v>Carbon valuation</v>
      </c>
      <c r="N954" s="326">
        <f t="shared" si="83"/>
        <v>2.1428571428571401</v>
      </c>
      <c r="O954" s="278" t="s">
        <v>718</v>
      </c>
      <c r="P954" s="278" t="str">
        <f t="shared" si="84"/>
        <v>UK government carbon values</v>
      </c>
      <c r="Q954" s="299">
        <f t="shared" si="87"/>
        <v>40</v>
      </c>
      <c r="R954" s="299" t="str">
        <f t="shared" si="88"/>
        <v>BEIS (2021) Valuing greenhouse gas emissions in policy appraisal</v>
      </c>
      <c r="S954" s="299" t="str">
        <f t="shared" si="89"/>
        <v>ENCA</v>
      </c>
      <c r="T954" s="299">
        <f t="shared" si="90"/>
        <v>2021</v>
      </c>
      <c r="U954" s="299" t="str">
        <f t="shared" si="91"/>
        <v>UK</v>
      </c>
      <c r="V954" s="299" t="str">
        <f t="shared" si="92"/>
        <v>UK</v>
      </c>
      <c r="W954" s="299" t="str">
        <f t="shared" si="93"/>
        <v>N/A</v>
      </c>
    </row>
    <row r="955" spans="1:23">
      <c r="B955" s="302" t="s">
        <v>2916</v>
      </c>
      <c r="C955" s="279" t="s">
        <v>2645</v>
      </c>
      <c r="D955" s="278" t="s">
        <v>619</v>
      </c>
      <c r="E955" s="278" t="s">
        <v>456</v>
      </c>
      <c r="F955" s="299">
        <f t="shared" si="86"/>
        <v>2021</v>
      </c>
      <c r="G955" s="278">
        <v>2020</v>
      </c>
      <c r="H955" s="278">
        <f>'COMPANY INPUT'!$C$16</f>
        <v>2023</v>
      </c>
      <c r="I955" s="278">
        <f>VLOOKUP(G955,'GDP Deflators'!$H$13:$I$86,2,FALSE)</f>
        <v>89.073499999999996</v>
      </c>
      <c r="J955" s="278">
        <f>VLOOKUP(H955,'GDP Deflators'!$H$13:$I$86,2,FALSE)</f>
        <v>100</v>
      </c>
      <c r="K955" s="297">
        <f t="shared" ca="1" si="81"/>
        <v>-372.24</v>
      </c>
      <c r="L955" s="746">
        <f t="shared" ca="1" si="79"/>
        <v>-417.90206963911828</v>
      </c>
      <c r="M955" s="278" t="str">
        <f t="shared" si="82"/>
        <v>Carbon valuation</v>
      </c>
      <c r="N955" s="326">
        <f t="shared" si="83"/>
        <v>2.1428571428571401</v>
      </c>
      <c r="O955" s="278" t="s">
        <v>718</v>
      </c>
      <c r="P955" s="278" t="str">
        <f t="shared" si="84"/>
        <v>UK government carbon values</v>
      </c>
      <c r="Q955" s="299">
        <f t="shared" si="87"/>
        <v>40</v>
      </c>
      <c r="R955" s="299" t="str">
        <f t="shared" si="88"/>
        <v>BEIS (2021) Valuing greenhouse gas emissions in policy appraisal</v>
      </c>
      <c r="S955" s="299" t="str">
        <f t="shared" si="89"/>
        <v>ENCA</v>
      </c>
      <c r="T955" s="299">
        <f t="shared" si="90"/>
        <v>2021</v>
      </c>
      <c r="U955" s="299" t="str">
        <f t="shared" si="91"/>
        <v>UK</v>
      </c>
      <c r="V955" s="299" t="str">
        <f t="shared" si="92"/>
        <v>UK</v>
      </c>
      <c r="W955" s="299" t="str">
        <f t="shared" si="93"/>
        <v>N/A</v>
      </c>
    </row>
    <row r="957" spans="1:23">
      <c r="A957" s="721"/>
      <c r="B957" s="722" t="s">
        <v>230</v>
      </c>
      <c r="C957" s="721"/>
      <c r="D957" s="721"/>
      <c r="E957" s="721"/>
      <c r="F957" s="721"/>
      <c r="G957" s="721"/>
      <c r="H957" s="721"/>
      <c r="I957" s="721"/>
      <c r="J957" s="721"/>
    </row>
    <row r="958" spans="1:23">
      <c r="A958" s="727"/>
      <c r="B958" s="729" t="s">
        <v>897</v>
      </c>
      <c r="C958" s="727"/>
      <c r="D958" s="727"/>
      <c r="E958" s="727"/>
      <c r="F958" s="727"/>
      <c r="G958" s="727"/>
      <c r="H958" s="727"/>
      <c r="I958" s="727"/>
      <c r="J958" s="727"/>
    </row>
    <row r="959" spans="1:23">
      <c r="B959" s="277" t="s">
        <v>898</v>
      </c>
      <c r="C959" s="277" t="s">
        <v>899</v>
      </c>
    </row>
    <row r="960" spans="1:23">
      <c r="B960" s="278" t="s">
        <v>230</v>
      </c>
      <c r="C960" s="278" t="s">
        <v>1866</v>
      </c>
    </row>
    <row r="961" spans="1:10">
      <c r="B961" s="16"/>
    </row>
    <row r="962" spans="1:10">
      <c r="A962" s="727"/>
      <c r="B962" s="728" t="s">
        <v>2917</v>
      </c>
      <c r="C962" s="727"/>
      <c r="D962" s="727"/>
      <c r="E962" s="727"/>
      <c r="F962" s="727"/>
      <c r="G962" s="727"/>
      <c r="H962" s="727"/>
      <c r="I962" s="727"/>
      <c r="J962" s="727"/>
    </row>
    <row r="963" spans="1:10">
      <c r="A963" s="725"/>
      <c r="B963" s="726" t="s">
        <v>912</v>
      </c>
      <c r="C963" s="725"/>
      <c r="D963" s="725"/>
      <c r="E963" s="725"/>
      <c r="F963" s="725"/>
      <c r="G963" s="725"/>
      <c r="H963" s="725"/>
      <c r="I963" s="725"/>
      <c r="J963" s="725"/>
    </row>
    <row r="964" spans="1:10" ht="29.1">
      <c r="B964" s="719" t="s">
        <v>913</v>
      </c>
      <c r="C964" s="719" t="s">
        <v>914</v>
      </c>
      <c r="D964" s="719" t="s">
        <v>915</v>
      </c>
      <c r="E964" s="719" t="s">
        <v>916</v>
      </c>
      <c r="F964" s="719" t="s">
        <v>917</v>
      </c>
      <c r="G964" s="719" t="s">
        <v>918</v>
      </c>
      <c r="H964" s="719" t="s">
        <v>919</v>
      </c>
    </row>
    <row r="965" spans="1:10">
      <c r="B965" s="278">
        <v>124</v>
      </c>
      <c r="C965" s="278" t="s">
        <v>2918</v>
      </c>
      <c r="D965" s="278" t="s">
        <v>1182</v>
      </c>
      <c r="E965" s="278">
        <v>2003</v>
      </c>
      <c r="F965" s="278" t="s">
        <v>2755</v>
      </c>
      <c r="G965" s="278" t="s">
        <v>2755</v>
      </c>
      <c r="H965" s="279" t="s">
        <v>2919</v>
      </c>
    </row>
    <row r="966" spans="1:10">
      <c r="B966" s="16"/>
    </row>
    <row r="967" spans="1:10">
      <c r="A967" s="725"/>
      <c r="B967" s="726" t="s">
        <v>924</v>
      </c>
      <c r="C967" s="725"/>
      <c r="D967" s="725"/>
      <c r="E967" s="725"/>
      <c r="F967" s="725"/>
      <c r="G967" s="725"/>
      <c r="H967" s="725"/>
      <c r="I967" s="725"/>
      <c r="J967" s="725"/>
    </row>
    <row r="968" spans="1:10">
      <c r="B968" s="277" t="s">
        <v>165</v>
      </c>
      <c r="C968" s="277" t="s">
        <v>925</v>
      </c>
      <c r="D968" s="277" t="s">
        <v>926</v>
      </c>
      <c r="E968" s="1134" t="s">
        <v>927</v>
      </c>
      <c r="F968" s="1134"/>
      <c r="G968" s="1134"/>
      <c r="H968" s="1134"/>
      <c r="I968" s="1134"/>
      <c r="J968" s="1134"/>
    </row>
    <row r="969" spans="1:10">
      <c r="B969" s="278" t="s">
        <v>169</v>
      </c>
      <c r="C969" s="278" t="s">
        <v>166</v>
      </c>
      <c r="D969" s="278">
        <f>VLOOKUP(C969,METHODOLOGY!$C$175:$D$177,2,FALSE)</f>
        <v>3</v>
      </c>
      <c r="E969" s="1087" t="str">
        <f>_xlfn.XLOOKUP(C969,METHODOLOGY!$E$150:$O$150,METHODOLOGY!$E$151:$O$151,"",0,1)</f>
        <v>Monetary values have been peer reviewed or are recommended / referenced in other, well recognised and accepted guidance / tools relevant to the water sector.</v>
      </c>
      <c r="F969" s="1087"/>
      <c r="G969" s="1087"/>
      <c r="H969" s="1087"/>
      <c r="I969" s="1087"/>
      <c r="J969" s="1087"/>
    </row>
    <row r="970" spans="1:10">
      <c r="B970" s="278" t="s">
        <v>173</v>
      </c>
      <c r="C970" s="278" t="s">
        <v>167</v>
      </c>
      <c r="D970" s="278">
        <f>VLOOKUP(C970,METHODOLOGY!$C$175:$D$177,2,FALSE)</f>
        <v>2</v>
      </c>
      <c r="E970" s="1087" t="str">
        <f>_xlfn.XLOOKUP(C970,METHODOLOGY!$E$150:$O$150,METHODOLOGY!$E$155:$O$155,"",0,1)</f>
        <v>Study has some limitations which may impact on the robustness of the value.</v>
      </c>
      <c r="F970" s="1087"/>
      <c r="G970" s="1087"/>
      <c r="H970" s="1087"/>
      <c r="I970" s="1087"/>
      <c r="J970" s="1087"/>
    </row>
    <row r="971" spans="1:10">
      <c r="B971" s="278" t="s">
        <v>177</v>
      </c>
      <c r="C971" s="278" t="s">
        <v>168</v>
      </c>
      <c r="D971" s="278">
        <f>VLOOKUP(C971,METHODOLOGY!$C$175:$D$177,2,FALSE)</f>
        <v>1</v>
      </c>
      <c r="E971" s="1087" t="str">
        <f>_xlfn.XLOOKUP(C971,METHODOLOGY!$E$150:$O$150,METHODOLOGY!$E$158:$O$158,"",0,1)</f>
        <v>&gt;10 years</v>
      </c>
      <c r="F971" s="1087"/>
      <c r="G971" s="1087"/>
      <c r="H971" s="1087"/>
      <c r="I971" s="1087"/>
      <c r="J971" s="1087"/>
    </row>
    <row r="972" spans="1:10">
      <c r="B972" s="278" t="s">
        <v>181</v>
      </c>
      <c r="C972" s="278" t="s">
        <v>166</v>
      </c>
      <c r="D972" s="278">
        <f>VLOOKUP(C972,METHODOLOGY!$C$175:$D$177,2,FALSE)</f>
        <v>3</v>
      </c>
      <c r="E972" s="1087" t="str">
        <f>_xlfn.XLOOKUP(C972,METHODOLOGY!$E$150:$O$150,METHODOLOGY!$E$160:$O$160,"",0,1)</f>
        <v>Geographically relevant to UK</v>
      </c>
      <c r="F972" s="1087"/>
      <c r="G972" s="1087"/>
      <c r="H972" s="1087"/>
      <c r="I972" s="1087"/>
      <c r="J972" s="1087"/>
    </row>
    <row r="973" spans="1:10">
      <c r="B973" s="278" t="s">
        <v>928</v>
      </c>
      <c r="C973" s="278" t="s">
        <v>166</v>
      </c>
      <c r="D973" s="278">
        <f>VLOOKUP(C973,METHODOLOGY!$C$175:$D$177,2,FALSE)</f>
        <v>3</v>
      </c>
      <c r="E973" s="1087" t="str">
        <f>_xlfn.XLOOKUP(C973,METHODOLOGY!$E$150:$O$150,METHODOLOGY!$E162:$O162,"",0,1)</f>
        <v>Clear understanding of the valuation method and how the value should be applied.</v>
      </c>
      <c r="F973" s="1087"/>
      <c r="G973" s="1087"/>
      <c r="H973" s="1087"/>
      <c r="I973" s="1087"/>
      <c r="J973" s="1087"/>
    </row>
    <row r="974" spans="1:10">
      <c r="B974" s="278" t="s">
        <v>189</v>
      </c>
      <c r="C974" s="278" t="s">
        <v>168</v>
      </c>
      <c r="D974" s="278">
        <f>VLOOKUP(C974,METHODOLOGY!$C$175:$D$177,2,FALSE)</f>
        <v>1</v>
      </c>
      <c r="E974" s="1087" t="str">
        <f>_xlfn.XLOOKUP(C974,METHODOLOGY!$E$150:$O$150,METHODOLOGY!$E$164:$O$164,"",0,1)</f>
        <v xml:space="preserve">The original valuation can be used with significant modification e.g. several additional data inputs are required to use the original source. The calculation is complex or introduces significant uncertainty. </v>
      </c>
      <c r="F974" s="1087"/>
      <c r="G974" s="1087"/>
      <c r="H974" s="1087"/>
      <c r="I974" s="1087"/>
      <c r="J974" s="1087"/>
    </row>
    <row r="975" spans="1:10">
      <c r="C975" s="282" t="s">
        <v>924</v>
      </c>
      <c r="D975" s="326">
        <f>IF(AND(D974=1,AVERAGE(D969:D974)&gt;2.14285714285714),2.14285714285714,IF(AND(D974=2,AVERAGE(D969:D974)&gt;2.57142857142857),2.57142857142857,AVERAGE(D969:D974)))</f>
        <v>2.1428571428571401</v>
      </c>
      <c r="E975" s="270" t="str">
        <f>IF(D975&lt;=2.14285714285714,"Red",IF(D975&lt;=2.57142857142857,"Amber",IF(D975&lt;=3,"Green")))</f>
        <v>Red</v>
      </c>
    </row>
    <row r="977" spans="1:12">
      <c r="A977" s="725"/>
      <c r="B977" s="726" t="s">
        <v>929</v>
      </c>
      <c r="C977" s="725"/>
      <c r="D977" s="725"/>
      <c r="E977" s="725"/>
      <c r="F977" s="725"/>
      <c r="G977" s="725"/>
      <c r="H977" s="725"/>
      <c r="I977" s="725"/>
      <c r="J977" s="725"/>
    </row>
    <row r="978" spans="1:12" ht="29.1">
      <c r="B978" s="298" t="s">
        <v>913</v>
      </c>
      <c r="C978" s="298" t="s">
        <v>2770</v>
      </c>
      <c r="D978" s="298" t="s">
        <v>2920</v>
      </c>
      <c r="E978" s="1159" t="s">
        <v>953</v>
      </c>
      <c r="F978" s="1160"/>
      <c r="G978" s="1161"/>
      <c r="H978" s="1443" t="s">
        <v>930</v>
      </c>
      <c r="I978" s="1444"/>
      <c r="J978" s="1445"/>
      <c r="L978" s="613"/>
    </row>
    <row r="979" spans="1:12" ht="45" customHeight="1">
      <c r="B979" s="1389">
        <v>124</v>
      </c>
      <c r="C979" s="299" t="s">
        <v>2921</v>
      </c>
      <c r="D979" s="576">
        <v>1564</v>
      </c>
      <c r="E979" s="1425" t="s">
        <v>2922</v>
      </c>
      <c r="F979" s="1426"/>
      <c r="G979" s="1427"/>
      <c r="H979" s="1240" t="s">
        <v>2923</v>
      </c>
      <c r="I979" s="1181"/>
      <c r="J979" s="1182"/>
      <c r="L979" s="613"/>
    </row>
    <row r="980" spans="1:12" ht="45" customHeight="1">
      <c r="B980" s="1390"/>
      <c r="C980" s="299" t="s">
        <v>2924</v>
      </c>
      <c r="D980" s="576">
        <v>588</v>
      </c>
      <c r="E980" s="1425" t="s">
        <v>2925</v>
      </c>
      <c r="F980" s="1426"/>
      <c r="G980" s="1427"/>
      <c r="H980" s="1241"/>
      <c r="I980" s="1013"/>
      <c r="J980" s="1242"/>
      <c r="L980" s="613"/>
    </row>
    <row r="981" spans="1:12" ht="45" customHeight="1">
      <c r="B981" s="1391"/>
      <c r="C981" s="299" t="s">
        <v>2926</v>
      </c>
      <c r="D981" s="376" t="s">
        <v>2927</v>
      </c>
      <c r="E981" s="1425" t="s">
        <v>2928</v>
      </c>
      <c r="F981" s="1426"/>
      <c r="G981" s="1427"/>
      <c r="H981" s="1183"/>
      <c r="I981" s="1184"/>
      <c r="J981" s="1185"/>
      <c r="L981" s="613"/>
    </row>
    <row r="983" spans="1:12">
      <c r="A983" s="725"/>
      <c r="B983" s="726" t="s">
        <v>936</v>
      </c>
      <c r="C983" s="725"/>
      <c r="D983" s="725"/>
      <c r="E983" s="725"/>
      <c r="F983" s="725"/>
      <c r="G983" s="725"/>
      <c r="H983" s="725"/>
      <c r="I983" s="725"/>
      <c r="J983" s="725"/>
    </row>
    <row r="984" spans="1:12">
      <c r="B984" s="298" t="s">
        <v>902</v>
      </c>
      <c r="C984" s="298" t="s">
        <v>2920</v>
      </c>
    </row>
    <row r="985" spans="1:12">
      <c r="B985" s="278" t="s">
        <v>589</v>
      </c>
      <c r="C985" s="384">
        <f>D980</f>
        <v>588</v>
      </c>
    </row>
    <row r="986" spans="1:12">
      <c r="B986" s="214" t="s">
        <v>591</v>
      </c>
      <c r="C986" s="384">
        <f>C985*0.75</f>
        <v>441</v>
      </c>
    </row>
    <row r="987" spans="1:12">
      <c r="B987" s="214" t="s">
        <v>592</v>
      </c>
      <c r="C987" s="384">
        <f>C985*0.5</f>
        <v>294</v>
      </c>
    </row>
    <row r="988" spans="1:12">
      <c r="B988" s="278" t="s">
        <v>599</v>
      </c>
      <c r="C988" s="384">
        <f>D980</f>
        <v>588</v>
      </c>
    </row>
    <row r="989" spans="1:12">
      <c r="B989" s="214" t="s">
        <v>600</v>
      </c>
      <c r="C989" s="577">
        <f>C988*0.75</f>
        <v>441</v>
      </c>
    </row>
    <row r="990" spans="1:12">
      <c r="B990" s="278" t="s">
        <v>601</v>
      </c>
      <c r="C990" s="384">
        <f>C988*0.5</f>
        <v>294</v>
      </c>
    </row>
    <row r="992" spans="1:12">
      <c r="A992" s="727"/>
      <c r="B992" s="728" t="s">
        <v>901</v>
      </c>
      <c r="C992" s="727"/>
      <c r="D992" s="727"/>
      <c r="E992" s="727"/>
      <c r="F992" s="727"/>
      <c r="G992" s="727"/>
      <c r="H992" s="727"/>
      <c r="I992" s="727"/>
      <c r="J992" s="727"/>
    </row>
    <row r="993" spans="2:23" ht="29.1">
      <c r="B993" s="522" t="s">
        <v>902</v>
      </c>
      <c r="C993" s="522" t="s">
        <v>898</v>
      </c>
      <c r="D993" s="522" t="s">
        <v>899</v>
      </c>
      <c r="E993" s="719" t="s">
        <v>903</v>
      </c>
      <c r="F993" s="522" t="s">
        <v>904</v>
      </c>
      <c r="G993" s="522" t="s">
        <v>905</v>
      </c>
      <c r="H993" s="522" t="s">
        <v>924</v>
      </c>
      <c r="I993" s="522" t="s">
        <v>956</v>
      </c>
      <c r="J993" s="522" t="s">
        <v>927</v>
      </c>
    </row>
    <row r="994" spans="2:23">
      <c r="B994" s="278" t="s">
        <v>589</v>
      </c>
      <c r="C994" s="278" t="s">
        <v>230</v>
      </c>
      <c r="D994" s="299" t="s">
        <v>1866</v>
      </c>
      <c r="E994" s="299" t="s">
        <v>2929</v>
      </c>
      <c r="F994" s="278" t="str" cm="1">
        <f t="array" ref="F994">_xlfn.XLOOKUP(1,($D$1024:$D$1029=B994)*($E$1024:$E$1029=C994),$B$1024:$B$1029,"Not found",0,1)</f>
        <v>30-90</v>
      </c>
      <c r="G994" s="311">
        <f t="shared" ref="G994:G999" si="94">VLOOKUP(F994,$B$1024:$L$1029,11,FALSE)</f>
        <v>-751.38680702776674</v>
      </c>
      <c r="H994" s="1120">
        <f>$D$975</f>
        <v>2.1428571428571401</v>
      </c>
      <c r="I994" s="1364" t="s">
        <v>958</v>
      </c>
      <c r="J994" s="1149" t="s">
        <v>2930</v>
      </c>
    </row>
    <row r="995" spans="2:23">
      <c r="B995" s="278" t="s">
        <v>591</v>
      </c>
      <c r="C995" s="278" t="s">
        <v>230</v>
      </c>
      <c r="D995" s="299" t="s">
        <v>1866</v>
      </c>
      <c r="E995" s="299" t="s">
        <v>2929</v>
      </c>
      <c r="F995" s="278" t="str" cm="1">
        <f t="array" ref="F995">_xlfn.XLOOKUP(1,($D$1024:$D$1029=B995)*($E$1024:$E$1029=C995),$B$1024:$B$1029,"Not found",0,1)</f>
        <v>30-91</v>
      </c>
      <c r="G995" s="311">
        <f t="shared" si="94"/>
        <v>-563.54010527082505</v>
      </c>
      <c r="H995" s="1121"/>
      <c r="I995" s="1364"/>
      <c r="J995" s="1149"/>
    </row>
    <row r="996" spans="2:23">
      <c r="B996" s="278" t="s">
        <v>592</v>
      </c>
      <c r="C996" s="278" t="s">
        <v>230</v>
      </c>
      <c r="D996" s="299" t="s">
        <v>1866</v>
      </c>
      <c r="E996" s="299" t="s">
        <v>2929</v>
      </c>
      <c r="F996" s="278" t="str" cm="1">
        <f t="array" ref="F996">_xlfn.XLOOKUP(1,($D$1024:$D$1029=B996)*($E$1024:$E$1029=C996),$B$1024:$B$1029,"Not found",0,1)</f>
        <v>30-92</v>
      </c>
      <c r="G996" s="311">
        <f t="shared" si="94"/>
        <v>-375.69340351388337</v>
      </c>
      <c r="H996" s="1121"/>
      <c r="I996" s="1364"/>
      <c r="J996" s="1149"/>
    </row>
    <row r="997" spans="2:23">
      <c r="B997" s="278" t="s">
        <v>599</v>
      </c>
      <c r="C997" s="278" t="s">
        <v>230</v>
      </c>
      <c r="D997" s="299" t="s">
        <v>1866</v>
      </c>
      <c r="E997" s="299" t="s">
        <v>2929</v>
      </c>
      <c r="F997" s="278" t="str" cm="1">
        <f t="array" ref="F997">_xlfn.XLOOKUP(1,($D$1024:$D$1029=B997)*($E$1024:$E$1029=C997),$B$1024:$B$1029,"Not found",0,1)</f>
        <v>30-93</v>
      </c>
      <c r="G997" s="311">
        <f t="shared" si="94"/>
        <v>-751.38680702776674</v>
      </c>
      <c r="H997" s="1121"/>
      <c r="I997" s="1364"/>
      <c r="J997" s="1149"/>
    </row>
    <row r="998" spans="2:23">
      <c r="B998" s="278" t="s">
        <v>600</v>
      </c>
      <c r="C998" s="278" t="s">
        <v>230</v>
      </c>
      <c r="D998" s="299" t="s">
        <v>1866</v>
      </c>
      <c r="E998" s="299" t="s">
        <v>2929</v>
      </c>
      <c r="F998" s="278" t="str" cm="1">
        <f t="array" ref="F998">_xlfn.XLOOKUP(1,($D$1024:$D$1029=B998)*($E$1024:$E$1029=C998),$B$1024:$B$1029,"Not found",0,1)</f>
        <v>30-94</v>
      </c>
      <c r="G998" s="311">
        <f t="shared" si="94"/>
        <v>-563.54010527082505</v>
      </c>
      <c r="H998" s="1121"/>
      <c r="I998" s="1364"/>
      <c r="J998" s="1149"/>
    </row>
    <row r="999" spans="2:23">
      <c r="B999" s="278" t="s">
        <v>601</v>
      </c>
      <c r="C999" s="278" t="s">
        <v>230</v>
      </c>
      <c r="D999" s="299" t="s">
        <v>1866</v>
      </c>
      <c r="E999" s="299" t="s">
        <v>2929</v>
      </c>
      <c r="F999" s="278" t="str" cm="1">
        <f t="array" ref="F999">_xlfn.XLOOKUP(1,($D$1024:$D$1029=B999)*($E$1024:$E$1029=C999),$B$1024:$B$1029,"Not found",0,1)</f>
        <v>30-95</v>
      </c>
      <c r="G999" s="311">
        <f t="shared" si="94"/>
        <v>-375.69340351388337</v>
      </c>
      <c r="H999" s="1122"/>
      <c r="I999" s="1175"/>
      <c r="J999" s="1167"/>
    </row>
    <row r="1000" spans="2:23" s="341" customFormat="1">
      <c r="B1000" s="278" t="s">
        <v>593</v>
      </c>
      <c r="C1000" s="278" t="s">
        <v>230</v>
      </c>
      <c r="D1000" s="299" t="s">
        <v>1866</v>
      </c>
      <c r="E1000" s="278" t="s">
        <v>906</v>
      </c>
      <c r="F1000" s="278" t="s">
        <v>907</v>
      </c>
      <c r="G1000" s="390" t="s">
        <v>961</v>
      </c>
      <c r="H1000" s="1321" t="s">
        <v>907</v>
      </c>
      <c r="I1000" s="1321" t="s">
        <v>907</v>
      </c>
      <c r="J1000" s="1321" t="s">
        <v>907</v>
      </c>
      <c r="K1000" s="2"/>
      <c r="L1000" s="2"/>
      <c r="M1000" s="2"/>
      <c r="N1000" s="2"/>
      <c r="O1000" s="2"/>
      <c r="P1000" s="2"/>
      <c r="Q1000" s="2"/>
      <c r="R1000" s="2"/>
      <c r="S1000" s="2"/>
      <c r="T1000" s="2"/>
      <c r="U1000" s="2"/>
      <c r="V1000" s="2"/>
      <c r="W1000" s="2"/>
    </row>
    <row r="1001" spans="2:23" s="341" customFormat="1">
      <c r="B1001" s="278" t="s">
        <v>594</v>
      </c>
      <c r="C1001" s="278" t="s">
        <v>230</v>
      </c>
      <c r="D1001" s="299" t="s">
        <v>1866</v>
      </c>
      <c r="E1001" s="278" t="s">
        <v>906</v>
      </c>
      <c r="F1001" s="278" t="s">
        <v>907</v>
      </c>
      <c r="G1001" s="390" t="s">
        <v>961</v>
      </c>
      <c r="H1001" s="1178"/>
      <c r="I1001" s="1178"/>
      <c r="J1001" s="1178"/>
      <c r="K1001" s="2"/>
      <c r="L1001" s="2"/>
      <c r="M1001" s="2"/>
      <c r="N1001" s="2"/>
      <c r="O1001" s="2"/>
      <c r="P1001" s="2"/>
      <c r="Q1001" s="2"/>
      <c r="R1001" s="2"/>
      <c r="S1001" s="2"/>
      <c r="T1001" s="2"/>
      <c r="U1001" s="2"/>
      <c r="V1001" s="2"/>
      <c r="W1001" s="2"/>
    </row>
    <row r="1002" spans="2:23" s="341" customFormat="1">
      <c r="B1002" s="278" t="s">
        <v>595</v>
      </c>
      <c r="C1002" s="278" t="s">
        <v>230</v>
      </c>
      <c r="D1002" s="299" t="s">
        <v>1866</v>
      </c>
      <c r="E1002" s="278" t="s">
        <v>906</v>
      </c>
      <c r="F1002" s="278" t="s">
        <v>907</v>
      </c>
      <c r="G1002" s="390" t="s">
        <v>961</v>
      </c>
      <c r="H1002" s="1178"/>
      <c r="I1002" s="1178"/>
      <c r="J1002" s="1178"/>
      <c r="K1002" s="2"/>
      <c r="L1002" s="2"/>
      <c r="M1002" s="2"/>
      <c r="N1002" s="2"/>
      <c r="O1002" s="2"/>
      <c r="P1002" s="2"/>
      <c r="Q1002" s="2"/>
      <c r="R1002" s="2"/>
      <c r="S1002" s="2"/>
      <c r="T1002" s="2"/>
      <c r="U1002" s="2"/>
      <c r="V1002" s="2"/>
      <c r="W1002" s="2"/>
    </row>
    <row r="1003" spans="2:23" s="341" customFormat="1">
      <c r="B1003" s="278" t="s">
        <v>596</v>
      </c>
      <c r="C1003" s="278" t="s">
        <v>230</v>
      </c>
      <c r="D1003" s="299" t="s">
        <v>1866</v>
      </c>
      <c r="E1003" s="278" t="s">
        <v>906</v>
      </c>
      <c r="F1003" s="278" t="s">
        <v>907</v>
      </c>
      <c r="G1003" s="390" t="s">
        <v>961</v>
      </c>
      <c r="H1003" s="1178"/>
      <c r="I1003" s="1178"/>
      <c r="J1003" s="1178"/>
      <c r="K1003" s="2"/>
      <c r="L1003" s="2"/>
      <c r="M1003" s="2"/>
      <c r="N1003" s="2"/>
      <c r="O1003" s="2"/>
      <c r="P1003" s="2"/>
      <c r="Q1003" s="2"/>
      <c r="R1003" s="2"/>
      <c r="S1003" s="2"/>
      <c r="T1003" s="2"/>
      <c r="U1003" s="2"/>
      <c r="V1003" s="2"/>
      <c r="W1003" s="2"/>
    </row>
    <row r="1004" spans="2:23" s="341" customFormat="1">
      <c r="B1004" s="278" t="s">
        <v>597</v>
      </c>
      <c r="C1004" s="278" t="s">
        <v>230</v>
      </c>
      <c r="D1004" s="299" t="s">
        <v>1866</v>
      </c>
      <c r="E1004" s="278" t="s">
        <v>906</v>
      </c>
      <c r="F1004" s="278" t="s">
        <v>907</v>
      </c>
      <c r="G1004" s="390" t="s">
        <v>961</v>
      </c>
      <c r="H1004" s="1178"/>
      <c r="I1004" s="1178"/>
      <c r="J1004" s="1178"/>
      <c r="K1004" s="2"/>
      <c r="L1004" s="2"/>
      <c r="M1004" s="2"/>
      <c r="N1004" s="2"/>
      <c r="O1004" s="2"/>
      <c r="P1004" s="2"/>
      <c r="Q1004" s="2"/>
      <c r="R1004" s="2"/>
      <c r="S1004" s="2"/>
      <c r="T1004" s="2"/>
      <c r="U1004" s="2"/>
      <c r="V1004" s="2"/>
      <c r="W1004" s="2"/>
    </row>
    <row r="1005" spans="2:23" s="341" customFormat="1">
      <c r="B1005" s="278" t="s">
        <v>598</v>
      </c>
      <c r="C1005" s="278" t="s">
        <v>230</v>
      </c>
      <c r="D1005" s="299" t="s">
        <v>1866</v>
      </c>
      <c r="E1005" s="278" t="s">
        <v>906</v>
      </c>
      <c r="F1005" s="278" t="s">
        <v>907</v>
      </c>
      <c r="G1005" s="390" t="s">
        <v>961</v>
      </c>
      <c r="H1005" s="1178"/>
      <c r="I1005" s="1178"/>
      <c r="J1005" s="1178"/>
      <c r="K1005" s="2"/>
      <c r="L1005" s="2"/>
      <c r="M1005" s="2"/>
      <c r="N1005" s="2"/>
      <c r="O1005" s="2"/>
      <c r="P1005" s="2"/>
      <c r="Q1005" s="2"/>
      <c r="R1005" s="2"/>
      <c r="S1005" s="2"/>
      <c r="T1005" s="2"/>
      <c r="U1005" s="2"/>
      <c r="V1005" s="2"/>
      <c r="W1005" s="2"/>
    </row>
    <row r="1006" spans="2:23" s="341" customFormat="1">
      <c r="B1006" s="278" t="s">
        <v>602</v>
      </c>
      <c r="C1006" s="278" t="s">
        <v>230</v>
      </c>
      <c r="D1006" s="299" t="s">
        <v>1866</v>
      </c>
      <c r="E1006" s="278" t="s">
        <v>906</v>
      </c>
      <c r="F1006" s="278" t="s">
        <v>907</v>
      </c>
      <c r="G1006" s="390" t="s">
        <v>961</v>
      </c>
      <c r="H1006" s="1178"/>
      <c r="I1006" s="1178"/>
      <c r="J1006" s="1178"/>
      <c r="K1006" s="2"/>
      <c r="L1006" s="2"/>
      <c r="M1006" s="2"/>
      <c r="N1006" s="2"/>
      <c r="O1006" s="2"/>
      <c r="P1006" s="2"/>
      <c r="Q1006" s="2"/>
      <c r="R1006" s="2"/>
      <c r="S1006" s="2"/>
      <c r="T1006" s="2"/>
      <c r="U1006" s="2"/>
      <c r="V1006" s="2"/>
      <c r="W1006" s="2"/>
    </row>
    <row r="1007" spans="2:23" s="341" customFormat="1">
      <c r="B1007" s="278" t="s">
        <v>603</v>
      </c>
      <c r="C1007" s="278" t="s">
        <v>230</v>
      </c>
      <c r="D1007" s="299" t="s">
        <v>1866</v>
      </c>
      <c r="E1007" s="278" t="s">
        <v>906</v>
      </c>
      <c r="F1007" s="278" t="s">
        <v>907</v>
      </c>
      <c r="G1007" s="390" t="s">
        <v>961</v>
      </c>
      <c r="H1007" s="1178"/>
      <c r="I1007" s="1178"/>
      <c r="J1007" s="1178"/>
      <c r="K1007" s="2"/>
      <c r="L1007" s="2"/>
      <c r="M1007" s="2"/>
      <c r="N1007" s="2"/>
      <c r="O1007" s="2"/>
      <c r="P1007" s="2"/>
      <c r="Q1007" s="2"/>
      <c r="R1007" s="2"/>
      <c r="S1007" s="2"/>
      <c r="T1007" s="2"/>
      <c r="U1007" s="2"/>
      <c r="V1007" s="2"/>
      <c r="W1007" s="2"/>
    </row>
    <row r="1008" spans="2:23" s="341" customFormat="1">
      <c r="B1008" s="278" t="s">
        <v>604</v>
      </c>
      <c r="C1008" s="278" t="s">
        <v>230</v>
      </c>
      <c r="D1008" s="299" t="s">
        <v>1866</v>
      </c>
      <c r="E1008" s="278" t="s">
        <v>906</v>
      </c>
      <c r="F1008" s="278" t="s">
        <v>907</v>
      </c>
      <c r="G1008" s="390" t="s">
        <v>961</v>
      </c>
      <c r="H1008" s="1178"/>
      <c r="I1008" s="1178"/>
      <c r="J1008" s="1178"/>
      <c r="K1008" s="2"/>
      <c r="L1008" s="2"/>
      <c r="M1008" s="2"/>
      <c r="N1008" s="2"/>
      <c r="O1008" s="2"/>
      <c r="P1008" s="2"/>
      <c r="Q1008" s="2"/>
      <c r="R1008" s="2"/>
      <c r="S1008" s="2"/>
      <c r="T1008" s="2"/>
      <c r="U1008" s="2"/>
      <c r="V1008" s="2"/>
      <c r="W1008" s="2"/>
    </row>
    <row r="1009" spans="1:23" s="341" customFormat="1">
      <c r="A1009" s="2"/>
      <c r="B1009" s="278" t="s">
        <v>605</v>
      </c>
      <c r="C1009" s="278" t="s">
        <v>230</v>
      </c>
      <c r="D1009" s="299" t="s">
        <v>1866</v>
      </c>
      <c r="E1009" s="278" t="s">
        <v>906</v>
      </c>
      <c r="F1009" s="278" t="s">
        <v>907</v>
      </c>
      <c r="G1009" s="390" t="s">
        <v>961</v>
      </c>
      <c r="H1009" s="1178"/>
      <c r="I1009" s="1178"/>
      <c r="J1009" s="1178"/>
      <c r="K1009" s="2"/>
      <c r="L1009" s="2"/>
      <c r="M1009" s="2"/>
      <c r="N1009" s="2"/>
      <c r="O1009" s="2"/>
      <c r="P1009" s="2"/>
      <c r="Q1009" s="2"/>
      <c r="R1009" s="2"/>
      <c r="S1009" s="2"/>
      <c r="T1009" s="2"/>
      <c r="U1009" s="2"/>
      <c r="V1009" s="2"/>
      <c r="W1009" s="2"/>
    </row>
    <row r="1010" spans="1:23" s="341" customFormat="1">
      <c r="A1010" s="2"/>
      <c r="B1010" s="278" t="s">
        <v>606</v>
      </c>
      <c r="C1010" s="278" t="s">
        <v>230</v>
      </c>
      <c r="D1010" s="299" t="s">
        <v>1866</v>
      </c>
      <c r="E1010" s="278" t="s">
        <v>906</v>
      </c>
      <c r="F1010" s="278" t="s">
        <v>907</v>
      </c>
      <c r="G1010" s="390" t="s">
        <v>961</v>
      </c>
      <c r="H1010" s="1178"/>
      <c r="I1010" s="1178"/>
      <c r="J1010" s="1178"/>
      <c r="K1010" s="2"/>
      <c r="L1010" s="2"/>
      <c r="M1010" s="2"/>
      <c r="N1010" s="2"/>
      <c r="O1010" s="2"/>
      <c r="P1010" s="2"/>
      <c r="Q1010" s="2"/>
      <c r="R1010" s="2"/>
      <c r="S1010" s="2"/>
      <c r="T1010" s="2"/>
      <c r="U1010" s="2"/>
      <c r="V1010" s="2"/>
      <c r="W1010" s="2"/>
    </row>
    <row r="1011" spans="1:23" s="341" customFormat="1">
      <c r="A1011" s="2"/>
      <c r="B1011" s="278" t="s">
        <v>607</v>
      </c>
      <c r="C1011" s="278" t="s">
        <v>230</v>
      </c>
      <c r="D1011" s="299" t="s">
        <v>1866</v>
      </c>
      <c r="E1011" s="278" t="s">
        <v>906</v>
      </c>
      <c r="F1011" s="278" t="s">
        <v>907</v>
      </c>
      <c r="G1011" s="390" t="s">
        <v>961</v>
      </c>
      <c r="H1011" s="1178"/>
      <c r="I1011" s="1178"/>
      <c r="J1011" s="1178"/>
      <c r="K1011" s="2"/>
      <c r="L1011" s="2"/>
      <c r="M1011" s="2"/>
      <c r="N1011" s="2"/>
      <c r="O1011" s="2"/>
      <c r="P1011" s="2"/>
      <c r="Q1011" s="2"/>
      <c r="R1011" s="2"/>
      <c r="S1011" s="2"/>
      <c r="T1011" s="2"/>
      <c r="U1011" s="2"/>
      <c r="V1011" s="2"/>
      <c r="W1011" s="2"/>
    </row>
    <row r="1012" spans="1:23" s="341" customFormat="1">
      <c r="A1012" s="2"/>
      <c r="B1012" s="278" t="s">
        <v>611</v>
      </c>
      <c r="C1012" s="278" t="s">
        <v>230</v>
      </c>
      <c r="D1012" s="299" t="s">
        <v>1866</v>
      </c>
      <c r="E1012" s="278" t="s">
        <v>906</v>
      </c>
      <c r="F1012" s="278" t="s">
        <v>907</v>
      </c>
      <c r="G1012" s="390" t="s">
        <v>961</v>
      </c>
      <c r="H1012" s="1178"/>
      <c r="I1012" s="1178"/>
      <c r="J1012" s="1178"/>
      <c r="K1012" s="2"/>
      <c r="L1012" s="2"/>
      <c r="M1012" s="2"/>
      <c r="N1012" s="2"/>
      <c r="O1012" s="2"/>
      <c r="P1012" s="2"/>
      <c r="Q1012" s="2"/>
      <c r="R1012" s="2"/>
      <c r="S1012" s="2"/>
      <c r="T1012" s="2"/>
      <c r="U1012" s="2"/>
      <c r="V1012" s="2"/>
      <c r="W1012" s="2"/>
    </row>
    <row r="1013" spans="1:23" s="341" customFormat="1">
      <c r="A1013" s="2"/>
      <c r="B1013" s="278" t="s">
        <v>612</v>
      </c>
      <c r="C1013" s="278" t="s">
        <v>230</v>
      </c>
      <c r="D1013" s="299" t="s">
        <v>1866</v>
      </c>
      <c r="E1013" s="278" t="s">
        <v>906</v>
      </c>
      <c r="F1013" s="278" t="s">
        <v>907</v>
      </c>
      <c r="G1013" s="390" t="s">
        <v>961</v>
      </c>
      <c r="H1013" s="1178"/>
      <c r="I1013" s="1178"/>
      <c r="J1013" s="1178"/>
      <c r="K1013" s="2"/>
      <c r="L1013" s="2"/>
      <c r="M1013" s="2"/>
      <c r="N1013" s="2"/>
      <c r="O1013" s="2"/>
      <c r="P1013" s="2"/>
      <c r="Q1013" s="2"/>
      <c r="R1013" s="2"/>
      <c r="S1013" s="2"/>
      <c r="T1013" s="2"/>
      <c r="U1013" s="2"/>
      <c r="V1013" s="2"/>
      <c r="W1013" s="2"/>
    </row>
    <row r="1014" spans="1:23" s="341" customFormat="1">
      <c r="A1014" s="2"/>
      <c r="B1014" s="278" t="s">
        <v>613</v>
      </c>
      <c r="C1014" s="278" t="s">
        <v>230</v>
      </c>
      <c r="D1014" s="299" t="s">
        <v>1866</v>
      </c>
      <c r="E1014" s="278" t="s">
        <v>906</v>
      </c>
      <c r="F1014" s="278" t="s">
        <v>907</v>
      </c>
      <c r="G1014" s="390" t="s">
        <v>961</v>
      </c>
      <c r="H1014" s="1178"/>
      <c r="I1014" s="1178"/>
      <c r="J1014" s="1178"/>
      <c r="K1014" s="2"/>
      <c r="L1014" s="2"/>
      <c r="M1014" s="2"/>
      <c r="N1014" s="2"/>
      <c r="O1014" s="2"/>
      <c r="P1014" s="2"/>
      <c r="Q1014" s="2"/>
      <c r="R1014" s="2"/>
      <c r="S1014" s="2"/>
      <c r="T1014" s="2"/>
      <c r="U1014" s="2"/>
      <c r="V1014" s="2"/>
      <c r="W1014" s="2"/>
    </row>
    <row r="1015" spans="1:23" s="341" customFormat="1">
      <c r="A1015" s="2"/>
      <c r="B1015" s="278" t="s">
        <v>614</v>
      </c>
      <c r="C1015" s="278" t="s">
        <v>230</v>
      </c>
      <c r="D1015" s="299" t="s">
        <v>1866</v>
      </c>
      <c r="E1015" s="278" t="s">
        <v>906</v>
      </c>
      <c r="F1015" s="278" t="s">
        <v>907</v>
      </c>
      <c r="G1015" s="390" t="s">
        <v>961</v>
      </c>
      <c r="H1015" s="1178"/>
      <c r="I1015" s="1178"/>
      <c r="J1015" s="1178"/>
      <c r="K1015" s="2"/>
      <c r="L1015" s="2"/>
      <c r="M1015" s="2"/>
      <c r="N1015" s="2"/>
      <c r="O1015" s="2"/>
      <c r="P1015" s="2"/>
      <c r="Q1015" s="2"/>
      <c r="R1015" s="2"/>
      <c r="S1015" s="2"/>
      <c r="T1015" s="2"/>
      <c r="U1015" s="2"/>
      <c r="V1015" s="2"/>
      <c r="W1015" s="2"/>
    </row>
    <row r="1016" spans="1:23" s="341" customFormat="1">
      <c r="A1016" s="2"/>
      <c r="B1016" s="278" t="s">
        <v>615</v>
      </c>
      <c r="C1016" s="278" t="s">
        <v>230</v>
      </c>
      <c r="D1016" s="299" t="s">
        <v>1866</v>
      </c>
      <c r="E1016" s="278" t="s">
        <v>906</v>
      </c>
      <c r="F1016" s="278" t="s">
        <v>907</v>
      </c>
      <c r="G1016" s="390" t="s">
        <v>961</v>
      </c>
      <c r="H1016" s="1178"/>
      <c r="I1016" s="1178"/>
      <c r="J1016" s="1178"/>
      <c r="K1016" s="2"/>
      <c r="L1016" s="2"/>
      <c r="M1016" s="2"/>
      <c r="N1016" s="2"/>
      <c r="O1016" s="2"/>
      <c r="P1016" s="2"/>
      <c r="Q1016" s="2"/>
      <c r="R1016" s="2"/>
      <c r="S1016" s="2"/>
      <c r="T1016" s="2"/>
      <c r="U1016" s="2"/>
      <c r="V1016" s="2"/>
      <c r="W1016" s="2"/>
    </row>
    <row r="1017" spans="1:23" s="341" customFormat="1">
      <c r="A1017" s="2"/>
      <c r="B1017" s="278" t="s">
        <v>616</v>
      </c>
      <c r="C1017" s="278" t="s">
        <v>230</v>
      </c>
      <c r="D1017" s="299" t="s">
        <v>1866</v>
      </c>
      <c r="E1017" s="278" t="s">
        <v>906</v>
      </c>
      <c r="F1017" s="278" t="s">
        <v>907</v>
      </c>
      <c r="G1017" s="390" t="s">
        <v>961</v>
      </c>
      <c r="H1017" s="1178"/>
      <c r="I1017" s="1178"/>
      <c r="J1017" s="1178"/>
      <c r="K1017" s="2"/>
      <c r="L1017" s="2"/>
      <c r="M1017" s="2"/>
      <c r="N1017" s="2"/>
      <c r="O1017" s="2"/>
      <c r="P1017" s="2"/>
      <c r="Q1017" s="2"/>
      <c r="R1017" s="2"/>
      <c r="S1017" s="2"/>
      <c r="T1017" s="2"/>
      <c r="U1017" s="2"/>
      <c r="V1017" s="2"/>
      <c r="W1017" s="2"/>
    </row>
    <row r="1018" spans="1:23" s="341" customFormat="1">
      <c r="A1018" s="2"/>
      <c r="B1018" s="278" t="s">
        <v>617</v>
      </c>
      <c r="C1018" s="278" t="s">
        <v>230</v>
      </c>
      <c r="D1018" s="299" t="s">
        <v>1866</v>
      </c>
      <c r="E1018" s="278" t="s">
        <v>906</v>
      </c>
      <c r="F1018" s="278" t="s">
        <v>907</v>
      </c>
      <c r="G1018" s="390" t="s">
        <v>961</v>
      </c>
      <c r="H1018" s="1178"/>
      <c r="I1018" s="1178"/>
      <c r="J1018" s="1178"/>
      <c r="K1018" s="2"/>
      <c r="L1018" s="2"/>
      <c r="M1018" s="2"/>
      <c r="N1018" s="2"/>
      <c r="O1018" s="2"/>
      <c r="P1018" s="2"/>
      <c r="Q1018" s="2"/>
      <c r="R1018" s="2"/>
      <c r="S1018" s="2"/>
      <c r="T1018" s="2"/>
      <c r="U1018" s="2"/>
      <c r="V1018" s="2"/>
      <c r="W1018" s="2"/>
    </row>
    <row r="1019" spans="1:23" s="341" customFormat="1">
      <c r="A1019" s="2"/>
      <c r="B1019" s="278" t="s">
        <v>618</v>
      </c>
      <c r="C1019" s="278" t="s">
        <v>230</v>
      </c>
      <c r="D1019" s="299" t="s">
        <v>1866</v>
      </c>
      <c r="E1019" s="278" t="s">
        <v>906</v>
      </c>
      <c r="F1019" s="278" t="s">
        <v>907</v>
      </c>
      <c r="G1019" s="390" t="s">
        <v>961</v>
      </c>
      <c r="H1019" s="1178"/>
      <c r="I1019" s="1178"/>
      <c r="J1019" s="1178"/>
      <c r="K1019" s="2"/>
      <c r="L1019" s="2"/>
      <c r="M1019" s="2"/>
      <c r="N1019" s="2"/>
      <c r="O1019" s="2"/>
      <c r="P1019" s="2"/>
      <c r="Q1019" s="2"/>
      <c r="R1019" s="2"/>
      <c r="S1019" s="2"/>
      <c r="T1019" s="2"/>
      <c r="U1019" s="2"/>
      <c r="V1019" s="2"/>
      <c r="W1019" s="2"/>
    </row>
    <row r="1020" spans="1:23" s="341" customFormat="1">
      <c r="A1020" s="2"/>
      <c r="B1020" s="278" t="s">
        <v>619</v>
      </c>
      <c r="C1020" s="278" t="s">
        <v>230</v>
      </c>
      <c r="D1020" s="299" t="s">
        <v>1866</v>
      </c>
      <c r="E1020" s="278" t="s">
        <v>906</v>
      </c>
      <c r="F1020" s="278" t="s">
        <v>907</v>
      </c>
      <c r="G1020" s="390" t="s">
        <v>961</v>
      </c>
      <c r="H1020" s="1178"/>
      <c r="I1020" s="1178"/>
      <c r="J1020" s="1178"/>
      <c r="K1020" s="2"/>
      <c r="L1020" s="2"/>
      <c r="M1020" s="2"/>
      <c r="N1020" s="2"/>
      <c r="O1020" s="2"/>
      <c r="P1020" s="2"/>
      <c r="Q1020" s="2"/>
      <c r="R1020" s="2"/>
      <c r="S1020" s="2"/>
      <c r="T1020" s="2"/>
      <c r="U1020" s="2"/>
      <c r="V1020" s="2"/>
      <c r="W1020" s="2"/>
    </row>
    <row r="1021" spans="1:23">
      <c r="B1021" s="18"/>
    </row>
    <row r="1022" spans="1:23">
      <c r="A1022" s="725"/>
      <c r="B1022" s="726" t="s">
        <v>962</v>
      </c>
      <c r="C1022" s="725"/>
      <c r="D1022" s="725"/>
      <c r="E1022" s="725"/>
      <c r="F1022" s="725"/>
      <c r="G1022" s="725"/>
      <c r="H1022" s="725"/>
      <c r="I1022" s="725"/>
      <c r="J1022" s="725"/>
    </row>
    <row r="1023" spans="1:23">
      <c r="B1023" s="277" t="s">
        <v>904</v>
      </c>
      <c r="C1023" s="277" t="s">
        <v>62</v>
      </c>
      <c r="D1023" s="277" t="s">
        <v>902</v>
      </c>
      <c r="E1023" s="277" t="s">
        <v>898</v>
      </c>
      <c r="F1023" s="277" t="s">
        <v>916</v>
      </c>
      <c r="G1023" s="277" t="s">
        <v>963</v>
      </c>
      <c r="H1023" s="277" t="s">
        <v>964</v>
      </c>
      <c r="I1023" s="277" t="s">
        <v>965</v>
      </c>
      <c r="J1023" s="277" t="s">
        <v>966</v>
      </c>
      <c r="K1023" s="277" t="s">
        <v>967</v>
      </c>
      <c r="L1023" s="277" t="s">
        <v>968</v>
      </c>
      <c r="M1023" s="277" t="s">
        <v>956</v>
      </c>
      <c r="N1023" s="277" t="s">
        <v>969</v>
      </c>
      <c r="O1023" s="277" t="s">
        <v>970</v>
      </c>
      <c r="P1023" s="277" t="s">
        <v>927</v>
      </c>
      <c r="Q1023" s="277" t="s">
        <v>913</v>
      </c>
      <c r="R1023" s="277" t="s">
        <v>914</v>
      </c>
      <c r="S1023" s="277" t="s">
        <v>915</v>
      </c>
      <c r="T1023" s="277" t="s">
        <v>916</v>
      </c>
      <c r="U1023" s="277" t="s">
        <v>917</v>
      </c>
      <c r="V1023" s="277" t="s">
        <v>918</v>
      </c>
      <c r="W1023" s="277" t="s">
        <v>919</v>
      </c>
    </row>
    <row r="1024" spans="1:23">
      <c r="B1024" s="302" t="s">
        <v>2931</v>
      </c>
      <c r="C1024" s="279" t="s">
        <v>2645</v>
      </c>
      <c r="D1024" s="278" t="s">
        <v>589</v>
      </c>
      <c r="E1024" s="278" t="s">
        <v>230</v>
      </c>
      <c r="F1024" s="299">
        <f t="shared" ref="F1024:F1029" si="95">$E$965</f>
        <v>2003</v>
      </c>
      <c r="G1024" s="278">
        <v>2015</v>
      </c>
      <c r="H1024" s="278">
        <f>'COMPANY INPUT'!$C$16</f>
        <v>2023</v>
      </c>
      <c r="I1024" s="278">
        <f>VLOOKUP(G1024,'GDP Deflators'!$H$13:$I$86,2,FALSE)</f>
        <v>78.255300000000005</v>
      </c>
      <c r="J1024" s="278">
        <f>VLOOKUP(H1024,'GDP Deflators'!$H$13:$I$86,2,FALSE)</f>
        <v>100</v>
      </c>
      <c r="K1024" s="297">
        <f t="shared" ref="K1024:K1029" si="96">-C985</f>
        <v>-588</v>
      </c>
      <c r="L1024" s="746">
        <f>K1024*(J1024/I1024)</f>
        <v>-751.38680702776674</v>
      </c>
      <c r="M1024" s="300" t="str">
        <f t="shared" ref="M1024:M1029" si="97">$I$994</f>
        <v>Willingness to Pay</v>
      </c>
      <c r="N1024" s="326">
        <f t="shared" ref="N1024:N1029" si="98">$H$994</f>
        <v>2.1428571428571401</v>
      </c>
      <c r="O1024" s="278" t="s">
        <v>718</v>
      </c>
      <c r="P1024" s="278" t="str">
        <f t="shared" ref="P1024:P1029" si="99">$J$994</f>
        <v>Dated, but challenging to find studies that segregate use and non-use value, and as this is presented in ENCA it is deemed suitable</v>
      </c>
      <c r="Q1024" s="299">
        <f t="shared" ref="Q1024:W1029" si="100">B$965</f>
        <v>124</v>
      </c>
      <c r="R1024" s="299" t="str">
        <f t="shared" si="100"/>
        <v>Willis et al (2003) The social and environmental benefits of forests in Great Britain</v>
      </c>
      <c r="S1024" s="299" t="str">
        <f t="shared" si="100"/>
        <v>ENCA</v>
      </c>
      <c r="T1024" s="299">
        <f t="shared" si="100"/>
        <v>2003</v>
      </c>
      <c r="U1024" s="299" t="str">
        <f t="shared" si="100"/>
        <v>Great Britain</v>
      </c>
      <c r="V1024" s="299" t="str">
        <f t="shared" si="100"/>
        <v>Great Britain</v>
      </c>
      <c r="W1024" s="299" t="str">
        <f t="shared" si="100"/>
        <v>&gt;400</v>
      </c>
    </row>
    <row r="1025" spans="1:23">
      <c r="B1025" s="302" t="s">
        <v>2932</v>
      </c>
      <c r="C1025" s="279" t="s">
        <v>2645</v>
      </c>
      <c r="D1025" s="214" t="s">
        <v>591</v>
      </c>
      <c r="E1025" s="278" t="s">
        <v>230</v>
      </c>
      <c r="F1025" s="299">
        <f t="shared" si="95"/>
        <v>2003</v>
      </c>
      <c r="G1025" s="278">
        <v>2015</v>
      </c>
      <c r="H1025" s="278">
        <f>'COMPANY INPUT'!$C$16</f>
        <v>2023</v>
      </c>
      <c r="I1025" s="278">
        <f>VLOOKUP(G1025,'GDP Deflators'!$H$13:$I$86,2,FALSE)</f>
        <v>78.255300000000005</v>
      </c>
      <c r="J1025" s="278">
        <f>VLOOKUP(H1025,'GDP Deflators'!$H$13:$I$86,2,FALSE)</f>
        <v>100</v>
      </c>
      <c r="K1025" s="297">
        <f t="shared" si="96"/>
        <v>-441</v>
      </c>
      <c r="L1025" s="746">
        <f t="shared" ref="L1025:L1029" si="101">K1025*(J1025/I1025)</f>
        <v>-563.54010527082505</v>
      </c>
      <c r="M1025" s="300" t="str">
        <f t="shared" si="97"/>
        <v>Willingness to Pay</v>
      </c>
      <c r="N1025" s="326">
        <f t="shared" si="98"/>
        <v>2.1428571428571401</v>
      </c>
      <c r="O1025" s="278" t="s">
        <v>718</v>
      </c>
      <c r="P1025" s="278" t="str">
        <f t="shared" si="99"/>
        <v>Dated, but challenging to find studies that segregate use and non-use value, and as this is presented in ENCA it is deemed suitable</v>
      </c>
      <c r="Q1025" s="299">
        <f t="shared" si="100"/>
        <v>124</v>
      </c>
      <c r="R1025" s="299" t="str">
        <f t="shared" si="100"/>
        <v>Willis et al (2003) The social and environmental benefits of forests in Great Britain</v>
      </c>
      <c r="S1025" s="299" t="str">
        <f t="shared" si="100"/>
        <v>ENCA</v>
      </c>
      <c r="T1025" s="299">
        <f t="shared" si="100"/>
        <v>2003</v>
      </c>
      <c r="U1025" s="299" t="str">
        <f t="shared" si="100"/>
        <v>Great Britain</v>
      </c>
      <c r="V1025" s="299" t="str">
        <f t="shared" si="100"/>
        <v>Great Britain</v>
      </c>
      <c r="W1025" s="299" t="str">
        <f t="shared" si="100"/>
        <v>&gt;400</v>
      </c>
    </row>
    <row r="1026" spans="1:23">
      <c r="B1026" s="302" t="s">
        <v>2933</v>
      </c>
      <c r="C1026" s="279" t="s">
        <v>2645</v>
      </c>
      <c r="D1026" s="214" t="s">
        <v>592</v>
      </c>
      <c r="E1026" s="278" t="s">
        <v>230</v>
      </c>
      <c r="F1026" s="299">
        <f t="shared" si="95"/>
        <v>2003</v>
      </c>
      <c r="G1026" s="278">
        <v>2015</v>
      </c>
      <c r="H1026" s="278">
        <f>'COMPANY INPUT'!$C$16</f>
        <v>2023</v>
      </c>
      <c r="I1026" s="278">
        <f>VLOOKUP(G1026,'GDP Deflators'!$H$13:$I$86,2,FALSE)</f>
        <v>78.255300000000005</v>
      </c>
      <c r="J1026" s="278">
        <f>VLOOKUP(H1026,'GDP Deflators'!$H$13:$I$86,2,FALSE)</f>
        <v>100</v>
      </c>
      <c r="K1026" s="297">
        <f t="shared" si="96"/>
        <v>-294</v>
      </c>
      <c r="L1026" s="746">
        <f t="shared" si="101"/>
        <v>-375.69340351388337</v>
      </c>
      <c r="M1026" s="300" t="str">
        <f t="shared" si="97"/>
        <v>Willingness to Pay</v>
      </c>
      <c r="N1026" s="326">
        <f t="shared" si="98"/>
        <v>2.1428571428571401</v>
      </c>
      <c r="O1026" s="278" t="s">
        <v>718</v>
      </c>
      <c r="P1026" s="278" t="str">
        <f t="shared" si="99"/>
        <v>Dated, but challenging to find studies that segregate use and non-use value, and as this is presented in ENCA it is deemed suitable</v>
      </c>
      <c r="Q1026" s="299">
        <f t="shared" si="100"/>
        <v>124</v>
      </c>
      <c r="R1026" s="299" t="str">
        <f t="shared" si="100"/>
        <v>Willis et al (2003) The social and environmental benefits of forests in Great Britain</v>
      </c>
      <c r="S1026" s="299" t="str">
        <f t="shared" si="100"/>
        <v>ENCA</v>
      </c>
      <c r="T1026" s="299">
        <f t="shared" si="100"/>
        <v>2003</v>
      </c>
      <c r="U1026" s="299" t="str">
        <f t="shared" si="100"/>
        <v>Great Britain</v>
      </c>
      <c r="V1026" s="299" t="str">
        <f t="shared" si="100"/>
        <v>Great Britain</v>
      </c>
      <c r="W1026" s="299" t="str">
        <f t="shared" si="100"/>
        <v>&gt;400</v>
      </c>
    </row>
    <row r="1027" spans="1:23">
      <c r="B1027" s="302" t="s">
        <v>2934</v>
      </c>
      <c r="C1027" s="279" t="s">
        <v>2645</v>
      </c>
      <c r="D1027" s="278" t="s">
        <v>599</v>
      </c>
      <c r="E1027" s="278" t="s">
        <v>230</v>
      </c>
      <c r="F1027" s="299">
        <f t="shared" si="95"/>
        <v>2003</v>
      </c>
      <c r="G1027" s="278">
        <v>2015</v>
      </c>
      <c r="H1027" s="278">
        <f>'COMPANY INPUT'!$C$16</f>
        <v>2023</v>
      </c>
      <c r="I1027" s="278">
        <f>VLOOKUP(G1027,'GDP Deflators'!$H$13:$I$86,2,FALSE)</f>
        <v>78.255300000000005</v>
      </c>
      <c r="J1027" s="278">
        <f>VLOOKUP(H1027,'GDP Deflators'!$H$13:$I$86,2,FALSE)</f>
        <v>100</v>
      </c>
      <c r="K1027" s="297">
        <f t="shared" si="96"/>
        <v>-588</v>
      </c>
      <c r="L1027" s="746">
        <f t="shared" si="101"/>
        <v>-751.38680702776674</v>
      </c>
      <c r="M1027" s="300" t="str">
        <f t="shared" si="97"/>
        <v>Willingness to Pay</v>
      </c>
      <c r="N1027" s="326">
        <f t="shared" si="98"/>
        <v>2.1428571428571401</v>
      </c>
      <c r="O1027" s="278" t="s">
        <v>718</v>
      </c>
      <c r="P1027" s="278" t="str">
        <f t="shared" si="99"/>
        <v>Dated, but challenging to find studies that segregate use and non-use value, and as this is presented in ENCA it is deemed suitable</v>
      </c>
      <c r="Q1027" s="299">
        <f t="shared" si="100"/>
        <v>124</v>
      </c>
      <c r="R1027" s="299" t="str">
        <f t="shared" si="100"/>
        <v>Willis et al (2003) The social and environmental benefits of forests in Great Britain</v>
      </c>
      <c r="S1027" s="299" t="str">
        <f t="shared" si="100"/>
        <v>ENCA</v>
      </c>
      <c r="T1027" s="299">
        <f t="shared" si="100"/>
        <v>2003</v>
      </c>
      <c r="U1027" s="299" t="str">
        <f t="shared" si="100"/>
        <v>Great Britain</v>
      </c>
      <c r="V1027" s="299" t="str">
        <f t="shared" si="100"/>
        <v>Great Britain</v>
      </c>
      <c r="W1027" s="299" t="str">
        <f t="shared" si="100"/>
        <v>&gt;400</v>
      </c>
    </row>
    <row r="1028" spans="1:23">
      <c r="B1028" s="302" t="s">
        <v>2935</v>
      </c>
      <c r="C1028" s="279" t="s">
        <v>2645</v>
      </c>
      <c r="D1028" s="214" t="s">
        <v>600</v>
      </c>
      <c r="E1028" s="278" t="s">
        <v>230</v>
      </c>
      <c r="F1028" s="299">
        <f t="shared" si="95"/>
        <v>2003</v>
      </c>
      <c r="G1028" s="278">
        <v>2015</v>
      </c>
      <c r="H1028" s="278">
        <f>'COMPANY INPUT'!$C$16</f>
        <v>2023</v>
      </c>
      <c r="I1028" s="278">
        <f>VLOOKUP(G1028,'GDP Deflators'!$H$13:$I$86,2,FALSE)</f>
        <v>78.255300000000005</v>
      </c>
      <c r="J1028" s="278">
        <f>VLOOKUP(H1028,'GDP Deflators'!$H$13:$I$86,2,FALSE)</f>
        <v>100</v>
      </c>
      <c r="K1028" s="297">
        <f t="shared" si="96"/>
        <v>-441</v>
      </c>
      <c r="L1028" s="746">
        <f t="shared" si="101"/>
        <v>-563.54010527082505</v>
      </c>
      <c r="M1028" s="300" t="str">
        <f t="shared" si="97"/>
        <v>Willingness to Pay</v>
      </c>
      <c r="N1028" s="326">
        <f t="shared" si="98"/>
        <v>2.1428571428571401</v>
      </c>
      <c r="O1028" s="278" t="s">
        <v>718</v>
      </c>
      <c r="P1028" s="278" t="str">
        <f t="shared" si="99"/>
        <v>Dated, but challenging to find studies that segregate use and non-use value, and as this is presented in ENCA it is deemed suitable</v>
      </c>
      <c r="Q1028" s="299">
        <f t="shared" si="100"/>
        <v>124</v>
      </c>
      <c r="R1028" s="299" t="str">
        <f t="shared" si="100"/>
        <v>Willis et al (2003) The social and environmental benefits of forests in Great Britain</v>
      </c>
      <c r="S1028" s="299" t="str">
        <f t="shared" si="100"/>
        <v>ENCA</v>
      </c>
      <c r="T1028" s="299">
        <f t="shared" si="100"/>
        <v>2003</v>
      </c>
      <c r="U1028" s="299" t="str">
        <f t="shared" si="100"/>
        <v>Great Britain</v>
      </c>
      <c r="V1028" s="299" t="str">
        <f t="shared" si="100"/>
        <v>Great Britain</v>
      </c>
      <c r="W1028" s="299" t="str">
        <f t="shared" si="100"/>
        <v>&gt;400</v>
      </c>
    </row>
    <row r="1029" spans="1:23">
      <c r="B1029" s="302" t="s">
        <v>2936</v>
      </c>
      <c r="C1029" s="279" t="s">
        <v>2645</v>
      </c>
      <c r="D1029" s="278" t="s">
        <v>601</v>
      </c>
      <c r="E1029" s="278" t="s">
        <v>230</v>
      </c>
      <c r="F1029" s="299">
        <f t="shared" si="95"/>
        <v>2003</v>
      </c>
      <c r="G1029" s="278">
        <v>2015</v>
      </c>
      <c r="H1029" s="278">
        <f>'COMPANY INPUT'!$C$16</f>
        <v>2023</v>
      </c>
      <c r="I1029" s="278">
        <f>VLOOKUP(G1029,'GDP Deflators'!$H$13:$I$86,2,FALSE)</f>
        <v>78.255300000000005</v>
      </c>
      <c r="J1029" s="278">
        <f>VLOOKUP(H1029,'GDP Deflators'!$H$13:$I$86,2,FALSE)</f>
        <v>100</v>
      </c>
      <c r="K1029" s="297">
        <f t="shared" si="96"/>
        <v>-294</v>
      </c>
      <c r="L1029" s="746">
        <f t="shared" si="101"/>
        <v>-375.69340351388337</v>
      </c>
      <c r="M1029" s="300" t="str">
        <f t="shared" si="97"/>
        <v>Willingness to Pay</v>
      </c>
      <c r="N1029" s="326">
        <f t="shared" si="98"/>
        <v>2.1428571428571401</v>
      </c>
      <c r="O1029" s="278" t="s">
        <v>718</v>
      </c>
      <c r="P1029" s="278" t="str">
        <f t="shared" si="99"/>
        <v>Dated, but challenging to find studies that segregate use and non-use value, and as this is presented in ENCA it is deemed suitable</v>
      </c>
      <c r="Q1029" s="299">
        <f t="shared" si="100"/>
        <v>124</v>
      </c>
      <c r="R1029" s="299" t="str">
        <f t="shared" si="100"/>
        <v>Willis et al (2003) The social and environmental benefits of forests in Great Britain</v>
      </c>
      <c r="S1029" s="299" t="str">
        <f t="shared" si="100"/>
        <v>ENCA</v>
      </c>
      <c r="T1029" s="299">
        <f t="shared" si="100"/>
        <v>2003</v>
      </c>
      <c r="U1029" s="299" t="str">
        <f t="shared" si="100"/>
        <v>Great Britain</v>
      </c>
      <c r="V1029" s="299" t="str">
        <f t="shared" si="100"/>
        <v>Great Britain</v>
      </c>
      <c r="W1029" s="299" t="str">
        <f t="shared" si="100"/>
        <v>&gt;400</v>
      </c>
    </row>
    <row r="1031" spans="1:23" s="341" customFormat="1">
      <c r="A1031" s="721"/>
      <c r="B1031" s="722" t="s">
        <v>151</v>
      </c>
      <c r="C1031" s="721"/>
      <c r="D1031" s="721"/>
      <c r="E1031" s="721"/>
      <c r="F1031" s="721"/>
      <c r="G1031" s="721"/>
      <c r="H1031" s="721"/>
      <c r="I1031" s="721"/>
      <c r="J1031" s="721"/>
      <c r="K1031" s="2"/>
      <c r="L1031" s="2"/>
      <c r="M1031" s="2"/>
      <c r="N1031" s="2"/>
      <c r="O1031" s="2"/>
      <c r="P1031" s="2"/>
      <c r="Q1031" s="2"/>
      <c r="R1031" s="2"/>
      <c r="S1031" s="2"/>
      <c r="T1031" s="2"/>
      <c r="U1031" s="2"/>
      <c r="V1031" s="2"/>
      <c r="W1031" s="2"/>
    </row>
    <row r="1032" spans="1:23" s="341" customFormat="1">
      <c r="A1032" s="727"/>
      <c r="B1032" s="729" t="s">
        <v>897</v>
      </c>
      <c r="C1032" s="727"/>
      <c r="D1032" s="727"/>
      <c r="E1032" s="727"/>
      <c r="F1032" s="727"/>
      <c r="G1032" s="727"/>
      <c r="H1032" s="727"/>
      <c r="I1032" s="727"/>
      <c r="J1032" s="727"/>
      <c r="K1032" s="2"/>
      <c r="L1032" s="2"/>
      <c r="M1032" s="2"/>
      <c r="N1032" s="2"/>
      <c r="O1032" s="2"/>
      <c r="P1032" s="2"/>
      <c r="Q1032" s="2"/>
      <c r="R1032" s="2"/>
      <c r="S1032" s="2"/>
      <c r="T1032" s="2"/>
      <c r="U1032" s="2"/>
      <c r="V1032" s="2"/>
      <c r="W1032" s="2"/>
    </row>
    <row r="1033" spans="1:23" s="341" customFormat="1">
      <c r="A1033" s="2"/>
      <c r="B1033" s="277" t="s">
        <v>898</v>
      </c>
      <c r="C1033" s="277" t="s">
        <v>899</v>
      </c>
      <c r="D1033" s="2"/>
      <c r="E1033" s="2"/>
      <c r="F1033" s="2"/>
      <c r="G1033" s="2"/>
      <c r="H1033" s="2"/>
      <c r="I1033" s="2"/>
      <c r="J1033" s="2"/>
      <c r="K1033" s="2"/>
      <c r="L1033" s="2"/>
      <c r="M1033" s="2"/>
      <c r="N1033" s="2"/>
      <c r="O1033" s="2"/>
      <c r="P1033" s="2"/>
      <c r="Q1033" s="2"/>
      <c r="R1033" s="2"/>
      <c r="S1033" s="2"/>
      <c r="T1033" s="2"/>
      <c r="U1033" s="2"/>
      <c r="V1033" s="2"/>
      <c r="W1033" s="2"/>
    </row>
    <row r="1034" spans="1:23" s="341" customFormat="1">
      <c r="A1034" s="2"/>
      <c r="B1034" s="278" t="s">
        <v>151</v>
      </c>
      <c r="C1034" s="278" t="s">
        <v>2937</v>
      </c>
      <c r="D1034" s="2"/>
      <c r="E1034" s="2"/>
      <c r="F1034" s="2"/>
      <c r="G1034" s="2"/>
      <c r="H1034" s="2"/>
      <c r="I1034" s="2"/>
      <c r="J1034" s="2"/>
      <c r="K1034" s="2"/>
      <c r="L1034" s="2"/>
      <c r="M1034" s="2"/>
      <c r="N1034" s="2"/>
      <c r="O1034" s="2"/>
      <c r="P1034" s="2"/>
      <c r="Q1034" s="2"/>
      <c r="R1034" s="2"/>
      <c r="S1034" s="2"/>
      <c r="T1034" s="2"/>
      <c r="U1034" s="2"/>
      <c r="V1034" s="2"/>
      <c r="W1034" s="2"/>
    </row>
    <row r="1035" spans="1:23" s="341" customFormat="1">
      <c r="A1035" s="2"/>
      <c r="B1035" s="16"/>
      <c r="C1035" s="2"/>
      <c r="D1035" s="2"/>
      <c r="E1035" s="2"/>
      <c r="F1035" s="2"/>
      <c r="G1035" s="2"/>
      <c r="H1035" s="2"/>
      <c r="I1035" s="2"/>
      <c r="J1035" s="2"/>
      <c r="K1035" s="2"/>
      <c r="L1035" s="2"/>
      <c r="M1035" s="2"/>
      <c r="N1035" s="2"/>
      <c r="O1035" s="2"/>
      <c r="P1035" s="2"/>
      <c r="Q1035" s="2"/>
      <c r="R1035" s="2"/>
      <c r="S1035" s="2"/>
      <c r="T1035" s="2"/>
      <c r="U1035" s="2"/>
      <c r="V1035" s="2"/>
      <c r="W1035" s="2"/>
    </row>
    <row r="1036" spans="1:23" s="341" customFormat="1">
      <c r="A1036" s="727"/>
      <c r="B1036" s="728" t="s">
        <v>2917</v>
      </c>
      <c r="C1036" s="727"/>
      <c r="D1036" s="727"/>
      <c r="E1036" s="727"/>
      <c r="F1036" s="727"/>
      <c r="G1036" s="727"/>
      <c r="H1036" s="727"/>
      <c r="I1036" s="727"/>
      <c r="J1036" s="727"/>
      <c r="K1036" s="2"/>
      <c r="L1036" s="2"/>
      <c r="M1036" s="2"/>
      <c r="N1036" s="2"/>
      <c r="O1036" s="2"/>
      <c r="P1036" s="2"/>
      <c r="Q1036" s="2"/>
      <c r="R1036" s="2"/>
      <c r="S1036" s="2"/>
      <c r="T1036" s="2"/>
      <c r="U1036" s="2"/>
      <c r="V1036" s="2"/>
      <c r="W1036" s="2"/>
    </row>
    <row r="1037" spans="1:23" s="341" customFormat="1">
      <c r="A1037" s="725"/>
      <c r="B1037" s="726" t="s">
        <v>912</v>
      </c>
      <c r="C1037" s="725"/>
      <c r="D1037" s="725"/>
      <c r="E1037" s="725"/>
      <c r="F1037" s="725"/>
      <c r="G1037" s="725"/>
      <c r="H1037" s="725"/>
      <c r="I1037" s="725"/>
      <c r="J1037" s="725"/>
      <c r="K1037" s="2"/>
      <c r="L1037" s="2"/>
      <c r="M1037" s="2"/>
      <c r="N1037" s="2"/>
      <c r="O1037" s="2"/>
      <c r="P1037" s="2"/>
      <c r="Q1037" s="2"/>
      <c r="R1037" s="2"/>
      <c r="S1037" s="2"/>
      <c r="T1037" s="2"/>
      <c r="U1037" s="2"/>
      <c r="V1037" s="2"/>
      <c r="W1037" s="2"/>
    </row>
    <row r="1038" spans="1:23" s="341" customFormat="1" ht="29.1">
      <c r="A1038" s="2"/>
      <c r="B1038" s="719" t="s">
        <v>913</v>
      </c>
      <c r="C1038" s="719" t="s">
        <v>914</v>
      </c>
      <c r="D1038" s="719" t="s">
        <v>915</v>
      </c>
      <c r="E1038" s="719" t="s">
        <v>916</v>
      </c>
      <c r="F1038" s="719" t="s">
        <v>917</v>
      </c>
      <c r="G1038" s="719" t="s">
        <v>918</v>
      </c>
      <c r="H1038" s="719" t="s">
        <v>919</v>
      </c>
      <c r="I1038" s="2"/>
      <c r="J1038" s="2"/>
      <c r="K1038" s="2"/>
      <c r="L1038" s="2"/>
      <c r="M1038" s="2"/>
      <c r="N1038" s="2"/>
      <c r="O1038" s="2"/>
      <c r="P1038" s="2"/>
      <c r="Q1038" s="2"/>
      <c r="R1038" s="2"/>
      <c r="S1038" s="2"/>
      <c r="T1038" s="2"/>
      <c r="U1038" s="2"/>
      <c r="V1038" s="2"/>
      <c r="W1038" s="2"/>
    </row>
    <row r="1039" spans="1:23" s="341" customFormat="1">
      <c r="A1039" s="2"/>
      <c r="B1039" s="278">
        <v>116</v>
      </c>
      <c r="C1039" s="278" t="s">
        <v>2623</v>
      </c>
      <c r="D1039" s="279" t="s">
        <v>907</v>
      </c>
      <c r="E1039" s="278">
        <v>2021</v>
      </c>
      <c r="F1039" s="278" t="s">
        <v>1047</v>
      </c>
      <c r="G1039" s="278" t="s">
        <v>1047</v>
      </c>
      <c r="H1039" s="279" t="s">
        <v>907</v>
      </c>
      <c r="I1039" s="2"/>
      <c r="J1039" s="2"/>
      <c r="K1039" s="2"/>
      <c r="L1039" s="2"/>
      <c r="M1039" s="2"/>
      <c r="N1039" s="2"/>
      <c r="O1039" s="2"/>
      <c r="P1039" s="2"/>
      <c r="Q1039" s="2"/>
      <c r="R1039" s="2"/>
      <c r="S1039" s="2"/>
      <c r="T1039" s="2"/>
      <c r="U1039" s="2"/>
      <c r="V1039" s="2"/>
      <c r="W1039" s="2"/>
    </row>
    <row r="1040" spans="1:23" s="341" customFormat="1">
      <c r="A1040" s="2"/>
      <c r="B1040" s="16"/>
      <c r="C1040" s="2"/>
      <c r="D1040" s="2"/>
      <c r="E1040" s="2"/>
      <c r="F1040" s="2"/>
      <c r="G1040" s="2"/>
      <c r="H1040" s="2"/>
      <c r="I1040" s="2"/>
      <c r="J1040" s="2"/>
      <c r="K1040" s="2"/>
      <c r="L1040" s="2"/>
      <c r="M1040" s="2"/>
      <c r="N1040" s="2"/>
      <c r="O1040" s="2"/>
      <c r="P1040" s="2"/>
      <c r="Q1040" s="2"/>
      <c r="R1040" s="2"/>
      <c r="S1040" s="2"/>
      <c r="T1040" s="2"/>
      <c r="U1040" s="2"/>
      <c r="V1040" s="2"/>
      <c r="W1040" s="2"/>
    </row>
    <row r="1041" spans="1:23" s="341" customFormat="1">
      <c r="A1041" s="725"/>
      <c r="B1041" s="726" t="s">
        <v>924</v>
      </c>
      <c r="C1041" s="725"/>
      <c r="D1041" s="725"/>
      <c r="E1041" s="725"/>
      <c r="F1041" s="725"/>
      <c r="G1041" s="725"/>
      <c r="H1041" s="725"/>
      <c r="I1041" s="725"/>
      <c r="J1041" s="725"/>
      <c r="K1041" s="2"/>
      <c r="L1041" s="2"/>
      <c r="M1041" s="2"/>
      <c r="N1041" s="2"/>
      <c r="O1041" s="2"/>
      <c r="P1041" s="2"/>
      <c r="Q1041" s="2"/>
      <c r="R1041" s="2"/>
      <c r="S1041" s="2"/>
      <c r="T1041" s="2"/>
      <c r="U1041" s="2"/>
      <c r="V1041" s="2"/>
      <c r="W1041" s="2"/>
    </row>
    <row r="1042" spans="1:23" s="341" customFormat="1">
      <c r="A1042" s="2"/>
      <c r="B1042" s="277" t="s">
        <v>165</v>
      </c>
      <c r="C1042" s="277" t="s">
        <v>925</v>
      </c>
      <c r="D1042" s="277" t="s">
        <v>926</v>
      </c>
      <c r="E1042" s="1134" t="s">
        <v>953</v>
      </c>
      <c r="F1042" s="1134"/>
      <c r="G1042" s="1134"/>
      <c r="H1042" s="1134"/>
      <c r="I1042" s="1134"/>
      <c r="J1042" s="1134"/>
      <c r="K1042" s="2"/>
      <c r="L1042" s="2"/>
      <c r="M1042" s="2"/>
      <c r="N1042" s="2"/>
      <c r="O1042" s="2"/>
      <c r="P1042" s="2"/>
      <c r="Q1042" s="2"/>
      <c r="R1042" s="2"/>
      <c r="S1042" s="2"/>
      <c r="T1042" s="2"/>
      <c r="U1042" s="2"/>
      <c r="V1042" s="2"/>
      <c r="W1042" s="2"/>
    </row>
    <row r="1043" spans="1:23" s="341" customFormat="1">
      <c r="A1043" s="2"/>
      <c r="B1043" s="278" t="s">
        <v>169</v>
      </c>
      <c r="C1043" s="278" t="s">
        <v>167</v>
      </c>
      <c r="D1043" s="278">
        <f>VLOOKUP(C1043,METHODOLOGY!$C$175:$D$177,2,FALSE)</f>
        <v>2</v>
      </c>
      <c r="E1043" s="1087" t="str">
        <f>_xlfn.XLOOKUP(C1043,METHODOLOGY!$E$150:$O$150,METHODOLOGY!$E$151:$O$151,"",0,1)</f>
        <v>The monetary values are recommended / referenced in other, well recognised and accepted guidance / tools relevant to another sector.</v>
      </c>
      <c r="F1043" s="1087"/>
      <c r="G1043" s="1087"/>
      <c r="H1043" s="1087"/>
      <c r="I1043" s="1087"/>
      <c r="J1043" s="1087"/>
      <c r="K1043" s="2"/>
      <c r="L1043" s="2"/>
      <c r="M1043" s="2"/>
      <c r="N1043" s="2"/>
      <c r="O1043" s="2"/>
      <c r="P1043" s="2"/>
      <c r="Q1043" s="2"/>
      <c r="R1043" s="2"/>
      <c r="S1043" s="2"/>
      <c r="T1043" s="2"/>
      <c r="U1043" s="2"/>
      <c r="V1043" s="2"/>
      <c r="W1043" s="2"/>
    </row>
    <row r="1044" spans="1:23" s="341" customFormat="1">
      <c r="A1044" s="2"/>
      <c r="B1044" s="278" t="s">
        <v>173</v>
      </c>
      <c r="C1044" s="278" t="s">
        <v>166</v>
      </c>
      <c r="D1044" s="278">
        <f>VLOOKUP(C1044,METHODOLOGY!$C$175:$D$177,2,FALSE)</f>
        <v>3</v>
      </c>
      <c r="E1044" s="1087" t="str">
        <f>_xlfn.XLOOKUP(C1044,METHODOLOGY!$E$150:$O$150,METHODOLOGY!$E$155:$O$155,"",0,1)</f>
        <v>Study has few limitations and is considered robust.</v>
      </c>
      <c r="F1044" s="1087"/>
      <c r="G1044" s="1087"/>
      <c r="H1044" s="1087"/>
      <c r="I1044" s="1087"/>
      <c r="J1044" s="1087"/>
      <c r="K1044" s="2"/>
      <c r="L1044" s="2"/>
      <c r="M1044" s="2"/>
      <c r="N1044" s="2"/>
      <c r="O1044" s="2"/>
      <c r="P1044" s="2"/>
      <c r="Q1044" s="2"/>
      <c r="R1044" s="2"/>
      <c r="S1044" s="2"/>
      <c r="T1044" s="2"/>
      <c r="U1044" s="2"/>
      <c r="V1044" s="2"/>
      <c r="W1044" s="2"/>
    </row>
    <row r="1045" spans="1:23" s="341" customFormat="1">
      <c r="A1045" s="2"/>
      <c r="B1045" s="278" t="s">
        <v>177</v>
      </c>
      <c r="C1045" s="278" t="s">
        <v>166</v>
      </c>
      <c r="D1045" s="278">
        <f>VLOOKUP(C1045,METHODOLOGY!$C$175:$D$177,2,FALSE)</f>
        <v>3</v>
      </c>
      <c r="E1045" s="1087" t="str">
        <f>_xlfn.XLOOKUP(C1045,METHODOLOGY!$E$150:$O$150,METHODOLOGY!$E$158:$O$158,"",0,1)</f>
        <v>0 – 5 years</v>
      </c>
      <c r="F1045" s="1087"/>
      <c r="G1045" s="1087"/>
      <c r="H1045" s="1087"/>
      <c r="I1045" s="1087"/>
      <c r="J1045" s="1087"/>
      <c r="K1045" s="2"/>
      <c r="L1045" s="2"/>
      <c r="M1045" s="2"/>
      <c r="N1045" s="2"/>
      <c r="O1045" s="2"/>
      <c r="P1045" s="2"/>
      <c r="Q1045" s="2"/>
      <c r="R1045" s="2"/>
      <c r="S1045" s="2"/>
      <c r="T1045" s="2"/>
      <c r="U1045" s="2"/>
      <c r="V1045" s="2"/>
      <c r="W1045" s="2"/>
    </row>
    <row r="1046" spans="1:23" s="341" customFormat="1">
      <c r="A1046" s="2"/>
      <c r="B1046" s="278" t="s">
        <v>181</v>
      </c>
      <c r="C1046" s="278" t="s">
        <v>166</v>
      </c>
      <c r="D1046" s="278">
        <f>VLOOKUP(C1046,METHODOLOGY!$C$175:$D$177,2,FALSE)</f>
        <v>3</v>
      </c>
      <c r="E1046" s="1087" t="str">
        <f>_xlfn.XLOOKUP(C1046,METHODOLOGY!$E$150:$O$150,METHODOLOGY!$E$160:$O$160,"",0,1)</f>
        <v>Geographically relevant to UK</v>
      </c>
      <c r="F1046" s="1087"/>
      <c r="G1046" s="1087"/>
      <c r="H1046" s="1087"/>
      <c r="I1046" s="1087"/>
      <c r="J1046" s="1087"/>
      <c r="K1046" s="2"/>
      <c r="L1046" s="2"/>
      <c r="M1046" s="2"/>
      <c r="N1046" s="2"/>
      <c r="O1046" s="2"/>
      <c r="P1046" s="2"/>
      <c r="Q1046" s="2"/>
      <c r="R1046" s="2"/>
      <c r="S1046" s="2"/>
      <c r="T1046" s="2"/>
      <c r="U1046" s="2"/>
      <c r="V1046" s="2"/>
      <c r="W1046" s="2"/>
    </row>
    <row r="1047" spans="1:23" s="341" customFormat="1">
      <c r="A1047" s="2"/>
      <c r="B1047" s="278" t="s">
        <v>928</v>
      </c>
      <c r="C1047" s="278" t="s">
        <v>166</v>
      </c>
      <c r="D1047" s="278">
        <f>VLOOKUP(C1047,METHODOLOGY!$C$175:$D$177,2,FALSE)</f>
        <v>3</v>
      </c>
      <c r="E1047" s="1087" t="str">
        <f>_xlfn.XLOOKUP(C1047,METHODOLOGY!$E$150:$O$150,METHODOLOGY!$E162:$O162,"",0,1)</f>
        <v>Clear understanding of the valuation method and how the value should be applied.</v>
      </c>
      <c r="F1047" s="1087"/>
      <c r="G1047" s="1087"/>
      <c r="H1047" s="1087"/>
      <c r="I1047" s="1087"/>
      <c r="J1047" s="1087"/>
      <c r="K1047" s="2"/>
      <c r="L1047" s="2"/>
      <c r="M1047" s="2"/>
      <c r="N1047" s="2"/>
      <c r="O1047" s="2"/>
      <c r="P1047" s="2"/>
      <c r="Q1047" s="2"/>
      <c r="R1047" s="2"/>
      <c r="S1047" s="2"/>
      <c r="T1047" s="2"/>
      <c r="U1047" s="2"/>
      <c r="V1047" s="2"/>
      <c r="W1047" s="2"/>
    </row>
    <row r="1048" spans="1:23" s="341" customFormat="1">
      <c r="A1048" s="2"/>
      <c r="B1048" s="278" t="s">
        <v>189</v>
      </c>
      <c r="C1048" s="278" t="s">
        <v>167</v>
      </c>
      <c r="D1048" s="278">
        <f>VLOOKUP(C1048,METHODOLOGY!$C$175:$D$177,2,FALSE)</f>
        <v>2</v>
      </c>
      <c r="E1048" s="1087" t="str">
        <f>_xlfn.XLOOKUP(C1048,METHODOLOGY!$E$150:$O$150,METHODOLOGY!$E$164:$O$164,"",0,1)</f>
        <v xml:space="preserve">The original valuation can be used with some modification e.g. applying household numbers. The calculation is simple or introduces low levels of uncertainty. </v>
      </c>
      <c r="F1048" s="1087"/>
      <c r="G1048" s="1087"/>
      <c r="H1048" s="1087"/>
      <c r="I1048" s="1087"/>
      <c r="J1048" s="1087"/>
      <c r="K1048" s="2"/>
      <c r="L1048" s="2"/>
      <c r="M1048" s="2"/>
      <c r="N1048" s="2"/>
      <c r="O1048" s="2"/>
      <c r="P1048" s="2"/>
      <c r="Q1048" s="2"/>
      <c r="R1048" s="2"/>
      <c r="S1048" s="2"/>
      <c r="T1048" s="2"/>
      <c r="U1048" s="2"/>
      <c r="V1048" s="2"/>
      <c r="W1048" s="2"/>
    </row>
    <row r="1049" spans="1:23" s="341" customFormat="1">
      <c r="A1049" s="2"/>
      <c r="B1049" s="2"/>
      <c r="C1049" s="282" t="s">
        <v>924</v>
      </c>
      <c r="D1049" s="326">
        <f>IF(AND(D1048=1,AVERAGE(D1043:D1048)&gt;2.14285714285714),2.14285714285714,IF(AND(D1048=2,AVERAGE(D1043:D1048)&gt;2.57142857142857),2.57142857142857,AVERAGE(D1043:D1048)))</f>
        <v>2.5714285714285698</v>
      </c>
      <c r="E1049" s="270" t="str">
        <f>IF(D1049&lt;=2.14285714285714,"Red",IF(D1049&lt;=2.57142857142857,"Amber",IF(D1049&lt;=3,"Green")))</f>
        <v>Amber</v>
      </c>
      <c r="F1049" s="2"/>
      <c r="G1049" s="2"/>
      <c r="H1049" s="2"/>
      <c r="I1049" s="2"/>
      <c r="J1049" s="2"/>
      <c r="K1049" s="2"/>
      <c r="L1049" s="2"/>
      <c r="M1049" s="2"/>
      <c r="N1049" s="2"/>
      <c r="O1049" s="2"/>
      <c r="P1049" s="2"/>
      <c r="Q1049" s="2"/>
      <c r="R1049" s="2"/>
      <c r="S1049" s="2"/>
      <c r="T1049" s="2"/>
      <c r="U1049" s="2"/>
      <c r="V1049" s="2"/>
      <c r="W1049" s="2"/>
    </row>
    <row r="1050" spans="1:23" s="341" customFormat="1">
      <c r="A1050" s="2"/>
      <c r="B1050" s="2"/>
      <c r="C1050" s="2"/>
      <c r="D1050" s="2"/>
      <c r="E1050" s="2"/>
      <c r="F1050" s="2"/>
      <c r="G1050" s="2"/>
      <c r="H1050" s="2"/>
      <c r="I1050" s="2"/>
      <c r="J1050" s="2"/>
      <c r="K1050" s="2"/>
      <c r="L1050" s="2"/>
      <c r="M1050" s="2"/>
      <c r="N1050" s="2"/>
      <c r="O1050" s="2"/>
      <c r="P1050" s="2"/>
      <c r="Q1050" s="2"/>
      <c r="R1050" s="2"/>
      <c r="S1050" s="2"/>
      <c r="T1050" s="2"/>
      <c r="U1050" s="2"/>
      <c r="V1050" s="2"/>
      <c r="W1050" s="2"/>
    </row>
    <row r="1051" spans="1:23" s="341" customFormat="1">
      <c r="A1051" s="725"/>
      <c r="B1051" s="726" t="s">
        <v>929</v>
      </c>
      <c r="C1051" s="725"/>
      <c r="D1051" s="725"/>
      <c r="E1051" s="725"/>
      <c r="F1051" s="725"/>
      <c r="G1051" s="725"/>
      <c r="H1051" s="725"/>
      <c r="I1051" s="725"/>
      <c r="J1051" s="725"/>
      <c r="K1051" s="2"/>
      <c r="L1051" s="2"/>
      <c r="M1051" s="2"/>
      <c r="N1051" s="2"/>
      <c r="O1051" s="2"/>
      <c r="P1051" s="2"/>
      <c r="Q1051" s="2"/>
      <c r="R1051" s="2"/>
      <c r="S1051" s="2"/>
      <c r="T1051" s="2"/>
      <c r="U1051" s="2"/>
      <c r="V1051" s="2"/>
      <c r="W1051" s="2"/>
    </row>
    <row r="1052" spans="1:23" s="341" customFormat="1">
      <c r="A1052" s="2"/>
      <c r="B1052" s="277" t="s">
        <v>913</v>
      </c>
      <c r="C1052" s="277" t="s">
        <v>902</v>
      </c>
      <c r="D1052" s="277" t="s">
        <v>331</v>
      </c>
      <c r="E1052" s="277" t="s">
        <v>226</v>
      </c>
      <c r="F1052" s="1128" t="s">
        <v>930</v>
      </c>
      <c r="G1052" s="1129"/>
      <c r="H1052" s="1129"/>
      <c r="I1052" s="1129"/>
      <c r="J1052" s="1130"/>
      <c r="K1052" s="2"/>
      <c r="L1052" s="2"/>
      <c r="M1052" s="2"/>
      <c r="N1052" s="2"/>
      <c r="O1052" s="2"/>
      <c r="P1052" s="2"/>
      <c r="Q1052" s="2"/>
      <c r="R1052" s="2"/>
      <c r="S1052" s="2"/>
      <c r="T1052" s="2"/>
      <c r="U1052" s="2"/>
      <c r="V1052" s="2"/>
      <c r="W1052" s="2"/>
    </row>
    <row r="1053" spans="1:23" s="341" customFormat="1" ht="15" customHeight="1">
      <c r="A1053" s="2"/>
      <c r="B1053" s="1387">
        <v>116</v>
      </c>
      <c r="C1053" s="278" t="s">
        <v>2624</v>
      </c>
      <c r="D1053" s="696">
        <v>1502</v>
      </c>
      <c r="E1053" s="394" t="s">
        <v>2625</v>
      </c>
      <c r="F1053" s="1095" t="s">
        <v>2938</v>
      </c>
      <c r="G1053" s="1095"/>
      <c r="H1053" s="1095"/>
      <c r="I1053" s="1095"/>
      <c r="J1053" s="1095"/>
      <c r="K1053" s="2"/>
      <c r="L1053" s="2"/>
      <c r="M1053" s="2"/>
      <c r="N1053" s="2"/>
      <c r="O1053" s="2"/>
      <c r="P1053" s="2"/>
      <c r="Q1053" s="2"/>
      <c r="R1053" s="2"/>
      <c r="S1053" s="2"/>
      <c r="T1053" s="2"/>
      <c r="U1053" s="2"/>
      <c r="V1053" s="2"/>
      <c r="W1053" s="2"/>
    </row>
    <row r="1054" spans="1:23" s="341" customFormat="1">
      <c r="A1054" s="2"/>
      <c r="B1054" s="1388"/>
      <c r="C1054" s="278" t="s">
        <v>2627</v>
      </c>
      <c r="D1054" s="696">
        <v>4005</v>
      </c>
      <c r="E1054" s="394" t="s">
        <v>2625</v>
      </c>
      <c r="F1054" s="1095"/>
      <c r="G1054" s="1095"/>
      <c r="H1054" s="1095"/>
      <c r="I1054" s="1095"/>
      <c r="J1054" s="1095"/>
      <c r="K1054" s="2"/>
      <c r="L1054" s="2"/>
      <c r="M1054" s="2"/>
      <c r="N1054" s="2"/>
      <c r="O1054" s="2"/>
      <c r="P1054" s="2"/>
      <c r="Q1054" s="2"/>
      <c r="R1054" s="2"/>
      <c r="S1054" s="2"/>
      <c r="T1054" s="2"/>
      <c r="U1054" s="2"/>
      <c r="V1054" s="2"/>
      <c r="W1054" s="2"/>
    </row>
    <row r="1055" spans="1:23" s="341" customFormat="1">
      <c r="A1055" s="2"/>
      <c r="B1055" s="2"/>
      <c r="C1055" s="2"/>
      <c r="D1055" s="2"/>
      <c r="E1055" s="2"/>
      <c r="F1055" s="2"/>
      <c r="G1055" s="2"/>
      <c r="H1055" s="2"/>
      <c r="I1055" s="2"/>
      <c r="J1055" s="2"/>
      <c r="K1055" s="2"/>
      <c r="L1055" s="2"/>
      <c r="M1055" s="2"/>
      <c r="N1055" s="2"/>
      <c r="O1055" s="2"/>
      <c r="P1055" s="2"/>
      <c r="Q1055" s="2"/>
      <c r="R1055" s="2"/>
      <c r="S1055" s="2"/>
      <c r="T1055" s="2"/>
      <c r="U1055" s="2"/>
      <c r="V1055" s="2"/>
      <c r="W1055" s="2"/>
    </row>
    <row r="1056" spans="1:23" s="341" customFormat="1">
      <c r="A1056" s="725"/>
      <c r="B1056" s="726" t="s">
        <v>936</v>
      </c>
      <c r="C1056" s="725"/>
      <c r="D1056" s="725"/>
      <c r="E1056" s="725"/>
      <c r="F1056" s="725"/>
      <c r="G1056" s="725"/>
      <c r="H1056" s="725"/>
      <c r="I1056" s="725"/>
      <c r="J1056" s="725"/>
      <c r="K1056" s="2"/>
      <c r="L1056" s="2"/>
      <c r="M1056" s="2"/>
      <c r="N1056" s="2"/>
      <c r="O1056" s="2"/>
      <c r="P1056" s="2"/>
      <c r="Q1056" s="2"/>
      <c r="R1056" s="2"/>
      <c r="S1056" s="2"/>
      <c r="T1056" s="2"/>
      <c r="U1056" s="2"/>
      <c r="V1056" s="2"/>
      <c r="W1056" s="2"/>
    </row>
    <row r="1057" spans="2:11" s="341" customFormat="1">
      <c r="B1057" s="298" t="s">
        <v>902</v>
      </c>
      <c r="C1057" s="298" t="s">
        <v>2628</v>
      </c>
      <c r="D1057" s="1170" t="s">
        <v>930</v>
      </c>
      <c r="E1057" s="1170"/>
      <c r="F1057" s="1170"/>
      <c r="G1057" s="2"/>
      <c r="H1057" s="2"/>
      <c r="I1057" s="2"/>
      <c r="J1057" s="2"/>
      <c r="K1057" s="2"/>
    </row>
    <row r="1058" spans="2:11" s="341" customFormat="1">
      <c r="B1058" s="383" t="s">
        <v>2624</v>
      </c>
      <c r="C1058" s="604">
        <f>D1053</f>
        <v>1502</v>
      </c>
      <c r="D1058" s="1105" t="s">
        <v>2629</v>
      </c>
      <c r="E1058" s="1105"/>
      <c r="F1058" s="1105"/>
      <c r="G1058" s="2"/>
      <c r="H1058" s="2"/>
      <c r="I1058" s="2"/>
      <c r="J1058" s="2"/>
      <c r="K1058" s="2"/>
    </row>
    <row r="1059" spans="2:11" s="341" customFormat="1">
      <c r="B1059" s="383" t="s">
        <v>2627</v>
      </c>
      <c r="C1059" s="604">
        <f>D1054</f>
        <v>4005</v>
      </c>
      <c r="D1059" s="1105"/>
      <c r="E1059" s="1105"/>
      <c r="F1059" s="1105"/>
      <c r="G1059" s="2"/>
      <c r="H1059" s="2"/>
      <c r="I1059" s="2"/>
      <c r="J1059" s="2"/>
      <c r="K1059" s="2"/>
    </row>
    <row r="1060" spans="2:11" s="341" customFormat="1">
      <c r="B1060" s="334" t="s">
        <v>2630</v>
      </c>
      <c r="C1060" s="511">
        <f>AVERAGE(C1058:C1059)</f>
        <v>2753.5</v>
      </c>
      <c r="D1060" s="1095" t="s">
        <v>2631</v>
      </c>
      <c r="E1060" s="1095"/>
      <c r="F1060" s="1095"/>
      <c r="G1060" s="2"/>
      <c r="H1060" s="2"/>
      <c r="I1060" s="2"/>
      <c r="J1060" s="2"/>
      <c r="K1060" s="2"/>
    </row>
    <row r="1061" spans="2:11" s="341" customFormat="1">
      <c r="B1061" s="2"/>
      <c r="C1061" s="2"/>
      <c r="D1061" s="2"/>
      <c r="E1061" s="2"/>
      <c r="F1061" s="2"/>
      <c r="G1061" s="2"/>
      <c r="H1061" s="2"/>
      <c r="I1061" s="2"/>
      <c r="J1061" s="2"/>
      <c r="K1061" s="2"/>
    </row>
    <row r="1062" spans="2:11" s="341" customFormat="1">
      <c r="B1062" s="2"/>
      <c r="C1062" s="2"/>
      <c r="D1062" s="2"/>
      <c r="E1062" s="2"/>
      <c r="F1062" s="2"/>
      <c r="G1062" s="2"/>
      <c r="H1062" s="2"/>
      <c r="I1062" s="2"/>
      <c r="J1062" s="2"/>
      <c r="K1062" s="2"/>
    </row>
    <row r="1063" spans="2:11" s="341" customFormat="1">
      <c r="B1063" s="2"/>
      <c r="C1063" s="2"/>
      <c r="D1063" s="2"/>
      <c r="E1063" s="2"/>
      <c r="F1063" s="2"/>
      <c r="G1063" s="2"/>
      <c r="H1063" s="2"/>
      <c r="I1063" s="2"/>
      <c r="J1063" s="2"/>
      <c r="K1063" s="2"/>
    </row>
    <row r="1064" spans="2:11" s="341" customFormat="1">
      <c r="B1064" s="2"/>
      <c r="C1064" s="2"/>
      <c r="D1064" s="2"/>
      <c r="E1064" s="2"/>
      <c r="F1064" s="2"/>
      <c r="G1064" s="2"/>
      <c r="H1064" s="2"/>
      <c r="I1064" s="2"/>
      <c r="J1064" s="2"/>
      <c r="K1064" s="2"/>
    </row>
    <row r="1065" spans="2:11" s="341" customFormat="1">
      <c r="B1065" s="2"/>
      <c r="C1065" s="2"/>
      <c r="D1065" s="2"/>
      <c r="E1065" s="2"/>
      <c r="F1065" s="2"/>
      <c r="G1065" s="2"/>
      <c r="H1065" s="2"/>
      <c r="I1065" s="2"/>
      <c r="J1065" s="2"/>
      <c r="K1065" s="2"/>
    </row>
    <row r="1066" spans="2:11" s="341" customFormat="1">
      <c r="B1066" s="2"/>
      <c r="C1066" s="2"/>
      <c r="D1066" s="2"/>
      <c r="E1066" s="2"/>
      <c r="F1066" s="2"/>
      <c r="G1066" s="2"/>
      <c r="H1066" s="2"/>
      <c r="I1066" s="2"/>
      <c r="J1066" s="2"/>
      <c r="K1066" s="2"/>
    </row>
    <row r="1067" spans="2:11" s="341" customFormat="1">
      <c r="B1067" s="2"/>
      <c r="C1067" s="2"/>
      <c r="D1067" s="2"/>
      <c r="E1067" s="2"/>
      <c r="F1067" s="2"/>
      <c r="G1067" s="2"/>
      <c r="H1067" s="2"/>
      <c r="I1067" s="2"/>
      <c r="J1067" s="2"/>
      <c r="K1067" s="2"/>
    </row>
    <row r="1068" spans="2:11" s="341" customFormat="1">
      <c r="B1068" s="2"/>
      <c r="C1068" s="2"/>
      <c r="D1068" s="2"/>
      <c r="E1068" s="2"/>
      <c r="F1068" s="2"/>
      <c r="G1068" s="2"/>
      <c r="H1068" s="2"/>
      <c r="I1068" s="2"/>
      <c r="J1068" s="2"/>
      <c r="K1068" s="2"/>
    </row>
    <row r="1069" spans="2:11" s="341" customFormat="1">
      <c r="B1069" s="2"/>
      <c r="C1069" s="2"/>
      <c r="D1069" s="2"/>
      <c r="E1069" s="2"/>
      <c r="F1069" s="2"/>
      <c r="G1069" s="2"/>
      <c r="H1069" s="2"/>
      <c r="I1069" s="2"/>
      <c r="J1069" s="2"/>
      <c r="K1069" s="2"/>
    </row>
    <row r="1070" spans="2:11" s="341" customFormat="1">
      <c r="B1070" s="2"/>
      <c r="C1070" s="2"/>
      <c r="D1070" s="2"/>
      <c r="E1070" s="2"/>
      <c r="F1070" s="2"/>
      <c r="G1070" s="2"/>
      <c r="H1070" s="2"/>
      <c r="I1070" s="2"/>
      <c r="J1070" s="2"/>
      <c r="K1070" s="2"/>
    </row>
    <row r="1071" spans="2:11" s="341" customFormat="1">
      <c r="B1071" s="2"/>
      <c r="C1071" s="2"/>
      <c r="D1071" s="2"/>
      <c r="E1071" s="2"/>
      <c r="F1071" s="2"/>
      <c r="G1071" s="2"/>
      <c r="H1071" s="2"/>
      <c r="I1071" s="2"/>
      <c r="J1071" s="2"/>
      <c r="K1071" s="2"/>
    </row>
    <row r="1072" spans="2:11" s="341" customFormat="1">
      <c r="B1072" s="2"/>
      <c r="C1072" s="2"/>
      <c r="D1072" s="2"/>
      <c r="E1072" s="2"/>
      <c r="F1072" s="2"/>
      <c r="G1072" s="2"/>
      <c r="H1072" s="2"/>
      <c r="I1072" s="2"/>
      <c r="J1072" s="2"/>
      <c r="K1072" s="2"/>
    </row>
    <row r="1073" spans="1:11" s="341" customFormat="1">
      <c r="A1073" s="2"/>
      <c r="B1073" s="2"/>
      <c r="C1073" s="2"/>
      <c r="D1073" s="2"/>
      <c r="E1073" s="2"/>
      <c r="F1073" s="2"/>
      <c r="G1073" s="2"/>
      <c r="H1073" s="2"/>
      <c r="I1073" s="2"/>
      <c r="J1073" s="2"/>
      <c r="K1073" s="2"/>
    </row>
    <row r="1074" spans="1:11" s="341" customFormat="1">
      <c r="A1074" s="2"/>
      <c r="B1074" s="2"/>
      <c r="C1074" s="2"/>
      <c r="D1074" s="2"/>
      <c r="E1074" s="2"/>
      <c r="F1074" s="2"/>
      <c r="G1074" s="2"/>
      <c r="H1074" s="2"/>
      <c r="I1074" s="2"/>
      <c r="J1074" s="2"/>
      <c r="K1074" s="2"/>
    </row>
    <row r="1075" spans="1:11" s="341" customFormat="1">
      <c r="A1075" s="2"/>
      <c r="B1075" s="2"/>
      <c r="C1075" s="2"/>
      <c r="D1075" s="2"/>
      <c r="E1075" s="2"/>
      <c r="F1075" s="2"/>
      <c r="G1075" s="2"/>
      <c r="H1075" s="2"/>
      <c r="I1075" s="2"/>
      <c r="J1075" s="2"/>
      <c r="K1075" s="2"/>
    </row>
    <row r="1076" spans="1:11" s="341" customFormat="1">
      <c r="A1076" s="2"/>
      <c r="B1076" s="2"/>
      <c r="C1076" s="2"/>
      <c r="D1076" s="2"/>
      <c r="E1076" s="2"/>
      <c r="F1076" s="2"/>
      <c r="G1076" s="2"/>
      <c r="H1076" s="2"/>
      <c r="I1076" s="2"/>
      <c r="J1076" s="2"/>
      <c r="K1076" s="2"/>
    </row>
    <row r="1077" spans="1:11" s="341" customFormat="1">
      <c r="A1077" s="2"/>
      <c r="B1077" s="2"/>
      <c r="C1077" s="2"/>
      <c r="D1077" s="2"/>
      <c r="E1077" s="2"/>
      <c r="F1077" s="2"/>
      <c r="G1077" s="2"/>
      <c r="H1077" s="2"/>
      <c r="I1077" s="2"/>
      <c r="J1077" s="2"/>
      <c r="K1077" s="2"/>
    </row>
    <row r="1078" spans="1:11" s="341" customFormat="1">
      <c r="A1078" s="2"/>
      <c r="B1078" s="2"/>
      <c r="C1078" s="2"/>
      <c r="D1078" s="2"/>
      <c r="E1078" s="2"/>
      <c r="F1078" s="2"/>
      <c r="G1078" s="2"/>
      <c r="H1078" s="2"/>
      <c r="I1078" s="2"/>
      <c r="J1078" s="2"/>
      <c r="K1078" s="2"/>
    </row>
    <row r="1079" spans="1:11" s="341" customFormat="1">
      <c r="A1079" s="2"/>
      <c r="B1079" s="2"/>
      <c r="C1079" s="2"/>
      <c r="D1079" s="2"/>
      <c r="E1079" s="2"/>
      <c r="F1079" s="2"/>
      <c r="G1079" s="2"/>
      <c r="H1079" s="2"/>
      <c r="I1079" s="2"/>
      <c r="J1079" s="2"/>
      <c r="K1079" s="2"/>
    </row>
    <row r="1080" spans="1:11" s="341" customFormat="1">
      <c r="A1080" s="727"/>
      <c r="B1080" s="728" t="s">
        <v>2939</v>
      </c>
      <c r="C1080" s="727"/>
      <c r="D1080" s="727"/>
      <c r="E1080" s="727"/>
      <c r="F1080" s="727"/>
      <c r="G1080" s="727"/>
      <c r="H1080" s="727"/>
      <c r="I1080" s="727"/>
      <c r="J1080" s="727"/>
      <c r="K1080" s="2"/>
    </row>
    <row r="1081" spans="1:11" s="341" customFormat="1">
      <c r="A1081" s="725"/>
      <c r="B1081" s="726" t="s">
        <v>912</v>
      </c>
      <c r="C1081" s="725"/>
      <c r="D1081" s="725"/>
      <c r="E1081" s="725"/>
      <c r="F1081" s="725"/>
      <c r="G1081" s="725"/>
      <c r="H1081" s="725"/>
      <c r="I1081" s="725"/>
      <c r="J1081" s="725"/>
      <c r="K1081" s="2"/>
    </row>
    <row r="1082" spans="1:11" s="341" customFormat="1" ht="29.1">
      <c r="A1082" s="2"/>
      <c r="B1082" s="719" t="s">
        <v>913</v>
      </c>
      <c r="C1082" s="719" t="s">
        <v>914</v>
      </c>
      <c r="D1082" s="719" t="s">
        <v>915</v>
      </c>
      <c r="E1082" s="719" t="s">
        <v>916</v>
      </c>
      <c r="F1082" s="719" t="s">
        <v>917</v>
      </c>
      <c r="G1082" s="719" t="s">
        <v>918</v>
      </c>
      <c r="H1082" s="719" t="s">
        <v>919</v>
      </c>
      <c r="I1082" s="2"/>
      <c r="J1082" s="2"/>
      <c r="K1082" s="2"/>
    </row>
    <row r="1083" spans="1:11" s="341" customFormat="1">
      <c r="A1083" s="2"/>
      <c r="B1083" s="278">
        <v>125</v>
      </c>
      <c r="C1083" s="278" t="s">
        <v>2940</v>
      </c>
      <c r="D1083" s="279" t="s">
        <v>1182</v>
      </c>
      <c r="E1083" s="278">
        <v>2014</v>
      </c>
      <c r="F1083" s="278" t="s">
        <v>921</v>
      </c>
      <c r="G1083" s="278" t="s">
        <v>921</v>
      </c>
      <c r="H1083" s="279" t="s">
        <v>907</v>
      </c>
      <c r="I1083" s="2"/>
      <c r="J1083" s="2"/>
      <c r="K1083" s="2"/>
    </row>
    <row r="1084" spans="1:11" s="341" customFormat="1">
      <c r="A1084" s="2"/>
      <c r="B1084" s="16"/>
      <c r="C1084" s="2"/>
      <c r="D1084" s="2"/>
      <c r="E1084" s="2"/>
      <c r="F1084" s="2"/>
      <c r="G1084" s="2"/>
      <c r="H1084" s="2"/>
      <c r="I1084" s="2"/>
      <c r="J1084" s="2"/>
      <c r="K1084" s="2"/>
    </row>
    <row r="1085" spans="1:11" s="341" customFormat="1">
      <c r="A1085" s="725"/>
      <c r="B1085" s="726" t="s">
        <v>924</v>
      </c>
      <c r="C1085" s="725"/>
      <c r="D1085" s="725"/>
      <c r="E1085" s="725"/>
      <c r="F1085" s="725"/>
      <c r="G1085" s="725"/>
      <c r="H1085" s="725"/>
      <c r="I1085" s="725"/>
      <c r="J1085" s="725"/>
      <c r="K1085" s="2"/>
    </row>
    <row r="1086" spans="1:11">
      <c r="B1086" s="277" t="s">
        <v>165</v>
      </c>
      <c r="C1086" s="277" t="s">
        <v>925</v>
      </c>
      <c r="D1086" s="277" t="s">
        <v>926</v>
      </c>
      <c r="E1086" s="1134" t="s">
        <v>953</v>
      </c>
      <c r="F1086" s="1134"/>
      <c r="G1086" s="1134"/>
      <c r="H1086" s="1134"/>
      <c r="I1086" s="1134"/>
      <c r="J1086" s="1134"/>
    </row>
    <row r="1087" spans="1:11">
      <c r="B1087" s="278" t="s">
        <v>169</v>
      </c>
      <c r="C1087" s="278" t="s">
        <v>166</v>
      </c>
      <c r="D1087" s="278">
        <f>VLOOKUP(C1087,METHODOLOGY!$C$175:$D$177,2,FALSE)</f>
        <v>3</v>
      </c>
      <c r="E1087" s="1087" t="str">
        <f>_xlfn.XLOOKUP(C1087,METHODOLOGY!$E$150:$O$150,METHODOLOGY!$E$151:$O$151,"",0,1)</f>
        <v>Monetary values have been peer reviewed or are recommended / referenced in other, well recognised and accepted guidance / tools relevant to the water sector.</v>
      </c>
      <c r="F1087" s="1087"/>
      <c r="G1087" s="1087"/>
      <c r="H1087" s="1087"/>
      <c r="I1087" s="1087"/>
      <c r="J1087" s="1087"/>
    </row>
    <row r="1088" spans="1:11">
      <c r="B1088" s="278" t="s">
        <v>173</v>
      </c>
      <c r="C1088" s="278" t="s">
        <v>166</v>
      </c>
      <c r="D1088" s="278">
        <f>VLOOKUP(C1088,METHODOLOGY!$C$175:$D$177,2,FALSE)</f>
        <v>3</v>
      </c>
      <c r="E1088" s="1087" t="str">
        <f>_xlfn.XLOOKUP(C1088,METHODOLOGY!$E$150:$O$150,METHODOLOGY!$E$155:$O$155,"",0,1)</f>
        <v>Study has few limitations and is considered robust.</v>
      </c>
      <c r="F1088" s="1087"/>
      <c r="G1088" s="1087"/>
      <c r="H1088" s="1087"/>
      <c r="I1088" s="1087"/>
      <c r="J1088" s="1087"/>
    </row>
    <row r="1089" spans="1:16">
      <c r="B1089" s="278" t="s">
        <v>177</v>
      </c>
      <c r="C1089" s="278" t="s">
        <v>168</v>
      </c>
      <c r="D1089" s="278">
        <f>VLOOKUP(C1089,METHODOLOGY!$C$175:$D$177,2,FALSE)</f>
        <v>1</v>
      </c>
      <c r="E1089" s="1087" t="str">
        <f>_xlfn.XLOOKUP(C1089,METHODOLOGY!$E$150:$O$150,METHODOLOGY!$E$158:$O$158,"",0,1)</f>
        <v>&gt;10 years</v>
      </c>
      <c r="F1089" s="1087"/>
      <c r="G1089" s="1087"/>
      <c r="H1089" s="1087"/>
      <c r="I1089" s="1087"/>
      <c r="J1089" s="1087"/>
    </row>
    <row r="1090" spans="1:16">
      <c r="B1090" s="278" t="s">
        <v>181</v>
      </c>
      <c r="C1090" s="278" t="s">
        <v>166</v>
      </c>
      <c r="D1090" s="278">
        <f>VLOOKUP(C1090,METHODOLOGY!$C$175:$D$177,2,FALSE)</f>
        <v>3</v>
      </c>
      <c r="E1090" s="1087" t="str">
        <f>_xlfn.XLOOKUP(C1090,METHODOLOGY!$E$150:$O$150,METHODOLOGY!$E$160:$O$160,"",0,1)</f>
        <v>Geographically relevant to UK</v>
      </c>
      <c r="F1090" s="1087"/>
      <c r="G1090" s="1087"/>
      <c r="H1090" s="1087"/>
      <c r="I1090" s="1087"/>
      <c r="J1090" s="1087"/>
    </row>
    <row r="1091" spans="1:16">
      <c r="B1091" s="278" t="s">
        <v>928</v>
      </c>
      <c r="C1091" s="278" t="s">
        <v>166</v>
      </c>
      <c r="D1091" s="278">
        <f>VLOOKUP(C1091,METHODOLOGY!$C$175:$D$177,2,FALSE)</f>
        <v>3</v>
      </c>
      <c r="E1091" s="1087" t="str">
        <f>_xlfn.XLOOKUP(C1091,METHODOLOGY!$E$150:$O$150,METHODOLOGY!$E162:$O162,"",0,1)</f>
        <v>Clear understanding of the valuation method and how the value should be applied.</v>
      </c>
      <c r="F1091" s="1087"/>
      <c r="G1091" s="1087"/>
      <c r="H1091" s="1087"/>
      <c r="I1091" s="1087"/>
      <c r="J1091" s="1087"/>
    </row>
    <row r="1092" spans="1:16">
      <c r="B1092" s="278" t="s">
        <v>189</v>
      </c>
      <c r="C1092" s="278" t="s">
        <v>168</v>
      </c>
      <c r="D1092" s="278">
        <f>VLOOKUP(C1092,METHODOLOGY!$C$175:$D$177,2,FALSE)</f>
        <v>1</v>
      </c>
      <c r="E1092" s="1087" t="str">
        <f>_xlfn.XLOOKUP(C1092,METHODOLOGY!$E$150:$O$150,METHODOLOGY!$E$164:$O$164,"",0,1)</f>
        <v xml:space="preserve">The original valuation can be used with significant modification e.g. several additional data inputs are required to use the original source. The calculation is complex or introduces significant uncertainty. </v>
      </c>
      <c r="F1092" s="1087"/>
      <c r="G1092" s="1087"/>
      <c r="H1092" s="1087"/>
      <c r="I1092" s="1087"/>
      <c r="J1092" s="1087"/>
    </row>
    <row r="1093" spans="1:16">
      <c r="C1093" s="282" t="s">
        <v>924</v>
      </c>
      <c r="D1093" s="326">
        <f>IF(AND(D1092=1,AVERAGE(D1087:D1092)&gt;2.14285714285714),2.14285714285714,IF(AND(D1092=2,AVERAGE(D1087:D1092)&gt;2.57142857142857),2.57142857142857,AVERAGE(D1087:D1092)))</f>
        <v>2.1428571428571401</v>
      </c>
      <c r="E1093" s="270" t="str">
        <f>IF(D1093&lt;=2.14285714285714,"Red",IF(D1093&lt;=2.57142857142857,"Amber",IF(D1093&lt;=3,"Green")))</f>
        <v>Red</v>
      </c>
    </row>
    <row r="1094" spans="1:16">
      <c r="B1094" s="22"/>
    </row>
    <row r="1095" spans="1:16">
      <c r="A1095" s="725"/>
      <c r="B1095" s="726" t="s">
        <v>929</v>
      </c>
      <c r="C1095" s="725"/>
      <c r="D1095" s="725"/>
      <c r="E1095" s="725"/>
      <c r="F1095" s="725"/>
      <c r="G1095" s="725"/>
      <c r="H1095" s="725"/>
      <c r="I1095" s="725"/>
      <c r="J1095" s="725"/>
    </row>
    <row r="1096" spans="1:16">
      <c r="B1096" s="285" t="s">
        <v>913</v>
      </c>
      <c r="C1096" s="285" t="s">
        <v>2941</v>
      </c>
      <c r="D1096" s="285" t="s">
        <v>2942</v>
      </c>
      <c r="E1096" s="285" t="s">
        <v>711</v>
      </c>
    </row>
    <row r="1097" spans="1:16" ht="24" customHeight="1">
      <c r="B1097" s="1135">
        <v>125</v>
      </c>
      <c r="C1097" s="278" t="s">
        <v>2943</v>
      </c>
      <c r="D1097" s="278">
        <v>0.36</v>
      </c>
      <c r="E1097" s="1103" t="s">
        <v>2944</v>
      </c>
    </row>
    <row r="1098" spans="1:16" ht="24" customHeight="1">
      <c r="B1098" s="1136"/>
      <c r="C1098" s="278" t="s">
        <v>2603</v>
      </c>
      <c r="D1098" s="278">
        <v>0.06</v>
      </c>
      <c r="E1098" s="1104"/>
    </row>
    <row r="1099" spans="1:16" ht="24" customHeight="1">
      <c r="B1099" s="1136"/>
      <c r="C1099" s="278" t="s">
        <v>2778</v>
      </c>
      <c r="D1099" s="278">
        <v>0.12</v>
      </c>
      <c r="E1099" s="1104"/>
    </row>
    <row r="1100" spans="1:16" ht="24" customHeight="1">
      <c r="B1100" s="1137"/>
      <c r="C1100" s="278" t="s">
        <v>2776</v>
      </c>
      <c r="D1100" s="278">
        <v>0.19</v>
      </c>
      <c r="E1100" s="1094"/>
    </row>
    <row r="1101" spans="1:16">
      <c r="B1101" s="3"/>
      <c r="C1101" s="3"/>
      <c r="E1101" s="619"/>
      <c r="H1101" s="6"/>
      <c r="J1101" s="24"/>
      <c r="K1101" s="24"/>
      <c r="L1101" s="24"/>
      <c r="M1101" s="24"/>
      <c r="N1101" s="24"/>
      <c r="O1101" s="24"/>
    </row>
    <row r="1102" spans="1:16" ht="43.5">
      <c r="B1102" s="277" t="s">
        <v>913</v>
      </c>
      <c r="C1102" s="393" t="s">
        <v>2945</v>
      </c>
      <c r="D1102" s="298" t="s">
        <v>2946</v>
      </c>
      <c r="G1102" s="619"/>
      <c r="I1102" s="6"/>
      <c r="K1102" s="24"/>
      <c r="L1102" s="24"/>
      <c r="M1102" s="24"/>
      <c r="N1102" s="24"/>
      <c r="O1102" s="24"/>
      <c r="P1102" s="24"/>
    </row>
    <row r="1103" spans="1:16">
      <c r="B1103" s="37">
        <v>13</v>
      </c>
      <c r="C1103" s="278" t="s">
        <v>2947</v>
      </c>
      <c r="D1103" s="415">
        <v>283334</v>
      </c>
      <c r="G1103" s="619"/>
      <c r="I1103" s="6"/>
      <c r="K1103" s="24"/>
      <c r="L1103" s="24"/>
      <c r="M1103" s="24"/>
      <c r="N1103" s="24"/>
      <c r="O1103" s="24"/>
      <c r="P1103" s="24"/>
    </row>
    <row r="1104" spans="1:16">
      <c r="B1104" s="575"/>
      <c r="C1104" s="278" t="s">
        <v>2948</v>
      </c>
      <c r="D1104" s="415">
        <v>301918</v>
      </c>
      <c r="G1104" s="619"/>
      <c r="I1104" s="6"/>
      <c r="K1104" s="24"/>
      <c r="L1104" s="24"/>
      <c r="M1104" s="24"/>
      <c r="N1104" s="24"/>
      <c r="O1104" s="24"/>
      <c r="P1104" s="24"/>
    </row>
    <row r="1105" spans="1:24">
      <c r="B1105" s="575"/>
      <c r="C1105" s="278" t="s">
        <v>2949</v>
      </c>
      <c r="D1105" s="415">
        <v>304975</v>
      </c>
      <c r="G1105" s="619"/>
      <c r="I1105" s="6"/>
      <c r="K1105" s="24"/>
      <c r="L1105" s="24"/>
      <c r="M1105" s="24"/>
      <c r="N1105" s="24"/>
      <c r="O1105" s="24"/>
      <c r="P1105" s="24"/>
    </row>
    <row r="1106" spans="1:24">
      <c r="B1106" s="575"/>
      <c r="C1106" s="278" t="s">
        <v>2950</v>
      </c>
      <c r="D1106" s="415">
        <v>281000</v>
      </c>
      <c r="G1106" s="619"/>
      <c r="I1106" s="6"/>
      <c r="K1106" s="24"/>
      <c r="L1106" s="24"/>
      <c r="M1106" s="24"/>
      <c r="N1106" s="24"/>
      <c r="O1106" s="24"/>
      <c r="P1106" s="24"/>
    </row>
    <row r="1107" spans="1:24">
      <c r="B1107" s="575"/>
      <c r="C1107" s="278" t="s">
        <v>1390</v>
      </c>
      <c r="D1107" s="415">
        <v>518000</v>
      </c>
      <c r="G1107" s="619"/>
      <c r="I1107" s="6"/>
      <c r="K1107" s="24"/>
      <c r="L1107" s="24"/>
      <c r="M1107" s="24"/>
      <c r="N1107" s="24"/>
      <c r="O1107" s="24"/>
      <c r="P1107" s="24"/>
    </row>
    <row r="1108" spans="1:24">
      <c r="B1108" s="133"/>
      <c r="C1108" s="278" t="s">
        <v>2951</v>
      </c>
      <c r="D1108" s="415">
        <v>344000</v>
      </c>
      <c r="G1108" s="619"/>
      <c r="I1108" s="6"/>
      <c r="K1108" s="24"/>
      <c r="L1108" s="24"/>
      <c r="M1108" s="24"/>
      <c r="N1108" s="24"/>
      <c r="O1108" s="24"/>
      <c r="P1108" s="24"/>
    </row>
    <row r="1110" spans="1:24">
      <c r="B1110" s="285" t="s">
        <v>913</v>
      </c>
      <c r="C1110" s="285" t="s">
        <v>2952</v>
      </c>
      <c r="D1110" s="285" t="s">
        <v>930</v>
      </c>
    </row>
    <row r="1111" spans="1:24">
      <c r="B1111" s="278">
        <v>126</v>
      </c>
      <c r="C1111" s="278">
        <v>31</v>
      </c>
      <c r="D1111" s="278" t="s">
        <v>2953</v>
      </c>
    </row>
    <row r="1113" spans="1:24" s="341" customFormat="1">
      <c r="A1113" s="725"/>
      <c r="B1113" s="726" t="s">
        <v>936</v>
      </c>
      <c r="C1113" s="725"/>
      <c r="D1113" s="725"/>
      <c r="E1113" s="725"/>
      <c r="F1113" s="725"/>
      <c r="G1113" s="725"/>
      <c r="H1113" s="725"/>
      <c r="I1113" s="725"/>
      <c r="J1113" s="725"/>
      <c r="K1113" s="2"/>
      <c r="L1113" s="2"/>
      <c r="M1113" s="2"/>
      <c r="N1113" s="2"/>
      <c r="O1113" s="2"/>
      <c r="P1113" s="2"/>
      <c r="Q1113" s="2"/>
      <c r="R1113" s="2"/>
      <c r="S1113" s="2"/>
      <c r="T1113" s="2"/>
      <c r="U1113" s="2"/>
      <c r="V1113" s="2"/>
      <c r="W1113" s="2"/>
      <c r="X1113" s="2"/>
    </row>
    <row r="1114" spans="1:24" ht="72.599999999999994">
      <c r="B1114" s="294" t="s">
        <v>902</v>
      </c>
      <c r="C1114" s="294" t="s">
        <v>2954</v>
      </c>
      <c r="D1114" s="294" t="s">
        <v>2955</v>
      </c>
      <c r="E1114" s="1224" t="s">
        <v>930</v>
      </c>
      <c r="F1114" s="1224"/>
      <c r="G1114" s="1224"/>
    </row>
    <row r="1115" spans="1:24">
      <c r="B1115" s="278" t="s">
        <v>2716</v>
      </c>
      <c r="C1115" s="214">
        <f>AVERAGE(D1099:D1100)</f>
        <v>0.155</v>
      </c>
      <c r="D1115" s="297">
        <f>D1108*C1111*C1115/100</f>
        <v>16529.2</v>
      </c>
      <c r="E1115" s="1347" t="s">
        <v>2956</v>
      </c>
      <c r="F1115" s="1347"/>
      <c r="G1115" s="1347"/>
    </row>
    <row r="1116" spans="1:24">
      <c r="B1116" s="390" t="s">
        <v>2715</v>
      </c>
      <c r="C1116" s="620"/>
      <c r="D1116" s="697">
        <f>D1115*0.75</f>
        <v>12396.900000000001</v>
      </c>
      <c r="E1116" s="1347"/>
      <c r="F1116" s="1347"/>
      <c r="G1116" s="1347"/>
    </row>
    <row r="1117" spans="1:24">
      <c r="B1117" s="390" t="s">
        <v>2714</v>
      </c>
      <c r="C1117" s="621"/>
      <c r="D1117" s="697">
        <f>D1115*0.5</f>
        <v>8264.6</v>
      </c>
      <c r="E1117" s="1347"/>
      <c r="F1117" s="1347"/>
      <c r="G1117" s="1347"/>
    </row>
    <row r="1118" spans="1:24">
      <c r="B1118" s="278" t="s">
        <v>2957</v>
      </c>
      <c r="C1118" s="212">
        <f>D1097</f>
        <v>0.36</v>
      </c>
      <c r="D1118" s="297">
        <f>D1108*C1111*C1118/100</f>
        <v>38390.400000000001</v>
      </c>
      <c r="E1118" s="1347" t="s">
        <v>2958</v>
      </c>
      <c r="F1118" s="1347"/>
      <c r="G1118" s="1347"/>
    </row>
    <row r="1119" spans="1:24">
      <c r="B1119" s="278" t="s">
        <v>2959</v>
      </c>
      <c r="C1119" s="620"/>
      <c r="D1119" s="297">
        <f>D1118*0.75</f>
        <v>28792.800000000003</v>
      </c>
      <c r="E1119" s="1347"/>
      <c r="F1119" s="1347"/>
      <c r="G1119" s="1347"/>
    </row>
    <row r="1120" spans="1:24">
      <c r="B1120" s="278" t="s">
        <v>2960</v>
      </c>
      <c r="C1120" s="621"/>
      <c r="D1120" s="297">
        <f>D1118*0.5</f>
        <v>19195.2</v>
      </c>
      <c r="E1120" s="1347"/>
      <c r="F1120" s="1347"/>
      <c r="G1120" s="1347"/>
    </row>
    <row r="1122" spans="1:24" s="341" customFormat="1">
      <c r="A1122" s="727"/>
      <c r="B1122" s="728" t="s">
        <v>2961</v>
      </c>
      <c r="C1122" s="727"/>
      <c r="D1122" s="727"/>
      <c r="E1122" s="727"/>
      <c r="F1122" s="727"/>
      <c r="G1122" s="727"/>
      <c r="H1122" s="727"/>
      <c r="I1122" s="727"/>
      <c r="J1122" s="727"/>
      <c r="K1122" s="2"/>
      <c r="L1122" s="2"/>
      <c r="M1122" s="2"/>
      <c r="N1122" s="2"/>
      <c r="O1122" s="2"/>
      <c r="P1122" s="2"/>
      <c r="Q1122" s="2"/>
      <c r="R1122" s="2"/>
      <c r="S1122" s="2"/>
      <c r="T1122" s="2"/>
      <c r="U1122" s="2"/>
      <c r="V1122" s="2"/>
      <c r="W1122" s="2"/>
      <c r="X1122" s="2"/>
    </row>
    <row r="1123" spans="1:24" s="341" customFormat="1">
      <c r="A1123" s="725"/>
      <c r="B1123" s="726" t="s">
        <v>912</v>
      </c>
      <c r="C1123" s="725"/>
      <c r="D1123" s="725"/>
      <c r="E1123" s="725"/>
      <c r="F1123" s="725"/>
      <c r="G1123" s="725"/>
      <c r="H1123" s="725"/>
      <c r="I1123" s="725"/>
      <c r="J1123" s="725"/>
      <c r="K1123" s="2"/>
      <c r="L1123" s="2"/>
      <c r="M1123" s="2"/>
      <c r="N1123" s="2"/>
      <c r="O1123" s="2"/>
      <c r="P1123" s="2"/>
      <c r="Q1123" s="2"/>
      <c r="R1123" s="2"/>
      <c r="S1123" s="2"/>
      <c r="T1123" s="2"/>
      <c r="U1123" s="2"/>
      <c r="V1123" s="2"/>
      <c r="W1123" s="2"/>
      <c r="X1123" s="2"/>
    </row>
    <row r="1124" spans="1:24" ht="29.1">
      <c r="B1124" s="719" t="s">
        <v>913</v>
      </c>
      <c r="C1124" s="719" t="s">
        <v>914</v>
      </c>
      <c r="D1124" s="719" t="s">
        <v>915</v>
      </c>
      <c r="E1124" s="719" t="s">
        <v>916</v>
      </c>
      <c r="F1124" s="719" t="s">
        <v>917</v>
      </c>
      <c r="G1124" s="719" t="s">
        <v>918</v>
      </c>
      <c r="H1124" s="719" t="s">
        <v>919</v>
      </c>
    </row>
    <row r="1125" spans="1:24">
      <c r="B1125" s="278">
        <v>127</v>
      </c>
      <c r="C1125" s="278" t="s">
        <v>2962</v>
      </c>
      <c r="D1125" s="279" t="s">
        <v>1182</v>
      </c>
      <c r="E1125" s="278">
        <v>2010</v>
      </c>
      <c r="F1125" s="278" t="s">
        <v>921</v>
      </c>
      <c r="G1125" s="278" t="s">
        <v>2963</v>
      </c>
      <c r="H1125" s="279" t="s">
        <v>907</v>
      </c>
    </row>
    <row r="1126" spans="1:24">
      <c r="B1126" s="16"/>
    </row>
    <row r="1127" spans="1:24" s="341" customFormat="1">
      <c r="A1127" s="725"/>
      <c r="B1127" s="726" t="s">
        <v>924</v>
      </c>
      <c r="C1127" s="725"/>
      <c r="D1127" s="725"/>
      <c r="E1127" s="725"/>
      <c r="F1127" s="725"/>
      <c r="G1127" s="725"/>
      <c r="H1127" s="725"/>
      <c r="I1127" s="725"/>
      <c r="J1127" s="725"/>
      <c r="K1127" s="2"/>
      <c r="L1127" s="2"/>
      <c r="M1127" s="2"/>
      <c r="N1127" s="2"/>
      <c r="O1127" s="2"/>
      <c r="P1127" s="2"/>
      <c r="Q1127" s="2"/>
      <c r="R1127" s="2"/>
      <c r="S1127" s="2"/>
      <c r="T1127" s="2"/>
      <c r="U1127" s="2"/>
      <c r="V1127" s="2"/>
      <c r="W1127" s="2"/>
      <c r="X1127" s="2"/>
    </row>
    <row r="1128" spans="1:24">
      <c r="B1128" s="277" t="s">
        <v>165</v>
      </c>
      <c r="C1128" s="277" t="s">
        <v>925</v>
      </c>
      <c r="D1128" s="277" t="s">
        <v>926</v>
      </c>
      <c r="E1128" s="1134" t="s">
        <v>953</v>
      </c>
      <c r="F1128" s="1134"/>
      <c r="G1128" s="1134"/>
      <c r="H1128" s="1134"/>
      <c r="I1128" s="1134"/>
      <c r="J1128" s="1134"/>
    </row>
    <row r="1129" spans="1:24">
      <c r="B1129" s="278" t="s">
        <v>169</v>
      </c>
      <c r="C1129" s="278" t="s">
        <v>166</v>
      </c>
      <c r="D1129" s="278">
        <f>VLOOKUP(C1129,METHODOLOGY!$C$175:$D$177,2,FALSE)</f>
        <v>3</v>
      </c>
      <c r="E1129" s="1087" t="str">
        <f>_xlfn.XLOOKUP(C1129,METHODOLOGY!$E$150:$O$150,METHODOLOGY!$E$151:$O$151,"",0,1)</f>
        <v>Monetary values have been peer reviewed or are recommended / referenced in other, well recognised and accepted guidance / tools relevant to the water sector.</v>
      </c>
      <c r="F1129" s="1087"/>
      <c r="G1129" s="1087"/>
      <c r="H1129" s="1087"/>
      <c r="I1129" s="1087"/>
      <c r="J1129" s="1087"/>
    </row>
    <row r="1130" spans="1:24">
      <c r="B1130" s="278" t="s">
        <v>173</v>
      </c>
      <c r="C1130" s="278" t="s">
        <v>166</v>
      </c>
      <c r="D1130" s="278">
        <f>VLOOKUP(C1130,METHODOLOGY!$C$175:$D$177,2,FALSE)</f>
        <v>3</v>
      </c>
      <c r="E1130" s="1087" t="str">
        <f>_xlfn.XLOOKUP(C1130,METHODOLOGY!$E$150:$O$150,METHODOLOGY!$E$155:$O$155,"",0,1)</f>
        <v>Study has few limitations and is considered robust.</v>
      </c>
      <c r="F1130" s="1087"/>
      <c r="G1130" s="1087"/>
      <c r="H1130" s="1087"/>
      <c r="I1130" s="1087"/>
      <c r="J1130" s="1087"/>
    </row>
    <row r="1131" spans="1:24">
      <c r="B1131" s="278" t="s">
        <v>177</v>
      </c>
      <c r="C1131" s="278" t="s">
        <v>168</v>
      </c>
      <c r="D1131" s="278">
        <f>VLOOKUP(C1131,METHODOLOGY!$C$175:$D$177,2,FALSE)</f>
        <v>1</v>
      </c>
      <c r="E1131" s="1087" t="str">
        <f>_xlfn.XLOOKUP(C1131,METHODOLOGY!$E$150:$O$150,METHODOLOGY!$E$158:$O$158,"",0,1)</f>
        <v>&gt;10 years</v>
      </c>
      <c r="F1131" s="1087"/>
      <c r="G1131" s="1087"/>
      <c r="H1131" s="1087"/>
      <c r="I1131" s="1087"/>
      <c r="J1131" s="1087"/>
    </row>
    <row r="1132" spans="1:24">
      <c r="B1132" s="278" t="s">
        <v>181</v>
      </c>
      <c r="C1132" s="278" t="s">
        <v>166</v>
      </c>
      <c r="D1132" s="278">
        <f>VLOOKUP(C1132,METHODOLOGY!$C$175:$D$177,2,FALSE)</f>
        <v>3</v>
      </c>
      <c r="E1132" s="1087" t="str">
        <f>_xlfn.XLOOKUP(C1132,METHODOLOGY!$E$150:$O$150,METHODOLOGY!$E$160:$O$160,"",0,1)</f>
        <v>Geographically relevant to UK</v>
      </c>
      <c r="F1132" s="1087"/>
      <c r="G1132" s="1087"/>
      <c r="H1132" s="1087"/>
      <c r="I1132" s="1087"/>
      <c r="J1132" s="1087"/>
    </row>
    <row r="1133" spans="1:24">
      <c r="B1133" s="278" t="s">
        <v>928</v>
      </c>
      <c r="C1133" s="278" t="s">
        <v>166</v>
      </c>
      <c r="D1133" s="278">
        <f>VLOOKUP(C1133,METHODOLOGY!$C$175:$D$177,2,FALSE)</f>
        <v>3</v>
      </c>
      <c r="E1133" s="1087" t="str">
        <f>_xlfn.XLOOKUP(C1133,METHODOLOGY!$E$150:$O$150,METHODOLOGY!$E162:$O162,"",0,1)</f>
        <v>Clear understanding of the valuation method and how the value should be applied.</v>
      </c>
      <c r="F1133" s="1087"/>
      <c r="G1133" s="1087"/>
      <c r="H1133" s="1087"/>
      <c r="I1133" s="1087"/>
      <c r="J1133" s="1087"/>
    </row>
    <row r="1134" spans="1:24">
      <c r="B1134" s="278" t="s">
        <v>189</v>
      </c>
      <c r="C1134" s="278" t="s">
        <v>168</v>
      </c>
      <c r="D1134" s="278">
        <f>VLOOKUP(C1134,METHODOLOGY!$C$175:$D$177,2,FALSE)</f>
        <v>1</v>
      </c>
      <c r="E1134" s="1087" t="str">
        <f>_xlfn.XLOOKUP(C1134,METHODOLOGY!$E$150:$O$150,METHODOLOGY!$E$164:$O$164,"",0,1)</f>
        <v xml:space="preserve">The original valuation can be used with significant modification e.g. several additional data inputs are required to use the original source. The calculation is complex or introduces significant uncertainty. </v>
      </c>
      <c r="F1134" s="1087"/>
      <c r="G1134" s="1087"/>
      <c r="H1134" s="1087"/>
      <c r="I1134" s="1087"/>
      <c r="J1134" s="1087"/>
    </row>
    <row r="1135" spans="1:24">
      <c r="C1135" s="282" t="s">
        <v>924</v>
      </c>
      <c r="D1135" s="326">
        <f>IF(AND(D1134=1,AVERAGE(D1129:D1134)&gt;2.14285714285714),2.14285714285714,IF(AND(D1134=2,AVERAGE(D1129:D1134)&gt;2.57142857142857),2.57142857142857,AVERAGE(D1129:D1134)))</f>
        <v>2.1428571428571401</v>
      </c>
      <c r="E1135" s="270" t="str">
        <f>IF(D1135&lt;=2.14285714285714,"Red",IF(D1135&lt;=2.57142857142857,"Amber",IF(D1135&lt;=3,"Green")))</f>
        <v>Red</v>
      </c>
    </row>
    <row r="1136" spans="1:24">
      <c r="B1136" s="22"/>
    </row>
    <row r="1137" spans="1:24" s="341" customFormat="1">
      <c r="A1137" s="725"/>
      <c r="B1137" s="726" t="s">
        <v>929</v>
      </c>
      <c r="C1137" s="725"/>
      <c r="D1137" s="725"/>
      <c r="E1137" s="725"/>
      <c r="F1137" s="725"/>
      <c r="G1137" s="725"/>
      <c r="H1137" s="725"/>
      <c r="I1137" s="725"/>
      <c r="J1137" s="725"/>
      <c r="K1137" s="2"/>
      <c r="L1137" s="2"/>
      <c r="M1137" s="2"/>
      <c r="N1137" s="2"/>
      <c r="O1137" s="2"/>
      <c r="P1137" s="2"/>
      <c r="Q1137" s="2"/>
      <c r="R1137" s="2"/>
      <c r="S1137" s="2"/>
      <c r="T1137" s="2"/>
      <c r="U1137" s="2"/>
      <c r="V1137" s="2"/>
      <c r="W1137" s="2"/>
      <c r="X1137" s="2"/>
    </row>
    <row r="1138" spans="1:24">
      <c r="B1138" s="285" t="s">
        <v>913</v>
      </c>
      <c r="C1138" s="285" t="s">
        <v>2941</v>
      </c>
      <c r="D1138" s="285" t="s">
        <v>2942</v>
      </c>
      <c r="E1138" s="285" t="s">
        <v>711</v>
      </c>
      <c r="F1138" s="1446" t="s">
        <v>930</v>
      </c>
      <c r="G1138" s="1446"/>
      <c r="H1138" s="1446"/>
      <c r="I1138" s="1446"/>
      <c r="J1138" s="1446"/>
    </row>
    <row r="1139" spans="1:24" ht="52.5" customHeight="1">
      <c r="B1139" s="1135">
        <v>125</v>
      </c>
      <c r="C1139" s="278" t="s">
        <v>2964</v>
      </c>
      <c r="D1139" s="278">
        <v>0.08</v>
      </c>
      <c r="E1139" s="375" t="s">
        <v>2965</v>
      </c>
      <c r="F1139" s="1112" t="s">
        <v>2966</v>
      </c>
      <c r="G1139" s="1112"/>
      <c r="H1139" s="1112"/>
      <c r="I1139" s="1112"/>
      <c r="J1139" s="1112"/>
    </row>
    <row r="1140" spans="1:24" ht="52.5" customHeight="1">
      <c r="B1140" s="1137"/>
      <c r="C1140" s="278" t="s">
        <v>2967</v>
      </c>
      <c r="D1140" s="365" t="s">
        <v>2968</v>
      </c>
      <c r="E1140" s="375" t="s">
        <v>2969</v>
      </c>
      <c r="F1140" s="1112" t="s">
        <v>2970</v>
      </c>
      <c r="G1140" s="1112"/>
      <c r="H1140" s="1112"/>
      <c r="I1140" s="1112"/>
      <c r="J1140" s="1112"/>
    </row>
    <row r="1141" spans="1:24">
      <c r="B1141" s="3"/>
      <c r="C1141" s="3"/>
      <c r="E1141" s="619"/>
      <c r="H1141" s="6"/>
      <c r="J1141" s="24"/>
      <c r="K1141" s="24"/>
      <c r="L1141" s="24"/>
      <c r="M1141" s="24"/>
      <c r="N1141" s="24"/>
      <c r="O1141" s="24"/>
    </row>
    <row r="1142" spans="1:24" ht="43.5">
      <c r="B1142" s="277" t="s">
        <v>913</v>
      </c>
      <c r="C1142" s="393" t="s">
        <v>2945</v>
      </c>
      <c r="D1142" s="298" t="s">
        <v>2946</v>
      </c>
      <c r="G1142" s="619"/>
      <c r="I1142" s="6"/>
      <c r="K1142" s="24"/>
      <c r="L1142" s="24"/>
      <c r="M1142" s="24"/>
      <c r="N1142" s="24"/>
      <c r="O1142" s="24"/>
      <c r="P1142" s="24"/>
    </row>
    <row r="1143" spans="1:24">
      <c r="B1143" s="37">
        <v>13</v>
      </c>
      <c r="C1143" s="278" t="s">
        <v>2947</v>
      </c>
      <c r="D1143" s="415">
        <v>283334</v>
      </c>
      <c r="G1143" s="619"/>
      <c r="I1143" s="6"/>
      <c r="K1143" s="24"/>
      <c r="L1143" s="24"/>
      <c r="M1143" s="24"/>
      <c r="N1143" s="24"/>
      <c r="O1143" s="24"/>
      <c r="P1143" s="24"/>
    </row>
    <row r="1144" spans="1:24">
      <c r="B1144" s="575"/>
      <c r="C1144" s="278" t="s">
        <v>2948</v>
      </c>
      <c r="D1144" s="415">
        <v>301918</v>
      </c>
      <c r="G1144" s="619"/>
      <c r="I1144" s="6"/>
      <c r="K1144" s="24"/>
      <c r="L1144" s="24"/>
      <c r="M1144" s="24"/>
      <c r="N1144" s="24"/>
      <c r="O1144" s="24"/>
      <c r="P1144" s="24"/>
    </row>
    <row r="1145" spans="1:24">
      <c r="B1145" s="575"/>
      <c r="C1145" s="278" t="s">
        <v>2949</v>
      </c>
      <c r="D1145" s="415">
        <v>304975</v>
      </c>
      <c r="G1145" s="619"/>
      <c r="I1145" s="6"/>
      <c r="K1145" s="24"/>
      <c r="L1145" s="24"/>
      <c r="M1145" s="24"/>
      <c r="N1145" s="24"/>
      <c r="O1145" s="24"/>
      <c r="P1145" s="24"/>
    </row>
    <row r="1146" spans="1:24">
      <c r="B1146" s="575"/>
      <c r="C1146" s="278" t="s">
        <v>2950</v>
      </c>
      <c r="D1146" s="415">
        <v>281000</v>
      </c>
      <c r="G1146" s="619"/>
      <c r="I1146" s="6"/>
      <c r="K1146" s="24"/>
      <c r="L1146" s="24"/>
      <c r="M1146" s="24"/>
      <c r="N1146" s="24"/>
      <c r="O1146" s="24"/>
      <c r="P1146" s="24"/>
    </row>
    <row r="1147" spans="1:24">
      <c r="B1147" s="575"/>
      <c r="C1147" s="278" t="s">
        <v>1390</v>
      </c>
      <c r="D1147" s="415">
        <v>518000</v>
      </c>
      <c r="G1147" s="619"/>
      <c r="I1147" s="6"/>
      <c r="K1147" s="24"/>
      <c r="L1147" s="24"/>
      <c r="M1147" s="24"/>
      <c r="N1147" s="24"/>
      <c r="O1147" s="24"/>
      <c r="P1147" s="24"/>
    </row>
    <row r="1148" spans="1:24">
      <c r="B1148" s="133"/>
      <c r="C1148" s="278" t="s">
        <v>2951</v>
      </c>
      <c r="D1148" s="415">
        <v>344000</v>
      </c>
      <c r="G1148" s="619"/>
      <c r="I1148" s="6"/>
      <c r="K1148" s="24"/>
      <c r="L1148" s="24"/>
      <c r="M1148" s="24"/>
      <c r="N1148" s="24"/>
      <c r="O1148" s="24"/>
      <c r="P1148" s="24"/>
    </row>
    <row r="1150" spans="1:24">
      <c r="B1150" s="285" t="s">
        <v>913</v>
      </c>
      <c r="C1150" s="285" t="s">
        <v>2952</v>
      </c>
      <c r="D1150" s="285" t="s">
        <v>930</v>
      </c>
    </row>
    <row r="1151" spans="1:24">
      <c r="B1151" s="278">
        <v>126</v>
      </c>
      <c r="C1151" s="278">
        <v>31</v>
      </c>
      <c r="D1151" s="278" t="s">
        <v>2953</v>
      </c>
    </row>
    <row r="1153" spans="1:24" s="341" customFormat="1">
      <c r="A1153" s="725"/>
      <c r="B1153" s="726" t="s">
        <v>936</v>
      </c>
      <c r="C1153" s="725"/>
      <c r="D1153" s="725"/>
      <c r="E1153" s="725"/>
      <c r="F1153" s="725"/>
      <c r="G1153" s="725"/>
      <c r="H1153" s="725"/>
      <c r="I1153" s="725"/>
      <c r="J1153" s="725"/>
      <c r="K1153" s="2"/>
      <c r="L1153" s="2"/>
      <c r="M1153" s="2"/>
      <c r="N1153" s="2"/>
      <c r="O1153" s="2"/>
      <c r="P1153" s="2"/>
      <c r="Q1153" s="2"/>
      <c r="R1153" s="2"/>
      <c r="S1153" s="2"/>
      <c r="T1153" s="2"/>
      <c r="U1153" s="2"/>
      <c r="V1153" s="2"/>
      <c r="W1153" s="2"/>
      <c r="X1153" s="2"/>
    </row>
    <row r="1154" spans="1:24" ht="72.599999999999994">
      <c r="B1154" s="294" t="s">
        <v>902</v>
      </c>
      <c r="C1154" s="294" t="s">
        <v>2954</v>
      </c>
      <c r="D1154" s="294" t="s">
        <v>2955</v>
      </c>
      <c r="E1154" s="1224" t="s">
        <v>930</v>
      </c>
      <c r="F1154" s="1224"/>
      <c r="G1154" s="1224"/>
    </row>
    <row r="1155" spans="1:24">
      <c r="B1155" s="278" t="s">
        <v>2971</v>
      </c>
      <c r="C1155" s="278">
        <f>D1139</f>
        <v>0.08</v>
      </c>
      <c r="D1155" s="300">
        <f>D1148*C1151*C1155/100</f>
        <v>8531.2000000000007</v>
      </c>
      <c r="E1155" s="1347" t="s">
        <v>2972</v>
      </c>
      <c r="F1155" s="1347"/>
      <c r="G1155" s="1347"/>
    </row>
    <row r="1156" spans="1:24">
      <c r="B1156" s="278" t="s">
        <v>2973</v>
      </c>
      <c r="C1156" s="620"/>
      <c r="D1156" s="300">
        <f>D1155*0.75</f>
        <v>6398.4000000000005</v>
      </c>
      <c r="E1156" s="1347"/>
      <c r="F1156" s="1347"/>
      <c r="G1156" s="1347"/>
    </row>
    <row r="1157" spans="1:24">
      <c r="B1157" s="278" t="s">
        <v>2974</v>
      </c>
      <c r="C1157" s="621"/>
      <c r="D1157" s="300">
        <f>D1155*0.5</f>
        <v>4265.6000000000004</v>
      </c>
      <c r="E1157" s="1347"/>
      <c r="F1157" s="1347"/>
      <c r="G1157" s="1347"/>
    </row>
    <row r="1159" spans="1:24" s="341" customFormat="1">
      <c r="A1159" s="727"/>
      <c r="B1159" s="728" t="s">
        <v>901</v>
      </c>
      <c r="C1159" s="727"/>
      <c r="D1159" s="727"/>
      <c r="E1159" s="727"/>
      <c r="F1159" s="727"/>
      <c r="G1159" s="727"/>
      <c r="H1159" s="727"/>
      <c r="I1159" s="727"/>
      <c r="J1159" s="727"/>
      <c r="K1159" s="2"/>
      <c r="L1159" s="2"/>
      <c r="M1159" s="2"/>
      <c r="N1159" s="2"/>
      <c r="O1159" s="2"/>
      <c r="P1159" s="2"/>
      <c r="Q1159" s="2"/>
      <c r="R1159" s="2"/>
      <c r="S1159" s="2"/>
      <c r="T1159" s="2"/>
      <c r="U1159" s="2"/>
      <c r="V1159" s="2"/>
      <c r="W1159" s="2"/>
      <c r="X1159" s="2"/>
    </row>
    <row r="1160" spans="1:24" s="341" customFormat="1" ht="29.1">
      <c r="A1160" s="2"/>
      <c r="B1160" s="522" t="s">
        <v>902</v>
      </c>
      <c r="C1160" s="522" t="s">
        <v>898</v>
      </c>
      <c r="D1160" s="522" t="s">
        <v>899</v>
      </c>
      <c r="E1160" s="719" t="s">
        <v>903</v>
      </c>
      <c r="F1160" s="522" t="s">
        <v>904</v>
      </c>
      <c r="G1160" s="522" t="s">
        <v>905</v>
      </c>
      <c r="H1160" s="522" t="s">
        <v>924</v>
      </c>
      <c r="I1160" s="522" t="s">
        <v>956</v>
      </c>
      <c r="J1160" s="522" t="s">
        <v>927</v>
      </c>
      <c r="K1160" s="2"/>
      <c r="L1160" s="2"/>
      <c r="M1160" s="2"/>
      <c r="N1160" s="2"/>
      <c r="O1160" s="2"/>
      <c r="P1160" s="2"/>
      <c r="Q1160" s="2"/>
      <c r="R1160" s="2"/>
      <c r="S1160" s="2"/>
      <c r="T1160" s="2"/>
      <c r="U1160" s="2"/>
      <c r="V1160" s="2"/>
      <c r="W1160" s="2"/>
      <c r="X1160" s="2"/>
    </row>
    <row r="1161" spans="1:24" s="341" customFormat="1">
      <c r="A1161" s="2"/>
      <c r="B1161" s="278" t="s">
        <v>585</v>
      </c>
      <c r="C1161" s="278" t="s">
        <v>151</v>
      </c>
      <c r="D1161" s="299" t="s">
        <v>2937</v>
      </c>
      <c r="E1161" s="299" t="s">
        <v>2929</v>
      </c>
      <c r="F1161" s="278" t="str" cm="1">
        <f t="array" ref="F1161">_xlfn.XLOOKUP(1,($D$1176:$D$1187=B1161)*($E$1176:$E$1187=C1161),$B$1176:$B$1187,"Not found",0,1)</f>
        <v>30-96</v>
      </c>
      <c r="G1161" s="300">
        <f t="shared" ref="G1161:G1172" si="102">VLOOKUP(F1161,$B$1176:$L$1187,11,FALSE)</f>
        <v>-4510.6786515942804</v>
      </c>
      <c r="H1161" s="1120">
        <f>$D$1049</f>
        <v>2.5714285714285698</v>
      </c>
      <c r="I1161" s="1167" t="s">
        <v>2761</v>
      </c>
      <c r="J1161" s="1167" t="s">
        <v>2762</v>
      </c>
      <c r="K1161" s="2"/>
      <c r="L1161" s="2"/>
      <c r="M1161" s="2"/>
      <c r="N1161" s="2"/>
      <c r="O1161" s="2"/>
      <c r="P1161" s="2"/>
      <c r="Q1161" s="2"/>
      <c r="R1161" s="2"/>
      <c r="S1161" s="2"/>
      <c r="T1161" s="2"/>
      <c r="U1161" s="2"/>
      <c r="V1161" s="2"/>
      <c r="W1161" s="2"/>
      <c r="X1161" s="2"/>
    </row>
    <row r="1162" spans="1:24" s="341" customFormat="1">
      <c r="A1162" s="2"/>
      <c r="B1162" s="278" t="s">
        <v>587</v>
      </c>
      <c r="C1162" s="278" t="s">
        <v>151</v>
      </c>
      <c r="D1162" s="299" t="s">
        <v>2937</v>
      </c>
      <c r="E1162" s="299" t="s">
        <v>2929</v>
      </c>
      <c r="F1162" s="278" t="str" cm="1">
        <f t="array" ref="F1162">_xlfn.XLOOKUP(1,($D$1176:$D$1187=B1162)*($E$1176:$E$1187=C1162),$B$1176:$B$1187,"Not found",0,1)</f>
        <v>30-97</v>
      </c>
      <c r="G1162" s="300">
        <f t="shared" si="102"/>
        <v>-3101.1619643357931</v>
      </c>
      <c r="H1162" s="1121"/>
      <c r="I1162" s="1168"/>
      <c r="J1162" s="1168"/>
      <c r="K1162" s="2"/>
      <c r="L1162" s="2"/>
      <c r="M1162" s="2"/>
      <c r="N1162" s="2"/>
      <c r="O1162" s="2"/>
      <c r="P1162" s="2"/>
      <c r="Q1162" s="2"/>
      <c r="R1162" s="2"/>
      <c r="S1162" s="2"/>
      <c r="T1162" s="2"/>
      <c r="U1162" s="2"/>
      <c r="V1162" s="2"/>
      <c r="W1162" s="2"/>
      <c r="X1162" s="2"/>
    </row>
    <row r="1163" spans="1:24" s="341" customFormat="1">
      <c r="A1163" s="2"/>
      <c r="B1163" s="278" t="s">
        <v>588</v>
      </c>
      <c r="C1163" s="278" t="s">
        <v>151</v>
      </c>
      <c r="D1163" s="299" t="s">
        <v>2937</v>
      </c>
      <c r="E1163" s="299" t="s">
        <v>2929</v>
      </c>
      <c r="F1163" s="278" t="str" cm="1">
        <f t="array" ref="F1163">_xlfn.XLOOKUP(1,($D$1176:$D$1187=B1163)*($E$1176:$E$1187=C1163),$B$1176:$B$1187,"Not found",0,1)</f>
        <v>30-98</v>
      </c>
      <c r="G1163" s="300">
        <f t="shared" si="102"/>
        <v>-1691.6452770773055</v>
      </c>
      <c r="H1163" s="1122"/>
      <c r="I1163" s="1169"/>
      <c r="J1163" s="1169"/>
      <c r="K1163" s="2"/>
      <c r="L1163" s="2"/>
      <c r="M1163" s="2"/>
      <c r="N1163" s="2"/>
      <c r="O1163" s="2"/>
      <c r="P1163" s="2"/>
      <c r="Q1163" s="2"/>
      <c r="R1163" s="2"/>
      <c r="S1163" s="2"/>
      <c r="T1163" s="2"/>
      <c r="U1163" s="2"/>
      <c r="V1163" s="2"/>
      <c r="W1163" s="2"/>
      <c r="X1163" s="2"/>
    </row>
    <row r="1164" spans="1:24">
      <c r="B1164" s="278" t="s">
        <v>589</v>
      </c>
      <c r="C1164" s="278" t="s">
        <v>151</v>
      </c>
      <c r="D1164" s="299" t="s">
        <v>2937</v>
      </c>
      <c r="E1164" s="299" t="s">
        <v>2975</v>
      </c>
      <c r="F1164" s="278" t="str" cm="1">
        <f t="array" ref="F1164">_xlfn.XLOOKUP(1,($D$1176:$D$1187=B1164)*($E$1176:$E$1187=C1164),$B$1176:$B$1187,"Not found",0,1)</f>
        <v>30-99</v>
      </c>
      <c r="G1164" s="300">
        <f t="shared" si="102"/>
        <v>-16529.2</v>
      </c>
      <c r="H1164" s="1120">
        <f>$D$1093</f>
        <v>2.1428571428571401</v>
      </c>
      <c r="I1164" s="1167" t="s">
        <v>2976</v>
      </c>
      <c r="J1164" s="1167" t="s">
        <v>2977</v>
      </c>
    </row>
    <row r="1165" spans="1:24">
      <c r="B1165" s="278" t="s">
        <v>591</v>
      </c>
      <c r="C1165" s="278" t="s">
        <v>151</v>
      </c>
      <c r="D1165" s="299" t="s">
        <v>2937</v>
      </c>
      <c r="E1165" s="299" t="s">
        <v>2975</v>
      </c>
      <c r="F1165" s="278" t="str" cm="1">
        <f t="array" ref="F1165">_xlfn.XLOOKUP(1,($D$1176:$D$1187=B1165)*($E$1176:$E$1187=C1165),$B$1176:$B$1187,"Not found",0,1)</f>
        <v>30-100</v>
      </c>
      <c r="G1165" s="300">
        <f t="shared" si="102"/>
        <v>-12396.900000000001</v>
      </c>
      <c r="H1165" s="1121"/>
      <c r="I1165" s="1168"/>
      <c r="J1165" s="1168"/>
    </row>
    <row r="1166" spans="1:24">
      <c r="B1166" s="278" t="s">
        <v>592</v>
      </c>
      <c r="C1166" s="278" t="s">
        <v>151</v>
      </c>
      <c r="D1166" s="299" t="s">
        <v>2937</v>
      </c>
      <c r="E1166" s="299" t="s">
        <v>2975</v>
      </c>
      <c r="F1166" s="278" t="str" cm="1">
        <f t="array" ref="F1166">_xlfn.XLOOKUP(1,($D$1176:$D$1187=B1166)*($E$1176:$E$1187=C1166),$B$1176:$B$1187,"Not found",0,1)</f>
        <v>30-101</v>
      </c>
      <c r="G1166" s="300">
        <f t="shared" si="102"/>
        <v>-8264.6</v>
      </c>
      <c r="H1166" s="1121"/>
      <c r="I1166" s="1168"/>
      <c r="J1166" s="1168"/>
    </row>
    <row r="1167" spans="1:24">
      <c r="B1167" s="278" t="s">
        <v>593</v>
      </c>
      <c r="C1167" s="278" t="s">
        <v>151</v>
      </c>
      <c r="D1167" s="299" t="s">
        <v>2937</v>
      </c>
      <c r="E1167" s="299" t="s">
        <v>2975</v>
      </c>
      <c r="F1167" s="278" t="str" cm="1">
        <f t="array" ref="F1167">_xlfn.XLOOKUP(1,($D$1176:$D$1187=B1167)*($E$1176:$E$1187=C1167),$B$1176:$B$1187,"Not found",0,1)</f>
        <v>30-102</v>
      </c>
      <c r="G1167" s="300">
        <f t="shared" si="102"/>
        <v>-38390.400000000001</v>
      </c>
      <c r="H1167" s="1121"/>
      <c r="I1167" s="1168"/>
      <c r="J1167" s="1168"/>
    </row>
    <row r="1168" spans="1:24">
      <c r="B1168" s="278" t="s">
        <v>594</v>
      </c>
      <c r="C1168" s="278" t="s">
        <v>151</v>
      </c>
      <c r="D1168" s="299" t="s">
        <v>2937</v>
      </c>
      <c r="E1168" s="299" t="s">
        <v>2975</v>
      </c>
      <c r="F1168" s="278" t="str" cm="1">
        <f t="array" ref="F1168">_xlfn.XLOOKUP(1,($D$1176:$D$1187=B1168)*($E$1176:$E$1187=C1168),$B$1176:$B$1187,"Not found",0,1)</f>
        <v>30-103</v>
      </c>
      <c r="G1168" s="300">
        <f t="shared" si="102"/>
        <v>-28792.800000000003</v>
      </c>
      <c r="H1168" s="1121"/>
      <c r="I1168" s="1168"/>
      <c r="J1168" s="1168"/>
    </row>
    <row r="1169" spans="1:24">
      <c r="B1169" s="278" t="s">
        <v>595</v>
      </c>
      <c r="C1169" s="278" t="s">
        <v>151</v>
      </c>
      <c r="D1169" s="299" t="s">
        <v>2937</v>
      </c>
      <c r="E1169" s="299" t="s">
        <v>2975</v>
      </c>
      <c r="F1169" s="278" t="str" cm="1">
        <f t="array" ref="F1169">_xlfn.XLOOKUP(1,($D$1176:$D$1187=B1169)*($E$1176:$E$1187=C1169),$B$1176:$B$1187,"Not found",0,1)</f>
        <v>30-104</v>
      </c>
      <c r="G1169" s="300">
        <f t="shared" si="102"/>
        <v>-19195.2</v>
      </c>
      <c r="H1169" s="1122"/>
      <c r="I1169" s="1169"/>
      <c r="J1169" s="1169"/>
    </row>
    <row r="1170" spans="1:24" s="341" customFormat="1">
      <c r="A1170" s="2"/>
      <c r="B1170" s="278" t="s">
        <v>596</v>
      </c>
      <c r="C1170" s="278" t="s">
        <v>151</v>
      </c>
      <c r="D1170" s="299" t="s">
        <v>2937</v>
      </c>
      <c r="E1170" s="299" t="s">
        <v>2978</v>
      </c>
      <c r="F1170" s="278" t="str" cm="1">
        <f t="array" ref="F1170">_xlfn.XLOOKUP(1,($D$1176:$D$1187=B1170)*($E$1176:$E$1187=C1170),$B$1176:$B$1187,"Not found",0,1)</f>
        <v>30-105</v>
      </c>
      <c r="G1170" s="300">
        <f t="shared" si="102"/>
        <v>-8531.2000000000007</v>
      </c>
      <c r="H1170" s="1120">
        <f>$D$1135</f>
        <v>2.1428571428571401</v>
      </c>
      <c r="I1170" s="1167" t="s">
        <v>2976</v>
      </c>
      <c r="J1170" s="1167" t="s">
        <v>2977</v>
      </c>
      <c r="K1170" s="2"/>
      <c r="L1170" s="2"/>
      <c r="M1170" s="2"/>
      <c r="N1170" s="2"/>
      <c r="O1170" s="2"/>
      <c r="P1170" s="2"/>
      <c r="Q1170" s="2"/>
      <c r="R1170" s="2"/>
      <c r="S1170" s="2"/>
      <c r="T1170" s="2"/>
      <c r="U1170" s="2"/>
      <c r="V1170" s="2"/>
      <c r="W1170" s="2"/>
      <c r="X1170" s="2"/>
    </row>
    <row r="1171" spans="1:24" s="341" customFormat="1">
      <c r="A1171" s="2"/>
      <c r="B1171" s="278" t="s">
        <v>597</v>
      </c>
      <c r="C1171" s="278" t="s">
        <v>151</v>
      </c>
      <c r="D1171" s="299" t="s">
        <v>2937</v>
      </c>
      <c r="E1171" s="299" t="s">
        <v>2978</v>
      </c>
      <c r="F1171" s="278" t="str" cm="1">
        <f t="array" ref="F1171">_xlfn.XLOOKUP(1,($D$1176:$D$1187=B1171)*($E$1176:$E$1187=C1171),$B$1176:$B$1187,"Not found",0,1)</f>
        <v>30-106</v>
      </c>
      <c r="G1171" s="300">
        <f t="shared" si="102"/>
        <v>-6398.4000000000005</v>
      </c>
      <c r="H1171" s="1121"/>
      <c r="I1171" s="1168"/>
      <c r="J1171" s="1168"/>
      <c r="K1171" s="2"/>
      <c r="L1171" s="2"/>
      <c r="M1171" s="2"/>
      <c r="N1171" s="2"/>
      <c r="O1171" s="2"/>
      <c r="P1171" s="2"/>
      <c r="Q1171" s="2"/>
      <c r="R1171" s="2"/>
      <c r="S1171" s="2"/>
      <c r="T1171" s="2"/>
      <c r="U1171" s="2"/>
      <c r="V1171" s="2"/>
      <c r="W1171" s="2"/>
      <c r="X1171" s="2"/>
    </row>
    <row r="1172" spans="1:24" s="341" customFormat="1">
      <c r="A1172" s="2"/>
      <c r="B1172" s="278" t="s">
        <v>598</v>
      </c>
      <c r="C1172" s="278" t="s">
        <v>151</v>
      </c>
      <c r="D1172" s="299" t="s">
        <v>2937</v>
      </c>
      <c r="E1172" s="299" t="s">
        <v>2978</v>
      </c>
      <c r="F1172" s="278" t="str" cm="1">
        <f t="array" ref="F1172">_xlfn.XLOOKUP(1,($D$1176:$D$1187=B1172)*($E$1176:$E$1187=C1172),$B$1176:$B$1187,"Not found",0,1)</f>
        <v>30-107</v>
      </c>
      <c r="G1172" s="300">
        <f t="shared" si="102"/>
        <v>-4265.6000000000004</v>
      </c>
      <c r="H1172" s="1122"/>
      <c r="I1172" s="1169"/>
      <c r="J1172" s="1169"/>
      <c r="K1172" s="2"/>
      <c r="L1172" s="2"/>
      <c r="M1172" s="2"/>
      <c r="N1172" s="2"/>
      <c r="O1172" s="2"/>
      <c r="P1172" s="2"/>
      <c r="Q1172" s="2"/>
      <c r="R1172" s="2"/>
      <c r="S1172" s="2"/>
      <c r="T1172" s="2"/>
      <c r="U1172" s="2"/>
      <c r="V1172" s="2"/>
      <c r="W1172" s="2"/>
      <c r="X1172" s="2"/>
    </row>
    <row r="1173" spans="1:24" s="341" customFormat="1">
      <c r="A1173" s="2"/>
      <c r="B1173" s="18"/>
      <c r="C1173" s="2"/>
      <c r="D1173" s="2"/>
      <c r="E1173" s="2"/>
      <c r="F1173" s="2"/>
      <c r="G1173" s="2"/>
      <c r="H1173" s="2"/>
      <c r="I1173" s="2"/>
      <c r="J1173" s="2"/>
      <c r="K1173" s="2"/>
      <c r="L1173" s="2"/>
      <c r="M1173" s="2"/>
      <c r="N1173" s="2"/>
      <c r="O1173" s="2"/>
      <c r="P1173" s="2"/>
      <c r="Q1173" s="2"/>
      <c r="R1173" s="2"/>
      <c r="S1173" s="2"/>
      <c r="T1173" s="2"/>
      <c r="U1173" s="2"/>
      <c r="V1173" s="2"/>
      <c r="W1173" s="2"/>
      <c r="X1173" s="2"/>
    </row>
    <row r="1174" spans="1:24" s="341" customFormat="1">
      <c r="A1174" s="725"/>
      <c r="B1174" s="726" t="s">
        <v>962</v>
      </c>
      <c r="C1174" s="725"/>
      <c r="D1174" s="725"/>
      <c r="E1174" s="725"/>
      <c r="F1174" s="725"/>
      <c r="G1174" s="725"/>
      <c r="H1174" s="725"/>
      <c r="I1174" s="725"/>
      <c r="J1174" s="725"/>
      <c r="K1174" s="2"/>
      <c r="L1174" s="2"/>
      <c r="M1174" s="2"/>
      <c r="N1174" s="2"/>
      <c r="O1174" s="2"/>
      <c r="P1174" s="2"/>
      <c r="Q1174" s="2"/>
      <c r="R1174" s="2"/>
      <c r="S1174" s="2"/>
      <c r="T1174" s="2"/>
      <c r="U1174" s="2"/>
      <c r="V1174" s="2"/>
      <c r="W1174" s="2"/>
      <c r="X1174" s="2"/>
    </row>
    <row r="1175" spans="1:24" s="341" customFormat="1">
      <c r="A1175" s="2"/>
      <c r="B1175" s="233" t="s">
        <v>904</v>
      </c>
      <c r="C1175" s="233" t="s">
        <v>62</v>
      </c>
      <c r="D1175" s="233" t="s">
        <v>902</v>
      </c>
      <c r="E1175" s="233" t="s">
        <v>898</v>
      </c>
      <c r="F1175" s="233" t="s">
        <v>916</v>
      </c>
      <c r="G1175" s="233" t="s">
        <v>963</v>
      </c>
      <c r="H1175" s="233" t="s">
        <v>964</v>
      </c>
      <c r="I1175" s="233" t="s">
        <v>965</v>
      </c>
      <c r="J1175" s="233" t="s">
        <v>966</v>
      </c>
      <c r="K1175" s="233" t="s">
        <v>967</v>
      </c>
      <c r="L1175" s="233" t="s">
        <v>968</v>
      </c>
      <c r="M1175" s="233" t="s">
        <v>956</v>
      </c>
      <c r="N1175" s="233" t="s">
        <v>969</v>
      </c>
      <c r="O1175" s="233" t="s">
        <v>970</v>
      </c>
      <c r="P1175" s="233" t="s">
        <v>927</v>
      </c>
      <c r="Q1175" s="233" t="s">
        <v>913</v>
      </c>
      <c r="R1175" s="233" t="s">
        <v>914</v>
      </c>
      <c r="S1175" s="233" t="s">
        <v>915</v>
      </c>
      <c r="T1175" s="233" t="s">
        <v>916</v>
      </c>
      <c r="U1175" s="233" t="s">
        <v>917</v>
      </c>
      <c r="V1175" s="233" t="s">
        <v>918</v>
      </c>
      <c r="W1175" s="233" t="s">
        <v>919</v>
      </c>
      <c r="X1175" s="2"/>
    </row>
    <row r="1176" spans="1:24" s="341" customFormat="1">
      <c r="A1176" s="2"/>
      <c r="B1176" s="302" t="s">
        <v>2979</v>
      </c>
      <c r="C1176" s="279" t="s">
        <v>2645</v>
      </c>
      <c r="D1176" s="278" t="s">
        <v>585</v>
      </c>
      <c r="E1176" s="278" t="s">
        <v>151</v>
      </c>
      <c r="F1176" s="299">
        <f>$E$1039</f>
        <v>2021</v>
      </c>
      <c r="G1176" s="278">
        <v>2021</v>
      </c>
      <c r="H1176" s="278">
        <f>'COMPANY INPUT'!$C$16</f>
        <v>2023</v>
      </c>
      <c r="I1176" s="278">
        <f>VLOOKUP(G1176,'GDP Deflators'!$H$13:$I$86,2,FALSE)</f>
        <v>88.789299999999997</v>
      </c>
      <c r="J1176" s="278">
        <f>VLOOKUP(H1176,'GDP Deflators'!$H$13:$I$86,2,FALSE)</f>
        <v>100</v>
      </c>
      <c r="K1176" s="297">
        <f>-C1059</f>
        <v>-4005</v>
      </c>
      <c r="L1176" s="746">
        <f t="shared" ref="L1176:L1187" si="103">K1176*(J1176/I1176)</f>
        <v>-4510.6786515942804</v>
      </c>
      <c r="M1176" s="278" t="str">
        <f>$I$1161</f>
        <v>Calculated using B£ST</v>
      </c>
      <c r="N1176" s="326">
        <f>$H$1161</f>
        <v>2.5714285714285698</v>
      </c>
      <c r="O1176" s="278" t="s">
        <v>718</v>
      </c>
      <c r="P1176" s="278" t="str">
        <f>$J$1161</f>
        <v>Recently completed, geographically relevant</v>
      </c>
      <c r="Q1176" s="299">
        <f t="shared" ref="Q1176:W1178" si="104">B$1039</f>
        <v>116</v>
      </c>
      <c r="R1176" s="299" t="str">
        <f t="shared" si="104"/>
        <v>Water UK / Stantec (2021) Storm overflow evidence project</v>
      </c>
      <c r="S1176" s="299" t="str">
        <f t="shared" si="104"/>
        <v>/</v>
      </c>
      <c r="T1176" s="299">
        <f t="shared" si="104"/>
        <v>2021</v>
      </c>
      <c r="U1176" s="299" t="str">
        <f t="shared" si="104"/>
        <v>UK</v>
      </c>
      <c r="V1176" s="299" t="str">
        <f t="shared" si="104"/>
        <v>UK</v>
      </c>
      <c r="W1176" s="299" t="str">
        <f t="shared" si="104"/>
        <v>/</v>
      </c>
      <c r="X1176" s="2"/>
    </row>
    <row r="1177" spans="1:24" s="341" customFormat="1">
      <c r="A1177" s="2"/>
      <c r="B1177" s="302" t="s">
        <v>2980</v>
      </c>
      <c r="C1177" s="279" t="s">
        <v>2645</v>
      </c>
      <c r="D1177" s="278" t="s">
        <v>587</v>
      </c>
      <c r="E1177" s="278" t="s">
        <v>151</v>
      </c>
      <c r="F1177" s="299">
        <f>$E$1039</f>
        <v>2021</v>
      </c>
      <c r="G1177" s="278">
        <v>2021</v>
      </c>
      <c r="H1177" s="278">
        <f>'COMPANY INPUT'!$C$16</f>
        <v>2023</v>
      </c>
      <c r="I1177" s="278">
        <f>VLOOKUP(G1177,'GDP Deflators'!$H$13:$I$86,2,FALSE)</f>
        <v>88.789299999999997</v>
      </c>
      <c r="J1177" s="278">
        <f>VLOOKUP(H1177,'GDP Deflators'!$H$13:$I$86,2,FALSE)</f>
        <v>100</v>
      </c>
      <c r="K1177" s="297">
        <f>-C1060</f>
        <v>-2753.5</v>
      </c>
      <c r="L1177" s="746">
        <f t="shared" si="103"/>
        <v>-3101.1619643357931</v>
      </c>
      <c r="M1177" s="278" t="str">
        <f>$I$1161</f>
        <v>Calculated using B£ST</v>
      </c>
      <c r="N1177" s="326">
        <f>$H$1161</f>
        <v>2.5714285714285698</v>
      </c>
      <c r="O1177" s="278" t="s">
        <v>718</v>
      </c>
      <c r="P1177" s="278" t="str">
        <f>$J$1161</f>
        <v>Recently completed, geographically relevant</v>
      </c>
      <c r="Q1177" s="299">
        <f t="shared" si="104"/>
        <v>116</v>
      </c>
      <c r="R1177" s="299" t="str">
        <f t="shared" si="104"/>
        <v>Water UK / Stantec (2021) Storm overflow evidence project</v>
      </c>
      <c r="S1177" s="299" t="str">
        <f t="shared" si="104"/>
        <v>/</v>
      </c>
      <c r="T1177" s="299">
        <f t="shared" si="104"/>
        <v>2021</v>
      </c>
      <c r="U1177" s="299" t="str">
        <f t="shared" si="104"/>
        <v>UK</v>
      </c>
      <c r="V1177" s="299" t="str">
        <f t="shared" si="104"/>
        <v>UK</v>
      </c>
      <c r="W1177" s="299" t="str">
        <f t="shared" si="104"/>
        <v>/</v>
      </c>
      <c r="X1177" s="2"/>
    </row>
    <row r="1178" spans="1:24" s="341" customFormat="1">
      <c r="A1178" s="2"/>
      <c r="B1178" s="302" t="s">
        <v>2981</v>
      </c>
      <c r="C1178" s="279" t="s">
        <v>2645</v>
      </c>
      <c r="D1178" s="278" t="s">
        <v>588</v>
      </c>
      <c r="E1178" s="278" t="s">
        <v>151</v>
      </c>
      <c r="F1178" s="299">
        <f>$E$1039</f>
        <v>2021</v>
      </c>
      <c r="G1178" s="278">
        <v>2021</v>
      </c>
      <c r="H1178" s="278">
        <f>'COMPANY INPUT'!$C$16</f>
        <v>2023</v>
      </c>
      <c r="I1178" s="278">
        <f>VLOOKUP(G1178,'GDP Deflators'!$H$13:$I$86,2,FALSE)</f>
        <v>88.789299999999997</v>
      </c>
      <c r="J1178" s="278">
        <f>VLOOKUP(H1178,'GDP Deflators'!$H$13:$I$86,2,FALSE)</f>
        <v>100</v>
      </c>
      <c r="K1178" s="297">
        <f>-C1058</f>
        <v>-1502</v>
      </c>
      <c r="L1178" s="746">
        <f t="shared" si="103"/>
        <v>-1691.6452770773055</v>
      </c>
      <c r="M1178" s="278" t="str">
        <f>$I$1161</f>
        <v>Calculated using B£ST</v>
      </c>
      <c r="N1178" s="326">
        <f>$H$1161</f>
        <v>2.5714285714285698</v>
      </c>
      <c r="O1178" s="278" t="s">
        <v>718</v>
      </c>
      <c r="P1178" s="278" t="str">
        <f>$J$1161</f>
        <v>Recently completed, geographically relevant</v>
      </c>
      <c r="Q1178" s="299">
        <f t="shared" si="104"/>
        <v>116</v>
      </c>
      <c r="R1178" s="299" t="str">
        <f t="shared" si="104"/>
        <v>Water UK / Stantec (2021) Storm overflow evidence project</v>
      </c>
      <c r="S1178" s="299" t="str">
        <f t="shared" si="104"/>
        <v>/</v>
      </c>
      <c r="T1178" s="299">
        <f t="shared" si="104"/>
        <v>2021</v>
      </c>
      <c r="U1178" s="299" t="str">
        <f t="shared" si="104"/>
        <v>UK</v>
      </c>
      <c r="V1178" s="299" t="str">
        <f t="shared" si="104"/>
        <v>UK</v>
      </c>
      <c r="W1178" s="299" t="str">
        <f t="shared" si="104"/>
        <v>/</v>
      </c>
      <c r="X1178" s="2"/>
    </row>
    <row r="1179" spans="1:24" s="341" customFormat="1">
      <c r="A1179" s="2"/>
      <c r="B1179" s="302" t="s">
        <v>2982</v>
      </c>
      <c r="C1179" s="279" t="s">
        <v>2645</v>
      </c>
      <c r="D1179" s="278" t="s">
        <v>589</v>
      </c>
      <c r="E1179" s="278" t="s">
        <v>151</v>
      </c>
      <c r="F1179" s="299">
        <f t="shared" ref="F1179:F1184" si="105">$E$1083</f>
        <v>2014</v>
      </c>
      <c r="G1179" s="278">
        <v>2023</v>
      </c>
      <c r="H1179" s="278">
        <f>'COMPANY INPUT'!$C$16</f>
        <v>2023</v>
      </c>
      <c r="I1179" s="278">
        <f>VLOOKUP(G1179,'GDP Deflators'!$H$13:$I$86,2,FALSE)</f>
        <v>100</v>
      </c>
      <c r="J1179" s="278">
        <f>VLOOKUP(H1179,'GDP Deflators'!$H$13:$I$86,2,FALSE)</f>
        <v>100</v>
      </c>
      <c r="K1179" s="297">
        <f t="shared" ref="K1179:K1184" si="106">-D1115</f>
        <v>-16529.2</v>
      </c>
      <c r="L1179" s="746">
        <f t="shared" si="103"/>
        <v>-16529.2</v>
      </c>
      <c r="M1179" s="278" t="str">
        <f t="shared" ref="M1179:M1184" si="107">$I$1164</f>
        <v>Hedonic pricing</v>
      </c>
      <c r="N1179" s="326">
        <f t="shared" ref="N1179:N1184" si="108">$H$1164</f>
        <v>2.1428571428571401</v>
      </c>
      <c r="O1179" s="278" t="s">
        <v>718</v>
      </c>
      <c r="P1179" s="278" t="str">
        <f t="shared" ref="P1179:P1184" si="109">$J$1164</f>
        <v>This is the only available source of valuation found that match the unit of measure required. We have included it as it has been vetted by Defra.</v>
      </c>
      <c r="Q1179" s="299">
        <f t="shared" ref="Q1179:W1184" si="110">B$1083</f>
        <v>125</v>
      </c>
      <c r="R1179" s="299" t="str">
        <f t="shared" si="110"/>
        <v>Gibbons et al (2014) The amenity value of English nature: a hedonic price approach</v>
      </c>
      <c r="S1179" s="299" t="str">
        <f t="shared" si="110"/>
        <v>ENCA</v>
      </c>
      <c r="T1179" s="299">
        <f t="shared" si="110"/>
        <v>2014</v>
      </c>
      <c r="U1179" s="299" t="str">
        <f t="shared" si="110"/>
        <v>England</v>
      </c>
      <c r="V1179" s="299" t="str">
        <f t="shared" si="110"/>
        <v>England</v>
      </c>
      <c r="W1179" s="299" t="str">
        <f t="shared" si="110"/>
        <v>/</v>
      </c>
      <c r="X1179" s="2"/>
    </row>
    <row r="1180" spans="1:24" s="341" customFormat="1">
      <c r="A1180" s="2"/>
      <c r="B1180" s="302" t="s">
        <v>2983</v>
      </c>
      <c r="C1180" s="279" t="s">
        <v>2645</v>
      </c>
      <c r="D1180" s="278" t="s">
        <v>591</v>
      </c>
      <c r="E1180" s="278" t="s">
        <v>151</v>
      </c>
      <c r="F1180" s="299">
        <f t="shared" si="105"/>
        <v>2014</v>
      </c>
      <c r="G1180" s="278">
        <v>2023</v>
      </c>
      <c r="H1180" s="278">
        <f>'COMPANY INPUT'!$C$16</f>
        <v>2023</v>
      </c>
      <c r="I1180" s="278">
        <f>VLOOKUP(G1180,'GDP Deflators'!$H$13:$I$86,2,FALSE)</f>
        <v>100</v>
      </c>
      <c r="J1180" s="278">
        <f>VLOOKUP(H1180,'GDP Deflators'!$H$13:$I$86,2,FALSE)</f>
        <v>100</v>
      </c>
      <c r="K1180" s="297">
        <f t="shared" si="106"/>
        <v>-12396.900000000001</v>
      </c>
      <c r="L1180" s="746">
        <f t="shared" si="103"/>
        <v>-12396.900000000001</v>
      </c>
      <c r="M1180" s="278" t="str">
        <f t="shared" si="107"/>
        <v>Hedonic pricing</v>
      </c>
      <c r="N1180" s="326">
        <f t="shared" si="108"/>
        <v>2.1428571428571401</v>
      </c>
      <c r="O1180" s="278" t="s">
        <v>718</v>
      </c>
      <c r="P1180" s="278" t="str">
        <f t="shared" si="109"/>
        <v>This is the only available source of valuation found that match the unit of measure required. We have included it as it has been vetted by Defra.</v>
      </c>
      <c r="Q1180" s="299">
        <f t="shared" si="110"/>
        <v>125</v>
      </c>
      <c r="R1180" s="299" t="str">
        <f t="shared" si="110"/>
        <v>Gibbons et al (2014) The amenity value of English nature: a hedonic price approach</v>
      </c>
      <c r="S1180" s="299" t="str">
        <f t="shared" si="110"/>
        <v>ENCA</v>
      </c>
      <c r="T1180" s="299">
        <f t="shared" si="110"/>
        <v>2014</v>
      </c>
      <c r="U1180" s="299" t="str">
        <f t="shared" si="110"/>
        <v>England</v>
      </c>
      <c r="V1180" s="299" t="str">
        <f t="shared" si="110"/>
        <v>England</v>
      </c>
      <c r="W1180" s="299" t="str">
        <f t="shared" si="110"/>
        <v>/</v>
      </c>
      <c r="X1180" s="2"/>
    </row>
    <row r="1181" spans="1:24" s="341" customFormat="1">
      <c r="A1181" s="2"/>
      <c r="B1181" s="302" t="s">
        <v>2984</v>
      </c>
      <c r="C1181" s="279" t="s">
        <v>2645</v>
      </c>
      <c r="D1181" s="278" t="s">
        <v>592</v>
      </c>
      <c r="E1181" s="278" t="s">
        <v>151</v>
      </c>
      <c r="F1181" s="299">
        <f t="shared" si="105"/>
        <v>2014</v>
      </c>
      <c r="G1181" s="278">
        <v>2023</v>
      </c>
      <c r="H1181" s="278">
        <f>'COMPANY INPUT'!$C$16</f>
        <v>2023</v>
      </c>
      <c r="I1181" s="278">
        <f>VLOOKUP(G1181,'GDP Deflators'!$H$13:$I$86,2,FALSE)</f>
        <v>100</v>
      </c>
      <c r="J1181" s="278">
        <f>VLOOKUP(H1181,'GDP Deflators'!$H$13:$I$86,2,FALSE)</f>
        <v>100</v>
      </c>
      <c r="K1181" s="297">
        <f t="shared" si="106"/>
        <v>-8264.6</v>
      </c>
      <c r="L1181" s="746">
        <f t="shared" si="103"/>
        <v>-8264.6</v>
      </c>
      <c r="M1181" s="278" t="str">
        <f t="shared" si="107"/>
        <v>Hedonic pricing</v>
      </c>
      <c r="N1181" s="326">
        <f t="shared" si="108"/>
        <v>2.1428571428571401</v>
      </c>
      <c r="O1181" s="278" t="s">
        <v>718</v>
      </c>
      <c r="P1181" s="278" t="str">
        <f t="shared" si="109"/>
        <v>This is the only available source of valuation found that match the unit of measure required. We have included it as it has been vetted by Defra.</v>
      </c>
      <c r="Q1181" s="299">
        <f t="shared" si="110"/>
        <v>125</v>
      </c>
      <c r="R1181" s="299" t="str">
        <f t="shared" si="110"/>
        <v>Gibbons et al (2014) The amenity value of English nature: a hedonic price approach</v>
      </c>
      <c r="S1181" s="299" t="str">
        <f t="shared" si="110"/>
        <v>ENCA</v>
      </c>
      <c r="T1181" s="299">
        <f t="shared" si="110"/>
        <v>2014</v>
      </c>
      <c r="U1181" s="299" t="str">
        <f t="shared" si="110"/>
        <v>England</v>
      </c>
      <c r="V1181" s="299" t="str">
        <f t="shared" si="110"/>
        <v>England</v>
      </c>
      <c r="W1181" s="299" t="str">
        <f t="shared" si="110"/>
        <v>/</v>
      </c>
      <c r="X1181" s="2"/>
    </row>
    <row r="1182" spans="1:24">
      <c r="B1182" s="302" t="s">
        <v>2985</v>
      </c>
      <c r="C1182" s="279" t="s">
        <v>2645</v>
      </c>
      <c r="D1182" s="278" t="s">
        <v>593</v>
      </c>
      <c r="E1182" s="278" t="s">
        <v>151</v>
      </c>
      <c r="F1182" s="299">
        <f t="shared" si="105"/>
        <v>2014</v>
      </c>
      <c r="G1182" s="278">
        <v>2023</v>
      </c>
      <c r="H1182" s="278">
        <f>'COMPANY INPUT'!$C$16</f>
        <v>2023</v>
      </c>
      <c r="I1182" s="278">
        <f>VLOOKUP(G1182,'GDP Deflators'!$H$13:$I$86,2,FALSE)</f>
        <v>100</v>
      </c>
      <c r="J1182" s="278">
        <f>VLOOKUP(H1182,'GDP Deflators'!$H$13:$I$86,2,FALSE)</f>
        <v>100</v>
      </c>
      <c r="K1182" s="297">
        <f t="shared" si="106"/>
        <v>-38390.400000000001</v>
      </c>
      <c r="L1182" s="746">
        <f t="shared" si="103"/>
        <v>-38390.400000000001</v>
      </c>
      <c r="M1182" s="278" t="str">
        <f t="shared" si="107"/>
        <v>Hedonic pricing</v>
      </c>
      <c r="N1182" s="326">
        <f t="shared" si="108"/>
        <v>2.1428571428571401</v>
      </c>
      <c r="O1182" s="278" t="s">
        <v>718</v>
      </c>
      <c r="P1182" s="278" t="str">
        <f t="shared" si="109"/>
        <v>This is the only available source of valuation found that match the unit of measure required. We have included it as it has been vetted by Defra.</v>
      </c>
      <c r="Q1182" s="299">
        <f t="shared" si="110"/>
        <v>125</v>
      </c>
      <c r="R1182" s="299" t="str">
        <f t="shared" si="110"/>
        <v>Gibbons et al (2014) The amenity value of English nature: a hedonic price approach</v>
      </c>
      <c r="S1182" s="299" t="str">
        <f t="shared" si="110"/>
        <v>ENCA</v>
      </c>
      <c r="T1182" s="299">
        <f t="shared" si="110"/>
        <v>2014</v>
      </c>
      <c r="U1182" s="299" t="str">
        <f t="shared" si="110"/>
        <v>England</v>
      </c>
      <c r="V1182" s="299" t="str">
        <f t="shared" si="110"/>
        <v>England</v>
      </c>
      <c r="W1182" s="299" t="str">
        <f t="shared" si="110"/>
        <v>/</v>
      </c>
    </row>
    <row r="1183" spans="1:24">
      <c r="B1183" s="302" t="s">
        <v>2986</v>
      </c>
      <c r="C1183" s="279" t="s">
        <v>2645</v>
      </c>
      <c r="D1183" s="278" t="s">
        <v>594</v>
      </c>
      <c r="E1183" s="278" t="s">
        <v>151</v>
      </c>
      <c r="F1183" s="299">
        <f t="shared" si="105"/>
        <v>2014</v>
      </c>
      <c r="G1183" s="278">
        <v>2023</v>
      </c>
      <c r="H1183" s="278">
        <f>'COMPANY INPUT'!$C$16</f>
        <v>2023</v>
      </c>
      <c r="I1183" s="278">
        <f>VLOOKUP(G1183,'GDP Deflators'!$H$13:$I$86,2,FALSE)</f>
        <v>100</v>
      </c>
      <c r="J1183" s="278">
        <f>VLOOKUP(H1183,'GDP Deflators'!$H$13:$I$86,2,FALSE)</f>
        <v>100</v>
      </c>
      <c r="K1183" s="297">
        <f t="shared" si="106"/>
        <v>-28792.800000000003</v>
      </c>
      <c r="L1183" s="746">
        <f t="shared" si="103"/>
        <v>-28792.800000000003</v>
      </c>
      <c r="M1183" s="278" t="str">
        <f t="shared" si="107"/>
        <v>Hedonic pricing</v>
      </c>
      <c r="N1183" s="326">
        <f t="shared" si="108"/>
        <v>2.1428571428571401</v>
      </c>
      <c r="O1183" s="278" t="s">
        <v>718</v>
      </c>
      <c r="P1183" s="278" t="str">
        <f t="shared" si="109"/>
        <v>This is the only available source of valuation found that match the unit of measure required. We have included it as it has been vetted by Defra.</v>
      </c>
      <c r="Q1183" s="299">
        <f t="shared" si="110"/>
        <v>125</v>
      </c>
      <c r="R1183" s="299" t="str">
        <f t="shared" si="110"/>
        <v>Gibbons et al (2014) The amenity value of English nature: a hedonic price approach</v>
      </c>
      <c r="S1183" s="299" t="str">
        <f t="shared" si="110"/>
        <v>ENCA</v>
      </c>
      <c r="T1183" s="299">
        <f t="shared" si="110"/>
        <v>2014</v>
      </c>
      <c r="U1183" s="299" t="str">
        <f t="shared" si="110"/>
        <v>England</v>
      </c>
      <c r="V1183" s="299" t="str">
        <f t="shared" si="110"/>
        <v>England</v>
      </c>
      <c r="W1183" s="299" t="str">
        <f t="shared" si="110"/>
        <v>/</v>
      </c>
    </row>
    <row r="1184" spans="1:24">
      <c r="B1184" s="302" t="s">
        <v>2987</v>
      </c>
      <c r="C1184" s="279" t="s">
        <v>2645</v>
      </c>
      <c r="D1184" s="278" t="s">
        <v>595</v>
      </c>
      <c r="E1184" s="278" t="s">
        <v>151</v>
      </c>
      <c r="F1184" s="299">
        <f t="shared" si="105"/>
        <v>2014</v>
      </c>
      <c r="G1184" s="278">
        <v>2023</v>
      </c>
      <c r="H1184" s="278">
        <f>'COMPANY INPUT'!$C$16</f>
        <v>2023</v>
      </c>
      <c r="I1184" s="278">
        <f>VLOOKUP(G1184,'GDP Deflators'!$H$13:$I$86,2,FALSE)</f>
        <v>100</v>
      </c>
      <c r="J1184" s="278">
        <f>VLOOKUP(H1184,'GDP Deflators'!$H$13:$I$86,2,FALSE)</f>
        <v>100</v>
      </c>
      <c r="K1184" s="297">
        <f t="shared" si="106"/>
        <v>-19195.2</v>
      </c>
      <c r="L1184" s="746">
        <f t="shared" si="103"/>
        <v>-19195.2</v>
      </c>
      <c r="M1184" s="278" t="str">
        <f t="shared" si="107"/>
        <v>Hedonic pricing</v>
      </c>
      <c r="N1184" s="326">
        <f t="shared" si="108"/>
        <v>2.1428571428571401</v>
      </c>
      <c r="O1184" s="278" t="s">
        <v>718</v>
      </c>
      <c r="P1184" s="278" t="str">
        <f t="shared" si="109"/>
        <v>This is the only available source of valuation found that match the unit of measure required. We have included it as it has been vetted by Defra.</v>
      </c>
      <c r="Q1184" s="299">
        <f t="shared" si="110"/>
        <v>125</v>
      </c>
      <c r="R1184" s="299" t="str">
        <f t="shared" si="110"/>
        <v>Gibbons et al (2014) The amenity value of English nature: a hedonic price approach</v>
      </c>
      <c r="S1184" s="299" t="str">
        <f t="shared" si="110"/>
        <v>ENCA</v>
      </c>
      <c r="T1184" s="299">
        <f t="shared" si="110"/>
        <v>2014</v>
      </c>
      <c r="U1184" s="299" t="str">
        <f t="shared" si="110"/>
        <v>England</v>
      </c>
      <c r="V1184" s="299" t="str">
        <f t="shared" si="110"/>
        <v>England</v>
      </c>
      <c r="W1184" s="299" t="str">
        <f t="shared" si="110"/>
        <v>/</v>
      </c>
    </row>
    <row r="1185" spans="1:23">
      <c r="B1185" s="302" t="s">
        <v>2988</v>
      </c>
      <c r="C1185" s="279" t="s">
        <v>2645</v>
      </c>
      <c r="D1185" s="278" t="s">
        <v>596</v>
      </c>
      <c r="E1185" s="278" t="s">
        <v>151</v>
      </c>
      <c r="F1185" s="278">
        <f>$E$1125</f>
        <v>2010</v>
      </c>
      <c r="G1185" s="278">
        <v>2023</v>
      </c>
      <c r="H1185" s="278">
        <f>'COMPANY INPUT'!$C$16</f>
        <v>2023</v>
      </c>
      <c r="I1185" s="278">
        <f>VLOOKUP(G1185,'GDP Deflators'!$H$13:$I$86,2,FALSE)</f>
        <v>100</v>
      </c>
      <c r="J1185" s="278">
        <f>VLOOKUP(H1185,'GDP Deflators'!$H$13:$I$86,2,FALSE)</f>
        <v>100</v>
      </c>
      <c r="K1185" s="297">
        <f>-D1155</f>
        <v>-8531.2000000000007</v>
      </c>
      <c r="L1185" s="746">
        <f t="shared" si="103"/>
        <v>-8531.2000000000007</v>
      </c>
      <c r="M1185" s="278" t="str">
        <f>$I$1170</f>
        <v>Hedonic pricing</v>
      </c>
      <c r="N1185" s="326">
        <f>$H$1170</f>
        <v>2.1428571428571401</v>
      </c>
      <c r="O1185" s="278" t="s">
        <v>718</v>
      </c>
      <c r="P1185" s="278" t="str">
        <f>$J$1170</f>
        <v>This is the only available source of valuation found that match the unit of measure required. We have included it as it has been vetted by Defra.</v>
      </c>
      <c r="Q1185" s="278">
        <f t="shared" ref="Q1185:W1187" si="111">B$1125</f>
        <v>127</v>
      </c>
      <c r="R1185" s="278" t="str">
        <f t="shared" si="111"/>
        <v>GLA Economics (2010) Valuing housing and green spaces: understanding local amenities, the built environment and house prices in London</v>
      </c>
      <c r="S1185" s="278" t="str">
        <f t="shared" si="111"/>
        <v>ENCA</v>
      </c>
      <c r="T1185" s="278">
        <f t="shared" si="111"/>
        <v>2010</v>
      </c>
      <c r="U1185" s="278" t="str">
        <f t="shared" si="111"/>
        <v>England</v>
      </c>
      <c r="V1185" s="278" t="str">
        <f t="shared" si="111"/>
        <v>London</v>
      </c>
      <c r="W1185" s="278" t="str">
        <f t="shared" si="111"/>
        <v>/</v>
      </c>
    </row>
    <row r="1186" spans="1:23">
      <c r="B1186" s="302" t="s">
        <v>2989</v>
      </c>
      <c r="C1186" s="279" t="s">
        <v>2645</v>
      </c>
      <c r="D1186" s="278" t="s">
        <v>597</v>
      </c>
      <c r="E1186" s="278" t="s">
        <v>151</v>
      </c>
      <c r="F1186" s="278">
        <f>$E$1125</f>
        <v>2010</v>
      </c>
      <c r="G1186" s="278">
        <v>2023</v>
      </c>
      <c r="H1186" s="278">
        <f>'COMPANY INPUT'!$C$16</f>
        <v>2023</v>
      </c>
      <c r="I1186" s="278">
        <f>VLOOKUP(G1186,'GDP Deflators'!$H$13:$I$86,2,FALSE)</f>
        <v>100</v>
      </c>
      <c r="J1186" s="278">
        <f>VLOOKUP(H1186,'GDP Deflators'!$H$13:$I$86,2,FALSE)</f>
        <v>100</v>
      </c>
      <c r="K1186" s="297">
        <f>-D1156</f>
        <v>-6398.4000000000005</v>
      </c>
      <c r="L1186" s="746">
        <f t="shared" si="103"/>
        <v>-6398.4000000000005</v>
      </c>
      <c r="M1186" s="278" t="str">
        <f>$I$1170</f>
        <v>Hedonic pricing</v>
      </c>
      <c r="N1186" s="326">
        <f>$H$1170</f>
        <v>2.1428571428571401</v>
      </c>
      <c r="O1186" s="278" t="s">
        <v>718</v>
      </c>
      <c r="P1186" s="278" t="str">
        <f>$J$1170</f>
        <v>This is the only available source of valuation found that match the unit of measure required. We have included it as it has been vetted by Defra.</v>
      </c>
      <c r="Q1186" s="278">
        <f t="shared" si="111"/>
        <v>127</v>
      </c>
      <c r="R1186" s="278" t="str">
        <f t="shared" si="111"/>
        <v>GLA Economics (2010) Valuing housing and green spaces: understanding local amenities, the built environment and house prices in London</v>
      </c>
      <c r="S1186" s="278" t="str">
        <f t="shared" si="111"/>
        <v>ENCA</v>
      </c>
      <c r="T1186" s="278">
        <f t="shared" si="111"/>
        <v>2010</v>
      </c>
      <c r="U1186" s="278" t="str">
        <f t="shared" si="111"/>
        <v>England</v>
      </c>
      <c r="V1186" s="278" t="str">
        <f t="shared" si="111"/>
        <v>London</v>
      </c>
      <c r="W1186" s="278" t="str">
        <f t="shared" si="111"/>
        <v>/</v>
      </c>
    </row>
    <row r="1187" spans="1:23">
      <c r="B1187" s="302" t="s">
        <v>2990</v>
      </c>
      <c r="C1187" s="279" t="s">
        <v>2645</v>
      </c>
      <c r="D1187" s="278" t="s">
        <v>598</v>
      </c>
      <c r="E1187" s="278" t="s">
        <v>151</v>
      </c>
      <c r="F1187" s="278">
        <f>$E$1125</f>
        <v>2010</v>
      </c>
      <c r="G1187" s="278">
        <v>2023</v>
      </c>
      <c r="H1187" s="278">
        <f>'COMPANY INPUT'!$C$16</f>
        <v>2023</v>
      </c>
      <c r="I1187" s="278">
        <f>VLOOKUP(G1187,'GDP Deflators'!$H$13:$I$86,2,FALSE)</f>
        <v>100</v>
      </c>
      <c r="J1187" s="278">
        <f>VLOOKUP(H1187,'GDP Deflators'!$H$13:$I$86,2,FALSE)</f>
        <v>100</v>
      </c>
      <c r="K1187" s="297">
        <f>-D1157</f>
        <v>-4265.6000000000004</v>
      </c>
      <c r="L1187" s="746">
        <f t="shared" si="103"/>
        <v>-4265.6000000000004</v>
      </c>
      <c r="M1187" s="278" t="str">
        <f>$I$1170</f>
        <v>Hedonic pricing</v>
      </c>
      <c r="N1187" s="326">
        <f>$H$1170</f>
        <v>2.1428571428571401</v>
      </c>
      <c r="O1187" s="278" t="s">
        <v>718</v>
      </c>
      <c r="P1187" s="278" t="str">
        <f>$J$1170</f>
        <v>This is the only available source of valuation found that match the unit of measure required. We have included it as it has been vetted by Defra.</v>
      </c>
      <c r="Q1187" s="278">
        <f t="shared" si="111"/>
        <v>127</v>
      </c>
      <c r="R1187" s="278" t="str">
        <f t="shared" si="111"/>
        <v>GLA Economics (2010) Valuing housing and green spaces: understanding local amenities, the built environment and house prices in London</v>
      </c>
      <c r="S1187" s="278" t="str">
        <f t="shared" si="111"/>
        <v>ENCA</v>
      </c>
      <c r="T1187" s="278">
        <f t="shared" si="111"/>
        <v>2010</v>
      </c>
      <c r="U1187" s="278" t="str">
        <f t="shared" si="111"/>
        <v>England</v>
      </c>
      <c r="V1187" s="278" t="str">
        <f t="shared" si="111"/>
        <v>London</v>
      </c>
      <c r="W1187" s="278" t="str">
        <f t="shared" si="111"/>
        <v>/</v>
      </c>
    </row>
    <row r="1189" spans="1:23" s="341" customFormat="1">
      <c r="A1189" s="721"/>
      <c r="B1189" s="722" t="s">
        <v>464</v>
      </c>
      <c r="C1189" s="721"/>
      <c r="D1189" s="721"/>
      <c r="E1189" s="721"/>
      <c r="F1189" s="721"/>
      <c r="G1189" s="721"/>
      <c r="H1189" s="721"/>
      <c r="I1189" s="721"/>
      <c r="J1189" s="721"/>
      <c r="K1189" s="2"/>
      <c r="L1189" s="2"/>
      <c r="M1189" s="2"/>
      <c r="N1189" s="2"/>
      <c r="O1189" s="2"/>
      <c r="P1189" s="2"/>
      <c r="Q1189" s="2"/>
      <c r="R1189" s="2"/>
      <c r="S1189" s="2"/>
      <c r="T1189" s="2"/>
      <c r="U1189" s="2"/>
      <c r="V1189" s="2"/>
      <c r="W1189" s="2"/>
    </row>
    <row r="1190" spans="1:23" s="341" customFormat="1">
      <c r="A1190" s="727"/>
      <c r="B1190" s="729" t="s">
        <v>897</v>
      </c>
      <c r="C1190" s="727"/>
      <c r="D1190" s="727"/>
      <c r="E1190" s="727"/>
      <c r="F1190" s="727"/>
      <c r="G1190" s="727"/>
      <c r="H1190" s="727"/>
      <c r="I1190" s="727"/>
      <c r="J1190" s="727"/>
      <c r="K1190" s="2"/>
      <c r="L1190" s="2"/>
      <c r="M1190" s="2"/>
      <c r="N1190" s="2"/>
      <c r="O1190" s="2"/>
      <c r="P1190" s="2"/>
      <c r="Q1190" s="2"/>
      <c r="R1190" s="2"/>
      <c r="S1190" s="2"/>
      <c r="T1190" s="2"/>
      <c r="U1190" s="2"/>
      <c r="V1190" s="2"/>
      <c r="W1190" s="2"/>
    </row>
    <row r="1191" spans="1:23">
      <c r="B1191" s="277" t="s">
        <v>898</v>
      </c>
      <c r="C1191" s="277" t="s">
        <v>899</v>
      </c>
    </row>
    <row r="1192" spans="1:23">
      <c r="B1192" s="278" t="s">
        <v>464</v>
      </c>
      <c r="C1192" s="278" t="s">
        <v>2991</v>
      </c>
    </row>
    <row r="1193" spans="1:23">
      <c r="B1193" s="16"/>
    </row>
    <row r="1194" spans="1:23" s="341" customFormat="1">
      <c r="A1194" s="727"/>
      <c r="B1194" s="728" t="s">
        <v>2992</v>
      </c>
      <c r="C1194" s="727"/>
      <c r="D1194" s="727"/>
      <c r="E1194" s="727"/>
      <c r="F1194" s="727"/>
      <c r="G1194" s="727"/>
      <c r="H1194" s="727"/>
      <c r="I1194" s="727"/>
      <c r="J1194" s="727"/>
      <c r="K1194" s="2"/>
      <c r="L1194" s="2"/>
      <c r="M1194" s="2"/>
      <c r="N1194" s="2"/>
      <c r="O1194" s="2"/>
      <c r="P1194" s="2"/>
      <c r="Q1194" s="2"/>
      <c r="R1194" s="2"/>
      <c r="S1194" s="2"/>
      <c r="T1194" s="2"/>
      <c r="U1194" s="2"/>
      <c r="V1194" s="2"/>
      <c r="W1194" s="2"/>
    </row>
    <row r="1195" spans="1:23" s="341" customFormat="1">
      <c r="A1195" s="725"/>
      <c r="B1195" s="726" t="s">
        <v>912</v>
      </c>
      <c r="C1195" s="725"/>
      <c r="D1195" s="725"/>
      <c r="E1195" s="725"/>
      <c r="F1195" s="725"/>
      <c r="G1195" s="725"/>
      <c r="H1195" s="725"/>
      <c r="I1195" s="725"/>
      <c r="J1195" s="725"/>
      <c r="K1195" s="2"/>
      <c r="L1195" s="2"/>
      <c r="M1195" s="2"/>
      <c r="N1195" s="2"/>
      <c r="O1195" s="2"/>
      <c r="P1195" s="2"/>
      <c r="Q1195" s="2"/>
      <c r="R1195" s="2"/>
      <c r="S1195" s="2"/>
      <c r="T1195" s="2"/>
      <c r="U1195" s="2"/>
      <c r="V1195" s="2"/>
      <c r="W1195" s="2"/>
    </row>
    <row r="1196" spans="1:23" ht="29.1">
      <c r="B1196" s="719" t="s">
        <v>913</v>
      </c>
      <c r="C1196" s="719" t="s">
        <v>914</v>
      </c>
      <c r="D1196" s="719" t="s">
        <v>915</v>
      </c>
      <c r="E1196" s="719" t="s">
        <v>916</v>
      </c>
      <c r="F1196" s="719" t="s">
        <v>917</v>
      </c>
      <c r="G1196" s="719" t="s">
        <v>918</v>
      </c>
      <c r="H1196" s="719" t="s">
        <v>919</v>
      </c>
    </row>
    <row r="1197" spans="1:23">
      <c r="B1197" s="278">
        <v>116</v>
      </c>
      <c r="C1197" s="278" t="s">
        <v>2623</v>
      </c>
      <c r="D1197" s="279" t="s">
        <v>907</v>
      </c>
      <c r="E1197" s="278">
        <v>2021</v>
      </c>
      <c r="F1197" s="278" t="s">
        <v>1047</v>
      </c>
      <c r="G1197" s="278" t="s">
        <v>1047</v>
      </c>
      <c r="H1197" s="279" t="s">
        <v>907</v>
      </c>
    </row>
    <row r="1198" spans="1:23">
      <c r="B1198" s="16"/>
    </row>
    <row r="1199" spans="1:23" s="341" customFormat="1">
      <c r="A1199" s="725"/>
      <c r="B1199" s="726" t="s">
        <v>924</v>
      </c>
      <c r="C1199" s="725"/>
      <c r="D1199" s="725"/>
      <c r="E1199" s="725"/>
      <c r="F1199" s="725"/>
      <c r="G1199" s="725"/>
      <c r="H1199" s="725"/>
      <c r="I1199" s="725"/>
      <c r="J1199" s="725"/>
      <c r="K1199" s="2"/>
      <c r="L1199" s="2"/>
      <c r="M1199" s="2"/>
      <c r="N1199" s="2"/>
      <c r="O1199" s="2"/>
      <c r="P1199" s="2"/>
      <c r="Q1199" s="2"/>
      <c r="R1199" s="2"/>
      <c r="S1199" s="2"/>
      <c r="T1199" s="2"/>
      <c r="U1199" s="2"/>
      <c r="V1199" s="2"/>
      <c r="W1199" s="2"/>
    </row>
    <row r="1200" spans="1:23">
      <c r="B1200" s="277" t="s">
        <v>165</v>
      </c>
      <c r="C1200" s="277" t="s">
        <v>925</v>
      </c>
      <c r="D1200" s="277" t="s">
        <v>926</v>
      </c>
      <c r="E1200" s="1134" t="s">
        <v>953</v>
      </c>
      <c r="F1200" s="1134"/>
      <c r="G1200" s="1134"/>
      <c r="H1200" s="1134"/>
      <c r="I1200" s="1134"/>
      <c r="J1200" s="1134"/>
    </row>
    <row r="1201" spans="1:23">
      <c r="B1201" s="278" t="s">
        <v>169</v>
      </c>
      <c r="C1201" s="278" t="s">
        <v>167</v>
      </c>
      <c r="D1201" s="278">
        <f>VLOOKUP(C1201,METHODOLOGY!$C$175:$D$177,2,FALSE)</f>
        <v>2</v>
      </c>
      <c r="E1201" s="1087" t="str">
        <f>_xlfn.XLOOKUP(C1201,METHODOLOGY!$E$150:$O$150,METHODOLOGY!$E$151:$O$151,"",0,1)</f>
        <v>The monetary values are recommended / referenced in other, well recognised and accepted guidance / tools relevant to another sector.</v>
      </c>
      <c r="F1201" s="1087"/>
      <c r="G1201" s="1087"/>
      <c r="H1201" s="1087"/>
      <c r="I1201" s="1087"/>
      <c r="J1201" s="1087"/>
    </row>
    <row r="1202" spans="1:23">
      <c r="B1202" s="278" t="s">
        <v>173</v>
      </c>
      <c r="C1202" s="278" t="s">
        <v>166</v>
      </c>
      <c r="D1202" s="278">
        <f>VLOOKUP(C1202,METHODOLOGY!$C$175:$D$177,2,FALSE)</f>
        <v>3</v>
      </c>
      <c r="E1202" s="1087" t="str">
        <f>_xlfn.XLOOKUP(C1202,METHODOLOGY!$E$150:$O$150,METHODOLOGY!$E$155:$O$155,"",0,1)</f>
        <v>Study has few limitations and is considered robust.</v>
      </c>
      <c r="F1202" s="1087"/>
      <c r="G1202" s="1087"/>
      <c r="H1202" s="1087"/>
      <c r="I1202" s="1087"/>
      <c r="J1202" s="1087"/>
    </row>
    <row r="1203" spans="1:23">
      <c r="B1203" s="278" t="s">
        <v>177</v>
      </c>
      <c r="C1203" s="278" t="s">
        <v>166</v>
      </c>
      <c r="D1203" s="278">
        <f>VLOOKUP(C1203,METHODOLOGY!$C$175:$D$177,2,FALSE)</f>
        <v>3</v>
      </c>
      <c r="E1203" s="1087" t="str">
        <f>_xlfn.XLOOKUP(C1203,METHODOLOGY!$E$150:$O$150,METHODOLOGY!$E$158:$O$158,"",0,1)</f>
        <v>0 – 5 years</v>
      </c>
      <c r="F1203" s="1087"/>
      <c r="G1203" s="1087"/>
      <c r="H1203" s="1087"/>
      <c r="I1203" s="1087"/>
      <c r="J1203" s="1087"/>
    </row>
    <row r="1204" spans="1:23">
      <c r="B1204" s="278" t="s">
        <v>181</v>
      </c>
      <c r="C1204" s="278" t="s">
        <v>166</v>
      </c>
      <c r="D1204" s="278">
        <f>VLOOKUP(C1204,METHODOLOGY!$C$175:$D$177,2,FALSE)</f>
        <v>3</v>
      </c>
      <c r="E1204" s="1087" t="str">
        <f>_xlfn.XLOOKUP(C1204,METHODOLOGY!$E$150:$O$150,METHODOLOGY!$E$160:$O$160,"",0,1)</f>
        <v>Geographically relevant to UK</v>
      </c>
      <c r="F1204" s="1087"/>
      <c r="G1204" s="1087"/>
      <c r="H1204" s="1087"/>
      <c r="I1204" s="1087"/>
      <c r="J1204" s="1087"/>
    </row>
    <row r="1205" spans="1:23">
      <c r="B1205" s="278" t="s">
        <v>928</v>
      </c>
      <c r="C1205" s="278" t="s">
        <v>166</v>
      </c>
      <c r="D1205" s="278">
        <f>VLOOKUP(C1205,METHODOLOGY!$C$175:$D$177,2,FALSE)</f>
        <v>3</v>
      </c>
      <c r="E1205" s="1087" t="str">
        <f>_xlfn.XLOOKUP(C1205,METHODOLOGY!$E$150:$O$150,METHODOLOGY!$E162:$O162,"",0,1)</f>
        <v>Clear understanding of the valuation method and how the value should be applied.</v>
      </c>
      <c r="F1205" s="1087"/>
      <c r="G1205" s="1087"/>
      <c r="H1205" s="1087"/>
      <c r="I1205" s="1087"/>
      <c r="J1205" s="1087"/>
    </row>
    <row r="1206" spans="1:23">
      <c r="B1206" s="278" t="s">
        <v>189</v>
      </c>
      <c r="C1206" s="278" t="s">
        <v>167</v>
      </c>
      <c r="D1206" s="278">
        <f>VLOOKUP(C1206,METHODOLOGY!$C$175:$D$177,2,FALSE)</f>
        <v>2</v>
      </c>
      <c r="E1206" s="1087" t="str">
        <f>_xlfn.XLOOKUP(C1206,METHODOLOGY!$E$150:$O$150,METHODOLOGY!$E$164:$O$164,"",0,1)</f>
        <v xml:space="preserve">The original valuation can be used with some modification e.g. applying household numbers. The calculation is simple or introduces low levels of uncertainty. </v>
      </c>
      <c r="F1206" s="1087"/>
      <c r="G1206" s="1087"/>
      <c r="H1206" s="1087"/>
      <c r="I1206" s="1087"/>
      <c r="J1206" s="1087"/>
    </row>
    <row r="1207" spans="1:23">
      <c r="C1207" s="282" t="s">
        <v>924</v>
      </c>
      <c r="D1207" s="326">
        <f>IF(AND(D1206=1,AVERAGE(D1201:D1206)&gt;2.14285714285714),2.14285714285714,IF(AND(D1206=2,AVERAGE(D1201:D1206)&gt;2.57142857142857),2.57142857142857,AVERAGE(D1201:D1206)))</f>
        <v>2.5714285714285698</v>
      </c>
      <c r="E1207" s="270" t="str">
        <f>IF(D1207&lt;=2.14285714285714,"Red",IF(D1207&lt;=2.57142857142857,"Amber",IF(D1207&lt;=3,"Green")))</f>
        <v>Amber</v>
      </c>
    </row>
    <row r="1209" spans="1:23" s="341" customFormat="1">
      <c r="A1209" s="725"/>
      <c r="B1209" s="726" t="s">
        <v>929</v>
      </c>
      <c r="C1209" s="725"/>
      <c r="D1209" s="725"/>
      <c r="E1209" s="725"/>
      <c r="F1209" s="725"/>
      <c r="G1209" s="725"/>
      <c r="H1209" s="725"/>
      <c r="I1209" s="725"/>
      <c r="J1209" s="725"/>
      <c r="K1209" s="2"/>
      <c r="L1209" s="2"/>
      <c r="M1209" s="2"/>
      <c r="N1209" s="2"/>
      <c r="O1209" s="2"/>
      <c r="P1209" s="2"/>
      <c r="Q1209" s="2"/>
      <c r="R1209" s="2"/>
      <c r="S1209" s="2"/>
      <c r="T1209" s="2"/>
      <c r="U1209" s="2"/>
      <c r="V1209" s="2"/>
      <c r="W1209" s="2"/>
    </row>
    <row r="1210" spans="1:23">
      <c r="B1210" s="277" t="s">
        <v>913</v>
      </c>
      <c r="C1210" s="277" t="s">
        <v>902</v>
      </c>
      <c r="D1210" s="277" t="s">
        <v>331</v>
      </c>
      <c r="E1210" s="277" t="s">
        <v>226</v>
      </c>
      <c r="F1210" s="1128" t="s">
        <v>930</v>
      </c>
      <c r="G1210" s="1129"/>
      <c r="H1210" s="1129"/>
      <c r="I1210" s="1129"/>
      <c r="J1210" s="1130"/>
    </row>
    <row r="1211" spans="1:23" s="341" customFormat="1" ht="15" customHeight="1">
      <c r="A1211" s="2"/>
      <c r="B1211" s="1387">
        <v>116</v>
      </c>
      <c r="C1211" s="278" t="s">
        <v>2624</v>
      </c>
      <c r="D1211" s="278">
        <v>114</v>
      </c>
      <c r="E1211" s="394" t="s">
        <v>2625</v>
      </c>
      <c r="F1211" s="1095" t="s">
        <v>2993</v>
      </c>
      <c r="G1211" s="1095"/>
      <c r="H1211" s="1095"/>
      <c r="I1211" s="1095"/>
      <c r="J1211" s="1095"/>
      <c r="K1211" s="2"/>
      <c r="L1211" s="2"/>
      <c r="M1211" s="2"/>
      <c r="N1211" s="2"/>
      <c r="O1211" s="2"/>
      <c r="P1211" s="2"/>
      <c r="Q1211" s="2"/>
      <c r="R1211" s="2"/>
      <c r="S1211" s="2"/>
      <c r="T1211" s="2"/>
      <c r="U1211" s="2"/>
      <c r="V1211" s="2"/>
      <c r="W1211" s="2"/>
    </row>
    <row r="1212" spans="1:23" s="341" customFormat="1">
      <c r="A1212" s="2"/>
      <c r="B1212" s="1388"/>
      <c r="C1212" s="278" t="s">
        <v>2627</v>
      </c>
      <c r="D1212" s="278">
        <v>228</v>
      </c>
      <c r="E1212" s="394" t="s">
        <v>2625</v>
      </c>
      <c r="F1212" s="1095"/>
      <c r="G1212" s="1095"/>
      <c r="H1212" s="1095"/>
      <c r="I1212" s="1095"/>
      <c r="J1212" s="1095"/>
      <c r="K1212" s="2"/>
      <c r="L1212" s="2"/>
      <c r="M1212" s="2"/>
      <c r="N1212" s="2"/>
      <c r="O1212" s="2"/>
      <c r="P1212" s="2"/>
      <c r="Q1212" s="2"/>
      <c r="R1212" s="2"/>
      <c r="S1212" s="2"/>
      <c r="T1212" s="2"/>
      <c r="U1212" s="2"/>
      <c r="V1212" s="2"/>
      <c r="W1212" s="2"/>
    </row>
    <row r="1214" spans="1:23" s="341" customFormat="1">
      <c r="A1214" s="725"/>
      <c r="B1214" s="726" t="s">
        <v>936</v>
      </c>
      <c r="C1214" s="725"/>
      <c r="D1214" s="725"/>
      <c r="E1214" s="725"/>
      <c r="F1214" s="725"/>
      <c r="G1214" s="725"/>
      <c r="H1214" s="725"/>
      <c r="I1214" s="725"/>
      <c r="J1214" s="725"/>
      <c r="K1214" s="2"/>
      <c r="L1214" s="2"/>
      <c r="M1214" s="2"/>
      <c r="N1214" s="2"/>
      <c r="O1214" s="2"/>
      <c r="P1214" s="2"/>
      <c r="Q1214" s="2"/>
      <c r="R1214" s="2"/>
      <c r="S1214" s="2"/>
      <c r="T1214" s="2"/>
      <c r="U1214" s="2"/>
      <c r="V1214" s="2"/>
      <c r="W1214" s="2"/>
    </row>
    <row r="1215" spans="1:23">
      <c r="B1215" s="298" t="s">
        <v>902</v>
      </c>
      <c r="C1215" s="298" t="s">
        <v>2628</v>
      </c>
      <c r="D1215" s="1170" t="s">
        <v>930</v>
      </c>
      <c r="E1215" s="1170"/>
      <c r="F1215" s="1170"/>
    </row>
    <row r="1216" spans="1:23">
      <c r="B1216" s="383" t="s">
        <v>2624</v>
      </c>
      <c r="C1216" s="604">
        <f>D1211</f>
        <v>114</v>
      </c>
      <c r="D1216" s="1105" t="s">
        <v>2629</v>
      </c>
      <c r="E1216" s="1105"/>
      <c r="F1216" s="1105"/>
    </row>
    <row r="1217" spans="2:6">
      <c r="B1217" s="383" t="s">
        <v>2627</v>
      </c>
      <c r="C1217" s="604">
        <f>D1212</f>
        <v>228</v>
      </c>
      <c r="D1217" s="1105"/>
      <c r="E1217" s="1105"/>
      <c r="F1217" s="1105"/>
    </row>
    <row r="1218" spans="2:6">
      <c r="B1218" s="334" t="s">
        <v>2630</v>
      </c>
      <c r="C1218" s="511">
        <f>AVERAGE(C1216:C1217)</f>
        <v>171</v>
      </c>
      <c r="D1218" s="1095" t="s">
        <v>2631</v>
      </c>
      <c r="E1218" s="1095"/>
      <c r="F1218" s="1095"/>
    </row>
    <row r="1239" spans="1:23" s="341" customFormat="1">
      <c r="A1239" s="727"/>
      <c r="B1239" s="728" t="s">
        <v>901</v>
      </c>
      <c r="C1239" s="727"/>
      <c r="D1239" s="727"/>
      <c r="E1239" s="727"/>
      <c r="F1239" s="727"/>
      <c r="G1239" s="727"/>
      <c r="H1239" s="727"/>
      <c r="I1239" s="727"/>
      <c r="J1239" s="727"/>
      <c r="K1239" s="2"/>
      <c r="L1239" s="2"/>
      <c r="M1239" s="2"/>
      <c r="N1239" s="2"/>
      <c r="O1239" s="2"/>
      <c r="P1239" s="2"/>
      <c r="Q1239" s="2"/>
      <c r="R1239" s="2"/>
      <c r="S1239" s="2"/>
      <c r="T1239" s="2"/>
      <c r="U1239" s="2"/>
      <c r="V1239" s="2"/>
      <c r="W1239" s="2"/>
    </row>
    <row r="1240" spans="1:23" ht="29.1">
      <c r="B1240" s="522" t="s">
        <v>902</v>
      </c>
      <c r="C1240" s="522" t="s">
        <v>898</v>
      </c>
      <c r="D1240" s="522" t="s">
        <v>899</v>
      </c>
      <c r="E1240" s="719" t="s">
        <v>903</v>
      </c>
      <c r="F1240" s="522" t="s">
        <v>904</v>
      </c>
      <c r="G1240" s="522" t="s">
        <v>905</v>
      </c>
      <c r="H1240" s="756" t="s">
        <v>924</v>
      </c>
      <c r="I1240" s="756" t="s">
        <v>956</v>
      </c>
      <c r="J1240" s="756" t="s">
        <v>927</v>
      </c>
    </row>
    <row r="1241" spans="1:23">
      <c r="B1241" s="383" t="s">
        <v>585</v>
      </c>
      <c r="C1241" s="278" t="s">
        <v>464</v>
      </c>
      <c r="D1241" s="299" t="s">
        <v>2622</v>
      </c>
      <c r="E1241" s="299" t="s">
        <v>2978</v>
      </c>
      <c r="F1241" s="278" t="str" cm="1">
        <f t="array" ref="F1241">_xlfn.XLOOKUP(1,($D$1247:$D$1249=B1241)*($E$1247:$E$1249=C1241),$B$1247:$B$1249,"Not found",0,1)</f>
        <v>30-108</v>
      </c>
      <c r="G1241" s="311">
        <f>VLOOKUP(F1241,B1247:L1249,11,FALSE)</f>
        <v>-256.78769851772682</v>
      </c>
      <c r="H1241" s="1120">
        <f>$D$1207</f>
        <v>2.5714285714285698</v>
      </c>
      <c r="I1241" s="1178" t="s">
        <v>2640</v>
      </c>
      <c r="J1241" s="1178" t="s">
        <v>2994</v>
      </c>
    </row>
    <row r="1242" spans="1:23">
      <c r="B1242" s="334" t="s">
        <v>587</v>
      </c>
      <c r="C1242" s="278" t="s">
        <v>464</v>
      </c>
      <c r="D1242" s="299" t="s">
        <v>2622</v>
      </c>
      <c r="E1242" s="299" t="s">
        <v>2978</v>
      </c>
      <c r="F1242" s="278" t="str" cm="1">
        <f t="array" ref="F1242">_xlfn.XLOOKUP(1,($D$1247:$D$1249=B1242)*($E$1247:$E$1249=C1242),$B$1247:$B$1249,"Not found",0,1)</f>
        <v>30-109</v>
      </c>
      <c r="G1242" s="311">
        <f>VLOOKUP(F1242,B1248:L1250,11,FALSE)</f>
        <v>-192.5907738882951</v>
      </c>
      <c r="H1242" s="1121"/>
      <c r="I1242" s="1178"/>
      <c r="J1242" s="1178"/>
    </row>
    <row r="1243" spans="1:23">
      <c r="B1243" s="383" t="s">
        <v>588</v>
      </c>
      <c r="C1243" s="278" t="s">
        <v>464</v>
      </c>
      <c r="D1243" s="299" t="s">
        <v>2622</v>
      </c>
      <c r="E1243" s="299" t="s">
        <v>2978</v>
      </c>
      <c r="F1243" s="278" t="str" cm="1">
        <f t="array" ref="F1243">_xlfn.XLOOKUP(1,($D$1247:$D$1249=B1243)*($E$1247:$E$1249=C1243),$B$1247:$B$1249,"Not found",0,1)</f>
        <v>30-110</v>
      </c>
      <c r="G1243" s="311">
        <f>VLOOKUP(F1243,B1249:L1380,11,FALSE)</f>
        <v>-128.39384925886341</v>
      </c>
      <c r="H1243" s="1122"/>
      <c r="I1243" s="1178"/>
      <c r="J1243" s="1178"/>
    </row>
    <row r="1244" spans="1:23">
      <c r="B1244" s="18"/>
    </row>
    <row r="1245" spans="1:23" s="341" customFormat="1">
      <c r="A1245" s="725"/>
      <c r="B1245" s="726" t="s">
        <v>962</v>
      </c>
      <c r="C1245" s="725"/>
      <c r="D1245" s="725"/>
      <c r="E1245" s="725"/>
      <c r="F1245" s="725"/>
      <c r="G1245" s="725"/>
      <c r="H1245" s="725"/>
      <c r="I1245" s="725"/>
      <c r="J1245" s="725"/>
      <c r="K1245" s="2"/>
      <c r="L1245" s="2"/>
      <c r="M1245" s="2"/>
      <c r="N1245" s="2"/>
      <c r="O1245" s="2"/>
      <c r="P1245" s="2"/>
      <c r="Q1245" s="2"/>
      <c r="R1245" s="2"/>
      <c r="S1245" s="2"/>
      <c r="T1245" s="2"/>
      <c r="U1245" s="2"/>
      <c r="V1245" s="2"/>
      <c r="W1245" s="2"/>
    </row>
    <row r="1246" spans="1:23">
      <c r="B1246" s="277" t="s">
        <v>904</v>
      </c>
      <c r="C1246" s="277" t="s">
        <v>62</v>
      </c>
      <c r="D1246" s="277" t="s">
        <v>902</v>
      </c>
      <c r="E1246" s="277" t="s">
        <v>898</v>
      </c>
      <c r="F1246" s="277" t="s">
        <v>916</v>
      </c>
      <c r="G1246" s="277" t="s">
        <v>963</v>
      </c>
      <c r="H1246" s="277" t="s">
        <v>964</v>
      </c>
      <c r="I1246" s="277" t="s">
        <v>965</v>
      </c>
      <c r="J1246" s="277" t="s">
        <v>966</v>
      </c>
      <c r="K1246" s="277" t="s">
        <v>967</v>
      </c>
      <c r="L1246" s="277" t="s">
        <v>968</v>
      </c>
      <c r="M1246" s="277" t="s">
        <v>956</v>
      </c>
      <c r="N1246" s="277" t="s">
        <v>969</v>
      </c>
      <c r="O1246" s="277" t="s">
        <v>970</v>
      </c>
      <c r="P1246" s="277" t="s">
        <v>927</v>
      </c>
      <c r="Q1246" s="277" t="s">
        <v>913</v>
      </c>
      <c r="R1246" s="277" t="s">
        <v>914</v>
      </c>
      <c r="S1246" s="277" t="s">
        <v>915</v>
      </c>
      <c r="T1246" s="277" t="s">
        <v>916</v>
      </c>
      <c r="U1246" s="277" t="s">
        <v>1291</v>
      </c>
      <c r="V1246" s="277" t="s">
        <v>918</v>
      </c>
      <c r="W1246" s="277" t="s">
        <v>919</v>
      </c>
    </row>
    <row r="1247" spans="1:23">
      <c r="B1247" s="302" t="s">
        <v>2995</v>
      </c>
      <c r="C1247" s="278" t="s">
        <v>2645</v>
      </c>
      <c r="D1247" s="299" t="s">
        <v>585</v>
      </c>
      <c r="E1247" s="278" t="s">
        <v>464</v>
      </c>
      <c r="F1247" s="299">
        <f>$E$72</f>
        <v>2021</v>
      </c>
      <c r="G1247" s="278">
        <v>2021</v>
      </c>
      <c r="H1247" s="278">
        <f>'COMPANY INPUT'!$C$16</f>
        <v>2023</v>
      </c>
      <c r="I1247" s="278">
        <f>VLOOKUP(G1247,'GDP Deflators'!$H$13:$I$86,2,FALSE)</f>
        <v>88.789299999999997</v>
      </c>
      <c r="J1247" s="278">
        <f>VLOOKUP(H1247,'GDP Deflators'!$H$13:$I$86,2,FALSE)</f>
        <v>100</v>
      </c>
      <c r="K1247" s="297">
        <f>-C1217</f>
        <v>-228</v>
      </c>
      <c r="L1247" s="746">
        <f>K1247*(J1247/I1247)</f>
        <v>-256.78769851772682</v>
      </c>
      <c r="M1247" s="278" t="str">
        <f>$I$1241</f>
        <v>Based on B£ST</v>
      </c>
      <c r="N1247" s="326">
        <f>$H$1241</f>
        <v>2.5714285714285698</v>
      </c>
      <c r="O1247" s="278" t="s">
        <v>718</v>
      </c>
      <c r="P1247" s="278" t="str">
        <f>$J$1241</f>
        <v>Recent and UK Specific</v>
      </c>
      <c r="Q1247" s="299">
        <f t="shared" ref="Q1247:W1249" si="112">B$1197</f>
        <v>116</v>
      </c>
      <c r="R1247" s="299" t="str">
        <f t="shared" si="112"/>
        <v>Water UK / Stantec (2021) Storm overflow evidence project</v>
      </c>
      <c r="S1247" s="299" t="str">
        <f t="shared" si="112"/>
        <v>/</v>
      </c>
      <c r="T1247" s="299">
        <f t="shared" si="112"/>
        <v>2021</v>
      </c>
      <c r="U1247" s="299" t="str">
        <f t="shared" si="112"/>
        <v>UK</v>
      </c>
      <c r="V1247" s="299" t="str">
        <f t="shared" si="112"/>
        <v>UK</v>
      </c>
      <c r="W1247" s="299" t="str">
        <f t="shared" si="112"/>
        <v>/</v>
      </c>
    </row>
    <row r="1248" spans="1:23">
      <c r="B1248" s="302" t="s">
        <v>2996</v>
      </c>
      <c r="C1248" s="278" t="s">
        <v>2645</v>
      </c>
      <c r="D1248" s="334" t="s">
        <v>587</v>
      </c>
      <c r="E1248" s="278" t="s">
        <v>464</v>
      </c>
      <c r="F1248" s="299">
        <f>$E$72</f>
        <v>2021</v>
      </c>
      <c r="G1248" s="278">
        <v>2021</v>
      </c>
      <c r="H1248" s="278">
        <f>'COMPANY INPUT'!$C$16</f>
        <v>2023</v>
      </c>
      <c r="I1248" s="278">
        <f>VLOOKUP(G1248,'GDP Deflators'!$H$13:$I$86,2,FALSE)</f>
        <v>88.789299999999997</v>
      </c>
      <c r="J1248" s="278">
        <f>VLOOKUP(H1248,'GDP Deflators'!$H$13:$I$86,2,FALSE)</f>
        <v>100</v>
      </c>
      <c r="K1248" s="297">
        <f>-C1218</f>
        <v>-171</v>
      </c>
      <c r="L1248" s="746">
        <f>K1248*(J1248/I1248)</f>
        <v>-192.5907738882951</v>
      </c>
      <c r="M1248" s="278" t="str">
        <f>$I$1241</f>
        <v>Based on B£ST</v>
      </c>
      <c r="N1248" s="326">
        <f>$H$1241</f>
        <v>2.5714285714285698</v>
      </c>
      <c r="O1248" s="278" t="s">
        <v>718</v>
      </c>
      <c r="P1248" s="278" t="str">
        <f>$J$1241</f>
        <v>Recent and UK Specific</v>
      </c>
      <c r="Q1248" s="299">
        <f t="shared" si="112"/>
        <v>116</v>
      </c>
      <c r="R1248" s="299" t="str">
        <f t="shared" si="112"/>
        <v>Water UK / Stantec (2021) Storm overflow evidence project</v>
      </c>
      <c r="S1248" s="299" t="str">
        <f t="shared" si="112"/>
        <v>/</v>
      </c>
      <c r="T1248" s="299">
        <f t="shared" si="112"/>
        <v>2021</v>
      </c>
      <c r="U1248" s="299" t="str">
        <f t="shared" si="112"/>
        <v>UK</v>
      </c>
      <c r="V1248" s="299" t="str">
        <f t="shared" si="112"/>
        <v>UK</v>
      </c>
      <c r="W1248" s="299" t="str">
        <f t="shared" si="112"/>
        <v>/</v>
      </c>
    </row>
    <row r="1249" spans="1:23">
      <c r="B1249" s="302" t="s">
        <v>2997</v>
      </c>
      <c r="C1249" s="278" t="s">
        <v>2645</v>
      </c>
      <c r="D1249" s="299" t="s">
        <v>588</v>
      </c>
      <c r="E1249" s="278" t="s">
        <v>464</v>
      </c>
      <c r="F1249" s="299">
        <f>$E$72</f>
        <v>2021</v>
      </c>
      <c r="G1249" s="278">
        <v>2021</v>
      </c>
      <c r="H1249" s="278">
        <f>'COMPANY INPUT'!$C$16</f>
        <v>2023</v>
      </c>
      <c r="I1249" s="278">
        <f>VLOOKUP(G1249,'GDP Deflators'!$H$13:$I$86,2,FALSE)</f>
        <v>88.789299999999997</v>
      </c>
      <c r="J1249" s="278">
        <f>VLOOKUP(H1249,'GDP Deflators'!$H$13:$I$86,2,FALSE)</f>
        <v>100</v>
      </c>
      <c r="K1249" s="297">
        <f>-C1216</f>
        <v>-114</v>
      </c>
      <c r="L1249" s="746">
        <f>K1249*(J1249/I1249)</f>
        <v>-128.39384925886341</v>
      </c>
      <c r="M1249" s="278" t="str">
        <f>$I$1241</f>
        <v>Based on B£ST</v>
      </c>
      <c r="N1249" s="326">
        <f>$H$1241</f>
        <v>2.5714285714285698</v>
      </c>
      <c r="O1249" s="278" t="s">
        <v>718</v>
      </c>
      <c r="P1249" s="278" t="str">
        <f>$J$1241</f>
        <v>Recent and UK Specific</v>
      </c>
      <c r="Q1249" s="299">
        <f t="shared" si="112"/>
        <v>116</v>
      </c>
      <c r="R1249" s="299" t="str">
        <f t="shared" si="112"/>
        <v>Water UK / Stantec (2021) Storm overflow evidence project</v>
      </c>
      <c r="S1249" s="299" t="str">
        <f t="shared" si="112"/>
        <v>/</v>
      </c>
      <c r="T1249" s="299">
        <f t="shared" si="112"/>
        <v>2021</v>
      </c>
      <c r="U1249" s="299" t="str">
        <f t="shared" si="112"/>
        <v>UK</v>
      </c>
      <c r="V1249" s="299" t="str">
        <f t="shared" si="112"/>
        <v>UK</v>
      </c>
      <c r="W1249" s="299" t="str">
        <f t="shared" si="112"/>
        <v>/</v>
      </c>
    </row>
    <row r="1251" spans="1:23" s="341" customFormat="1">
      <c r="A1251" s="721"/>
      <c r="B1251" s="722" t="s">
        <v>465</v>
      </c>
      <c r="C1251" s="721"/>
      <c r="D1251" s="721"/>
      <c r="E1251" s="721"/>
      <c r="F1251" s="721"/>
      <c r="G1251" s="721"/>
      <c r="H1251" s="721"/>
      <c r="I1251" s="721"/>
      <c r="J1251" s="721"/>
      <c r="K1251" s="2"/>
      <c r="L1251" s="2"/>
      <c r="M1251" s="2"/>
      <c r="N1251" s="2"/>
      <c r="O1251" s="2"/>
      <c r="P1251" s="2"/>
      <c r="Q1251" s="2"/>
      <c r="R1251" s="2"/>
      <c r="S1251" s="2"/>
      <c r="T1251" s="2"/>
      <c r="U1251" s="2"/>
      <c r="V1251" s="2"/>
      <c r="W1251" s="2"/>
    </row>
    <row r="1252" spans="1:23" s="341" customFormat="1">
      <c r="A1252" s="727"/>
      <c r="B1252" s="729" t="s">
        <v>897</v>
      </c>
      <c r="C1252" s="727"/>
      <c r="D1252" s="727"/>
      <c r="E1252" s="727"/>
      <c r="F1252" s="727"/>
      <c r="G1252" s="727"/>
      <c r="H1252" s="727"/>
      <c r="I1252" s="727"/>
      <c r="J1252" s="727"/>
      <c r="K1252" s="2"/>
      <c r="L1252" s="2"/>
      <c r="M1252" s="2"/>
      <c r="N1252" s="2"/>
      <c r="O1252" s="2"/>
      <c r="P1252" s="2"/>
      <c r="Q1252" s="2"/>
      <c r="R1252" s="2"/>
      <c r="S1252" s="2"/>
      <c r="T1252" s="2"/>
      <c r="U1252" s="2"/>
      <c r="V1252" s="2"/>
      <c r="W1252" s="2"/>
    </row>
    <row r="1253" spans="1:23">
      <c r="B1253" s="277" t="s">
        <v>898</v>
      </c>
      <c r="C1253" s="277" t="s">
        <v>899</v>
      </c>
    </row>
    <row r="1254" spans="1:23">
      <c r="B1254" s="278" t="s">
        <v>465</v>
      </c>
      <c r="C1254" s="278" t="s">
        <v>2998</v>
      </c>
    </row>
    <row r="1255" spans="1:23">
      <c r="B1255" s="16"/>
    </row>
    <row r="1256" spans="1:23" s="341" customFormat="1">
      <c r="A1256" s="727"/>
      <c r="B1256" s="728" t="s">
        <v>2992</v>
      </c>
      <c r="C1256" s="727"/>
      <c r="D1256" s="727"/>
      <c r="E1256" s="727"/>
      <c r="F1256" s="727"/>
      <c r="G1256" s="727"/>
      <c r="H1256" s="727"/>
      <c r="I1256" s="727"/>
      <c r="J1256" s="727"/>
      <c r="K1256" s="2"/>
      <c r="L1256" s="2"/>
      <c r="M1256" s="2"/>
      <c r="N1256" s="2"/>
      <c r="O1256" s="2"/>
      <c r="P1256" s="2"/>
      <c r="Q1256" s="2"/>
      <c r="R1256" s="2"/>
      <c r="S1256" s="2"/>
      <c r="T1256" s="2"/>
      <c r="U1256" s="2"/>
      <c r="V1256" s="2"/>
      <c r="W1256" s="2"/>
    </row>
    <row r="1257" spans="1:23" s="341" customFormat="1">
      <c r="A1257" s="725"/>
      <c r="B1257" s="726" t="s">
        <v>912</v>
      </c>
      <c r="C1257" s="725"/>
      <c r="D1257" s="725"/>
      <c r="E1257" s="725"/>
      <c r="F1257" s="725"/>
      <c r="G1257" s="725"/>
      <c r="H1257" s="725"/>
      <c r="I1257" s="725"/>
      <c r="J1257" s="725"/>
      <c r="K1257" s="2"/>
      <c r="L1257" s="2"/>
      <c r="M1257" s="2"/>
      <c r="N1257" s="2"/>
      <c r="O1257" s="2"/>
      <c r="P1257" s="2"/>
      <c r="Q1257" s="2"/>
      <c r="R1257" s="2"/>
      <c r="S1257" s="2"/>
      <c r="T1257" s="2"/>
      <c r="U1257" s="2"/>
      <c r="V1257" s="2"/>
      <c r="W1257" s="2"/>
    </row>
    <row r="1258" spans="1:23" ht="29.1">
      <c r="B1258" s="719" t="s">
        <v>913</v>
      </c>
      <c r="C1258" s="719" t="s">
        <v>914</v>
      </c>
      <c r="D1258" s="719" t="s">
        <v>915</v>
      </c>
      <c r="E1258" s="719" t="s">
        <v>916</v>
      </c>
      <c r="F1258" s="719" t="s">
        <v>917</v>
      </c>
      <c r="G1258" s="719" t="s">
        <v>918</v>
      </c>
      <c r="H1258" s="719" t="s">
        <v>919</v>
      </c>
    </row>
    <row r="1259" spans="1:23">
      <c r="B1259" s="278">
        <v>116</v>
      </c>
      <c r="C1259" s="278" t="s">
        <v>2623</v>
      </c>
      <c r="D1259" s="279" t="s">
        <v>907</v>
      </c>
      <c r="E1259" s="278">
        <v>2021</v>
      </c>
      <c r="F1259" s="278" t="s">
        <v>1047</v>
      </c>
      <c r="G1259" s="278" t="s">
        <v>1047</v>
      </c>
      <c r="H1259" s="279" t="s">
        <v>907</v>
      </c>
    </row>
    <row r="1260" spans="1:23">
      <c r="B1260" s="16"/>
    </row>
    <row r="1261" spans="1:23" s="341" customFormat="1">
      <c r="A1261" s="725"/>
      <c r="B1261" s="726" t="s">
        <v>924</v>
      </c>
      <c r="C1261" s="725"/>
      <c r="D1261" s="725"/>
      <c r="E1261" s="725"/>
      <c r="F1261" s="725"/>
      <c r="G1261" s="725"/>
      <c r="H1261" s="725"/>
      <c r="I1261" s="725"/>
      <c r="J1261" s="725"/>
      <c r="K1261" s="2"/>
      <c r="L1261" s="2"/>
      <c r="M1261" s="2"/>
      <c r="N1261" s="2"/>
      <c r="O1261" s="2"/>
      <c r="P1261" s="2"/>
      <c r="Q1261" s="2"/>
      <c r="R1261" s="2"/>
      <c r="S1261" s="2"/>
      <c r="T1261" s="2"/>
      <c r="U1261" s="2"/>
      <c r="V1261" s="2"/>
      <c r="W1261" s="2"/>
    </row>
    <row r="1262" spans="1:23">
      <c r="B1262" s="277" t="s">
        <v>165</v>
      </c>
      <c r="C1262" s="277" t="s">
        <v>925</v>
      </c>
      <c r="D1262" s="277" t="s">
        <v>926</v>
      </c>
      <c r="E1262" s="1134" t="s">
        <v>953</v>
      </c>
      <c r="F1262" s="1134"/>
      <c r="G1262" s="1134"/>
      <c r="H1262" s="1134"/>
      <c r="I1262" s="1134"/>
      <c r="J1262" s="1134"/>
    </row>
    <row r="1263" spans="1:23">
      <c r="B1263" s="278" t="s">
        <v>169</v>
      </c>
      <c r="C1263" s="278" t="s">
        <v>167</v>
      </c>
      <c r="D1263" s="278">
        <f>VLOOKUP(C1263,METHODOLOGY!$C$175:$D$177,2,FALSE)</f>
        <v>2</v>
      </c>
      <c r="E1263" s="1087" t="str">
        <f>_xlfn.XLOOKUP(C1263,METHODOLOGY!$E$150:$O$150,METHODOLOGY!$E$151:$O$151,"",0,1)</f>
        <v>The monetary values are recommended / referenced in other, well recognised and accepted guidance / tools relevant to another sector.</v>
      </c>
      <c r="F1263" s="1087"/>
      <c r="G1263" s="1087"/>
      <c r="H1263" s="1087"/>
      <c r="I1263" s="1087"/>
      <c r="J1263" s="1087"/>
    </row>
    <row r="1264" spans="1:23">
      <c r="B1264" s="278" t="s">
        <v>173</v>
      </c>
      <c r="C1264" s="278" t="s">
        <v>166</v>
      </c>
      <c r="D1264" s="278">
        <f>VLOOKUP(C1264,METHODOLOGY!$C$175:$D$177,2,FALSE)</f>
        <v>3</v>
      </c>
      <c r="E1264" s="1087" t="str">
        <f>_xlfn.XLOOKUP(C1264,METHODOLOGY!$E$150:$O$150,METHODOLOGY!$E$155:$O$155,"",0,1)</f>
        <v>Study has few limitations and is considered robust.</v>
      </c>
      <c r="F1264" s="1087"/>
      <c r="G1264" s="1087"/>
      <c r="H1264" s="1087"/>
      <c r="I1264" s="1087"/>
      <c r="J1264" s="1087"/>
    </row>
    <row r="1265" spans="1:23">
      <c r="B1265" s="278" t="s">
        <v>177</v>
      </c>
      <c r="C1265" s="278" t="s">
        <v>166</v>
      </c>
      <c r="D1265" s="278">
        <f>VLOOKUP(C1265,METHODOLOGY!$C$175:$D$177,2,FALSE)</f>
        <v>3</v>
      </c>
      <c r="E1265" s="1087" t="str">
        <f>_xlfn.XLOOKUP(C1265,METHODOLOGY!$E$150:$O$150,METHODOLOGY!$E$158:$O$158,"",0,1)</f>
        <v>0 – 5 years</v>
      </c>
      <c r="F1265" s="1087"/>
      <c r="G1265" s="1087"/>
      <c r="H1265" s="1087"/>
      <c r="I1265" s="1087"/>
      <c r="J1265" s="1087"/>
    </row>
    <row r="1266" spans="1:23">
      <c r="B1266" s="278" t="s">
        <v>181</v>
      </c>
      <c r="C1266" s="278" t="s">
        <v>166</v>
      </c>
      <c r="D1266" s="278">
        <f>VLOOKUP(C1266,METHODOLOGY!$C$175:$D$177,2,FALSE)</f>
        <v>3</v>
      </c>
      <c r="E1266" s="1087" t="str">
        <f>_xlfn.XLOOKUP(C1266,METHODOLOGY!$E$150:$O$150,METHODOLOGY!$E$160:$O$160,"",0,1)</f>
        <v>Geographically relevant to UK</v>
      </c>
      <c r="F1266" s="1087"/>
      <c r="G1266" s="1087"/>
      <c r="H1266" s="1087"/>
      <c r="I1266" s="1087"/>
      <c r="J1266" s="1087"/>
    </row>
    <row r="1267" spans="1:23">
      <c r="B1267" s="278" t="s">
        <v>928</v>
      </c>
      <c r="C1267" s="278" t="s">
        <v>166</v>
      </c>
      <c r="D1267" s="278">
        <f>VLOOKUP(C1267,METHODOLOGY!$C$175:$D$177,2,FALSE)</f>
        <v>3</v>
      </c>
      <c r="E1267" s="1087" t="str">
        <f>_xlfn.XLOOKUP(C1267,METHODOLOGY!$E$150:$O$150,METHODOLOGY!$E162:$O162,"",0,1)</f>
        <v>Clear understanding of the valuation method and how the value should be applied.</v>
      </c>
      <c r="F1267" s="1087"/>
      <c r="G1267" s="1087"/>
      <c r="H1267" s="1087"/>
      <c r="I1267" s="1087"/>
      <c r="J1267" s="1087"/>
    </row>
    <row r="1268" spans="1:23">
      <c r="B1268" s="278" t="s">
        <v>189</v>
      </c>
      <c r="C1268" s="278" t="s">
        <v>167</v>
      </c>
      <c r="D1268" s="278">
        <f>VLOOKUP(C1268,METHODOLOGY!$C$175:$D$177,2,FALSE)</f>
        <v>2</v>
      </c>
      <c r="E1268" s="1087" t="str">
        <f>_xlfn.XLOOKUP(C1268,METHODOLOGY!$E$150:$O$150,METHODOLOGY!$E$164:$O$164,"",0,1)</f>
        <v xml:space="preserve">The original valuation can be used with some modification e.g. applying household numbers. The calculation is simple or introduces low levels of uncertainty. </v>
      </c>
      <c r="F1268" s="1087"/>
      <c r="G1268" s="1087"/>
      <c r="H1268" s="1087"/>
      <c r="I1268" s="1087"/>
      <c r="J1268" s="1087"/>
    </row>
    <row r="1269" spans="1:23">
      <c r="C1269" s="282" t="s">
        <v>924</v>
      </c>
      <c r="D1269" s="326">
        <f>IF(AND(D1268=1,AVERAGE(D1263:D1268)&gt;2.14285714285714),2.14285714285714,IF(AND(D1268=2,AVERAGE(D1263:D1268)&gt;2.57142857142857),2.57142857142857,AVERAGE(D1263:D1268)))</f>
        <v>2.5714285714285698</v>
      </c>
      <c r="E1269" s="270" t="str">
        <f>IF(D1269&lt;=2.14285714285714,"Red",IF(D1269&lt;=2.57142857142857,"Amber",IF(D1269&lt;=3,"Green")))</f>
        <v>Amber</v>
      </c>
    </row>
    <row r="1271" spans="1:23" s="341" customFormat="1">
      <c r="A1271" s="725"/>
      <c r="B1271" s="726" t="s">
        <v>929</v>
      </c>
      <c r="C1271" s="725"/>
      <c r="D1271" s="725"/>
      <c r="E1271" s="725"/>
      <c r="F1271" s="725"/>
      <c r="G1271" s="725"/>
      <c r="H1271" s="725"/>
      <c r="I1271" s="725"/>
      <c r="J1271" s="725"/>
      <c r="K1271" s="2"/>
      <c r="L1271" s="2"/>
      <c r="M1271" s="2"/>
      <c r="N1271" s="2"/>
      <c r="O1271" s="2"/>
      <c r="P1271" s="2"/>
      <c r="Q1271" s="2"/>
      <c r="R1271" s="2"/>
      <c r="S1271" s="2"/>
      <c r="T1271" s="2"/>
      <c r="U1271" s="2"/>
      <c r="V1271" s="2"/>
      <c r="W1271" s="2"/>
    </row>
    <row r="1272" spans="1:23">
      <c r="B1272" s="277" t="s">
        <v>913</v>
      </c>
      <c r="C1272" s="277" t="s">
        <v>902</v>
      </c>
      <c r="D1272" s="277" t="s">
        <v>331</v>
      </c>
      <c r="E1272" s="277" t="s">
        <v>226</v>
      </c>
      <c r="F1272" s="1128" t="s">
        <v>930</v>
      </c>
      <c r="G1272" s="1129"/>
      <c r="H1272" s="1129"/>
      <c r="I1272" s="1129"/>
      <c r="J1272" s="1130"/>
    </row>
    <row r="1273" spans="1:23" s="341" customFormat="1" ht="15" customHeight="1">
      <c r="A1273" s="2"/>
      <c r="B1273" s="1387">
        <v>116</v>
      </c>
      <c r="C1273" s="278" t="s">
        <v>2624</v>
      </c>
      <c r="D1273" s="278">
        <v>2355</v>
      </c>
      <c r="E1273" s="394" t="s">
        <v>2625</v>
      </c>
      <c r="F1273" s="1095" t="s">
        <v>2999</v>
      </c>
      <c r="G1273" s="1095"/>
      <c r="H1273" s="1095"/>
      <c r="I1273" s="1095"/>
      <c r="J1273" s="1095"/>
      <c r="K1273" s="2"/>
      <c r="L1273" s="2"/>
      <c r="M1273" s="2"/>
      <c r="N1273" s="2"/>
      <c r="O1273" s="2"/>
      <c r="P1273" s="2"/>
      <c r="Q1273" s="2"/>
      <c r="R1273" s="2"/>
      <c r="S1273" s="2"/>
      <c r="T1273" s="2"/>
      <c r="U1273" s="2"/>
      <c r="V1273" s="2"/>
      <c r="W1273" s="2"/>
    </row>
    <row r="1274" spans="1:23" s="341" customFormat="1">
      <c r="A1274" s="2"/>
      <c r="B1274" s="1388"/>
      <c r="C1274" s="278" t="s">
        <v>2627</v>
      </c>
      <c r="D1274" s="278">
        <v>6280</v>
      </c>
      <c r="E1274" s="394" t="s">
        <v>2625</v>
      </c>
      <c r="F1274" s="1095"/>
      <c r="G1274" s="1095"/>
      <c r="H1274" s="1095"/>
      <c r="I1274" s="1095"/>
      <c r="J1274" s="1095"/>
      <c r="K1274" s="2"/>
      <c r="L1274" s="2"/>
      <c r="M1274" s="2"/>
      <c r="N1274" s="2"/>
      <c r="O1274" s="2"/>
      <c r="P1274" s="2"/>
      <c r="Q1274" s="2"/>
      <c r="R1274" s="2"/>
      <c r="S1274" s="2"/>
      <c r="T1274" s="2"/>
      <c r="U1274" s="2"/>
      <c r="V1274" s="2"/>
      <c r="W1274" s="2"/>
    </row>
    <row r="1276" spans="1:23" s="341" customFormat="1">
      <c r="A1276" s="725"/>
      <c r="B1276" s="726" t="s">
        <v>936</v>
      </c>
      <c r="C1276" s="725"/>
      <c r="D1276" s="725"/>
      <c r="E1276" s="725"/>
      <c r="F1276" s="725"/>
      <c r="G1276" s="725"/>
      <c r="H1276" s="725"/>
      <c r="I1276" s="725"/>
      <c r="J1276" s="725"/>
      <c r="K1276" s="2"/>
      <c r="L1276" s="2"/>
      <c r="M1276" s="2"/>
      <c r="N1276" s="2"/>
      <c r="O1276" s="2"/>
      <c r="P1276" s="2"/>
      <c r="Q1276" s="2"/>
      <c r="R1276" s="2"/>
      <c r="S1276" s="2"/>
      <c r="T1276" s="2"/>
      <c r="U1276" s="2"/>
      <c r="V1276" s="2"/>
      <c r="W1276" s="2"/>
    </row>
    <row r="1277" spans="1:23">
      <c r="B1277" s="298" t="s">
        <v>902</v>
      </c>
      <c r="C1277" s="298" t="s">
        <v>2628</v>
      </c>
      <c r="D1277" s="1170" t="s">
        <v>930</v>
      </c>
      <c r="E1277" s="1170"/>
      <c r="F1277" s="1170"/>
    </row>
    <row r="1278" spans="1:23">
      <c r="B1278" s="383" t="s">
        <v>2624</v>
      </c>
      <c r="C1278" s="604">
        <f>D1273</f>
        <v>2355</v>
      </c>
      <c r="D1278" s="1105" t="s">
        <v>2629</v>
      </c>
      <c r="E1278" s="1105"/>
      <c r="F1278" s="1105"/>
    </row>
    <row r="1279" spans="1:23">
      <c r="B1279" s="383" t="s">
        <v>2627</v>
      </c>
      <c r="C1279" s="604">
        <f>D1274</f>
        <v>6280</v>
      </c>
      <c r="D1279" s="1105"/>
      <c r="E1279" s="1105"/>
      <c r="F1279" s="1105"/>
    </row>
    <row r="1280" spans="1:23">
      <c r="B1280" s="334" t="s">
        <v>2630</v>
      </c>
      <c r="C1280" s="511">
        <f>AVERAGE(C1278:C1279)</f>
        <v>4317.5</v>
      </c>
      <c r="D1280" s="1095" t="s">
        <v>2631</v>
      </c>
      <c r="E1280" s="1095"/>
      <c r="F1280" s="1095"/>
    </row>
    <row r="1301" spans="1:23" s="341" customFormat="1">
      <c r="A1301" s="727"/>
      <c r="B1301" s="728" t="s">
        <v>901</v>
      </c>
      <c r="C1301" s="727"/>
      <c r="D1301" s="727"/>
      <c r="E1301" s="727"/>
      <c r="F1301" s="727"/>
      <c r="G1301" s="727"/>
      <c r="H1301" s="727"/>
      <c r="I1301" s="727"/>
      <c r="J1301" s="727"/>
      <c r="K1301" s="2"/>
      <c r="L1301" s="2"/>
      <c r="M1301" s="2"/>
      <c r="N1301" s="2"/>
      <c r="O1301" s="2"/>
      <c r="P1301" s="2"/>
      <c r="Q1301" s="2"/>
      <c r="R1301" s="2"/>
      <c r="S1301" s="2"/>
      <c r="T1301" s="2"/>
      <c r="U1301" s="2"/>
      <c r="V1301" s="2"/>
      <c r="W1301" s="2"/>
    </row>
    <row r="1302" spans="1:23" ht="29.1">
      <c r="B1302" s="277" t="s">
        <v>902</v>
      </c>
      <c r="C1302" s="277" t="s">
        <v>898</v>
      </c>
      <c r="D1302" s="277" t="s">
        <v>899</v>
      </c>
      <c r="E1302" s="298" t="s">
        <v>903</v>
      </c>
      <c r="F1302" s="277" t="s">
        <v>904</v>
      </c>
      <c r="G1302" s="277" t="s">
        <v>905</v>
      </c>
      <c r="H1302" s="277" t="s">
        <v>924</v>
      </c>
      <c r="I1302" s="277" t="s">
        <v>956</v>
      </c>
      <c r="J1302" s="277" t="s">
        <v>927</v>
      </c>
    </row>
    <row r="1303" spans="1:23">
      <c r="B1303" s="383" t="s">
        <v>585</v>
      </c>
      <c r="C1303" s="278" t="s">
        <v>465</v>
      </c>
      <c r="D1303" s="278" t="s">
        <v>2998</v>
      </c>
      <c r="E1303" s="299" t="s">
        <v>3000</v>
      </c>
      <c r="F1303" s="278" t="str" cm="1">
        <f t="array" ref="F1303">_xlfn.XLOOKUP(1,($D$1309:$D$1311=B1303)*($E$1309:$E$1311=C1303),$B$1309:$B$1311,"Not found",0,1)</f>
        <v>30-108</v>
      </c>
      <c r="G1303" s="300">
        <f>VLOOKUP(F1303,B1309:L1311,11,FALSE)</f>
        <v>-7072.9243275935287</v>
      </c>
      <c r="H1303" s="1120">
        <f>$D$1269</f>
        <v>2.5714285714285698</v>
      </c>
      <c r="I1303" s="1178" t="s">
        <v>2640</v>
      </c>
      <c r="J1303" s="1178" t="s">
        <v>2994</v>
      </c>
    </row>
    <row r="1304" spans="1:23">
      <c r="B1304" s="334" t="s">
        <v>587</v>
      </c>
      <c r="C1304" s="278" t="s">
        <v>465</v>
      </c>
      <c r="D1304" s="278" t="s">
        <v>2998</v>
      </c>
      <c r="E1304" s="299" t="s">
        <v>3000</v>
      </c>
      <c r="F1304" s="278" t="str" cm="1">
        <f t="array" ref="F1304">_xlfn.XLOOKUP(1,($D$1309:$D$1311=B1304)*($E$1309:$E$1311=C1304),$B$1309:$B$1311,"Not found",0,1)</f>
        <v>30-109</v>
      </c>
      <c r="G1304" s="300">
        <f>VLOOKUP(F1304,B1310:L1312,11,FALSE)</f>
        <v>-4862.6354752205507</v>
      </c>
      <c r="H1304" s="1121"/>
      <c r="I1304" s="1178"/>
      <c r="J1304" s="1178"/>
    </row>
    <row r="1305" spans="1:23">
      <c r="B1305" s="383" t="s">
        <v>588</v>
      </c>
      <c r="C1305" s="278" t="s">
        <v>465</v>
      </c>
      <c r="D1305" s="278" t="s">
        <v>2998</v>
      </c>
      <c r="E1305" s="299" t="s">
        <v>3000</v>
      </c>
      <c r="F1305" s="278" t="str" cm="1">
        <f t="array" ref="F1305">_xlfn.XLOOKUP(1,($D$1309:$D$1311=B1305)*($E$1309:$E$1311=C1305),$B$1309:$B$1311,"Not found",0,1)</f>
        <v>30-110</v>
      </c>
      <c r="G1305" s="300">
        <f>VLOOKUP(F1305,B1311:L1435,11,FALSE)</f>
        <v>-2652.3466228475731</v>
      </c>
      <c r="H1305" s="1122"/>
      <c r="I1305" s="1178"/>
      <c r="J1305" s="1178"/>
    </row>
    <row r="1306" spans="1:23">
      <c r="B1306" s="18"/>
    </row>
    <row r="1307" spans="1:23" s="341" customFormat="1">
      <c r="A1307" s="725"/>
      <c r="B1307" s="726" t="s">
        <v>962</v>
      </c>
      <c r="C1307" s="725"/>
      <c r="D1307" s="725"/>
      <c r="E1307" s="725"/>
      <c r="F1307" s="725"/>
      <c r="G1307" s="725"/>
      <c r="H1307" s="725"/>
      <c r="I1307" s="725"/>
      <c r="J1307" s="725"/>
      <c r="K1307" s="2"/>
      <c r="L1307" s="2"/>
      <c r="M1307" s="2"/>
      <c r="N1307" s="2"/>
      <c r="O1307" s="2"/>
      <c r="P1307" s="2"/>
      <c r="Q1307" s="2"/>
      <c r="R1307" s="2"/>
      <c r="S1307" s="2"/>
      <c r="T1307" s="2"/>
      <c r="U1307" s="2"/>
      <c r="V1307" s="2"/>
      <c r="W1307" s="2"/>
    </row>
    <row r="1308" spans="1:23">
      <c r="B1308" s="277" t="s">
        <v>904</v>
      </c>
      <c r="C1308" s="277" t="s">
        <v>62</v>
      </c>
      <c r="D1308" s="277" t="s">
        <v>902</v>
      </c>
      <c r="E1308" s="277" t="s">
        <v>898</v>
      </c>
      <c r="F1308" s="277" t="s">
        <v>916</v>
      </c>
      <c r="G1308" s="277" t="s">
        <v>963</v>
      </c>
      <c r="H1308" s="277" t="s">
        <v>964</v>
      </c>
      <c r="I1308" s="277" t="s">
        <v>965</v>
      </c>
      <c r="J1308" s="277" t="s">
        <v>966</v>
      </c>
      <c r="K1308" s="277" t="s">
        <v>967</v>
      </c>
      <c r="L1308" s="277" t="s">
        <v>968</v>
      </c>
      <c r="M1308" s="277" t="s">
        <v>956</v>
      </c>
      <c r="N1308" s="277" t="s">
        <v>969</v>
      </c>
      <c r="O1308" s="277" t="s">
        <v>970</v>
      </c>
      <c r="P1308" s="277" t="s">
        <v>927</v>
      </c>
      <c r="Q1308" s="277" t="s">
        <v>913</v>
      </c>
      <c r="R1308" s="277" t="s">
        <v>914</v>
      </c>
      <c r="S1308" s="277" t="s">
        <v>915</v>
      </c>
      <c r="T1308" s="277" t="s">
        <v>916</v>
      </c>
      <c r="U1308" s="277" t="s">
        <v>1291</v>
      </c>
      <c r="V1308" s="277" t="s">
        <v>918</v>
      </c>
      <c r="W1308" s="277" t="s">
        <v>919</v>
      </c>
    </row>
    <row r="1309" spans="1:23">
      <c r="B1309" s="302" t="s">
        <v>2995</v>
      </c>
      <c r="C1309" s="278" t="s">
        <v>2645</v>
      </c>
      <c r="D1309" s="299" t="s">
        <v>585</v>
      </c>
      <c r="E1309" s="278" t="s">
        <v>465</v>
      </c>
      <c r="F1309" s="299">
        <f>$E$72</f>
        <v>2021</v>
      </c>
      <c r="G1309" s="278">
        <v>2021</v>
      </c>
      <c r="H1309" s="278">
        <f>'COMPANY INPUT'!$C$16</f>
        <v>2023</v>
      </c>
      <c r="I1309" s="278">
        <f>VLOOKUP(G1309,'GDP Deflators'!$H$13:$I$86,2,FALSE)</f>
        <v>88.789299999999997</v>
      </c>
      <c r="J1309" s="278">
        <f>VLOOKUP(H1309,'GDP Deflators'!$H$13:$I$86,2,FALSE)</f>
        <v>100</v>
      </c>
      <c r="K1309" s="297">
        <f>-C1279</f>
        <v>-6280</v>
      </c>
      <c r="L1309" s="746">
        <f>K1309*(J1309/I1309)</f>
        <v>-7072.9243275935287</v>
      </c>
      <c r="M1309" s="278" t="str">
        <f>$I$1303</f>
        <v>Based on B£ST</v>
      </c>
      <c r="N1309" s="326">
        <f>$H$1303</f>
        <v>2.5714285714285698</v>
      </c>
      <c r="O1309" s="278" t="s">
        <v>718</v>
      </c>
      <c r="P1309" s="278" t="str">
        <f>$J$1303</f>
        <v>Recent and UK Specific</v>
      </c>
      <c r="Q1309" s="299">
        <f t="shared" ref="Q1309:W1311" si="113">B$1197</f>
        <v>116</v>
      </c>
      <c r="R1309" s="299" t="str">
        <f t="shared" si="113"/>
        <v>Water UK / Stantec (2021) Storm overflow evidence project</v>
      </c>
      <c r="S1309" s="299" t="str">
        <f t="shared" si="113"/>
        <v>/</v>
      </c>
      <c r="T1309" s="299">
        <f t="shared" si="113"/>
        <v>2021</v>
      </c>
      <c r="U1309" s="299" t="str">
        <f t="shared" si="113"/>
        <v>UK</v>
      </c>
      <c r="V1309" s="299" t="str">
        <f t="shared" si="113"/>
        <v>UK</v>
      </c>
      <c r="W1309" s="299" t="str">
        <f t="shared" si="113"/>
        <v>/</v>
      </c>
    </row>
    <row r="1310" spans="1:23">
      <c r="B1310" s="302" t="s">
        <v>2996</v>
      </c>
      <c r="C1310" s="278" t="s">
        <v>2645</v>
      </c>
      <c r="D1310" s="334" t="s">
        <v>587</v>
      </c>
      <c r="E1310" s="278" t="s">
        <v>465</v>
      </c>
      <c r="F1310" s="299">
        <f>$E$72</f>
        <v>2021</v>
      </c>
      <c r="G1310" s="278">
        <v>2021</v>
      </c>
      <c r="H1310" s="278">
        <f>'COMPANY INPUT'!$C$16</f>
        <v>2023</v>
      </c>
      <c r="I1310" s="278">
        <f>VLOOKUP(G1310,'GDP Deflators'!$H$13:$I$86,2,FALSE)</f>
        <v>88.789299999999997</v>
      </c>
      <c r="J1310" s="278">
        <f>VLOOKUP(H1310,'GDP Deflators'!$H$13:$I$86,2,FALSE)</f>
        <v>100</v>
      </c>
      <c r="K1310" s="297">
        <f>-C1280</f>
        <v>-4317.5</v>
      </c>
      <c r="L1310" s="746">
        <f>K1310*(J1310/I1310)</f>
        <v>-4862.6354752205507</v>
      </c>
      <c r="M1310" s="278" t="str">
        <f>$I$1303</f>
        <v>Based on B£ST</v>
      </c>
      <c r="N1310" s="326">
        <f>$H$1303</f>
        <v>2.5714285714285698</v>
      </c>
      <c r="O1310" s="278" t="s">
        <v>718</v>
      </c>
      <c r="P1310" s="278" t="str">
        <f>$J$1303</f>
        <v>Recent and UK Specific</v>
      </c>
      <c r="Q1310" s="299">
        <f t="shared" si="113"/>
        <v>116</v>
      </c>
      <c r="R1310" s="299" t="str">
        <f t="shared" si="113"/>
        <v>Water UK / Stantec (2021) Storm overflow evidence project</v>
      </c>
      <c r="S1310" s="299" t="str">
        <f t="shared" si="113"/>
        <v>/</v>
      </c>
      <c r="T1310" s="299">
        <f t="shared" si="113"/>
        <v>2021</v>
      </c>
      <c r="U1310" s="299" t="str">
        <f t="shared" si="113"/>
        <v>UK</v>
      </c>
      <c r="V1310" s="299" t="str">
        <f t="shared" si="113"/>
        <v>UK</v>
      </c>
      <c r="W1310" s="299" t="str">
        <f t="shared" si="113"/>
        <v>/</v>
      </c>
    </row>
    <row r="1311" spans="1:23">
      <c r="B1311" s="302" t="s">
        <v>2997</v>
      </c>
      <c r="C1311" s="278" t="s">
        <v>2645</v>
      </c>
      <c r="D1311" s="299" t="s">
        <v>588</v>
      </c>
      <c r="E1311" s="278" t="s">
        <v>465</v>
      </c>
      <c r="F1311" s="299">
        <f>$E$72</f>
        <v>2021</v>
      </c>
      <c r="G1311" s="278">
        <v>2021</v>
      </c>
      <c r="H1311" s="278">
        <f>'COMPANY INPUT'!$C$16</f>
        <v>2023</v>
      </c>
      <c r="I1311" s="278">
        <f>VLOOKUP(G1311,'GDP Deflators'!$H$13:$I$86,2,FALSE)</f>
        <v>88.789299999999997</v>
      </c>
      <c r="J1311" s="278">
        <f>VLOOKUP(H1311,'GDP Deflators'!$H$13:$I$86,2,FALSE)</f>
        <v>100</v>
      </c>
      <c r="K1311" s="297">
        <f>-C1278</f>
        <v>-2355</v>
      </c>
      <c r="L1311" s="746">
        <f>K1311*(J1311/I1311)</f>
        <v>-2652.3466228475731</v>
      </c>
      <c r="M1311" s="278" t="str">
        <f>$I$1303</f>
        <v>Based on B£ST</v>
      </c>
      <c r="N1311" s="326">
        <f>$H$1303</f>
        <v>2.5714285714285698</v>
      </c>
      <c r="O1311" s="278" t="s">
        <v>718</v>
      </c>
      <c r="P1311" s="278" t="str">
        <f>$J$1303</f>
        <v>Recent and UK Specific</v>
      </c>
      <c r="Q1311" s="299">
        <f t="shared" si="113"/>
        <v>116</v>
      </c>
      <c r="R1311" s="299" t="str">
        <f t="shared" si="113"/>
        <v>Water UK / Stantec (2021) Storm overflow evidence project</v>
      </c>
      <c r="S1311" s="299" t="str">
        <f t="shared" si="113"/>
        <v>/</v>
      </c>
      <c r="T1311" s="299">
        <f t="shared" si="113"/>
        <v>2021</v>
      </c>
      <c r="U1311" s="299" t="str">
        <f t="shared" si="113"/>
        <v>UK</v>
      </c>
      <c r="V1311" s="299" t="str">
        <f t="shared" si="113"/>
        <v>UK</v>
      </c>
      <c r="W1311" s="299" t="str">
        <f t="shared" si="113"/>
        <v>/</v>
      </c>
    </row>
    <row r="1313" spans="1:23" s="341" customFormat="1">
      <c r="A1313" s="721"/>
      <c r="B1313" s="722" t="s">
        <v>3001</v>
      </c>
      <c r="C1313" s="721"/>
      <c r="D1313" s="721"/>
      <c r="E1313" s="721"/>
      <c r="F1313" s="721"/>
      <c r="G1313" s="721"/>
      <c r="H1313" s="721"/>
      <c r="I1313" s="721"/>
      <c r="J1313" s="721"/>
      <c r="K1313" s="2"/>
      <c r="L1313" s="2"/>
      <c r="M1313" s="2"/>
      <c r="N1313" s="2"/>
      <c r="O1313" s="2"/>
      <c r="P1313" s="2"/>
      <c r="Q1313" s="2"/>
      <c r="R1313" s="2"/>
      <c r="S1313" s="2"/>
      <c r="T1313" s="2"/>
      <c r="U1313" s="2"/>
      <c r="V1313" s="2"/>
      <c r="W1313" s="2"/>
    </row>
    <row r="1314" spans="1:23" s="341" customFormat="1">
      <c r="A1314" s="727"/>
      <c r="B1314" s="729" t="s">
        <v>897</v>
      </c>
      <c r="C1314" s="727"/>
      <c r="D1314" s="727"/>
      <c r="E1314" s="727"/>
      <c r="F1314" s="727"/>
      <c r="G1314" s="727"/>
      <c r="H1314" s="727"/>
      <c r="I1314" s="727"/>
      <c r="J1314" s="727"/>
      <c r="K1314" s="2"/>
      <c r="L1314" s="2"/>
      <c r="M1314" s="2"/>
      <c r="N1314" s="2"/>
      <c r="O1314" s="2"/>
      <c r="P1314" s="2"/>
      <c r="Q1314" s="2"/>
      <c r="R1314" s="2"/>
      <c r="S1314" s="2"/>
      <c r="T1314" s="2"/>
      <c r="U1314" s="2"/>
      <c r="V1314" s="2"/>
      <c r="W1314" s="2"/>
    </row>
    <row r="1315" spans="1:23">
      <c r="B1315" s="277" t="s">
        <v>898</v>
      </c>
      <c r="C1315" s="277" t="s">
        <v>899</v>
      </c>
    </row>
    <row r="1316" spans="1:23">
      <c r="B1316" s="278" t="s">
        <v>230</v>
      </c>
      <c r="C1316" s="278" t="s">
        <v>3001</v>
      </c>
    </row>
    <row r="1317" spans="1:23">
      <c r="B1317" s="16"/>
    </row>
    <row r="1318" spans="1:23" s="341" customFormat="1">
      <c r="A1318" s="727"/>
      <c r="B1318" s="728" t="s">
        <v>3002</v>
      </c>
      <c r="C1318" s="727"/>
      <c r="D1318" s="727"/>
      <c r="E1318" s="727"/>
      <c r="F1318" s="727"/>
      <c r="G1318" s="727"/>
      <c r="H1318" s="727"/>
      <c r="I1318" s="727"/>
      <c r="J1318" s="727"/>
      <c r="K1318" s="2"/>
      <c r="L1318" s="2"/>
      <c r="M1318" s="2"/>
      <c r="N1318" s="2"/>
      <c r="O1318" s="2"/>
      <c r="P1318" s="2"/>
      <c r="Q1318" s="2"/>
      <c r="R1318" s="2"/>
      <c r="S1318" s="2"/>
      <c r="T1318" s="2"/>
      <c r="U1318" s="2"/>
      <c r="V1318" s="2"/>
      <c r="W1318" s="2"/>
    </row>
    <row r="1319" spans="1:23" s="341" customFormat="1">
      <c r="A1319" s="725"/>
      <c r="B1319" s="726" t="s">
        <v>912</v>
      </c>
      <c r="C1319" s="725"/>
      <c r="D1319" s="725"/>
      <c r="E1319" s="725"/>
      <c r="F1319" s="725"/>
      <c r="G1319" s="725"/>
      <c r="H1319" s="725"/>
      <c r="I1319" s="725"/>
      <c r="J1319" s="725"/>
      <c r="K1319" s="2"/>
      <c r="L1319" s="2"/>
      <c r="M1319" s="2"/>
      <c r="N1319" s="2"/>
      <c r="O1319" s="2"/>
      <c r="P1319" s="2"/>
      <c r="Q1319" s="2"/>
      <c r="R1319" s="2"/>
      <c r="S1319" s="2"/>
      <c r="T1319" s="2"/>
      <c r="U1319" s="2"/>
      <c r="V1319" s="2"/>
      <c r="W1319" s="2"/>
    </row>
    <row r="1320" spans="1:23" ht="29.1">
      <c r="B1320" s="719" t="s">
        <v>913</v>
      </c>
      <c r="C1320" s="719" t="s">
        <v>914</v>
      </c>
      <c r="D1320" s="719" t="s">
        <v>915</v>
      </c>
      <c r="E1320" s="719" t="s">
        <v>916</v>
      </c>
      <c r="F1320" s="719" t="s">
        <v>917</v>
      </c>
      <c r="G1320" s="719" t="s">
        <v>918</v>
      </c>
      <c r="H1320" s="719" t="s">
        <v>919</v>
      </c>
    </row>
    <row r="1321" spans="1:23">
      <c r="B1321" s="278">
        <v>132</v>
      </c>
      <c r="C1321" s="278" t="s">
        <v>3003</v>
      </c>
      <c r="D1321" s="279" t="s">
        <v>907</v>
      </c>
      <c r="E1321" s="278">
        <v>2021</v>
      </c>
      <c r="F1321" s="278" t="s">
        <v>921</v>
      </c>
      <c r="G1321" s="278" t="s">
        <v>921</v>
      </c>
      <c r="H1321" s="279" t="s">
        <v>907</v>
      </c>
    </row>
    <row r="1322" spans="1:23">
      <c r="B1322" s="16"/>
    </row>
    <row r="1323" spans="1:23" s="341" customFormat="1">
      <c r="A1323" s="725"/>
      <c r="B1323" s="726" t="s">
        <v>924</v>
      </c>
      <c r="C1323" s="725"/>
      <c r="D1323" s="725"/>
      <c r="E1323" s="725"/>
      <c r="F1323" s="725"/>
      <c r="G1323" s="725"/>
      <c r="H1323" s="725"/>
      <c r="I1323" s="725"/>
      <c r="J1323" s="725"/>
      <c r="K1323" s="2"/>
      <c r="L1323" s="2"/>
      <c r="M1323" s="2"/>
      <c r="N1323" s="2"/>
      <c r="O1323" s="2"/>
      <c r="P1323" s="2"/>
      <c r="Q1323" s="2"/>
      <c r="R1323" s="2"/>
      <c r="S1323" s="2"/>
      <c r="T1323" s="2"/>
      <c r="U1323" s="2"/>
      <c r="V1323" s="2"/>
      <c r="W1323" s="2"/>
    </row>
    <row r="1324" spans="1:23">
      <c r="B1324" s="277" t="s">
        <v>165</v>
      </c>
      <c r="C1324" s="277" t="s">
        <v>925</v>
      </c>
      <c r="D1324" s="277" t="s">
        <v>926</v>
      </c>
      <c r="E1324" s="1134" t="s">
        <v>953</v>
      </c>
      <c r="F1324" s="1134"/>
      <c r="G1324" s="1134"/>
      <c r="H1324" s="1134"/>
      <c r="I1324" s="1134"/>
      <c r="J1324" s="1134"/>
    </row>
    <row r="1325" spans="1:23">
      <c r="B1325" s="278" t="s">
        <v>169</v>
      </c>
      <c r="C1325" s="278" t="s">
        <v>167</v>
      </c>
      <c r="D1325" s="278">
        <f>VLOOKUP(C1325,METHODOLOGY!$C$175:$D$177,2,FALSE)</f>
        <v>2</v>
      </c>
      <c r="E1325" s="1087" t="str">
        <f>_xlfn.XLOOKUP(C1325,METHODOLOGY!$E$150:$O$150,METHODOLOGY!$E$151:$O$151,"",0,1)</f>
        <v>The monetary values are recommended / referenced in other, well recognised and accepted guidance / tools relevant to another sector.</v>
      </c>
      <c r="F1325" s="1087"/>
      <c r="G1325" s="1087"/>
      <c r="H1325" s="1087"/>
      <c r="I1325" s="1087"/>
      <c r="J1325" s="1087"/>
    </row>
    <row r="1326" spans="1:23">
      <c r="B1326" s="278" t="s">
        <v>173</v>
      </c>
      <c r="C1326" s="278" t="s">
        <v>167</v>
      </c>
      <c r="D1326" s="278">
        <f>VLOOKUP(C1326,METHODOLOGY!$C$175:$D$177,2,FALSE)</f>
        <v>2</v>
      </c>
      <c r="E1326" s="1087" t="str">
        <f>_xlfn.XLOOKUP(C1326,METHODOLOGY!$E$150:$O$150,METHODOLOGY!$E$155:$O$155,"",0,1)</f>
        <v>Study has some limitations which may impact on the robustness of the value.</v>
      </c>
      <c r="F1326" s="1087"/>
      <c r="G1326" s="1087"/>
      <c r="H1326" s="1087"/>
      <c r="I1326" s="1087"/>
      <c r="J1326" s="1087"/>
    </row>
    <row r="1327" spans="1:23">
      <c r="B1327" s="278" t="s">
        <v>177</v>
      </c>
      <c r="C1327" s="278" t="s">
        <v>166</v>
      </c>
      <c r="D1327" s="278">
        <f>VLOOKUP(C1327,METHODOLOGY!$C$175:$D$177,2,FALSE)</f>
        <v>3</v>
      </c>
      <c r="E1327" s="1087" t="str">
        <f>_xlfn.XLOOKUP(C1327,METHODOLOGY!$E$150:$O$150,METHODOLOGY!$E$158:$O$158,"",0,1)</f>
        <v>0 – 5 years</v>
      </c>
      <c r="F1327" s="1087"/>
      <c r="G1327" s="1087"/>
      <c r="H1327" s="1087"/>
      <c r="I1327" s="1087"/>
      <c r="J1327" s="1087"/>
    </row>
    <row r="1328" spans="1:23">
      <c r="B1328" s="278" t="s">
        <v>181</v>
      </c>
      <c r="C1328" s="278" t="s">
        <v>166</v>
      </c>
      <c r="D1328" s="278">
        <f>VLOOKUP(C1328,METHODOLOGY!$C$175:$D$177,2,FALSE)</f>
        <v>3</v>
      </c>
      <c r="E1328" s="1087" t="str">
        <f>_xlfn.XLOOKUP(C1328,METHODOLOGY!$E$150:$O$150,METHODOLOGY!$E$160:$O$160,"",0,1)</f>
        <v>Geographically relevant to UK</v>
      </c>
      <c r="F1328" s="1087"/>
      <c r="G1328" s="1087"/>
      <c r="H1328" s="1087"/>
      <c r="I1328" s="1087"/>
      <c r="J1328" s="1087"/>
    </row>
    <row r="1329" spans="1:23">
      <c r="B1329" s="278" t="s">
        <v>928</v>
      </c>
      <c r="C1329" s="278" t="s">
        <v>166</v>
      </c>
      <c r="D1329" s="278">
        <f>VLOOKUP(C1329,METHODOLOGY!$C$175:$D$177,2,FALSE)</f>
        <v>3</v>
      </c>
      <c r="E1329" s="1087" t="str">
        <f>_xlfn.XLOOKUP(C1329,METHODOLOGY!$E$150:$O$150,METHODOLOGY!$E162:$O162,"",0,1)</f>
        <v>Clear understanding of the valuation method and how the value should be applied.</v>
      </c>
      <c r="F1329" s="1087"/>
      <c r="G1329" s="1087"/>
      <c r="H1329" s="1087"/>
      <c r="I1329" s="1087"/>
      <c r="J1329" s="1087"/>
    </row>
    <row r="1330" spans="1:23">
      <c r="B1330" s="278" t="s">
        <v>189</v>
      </c>
      <c r="C1330" s="278" t="s">
        <v>166</v>
      </c>
      <c r="D1330" s="278">
        <f>VLOOKUP(C1330,METHODOLOGY!$C$175:$D$177,2,FALSE)</f>
        <v>3</v>
      </c>
      <c r="E1330" s="1087" t="str">
        <f>_xlfn.XLOOKUP(C1330,METHODOLOGY!$E$150:$O$150,METHODOLOGY!$E$164:$O$164,"",0,1)</f>
        <v xml:space="preserve">The original valuation can be used with no or very simple modification e.g. change units from ha to km2, applying inflation. </v>
      </c>
      <c r="F1330" s="1087"/>
      <c r="G1330" s="1087"/>
      <c r="H1330" s="1087"/>
      <c r="I1330" s="1087"/>
      <c r="J1330" s="1087"/>
    </row>
    <row r="1331" spans="1:23">
      <c r="C1331" s="282" t="s">
        <v>924</v>
      </c>
      <c r="D1331" s="326">
        <f>IF(AND(D1330=1,AVERAGE(D1325:D1330)&gt;2.14285714285714),2.14285714285714,IF(AND(D1330=2,AVERAGE(D1325:D1330)&gt;2.57142857142857),2.57142857142857,AVERAGE(D1325:D1330)))</f>
        <v>2.6666666666666665</v>
      </c>
      <c r="E1331" s="270" t="str">
        <f>IF(D1331&lt;=2.14285714285714,"Red",IF(D1331&lt;=2.57142857142857,"Amber",IF(D1331&lt;=3,"Green")))</f>
        <v>Green</v>
      </c>
    </row>
    <row r="1333" spans="1:23" s="341" customFormat="1">
      <c r="A1333" s="725"/>
      <c r="B1333" s="726" t="s">
        <v>929</v>
      </c>
      <c r="C1333" s="725"/>
      <c r="D1333" s="725"/>
      <c r="E1333" s="725"/>
      <c r="F1333" s="725"/>
      <c r="G1333" s="725"/>
      <c r="H1333" s="725"/>
      <c r="I1333" s="725"/>
      <c r="J1333" s="725"/>
      <c r="K1333" s="2"/>
      <c r="L1333" s="2"/>
      <c r="M1333" s="2"/>
      <c r="N1333" s="2"/>
      <c r="O1333" s="2"/>
      <c r="P1333" s="2"/>
      <c r="Q1333" s="2"/>
      <c r="R1333" s="2"/>
      <c r="S1333" s="2"/>
      <c r="T1333" s="2"/>
      <c r="U1333" s="2"/>
      <c r="V1333" s="2"/>
      <c r="W1333" s="2"/>
    </row>
    <row r="1334" spans="1:23">
      <c r="B1334" s="277" t="s">
        <v>913</v>
      </c>
      <c r="C1334" s="277" t="s">
        <v>953</v>
      </c>
      <c r="D1334" s="277" t="s">
        <v>331</v>
      </c>
      <c r="E1334" s="277" t="s">
        <v>226</v>
      </c>
      <c r="F1334" s="1134" t="s">
        <v>930</v>
      </c>
      <c r="G1334" s="1134"/>
      <c r="H1334" s="1134"/>
      <c r="I1334" s="1134"/>
      <c r="J1334" s="1134"/>
    </row>
    <row r="1335" spans="1:23" s="341" customFormat="1" ht="15" customHeight="1">
      <c r="A1335" s="2"/>
      <c r="B1335" s="278">
        <v>132</v>
      </c>
      <c r="C1335" s="278" t="s">
        <v>3004</v>
      </c>
      <c r="D1335" s="387">
        <v>20000</v>
      </c>
      <c r="E1335" s="394" t="s">
        <v>3005</v>
      </c>
      <c r="F1335" s="1095" t="s">
        <v>3006</v>
      </c>
      <c r="G1335" s="1095"/>
      <c r="H1335" s="1095"/>
      <c r="I1335" s="1095"/>
      <c r="J1335" s="1095"/>
      <c r="K1335" s="2"/>
      <c r="L1335" s="2"/>
      <c r="M1335" s="2"/>
      <c r="N1335" s="2"/>
      <c r="O1335" s="2"/>
      <c r="P1335" s="2"/>
      <c r="Q1335" s="2"/>
      <c r="R1335" s="2"/>
      <c r="S1335" s="2"/>
      <c r="T1335" s="2"/>
      <c r="U1335" s="2"/>
      <c r="V1335" s="2"/>
      <c r="W1335" s="2"/>
    </row>
    <row r="1336" spans="1:23" s="341" customFormat="1">
      <c r="A1336" s="2"/>
      <c r="B1336" s="278"/>
      <c r="C1336" s="278" t="s">
        <v>3007</v>
      </c>
      <c r="D1336" s="387">
        <v>25000</v>
      </c>
      <c r="E1336" s="394" t="s">
        <v>3005</v>
      </c>
      <c r="F1336" s="1095"/>
      <c r="G1336" s="1095"/>
      <c r="H1336" s="1095"/>
      <c r="I1336" s="1095"/>
      <c r="J1336" s="1095"/>
      <c r="K1336" s="2"/>
      <c r="L1336" s="2"/>
      <c r="M1336" s="2"/>
      <c r="N1336" s="2"/>
      <c r="O1336" s="2"/>
      <c r="P1336" s="2"/>
      <c r="Q1336" s="2"/>
      <c r="R1336" s="2"/>
      <c r="S1336" s="2"/>
      <c r="T1336" s="2"/>
      <c r="U1336" s="2"/>
      <c r="V1336" s="2"/>
      <c r="W1336" s="2"/>
    </row>
    <row r="1338" spans="1:23" s="341" customFormat="1">
      <c r="A1338" s="725"/>
      <c r="B1338" s="726" t="s">
        <v>936</v>
      </c>
      <c r="C1338" s="725"/>
      <c r="D1338" s="725"/>
      <c r="E1338" s="725"/>
      <c r="F1338" s="725"/>
      <c r="G1338" s="725"/>
      <c r="H1338" s="725"/>
      <c r="I1338" s="725"/>
      <c r="J1338" s="725"/>
      <c r="K1338" s="2"/>
      <c r="L1338" s="2"/>
      <c r="M1338" s="2"/>
      <c r="N1338" s="2"/>
      <c r="O1338" s="2"/>
      <c r="P1338" s="2"/>
      <c r="Q1338" s="2"/>
      <c r="R1338" s="2"/>
      <c r="S1338" s="2"/>
      <c r="T1338" s="2"/>
      <c r="U1338" s="2"/>
      <c r="V1338" s="2"/>
      <c r="W1338" s="2"/>
    </row>
    <row r="1339" spans="1:23">
      <c r="B1339" s="298" t="s">
        <v>902</v>
      </c>
      <c r="C1339" s="298" t="s">
        <v>2628</v>
      </c>
      <c r="D1339" s="1170" t="s">
        <v>930</v>
      </c>
      <c r="E1339" s="1170"/>
      <c r="F1339" s="1170"/>
    </row>
    <row r="1340" spans="1:23" ht="15" customHeight="1">
      <c r="B1340" s="299" t="s">
        <v>622</v>
      </c>
      <c r="C1340" s="604">
        <f>D1336</f>
        <v>25000</v>
      </c>
      <c r="D1340" s="1095" t="s">
        <v>3008</v>
      </c>
      <c r="E1340" s="1095"/>
      <c r="F1340" s="1095"/>
    </row>
    <row r="1341" spans="1:23">
      <c r="B1341" s="334" t="s">
        <v>624</v>
      </c>
      <c r="C1341" s="604">
        <f>AVERAGE(C1340,C1342)</f>
        <v>22500</v>
      </c>
      <c r="D1341" s="1095" t="s">
        <v>3009</v>
      </c>
      <c r="E1341" s="1095"/>
      <c r="F1341" s="1095"/>
    </row>
    <row r="1342" spans="1:23">
      <c r="B1342" s="299" t="s">
        <v>625</v>
      </c>
      <c r="C1342" s="511">
        <f>D1335</f>
        <v>20000</v>
      </c>
      <c r="D1342" s="1095" t="s">
        <v>3010</v>
      </c>
      <c r="E1342" s="1095"/>
      <c r="F1342" s="1095"/>
    </row>
    <row r="1344" spans="1:23" s="936" customFormat="1">
      <c r="A1344" s="937"/>
      <c r="B1344" s="938" t="s">
        <v>3011</v>
      </c>
      <c r="C1344" s="937"/>
      <c r="D1344" s="937"/>
      <c r="E1344" s="937"/>
      <c r="F1344" s="937"/>
      <c r="G1344" s="937"/>
      <c r="H1344" s="937"/>
      <c r="I1344" s="937"/>
      <c r="J1344" s="937"/>
    </row>
    <row r="1345" spans="1:24" s="936" customFormat="1">
      <c r="A1345" s="939"/>
      <c r="B1345" s="940" t="s">
        <v>912</v>
      </c>
      <c r="C1345" s="939"/>
      <c r="D1345" s="939"/>
      <c r="E1345" s="939"/>
      <c r="F1345" s="939"/>
      <c r="G1345" s="939"/>
      <c r="H1345" s="939"/>
      <c r="I1345" s="939"/>
      <c r="J1345" s="939"/>
    </row>
    <row r="1346" spans="1:24" ht="29.1">
      <c r="A1346" s="936"/>
      <c r="B1346" s="941" t="s">
        <v>913</v>
      </c>
      <c r="C1346" s="941" t="s">
        <v>914</v>
      </c>
      <c r="D1346" s="941" t="s">
        <v>915</v>
      </c>
      <c r="E1346" s="941" t="s">
        <v>916</v>
      </c>
      <c r="F1346" s="941" t="s">
        <v>917</v>
      </c>
      <c r="G1346" s="941" t="s">
        <v>918</v>
      </c>
      <c r="H1346" s="941" t="s">
        <v>919</v>
      </c>
      <c r="I1346" s="936"/>
      <c r="J1346" s="936"/>
      <c r="K1346" s="936"/>
      <c r="L1346" s="936"/>
      <c r="M1346" s="936"/>
      <c r="N1346" s="936"/>
      <c r="O1346" s="936"/>
      <c r="P1346" s="936"/>
      <c r="Q1346" s="936"/>
      <c r="R1346" s="936"/>
      <c r="S1346" s="936"/>
      <c r="T1346" s="936"/>
      <c r="U1346" s="936"/>
      <c r="V1346" s="936"/>
      <c r="W1346" s="936"/>
      <c r="X1346" s="936"/>
    </row>
    <row r="1347" spans="1:24">
      <c r="A1347" s="936"/>
      <c r="B1347" s="942">
        <v>138</v>
      </c>
      <c r="C1347" s="942" t="s">
        <v>3012</v>
      </c>
      <c r="D1347" s="953" t="s">
        <v>352</v>
      </c>
      <c r="E1347" s="942">
        <v>2024</v>
      </c>
      <c r="F1347" s="942" t="s">
        <v>921</v>
      </c>
      <c r="G1347" s="942" t="s">
        <v>921</v>
      </c>
      <c r="H1347" s="953" t="s">
        <v>907</v>
      </c>
      <c r="I1347" s="936"/>
      <c r="J1347" s="936"/>
      <c r="K1347" s="936"/>
      <c r="L1347" s="936"/>
      <c r="M1347" s="936"/>
      <c r="N1347" s="936"/>
      <c r="O1347" s="936"/>
      <c r="P1347" s="936"/>
      <c r="Q1347" s="936"/>
      <c r="R1347" s="936"/>
      <c r="S1347" s="936"/>
      <c r="T1347" s="936"/>
      <c r="U1347" s="936"/>
      <c r="V1347" s="936"/>
      <c r="W1347" s="936"/>
      <c r="X1347" s="936"/>
    </row>
    <row r="1348" spans="1:24">
      <c r="A1348" s="936"/>
      <c r="B1348" s="943"/>
      <c r="C1348" s="936"/>
      <c r="D1348" s="936"/>
      <c r="E1348" s="936"/>
      <c r="F1348" s="936"/>
      <c r="G1348" s="936"/>
      <c r="H1348" s="936"/>
      <c r="I1348" s="936"/>
      <c r="J1348" s="936"/>
      <c r="K1348" s="936"/>
      <c r="L1348" s="936"/>
      <c r="M1348" s="936"/>
      <c r="N1348" s="936"/>
      <c r="O1348" s="936"/>
      <c r="P1348" s="936"/>
      <c r="Q1348" s="936"/>
      <c r="R1348" s="936"/>
      <c r="S1348" s="936"/>
      <c r="T1348" s="936"/>
      <c r="U1348" s="936"/>
      <c r="V1348" s="936"/>
      <c r="W1348" s="936"/>
      <c r="X1348" s="936"/>
    </row>
    <row r="1349" spans="1:24" s="936" customFormat="1">
      <c r="A1349" s="939"/>
      <c r="B1349" s="940" t="s">
        <v>924</v>
      </c>
      <c r="C1349" s="939"/>
      <c r="D1349" s="939"/>
      <c r="E1349" s="939"/>
      <c r="F1349" s="939"/>
      <c r="G1349" s="939"/>
      <c r="H1349" s="939"/>
      <c r="I1349" s="939"/>
      <c r="J1349" s="939"/>
    </row>
    <row r="1350" spans="1:24">
      <c r="A1350" s="936"/>
      <c r="B1350" s="944" t="s">
        <v>165</v>
      </c>
      <c r="C1350" s="944" t="s">
        <v>925</v>
      </c>
      <c r="D1350" s="944" t="s">
        <v>926</v>
      </c>
      <c r="E1350" s="1385" t="s">
        <v>953</v>
      </c>
      <c r="F1350" s="1385"/>
      <c r="G1350" s="1385"/>
      <c r="H1350" s="1385"/>
      <c r="I1350" s="1385"/>
      <c r="J1350" s="1385"/>
      <c r="K1350" s="936"/>
      <c r="L1350" s="936"/>
      <c r="M1350" s="936"/>
      <c r="N1350" s="936"/>
      <c r="O1350" s="936"/>
      <c r="P1350" s="936"/>
      <c r="Q1350" s="936"/>
      <c r="R1350" s="936"/>
      <c r="S1350" s="936"/>
      <c r="T1350" s="936"/>
      <c r="U1350" s="936"/>
      <c r="V1350" s="936"/>
      <c r="W1350" s="936"/>
      <c r="X1350" s="936"/>
    </row>
    <row r="1351" spans="1:24">
      <c r="A1351" s="936"/>
      <c r="B1351" s="942" t="s">
        <v>169</v>
      </c>
      <c r="C1351" s="942" t="s">
        <v>166</v>
      </c>
      <c r="D1351" s="942">
        <f>VLOOKUP(C1351,METHODOLOGY!$C$175:$D$177,2,FALSE)</f>
        <v>3</v>
      </c>
      <c r="E1351" s="1386" t="str">
        <f>_xlfn.XLOOKUP(C1351,METHODOLOGY!$E$150:$O$150,METHODOLOGY!$E$151:$O$151,"",0,1)</f>
        <v>Monetary values have been peer reviewed or are recommended / referenced in other, well recognised and accepted guidance / tools relevant to the water sector.</v>
      </c>
      <c r="F1351" s="1386"/>
      <c r="G1351" s="1386"/>
      <c r="H1351" s="1386"/>
      <c r="I1351" s="1386"/>
      <c r="J1351" s="1386"/>
      <c r="K1351" s="936"/>
      <c r="L1351" s="936"/>
      <c r="M1351" s="936"/>
      <c r="N1351" s="936"/>
      <c r="O1351" s="936"/>
      <c r="P1351" s="936"/>
      <c r="Q1351" s="936"/>
      <c r="R1351" s="936"/>
      <c r="S1351" s="936"/>
      <c r="T1351" s="936"/>
      <c r="U1351" s="936"/>
      <c r="V1351" s="936"/>
      <c r="W1351" s="936"/>
      <c r="X1351" s="936"/>
    </row>
    <row r="1352" spans="1:24">
      <c r="A1352" s="936"/>
      <c r="B1352" s="942" t="s">
        <v>173</v>
      </c>
      <c r="C1352" s="942" t="s">
        <v>166</v>
      </c>
      <c r="D1352" s="942">
        <f>VLOOKUP(C1352,METHODOLOGY!$C$175:$D$177,2,FALSE)</f>
        <v>3</v>
      </c>
      <c r="E1352" s="1386" t="str">
        <f>_xlfn.XLOOKUP(C1352,METHODOLOGY!$E$150:$O$150,METHODOLOGY!$E$155:$O$155,"",0,1)</f>
        <v>Study has few limitations and is considered robust.</v>
      </c>
      <c r="F1352" s="1386"/>
      <c r="G1352" s="1386"/>
      <c r="H1352" s="1386"/>
      <c r="I1352" s="1386"/>
      <c r="J1352" s="1386"/>
      <c r="K1352" s="936"/>
      <c r="L1352" s="936"/>
      <c r="M1352" s="936"/>
      <c r="N1352" s="936"/>
      <c r="O1352" s="936"/>
      <c r="P1352" s="936"/>
      <c r="Q1352" s="936"/>
      <c r="R1352" s="936"/>
      <c r="S1352" s="936"/>
      <c r="T1352" s="936"/>
      <c r="U1352" s="936"/>
      <c r="V1352" s="936"/>
      <c r="W1352" s="936"/>
      <c r="X1352" s="936"/>
    </row>
    <row r="1353" spans="1:24">
      <c r="A1353" s="936"/>
      <c r="B1353" s="942" t="s">
        <v>177</v>
      </c>
      <c r="C1353" s="942" t="s">
        <v>166</v>
      </c>
      <c r="D1353" s="942">
        <f>VLOOKUP(C1353,METHODOLOGY!$C$175:$D$177,2,FALSE)</f>
        <v>3</v>
      </c>
      <c r="E1353" s="1386" t="str">
        <f>_xlfn.XLOOKUP(C1353,METHODOLOGY!$E$150:$O$150,METHODOLOGY!$E$158:$O$158,"",0,1)</f>
        <v>0 – 5 years</v>
      </c>
      <c r="F1353" s="1386"/>
      <c r="G1353" s="1386"/>
      <c r="H1353" s="1386"/>
      <c r="I1353" s="1386"/>
      <c r="J1353" s="1386"/>
      <c r="K1353" s="936"/>
      <c r="L1353" s="936"/>
      <c r="M1353" s="936"/>
      <c r="N1353" s="936"/>
      <c r="O1353" s="936"/>
      <c r="P1353" s="936"/>
      <c r="Q1353" s="936"/>
      <c r="R1353" s="936"/>
      <c r="S1353" s="936"/>
      <c r="T1353" s="936"/>
      <c r="U1353" s="936"/>
      <c r="V1353" s="936"/>
      <c r="W1353" s="936"/>
      <c r="X1353" s="936"/>
    </row>
    <row r="1354" spans="1:24">
      <c r="A1354" s="936"/>
      <c r="B1354" s="942" t="s">
        <v>181</v>
      </c>
      <c r="C1354" s="942" t="s">
        <v>166</v>
      </c>
      <c r="D1354" s="942">
        <f>VLOOKUP(C1354,METHODOLOGY!$C$175:$D$177,2,FALSE)</f>
        <v>3</v>
      </c>
      <c r="E1354" s="1386" t="str">
        <f>_xlfn.XLOOKUP(C1354,METHODOLOGY!$E$150:$O$150,METHODOLOGY!$E$160:$O$160,"",0,1)</f>
        <v>Geographically relevant to UK</v>
      </c>
      <c r="F1354" s="1386"/>
      <c r="G1354" s="1386"/>
      <c r="H1354" s="1386"/>
      <c r="I1354" s="1386"/>
      <c r="J1354" s="1386"/>
      <c r="K1354" s="936"/>
      <c r="L1354" s="936"/>
      <c r="M1354" s="936"/>
      <c r="N1354" s="936"/>
      <c r="O1354" s="936"/>
      <c r="P1354" s="936"/>
      <c r="Q1354" s="936"/>
      <c r="R1354" s="936"/>
      <c r="S1354" s="936"/>
      <c r="T1354" s="936"/>
      <c r="U1354" s="936"/>
      <c r="V1354" s="936"/>
      <c r="W1354" s="936"/>
      <c r="X1354" s="936"/>
    </row>
    <row r="1355" spans="1:24">
      <c r="A1355" s="936"/>
      <c r="B1355" s="942" t="s">
        <v>928</v>
      </c>
      <c r="C1355" s="942" t="s">
        <v>166</v>
      </c>
      <c r="D1355" s="942">
        <f>VLOOKUP(C1355,METHODOLOGY!$C$175:$D$177,2,FALSE)</f>
        <v>3</v>
      </c>
      <c r="E1355" s="1386">
        <f>_xlfn.XLOOKUP(C1355,METHODOLOGY!$E$150:$O$150,METHODOLOGY!$E188:$O188,"",0,1)</f>
        <v>0</v>
      </c>
      <c r="F1355" s="1386"/>
      <c r="G1355" s="1386"/>
      <c r="H1355" s="1386"/>
      <c r="I1355" s="1386"/>
      <c r="J1355" s="1386"/>
      <c r="K1355" s="936"/>
      <c r="L1355" s="936"/>
      <c r="M1355" s="936"/>
      <c r="N1355" s="936"/>
      <c r="O1355" s="936"/>
      <c r="P1355" s="936"/>
      <c r="Q1355" s="936"/>
      <c r="R1355" s="936"/>
      <c r="S1355" s="936"/>
      <c r="T1355" s="936"/>
      <c r="U1355" s="936"/>
      <c r="V1355" s="936"/>
      <c r="W1355" s="936"/>
      <c r="X1355" s="936"/>
    </row>
    <row r="1356" spans="1:24">
      <c r="A1356" s="936"/>
      <c r="B1356" s="942" t="s">
        <v>189</v>
      </c>
      <c r="C1356" s="942" t="s">
        <v>166</v>
      </c>
      <c r="D1356" s="942">
        <f>VLOOKUP(C1356,METHODOLOGY!$C$175:$D$177,2,FALSE)</f>
        <v>3</v>
      </c>
      <c r="E1356" s="1386" t="str">
        <f>_xlfn.XLOOKUP(C1356,METHODOLOGY!$E$150:$O$150,METHODOLOGY!$E$164:$O$164,"",0,1)</f>
        <v xml:space="preserve">The original valuation can be used with no or very simple modification e.g. change units from ha to km2, applying inflation. </v>
      </c>
      <c r="F1356" s="1386"/>
      <c r="G1356" s="1386"/>
      <c r="H1356" s="1386"/>
      <c r="I1356" s="1386"/>
      <c r="J1356" s="1386"/>
      <c r="K1356" s="936"/>
      <c r="L1356" s="936"/>
      <c r="M1356" s="936"/>
      <c r="N1356" s="936"/>
      <c r="O1356" s="936"/>
      <c r="P1356" s="936"/>
      <c r="Q1356" s="936"/>
      <c r="R1356" s="936"/>
      <c r="S1356" s="936"/>
      <c r="T1356" s="936"/>
      <c r="U1356" s="936"/>
      <c r="V1356" s="936"/>
      <c r="W1356" s="936"/>
      <c r="X1356" s="936"/>
    </row>
    <row r="1357" spans="1:24">
      <c r="A1357" s="936"/>
      <c r="B1357" s="936"/>
      <c r="C1357" s="945" t="s">
        <v>924</v>
      </c>
      <c r="D1357" s="946">
        <f>IF(AND(D1356=1,AVERAGE(D1351:D1356)&gt;2.14285714285714),2.14285714285714,IF(AND(D1356=2,AVERAGE(D1351:D1356)&gt;2.57142857142857),2.57142857142857,AVERAGE(D1351:D1356)))</f>
        <v>3</v>
      </c>
      <c r="E1357" s="947" t="str">
        <f>IF(D1357&lt;=2.14285714285714,"Red",IF(D1357&lt;=2.57142857142857,"Amber",IF(D1357&lt;=3,"Green")))</f>
        <v>Green</v>
      </c>
      <c r="F1357" s="936"/>
      <c r="G1357" s="936"/>
      <c r="H1357" s="936"/>
      <c r="I1357" s="936"/>
      <c r="J1357" s="936"/>
      <c r="K1357" s="936"/>
      <c r="L1357" s="936"/>
      <c r="M1357" s="936"/>
      <c r="N1357" s="936"/>
      <c r="O1357" s="936"/>
      <c r="P1357" s="936"/>
      <c r="Q1357" s="936"/>
      <c r="R1357" s="936"/>
      <c r="S1357" s="936"/>
      <c r="T1357" s="936"/>
      <c r="U1357" s="936"/>
      <c r="V1357" s="936"/>
      <c r="W1357" s="936"/>
      <c r="X1357" s="936"/>
    </row>
    <row r="1358" spans="1:24">
      <c r="A1358" s="936"/>
      <c r="B1358" s="936"/>
      <c r="C1358" s="936"/>
      <c r="D1358" s="936"/>
      <c r="E1358" s="936"/>
      <c r="F1358" s="936"/>
      <c r="G1358" s="936"/>
      <c r="H1358" s="936"/>
      <c r="I1358" s="936"/>
      <c r="J1358" s="936"/>
      <c r="K1358" s="936"/>
      <c r="L1358" s="936"/>
      <c r="M1358" s="936"/>
      <c r="N1358" s="936"/>
      <c r="O1358" s="936"/>
      <c r="P1358" s="936"/>
      <c r="Q1358" s="936"/>
      <c r="R1358" s="936"/>
      <c r="S1358" s="936"/>
      <c r="T1358" s="936"/>
      <c r="U1358" s="936"/>
      <c r="V1358" s="936"/>
      <c r="W1358" s="936"/>
      <c r="X1358" s="936"/>
    </row>
    <row r="1359" spans="1:24" s="936" customFormat="1">
      <c r="A1359" s="939"/>
      <c r="B1359" s="940" t="s">
        <v>929</v>
      </c>
      <c r="C1359" s="939"/>
      <c r="D1359" s="939"/>
      <c r="E1359" s="939"/>
      <c r="F1359" s="939"/>
      <c r="G1359" s="939"/>
      <c r="H1359" s="939"/>
      <c r="I1359" s="939"/>
      <c r="J1359" s="939"/>
    </row>
    <row r="1360" spans="1:24">
      <c r="A1360" s="936"/>
      <c r="B1360" s="944" t="s">
        <v>913</v>
      </c>
      <c r="C1360" s="944" t="s">
        <v>953</v>
      </c>
      <c r="D1360" s="944" t="s">
        <v>331</v>
      </c>
      <c r="E1360" s="944" t="s">
        <v>226</v>
      </c>
      <c r="F1360" s="1385" t="s">
        <v>930</v>
      </c>
      <c r="G1360" s="1385"/>
      <c r="H1360" s="1385"/>
      <c r="I1360" s="1385"/>
      <c r="J1360" s="1385"/>
      <c r="K1360" s="936"/>
      <c r="L1360" s="936"/>
      <c r="M1360" s="936"/>
      <c r="N1360" s="936"/>
      <c r="O1360" s="936"/>
      <c r="P1360" s="936"/>
      <c r="Q1360" s="936"/>
      <c r="R1360" s="936"/>
      <c r="S1360" s="936"/>
      <c r="T1360" s="936"/>
      <c r="U1360" s="936"/>
      <c r="V1360" s="936"/>
      <c r="W1360" s="936"/>
      <c r="X1360" s="936"/>
    </row>
    <row r="1361" spans="1:24" s="936" customFormat="1">
      <c r="B1361" s="942">
        <v>138</v>
      </c>
      <c r="C1361" s="942" t="s">
        <v>3013</v>
      </c>
      <c r="D1361" s="948">
        <v>157100</v>
      </c>
      <c r="E1361" s="949" t="s">
        <v>3005</v>
      </c>
      <c r="F1361" s="1383" t="s">
        <v>3014</v>
      </c>
      <c r="G1361" s="1383"/>
      <c r="H1361" s="1383"/>
      <c r="I1361" s="1383"/>
      <c r="J1361" s="1383"/>
    </row>
    <row r="1362" spans="1:24">
      <c r="A1362" s="936"/>
      <c r="B1362" s="936"/>
      <c r="C1362" s="936"/>
      <c r="D1362" s="936"/>
      <c r="E1362" s="936"/>
      <c r="F1362" s="936"/>
      <c r="G1362" s="936"/>
      <c r="H1362" s="936"/>
      <c r="I1362" s="936"/>
      <c r="J1362" s="936"/>
      <c r="K1362" s="936"/>
      <c r="L1362" s="936"/>
      <c r="M1362" s="936"/>
      <c r="N1362" s="936"/>
      <c r="O1362" s="936"/>
      <c r="P1362" s="936"/>
      <c r="Q1362" s="936"/>
      <c r="R1362" s="936"/>
      <c r="S1362" s="936"/>
      <c r="T1362" s="936"/>
      <c r="U1362" s="936"/>
      <c r="V1362" s="936"/>
      <c r="W1362" s="936"/>
      <c r="X1362" s="936"/>
    </row>
    <row r="1363" spans="1:24" s="936" customFormat="1">
      <c r="A1363" s="939"/>
      <c r="B1363" s="940" t="s">
        <v>936</v>
      </c>
      <c r="C1363" s="939"/>
      <c r="D1363" s="939"/>
      <c r="E1363" s="939"/>
      <c r="F1363" s="939"/>
      <c r="G1363" s="939"/>
      <c r="H1363" s="939"/>
      <c r="I1363" s="939"/>
      <c r="J1363" s="939"/>
    </row>
    <row r="1364" spans="1:24">
      <c r="A1364" s="936"/>
      <c r="B1364" s="950" t="s">
        <v>902</v>
      </c>
      <c r="C1364" s="950" t="s">
        <v>2628</v>
      </c>
      <c r="D1364" s="1384" t="s">
        <v>930</v>
      </c>
      <c r="E1364" s="1384"/>
      <c r="F1364" s="1384"/>
      <c r="G1364" s="936"/>
      <c r="H1364" s="936"/>
      <c r="I1364" s="936"/>
      <c r="J1364" s="936"/>
      <c r="K1364" s="936"/>
      <c r="L1364" s="936"/>
      <c r="M1364" s="936"/>
      <c r="N1364" s="936"/>
      <c r="O1364" s="936"/>
      <c r="P1364" s="936"/>
      <c r="Q1364" s="936"/>
      <c r="R1364" s="936"/>
      <c r="S1364" s="936"/>
      <c r="T1364" s="936"/>
      <c r="U1364" s="936"/>
      <c r="V1364" s="936"/>
      <c r="W1364" s="936"/>
      <c r="X1364" s="936"/>
    </row>
    <row r="1365" spans="1:24">
      <c r="A1365" s="936"/>
      <c r="B1365" s="951" t="s">
        <v>626</v>
      </c>
      <c r="C1365" s="952">
        <f>D1361</f>
        <v>157100</v>
      </c>
      <c r="D1365" s="1383"/>
      <c r="E1365" s="1383"/>
      <c r="F1365" s="1383"/>
      <c r="G1365" s="936"/>
      <c r="H1365" s="936"/>
      <c r="I1365" s="936"/>
      <c r="J1365" s="936"/>
      <c r="K1365" s="936"/>
      <c r="L1365" s="936"/>
      <c r="M1365" s="936"/>
      <c r="N1365" s="936"/>
      <c r="O1365" s="936"/>
      <c r="P1365" s="936"/>
      <c r="Q1365" s="936"/>
      <c r="R1365" s="936"/>
      <c r="S1365" s="936"/>
      <c r="T1365" s="936"/>
      <c r="U1365" s="936"/>
      <c r="V1365" s="936"/>
      <c r="W1365" s="936"/>
      <c r="X1365" s="936"/>
    </row>
    <row r="1367" spans="1:24" s="341" customFormat="1">
      <c r="A1367" s="727"/>
      <c r="B1367" s="728" t="s">
        <v>901</v>
      </c>
      <c r="C1367" s="727"/>
      <c r="D1367" s="727"/>
      <c r="E1367" s="727"/>
      <c r="F1367" s="727"/>
      <c r="G1367" s="727"/>
      <c r="H1367" s="727"/>
      <c r="I1367" s="727"/>
      <c r="J1367" s="727"/>
      <c r="K1367" s="2"/>
      <c r="L1367" s="2"/>
      <c r="M1367" s="2"/>
      <c r="N1367" s="2"/>
      <c r="O1367" s="2"/>
      <c r="P1367" s="2"/>
      <c r="Q1367" s="2"/>
      <c r="R1367" s="2"/>
      <c r="S1367" s="2"/>
      <c r="T1367" s="2"/>
      <c r="U1367" s="2"/>
      <c r="V1367" s="2"/>
      <c r="W1367" s="2"/>
      <c r="X1367" s="2"/>
    </row>
    <row r="1368" spans="1:24" ht="29.1">
      <c r="B1368" s="522" t="s">
        <v>902</v>
      </c>
      <c r="C1368" s="522" t="s">
        <v>898</v>
      </c>
      <c r="D1368" s="522" t="s">
        <v>899</v>
      </c>
      <c r="E1368" s="719" t="s">
        <v>903</v>
      </c>
      <c r="F1368" s="522" t="s">
        <v>904</v>
      </c>
      <c r="G1368" s="522" t="s">
        <v>905</v>
      </c>
      <c r="H1368" s="756" t="s">
        <v>924</v>
      </c>
      <c r="I1368" s="756" t="s">
        <v>956</v>
      </c>
      <c r="J1368" s="756" t="s">
        <v>927</v>
      </c>
    </row>
    <row r="1369" spans="1:24">
      <c r="B1369" s="299" t="s">
        <v>622</v>
      </c>
      <c r="C1369" s="278" t="s">
        <v>230</v>
      </c>
      <c r="D1369" s="278" t="s">
        <v>3001</v>
      </c>
      <c r="E1369" s="299" t="s">
        <v>3015</v>
      </c>
      <c r="F1369" s="278" t="str" cm="1">
        <f t="array" ref="F1369">_xlfn.XLOOKUP(1,($D$1376:$D$1378=B1369)*($E$1376:$E$1378=C1369),$B$1376:$B$1378,"Not found",0,1)</f>
        <v>30-111</v>
      </c>
      <c r="G1369" s="311">
        <f>VLOOKUP(F1369,B1376:L1378,11,FALSE)</f>
        <v>-28156.545890101625</v>
      </c>
      <c r="H1369" s="1120">
        <f>$D$1331</f>
        <v>2.6666666666666665</v>
      </c>
      <c r="I1369" s="1178" t="s">
        <v>3016</v>
      </c>
      <c r="J1369" s="1141" t="s">
        <v>3017</v>
      </c>
    </row>
    <row r="1370" spans="1:24">
      <c r="B1370" s="334" t="s">
        <v>624</v>
      </c>
      <c r="C1370" s="278" t="s">
        <v>230</v>
      </c>
      <c r="D1370" s="278" t="s">
        <v>3001</v>
      </c>
      <c r="E1370" s="299" t="s">
        <v>3015</v>
      </c>
      <c r="F1370" s="278" t="str" cm="1">
        <f t="array" ref="F1370">_xlfn.XLOOKUP(1,($D$1376:$D$1378=B1370)*($E$1376:$E$1378=C1370),$B$1376:$B$1378,"Not found",0,1)</f>
        <v>30-112</v>
      </c>
      <c r="G1370" s="311">
        <f>VLOOKUP(F1370,B1376:L1378,11,FALSE)</f>
        <v>-25340.891301091462</v>
      </c>
      <c r="H1370" s="1121"/>
      <c r="I1370" s="1178"/>
      <c r="J1370" s="1141"/>
    </row>
    <row r="1371" spans="1:24">
      <c r="B1371" s="227" t="s">
        <v>625</v>
      </c>
      <c r="C1371" s="214" t="s">
        <v>230</v>
      </c>
      <c r="D1371" s="214" t="s">
        <v>3001</v>
      </c>
      <c r="E1371" s="227" t="s">
        <v>3015</v>
      </c>
      <c r="F1371" s="214" t="str" cm="1">
        <f t="array" ref="F1371">_xlfn.XLOOKUP(1,($D$1376:$D$1378=B1371)*($E$1376:$E$1378=C1371),$B$1376:$B$1378,"Not found",0,1)</f>
        <v>30-113</v>
      </c>
      <c r="G1371" s="634">
        <f>VLOOKUP(F1371,B1376:L1378,11,FALSE)</f>
        <v>-22525.2367120813</v>
      </c>
      <c r="H1371" s="1121"/>
      <c r="I1371" s="1131"/>
      <c r="J1371" s="1267"/>
    </row>
    <row r="1372" spans="1:24" ht="43.5">
      <c r="B1372" s="299" t="s">
        <v>626</v>
      </c>
      <c r="C1372" s="278" t="s">
        <v>230</v>
      </c>
      <c r="D1372" s="278" t="s">
        <v>3001</v>
      </c>
      <c r="E1372" s="299" t="s">
        <v>3018</v>
      </c>
      <c r="F1372" s="278" t="s">
        <v>3019</v>
      </c>
      <c r="G1372" s="954">
        <f>VLOOKUP(F1372,B1376:L1379,11,FALSE)</f>
        <v>-154740.82139648063</v>
      </c>
      <c r="H1372" s="957">
        <f>D1357</f>
        <v>3</v>
      </c>
      <c r="I1372" s="362" t="s">
        <v>3016</v>
      </c>
      <c r="J1372" s="357" t="s">
        <v>3020</v>
      </c>
    </row>
    <row r="1373" spans="1:24">
      <c r="B1373" s="18"/>
      <c r="H1373" s="936"/>
    </row>
    <row r="1374" spans="1:24" s="341" customFormat="1">
      <c r="A1374" s="725"/>
      <c r="B1374" s="726" t="s">
        <v>962</v>
      </c>
      <c r="C1374" s="725"/>
      <c r="D1374" s="725"/>
      <c r="E1374" s="725"/>
      <c r="F1374" s="725"/>
      <c r="G1374" s="725"/>
      <c r="H1374" s="939"/>
      <c r="I1374" s="725"/>
      <c r="J1374" s="725"/>
      <c r="K1374" s="2"/>
      <c r="L1374" s="2"/>
      <c r="M1374" s="2"/>
      <c r="N1374" s="2"/>
      <c r="O1374" s="2"/>
      <c r="P1374" s="2"/>
      <c r="Q1374" s="2"/>
      <c r="R1374" s="2"/>
      <c r="S1374" s="2"/>
      <c r="T1374" s="2"/>
      <c r="U1374" s="2"/>
      <c r="V1374" s="2"/>
      <c r="W1374" s="2"/>
      <c r="X1374" s="2"/>
    </row>
    <row r="1375" spans="1:24">
      <c r="B1375" s="277" t="s">
        <v>904</v>
      </c>
      <c r="C1375" s="277" t="s">
        <v>62</v>
      </c>
      <c r="D1375" s="277" t="s">
        <v>902</v>
      </c>
      <c r="E1375" s="277" t="s">
        <v>898</v>
      </c>
      <c r="F1375" s="277" t="s">
        <v>916</v>
      </c>
      <c r="G1375" s="277" t="s">
        <v>963</v>
      </c>
      <c r="H1375" s="277" t="s">
        <v>964</v>
      </c>
      <c r="I1375" s="277" t="s">
        <v>965</v>
      </c>
      <c r="J1375" s="277" t="s">
        <v>966</v>
      </c>
      <c r="K1375" s="277" t="s">
        <v>967</v>
      </c>
      <c r="L1375" s="277" t="s">
        <v>968</v>
      </c>
      <c r="M1375" s="277" t="s">
        <v>956</v>
      </c>
      <c r="N1375" s="277" t="s">
        <v>969</v>
      </c>
      <c r="O1375" s="277" t="s">
        <v>970</v>
      </c>
      <c r="P1375" s="277" t="s">
        <v>927</v>
      </c>
      <c r="Q1375" s="277" t="s">
        <v>913</v>
      </c>
      <c r="R1375" s="277" t="s">
        <v>914</v>
      </c>
      <c r="S1375" s="277" t="s">
        <v>915</v>
      </c>
      <c r="T1375" s="277" t="s">
        <v>916</v>
      </c>
      <c r="U1375" s="277" t="s">
        <v>1291</v>
      </c>
      <c r="V1375" s="277" t="s">
        <v>918</v>
      </c>
      <c r="W1375" s="277" t="s">
        <v>919</v>
      </c>
    </row>
    <row r="1376" spans="1:24">
      <c r="B1376" s="302" t="s">
        <v>3021</v>
      </c>
      <c r="C1376" s="278" t="s">
        <v>2645</v>
      </c>
      <c r="D1376" s="299" t="s">
        <v>622</v>
      </c>
      <c r="E1376" s="278" t="s">
        <v>230</v>
      </c>
      <c r="F1376" s="299">
        <f>$E$72</f>
        <v>2021</v>
      </c>
      <c r="G1376" s="278">
        <v>2021</v>
      </c>
      <c r="H1376" s="278">
        <f>'COMPANY INPUT'!$C$16</f>
        <v>2023</v>
      </c>
      <c r="I1376" s="278">
        <f>VLOOKUP(G1376,'GDP Deflators'!$H$13:$I$86,2,FALSE)</f>
        <v>88.789299999999997</v>
      </c>
      <c r="J1376" s="278">
        <f>VLOOKUP(H1376,'GDP Deflators'!$H$13:$I$86,2,FALSE)</f>
        <v>100</v>
      </c>
      <c r="K1376" s="297">
        <f>-C1340</f>
        <v>-25000</v>
      </c>
      <c r="L1376" s="746">
        <f>K1376*(J1376/I1376)</f>
        <v>-28156.545890101625</v>
      </c>
      <c r="M1376" s="278" t="str">
        <f>$I$1369</f>
        <v>Market price</v>
      </c>
      <c r="N1376" s="326">
        <f>$H$1369</f>
        <v>2.6666666666666665</v>
      </c>
      <c r="O1376" s="278" t="s">
        <v>718</v>
      </c>
      <c r="P1376" s="278" t="str">
        <f>$J$1369</f>
        <v>Analysis demonstrating market price of Biodiversity Units, readily transferable, specific to England and endorsed by Defra</v>
      </c>
      <c r="Q1376" s="299">
        <f>B$1321</f>
        <v>132</v>
      </c>
      <c r="R1376" s="299" t="str">
        <f t="shared" ref="R1376:W1376" si="114">C$1321</f>
        <v>Defra / eftec</v>
      </c>
      <c r="S1376" s="299" t="str">
        <f t="shared" si="114"/>
        <v>/</v>
      </c>
      <c r="T1376" s="299">
        <f t="shared" si="114"/>
        <v>2021</v>
      </c>
      <c r="U1376" s="299" t="str">
        <f t="shared" si="114"/>
        <v>England</v>
      </c>
      <c r="V1376" s="299" t="str">
        <f t="shared" si="114"/>
        <v>England</v>
      </c>
      <c r="W1376" s="299" t="str">
        <f t="shared" si="114"/>
        <v>/</v>
      </c>
    </row>
    <row r="1377" spans="1:23">
      <c r="B1377" s="302" t="s">
        <v>3022</v>
      </c>
      <c r="C1377" s="278" t="s">
        <v>2645</v>
      </c>
      <c r="D1377" s="334" t="s">
        <v>624</v>
      </c>
      <c r="E1377" s="278" t="s">
        <v>230</v>
      </c>
      <c r="F1377" s="299">
        <f>$E$72</f>
        <v>2021</v>
      </c>
      <c r="G1377" s="278">
        <v>2021</v>
      </c>
      <c r="H1377" s="278">
        <f>'COMPANY INPUT'!$C$16</f>
        <v>2023</v>
      </c>
      <c r="I1377" s="278">
        <f>VLOOKUP(G1377,'GDP Deflators'!$H$13:$I$86,2,FALSE)</f>
        <v>88.789299999999997</v>
      </c>
      <c r="J1377" s="278">
        <f>VLOOKUP(H1377,'GDP Deflators'!$H$13:$I$86,2,FALSE)</f>
        <v>100</v>
      </c>
      <c r="K1377" s="297">
        <f>-C1341</f>
        <v>-22500</v>
      </c>
      <c r="L1377" s="746">
        <f>K1377*(J1377/I1377)</f>
        <v>-25340.891301091462</v>
      </c>
      <c r="M1377" s="278" t="str">
        <f t="shared" ref="M1377:M1378" si="115">$I$1369</f>
        <v>Market price</v>
      </c>
      <c r="N1377" s="326">
        <f t="shared" ref="N1377:N1378" si="116">$H$1369</f>
        <v>2.6666666666666665</v>
      </c>
      <c r="O1377" s="278" t="s">
        <v>718</v>
      </c>
      <c r="P1377" s="278" t="str">
        <f>$J$1369</f>
        <v>Analysis demonstrating market price of Biodiversity Units, readily transferable, specific to England and endorsed by Defra</v>
      </c>
      <c r="Q1377" s="299">
        <f t="shared" ref="Q1377:Q1378" si="117">B$1321</f>
        <v>132</v>
      </c>
      <c r="R1377" s="299" t="str">
        <f t="shared" ref="R1377:R1378" si="118">C$1321</f>
        <v>Defra / eftec</v>
      </c>
      <c r="S1377" s="299" t="str">
        <f t="shared" ref="S1377:S1378" si="119">D$1321</f>
        <v>/</v>
      </c>
      <c r="T1377" s="299">
        <f t="shared" ref="T1377:T1378" si="120">E$1321</f>
        <v>2021</v>
      </c>
      <c r="U1377" s="299" t="str">
        <f t="shared" ref="U1377:U1378" si="121">F$1321</f>
        <v>England</v>
      </c>
      <c r="V1377" s="299" t="str">
        <f t="shared" ref="V1377:V1378" si="122">G$1321</f>
        <v>England</v>
      </c>
      <c r="W1377" s="299" t="str">
        <f t="shared" ref="W1377:W1378" si="123">H$1321</f>
        <v>/</v>
      </c>
    </row>
    <row r="1378" spans="1:23">
      <c r="B1378" s="229" t="s">
        <v>3023</v>
      </c>
      <c r="C1378" s="214" t="s">
        <v>2645</v>
      </c>
      <c r="D1378" s="227" t="s">
        <v>625</v>
      </c>
      <c r="E1378" s="214" t="s">
        <v>230</v>
      </c>
      <c r="F1378" s="227">
        <f>$E$72</f>
        <v>2021</v>
      </c>
      <c r="G1378" s="214">
        <v>2021</v>
      </c>
      <c r="H1378" s="214">
        <f>'COMPANY INPUT'!$C$16</f>
        <v>2023</v>
      </c>
      <c r="I1378" s="214">
        <f>VLOOKUP(G1378,'GDP Deflators'!$H$13:$I$86,2,FALSE)</f>
        <v>88.789299999999997</v>
      </c>
      <c r="J1378" s="214">
        <f>VLOOKUP(H1378,'GDP Deflators'!$H$13:$I$86,2,FALSE)</f>
        <v>100</v>
      </c>
      <c r="K1378" s="955">
        <f>-C1342</f>
        <v>-20000</v>
      </c>
      <c r="L1378" s="787">
        <f>K1378*(J1378/I1378)</f>
        <v>-22525.2367120813</v>
      </c>
      <c r="M1378" s="214" t="str">
        <f t="shared" si="115"/>
        <v>Market price</v>
      </c>
      <c r="N1378" s="956">
        <f t="shared" si="116"/>
        <v>2.6666666666666665</v>
      </c>
      <c r="O1378" s="214" t="s">
        <v>718</v>
      </c>
      <c r="P1378" s="214" t="str">
        <f>$J$1369</f>
        <v>Analysis demonstrating market price of Biodiversity Units, readily transferable, specific to England and endorsed by Defra</v>
      </c>
      <c r="Q1378" s="227">
        <f t="shared" si="117"/>
        <v>132</v>
      </c>
      <c r="R1378" s="227" t="str">
        <f t="shared" si="118"/>
        <v>Defra / eftec</v>
      </c>
      <c r="S1378" s="227" t="str">
        <f t="shared" si="119"/>
        <v>/</v>
      </c>
      <c r="T1378" s="227">
        <f t="shared" si="120"/>
        <v>2021</v>
      </c>
      <c r="U1378" s="227" t="str">
        <f t="shared" si="121"/>
        <v>England</v>
      </c>
      <c r="V1378" s="227" t="str">
        <f t="shared" si="122"/>
        <v>England</v>
      </c>
      <c r="W1378" s="227" t="str">
        <f t="shared" si="123"/>
        <v>/</v>
      </c>
    </row>
    <row r="1379" spans="1:23">
      <c r="B1379" s="302" t="s">
        <v>3019</v>
      </c>
      <c r="C1379" s="278" t="s">
        <v>2645</v>
      </c>
      <c r="D1379" s="299" t="s">
        <v>626</v>
      </c>
      <c r="E1379" s="278" t="s">
        <v>230</v>
      </c>
      <c r="F1379" s="299">
        <f>E1347</f>
        <v>2024</v>
      </c>
      <c r="G1379" s="278">
        <v>2024</v>
      </c>
      <c r="H1379" s="278">
        <f>'COMPANY INPUT'!$C$16</f>
        <v>2023</v>
      </c>
      <c r="I1379" s="278">
        <f>VLOOKUP(G1379,'GDP Deflators'!$H$13:$I$86,2,FALSE)</f>
        <v>101.52460002617836</v>
      </c>
      <c r="J1379" s="278">
        <f>VLOOKUP(H1379,'GDP Deflators'!$H$13:$I$86,2,FALSE)</f>
        <v>100</v>
      </c>
      <c r="K1379" s="297">
        <f>-D1361</f>
        <v>-157100</v>
      </c>
      <c r="L1379" s="746">
        <f>K1379*(J1379/I1379)</f>
        <v>-154740.82139648063</v>
      </c>
      <c r="M1379" s="278" t="str">
        <f>$I$1369</f>
        <v>Market price</v>
      </c>
      <c r="N1379" s="326">
        <f>D1357</f>
        <v>3</v>
      </c>
      <c r="O1379" s="278" t="s">
        <v>718</v>
      </c>
      <c r="P1379" s="278" t="str">
        <f>J1372</f>
        <v>Latest value as recommended by NCEM</v>
      </c>
      <c r="Q1379" s="299">
        <f>B1361</f>
        <v>138</v>
      </c>
      <c r="R1379" s="299" t="str">
        <f t="shared" ref="R1379:W1379" si="124">C1347</f>
        <v>Biodiversity Units UK</v>
      </c>
      <c r="S1379" s="299" t="str">
        <f t="shared" si="124"/>
        <v>NCEM</v>
      </c>
      <c r="T1379" s="299">
        <f t="shared" si="124"/>
        <v>2024</v>
      </c>
      <c r="U1379" s="299" t="str">
        <f t="shared" si="124"/>
        <v>England</v>
      </c>
      <c r="V1379" s="299" t="str">
        <f t="shared" si="124"/>
        <v>England</v>
      </c>
      <c r="W1379" s="299" t="str">
        <f t="shared" si="124"/>
        <v>/</v>
      </c>
    </row>
    <row r="1381" spans="1:23">
      <c r="A1381" s="721"/>
      <c r="B1381" s="722" t="s">
        <v>462</v>
      </c>
      <c r="C1381" s="721"/>
      <c r="D1381" s="721"/>
      <c r="E1381" s="721"/>
      <c r="F1381" s="721"/>
      <c r="G1381" s="721"/>
      <c r="H1381" s="721"/>
      <c r="I1381" s="721"/>
      <c r="J1381" s="721"/>
    </row>
    <row r="1382" spans="1:23">
      <c r="A1382" s="727"/>
      <c r="B1382" s="729" t="s">
        <v>897</v>
      </c>
      <c r="C1382" s="727"/>
      <c r="D1382" s="727"/>
      <c r="E1382" s="727"/>
      <c r="F1382" s="727"/>
      <c r="G1382" s="727"/>
      <c r="H1382" s="727"/>
      <c r="I1382" s="727"/>
      <c r="J1382" s="727"/>
    </row>
    <row r="1383" spans="1:23">
      <c r="B1383" s="277" t="s">
        <v>898</v>
      </c>
      <c r="C1383" s="277" t="s">
        <v>899</v>
      </c>
    </row>
    <row r="1384" spans="1:23">
      <c r="B1384" s="278" t="s">
        <v>462</v>
      </c>
      <c r="C1384" s="278" t="s">
        <v>3024</v>
      </c>
    </row>
    <row r="1385" spans="1:23">
      <c r="B1385" s="16"/>
    </row>
    <row r="1386" spans="1:23">
      <c r="A1386" s="727"/>
      <c r="B1386" s="728" t="s">
        <v>3011</v>
      </c>
      <c r="C1386" s="727"/>
      <c r="D1386" s="727"/>
      <c r="E1386" s="727"/>
      <c r="F1386" s="727"/>
      <c r="G1386" s="727"/>
      <c r="H1386" s="727"/>
      <c r="I1386" s="727"/>
      <c r="J1386" s="727"/>
    </row>
    <row r="1387" spans="1:23">
      <c r="A1387" s="725"/>
      <c r="B1387" s="726" t="s">
        <v>912</v>
      </c>
      <c r="C1387" s="725"/>
      <c r="D1387" s="725"/>
      <c r="E1387" s="725"/>
      <c r="F1387" s="725"/>
      <c r="G1387" s="725"/>
      <c r="H1387" s="725"/>
      <c r="I1387" s="725"/>
      <c r="J1387" s="725"/>
    </row>
    <row r="1388" spans="1:23" ht="29.1">
      <c r="B1388" s="719" t="s">
        <v>913</v>
      </c>
      <c r="C1388" s="719" t="s">
        <v>914</v>
      </c>
      <c r="D1388" s="719" t="s">
        <v>915</v>
      </c>
      <c r="E1388" s="719" t="s">
        <v>916</v>
      </c>
      <c r="F1388" s="719" t="s">
        <v>917</v>
      </c>
      <c r="G1388" s="719" t="s">
        <v>918</v>
      </c>
      <c r="H1388" s="719" t="s">
        <v>919</v>
      </c>
    </row>
    <row r="1389" spans="1:23">
      <c r="B1389" s="278">
        <v>137</v>
      </c>
      <c r="C1389" s="278" t="s">
        <v>3025</v>
      </c>
      <c r="D1389" s="279" t="s">
        <v>352</v>
      </c>
      <c r="E1389" s="278">
        <v>2025</v>
      </c>
      <c r="F1389" s="278" t="s">
        <v>1047</v>
      </c>
      <c r="G1389" s="278" t="s">
        <v>1047</v>
      </c>
      <c r="H1389" s="279" t="s">
        <v>907</v>
      </c>
    </row>
    <row r="1390" spans="1:23">
      <c r="B1390" s="16"/>
    </row>
    <row r="1391" spans="1:23">
      <c r="A1391" s="725"/>
      <c r="B1391" s="726" t="s">
        <v>924</v>
      </c>
      <c r="C1391" s="725"/>
      <c r="D1391" s="725"/>
      <c r="E1391" s="725"/>
      <c r="F1391" s="725"/>
      <c r="G1391" s="725"/>
      <c r="H1391" s="725"/>
      <c r="I1391" s="725"/>
      <c r="J1391" s="725"/>
    </row>
    <row r="1392" spans="1:23">
      <c r="B1392" s="277" t="s">
        <v>165</v>
      </c>
      <c r="C1392" s="277" t="s">
        <v>925</v>
      </c>
      <c r="D1392" s="277" t="s">
        <v>926</v>
      </c>
      <c r="E1392" s="1134" t="s">
        <v>953</v>
      </c>
      <c r="F1392" s="1134"/>
      <c r="G1392" s="1134"/>
      <c r="H1392" s="1134"/>
      <c r="I1392" s="1134"/>
      <c r="J1392" s="1134"/>
    </row>
    <row r="1393" spans="1:10" ht="14.45" customHeight="1">
      <c r="B1393" s="278" t="s">
        <v>169</v>
      </c>
      <c r="C1393" s="278" t="s">
        <v>166</v>
      </c>
      <c r="D1393" s="278">
        <f>VLOOKUP(C1393,METHODOLOGY!$C$175:$D$177,2,FALSE)</f>
        <v>3</v>
      </c>
      <c r="E1393" s="1087" t="str">
        <f>_xlfn.XLOOKUP(C1393,METHODOLOGY!$E$150:$O$150,METHODOLOGY!$E$151:$O$151,"",0,1)</f>
        <v>Monetary values have been peer reviewed or are recommended / referenced in other, well recognised and accepted guidance / tools relevant to the water sector.</v>
      </c>
      <c r="F1393" s="1087"/>
      <c r="G1393" s="1087"/>
      <c r="H1393" s="1087"/>
      <c r="I1393" s="1087"/>
      <c r="J1393" s="1087"/>
    </row>
    <row r="1394" spans="1:10" ht="14.45" customHeight="1">
      <c r="B1394" s="278" t="s">
        <v>173</v>
      </c>
      <c r="C1394" s="278" t="s">
        <v>166</v>
      </c>
      <c r="D1394" s="278">
        <f>VLOOKUP(C1394,METHODOLOGY!$C$175:$D$177,2,FALSE)</f>
        <v>3</v>
      </c>
      <c r="E1394" s="1087" t="str">
        <f>_xlfn.XLOOKUP(C1394,METHODOLOGY!$E$150:$O$150,METHODOLOGY!$E$155:$O$155,"",0,1)</f>
        <v>Study has few limitations and is considered robust.</v>
      </c>
      <c r="F1394" s="1087"/>
      <c r="G1394" s="1087"/>
      <c r="H1394" s="1087"/>
      <c r="I1394" s="1087"/>
      <c r="J1394" s="1087"/>
    </row>
    <row r="1395" spans="1:10" ht="14.45" customHeight="1">
      <c r="B1395" s="278" t="s">
        <v>177</v>
      </c>
      <c r="C1395" s="278" t="s">
        <v>166</v>
      </c>
      <c r="D1395" s="278">
        <f>VLOOKUP(C1395,METHODOLOGY!$C$175:$D$177,2,FALSE)</f>
        <v>3</v>
      </c>
      <c r="E1395" s="1087" t="str">
        <f>_xlfn.XLOOKUP(C1395,METHODOLOGY!$E$150:$O$150,METHODOLOGY!$E$158:$O$158,"",0,1)</f>
        <v>0 – 5 years</v>
      </c>
      <c r="F1395" s="1087"/>
      <c r="G1395" s="1087"/>
      <c r="H1395" s="1087"/>
      <c r="I1395" s="1087"/>
      <c r="J1395" s="1087"/>
    </row>
    <row r="1396" spans="1:10" ht="14.45" customHeight="1">
      <c r="B1396" s="278" t="s">
        <v>181</v>
      </c>
      <c r="C1396" s="278" t="s">
        <v>166</v>
      </c>
      <c r="D1396" s="278">
        <f>VLOOKUP(C1396,METHODOLOGY!$C$175:$D$177,2,FALSE)</f>
        <v>3</v>
      </c>
      <c r="E1396" s="1087" t="str">
        <f>_xlfn.XLOOKUP(C1396,METHODOLOGY!$E$150:$O$150,METHODOLOGY!$E$160:$O$160,"",0,1)</f>
        <v>Geographically relevant to UK</v>
      </c>
      <c r="F1396" s="1087"/>
      <c r="G1396" s="1087"/>
      <c r="H1396" s="1087"/>
      <c r="I1396" s="1087"/>
      <c r="J1396" s="1087"/>
    </row>
    <row r="1397" spans="1:10" ht="14.45" customHeight="1">
      <c r="B1397" s="278" t="s">
        <v>928</v>
      </c>
      <c r="C1397" s="278" t="s">
        <v>166</v>
      </c>
      <c r="D1397" s="278">
        <f>VLOOKUP(C1397,METHODOLOGY!$C$175:$D$177,2,FALSE)</f>
        <v>3</v>
      </c>
      <c r="E1397" s="1087" t="str">
        <f>_xlfn.XLOOKUP(C1397,METHODOLOGY!$E$150:$O$150,METHODOLOGY!$E$162:$O$162,"",0,1)</f>
        <v>Clear understanding of the valuation method and how the value should be applied.</v>
      </c>
      <c r="F1397" s="1087"/>
      <c r="G1397" s="1087"/>
      <c r="H1397" s="1087"/>
      <c r="I1397" s="1087"/>
      <c r="J1397" s="1087"/>
    </row>
    <row r="1398" spans="1:10" ht="14.45" customHeight="1">
      <c r="B1398" s="278" t="s">
        <v>189</v>
      </c>
      <c r="C1398" s="278" t="s">
        <v>167</v>
      </c>
      <c r="D1398" s="278">
        <f>VLOOKUP(C1398,METHODOLOGY!$C$175:$D$177,2,FALSE)</f>
        <v>2</v>
      </c>
      <c r="E1398" s="1087" t="str">
        <f>_xlfn.XLOOKUP(C1398,METHODOLOGY!$E$150:$O$150,METHODOLOGY!$E$164:$O$164,"",0,1)</f>
        <v xml:space="preserve">The original valuation can be used with some modification e.g. applying household numbers. The calculation is simple or introduces low levels of uncertainty. </v>
      </c>
      <c r="F1398" s="1087"/>
      <c r="G1398" s="1087"/>
      <c r="H1398" s="1087"/>
      <c r="I1398" s="1087"/>
      <c r="J1398" s="1087"/>
    </row>
    <row r="1399" spans="1:10">
      <c r="C1399" s="282" t="s">
        <v>924</v>
      </c>
      <c r="D1399" s="326">
        <f>IF(AND(D1398=1,AVERAGE(D1393:D1398)&gt;2.14285714285714),2.14285714285714,IF(AND(D1398=2,AVERAGE(D1393:D1398)&gt;2.57142857142857),2.57142857142857,AVERAGE(D1393:D1398)))</f>
        <v>2.5714285714285698</v>
      </c>
      <c r="E1399" s="270" t="str">
        <f>IF(D1399&lt;=2.14285714285714,"Red",IF(D1399&lt;=2.57142857142857,"Amber",IF(D1399&lt;=3,"Green")))</f>
        <v>Amber</v>
      </c>
    </row>
    <row r="1401" spans="1:10">
      <c r="A1401" s="725"/>
      <c r="B1401" s="726" t="s">
        <v>929</v>
      </c>
      <c r="C1401" s="725"/>
      <c r="D1401" s="725"/>
      <c r="E1401" s="725"/>
      <c r="F1401" s="725"/>
      <c r="G1401" s="725"/>
      <c r="H1401" s="725"/>
      <c r="I1401" s="725"/>
      <c r="J1401" s="725"/>
    </row>
    <row r="1402" spans="1:10">
      <c r="B1402" s="277" t="s">
        <v>913</v>
      </c>
      <c r="C1402" s="277" t="s">
        <v>902</v>
      </c>
      <c r="D1402" s="277" t="s">
        <v>331</v>
      </c>
      <c r="E1402" s="277" t="s">
        <v>226</v>
      </c>
      <c r="F1402" s="1128" t="s">
        <v>930</v>
      </c>
      <c r="G1402" s="1129"/>
      <c r="H1402" s="1129"/>
      <c r="I1402" s="1129"/>
      <c r="J1402" s="1130"/>
    </row>
    <row r="1403" spans="1:10" ht="15" customHeight="1">
      <c r="B1403" s="1246">
        <v>137</v>
      </c>
      <c r="C1403" s="388" t="s">
        <v>2603</v>
      </c>
      <c r="D1403" s="417">
        <v>1126.68</v>
      </c>
      <c r="E1403" s="394" t="s">
        <v>244</v>
      </c>
      <c r="F1403" s="1118" t="s">
        <v>3026</v>
      </c>
      <c r="G1403" s="1119"/>
      <c r="H1403" s="1119"/>
      <c r="I1403" s="1119"/>
      <c r="J1403" s="1091"/>
    </row>
    <row r="1404" spans="1:10" ht="15" customHeight="1">
      <c r="B1404" s="1246"/>
      <c r="C1404" s="388" t="s">
        <v>2603</v>
      </c>
      <c r="D1404" s="417">
        <v>2497.3000000000002</v>
      </c>
      <c r="E1404" s="394" t="s">
        <v>244</v>
      </c>
      <c r="F1404" s="1118" t="s">
        <v>3027</v>
      </c>
      <c r="G1404" s="1119"/>
      <c r="H1404" s="1119"/>
      <c r="I1404" s="1119"/>
      <c r="J1404" s="1091"/>
    </row>
    <row r="1405" spans="1:10" ht="15" customHeight="1">
      <c r="B1405" s="1246"/>
      <c r="C1405" s="388" t="s">
        <v>2603</v>
      </c>
      <c r="D1405" s="417">
        <v>204.37</v>
      </c>
      <c r="E1405" s="394" t="s">
        <v>244</v>
      </c>
      <c r="F1405" s="1118" t="s">
        <v>3028</v>
      </c>
      <c r="G1405" s="1119"/>
      <c r="H1405" s="1119"/>
      <c r="I1405" s="1119"/>
      <c r="J1405" s="1091"/>
    </row>
    <row r="1406" spans="1:10" ht="15" customHeight="1">
      <c r="B1406" s="1246"/>
      <c r="C1406" s="388" t="s">
        <v>2603</v>
      </c>
      <c r="D1406" s="417">
        <v>611.53</v>
      </c>
      <c r="E1406" s="394" t="s">
        <v>244</v>
      </c>
      <c r="F1406" s="1118" t="s">
        <v>3029</v>
      </c>
      <c r="G1406" s="1119"/>
      <c r="H1406" s="1119"/>
      <c r="I1406" s="1119"/>
      <c r="J1406" s="1091"/>
    </row>
    <row r="1408" spans="1:10">
      <c r="A1408" s="725"/>
      <c r="B1408" s="726" t="s">
        <v>936</v>
      </c>
      <c r="C1408" s="725"/>
      <c r="D1408" s="725"/>
      <c r="E1408" s="725"/>
      <c r="F1408" s="725"/>
      <c r="G1408" s="725"/>
      <c r="H1408" s="725"/>
      <c r="I1408" s="725"/>
      <c r="J1408" s="725"/>
    </row>
    <row r="1409" spans="1:23">
      <c r="B1409" s="298" t="s">
        <v>902</v>
      </c>
      <c r="C1409" s="298" t="s">
        <v>2628</v>
      </c>
      <c r="D1409" s="1170" t="s">
        <v>930</v>
      </c>
      <c r="E1409" s="1170"/>
      <c r="F1409" s="1170"/>
    </row>
    <row r="1410" spans="1:23" ht="27.95" customHeight="1">
      <c r="B1410" s="383" t="s">
        <v>608</v>
      </c>
      <c r="C1410" s="604">
        <f>AVERAGE(D1403:D1406)</f>
        <v>1109.97</v>
      </c>
      <c r="D1410" s="1095" t="s">
        <v>3030</v>
      </c>
      <c r="E1410" s="1095"/>
      <c r="F1410" s="1095"/>
    </row>
    <row r="1411" spans="1:23" ht="29.1" customHeight="1">
      <c r="B1411" s="383" t="s">
        <v>609</v>
      </c>
      <c r="C1411" s="604">
        <f>C1410*0.75</f>
        <v>832.47749999999996</v>
      </c>
      <c r="D1411" s="1095" t="s">
        <v>3031</v>
      </c>
      <c r="E1411" s="1095"/>
      <c r="F1411" s="1095"/>
    </row>
    <row r="1412" spans="1:23" ht="27.95" customHeight="1">
      <c r="B1412" s="383" t="s">
        <v>610</v>
      </c>
      <c r="C1412" s="511">
        <f>C1410*0.5</f>
        <v>554.98500000000001</v>
      </c>
      <c r="D1412" s="1095" t="s">
        <v>3032</v>
      </c>
      <c r="E1412" s="1095"/>
      <c r="F1412" s="1095"/>
    </row>
    <row r="1414" spans="1:23">
      <c r="A1414" s="727"/>
      <c r="B1414" s="728" t="s">
        <v>901</v>
      </c>
      <c r="C1414" s="727"/>
      <c r="D1414" s="727"/>
      <c r="E1414" s="727"/>
      <c r="F1414" s="727"/>
      <c r="G1414" s="727"/>
      <c r="H1414" s="727"/>
      <c r="I1414" s="727"/>
      <c r="J1414" s="727"/>
    </row>
    <row r="1415" spans="1:23" ht="29.1">
      <c r="B1415" s="522" t="s">
        <v>902</v>
      </c>
      <c r="C1415" s="522" t="s">
        <v>898</v>
      </c>
      <c r="D1415" s="522" t="s">
        <v>899</v>
      </c>
      <c r="E1415" s="719" t="s">
        <v>903</v>
      </c>
      <c r="F1415" s="522" t="s">
        <v>904</v>
      </c>
      <c r="G1415" s="522" t="s">
        <v>905</v>
      </c>
      <c r="H1415" s="756" t="s">
        <v>924</v>
      </c>
      <c r="I1415" s="756" t="s">
        <v>956</v>
      </c>
      <c r="J1415" s="756" t="s">
        <v>927</v>
      </c>
    </row>
    <row r="1416" spans="1:23">
      <c r="B1416" s="383" t="s">
        <v>608</v>
      </c>
      <c r="C1416" s="278" t="s">
        <v>462</v>
      </c>
      <c r="D1416" s="299" t="s">
        <v>3024</v>
      </c>
      <c r="E1416" s="299" t="s">
        <v>3018</v>
      </c>
      <c r="F1416" s="278" t="str" cm="1">
        <f t="array" ref="F1416">_xlfn.XLOOKUP(1,($D$1422:$D$1424=B1416)*($E$1422:$E$1424=C1416),$B$1422:$B$1424,"Not found",0,1)</f>
        <v>30-115</v>
      </c>
      <c r="G1416" s="311">
        <f>VLOOKUP(F1416,B1422:L1424,11,FALSE)</f>
        <v>-1093.3015246686928</v>
      </c>
      <c r="H1416" s="1120">
        <f>D1399</f>
        <v>2.5714285714285698</v>
      </c>
      <c r="I1416" s="1178" t="s">
        <v>3033</v>
      </c>
      <c r="J1416" s="1178" t="s">
        <v>3034</v>
      </c>
    </row>
    <row r="1417" spans="1:23">
      <c r="B1417" s="334" t="s">
        <v>609</v>
      </c>
      <c r="C1417" s="278" t="s">
        <v>462</v>
      </c>
      <c r="D1417" s="299" t="s">
        <v>3024</v>
      </c>
      <c r="E1417" s="299" t="s">
        <v>3018</v>
      </c>
      <c r="F1417" s="278" t="str" cm="1">
        <f t="array" ref="F1417">_xlfn.XLOOKUP(1,($D$1422:$D$1424=B1417)*($E$1422:$E$1424=C1417),$B$1422:$B$1424,"Not found",0,1)</f>
        <v>30-116</v>
      </c>
      <c r="G1417" s="311">
        <f>VLOOKUP(F1417,B1423:L1425,11,FALSE)</f>
        <v>-819.97614350151946</v>
      </c>
      <c r="H1417" s="1121"/>
      <c r="I1417" s="1178"/>
      <c r="J1417" s="1178"/>
    </row>
    <row r="1418" spans="1:23">
      <c r="B1418" s="383" t="s">
        <v>610</v>
      </c>
      <c r="C1418" s="278" t="s">
        <v>462</v>
      </c>
      <c r="D1418" s="299" t="s">
        <v>3024</v>
      </c>
      <c r="E1418" s="299" t="s">
        <v>3018</v>
      </c>
      <c r="F1418" s="278" t="str" cm="1">
        <f t="array" ref="F1418">_xlfn.XLOOKUP(1,($D$1422:$D$1424=B1418)*($E$1422:$E$1424=C1418),$B$1422:$B$1424,"Not found",0,1)</f>
        <v>30-117</v>
      </c>
      <c r="G1418" s="311">
        <f>VLOOKUP(F1418,B1424:L1531,11,FALSE)</f>
        <v>-546.65076233434638</v>
      </c>
      <c r="H1418" s="1122"/>
      <c r="I1418" s="1178"/>
      <c r="J1418" s="1178"/>
    </row>
    <row r="1419" spans="1:23">
      <c r="B1419" s="18"/>
    </row>
    <row r="1420" spans="1:23">
      <c r="A1420" s="725"/>
      <c r="B1420" s="726" t="s">
        <v>962</v>
      </c>
      <c r="C1420" s="725"/>
      <c r="D1420" s="725"/>
      <c r="E1420" s="725"/>
      <c r="F1420" s="725"/>
      <c r="G1420" s="725"/>
      <c r="H1420" s="725"/>
      <c r="I1420" s="725"/>
      <c r="J1420" s="725"/>
    </row>
    <row r="1421" spans="1:23">
      <c r="B1421" s="277" t="s">
        <v>904</v>
      </c>
      <c r="C1421" s="277" t="s">
        <v>62</v>
      </c>
      <c r="D1421" s="277" t="s">
        <v>902</v>
      </c>
      <c r="E1421" s="277" t="s">
        <v>898</v>
      </c>
      <c r="F1421" s="277" t="s">
        <v>916</v>
      </c>
      <c r="G1421" s="277" t="s">
        <v>963</v>
      </c>
      <c r="H1421" s="277" t="s">
        <v>964</v>
      </c>
      <c r="I1421" s="277" t="s">
        <v>965</v>
      </c>
      <c r="J1421" s="277" t="s">
        <v>966</v>
      </c>
      <c r="K1421" s="277" t="s">
        <v>967</v>
      </c>
      <c r="L1421" s="277" t="s">
        <v>968</v>
      </c>
      <c r="M1421" s="277" t="s">
        <v>956</v>
      </c>
      <c r="N1421" s="277" t="s">
        <v>969</v>
      </c>
      <c r="O1421" s="277" t="s">
        <v>970</v>
      </c>
      <c r="P1421" s="277" t="s">
        <v>927</v>
      </c>
      <c r="Q1421" s="277" t="s">
        <v>913</v>
      </c>
      <c r="R1421" s="277" t="s">
        <v>914</v>
      </c>
      <c r="S1421" s="277" t="s">
        <v>915</v>
      </c>
      <c r="T1421" s="277" t="s">
        <v>916</v>
      </c>
      <c r="U1421" s="277" t="s">
        <v>1291</v>
      </c>
      <c r="V1421" s="277" t="s">
        <v>918</v>
      </c>
      <c r="W1421" s="277" t="s">
        <v>919</v>
      </c>
    </row>
    <row r="1422" spans="1:23">
      <c r="B1422" s="302" t="s">
        <v>3035</v>
      </c>
      <c r="C1422" s="278" t="s">
        <v>2645</v>
      </c>
      <c r="D1422" s="299" t="s">
        <v>608</v>
      </c>
      <c r="E1422" s="278" t="s">
        <v>462</v>
      </c>
      <c r="F1422" s="299">
        <f>$E$1389</f>
        <v>2025</v>
      </c>
      <c r="G1422" s="278">
        <v>2024</v>
      </c>
      <c r="H1422" s="278">
        <f>'COMPANY INPUT'!$C$16</f>
        <v>2023</v>
      </c>
      <c r="I1422" s="278">
        <f>VLOOKUP(G1422,'GDP Deflators'!$H$13:$I$86,2,FALSE)</f>
        <v>101.52460002617836</v>
      </c>
      <c r="J1422" s="278">
        <f>VLOOKUP(H1422,'GDP Deflators'!$H$13:$I$86,2,FALSE)</f>
        <v>100</v>
      </c>
      <c r="K1422" s="297">
        <f>-C1410</f>
        <v>-1109.97</v>
      </c>
      <c r="L1422" s="746">
        <f>K1422*(J1422/I1422)</f>
        <v>-1093.3015246686928</v>
      </c>
      <c r="M1422" s="278" t="s">
        <v>3033</v>
      </c>
      <c r="N1422" s="326">
        <f>$D$1399</f>
        <v>2.5714285714285698</v>
      </c>
      <c r="O1422" s="278" t="s">
        <v>718</v>
      </c>
      <c r="P1422" s="278" t="s">
        <v>3034</v>
      </c>
      <c r="Q1422" s="299">
        <f t="shared" ref="Q1422:W1424" si="125">B$1389</f>
        <v>137</v>
      </c>
      <c r="R1422" s="299" t="str">
        <f t="shared" si="125"/>
        <v>EA (2025) Natural Capital Evidence and Metrics</v>
      </c>
      <c r="S1422" s="299" t="str">
        <f t="shared" si="125"/>
        <v>NCEM</v>
      </c>
      <c r="T1422" s="299">
        <f t="shared" si="125"/>
        <v>2025</v>
      </c>
      <c r="U1422" s="299" t="str">
        <f t="shared" si="125"/>
        <v>UK</v>
      </c>
      <c r="V1422" s="299" t="str">
        <f t="shared" si="125"/>
        <v>UK</v>
      </c>
      <c r="W1422" s="299" t="str">
        <f t="shared" si="125"/>
        <v>/</v>
      </c>
    </row>
    <row r="1423" spans="1:23">
      <c r="B1423" s="302" t="s">
        <v>3036</v>
      </c>
      <c r="C1423" s="278" t="s">
        <v>2645</v>
      </c>
      <c r="D1423" s="334" t="s">
        <v>609</v>
      </c>
      <c r="E1423" s="278" t="s">
        <v>462</v>
      </c>
      <c r="F1423" s="299">
        <f>$E$1389</f>
        <v>2025</v>
      </c>
      <c r="G1423" s="278">
        <v>2024</v>
      </c>
      <c r="H1423" s="278">
        <f>'COMPANY INPUT'!$C$16</f>
        <v>2023</v>
      </c>
      <c r="I1423" s="278">
        <f>VLOOKUP(G1423,'GDP Deflators'!$H$13:$I$86,2,FALSE)</f>
        <v>101.52460002617836</v>
      </c>
      <c r="J1423" s="278">
        <f>VLOOKUP(H1423,'GDP Deflators'!$H$13:$I$86,2,FALSE)</f>
        <v>100</v>
      </c>
      <c r="K1423" s="297">
        <f>-C1411</f>
        <v>-832.47749999999996</v>
      </c>
      <c r="L1423" s="746">
        <f>K1423*(J1423/I1423)</f>
        <v>-819.97614350151946</v>
      </c>
      <c r="M1423" s="278" t="s">
        <v>3033</v>
      </c>
      <c r="N1423" s="326">
        <f>$D$1399</f>
        <v>2.5714285714285698</v>
      </c>
      <c r="O1423" s="278" t="s">
        <v>718</v>
      </c>
      <c r="P1423" s="278" t="s">
        <v>3034</v>
      </c>
      <c r="Q1423" s="299">
        <f t="shared" si="125"/>
        <v>137</v>
      </c>
      <c r="R1423" s="299" t="str">
        <f t="shared" si="125"/>
        <v>EA (2025) Natural Capital Evidence and Metrics</v>
      </c>
      <c r="S1423" s="299" t="str">
        <f t="shared" si="125"/>
        <v>NCEM</v>
      </c>
      <c r="T1423" s="299">
        <f t="shared" si="125"/>
        <v>2025</v>
      </c>
      <c r="U1423" s="299" t="str">
        <f t="shared" si="125"/>
        <v>UK</v>
      </c>
      <c r="V1423" s="299" t="str">
        <f t="shared" si="125"/>
        <v>UK</v>
      </c>
      <c r="W1423" s="299" t="str">
        <f t="shared" si="125"/>
        <v>/</v>
      </c>
    </row>
    <row r="1424" spans="1:23">
      <c r="B1424" s="302" t="s">
        <v>3037</v>
      </c>
      <c r="C1424" s="278" t="s">
        <v>2645</v>
      </c>
      <c r="D1424" s="299" t="s">
        <v>610</v>
      </c>
      <c r="E1424" s="278" t="s">
        <v>462</v>
      </c>
      <c r="F1424" s="299">
        <f>$E$1389</f>
        <v>2025</v>
      </c>
      <c r="G1424" s="278">
        <v>2024</v>
      </c>
      <c r="H1424" s="278">
        <f>'COMPANY INPUT'!$C$16</f>
        <v>2023</v>
      </c>
      <c r="I1424" s="278">
        <f>VLOOKUP(G1424,'GDP Deflators'!$H$13:$I$86,2,FALSE)</f>
        <v>101.52460002617836</v>
      </c>
      <c r="J1424" s="278">
        <f>VLOOKUP(H1424,'GDP Deflators'!$H$13:$I$86,2,FALSE)</f>
        <v>100</v>
      </c>
      <c r="K1424" s="297">
        <f>-C1412</f>
        <v>-554.98500000000001</v>
      </c>
      <c r="L1424" s="746">
        <f>K1424*(J1424/I1424)</f>
        <v>-546.65076233434638</v>
      </c>
      <c r="M1424" s="278" t="s">
        <v>3033</v>
      </c>
      <c r="N1424" s="326">
        <f>$D$1399</f>
        <v>2.5714285714285698</v>
      </c>
      <c r="O1424" s="278" t="s">
        <v>718</v>
      </c>
      <c r="P1424" s="278" t="s">
        <v>3034</v>
      </c>
      <c r="Q1424" s="299">
        <f t="shared" si="125"/>
        <v>137</v>
      </c>
      <c r="R1424" s="299" t="str">
        <f t="shared" si="125"/>
        <v>EA (2025) Natural Capital Evidence and Metrics</v>
      </c>
      <c r="S1424" s="299" t="str">
        <f t="shared" si="125"/>
        <v>NCEM</v>
      </c>
      <c r="T1424" s="299">
        <f t="shared" si="125"/>
        <v>2025</v>
      </c>
      <c r="U1424" s="299" t="str">
        <f t="shared" si="125"/>
        <v>UK</v>
      </c>
      <c r="V1424" s="299" t="str">
        <f t="shared" si="125"/>
        <v>UK</v>
      </c>
      <c r="W1424" s="299" t="str">
        <f t="shared" si="125"/>
        <v>/</v>
      </c>
    </row>
  </sheetData>
  <sheetProtection algorithmName="SHA-512" hashValue="tLY6xND9IJ/ZwvJoiL5avgU4dSSrrXujDALAP9EMscKg7yaTsFhvDfiFkXah/sXxwPzoQw+8LJHrdZ1nJB+6ow==" saltValue="iSA0bij7PJZabS5ILuf8Yg==" spinCount="100000" sheet="1" objects="1" scenarios="1"/>
  <dataConsolidate/>
  <mergeCells count="417">
    <mergeCell ref="E1326:J1326"/>
    <mergeCell ref="E1327:J1327"/>
    <mergeCell ref="E1328:J1328"/>
    <mergeCell ref="E1329:J1329"/>
    <mergeCell ref="E1330:J1330"/>
    <mergeCell ref="F1334:J1334"/>
    <mergeCell ref="F1335:J1336"/>
    <mergeCell ref="E1264:J1264"/>
    <mergeCell ref="E1265:J1265"/>
    <mergeCell ref="E1266:J1266"/>
    <mergeCell ref="E1267:J1267"/>
    <mergeCell ref="E1268:J1268"/>
    <mergeCell ref="F1272:J1272"/>
    <mergeCell ref="F1273:J1274"/>
    <mergeCell ref="E1324:J1324"/>
    <mergeCell ref="E1325:J1325"/>
    <mergeCell ref="D1280:F1280"/>
    <mergeCell ref="D1277:F1277"/>
    <mergeCell ref="D1278:F1279"/>
    <mergeCell ref="E1202:J1202"/>
    <mergeCell ref="E1203:J1203"/>
    <mergeCell ref="E1204:J1204"/>
    <mergeCell ref="E1205:J1205"/>
    <mergeCell ref="E1206:J1206"/>
    <mergeCell ref="F1210:J1210"/>
    <mergeCell ref="F1211:J1212"/>
    <mergeCell ref="E1262:J1262"/>
    <mergeCell ref="E1263:J1263"/>
    <mergeCell ref="J1241:J1243"/>
    <mergeCell ref="I1241:I1243"/>
    <mergeCell ref="H1241:H1243"/>
    <mergeCell ref="E1201:J1201"/>
    <mergeCell ref="I1164:I1169"/>
    <mergeCell ref="I1161:I1163"/>
    <mergeCell ref="H1170:H1172"/>
    <mergeCell ref="H1164:H1169"/>
    <mergeCell ref="H1161:H1163"/>
    <mergeCell ref="J1170:J1172"/>
    <mergeCell ref="J1164:J1169"/>
    <mergeCell ref="J1161:J1163"/>
    <mergeCell ref="E1131:J1131"/>
    <mergeCell ref="E1132:J1132"/>
    <mergeCell ref="E1133:J1133"/>
    <mergeCell ref="E1134:J1134"/>
    <mergeCell ref="F1138:J1138"/>
    <mergeCell ref="F1139:J1139"/>
    <mergeCell ref="F1140:J1140"/>
    <mergeCell ref="E1200:J1200"/>
    <mergeCell ref="I1170:I1172"/>
    <mergeCell ref="H978:J978"/>
    <mergeCell ref="H979:J981"/>
    <mergeCell ref="E1042:J1042"/>
    <mergeCell ref="E1043:J1043"/>
    <mergeCell ref="E1087:J1087"/>
    <mergeCell ref="E1088:J1088"/>
    <mergeCell ref="E1089:J1089"/>
    <mergeCell ref="E981:G981"/>
    <mergeCell ref="E1130:J1130"/>
    <mergeCell ref="E1128:J1128"/>
    <mergeCell ref="E1129:J1129"/>
    <mergeCell ref="E979:G979"/>
    <mergeCell ref="E1086:J1086"/>
    <mergeCell ref="E969:J969"/>
    <mergeCell ref="D864:F864"/>
    <mergeCell ref="E970:J970"/>
    <mergeCell ref="E971:J971"/>
    <mergeCell ref="E972:J972"/>
    <mergeCell ref="D865:F866"/>
    <mergeCell ref="E973:J973"/>
    <mergeCell ref="E974:J974"/>
    <mergeCell ref="H889:H891"/>
    <mergeCell ref="H892:H920"/>
    <mergeCell ref="E768:J768"/>
    <mergeCell ref="E769:J769"/>
    <mergeCell ref="E770:J770"/>
    <mergeCell ref="E771:J771"/>
    <mergeCell ref="E849:J849"/>
    <mergeCell ref="E850:J850"/>
    <mergeCell ref="E792:G792"/>
    <mergeCell ref="E801:G801"/>
    <mergeCell ref="E800:G800"/>
    <mergeCell ref="E799:G799"/>
    <mergeCell ref="E796:G796"/>
    <mergeCell ref="E803:G803"/>
    <mergeCell ref="E802:G802"/>
    <mergeCell ref="E791:G791"/>
    <mergeCell ref="E795:G795"/>
    <mergeCell ref="I791:L791"/>
    <mergeCell ref="I792:L793"/>
    <mergeCell ref="I795:L798"/>
    <mergeCell ref="E798:G798"/>
    <mergeCell ref="E797:G797"/>
    <mergeCell ref="I806:L806"/>
    <mergeCell ref="I805:L805"/>
    <mergeCell ref="I804:L804"/>
    <mergeCell ref="I802:L803"/>
    <mergeCell ref="E587:J587"/>
    <mergeCell ref="E588:J588"/>
    <mergeCell ref="E589:J589"/>
    <mergeCell ref="I547:I552"/>
    <mergeCell ref="J541:J546"/>
    <mergeCell ref="I541:I546"/>
    <mergeCell ref="D659:F660"/>
    <mergeCell ref="E766:J766"/>
    <mergeCell ref="E767:J767"/>
    <mergeCell ref="E765:J765"/>
    <mergeCell ref="E643:J643"/>
    <mergeCell ref="E644:J644"/>
    <mergeCell ref="E645:J645"/>
    <mergeCell ref="E646:J646"/>
    <mergeCell ref="E647:J647"/>
    <mergeCell ref="E648:J648"/>
    <mergeCell ref="E649:J649"/>
    <mergeCell ref="F653:J653"/>
    <mergeCell ref="D658:F658"/>
    <mergeCell ref="D606:D608"/>
    <mergeCell ref="F525:J525"/>
    <mergeCell ref="F482:J482"/>
    <mergeCell ref="F483:J483"/>
    <mergeCell ref="F484:J484"/>
    <mergeCell ref="E583:J583"/>
    <mergeCell ref="E584:J584"/>
    <mergeCell ref="E585:J585"/>
    <mergeCell ref="E586:J586"/>
    <mergeCell ref="H538:H540"/>
    <mergeCell ref="I553:I555"/>
    <mergeCell ref="J538:J540"/>
    <mergeCell ref="I538:I540"/>
    <mergeCell ref="H553:H555"/>
    <mergeCell ref="H547:H552"/>
    <mergeCell ref="H541:H546"/>
    <mergeCell ref="D8:F8"/>
    <mergeCell ref="D10:F10"/>
    <mergeCell ref="D11:F11"/>
    <mergeCell ref="D12:F12"/>
    <mergeCell ref="D13:F13"/>
    <mergeCell ref="D15:F15"/>
    <mergeCell ref="G8:I8"/>
    <mergeCell ref="E190:J190"/>
    <mergeCell ref="E122:J122"/>
    <mergeCell ref="E123:J123"/>
    <mergeCell ref="E124:J124"/>
    <mergeCell ref="E125:J125"/>
    <mergeCell ref="E126:J126"/>
    <mergeCell ref="F130:J130"/>
    <mergeCell ref="D93:F93"/>
    <mergeCell ref="D91:F92"/>
    <mergeCell ref="E120:J120"/>
    <mergeCell ref="B5:H5"/>
    <mergeCell ref="E75:J75"/>
    <mergeCell ref="E76:J76"/>
    <mergeCell ref="E77:J77"/>
    <mergeCell ref="E78:J78"/>
    <mergeCell ref="E79:J79"/>
    <mergeCell ref="E80:J80"/>
    <mergeCell ref="E81:J81"/>
    <mergeCell ref="F85:J85"/>
    <mergeCell ref="D17:F17"/>
    <mergeCell ref="G17:I17"/>
    <mergeCell ref="G13:I13"/>
    <mergeCell ref="G15:I15"/>
    <mergeCell ref="D14:F14"/>
    <mergeCell ref="G14:I14"/>
    <mergeCell ref="D7:F7"/>
    <mergeCell ref="G10:I10"/>
    <mergeCell ref="G11:I11"/>
    <mergeCell ref="G12:I12"/>
    <mergeCell ref="D9:F9"/>
    <mergeCell ref="G9:I9"/>
    <mergeCell ref="D16:F16"/>
    <mergeCell ref="G16:I16"/>
    <mergeCell ref="G7:I7"/>
    <mergeCell ref="E433:J433"/>
    <mergeCell ref="E1097:E1100"/>
    <mergeCell ref="J994:J999"/>
    <mergeCell ref="I994:I999"/>
    <mergeCell ref="H994:H999"/>
    <mergeCell ref="J1000:J1020"/>
    <mergeCell ref="I1000:I1020"/>
    <mergeCell ref="H1000:H1020"/>
    <mergeCell ref="D1058:F1059"/>
    <mergeCell ref="E1044:J1044"/>
    <mergeCell ref="E1045:J1045"/>
    <mergeCell ref="E1046:J1046"/>
    <mergeCell ref="E1047:J1047"/>
    <mergeCell ref="E1048:J1048"/>
    <mergeCell ref="F1052:J1052"/>
    <mergeCell ref="E1090:J1090"/>
    <mergeCell ref="E1091:J1091"/>
    <mergeCell ref="E1092:J1092"/>
    <mergeCell ref="E472:J472"/>
    <mergeCell ref="E473:J473"/>
    <mergeCell ref="E474:J474"/>
    <mergeCell ref="E475:J475"/>
    <mergeCell ref="E476:J476"/>
    <mergeCell ref="F524:J524"/>
    <mergeCell ref="K311:K320"/>
    <mergeCell ref="B324:G324"/>
    <mergeCell ref="B325:G325"/>
    <mergeCell ref="B338:C338"/>
    <mergeCell ref="D487:F487"/>
    <mergeCell ref="D445:F445"/>
    <mergeCell ref="B483:B484"/>
    <mergeCell ref="B438:B439"/>
    <mergeCell ref="D442:F442"/>
    <mergeCell ref="D443:F444"/>
    <mergeCell ref="H370:H381"/>
    <mergeCell ref="I370:I381"/>
    <mergeCell ref="H382:H390"/>
    <mergeCell ref="J382:J390"/>
    <mergeCell ref="I382:I390"/>
    <mergeCell ref="B353:D353"/>
    <mergeCell ref="B364:B366"/>
    <mergeCell ref="E429:J429"/>
    <mergeCell ref="E430:J430"/>
    <mergeCell ref="E431:J431"/>
    <mergeCell ref="E432:J432"/>
    <mergeCell ref="F437:J437"/>
    <mergeCell ref="F438:J439"/>
    <mergeCell ref="B358:B360"/>
    <mergeCell ref="D1339:F1339"/>
    <mergeCell ref="D1342:F1342"/>
    <mergeCell ref="H1369:H1371"/>
    <mergeCell ref="I1369:I1371"/>
    <mergeCell ref="J1369:J1371"/>
    <mergeCell ref="D1340:F1340"/>
    <mergeCell ref="D1341:F1341"/>
    <mergeCell ref="D609:D611"/>
    <mergeCell ref="H1303:H1305"/>
    <mergeCell ref="I1303:I1305"/>
    <mergeCell ref="J1303:J1305"/>
    <mergeCell ref="H687:H716"/>
    <mergeCell ref="H684:H686"/>
    <mergeCell ref="I687:I716"/>
    <mergeCell ref="I684:I686"/>
    <mergeCell ref="J687:J716"/>
    <mergeCell ref="J684:J686"/>
    <mergeCell ref="J892:J920"/>
    <mergeCell ref="J889:J891"/>
    <mergeCell ref="I892:I920"/>
    <mergeCell ref="I889:I891"/>
    <mergeCell ref="E978:G978"/>
    <mergeCell ref="D661:F661"/>
    <mergeCell ref="E853:J853"/>
    <mergeCell ref="E854:J854"/>
    <mergeCell ref="K889:K920"/>
    <mergeCell ref="D867:F867"/>
    <mergeCell ref="E855:J855"/>
    <mergeCell ref="F859:J859"/>
    <mergeCell ref="F860:J861"/>
    <mergeCell ref="B1273:B1274"/>
    <mergeCell ref="B1211:B1212"/>
    <mergeCell ref="D1215:F1215"/>
    <mergeCell ref="D1216:F1217"/>
    <mergeCell ref="D1218:F1218"/>
    <mergeCell ref="B1053:B1054"/>
    <mergeCell ref="D1057:F1057"/>
    <mergeCell ref="D1060:F1060"/>
    <mergeCell ref="E980:G980"/>
    <mergeCell ref="E1155:G1157"/>
    <mergeCell ref="E1154:G1154"/>
    <mergeCell ref="E1114:G1114"/>
    <mergeCell ref="E1115:G1117"/>
    <mergeCell ref="E1118:G1120"/>
    <mergeCell ref="B1097:B1100"/>
    <mergeCell ref="B1139:B1140"/>
    <mergeCell ref="F1053:J1054"/>
    <mergeCell ref="E968:J968"/>
    <mergeCell ref="F196:J196"/>
    <mergeCell ref="J547:J552"/>
    <mergeCell ref="F197:J197"/>
    <mergeCell ref="I799:L801"/>
    <mergeCell ref="E806:G806"/>
    <mergeCell ref="E805:G805"/>
    <mergeCell ref="E804:G804"/>
    <mergeCell ref="E851:J851"/>
    <mergeCell ref="E852:J852"/>
    <mergeCell ref="E477:J477"/>
    <mergeCell ref="E218:J218"/>
    <mergeCell ref="E219:J219"/>
    <mergeCell ref="E220:J220"/>
    <mergeCell ref="E221:J221"/>
    <mergeCell ref="E222:J222"/>
    <mergeCell ref="E223:J223"/>
    <mergeCell ref="E224:J224"/>
    <mergeCell ref="E427:J427"/>
    <mergeCell ref="E428:J428"/>
    <mergeCell ref="C308:G308"/>
    <mergeCell ref="E478:J478"/>
    <mergeCell ref="E514:J514"/>
    <mergeCell ref="E515:J515"/>
    <mergeCell ref="E516:J516"/>
    <mergeCell ref="B654:B655"/>
    <mergeCell ref="D528:F528"/>
    <mergeCell ref="D529:F534"/>
    <mergeCell ref="D488:F488"/>
    <mergeCell ref="D490:F490"/>
    <mergeCell ref="D489:F489"/>
    <mergeCell ref="B525"/>
    <mergeCell ref="B594:B602"/>
    <mergeCell ref="I594:I602"/>
    <mergeCell ref="D633:D635"/>
    <mergeCell ref="D630:D632"/>
    <mergeCell ref="D627:D629"/>
    <mergeCell ref="D624:D626"/>
    <mergeCell ref="D621:D623"/>
    <mergeCell ref="D618:D620"/>
    <mergeCell ref="D615:D617"/>
    <mergeCell ref="D612:D614"/>
    <mergeCell ref="F654:J655"/>
    <mergeCell ref="E606:E635"/>
    <mergeCell ref="J553:J555"/>
    <mergeCell ref="E517:J517"/>
    <mergeCell ref="E518:J518"/>
    <mergeCell ref="E519:J519"/>
    <mergeCell ref="E520:J520"/>
    <mergeCell ref="F198:J198"/>
    <mergeCell ref="F131:J131"/>
    <mergeCell ref="B355:B357"/>
    <mergeCell ref="J370:J381"/>
    <mergeCell ref="B195:B198"/>
    <mergeCell ref="D201:F201"/>
    <mergeCell ref="D150:F150"/>
    <mergeCell ref="D153:F153"/>
    <mergeCell ref="J160:J162"/>
    <mergeCell ref="J157:J159"/>
    <mergeCell ref="I160:I162"/>
    <mergeCell ref="I157:I159"/>
    <mergeCell ref="H160:H162"/>
    <mergeCell ref="H157:H159"/>
    <mergeCell ref="B229:B234"/>
    <mergeCell ref="E267:E276"/>
    <mergeCell ref="H279:H288"/>
    <mergeCell ref="I291:I300"/>
    <mergeCell ref="B267:B276"/>
    <mergeCell ref="B279:B288"/>
    <mergeCell ref="B291:B300"/>
    <mergeCell ref="B303:C303"/>
    <mergeCell ref="B361:B363"/>
    <mergeCell ref="F194:J194"/>
    <mergeCell ref="B86:B87"/>
    <mergeCell ref="E121:J121"/>
    <mergeCell ref="D90:F90"/>
    <mergeCell ref="F86:J87"/>
    <mergeCell ref="B131:B132"/>
    <mergeCell ref="D152:F152"/>
    <mergeCell ref="D151:F151"/>
    <mergeCell ref="D210:F210"/>
    <mergeCell ref="D202:F202"/>
    <mergeCell ref="D203:F203"/>
    <mergeCell ref="D204:F204"/>
    <mergeCell ref="D205:F205"/>
    <mergeCell ref="D206:F206"/>
    <mergeCell ref="D208:F208"/>
    <mergeCell ref="D209:F209"/>
    <mergeCell ref="D207:F207"/>
    <mergeCell ref="F132:J132"/>
    <mergeCell ref="E184:J184"/>
    <mergeCell ref="E185:J185"/>
    <mergeCell ref="E186:J186"/>
    <mergeCell ref="E187:J187"/>
    <mergeCell ref="E188:J188"/>
    <mergeCell ref="E189:J189"/>
    <mergeCell ref="F195:J195"/>
    <mergeCell ref="E1392:J1392"/>
    <mergeCell ref="E1393:J1393"/>
    <mergeCell ref="E1394:J1394"/>
    <mergeCell ref="E1395:J1395"/>
    <mergeCell ref="E1396:J1396"/>
    <mergeCell ref="E1397:J1397"/>
    <mergeCell ref="E1398:J1398"/>
    <mergeCell ref="F1402:J1402"/>
    <mergeCell ref="B1403:B1406"/>
    <mergeCell ref="D1409:F1409"/>
    <mergeCell ref="D1412:F1412"/>
    <mergeCell ref="H1416:H1418"/>
    <mergeCell ref="I1416:I1418"/>
    <mergeCell ref="J1416:J1418"/>
    <mergeCell ref="F1403:J1403"/>
    <mergeCell ref="F1404:J1404"/>
    <mergeCell ref="F1405:J1405"/>
    <mergeCell ref="F1406:J1406"/>
    <mergeCell ref="D1410:F1410"/>
    <mergeCell ref="D1411:F1411"/>
    <mergeCell ref="E777:G777"/>
    <mergeCell ref="H777:J777"/>
    <mergeCell ref="E778:G778"/>
    <mergeCell ref="E779:G779"/>
    <mergeCell ref="E780:G780"/>
    <mergeCell ref="E781:G781"/>
    <mergeCell ref="E782:G782"/>
    <mergeCell ref="E783:G783"/>
    <mergeCell ref="E784:G784"/>
    <mergeCell ref="E789:G789"/>
    <mergeCell ref="H778:J789"/>
    <mergeCell ref="B778:B789"/>
    <mergeCell ref="C778:C789"/>
    <mergeCell ref="E794:G794"/>
    <mergeCell ref="I794:L794"/>
    <mergeCell ref="F1361:J1361"/>
    <mergeCell ref="D1364:F1364"/>
    <mergeCell ref="D1365:F1365"/>
    <mergeCell ref="E785:G785"/>
    <mergeCell ref="E786:G786"/>
    <mergeCell ref="E787:G787"/>
    <mergeCell ref="E788:G788"/>
    <mergeCell ref="D813:D841"/>
    <mergeCell ref="E1350:J1350"/>
    <mergeCell ref="E1351:J1351"/>
    <mergeCell ref="E1352:J1352"/>
    <mergeCell ref="E1353:J1353"/>
    <mergeCell ref="E1354:J1354"/>
    <mergeCell ref="E1355:J1355"/>
    <mergeCell ref="E1356:J1356"/>
    <mergeCell ref="F1360:J1360"/>
    <mergeCell ref="B860:B861"/>
    <mergeCell ref="B979:B981"/>
  </mergeCells>
  <phoneticPr fontId="16" type="noConversion"/>
  <conditionalFormatting sqref="D82:E82">
    <cfRule type="cellIs" dxfId="568" priority="131" operator="lessThanOrEqual">
      <formula>2.57142857142857</formula>
    </cfRule>
    <cfRule type="cellIs" dxfId="567" priority="130" operator="lessThanOrEqual">
      <formula>2.14285714285714</formula>
    </cfRule>
    <cfRule type="cellIs" dxfId="566" priority="132" operator="lessThanOrEqual">
      <formula>3</formula>
    </cfRule>
  </conditionalFormatting>
  <conditionalFormatting sqref="D127:E127">
    <cfRule type="cellIs" dxfId="565" priority="126" operator="lessThanOrEqual">
      <formula>3</formula>
    </cfRule>
    <cfRule type="cellIs" dxfId="564" priority="125" operator="lessThanOrEqual">
      <formula>2.57142857142857</formula>
    </cfRule>
    <cfRule type="cellIs" dxfId="563" priority="124" operator="lessThanOrEqual">
      <formula>2.14285714285714</formula>
    </cfRule>
  </conditionalFormatting>
  <conditionalFormatting sqref="D191:E191">
    <cfRule type="cellIs" dxfId="562" priority="120" operator="lessThanOrEqual">
      <formula>3</formula>
    </cfRule>
    <cfRule type="cellIs" dxfId="561" priority="119" operator="lessThanOrEqual">
      <formula>2.57142857142857</formula>
    </cfRule>
    <cfRule type="cellIs" dxfId="560" priority="118" operator="lessThanOrEqual">
      <formula>2.14285714285714</formula>
    </cfRule>
  </conditionalFormatting>
  <conditionalFormatting sqref="D225:E225">
    <cfRule type="cellIs" dxfId="559" priority="114" operator="lessThanOrEqual">
      <formula>3</formula>
    </cfRule>
    <cfRule type="cellIs" dxfId="558" priority="113" operator="lessThanOrEqual">
      <formula>2.57142857142857</formula>
    </cfRule>
    <cfRule type="cellIs" dxfId="557" priority="112" operator="lessThanOrEqual">
      <formula>2.14285714285714</formula>
    </cfRule>
  </conditionalFormatting>
  <conditionalFormatting sqref="D434:E434">
    <cfRule type="cellIs" dxfId="556" priority="108" operator="lessThanOrEqual">
      <formula>3</formula>
    </cfRule>
    <cfRule type="cellIs" dxfId="555" priority="106" operator="lessThanOrEqual">
      <formula>2.14285714285714</formula>
    </cfRule>
    <cfRule type="cellIs" dxfId="554" priority="107" operator="lessThanOrEqual">
      <formula>2.57142857142857</formula>
    </cfRule>
  </conditionalFormatting>
  <conditionalFormatting sqref="D479:E479">
    <cfRule type="cellIs" dxfId="553" priority="101" operator="lessThanOrEqual">
      <formula>2.57142857142857</formula>
    </cfRule>
    <cfRule type="cellIs" dxfId="552" priority="100" operator="lessThanOrEqual">
      <formula>2.14285714285714</formula>
    </cfRule>
    <cfRule type="cellIs" dxfId="551" priority="102" operator="lessThanOrEqual">
      <formula>3</formula>
    </cfRule>
  </conditionalFormatting>
  <conditionalFormatting sqref="D521:E521">
    <cfRule type="cellIs" dxfId="550" priority="96" operator="lessThanOrEqual">
      <formula>3</formula>
    </cfRule>
    <cfRule type="cellIs" dxfId="549" priority="95" operator="lessThanOrEqual">
      <formula>2.57142857142857</formula>
    </cfRule>
    <cfRule type="cellIs" dxfId="548" priority="94" operator="lessThanOrEqual">
      <formula>2.14285714285714</formula>
    </cfRule>
  </conditionalFormatting>
  <conditionalFormatting sqref="D590:E590">
    <cfRule type="cellIs" dxfId="547" priority="90" operator="lessThanOrEqual">
      <formula>3</formula>
    </cfRule>
    <cfRule type="cellIs" dxfId="546" priority="89" operator="lessThanOrEqual">
      <formula>2.57142857142857</formula>
    </cfRule>
    <cfRule type="cellIs" dxfId="545" priority="88" operator="lessThanOrEqual">
      <formula>2.14285714285714</formula>
    </cfRule>
  </conditionalFormatting>
  <conditionalFormatting sqref="D650:E650">
    <cfRule type="cellIs" dxfId="544" priority="84" operator="lessThanOrEqual">
      <formula>3</formula>
    </cfRule>
    <cfRule type="cellIs" dxfId="543" priority="83" operator="lessThanOrEqual">
      <formula>2.57142857142857</formula>
    </cfRule>
    <cfRule type="cellIs" dxfId="542" priority="82" operator="lessThanOrEqual">
      <formula>2.14285714285714</formula>
    </cfRule>
  </conditionalFormatting>
  <conditionalFormatting sqref="D772:E772">
    <cfRule type="cellIs" dxfId="541" priority="78" operator="lessThanOrEqual">
      <formula>3</formula>
    </cfRule>
    <cfRule type="cellIs" dxfId="540" priority="77" operator="lessThanOrEqual">
      <formula>2.57142857142857</formula>
    </cfRule>
    <cfRule type="cellIs" dxfId="539" priority="76" operator="lessThanOrEqual">
      <formula>2.14285714285714</formula>
    </cfRule>
  </conditionalFormatting>
  <conditionalFormatting sqref="D856:E856">
    <cfRule type="cellIs" dxfId="538" priority="71" operator="lessThanOrEqual">
      <formula>2.57142857142857</formula>
    </cfRule>
    <cfRule type="cellIs" dxfId="537" priority="70" operator="lessThanOrEqual">
      <formula>2.14285714285714</formula>
    </cfRule>
    <cfRule type="cellIs" dxfId="536" priority="72" operator="lessThanOrEqual">
      <formula>3</formula>
    </cfRule>
  </conditionalFormatting>
  <conditionalFormatting sqref="D975:E975">
    <cfRule type="cellIs" dxfId="535" priority="64" operator="lessThanOrEqual">
      <formula>2.14285714285714</formula>
    </cfRule>
    <cfRule type="cellIs" dxfId="534" priority="65" operator="lessThanOrEqual">
      <formula>2.57142857142857</formula>
    </cfRule>
    <cfRule type="cellIs" dxfId="533" priority="66" operator="lessThanOrEqual">
      <formula>3</formula>
    </cfRule>
  </conditionalFormatting>
  <conditionalFormatting sqref="D1049:E1049">
    <cfRule type="cellIs" dxfId="532" priority="59" operator="lessThanOrEqual">
      <formula>2.57142857142857</formula>
    </cfRule>
    <cfRule type="cellIs" dxfId="531" priority="60" operator="lessThanOrEqual">
      <formula>3</formula>
    </cfRule>
    <cfRule type="cellIs" dxfId="530" priority="58" operator="lessThanOrEqual">
      <formula>2.14285714285714</formula>
    </cfRule>
  </conditionalFormatting>
  <conditionalFormatting sqref="D1093:E1093">
    <cfRule type="cellIs" dxfId="529" priority="53" operator="lessThanOrEqual">
      <formula>2.57142857142857</formula>
    </cfRule>
    <cfRule type="cellIs" dxfId="528" priority="54" operator="lessThanOrEqual">
      <formula>3</formula>
    </cfRule>
    <cfRule type="cellIs" dxfId="527" priority="52" operator="lessThanOrEqual">
      <formula>2.14285714285714</formula>
    </cfRule>
  </conditionalFormatting>
  <conditionalFormatting sqref="D1135:E1135">
    <cfRule type="cellIs" dxfId="526" priority="48" operator="lessThanOrEqual">
      <formula>3</formula>
    </cfRule>
    <cfRule type="cellIs" dxfId="525" priority="46" operator="lessThanOrEqual">
      <formula>2.14285714285714</formula>
    </cfRule>
    <cfRule type="cellIs" dxfId="524" priority="47" operator="lessThanOrEqual">
      <formula>2.57142857142857</formula>
    </cfRule>
  </conditionalFormatting>
  <conditionalFormatting sqref="D1207:E1207">
    <cfRule type="cellIs" dxfId="523" priority="42" operator="lessThanOrEqual">
      <formula>3</formula>
    </cfRule>
    <cfRule type="cellIs" dxfId="522" priority="41" operator="lessThanOrEqual">
      <formula>2.57142857142857</formula>
    </cfRule>
    <cfRule type="cellIs" dxfId="521" priority="40" operator="lessThanOrEqual">
      <formula>2.14285714285714</formula>
    </cfRule>
  </conditionalFormatting>
  <conditionalFormatting sqref="D1269:E1269">
    <cfRule type="cellIs" dxfId="520" priority="35" operator="lessThanOrEqual">
      <formula>2.57142857142857</formula>
    </cfRule>
    <cfRule type="cellIs" dxfId="519" priority="36" operator="lessThanOrEqual">
      <formula>3</formula>
    </cfRule>
    <cfRule type="cellIs" dxfId="518" priority="34" operator="lessThanOrEqual">
      <formula>2.14285714285714</formula>
    </cfRule>
  </conditionalFormatting>
  <conditionalFormatting sqref="D1331:E1331">
    <cfRule type="cellIs" dxfId="517" priority="30" operator="lessThanOrEqual">
      <formula>3</formula>
    </cfRule>
    <cfRule type="cellIs" dxfId="516" priority="29" operator="lessThanOrEqual">
      <formula>2.57142857142857</formula>
    </cfRule>
    <cfRule type="cellIs" dxfId="515" priority="28" operator="lessThanOrEqual">
      <formula>2.14285714285714</formula>
    </cfRule>
  </conditionalFormatting>
  <conditionalFormatting sqref="D1357:E1357">
    <cfRule type="cellIs" dxfId="514" priority="7" operator="lessThanOrEqual">
      <formula>2.14285714285714</formula>
    </cfRule>
    <cfRule type="cellIs" dxfId="513" priority="8" operator="lessThanOrEqual">
      <formula>2.57142857142857</formula>
    </cfRule>
    <cfRule type="cellIs" dxfId="512" priority="9" operator="lessThanOrEqual">
      <formula>3</formula>
    </cfRule>
  </conditionalFormatting>
  <conditionalFormatting sqref="D1399:E1399">
    <cfRule type="cellIs" dxfId="511" priority="15" operator="lessThanOrEqual">
      <formula>2.57142857142857</formula>
    </cfRule>
    <cfRule type="cellIs" dxfId="510" priority="16" operator="lessThanOrEqual">
      <formula>3</formula>
    </cfRule>
    <cfRule type="cellIs" dxfId="509" priority="14" operator="lessThanOrEqual">
      <formula>2.14285714285714</formula>
    </cfRule>
  </conditionalFormatting>
  <conditionalFormatting sqref="D24:N61">
    <cfRule type="notContainsBlanks" dxfId="508" priority="10">
      <formula>LEN(TRIM(D24))&gt;0</formula>
    </cfRule>
  </conditionalFormatting>
  <conditionalFormatting sqref="E82">
    <cfRule type="containsText" dxfId="507" priority="129" operator="containsText" text="Red">
      <formula>NOT(ISERROR(SEARCH("Red",E82)))</formula>
    </cfRule>
    <cfRule type="containsText" dxfId="506" priority="128" operator="containsText" text="Amber">
      <formula>NOT(ISERROR(SEARCH("Amber",E82)))</formula>
    </cfRule>
    <cfRule type="containsText" dxfId="505" priority="127" operator="containsText" text="Green">
      <formula>NOT(ISERROR(SEARCH("Green",E82)))</formula>
    </cfRule>
  </conditionalFormatting>
  <conditionalFormatting sqref="E127">
    <cfRule type="containsText" dxfId="504" priority="123" operator="containsText" text="Red">
      <formula>NOT(ISERROR(SEARCH("Red",E127)))</formula>
    </cfRule>
    <cfRule type="containsText" dxfId="503" priority="122" operator="containsText" text="Amber">
      <formula>NOT(ISERROR(SEARCH("Amber",E127)))</formula>
    </cfRule>
    <cfRule type="containsText" dxfId="502" priority="121" operator="containsText" text="Green">
      <formula>NOT(ISERROR(SEARCH("Green",E127)))</formula>
    </cfRule>
  </conditionalFormatting>
  <conditionalFormatting sqref="E191">
    <cfRule type="containsText" dxfId="501" priority="115" operator="containsText" text="Green">
      <formula>NOT(ISERROR(SEARCH("Green",E191)))</formula>
    </cfRule>
    <cfRule type="containsText" dxfId="500" priority="116" operator="containsText" text="Amber">
      <formula>NOT(ISERROR(SEARCH("Amber",E191)))</formula>
    </cfRule>
    <cfRule type="containsText" dxfId="499" priority="117" operator="containsText" text="Red">
      <formula>NOT(ISERROR(SEARCH("Red",E191)))</formula>
    </cfRule>
  </conditionalFormatting>
  <conditionalFormatting sqref="E225">
    <cfRule type="containsText" dxfId="498" priority="109" operator="containsText" text="Green">
      <formula>NOT(ISERROR(SEARCH("Green",E225)))</formula>
    </cfRule>
    <cfRule type="containsText" dxfId="497" priority="111" operator="containsText" text="Red">
      <formula>NOT(ISERROR(SEARCH("Red",E225)))</formula>
    </cfRule>
    <cfRule type="containsText" dxfId="496" priority="110" operator="containsText" text="Amber">
      <formula>NOT(ISERROR(SEARCH("Amber",E225)))</formula>
    </cfRule>
  </conditionalFormatting>
  <conditionalFormatting sqref="E434">
    <cfRule type="containsText" dxfId="495" priority="105" operator="containsText" text="Red">
      <formula>NOT(ISERROR(SEARCH("Red",E434)))</formula>
    </cfRule>
    <cfRule type="containsText" dxfId="494" priority="104" operator="containsText" text="Amber">
      <formula>NOT(ISERROR(SEARCH("Amber",E434)))</formula>
    </cfRule>
    <cfRule type="containsText" dxfId="493" priority="103" operator="containsText" text="Green">
      <formula>NOT(ISERROR(SEARCH("Green",E434)))</formula>
    </cfRule>
  </conditionalFormatting>
  <conditionalFormatting sqref="E479">
    <cfRule type="containsText" dxfId="492" priority="97" operator="containsText" text="Green">
      <formula>NOT(ISERROR(SEARCH("Green",E479)))</formula>
    </cfRule>
    <cfRule type="containsText" dxfId="491" priority="99" operator="containsText" text="Red">
      <formula>NOT(ISERROR(SEARCH("Red",E479)))</formula>
    </cfRule>
    <cfRule type="containsText" dxfId="490" priority="98" operator="containsText" text="Amber">
      <formula>NOT(ISERROR(SEARCH("Amber",E479)))</formula>
    </cfRule>
  </conditionalFormatting>
  <conditionalFormatting sqref="E521">
    <cfRule type="containsText" dxfId="489" priority="93" operator="containsText" text="Red">
      <formula>NOT(ISERROR(SEARCH("Red",E521)))</formula>
    </cfRule>
    <cfRule type="containsText" dxfId="488" priority="91" operator="containsText" text="Green">
      <formula>NOT(ISERROR(SEARCH("Green",E521)))</formula>
    </cfRule>
    <cfRule type="containsText" dxfId="487" priority="92" operator="containsText" text="Amber">
      <formula>NOT(ISERROR(SEARCH("Amber",E521)))</formula>
    </cfRule>
  </conditionalFormatting>
  <conditionalFormatting sqref="E590">
    <cfRule type="containsText" dxfId="486" priority="87" operator="containsText" text="Red">
      <formula>NOT(ISERROR(SEARCH("Red",E590)))</formula>
    </cfRule>
    <cfRule type="containsText" dxfId="485" priority="85" operator="containsText" text="Green">
      <formula>NOT(ISERROR(SEARCH("Green",E590)))</formula>
    </cfRule>
    <cfRule type="containsText" dxfId="484" priority="86" operator="containsText" text="Amber">
      <formula>NOT(ISERROR(SEARCH("Amber",E590)))</formula>
    </cfRule>
  </conditionalFormatting>
  <conditionalFormatting sqref="E650">
    <cfRule type="containsText" dxfId="483" priority="79" operator="containsText" text="Green">
      <formula>NOT(ISERROR(SEARCH("Green",E650)))</formula>
    </cfRule>
    <cfRule type="containsText" dxfId="482" priority="81" operator="containsText" text="Red">
      <formula>NOT(ISERROR(SEARCH("Red",E650)))</formula>
    </cfRule>
    <cfRule type="containsText" dxfId="481" priority="80" operator="containsText" text="Amber">
      <formula>NOT(ISERROR(SEARCH("Amber",E650)))</formula>
    </cfRule>
  </conditionalFormatting>
  <conditionalFormatting sqref="E772">
    <cfRule type="containsText" dxfId="480" priority="74" operator="containsText" text="Amber">
      <formula>NOT(ISERROR(SEARCH("Amber",E772)))</formula>
    </cfRule>
    <cfRule type="containsText" dxfId="479" priority="73" operator="containsText" text="Green">
      <formula>NOT(ISERROR(SEARCH("Green",E772)))</formula>
    </cfRule>
    <cfRule type="containsText" dxfId="478" priority="75" operator="containsText" text="Red">
      <formula>NOT(ISERROR(SEARCH("Red",E772)))</formula>
    </cfRule>
  </conditionalFormatting>
  <conditionalFormatting sqref="E856">
    <cfRule type="containsText" dxfId="477" priority="67" operator="containsText" text="Green">
      <formula>NOT(ISERROR(SEARCH("Green",E856)))</formula>
    </cfRule>
    <cfRule type="containsText" dxfId="476" priority="68" operator="containsText" text="Amber">
      <formula>NOT(ISERROR(SEARCH("Amber",E856)))</formula>
    </cfRule>
    <cfRule type="containsText" dxfId="475" priority="69" operator="containsText" text="Red">
      <formula>NOT(ISERROR(SEARCH("Red",E856)))</formula>
    </cfRule>
  </conditionalFormatting>
  <conditionalFormatting sqref="E975">
    <cfRule type="containsText" dxfId="474" priority="61" operator="containsText" text="Green">
      <formula>NOT(ISERROR(SEARCH("Green",E975)))</formula>
    </cfRule>
    <cfRule type="containsText" dxfId="473" priority="62" operator="containsText" text="Amber">
      <formula>NOT(ISERROR(SEARCH("Amber",E975)))</formula>
    </cfRule>
    <cfRule type="containsText" dxfId="472" priority="63" operator="containsText" text="Red">
      <formula>NOT(ISERROR(SEARCH("Red",E975)))</formula>
    </cfRule>
  </conditionalFormatting>
  <conditionalFormatting sqref="E1049">
    <cfRule type="containsText" dxfId="471" priority="57" operator="containsText" text="Red">
      <formula>NOT(ISERROR(SEARCH("Red",E1049)))</formula>
    </cfRule>
    <cfRule type="containsText" dxfId="470" priority="56" operator="containsText" text="Amber">
      <formula>NOT(ISERROR(SEARCH("Amber",E1049)))</formula>
    </cfRule>
    <cfRule type="containsText" dxfId="469" priority="55" operator="containsText" text="Green">
      <formula>NOT(ISERROR(SEARCH("Green",E1049)))</formula>
    </cfRule>
  </conditionalFormatting>
  <conditionalFormatting sqref="E1093">
    <cfRule type="containsText" dxfId="468" priority="51" operator="containsText" text="Red">
      <formula>NOT(ISERROR(SEARCH("Red",E1093)))</formula>
    </cfRule>
    <cfRule type="containsText" dxfId="467" priority="50" operator="containsText" text="Amber">
      <formula>NOT(ISERROR(SEARCH("Amber",E1093)))</formula>
    </cfRule>
    <cfRule type="containsText" dxfId="466" priority="49" operator="containsText" text="Green">
      <formula>NOT(ISERROR(SEARCH("Green",E1093)))</formula>
    </cfRule>
  </conditionalFormatting>
  <conditionalFormatting sqref="E1135">
    <cfRule type="containsText" dxfId="465" priority="44" operator="containsText" text="Amber">
      <formula>NOT(ISERROR(SEARCH("Amber",E1135)))</formula>
    </cfRule>
    <cfRule type="containsText" dxfId="464" priority="43" operator="containsText" text="Green">
      <formula>NOT(ISERROR(SEARCH("Green",E1135)))</formula>
    </cfRule>
    <cfRule type="containsText" dxfId="463" priority="45" operator="containsText" text="Red">
      <formula>NOT(ISERROR(SEARCH("Red",E1135)))</formula>
    </cfRule>
  </conditionalFormatting>
  <conditionalFormatting sqref="E1207">
    <cfRule type="containsText" dxfId="462" priority="39" operator="containsText" text="Red">
      <formula>NOT(ISERROR(SEARCH("Red",E1207)))</formula>
    </cfRule>
    <cfRule type="containsText" dxfId="461" priority="38" operator="containsText" text="Amber">
      <formula>NOT(ISERROR(SEARCH("Amber",E1207)))</formula>
    </cfRule>
    <cfRule type="containsText" dxfId="460" priority="37" operator="containsText" text="Green">
      <formula>NOT(ISERROR(SEARCH("Green",E1207)))</formula>
    </cfRule>
  </conditionalFormatting>
  <conditionalFormatting sqref="E1269">
    <cfRule type="containsText" dxfId="459" priority="33" operator="containsText" text="Red">
      <formula>NOT(ISERROR(SEARCH("Red",E1269)))</formula>
    </cfRule>
    <cfRule type="containsText" dxfId="458" priority="32" operator="containsText" text="Amber">
      <formula>NOT(ISERROR(SEARCH("Amber",E1269)))</formula>
    </cfRule>
    <cfRule type="containsText" dxfId="457" priority="31" operator="containsText" text="Green">
      <formula>NOT(ISERROR(SEARCH("Green",E1269)))</formula>
    </cfRule>
  </conditionalFormatting>
  <conditionalFormatting sqref="E1331">
    <cfRule type="containsText" dxfId="456" priority="25" operator="containsText" text="Green">
      <formula>NOT(ISERROR(SEARCH("Green",E1331)))</formula>
    </cfRule>
    <cfRule type="containsText" dxfId="455" priority="26" operator="containsText" text="Amber">
      <formula>NOT(ISERROR(SEARCH("Amber",E1331)))</formula>
    </cfRule>
    <cfRule type="containsText" dxfId="454" priority="27" operator="containsText" text="Red">
      <formula>NOT(ISERROR(SEARCH("Red",E1331)))</formula>
    </cfRule>
  </conditionalFormatting>
  <conditionalFormatting sqref="E1357">
    <cfRule type="containsText" dxfId="453" priority="4" operator="containsText" text="Green">
      <formula>NOT(ISERROR(SEARCH("Green",E1357)))</formula>
    </cfRule>
    <cfRule type="containsText" dxfId="452" priority="6" operator="containsText" text="Red">
      <formula>NOT(ISERROR(SEARCH("Red",E1357)))</formula>
    </cfRule>
    <cfRule type="containsText" dxfId="451" priority="5" operator="containsText" text="Amber">
      <formula>NOT(ISERROR(SEARCH("Amber",E1357)))</formula>
    </cfRule>
  </conditionalFormatting>
  <conditionalFormatting sqref="E1399">
    <cfRule type="containsText" dxfId="450" priority="13" operator="containsText" text="Red">
      <formula>NOT(ISERROR(SEARCH("Red",E1399)))</formula>
    </cfRule>
    <cfRule type="containsText" dxfId="449" priority="12" operator="containsText" text="Amber">
      <formula>NOT(ISERROR(SEARCH("Amber",E1399)))</formula>
    </cfRule>
    <cfRule type="containsText" dxfId="448" priority="11" operator="containsText" text="Green">
      <formula>NOT(ISERROR(SEARCH("Green",E1399)))</formula>
    </cfRule>
  </conditionalFormatting>
  <conditionalFormatting sqref="H157 H160">
    <cfRule type="cellIs" dxfId="447" priority="164" operator="lessThanOrEqual">
      <formula>2.57142857142857</formula>
    </cfRule>
    <cfRule type="cellIs" dxfId="446" priority="163" operator="lessThanOrEqual">
      <formula>2.14285714285714</formula>
    </cfRule>
    <cfRule type="cellIs" dxfId="445" priority="165" operator="lessThanOrEqual">
      <formula>3</formula>
    </cfRule>
  </conditionalFormatting>
  <conditionalFormatting sqref="H370 H382">
    <cfRule type="cellIs" dxfId="444" priority="161" operator="lessThanOrEqual">
      <formula>2.57142857142857</formula>
    </cfRule>
    <cfRule type="cellIs" dxfId="443" priority="160" operator="lessThanOrEqual">
      <formula>2.14285714285714</formula>
    </cfRule>
    <cfRule type="cellIs" dxfId="442" priority="162" operator="lessThanOrEqual">
      <formula>3</formula>
    </cfRule>
  </conditionalFormatting>
  <conditionalFormatting sqref="H538 H541">
    <cfRule type="cellIs" dxfId="441" priority="159" operator="lessThanOrEqual">
      <formula>3</formula>
    </cfRule>
    <cfRule type="cellIs" dxfId="440" priority="158" operator="lessThanOrEqual">
      <formula>2.57142857142857</formula>
    </cfRule>
    <cfRule type="cellIs" dxfId="439" priority="157" operator="lessThanOrEqual">
      <formula>2.14285714285714</formula>
    </cfRule>
  </conditionalFormatting>
  <conditionalFormatting sqref="H553">
    <cfRule type="cellIs" dxfId="438" priority="154" operator="lessThanOrEqual">
      <formula>2.14285714285714</formula>
    </cfRule>
    <cfRule type="cellIs" dxfId="437" priority="155" operator="lessThanOrEqual">
      <formula>2.57142857142857</formula>
    </cfRule>
    <cfRule type="cellIs" dxfId="436" priority="156" operator="lessThanOrEqual">
      <formula>3</formula>
    </cfRule>
  </conditionalFormatting>
  <conditionalFormatting sqref="H684 H687">
    <cfRule type="cellIs" dxfId="435" priority="151" operator="lessThanOrEqual">
      <formula>2.14285714285714</formula>
    </cfRule>
    <cfRule type="cellIs" dxfId="434" priority="152" operator="lessThanOrEqual">
      <formula>2.57142857142857</formula>
    </cfRule>
    <cfRule type="cellIs" dxfId="433" priority="153" operator="lessThanOrEqual">
      <formula>3</formula>
    </cfRule>
  </conditionalFormatting>
  <conditionalFormatting sqref="H889 H892">
    <cfRule type="cellIs" dxfId="432" priority="148" operator="lessThanOrEqual">
      <formula>2.14285714285714</formula>
    </cfRule>
    <cfRule type="cellIs" dxfId="431" priority="149" operator="lessThanOrEqual">
      <formula>2.57142857142857</formula>
    </cfRule>
    <cfRule type="cellIs" dxfId="430" priority="150" operator="lessThanOrEqual">
      <formula>3</formula>
    </cfRule>
  </conditionalFormatting>
  <conditionalFormatting sqref="H994">
    <cfRule type="cellIs" dxfId="429" priority="145" operator="lessThanOrEqual">
      <formula>2.14285714285714</formula>
    </cfRule>
    <cfRule type="cellIs" dxfId="428" priority="146" operator="lessThanOrEqual">
      <formula>2.57142857142857</formula>
    </cfRule>
    <cfRule type="cellIs" dxfId="427" priority="147" operator="lessThanOrEqual">
      <formula>3</formula>
    </cfRule>
  </conditionalFormatting>
  <conditionalFormatting sqref="H1161 H1164 H1170">
    <cfRule type="cellIs" dxfId="426" priority="142" operator="lessThanOrEqual">
      <formula>2.14285714285714</formula>
    </cfRule>
    <cfRule type="cellIs" dxfId="425" priority="143" operator="lessThanOrEqual">
      <formula>2.57142857142857</formula>
    </cfRule>
    <cfRule type="cellIs" dxfId="424" priority="144" operator="lessThanOrEqual">
      <formula>3</formula>
    </cfRule>
  </conditionalFormatting>
  <conditionalFormatting sqref="H1241">
    <cfRule type="cellIs" dxfId="423" priority="139" operator="lessThanOrEqual">
      <formula>2.14285714285714</formula>
    </cfRule>
    <cfRule type="cellIs" dxfId="422" priority="140" operator="lessThanOrEqual">
      <formula>2.57142857142857</formula>
    </cfRule>
    <cfRule type="cellIs" dxfId="421" priority="141" operator="lessThanOrEqual">
      <formula>3</formula>
    </cfRule>
  </conditionalFormatting>
  <conditionalFormatting sqref="H1303">
    <cfRule type="cellIs" dxfId="420" priority="136" operator="lessThanOrEqual">
      <formula>2.14285714285714</formula>
    </cfRule>
    <cfRule type="cellIs" dxfId="419" priority="137" operator="lessThanOrEqual">
      <formula>2.57142857142857</formula>
    </cfRule>
    <cfRule type="cellIs" dxfId="418" priority="138" operator="lessThanOrEqual">
      <formula>3</formula>
    </cfRule>
  </conditionalFormatting>
  <conditionalFormatting sqref="H1369">
    <cfRule type="cellIs" dxfId="417" priority="135" operator="lessThanOrEqual">
      <formula>3</formula>
    </cfRule>
    <cfRule type="cellIs" dxfId="416" priority="134" operator="lessThanOrEqual">
      <formula>2.57142857142857</formula>
    </cfRule>
    <cfRule type="cellIs" dxfId="415" priority="133" operator="lessThanOrEqual">
      <formula>2.14285714285714</formula>
    </cfRule>
  </conditionalFormatting>
  <conditionalFormatting sqref="H1372">
    <cfRule type="cellIs" dxfId="414" priority="3" operator="lessThanOrEqual">
      <formula>3</formula>
    </cfRule>
    <cfRule type="cellIs" dxfId="413" priority="1" operator="lessThanOrEqual">
      <formula>2.14285714285714</formula>
    </cfRule>
    <cfRule type="cellIs" dxfId="412" priority="2" operator="lessThanOrEqual">
      <formula>2.57142857142857</formula>
    </cfRule>
  </conditionalFormatting>
  <conditionalFormatting sqref="H1416">
    <cfRule type="cellIs" dxfId="411" priority="18" operator="lessThanOrEqual">
      <formula>2.57142857142857</formula>
    </cfRule>
    <cfRule type="cellIs" dxfId="410" priority="17" operator="lessThanOrEqual">
      <formula>2.14285714285714</formula>
    </cfRule>
    <cfRule type="cellIs" dxfId="409" priority="19" operator="lessThanOrEqual">
      <formula>3</formula>
    </cfRule>
  </conditionalFormatting>
  <conditionalFormatting sqref="N166:N171">
    <cfRule type="cellIs" dxfId="408" priority="166" operator="lessThanOrEqual">
      <formula>2.14285714285714</formula>
    </cfRule>
    <cfRule type="cellIs" dxfId="407" priority="167" operator="lessThanOrEqual">
      <formula>2.57142857142857</formula>
    </cfRule>
    <cfRule type="cellIs" dxfId="406" priority="168" operator="lessThanOrEqual">
      <formula>3</formula>
    </cfRule>
  </conditionalFormatting>
  <conditionalFormatting sqref="N394:N414">
    <cfRule type="cellIs" dxfId="405" priority="169" operator="lessThanOrEqual">
      <formula>2.14285714285714</formula>
    </cfRule>
    <cfRule type="cellIs" dxfId="404" priority="170" operator="lessThanOrEqual">
      <formula>2.57142857142857</formula>
    </cfRule>
    <cfRule type="cellIs" dxfId="403" priority="171" operator="lessThanOrEqual">
      <formula>3</formula>
    </cfRule>
  </conditionalFormatting>
  <conditionalFormatting sqref="N559:N570">
    <cfRule type="cellIs" dxfId="402" priority="172" operator="lessThanOrEqual">
      <formula>2.14285714285714</formula>
    </cfRule>
    <cfRule type="cellIs" dxfId="401" priority="173" operator="lessThanOrEqual">
      <formula>2.57142857142857</formula>
    </cfRule>
    <cfRule type="cellIs" dxfId="400" priority="174" operator="lessThanOrEqual">
      <formula>3</formula>
    </cfRule>
  </conditionalFormatting>
  <conditionalFormatting sqref="N720:N752">
    <cfRule type="cellIs" dxfId="399" priority="175" operator="lessThanOrEqual">
      <formula>2.14285714285714</formula>
    </cfRule>
    <cfRule type="cellIs" dxfId="398" priority="176" operator="lessThanOrEqual">
      <formula>2.57142857142857</formula>
    </cfRule>
    <cfRule type="cellIs" dxfId="397" priority="177" operator="lessThanOrEqual">
      <formula>3</formula>
    </cfRule>
  </conditionalFormatting>
  <conditionalFormatting sqref="N924:N955">
    <cfRule type="cellIs" dxfId="396" priority="178" operator="lessThanOrEqual">
      <formula>2.14285714285714</formula>
    </cfRule>
    <cfRule type="cellIs" dxfId="395" priority="179" operator="lessThanOrEqual">
      <formula>2.57142857142857</formula>
    </cfRule>
    <cfRule type="cellIs" dxfId="394" priority="180" operator="lessThanOrEqual">
      <formula>3</formula>
    </cfRule>
  </conditionalFormatting>
  <conditionalFormatting sqref="N1024:N1029">
    <cfRule type="cellIs" dxfId="393" priority="181" operator="lessThanOrEqual">
      <formula>2.14285714285714</formula>
    </cfRule>
    <cfRule type="cellIs" dxfId="392" priority="182" operator="lessThanOrEqual">
      <formula>2.57142857142857</formula>
    </cfRule>
    <cfRule type="cellIs" dxfId="391" priority="183" operator="lessThanOrEqual">
      <formula>3</formula>
    </cfRule>
  </conditionalFormatting>
  <conditionalFormatting sqref="N1176:N1187">
    <cfRule type="cellIs" dxfId="390" priority="184" operator="lessThanOrEqual">
      <formula>2.14285714285714</formula>
    </cfRule>
    <cfRule type="cellIs" dxfId="389" priority="185" operator="lessThanOrEqual">
      <formula>2.57142857142857</formula>
    </cfRule>
    <cfRule type="cellIs" dxfId="388" priority="186" operator="lessThanOrEqual">
      <formula>3</formula>
    </cfRule>
  </conditionalFormatting>
  <conditionalFormatting sqref="N1247:N1249">
    <cfRule type="cellIs" dxfId="387" priority="187" operator="lessThanOrEqual">
      <formula>2.14285714285714</formula>
    </cfRule>
    <cfRule type="cellIs" dxfId="386" priority="188" operator="lessThanOrEqual">
      <formula>2.57142857142857</formula>
    </cfRule>
    <cfRule type="cellIs" dxfId="385" priority="189" operator="lessThanOrEqual">
      <formula>3</formula>
    </cfRule>
  </conditionalFormatting>
  <conditionalFormatting sqref="N1309:N1311">
    <cfRule type="cellIs" dxfId="384" priority="190" operator="lessThanOrEqual">
      <formula>2.14285714285714</formula>
    </cfRule>
    <cfRule type="cellIs" dxfId="383" priority="191" operator="lessThanOrEqual">
      <formula>2.57142857142857</formula>
    </cfRule>
    <cfRule type="cellIs" dxfId="382" priority="192" operator="lessThanOrEqual">
      <formula>3</formula>
    </cfRule>
  </conditionalFormatting>
  <conditionalFormatting sqref="N1376:N1379">
    <cfRule type="cellIs" dxfId="381" priority="193" operator="lessThanOrEqual">
      <formula>2.14285714285714</formula>
    </cfRule>
    <cfRule type="cellIs" dxfId="380" priority="194" operator="lessThanOrEqual">
      <formula>2.57142857142857</formula>
    </cfRule>
    <cfRule type="cellIs" dxfId="379" priority="195" operator="lessThanOrEqual">
      <formula>3</formula>
    </cfRule>
  </conditionalFormatting>
  <conditionalFormatting sqref="N1422:N1424">
    <cfRule type="cellIs" dxfId="378" priority="20" operator="lessThanOrEqual">
      <formula>2.14285714285714</formula>
    </cfRule>
    <cfRule type="cellIs" dxfId="377" priority="21" operator="lessThanOrEqual">
      <formula>2.57142857142857</formula>
    </cfRule>
    <cfRule type="cellIs" dxfId="376" priority="22" operator="lessThanOrEqual">
      <formula>3</formula>
    </cfRule>
  </conditionalFormatting>
  <dataValidations disablePrompts="1" count="1">
    <dataValidation type="list" allowBlank="1" showInputMessage="1" showErrorMessage="1" sqref="C76:C81 C83 C1270 C128 C185:C190 C192 C219:C224 C226 C428:C433 C435 C473:C478 C480 C515:C520 C522 C584:C589 C591 C644:C649 C651 C857 C766:C771 C850:C855 C956 C969:C974 C1043:C1048 C1050 C1087:C1092 C1094 C1129:C1134 C1136 C1201:C1206 C1208 C1263:C1268 C121:C126 C1325:C1330 C1332 C1393:C1398 C1400 C1351:C1356 C1358" xr:uid="{ABA90348-94F6-4C3F-ADF7-3D798811DCE3}">
      <formula1>"High, Medium, Low"</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8538-DC3E-4CD2-86EF-D1AF4EFFA785}">
  <sheetPr codeName="Sheet37">
    <tabColor theme="5" tint="0.59999389629810485"/>
  </sheetPr>
  <dimension ref="A1:W64"/>
  <sheetViews>
    <sheetView workbookViewId="0"/>
  </sheetViews>
  <sheetFormatPr defaultColWidth="9" defaultRowHeight="14.45"/>
  <cols>
    <col min="1" max="1" width="3.5" style="7" customWidth="1"/>
    <col min="2" max="3" width="40.625" style="7" customWidth="1"/>
    <col min="4" max="14" width="15.625" style="7" customWidth="1"/>
    <col min="15" max="16" width="16.125" style="7" customWidth="1"/>
    <col min="17" max="17" width="9" style="7"/>
    <col min="18" max="18" width="16.625" style="7" customWidth="1"/>
    <col min="19" max="19" width="18.5" style="7" customWidth="1"/>
    <col min="20" max="16384" width="9" style="7"/>
  </cols>
  <sheetData>
    <row r="1" spans="1:8" ht="15" thickBot="1"/>
    <row r="2" spans="1:8" s="732" customFormat="1" ht="18.95" thickBot="1">
      <c r="A2" s="730"/>
      <c r="B2" s="779" t="s">
        <v>415</v>
      </c>
      <c r="C2" s="733"/>
      <c r="D2" s="733"/>
    </row>
    <row r="4" spans="1:8" s="734" customFormat="1" ht="18.600000000000001">
      <c r="A4" s="735"/>
      <c r="B4" s="713" t="s">
        <v>893</v>
      </c>
      <c r="C4" s="735"/>
      <c r="D4" s="735"/>
      <c r="E4" s="735"/>
      <c r="F4" s="735"/>
      <c r="G4" s="735"/>
      <c r="H4" s="735"/>
    </row>
    <row r="5" spans="1:8" ht="72" customHeight="1">
      <c r="A5" s="737"/>
      <c r="B5" s="1152" t="s">
        <v>3038</v>
      </c>
      <c r="C5" s="1152"/>
      <c r="D5" s="1152"/>
      <c r="E5" s="1152"/>
      <c r="F5" s="1152"/>
      <c r="G5" s="1152"/>
      <c r="H5" s="1152"/>
    </row>
    <row r="7" spans="1:8" s="754" customFormat="1" ht="18.600000000000001">
      <c r="A7" s="755"/>
      <c r="B7" s="755" t="s">
        <v>895</v>
      </c>
      <c r="C7" s="755"/>
      <c r="D7" s="755"/>
      <c r="E7" s="755"/>
      <c r="F7" s="755"/>
      <c r="G7" s="755"/>
      <c r="H7" s="755"/>
    </row>
    <row r="9" spans="1:8">
      <c r="D9" s="1322" t="s">
        <v>479</v>
      </c>
      <c r="E9" s="1324"/>
    </row>
    <row r="10" spans="1:8">
      <c r="B10" s="399" t="s">
        <v>104</v>
      </c>
      <c r="C10" s="398" t="s">
        <v>711</v>
      </c>
      <c r="D10" s="522" t="s">
        <v>456</v>
      </c>
      <c r="E10" s="522" t="s">
        <v>460</v>
      </c>
    </row>
    <row r="11" spans="1:8">
      <c r="B11" s="276" t="s">
        <v>627</v>
      </c>
      <c r="C11" s="276" t="s">
        <v>416</v>
      </c>
      <c r="D11" s="374" cm="1">
        <f t="array" aca="1" ref="D11" ca="1">_xlfn.XLOOKUP(1,($B11=$B$43:$B$47)*(D$10=$C$43:$C$47),$G$43:$G$47,"Not found",0,1)</f>
        <v>422.12330266577601</v>
      </c>
      <c r="E11" s="374" t="str" cm="1">
        <f t="array" ref="E11">_xlfn.XLOOKUP(1,($B11=$B$61:$B$63)*(E$10=$C$61:$C$63),$G$61:$G$63,"Not found",0,1)</f>
        <v>LG(H)</v>
      </c>
    </row>
    <row r="12" spans="1:8">
      <c r="B12" s="276" t="s">
        <v>628</v>
      </c>
      <c r="C12" s="276" t="s">
        <v>416</v>
      </c>
      <c r="D12" s="374" cm="1">
        <f t="array" aca="1" ref="D12" ca="1">_xlfn.XLOOKUP(1,($B12=$B$43:$B$47)*(D$10=$C$43:$C$47),$G$43:$G$47,"Not found",0,1)</f>
        <v>422.12330266577601</v>
      </c>
      <c r="E12" s="374" t="str" cm="1">
        <f t="array" ref="E12">_xlfn.XLOOKUP(1,($B12=$B$61:$B$63)*(E$10=$C$61:$C$63),$G$61:$G$63,"Not found",0,1)</f>
        <v>LG(H)</v>
      </c>
    </row>
    <row r="13" spans="1:8">
      <c r="B13" s="276" t="s">
        <v>629</v>
      </c>
      <c r="C13" s="276" t="s">
        <v>416</v>
      </c>
      <c r="D13" s="374" cm="1">
        <f t="array" aca="1" ref="D13" ca="1">_xlfn.XLOOKUP(1,($B13=$B$43:$B$47)*(D$10=$C$43:$C$47),$G$43:$G$47,"Not found",0,1)</f>
        <v>422.12330266577601</v>
      </c>
      <c r="E13" s="374" t="str" cm="1">
        <f t="array" ref="E13">_xlfn.XLOOKUP(1,($B13=$B$61:$B$63)*(E$10=$C$61:$C$63),$G$61:$G$63,"Not found",0,1)</f>
        <v>LG(H)</v>
      </c>
    </row>
    <row r="14" spans="1:8">
      <c r="B14" s="800" t="s">
        <v>896</v>
      </c>
    </row>
    <row r="16" spans="1:8">
      <c r="A16" s="739"/>
      <c r="B16" s="740" t="s">
        <v>456</v>
      </c>
      <c r="C16" s="739"/>
      <c r="D16" s="739"/>
      <c r="E16" s="739"/>
      <c r="F16" s="739"/>
      <c r="G16" s="739"/>
      <c r="H16" s="739"/>
    </row>
    <row r="17" spans="1:8">
      <c r="A17" s="741"/>
      <c r="B17" s="742" t="s">
        <v>897</v>
      </c>
      <c r="C17" s="741"/>
      <c r="D17" s="741"/>
      <c r="E17" s="741"/>
      <c r="F17" s="741"/>
      <c r="G17" s="741"/>
      <c r="H17" s="741"/>
    </row>
    <row r="18" spans="1:8">
      <c r="B18" s="399" t="s">
        <v>898</v>
      </c>
      <c r="C18" s="399" t="s">
        <v>899</v>
      </c>
    </row>
    <row r="19" spans="1:8">
      <c r="B19" s="276" t="s">
        <v>456</v>
      </c>
      <c r="C19" s="276" t="s">
        <v>3039</v>
      </c>
    </row>
    <row r="20" spans="1:8">
      <c r="B20" s="29"/>
    </row>
    <row r="21" spans="1:8">
      <c r="A21" s="741"/>
      <c r="B21" s="743" t="s">
        <v>911</v>
      </c>
      <c r="C21" s="741"/>
      <c r="D21" s="741"/>
      <c r="E21" s="741"/>
      <c r="F21" s="741"/>
      <c r="G21" s="741"/>
      <c r="H21" s="741"/>
    </row>
    <row r="22" spans="1:8">
      <c r="A22" s="744"/>
      <c r="B22" s="745" t="s">
        <v>912</v>
      </c>
      <c r="C22" s="744"/>
      <c r="D22" s="744"/>
      <c r="E22" s="744"/>
      <c r="F22" s="744"/>
      <c r="G22" s="744"/>
      <c r="H22" s="744"/>
    </row>
    <row r="23" spans="1:8" ht="29.1">
      <c r="B23" s="719" t="s">
        <v>913</v>
      </c>
      <c r="C23" s="719" t="s">
        <v>914</v>
      </c>
      <c r="D23" s="719" t="s">
        <v>915</v>
      </c>
      <c r="E23" s="719" t="s">
        <v>916</v>
      </c>
      <c r="F23" s="719" t="s">
        <v>917</v>
      </c>
      <c r="G23" s="719" t="s">
        <v>918</v>
      </c>
      <c r="H23" s="719" t="s">
        <v>919</v>
      </c>
    </row>
    <row r="24" spans="1:8">
      <c r="B24" s="276">
        <v>40</v>
      </c>
      <c r="C24" s="276" t="s">
        <v>1190</v>
      </c>
      <c r="D24" s="276" t="s">
        <v>1182</v>
      </c>
      <c r="E24" s="276">
        <v>2021</v>
      </c>
      <c r="F24" s="276" t="s">
        <v>1047</v>
      </c>
      <c r="G24" s="276" t="s">
        <v>1047</v>
      </c>
      <c r="H24" s="276" t="s">
        <v>906</v>
      </c>
    </row>
    <row r="25" spans="1:8">
      <c r="B25" s="29"/>
    </row>
    <row r="26" spans="1:8">
      <c r="A26" s="744"/>
      <c r="B26" s="745" t="s">
        <v>924</v>
      </c>
      <c r="C26" s="744"/>
      <c r="D26" s="744"/>
      <c r="E26" s="744"/>
      <c r="F26" s="744"/>
      <c r="G26" s="744"/>
      <c r="H26" s="744"/>
    </row>
    <row r="27" spans="1:8">
      <c r="B27" s="399" t="s">
        <v>165</v>
      </c>
      <c r="C27" s="399" t="s">
        <v>925</v>
      </c>
      <c r="D27" s="399" t="s">
        <v>926</v>
      </c>
      <c r="E27" s="1138" t="s">
        <v>927</v>
      </c>
      <c r="F27" s="1138"/>
      <c r="G27" s="1138"/>
      <c r="H27" s="1138"/>
    </row>
    <row r="28" spans="1:8">
      <c r="B28" s="276" t="s">
        <v>169</v>
      </c>
      <c r="C28" s="276" t="s">
        <v>166</v>
      </c>
      <c r="D28" s="278">
        <f>VLOOKUP(C28,METHODOLOGY!$C$175:$D$177,2,FALSE)</f>
        <v>3</v>
      </c>
      <c r="E28" s="1087" t="str">
        <f>_xlfn.XLOOKUP(C28,METHODOLOGY!$E$150:$O$150,METHODOLOGY!$E$151:$O$151,"",0,1)</f>
        <v>Monetary values have been peer reviewed or are recommended / referenced in other, well recognised and accepted guidance / tools relevant to the water sector.</v>
      </c>
      <c r="F28" s="1087"/>
      <c r="G28" s="1087"/>
      <c r="H28" s="1087"/>
    </row>
    <row r="29" spans="1:8">
      <c r="B29" s="276" t="s">
        <v>173</v>
      </c>
      <c r="C29" s="276" t="s">
        <v>166</v>
      </c>
      <c r="D29" s="278">
        <f>VLOOKUP(C29,METHODOLOGY!$C$175:$D$177,2,FALSE)</f>
        <v>3</v>
      </c>
      <c r="E29" s="1087" t="str">
        <f>_xlfn.XLOOKUP(C29,METHODOLOGY!$E$150:$O$150,METHODOLOGY!$E$155:$O$155,"",0,1)</f>
        <v>Study has few limitations and is considered robust.</v>
      </c>
      <c r="F29" s="1087"/>
      <c r="G29" s="1087"/>
      <c r="H29" s="1087"/>
    </row>
    <row r="30" spans="1:8">
      <c r="B30" s="276" t="s">
        <v>177</v>
      </c>
      <c r="C30" s="276" t="s">
        <v>166</v>
      </c>
      <c r="D30" s="278">
        <f>VLOOKUP(C30,METHODOLOGY!$C$175:$D$177,2,FALSE)</f>
        <v>3</v>
      </c>
      <c r="E30" s="1087" t="str">
        <f>_xlfn.XLOOKUP(C30,METHODOLOGY!$E$150:$O$150,METHODOLOGY!$E$158:$O$158,"",0,1)</f>
        <v>0 – 5 years</v>
      </c>
      <c r="F30" s="1087"/>
      <c r="G30" s="1087"/>
      <c r="H30" s="1087"/>
    </row>
    <row r="31" spans="1:8">
      <c r="B31" s="276" t="s">
        <v>181</v>
      </c>
      <c r="C31" s="276" t="s">
        <v>166</v>
      </c>
      <c r="D31" s="278">
        <f>VLOOKUP(C31,METHODOLOGY!$C$175:$D$177,2,FALSE)</f>
        <v>3</v>
      </c>
      <c r="E31" s="1087" t="str">
        <f>_xlfn.XLOOKUP(C31,METHODOLOGY!$E$150:$O$150,METHODOLOGY!$E$160:$O$160,"",0,1)</f>
        <v>Geographically relevant to UK</v>
      </c>
      <c r="F31" s="1087"/>
      <c r="G31" s="1087"/>
      <c r="H31" s="1087"/>
    </row>
    <row r="32" spans="1:8">
      <c r="B32" s="276" t="s">
        <v>928</v>
      </c>
      <c r="C32" s="276" t="s">
        <v>166</v>
      </c>
      <c r="D32" s="278">
        <f>VLOOKUP(C32,METHODOLOGY!$C$175:$D$177,2,FALSE)</f>
        <v>3</v>
      </c>
      <c r="E32" s="1087" t="str">
        <f>_xlfn.XLOOKUP(C32,METHODOLOGY!$E$150:$O$150,METHODOLOGY!$E$162:$O$162,"",0,1)</f>
        <v>Clear understanding of the valuation method and how the value should be applied.</v>
      </c>
      <c r="F32" s="1087"/>
      <c r="G32" s="1087"/>
      <c r="H32" s="1087"/>
    </row>
    <row r="33" spans="1:12">
      <c r="B33" s="276" t="s">
        <v>189</v>
      </c>
      <c r="C33" s="276" t="s">
        <v>166</v>
      </c>
      <c r="D33" s="278">
        <f>VLOOKUP(C33,METHODOLOGY!$C$175:$D$177,2,FALSE)</f>
        <v>3</v>
      </c>
      <c r="E33" s="1087" t="str">
        <f>_xlfn.XLOOKUP(C33,METHODOLOGY!$E$150:$O$150,METHODOLOGY!$E$164:$O$164,"",0,1)</f>
        <v xml:space="preserve">The original valuation can be used with no or very simple modification e.g. change units from ha to km2, applying inflation. </v>
      </c>
      <c r="F33" s="1087"/>
      <c r="G33" s="1087"/>
      <c r="H33" s="1087"/>
    </row>
    <row r="34" spans="1:12">
      <c r="C34" s="282" t="s">
        <v>924</v>
      </c>
      <c r="D34" s="326">
        <f>IF(AND(D33=1,AVERAGE(D28:D33)&gt;2.14285714285714),2.14285714285714,IF(AND(D33=2,AVERAGE(D28:D33)&gt;2.57142857142857),2.57142857142857,AVERAGE(D28:D33)))</f>
        <v>3</v>
      </c>
      <c r="E34" s="270" t="str">
        <f>IF(D34&lt;=2.14285714285714,"Red",IF(D34&lt;=2.57142857142857,"Amber",IF(D34&lt;=3,"Green")))</f>
        <v>Green</v>
      </c>
    </row>
    <row r="37" spans="1:12">
      <c r="A37" s="744"/>
      <c r="B37" s="745" t="s">
        <v>929</v>
      </c>
      <c r="C37" s="744"/>
      <c r="D37" s="744"/>
      <c r="E37" s="744"/>
      <c r="F37" s="744"/>
      <c r="G37" s="744"/>
      <c r="H37" s="744"/>
    </row>
    <row r="38" spans="1:12">
      <c r="B38" s="399" t="s">
        <v>913</v>
      </c>
      <c r="C38" s="399" t="s">
        <v>1089</v>
      </c>
      <c r="D38" s="399" t="s">
        <v>902</v>
      </c>
      <c r="E38" s="399" t="s">
        <v>331</v>
      </c>
      <c r="F38" s="399" t="s">
        <v>226</v>
      </c>
      <c r="G38" s="1354" t="s">
        <v>930</v>
      </c>
      <c r="H38" s="1354"/>
      <c r="I38" s="1354"/>
      <c r="J38" s="1354"/>
      <c r="K38" s="1354"/>
      <c r="L38" s="1354"/>
    </row>
    <row r="39" spans="1:12" ht="35.450000000000003" customHeight="1">
      <c r="B39" s="338">
        <v>40</v>
      </c>
      <c r="C39" s="338" t="s">
        <v>456</v>
      </c>
      <c r="D39" s="338" t="s">
        <v>3040</v>
      </c>
      <c r="E39" s="512">
        <f ca="1">'Carbon values'!$H$16</f>
        <v>376</v>
      </c>
      <c r="F39" s="339" t="s">
        <v>255</v>
      </c>
      <c r="G39" s="1140" t="s">
        <v>3041</v>
      </c>
      <c r="H39" s="1140"/>
      <c r="I39" s="1140"/>
      <c r="J39" s="1140"/>
      <c r="K39" s="1140"/>
      <c r="L39" s="1140"/>
    </row>
    <row r="40" spans="1:12">
      <c r="B40" s="32"/>
      <c r="C40" s="32"/>
      <c r="D40" s="32"/>
      <c r="E40" s="32"/>
      <c r="F40" s="38"/>
      <c r="G40" s="38"/>
      <c r="H40" s="38"/>
    </row>
    <row r="42" spans="1:12">
      <c r="A42" s="741"/>
      <c r="B42" s="743" t="s">
        <v>901</v>
      </c>
      <c r="C42" s="741"/>
      <c r="D42" s="741"/>
      <c r="E42" s="741"/>
      <c r="F42" s="741"/>
      <c r="G42" s="741"/>
      <c r="H42" s="741"/>
    </row>
    <row r="43" spans="1:12" ht="29.1">
      <c r="B43" s="719" t="s">
        <v>902</v>
      </c>
      <c r="C43" s="719" t="s">
        <v>898</v>
      </c>
      <c r="D43" s="719" t="s">
        <v>899</v>
      </c>
      <c r="E43" s="719" t="s">
        <v>903</v>
      </c>
      <c r="F43" s="719" t="s">
        <v>904</v>
      </c>
      <c r="G43" s="719" t="s">
        <v>905</v>
      </c>
      <c r="H43" s="752" t="s">
        <v>924</v>
      </c>
      <c r="I43" s="719" t="s">
        <v>956</v>
      </c>
      <c r="J43" s="719" t="s">
        <v>927</v>
      </c>
    </row>
    <row r="44" spans="1:12">
      <c r="B44" s="276" t="s">
        <v>627</v>
      </c>
      <c r="C44" s="276" t="s">
        <v>456</v>
      </c>
      <c r="D44" s="373" t="s">
        <v>3039</v>
      </c>
      <c r="E44" s="373" t="s">
        <v>957</v>
      </c>
      <c r="F44" s="276" t="str" cm="1">
        <f t="array" ref="F44">_xlfn.XLOOKUP(1,(D$50:D$52=B44)*(E$50:E$52=C44),B$50:B$52,"Not found",0,1)</f>
        <v>31-1</v>
      </c>
      <c r="G44" s="633">
        <f ca="1">VLOOKUP(F44,$B$50:$L$52,11,FALSE)</f>
        <v>422.12330266577601</v>
      </c>
      <c r="H44" s="1120">
        <f>$D$34</f>
        <v>3</v>
      </c>
      <c r="I44" s="1149" t="s">
        <v>3042</v>
      </c>
      <c r="J44" s="1149" t="s">
        <v>1352</v>
      </c>
    </row>
    <row r="45" spans="1:12">
      <c r="B45" s="276" t="s">
        <v>628</v>
      </c>
      <c r="C45" s="276" t="s">
        <v>456</v>
      </c>
      <c r="D45" s="373" t="s">
        <v>3039</v>
      </c>
      <c r="E45" s="373" t="s">
        <v>957</v>
      </c>
      <c r="F45" s="276" t="str" cm="1">
        <f t="array" ref="F45">_xlfn.XLOOKUP(1,(D$50:D$52=B45)*(E$50:E$52=C45),B$50:B$52,"Not found",0,1)</f>
        <v>31-2</v>
      </c>
      <c r="G45" s="633">
        <f ca="1">VLOOKUP(F45,$B$50:$L$52,11,FALSE)</f>
        <v>422.12330266577601</v>
      </c>
      <c r="H45" s="1121"/>
      <c r="I45" s="1149"/>
      <c r="J45" s="1149"/>
    </row>
    <row r="46" spans="1:12">
      <c r="B46" s="276" t="s">
        <v>629</v>
      </c>
      <c r="C46" s="276" t="s">
        <v>456</v>
      </c>
      <c r="D46" s="373" t="s">
        <v>3039</v>
      </c>
      <c r="E46" s="373" t="s">
        <v>957</v>
      </c>
      <c r="F46" s="276" t="str" cm="1">
        <f t="array" ref="F46">_xlfn.XLOOKUP(1,(D$50:D$52=B46)*(E$50:E$52=C46),B$50:B$52,"Not found",0,1)</f>
        <v>31-3</v>
      </c>
      <c r="G46" s="633">
        <f ca="1">VLOOKUP(F46,$B$50:$L$52,11,FALSE)</f>
        <v>422.12330266577601</v>
      </c>
      <c r="H46" s="1122"/>
      <c r="I46" s="1149"/>
      <c r="J46" s="1149"/>
    </row>
    <row r="47" spans="1:12">
      <c r="B47" s="30"/>
    </row>
    <row r="48" spans="1:12">
      <c r="A48" s="744"/>
      <c r="B48" s="745" t="s">
        <v>962</v>
      </c>
      <c r="C48" s="744"/>
      <c r="D48" s="744"/>
      <c r="E48" s="744"/>
      <c r="F48" s="744"/>
      <c r="G48" s="744"/>
      <c r="H48" s="744"/>
    </row>
    <row r="49" spans="1:23">
      <c r="B49" s="399" t="s">
        <v>904</v>
      </c>
      <c r="C49" s="399" t="s">
        <v>62</v>
      </c>
      <c r="D49" s="399" t="s">
        <v>902</v>
      </c>
      <c r="E49" s="399" t="s">
        <v>898</v>
      </c>
      <c r="F49" s="399" t="s">
        <v>916</v>
      </c>
      <c r="G49" s="399" t="s">
        <v>963</v>
      </c>
      <c r="H49" s="399" t="s">
        <v>964</v>
      </c>
      <c r="I49" s="399" t="s">
        <v>965</v>
      </c>
      <c r="J49" s="399" t="s">
        <v>966</v>
      </c>
      <c r="K49" s="399" t="s">
        <v>967</v>
      </c>
      <c r="L49" s="399" t="s">
        <v>968</v>
      </c>
      <c r="M49" s="399" t="s">
        <v>956</v>
      </c>
      <c r="N49" s="399" t="s">
        <v>969</v>
      </c>
      <c r="O49" s="399" t="s">
        <v>970</v>
      </c>
      <c r="P49" s="399" t="s">
        <v>927</v>
      </c>
      <c r="Q49" s="399" t="s">
        <v>913</v>
      </c>
      <c r="R49" s="399" t="s">
        <v>914</v>
      </c>
      <c r="S49" s="399" t="s">
        <v>915</v>
      </c>
      <c r="T49" s="399" t="s">
        <v>916</v>
      </c>
      <c r="U49" s="399" t="s">
        <v>917</v>
      </c>
      <c r="V49" s="399" t="s">
        <v>918</v>
      </c>
      <c r="W49" s="399" t="s">
        <v>919</v>
      </c>
    </row>
    <row r="50" spans="1:23">
      <c r="B50" s="372" t="s">
        <v>3043</v>
      </c>
      <c r="C50" s="340" t="s">
        <v>891</v>
      </c>
      <c r="D50" s="276" t="s">
        <v>627</v>
      </c>
      <c r="E50" s="276" t="s">
        <v>456</v>
      </c>
      <c r="F50" s="373">
        <f>E$24</f>
        <v>2021</v>
      </c>
      <c r="G50" s="276">
        <v>2020</v>
      </c>
      <c r="H50" s="276">
        <f>'COMPANY INPUT'!$C$16</f>
        <v>2023</v>
      </c>
      <c r="I50" s="276">
        <f>VLOOKUP(G50,'GDP Deflators'!$H$13:$I$86,2,FALSE)</f>
        <v>89.073499999999996</v>
      </c>
      <c r="J50" s="276">
        <f>VLOOKUP(H50,'GDP Deflators'!$H$13:$I$86,2,FALSE)</f>
        <v>100</v>
      </c>
      <c r="K50" s="402">
        <f ca="1">E$39</f>
        <v>376</v>
      </c>
      <c r="L50" s="747">
        <f ca="1">K50*(J50/I50)</f>
        <v>422.12330266577601</v>
      </c>
      <c r="M50" s="276" t="str">
        <f>$I$44</f>
        <v>"Target-consistent" or "abatement cost" approach to carbon valuation</v>
      </c>
      <c r="N50" s="326">
        <f>$H$44</f>
        <v>3</v>
      </c>
      <c r="O50" s="276" t="s">
        <v>718</v>
      </c>
      <c r="P50" s="276" t="str">
        <f>$J$44</f>
        <v>UK government values</v>
      </c>
      <c r="Q50" s="373">
        <f>B$24</f>
        <v>40</v>
      </c>
      <c r="R50" s="276" t="str">
        <f>C$24</f>
        <v>BEIS (2021) Valuing greenhouse gas emissions in policy appraisal.</v>
      </c>
      <c r="S50" s="276" t="str">
        <f t="shared" ref="S50:W50" si="0">D$24</f>
        <v>ENCA</v>
      </c>
      <c r="T50" s="276">
        <f t="shared" si="0"/>
        <v>2021</v>
      </c>
      <c r="U50" s="276" t="str">
        <f t="shared" si="0"/>
        <v>UK</v>
      </c>
      <c r="V50" s="276" t="str">
        <f t="shared" si="0"/>
        <v>UK</v>
      </c>
      <c r="W50" s="276" t="str">
        <f t="shared" si="0"/>
        <v>N/A</v>
      </c>
    </row>
    <row r="51" spans="1:23">
      <c r="B51" s="372" t="s">
        <v>3044</v>
      </c>
      <c r="C51" s="340" t="s">
        <v>891</v>
      </c>
      <c r="D51" s="276" t="s">
        <v>628</v>
      </c>
      <c r="E51" s="276" t="s">
        <v>456</v>
      </c>
      <c r="F51" s="373">
        <f t="shared" ref="F51:F52" si="1">E$24</f>
        <v>2021</v>
      </c>
      <c r="G51" s="276">
        <v>2020</v>
      </c>
      <c r="H51" s="276">
        <f>'COMPANY INPUT'!$C$16</f>
        <v>2023</v>
      </c>
      <c r="I51" s="276">
        <f>VLOOKUP(G51,'GDP Deflators'!$H$13:$I$86,2,FALSE)</f>
        <v>89.073499999999996</v>
      </c>
      <c r="J51" s="276">
        <f>VLOOKUP(H51,'GDP Deflators'!$H$13:$I$86,2,FALSE)</f>
        <v>100</v>
      </c>
      <c r="K51" s="402">
        <f t="shared" ref="K51:K52" ca="1" si="2">E$39</f>
        <v>376</v>
      </c>
      <c r="L51" s="747">
        <f ca="1">K51*(J51/I51)</f>
        <v>422.12330266577601</v>
      </c>
      <c r="M51" s="276" t="str">
        <f>$I$44</f>
        <v>"Target-consistent" or "abatement cost" approach to carbon valuation</v>
      </c>
      <c r="N51" s="326">
        <f>$H$44</f>
        <v>3</v>
      </c>
      <c r="O51" s="276" t="s">
        <v>718</v>
      </c>
      <c r="P51" s="276" t="str">
        <f>$J$44</f>
        <v>UK government values</v>
      </c>
      <c r="Q51" s="373">
        <f t="shared" ref="Q51:Q52" si="3">B$24</f>
        <v>40</v>
      </c>
      <c r="R51" s="276" t="str">
        <f t="shared" ref="R51:R52" si="4">C$24</f>
        <v>BEIS (2021) Valuing greenhouse gas emissions in policy appraisal.</v>
      </c>
      <c r="S51" s="276" t="str">
        <f t="shared" ref="S51:S52" si="5">D$24</f>
        <v>ENCA</v>
      </c>
      <c r="T51" s="276">
        <f t="shared" ref="T51:T52" si="6">E$24</f>
        <v>2021</v>
      </c>
      <c r="U51" s="276" t="str">
        <f t="shared" ref="U51:U52" si="7">F$24</f>
        <v>UK</v>
      </c>
      <c r="V51" s="276" t="str">
        <f t="shared" ref="V51:V52" si="8">G$24</f>
        <v>UK</v>
      </c>
      <c r="W51" s="276" t="str">
        <f t="shared" ref="W51:W52" si="9">H$24</f>
        <v>N/A</v>
      </c>
    </row>
    <row r="52" spans="1:23">
      <c r="B52" s="372" t="s">
        <v>3045</v>
      </c>
      <c r="C52" s="340" t="s">
        <v>891</v>
      </c>
      <c r="D52" s="276" t="s">
        <v>629</v>
      </c>
      <c r="E52" s="276" t="s">
        <v>456</v>
      </c>
      <c r="F52" s="373">
        <f t="shared" si="1"/>
        <v>2021</v>
      </c>
      <c r="G52" s="276">
        <v>2020</v>
      </c>
      <c r="H52" s="276">
        <f>'COMPANY INPUT'!$C$16</f>
        <v>2023</v>
      </c>
      <c r="I52" s="276">
        <f>VLOOKUP(G52,'GDP Deflators'!$H$13:$I$86,2,FALSE)</f>
        <v>89.073499999999996</v>
      </c>
      <c r="J52" s="276">
        <f>VLOOKUP(H52,'GDP Deflators'!$H$13:$I$86,2,FALSE)</f>
        <v>100</v>
      </c>
      <c r="K52" s="402">
        <f t="shared" ca="1" si="2"/>
        <v>376</v>
      </c>
      <c r="L52" s="747">
        <f ca="1">K52*(J52/I52)</f>
        <v>422.12330266577601</v>
      </c>
      <c r="M52" s="276" t="str">
        <f>$I$44</f>
        <v>"Target-consistent" or "abatement cost" approach to carbon valuation</v>
      </c>
      <c r="N52" s="326">
        <f>$H$44</f>
        <v>3</v>
      </c>
      <c r="O52" s="276" t="s">
        <v>718</v>
      </c>
      <c r="P52" s="276" t="str">
        <f>$J$44</f>
        <v>UK government values</v>
      </c>
      <c r="Q52" s="373">
        <f t="shared" si="3"/>
        <v>40</v>
      </c>
      <c r="R52" s="276" t="str">
        <f t="shared" si="4"/>
        <v>BEIS (2021) Valuing greenhouse gas emissions in policy appraisal.</v>
      </c>
      <c r="S52" s="276" t="str">
        <f t="shared" si="5"/>
        <v>ENCA</v>
      </c>
      <c r="T52" s="276">
        <f t="shared" si="6"/>
        <v>2021</v>
      </c>
      <c r="U52" s="276" t="str">
        <f t="shared" si="7"/>
        <v>UK</v>
      </c>
      <c r="V52" s="276" t="str">
        <f t="shared" si="8"/>
        <v>UK</v>
      </c>
      <c r="W52" s="276" t="str">
        <f t="shared" si="9"/>
        <v>N/A</v>
      </c>
    </row>
    <row r="54" spans="1:23">
      <c r="A54" s="739"/>
      <c r="B54" s="740" t="s">
        <v>460</v>
      </c>
      <c r="C54" s="739"/>
      <c r="D54" s="739"/>
      <c r="E54" s="739"/>
      <c r="F54" s="739"/>
      <c r="G54" s="739"/>
      <c r="H54" s="739"/>
    </row>
    <row r="55" spans="1:23">
      <c r="A55" s="741"/>
      <c r="B55" s="742" t="s">
        <v>897</v>
      </c>
      <c r="C55" s="741"/>
      <c r="D55" s="741"/>
      <c r="E55" s="741"/>
      <c r="F55" s="741"/>
      <c r="G55" s="741"/>
      <c r="H55" s="741"/>
    </row>
    <row r="56" spans="1:23">
      <c r="B56" s="398" t="s">
        <v>898</v>
      </c>
      <c r="C56" s="398" t="s">
        <v>899</v>
      </c>
    </row>
    <row r="57" spans="1:23">
      <c r="B57" s="276" t="s">
        <v>460</v>
      </c>
      <c r="C57" s="276" t="s">
        <v>3046</v>
      </c>
    </row>
    <row r="58" spans="1:23">
      <c r="B58" s="29"/>
    </row>
    <row r="59" spans="1:23">
      <c r="A59" s="741"/>
      <c r="B59" s="743" t="s">
        <v>901</v>
      </c>
      <c r="C59" s="741"/>
      <c r="D59" s="741"/>
      <c r="E59" s="741"/>
      <c r="F59" s="741"/>
      <c r="G59" s="741"/>
      <c r="H59" s="741"/>
    </row>
    <row r="60" spans="1:23" ht="29.1">
      <c r="B60" s="719" t="s">
        <v>902</v>
      </c>
      <c r="C60" s="719" t="s">
        <v>898</v>
      </c>
      <c r="D60" s="719" t="s">
        <v>899</v>
      </c>
      <c r="E60" s="719" t="s">
        <v>903</v>
      </c>
      <c r="F60" s="719" t="s">
        <v>904</v>
      </c>
      <c r="G60" s="719" t="s">
        <v>905</v>
      </c>
      <c r="H60" s="719" t="s">
        <v>924</v>
      </c>
      <c r="I60" s="719" t="s">
        <v>956</v>
      </c>
      <c r="J60" s="719" t="s">
        <v>927</v>
      </c>
    </row>
    <row r="61" spans="1:23">
      <c r="B61" s="276" t="s">
        <v>627</v>
      </c>
      <c r="C61" s="373" t="s">
        <v>460</v>
      </c>
      <c r="D61" s="276" t="s">
        <v>3046</v>
      </c>
      <c r="E61" s="373" t="s">
        <v>906</v>
      </c>
      <c r="F61" s="340" t="s">
        <v>907</v>
      </c>
      <c r="G61" s="343" t="s">
        <v>477</v>
      </c>
      <c r="H61" s="630" t="s">
        <v>907</v>
      </c>
      <c r="I61" s="630" t="s">
        <v>907</v>
      </c>
      <c r="J61" s="630" t="s">
        <v>907</v>
      </c>
    </row>
    <row r="62" spans="1:23">
      <c r="B62" s="276" t="s">
        <v>628</v>
      </c>
      <c r="C62" s="373" t="s">
        <v>460</v>
      </c>
      <c r="D62" s="276" t="s">
        <v>3046</v>
      </c>
      <c r="E62" s="373" t="s">
        <v>906</v>
      </c>
      <c r="F62" s="340" t="s">
        <v>907</v>
      </c>
      <c r="G62" s="343" t="s">
        <v>477</v>
      </c>
      <c r="H62" s="630" t="s">
        <v>907</v>
      </c>
      <c r="I62" s="630" t="s">
        <v>907</v>
      </c>
      <c r="J62" s="630" t="s">
        <v>907</v>
      </c>
    </row>
    <row r="63" spans="1:23">
      <c r="B63" s="276" t="s">
        <v>629</v>
      </c>
      <c r="C63" s="373" t="s">
        <v>460</v>
      </c>
      <c r="D63" s="276" t="s">
        <v>3046</v>
      </c>
      <c r="E63" s="373" t="s">
        <v>906</v>
      </c>
      <c r="F63" s="340" t="s">
        <v>907</v>
      </c>
      <c r="G63" s="343" t="s">
        <v>477</v>
      </c>
      <c r="H63" s="630" t="s">
        <v>907</v>
      </c>
      <c r="I63" s="630" t="s">
        <v>907</v>
      </c>
      <c r="J63" s="630" t="s">
        <v>907</v>
      </c>
    </row>
    <row r="64" spans="1:23">
      <c r="B64" s="29"/>
    </row>
  </sheetData>
  <sheetProtection algorithmName="SHA-512" hashValue="ZolMNK8BGItvRaFQclEPP9Li0heS2Mn1LdrdSywXWCUZiAQ8eAoXR44u77mnBuUdvpJnxFjNkiPAmkw9qUur0w==" saltValue="AGbeS9zqY86N4lZ+c1qSGw==" spinCount="100000" sheet="1" objects="1" scenarios="1"/>
  <dataConsolidate/>
  <mergeCells count="14">
    <mergeCell ref="J44:J46"/>
    <mergeCell ref="I44:I46"/>
    <mergeCell ref="H44:H46"/>
    <mergeCell ref="B5:H5"/>
    <mergeCell ref="E27:H27"/>
    <mergeCell ref="E28:H28"/>
    <mergeCell ref="E29:H29"/>
    <mergeCell ref="E30:H30"/>
    <mergeCell ref="D9:E9"/>
    <mergeCell ref="E31:H31"/>
    <mergeCell ref="E32:H32"/>
    <mergeCell ref="E33:H33"/>
    <mergeCell ref="G38:L38"/>
    <mergeCell ref="G39:L39"/>
  </mergeCells>
  <phoneticPr fontId="16" type="noConversion"/>
  <conditionalFormatting sqref="D11:E13">
    <cfRule type="notContainsBlanks" dxfId="375" priority="1">
      <formula>LEN(TRIM(D11))&gt;0</formula>
    </cfRule>
  </conditionalFormatting>
  <conditionalFormatting sqref="D34:E34">
    <cfRule type="cellIs" dxfId="374" priority="5" operator="lessThanOrEqual">
      <formula>2.14285714285714</formula>
    </cfRule>
    <cfRule type="cellIs" dxfId="373" priority="6" operator="lessThanOrEqual">
      <formula>2.57142857142857</formula>
    </cfRule>
    <cfRule type="cellIs" dxfId="372" priority="7" operator="lessThanOrEqual">
      <formula>3</formula>
    </cfRule>
  </conditionalFormatting>
  <conditionalFormatting sqref="E34">
    <cfRule type="containsText" dxfId="371" priority="2" operator="containsText" text="Green">
      <formula>NOT(ISERROR(SEARCH("Green",E34)))</formula>
    </cfRule>
    <cfRule type="containsText" dxfId="370" priority="3" operator="containsText" text="Amber">
      <formula>NOT(ISERROR(SEARCH("Amber",E34)))</formula>
    </cfRule>
    <cfRule type="containsText" dxfId="369" priority="4" operator="containsText" text="Red">
      <formula>NOT(ISERROR(SEARCH("Red",E34)))</formula>
    </cfRule>
  </conditionalFormatting>
  <conditionalFormatting sqref="H44">
    <cfRule type="cellIs" dxfId="368" priority="11" operator="lessThanOrEqual">
      <formula>2.14285714285714</formula>
    </cfRule>
    <cfRule type="cellIs" dxfId="367" priority="12" operator="lessThanOrEqual">
      <formula>2.57142857142857</formula>
    </cfRule>
    <cfRule type="cellIs" dxfId="366" priority="13" operator="lessThanOrEqual">
      <formula>3</formula>
    </cfRule>
  </conditionalFormatting>
  <conditionalFormatting sqref="N50:N52">
    <cfRule type="cellIs" dxfId="365" priority="8" operator="lessThanOrEqual">
      <formula>2.14285714285714</formula>
    </cfRule>
    <cfRule type="cellIs" dxfId="364" priority="9" operator="lessThanOrEqual">
      <formula>2.57142857142857</formula>
    </cfRule>
    <cfRule type="cellIs" dxfId="363" priority="10" operator="lessThanOrEqual">
      <formula>3</formula>
    </cfRule>
  </conditionalFormatting>
  <dataValidations disablePrompts="1" count="1">
    <dataValidation type="list" allowBlank="1" showInputMessage="1" showErrorMessage="1" sqref="C28:C33 C35 C53" xr:uid="{B8FC80A0-7AE5-465B-A4CB-BF85BB0C7197}">
      <formula1>"High, Medium, Low"</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E405-0F7B-4D98-BFCF-778799664067}">
  <sheetPr codeName="Sheet38">
    <tabColor theme="5" tint="0.59999389629810485"/>
  </sheetPr>
  <dimension ref="A1:W122"/>
  <sheetViews>
    <sheetView workbookViewId="0"/>
  </sheetViews>
  <sheetFormatPr defaultColWidth="9" defaultRowHeight="14.45"/>
  <cols>
    <col min="1" max="1" width="3.5" style="2" customWidth="1"/>
    <col min="2" max="3" width="40.625" style="2" customWidth="1"/>
    <col min="4" max="14" width="15.625" style="2" customWidth="1"/>
    <col min="15" max="15" width="16.125" style="2" customWidth="1"/>
    <col min="16" max="16" width="9" style="2"/>
    <col min="17" max="17" width="16.625" style="2" customWidth="1"/>
    <col min="18" max="18" width="18.5" style="2" customWidth="1"/>
    <col min="19" max="16384" width="9" style="2"/>
  </cols>
  <sheetData>
    <row r="1" spans="1:8" ht="15" thickBot="1"/>
    <row r="2" spans="1:8" s="710" customFormat="1" ht="18.95" thickBot="1">
      <c r="A2" s="707"/>
      <c r="B2" s="749" t="s">
        <v>417</v>
      </c>
      <c r="C2" s="711"/>
      <c r="D2" s="711"/>
    </row>
    <row r="4" spans="1:8" s="714" customFormat="1" ht="18.600000000000001">
      <c r="A4" s="715"/>
      <c r="B4" s="713" t="s">
        <v>893</v>
      </c>
      <c r="C4" s="715"/>
      <c r="D4" s="715"/>
      <c r="E4" s="715"/>
      <c r="F4" s="715"/>
      <c r="G4" s="715"/>
      <c r="H4" s="715"/>
    </row>
    <row r="5" spans="1:8" s="7" customFormat="1" ht="60.95" customHeight="1">
      <c r="A5" s="737"/>
      <c r="B5" s="1152" t="s">
        <v>3047</v>
      </c>
      <c r="C5" s="1152"/>
      <c r="D5" s="1152"/>
      <c r="E5" s="1152"/>
      <c r="F5" s="1152"/>
      <c r="G5" s="1152"/>
      <c r="H5" s="1152"/>
    </row>
    <row r="6" spans="1:8" s="7" customFormat="1"/>
    <row r="7" spans="1:8" s="718" customFormat="1" ht="18.600000000000001">
      <c r="A7" s="724"/>
      <c r="B7" s="724" t="s">
        <v>895</v>
      </c>
      <c r="C7" s="724"/>
      <c r="D7" s="724"/>
      <c r="E7" s="724"/>
      <c r="F7" s="724"/>
      <c r="G7" s="724"/>
      <c r="H7" s="724"/>
    </row>
    <row r="9" spans="1:8">
      <c r="D9" s="414" t="s">
        <v>479</v>
      </c>
      <c r="E9" s="414"/>
      <c r="F9" s="414"/>
    </row>
    <row r="10" spans="1:8" ht="29.1">
      <c r="B10" s="521" t="s">
        <v>104</v>
      </c>
      <c r="C10" s="308" t="s">
        <v>711</v>
      </c>
      <c r="D10" s="719" t="s">
        <v>230</v>
      </c>
      <c r="E10" s="719" t="s">
        <v>460</v>
      </c>
      <c r="F10" s="719" t="s">
        <v>465</v>
      </c>
    </row>
    <row r="11" spans="1:8">
      <c r="B11" s="278" t="s">
        <v>630</v>
      </c>
      <c r="C11" s="278" t="s">
        <v>418</v>
      </c>
      <c r="D11" s="374" cm="1">
        <f t="array" ref="D11">_xlfn.XLOOKUP(1,($B11=$B$44:$B$45)*(D$10=$C$44:$C$45),$G$44:$G$45,"Not found",0,1)</f>
        <v>134.2388591521578</v>
      </c>
      <c r="E11" s="374" t="str">
        <f>G59</f>
        <v>LG(H)</v>
      </c>
      <c r="F11" s="374" cm="1">
        <f t="array" ref="F11">_xlfn.XLOOKUP(1,($B11=$D$118:$D$122)*(F$10=$E$118:$E$122),$L$118:$L$122,"Not found",0,1)</f>
        <v>8728.2823987136835</v>
      </c>
    </row>
    <row r="12" spans="1:8">
      <c r="B12" s="278" t="s">
        <v>631</v>
      </c>
      <c r="C12" s="278" t="s">
        <v>418</v>
      </c>
      <c r="D12" s="374"/>
      <c r="E12" s="374" t="str">
        <f>G60</f>
        <v>LG(H)</v>
      </c>
      <c r="F12" s="374" cm="1">
        <f t="array" ref="F12">_xlfn.XLOOKUP(1,($B12=$D$118:$D$122)*(F$10=$E$118:$E$122),$L$118:$L$122,"Not found",0,1)</f>
        <v>17799.354484171152</v>
      </c>
    </row>
    <row r="13" spans="1:8">
      <c r="B13" s="278" t="s">
        <v>632</v>
      </c>
      <c r="C13" s="278" t="s">
        <v>418</v>
      </c>
      <c r="D13" s="374" cm="1">
        <f t="array" ref="D13">_xlfn.XLOOKUP(1,($B13=$B$44:$B$45)*(D$10=$C$44:$C$45),$G$44:$G$45,"Not found",0,1)</f>
        <v>539.56201639799349</v>
      </c>
      <c r="E13" s="374" t="str">
        <f>G61</f>
        <v>LG(H)</v>
      </c>
      <c r="F13" s="374" cm="1">
        <f t="array" ref="F13">_xlfn.XLOOKUP(1,($B13=$D$118:$D$122)*(F$10=$E$118:$E$122),$L$118:$L$122,"Not found",0,1)</f>
        <v>10355.462192975598</v>
      </c>
    </row>
    <row r="14" spans="1:8">
      <c r="B14" s="278" t="s">
        <v>633</v>
      </c>
      <c r="C14" s="278" t="s">
        <v>418</v>
      </c>
      <c r="D14" s="374"/>
      <c r="E14" s="374" t="str">
        <f>G62</f>
        <v>LG(H)</v>
      </c>
      <c r="F14" s="374" cm="1">
        <f t="array" ref="F14">_xlfn.XLOOKUP(1,($B14=$D$118:$D$122)*(F$10=$E$118:$E$122),$L$118:$L$122,"Not found",0,1)</f>
        <v>80093.881525456964</v>
      </c>
    </row>
    <row r="15" spans="1:8">
      <c r="B15" s="800" t="s">
        <v>896</v>
      </c>
    </row>
    <row r="16" spans="1:8">
      <c r="B16" s="800"/>
    </row>
    <row r="17" spans="1:8">
      <c r="A17" s="721"/>
      <c r="B17" s="722" t="s">
        <v>230</v>
      </c>
      <c r="C17" s="721"/>
      <c r="D17" s="721"/>
      <c r="E17" s="721"/>
      <c r="F17" s="721"/>
      <c r="G17" s="721"/>
      <c r="H17" s="721"/>
    </row>
    <row r="18" spans="1:8">
      <c r="A18" s="727"/>
      <c r="B18" s="729" t="s">
        <v>897</v>
      </c>
      <c r="C18" s="727"/>
      <c r="D18" s="727"/>
      <c r="E18" s="727"/>
      <c r="F18" s="727"/>
      <c r="G18" s="727"/>
      <c r="H18" s="727"/>
    </row>
    <row r="19" spans="1:8">
      <c r="B19" s="277" t="s">
        <v>898</v>
      </c>
      <c r="C19" s="277" t="s">
        <v>899</v>
      </c>
    </row>
    <row r="20" spans="1:8">
      <c r="B20" s="278" t="s">
        <v>230</v>
      </c>
      <c r="C20" s="278" t="s">
        <v>3048</v>
      </c>
    </row>
    <row r="21" spans="1:8">
      <c r="B21" s="16"/>
    </row>
    <row r="22" spans="1:8">
      <c r="A22" s="727"/>
      <c r="B22" s="728" t="s">
        <v>911</v>
      </c>
      <c r="C22" s="727"/>
      <c r="D22" s="727"/>
      <c r="E22" s="727"/>
      <c r="F22" s="727"/>
      <c r="G22" s="727"/>
      <c r="H22" s="727"/>
    </row>
    <row r="23" spans="1:8">
      <c r="A23" s="725"/>
      <c r="B23" s="726" t="s">
        <v>912</v>
      </c>
      <c r="C23" s="725"/>
      <c r="D23" s="725"/>
      <c r="E23" s="725"/>
      <c r="F23" s="725"/>
      <c r="G23" s="725"/>
      <c r="H23" s="725"/>
    </row>
    <row r="24" spans="1:8" ht="29.1">
      <c r="B24" s="719" t="s">
        <v>913</v>
      </c>
      <c r="C24" s="719" t="s">
        <v>914</v>
      </c>
      <c r="D24" s="719" t="s">
        <v>915</v>
      </c>
      <c r="E24" s="719" t="s">
        <v>916</v>
      </c>
      <c r="F24" s="719" t="s">
        <v>917</v>
      </c>
      <c r="G24" s="719" t="s">
        <v>918</v>
      </c>
      <c r="H24" s="719" t="s">
        <v>919</v>
      </c>
    </row>
    <row r="25" spans="1:8">
      <c r="B25" s="281">
        <v>18</v>
      </c>
      <c r="C25" s="278" t="s">
        <v>3049</v>
      </c>
      <c r="D25" s="278" t="s">
        <v>1182</v>
      </c>
      <c r="E25" s="278">
        <v>2014</v>
      </c>
      <c r="F25" s="278" t="s">
        <v>1047</v>
      </c>
      <c r="G25" s="278" t="s">
        <v>1672</v>
      </c>
      <c r="H25" s="281" t="s">
        <v>1673</v>
      </c>
    </row>
    <row r="26" spans="1:8">
      <c r="B26" s="16"/>
    </row>
    <row r="27" spans="1:8">
      <c r="A27" s="725"/>
      <c r="B27" s="726" t="s">
        <v>924</v>
      </c>
      <c r="C27" s="725"/>
      <c r="D27" s="725"/>
      <c r="E27" s="725"/>
      <c r="F27" s="725"/>
      <c r="G27" s="725"/>
      <c r="H27" s="725"/>
    </row>
    <row r="28" spans="1:8">
      <c r="B28" s="277" t="s">
        <v>165</v>
      </c>
      <c r="C28" s="277" t="s">
        <v>995</v>
      </c>
      <c r="D28" s="277" t="s">
        <v>926</v>
      </c>
      <c r="E28" s="1134" t="s">
        <v>927</v>
      </c>
      <c r="F28" s="1134"/>
      <c r="G28" s="1134"/>
      <c r="H28" s="1134"/>
    </row>
    <row r="29" spans="1:8">
      <c r="B29" s="278" t="s">
        <v>169</v>
      </c>
      <c r="C29" s="278" t="s">
        <v>166</v>
      </c>
      <c r="D29" s="278">
        <f>VLOOKUP(C29,METHODOLOGY!$C$175:$D$177,2,FALSE)</f>
        <v>3</v>
      </c>
      <c r="E29" s="1087" t="str">
        <f>_xlfn.XLOOKUP(C29,METHODOLOGY!$E$150:$O$150,METHODOLOGY!$E$151:$O$151,"",0,1)</f>
        <v>Monetary values have been peer reviewed or are recommended / referenced in other, well recognised and accepted guidance / tools relevant to the water sector.</v>
      </c>
      <c r="F29" s="1087"/>
      <c r="G29" s="1087"/>
      <c r="H29" s="1087"/>
    </row>
    <row r="30" spans="1:8">
      <c r="B30" s="278" t="s">
        <v>173</v>
      </c>
      <c r="C30" s="278" t="s">
        <v>167</v>
      </c>
      <c r="D30" s="278">
        <f>VLOOKUP(C30,METHODOLOGY!$C$175:$D$177,2,FALSE)</f>
        <v>2</v>
      </c>
      <c r="E30" s="1087" t="str">
        <f>_xlfn.XLOOKUP(C30,METHODOLOGY!$E$150:$O$150,METHODOLOGY!$E$155:$O$155,"",0,1)</f>
        <v>Study has some limitations which may impact on the robustness of the value.</v>
      </c>
      <c r="F30" s="1087"/>
      <c r="G30" s="1087"/>
      <c r="H30" s="1087"/>
    </row>
    <row r="31" spans="1:8">
      <c r="B31" s="278" t="s">
        <v>177</v>
      </c>
      <c r="C31" s="278" t="s">
        <v>167</v>
      </c>
      <c r="D31" s="278">
        <f>VLOOKUP(C31,METHODOLOGY!$C$175:$D$177,2,FALSE)</f>
        <v>2</v>
      </c>
      <c r="E31" s="1087" t="str">
        <f>_xlfn.XLOOKUP(C31,METHODOLOGY!$E$150:$O$150,METHODOLOGY!$E$158:$O$158,"",0,1)</f>
        <v>6-10 years</v>
      </c>
      <c r="F31" s="1087"/>
      <c r="G31" s="1087"/>
      <c r="H31" s="1087"/>
    </row>
    <row r="32" spans="1:8">
      <c r="B32" s="278" t="s">
        <v>181</v>
      </c>
      <c r="C32" s="278" t="s">
        <v>166</v>
      </c>
      <c r="D32" s="278">
        <f>VLOOKUP(C32,METHODOLOGY!$C$175:$D$177,2,FALSE)</f>
        <v>3</v>
      </c>
      <c r="E32" s="1087" t="str">
        <f>_xlfn.XLOOKUP(C32,METHODOLOGY!$E$150:$O$150,METHODOLOGY!$E$160:$O$160,"",0,1)</f>
        <v>Geographically relevant to UK</v>
      </c>
      <c r="F32" s="1087"/>
      <c r="G32" s="1087"/>
      <c r="H32" s="1087"/>
    </row>
    <row r="33" spans="1:23">
      <c r="B33" s="278" t="s">
        <v>928</v>
      </c>
      <c r="C33" s="278" t="s">
        <v>166</v>
      </c>
      <c r="D33" s="278">
        <f>VLOOKUP(C33,METHODOLOGY!$C$175:$D$177,2,FALSE)</f>
        <v>3</v>
      </c>
      <c r="E33" s="1087" t="str">
        <f>_xlfn.XLOOKUP(C33,METHODOLOGY!$E$150:$O$150,METHODOLOGY!$E$162:$O$162,"",0,1)</f>
        <v>Clear understanding of the valuation method and how the value should be applied.</v>
      </c>
      <c r="F33" s="1087"/>
      <c r="G33" s="1087"/>
      <c r="H33" s="1087"/>
    </row>
    <row r="34" spans="1:23">
      <c r="B34" s="278" t="s">
        <v>189</v>
      </c>
      <c r="C34" s="278" t="s">
        <v>166</v>
      </c>
      <c r="D34" s="278">
        <f>VLOOKUP(C34,METHODOLOGY!$C$175:$D$177,2,FALSE)</f>
        <v>3</v>
      </c>
      <c r="E34" s="1087" t="str">
        <f>_xlfn.XLOOKUP(C34,METHODOLOGY!$E$150:$O$150,METHODOLOGY!$E$164:$O$164,"",0,1)</f>
        <v xml:space="preserve">The original valuation can be used with no or very simple modification e.g. change units from ha to km2, applying inflation. </v>
      </c>
      <c r="F34" s="1087"/>
      <c r="G34" s="1087"/>
      <c r="H34" s="1087"/>
    </row>
    <row r="35" spans="1:23">
      <c r="C35" s="282" t="s">
        <v>924</v>
      </c>
      <c r="D35" s="326">
        <f>IF(AND(D34=1,AVERAGE(D29:D34)&gt;2.14285714285714),2.14285714285714,IF(AND(D34=2,AVERAGE(D29:D34)&gt;2.57142857142857),2.57142857142857,AVERAGE(D29:D34)))</f>
        <v>2.6666666666666665</v>
      </c>
      <c r="E35" s="270" t="str">
        <f>IF(D35&lt;=2.14285714285714,"Red",IF(D35&lt;=2.57142857142857,"Amber",IF(D35&lt;=3,"Green")))</f>
        <v>Green</v>
      </c>
    </row>
    <row r="37" spans="1:23">
      <c r="A37" s="725"/>
      <c r="B37" s="726" t="s">
        <v>929</v>
      </c>
      <c r="C37" s="725"/>
      <c r="D37" s="725"/>
      <c r="E37" s="725"/>
      <c r="F37" s="725"/>
      <c r="G37" s="725"/>
      <c r="H37" s="725"/>
    </row>
    <row r="38" spans="1:23">
      <c r="B38" s="277" t="s">
        <v>913</v>
      </c>
      <c r="C38" s="277" t="s">
        <v>902</v>
      </c>
      <c r="D38" s="277" t="s">
        <v>331</v>
      </c>
      <c r="E38" s="277" t="s">
        <v>226</v>
      </c>
      <c r="F38" s="1157" t="s">
        <v>930</v>
      </c>
      <c r="G38" s="1157"/>
      <c r="H38" s="1157"/>
      <c r="I38" s="1157"/>
      <c r="J38" s="1157"/>
      <c r="K38" s="1157"/>
    </row>
    <row r="39" spans="1:23" ht="33" customHeight="1">
      <c r="B39" s="1195">
        <v>18</v>
      </c>
      <c r="C39" s="278" t="s">
        <v>630</v>
      </c>
      <c r="D39" s="278">
        <v>103</v>
      </c>
      <c r="E39" s="334" t="s">
        <v>3050</v>
      </c>
      <c r="F39" s="1158" t="s">
        <v>3051</v>
      </c>
      <c r="G39" s="1158"/>
      <c r="H39" s="1158"/>
      <c r="I39" s="1158"/>
      <c r="J39" s="1158"/>
      <c r="K39" s="1158"/>
    </row>
    <row r="40" spans="1:23" ht="33" customHeight="1">
      <c r="B40" s="1195"/>
      <c r="C40" s="278" t="s">
        <v>632</v>
      </c>
      <c r="D40" s="278">
        <v>414</v>
      </c>
      <c r="E40" s="513" t="s">
        <v>3052</v>
      </c>
      <c r="F40" s="1158"/>
      <c r="G40" s="1158"/>
      <c r="H40" s="1158"/>
      <c r="I40" s="1158"/>
      <c r="J40" s="1158"/>
      <c r="K40" s="1158"/>
    </row>
    <row r="42" spans="1:23">
      <c r="A42" s="727"/>
      <c r="B42" s="728" t="s">
        <v>3053</v>
      </c>
      <c r="C42" s="727"/>
      <c r="D42" s="727"/>
      <c r="E42" s="727"/>
      <c r="F42" s="727"/>
      <c r="G42" s="727"/>
      <c r="H42" s="727"/>
    </row>
    <row r="43" spans="1:23" ht="29.1">
      <c r="B43" s="719" t="s">
        <v>902</v>
      </c>
      <c r="C43" s="719" t="s">
        <v>898</v>
      </c>
      <c r="D43" s="719" t="s">
        <v>899</v>
      </c>
      <c r="E43" s="719" t="s">
        <v>903</v>
      </c>
      <c r="F43" s="719" t="s">
        <v>904</v>
      </c>
      <c r="G43" s="719" t="s">
        <v>905</v>
      </c>
      <c r="H43" s="752" t="s">
        <v>924</v>
      </c>
      <c r="I43" s="752" t="s">
        <v>956</v>
      </c>
      <c r="J43" s="752" t="s">
        <v>927</v>
      </c>
    </row>
    <row r="44" spans="1:23">
      <c r="B44" s="278" t="s">
        <v>630</v>
      </c>
      <c r="C44" s="278" t="s">
        <v>230</v>
      </c>
      <c r="D44" s="299" t="s">
        <v>3054</v>
      </c>
      <c r="E44" s="299" t="s">
        <v>957</v>
      </c>
      <c r="F44" s="278" t="str" cm="1">
        <f t="array" ref="F44">_xlfn.XLOOKUP(1,($D$49:$D$50=B44)*($E$49:$E$50=C44),$B$49:$B$50,"Not found",0,1)</f>
        <v>32-1</v>
      </c>
      <c r="G44" s="311">
        <f>VLOOKUP(F44,$B$49:$L$50,11,FALSE)</f>
        <v>134.2388591521578</v>
      </c>
      <c r="H44" s="1120">
        <f>$D$35</f>
        <v>2.6666666666666665</v>
      </c>
      <c r="I44" s="1149" t="s">
        <v>1583</v>
      </c>
      <c r="J44" s="1450" t="s">
        <v>3055</v>
      </c>
    </row>
    <row r="45" spans="1:23">
      <c r="B45" s="278" t="s">
        <v>632</v>
      </c>
      <c r="C45" s="278" t="s">
        <v>230</v>
      </c>
      <c r="D45" s="299" t="s">
        <v>3054</v>
      </c>
      <c r="E45" s="299" t="s">
        <v>957</v>
      </c>
      <c r="F45" s="278" t="str" cm="1">
        <f t="array" ref="F45">_xlfn.XLOOKUP(1,($D$49:$D$50=B45)*($E$49:$E$50=C45),$B$49:$B$50,"Not found",0,1)</f>
        <v>32-2</v>
      </c>
      <c r="G45" s="311">
        <f>VLOOKUP(F45,$B$49:$L$50,11,FALSE)</f>
        <v>539.56201639799349</v>
      </c>
      <c r="H45" s="1122"/>
      <c r="I45" s="1149"/>
      <c r="J45" s="1450"/>
    </row>
    <row r="47" spans="1:23">
      <c r="A47" s="725"/>
      <c r="B47" s="726" t="s">
        <v>962</v>
      </c>
      <c r="C47" s="725"/>
      <c r="D47" s="725"/>
      <c r="E47" s="725"/>
      <c r="F47" s="725"/>
      <c r="G47" s="725"/>
      <c r="H47" s="725"/>
    </row>
    <row r="48" spans="1:23">
      <c r="B48" s="277" t="s">
        <v>904</v>
      </c>
      <c r="C48" s="277" t="s">
        <v>62</v>
      </c>
      <c r="D48" s="277" t="s">
        <v>902</v>
      </c>
      <c r="E48" s="277" t="s">
        <v>898</v>
      </c>
      <c r="F48" s="277" t="s">
        <v>916</v>
      </c>
      <c r="G48" s="277" t="s">
        <v>963</v>
      </c>
      <c r="H48" s="277" t="s">
        <v>964</v>
      </c>
      <c r="I48" s="277" t="s">
        <v>965</v>
      </c>
      <c r="J48" s="277" t="s">
        <v>966</v>
      </c>
      <c r="K48" s="277" t="s">
        <v>967</v>
      </c>
      <c r="L48" s="277" t="s">
        <v>968</v>
      </c>
      <c r="M48" s="277" t="s">
        <v>956</v>
      </c>
      <c r="N48" s="277" t="s">
        <v>969</v>
      </c>
      <c r="O48" s="277" t="s">
        <v>970</v>
      </c>
      <c r="P48" s="277" t="s">
        <v>927</v>
      </c>
      <c r="Q48" s="277" t="s">
        <v>913</v>
      </c>
      <c r="R48" s="277" t="s">
        <v>914</v>
      </c>
      <c r="S48" s="277" t="s">
        <v>915</v>
      </c>
      <c r="T48" s="277" t="s">
        <v>916</v>
      </c>
      <c r="U48" s="277" t="s">
        <v>917</v>
      </c>
      <c r="V48" s="277" t="s">
        <v>918</v>
      </c>
      <c r="W48" s="277" t="s">
        <v>919</v>
      </c>
    </row>
    <row r="49" spans="1:23">
      <c r="B49" s="302" t="s">
        <v>3056</v>
      </c>
      <c r="C49" s="279" t="s">
        <v>417</v>
      </c>
      <c r="D49" s="278" t="s">
        <v>630</v>
      </c>
      <c r="E49" s="279" t="s">
        <v>230</v>
      </c>
      <c r="F49" s="299">
        <f>$E$25</f>
        <v>2014</v>
      </c>
      <c r="G49" s="278">
        <v>2013</v>
      </c>
      <c r="H49" s="278">
        <f>'COMPANY INPUT'!$C$16</f>
        <v>2023</v>
      </c>
      <c r="I49" s="278">
        <f>VLOOKUP(G49,'GDP Deflators'!$H$13:$I$86,2,FALSE)</f>
        <v>76.728899999999996</v>
      </c>
      <c r="J49" s="278">
        <f>VLOOKUP(H49,'GDP Deflators'!$H$13:$I$86,2,FALSE)</f>
        <v>100</v>
      </c>
      <c r="K49" s="385">
        <f>D39</f>
        <v>103</v>
      </c>
      <c r="L49" s="746">
        <f>K49*(J49/I49)</f>
        <v>134.2388591521578</v>
      </c>
      <c r="M49" s="278" t="str">
        <f>$I$44</f>
        <v>Damage costs</v>
      </c>
      <c r="N49" s="326">
        <f>$H$44</f>
        <v>2.6666666666666665</v>
      </c>
      <c r="O49" s="278" t="s">
        <v>718</v>
      </c>
      <c r="P49" s="281" t="str">
        <f>$J$44</f>
        <v>Referenced within ENCA</v>
      </c>
      <c r="Q49" s="299">
        <f>$B$25</f>
        <v>18</v>
      </c>
      <c r="R49" s="278" t="str">
        <f>$C$25</f>
        <v>L Jones et al.(2014) Assessment of the impacts of air pollution on Ecosystem Services - Final Report</v>
      </c>
      <c r="S49" s="278" t="str">
        <f>$D$25</f>
        <v>ENCA</v>
      </c>
      <c r="T49" s="278">
        <f>$E$25</f>
        <v>2014</v>
      </c>
      <c r="U49" s="278" t="str">
        <f>$F$25</f>
        <v>UK</v>
      </c>
      <c r="V49" s="278" t="str">
        <f>$G$25</f>
        <v>UK average</v>
      </c>
      <c r="W49" s="278" t="str">
        <f>$H$25</f>
        <v>Not available</v>
      </c>
    </row>
    <row r="50" spans="1:23">
      <c r="B50" s="302" t="s">
        <v>3057</v>
      </c>
      <c r="C50" s="278" t="s">
        <v>417</v>
      </c>
      <c r="D50" s="278" t="s">
        <v>632</v>
      </c>
      <c r="E50" s="279" t="s">
        <v>230</v>
      </c>
      <c r="F50" s="299">
        <f>$E$25</f>
        <v>2014</v>
      </c>
      <c r="G50" s="278">
        <v>2013</v>
      </c>
      <c r="H50" s="278">
        <f>'COMPANY INPUT'!$C$16</f>
        <v>2023</v>
      </c>
      <c r="I50" s="278">
        <f>VLOOKUP(G50,'GDP Deflators'!$H$13:$I$86,2,FALSE)</f>
        <v>76.728899999999996</v>
      </c>
      <c r="J50" s="278">
        <f>VLOOKUP(H50,'GDP Deflators'!$H$13:$I$86,2,FALSE)</f>
        <v>100</v>
      </c>
      <c r="K50" s="385">
        <f>D40</f>
        <v>414</v>
      </c>
      <c r="L50" s="746">
        <f t="shared" ref="L50" si="0">K50*(J50/I50)</f>
        <v>539.56201639799349</v>
      </c>
      <c r="M50" s="278" t="str">
        <f>$I$44</f>
        <v>Damage costs</v>
      </c>
      <c r="N50" s="326">
        <f>$H$44</f>
        <v>2.6666666666666665</v>
      </c>
      <c r="O50" s="278" t="s">
        <v>718</v>
      </c>
      <c r="P50" s="281" t="str">
        <f>$J$44</f>
        <v>Referenced within ENCA</v>
      </c>
      <c r="Q50" s="299">
        <f>$B$25</f>
        <v>18</v>
      </c>
      <c r="R50" s="278" t="str">
        <f>$C$25</f>
        <v>L Jones et al.(2014) Assessment of the impacts of air pollution on Ecosystem Services - Final Report</v>
      </c>
      <c r="S50" s="278" t="str">
        <f>$D$25</f>
        <v>ENCA</v>
      </c>
      <c r="T50" s="278">
        <f>$E$25</f>
        <v>2014</v>
      </c>
      <c r="U50" s="278" t="str">
        <f>$F$25</f>
        <v>UK</v>
      </c>
      <c r="V50" s="278" t="str">
        <f>$G$25</f>
        <v>UK average</v>
      </c>
      <c r="W50" s="278" t="str">
        <f>$H$25</f>
        <v>Not available</v>
      </c>
    </row>
    <row r="51" spans="1:23">
      <c r="B51" s="20"/>
      <c r="E51" s="19"/>
      <c r="F51" s="4"/>
      <c r="K51" s="21"/>
      <c r="L51" s="21"/>
      <c r="M51" s="21"/>
      <c r="N51" s="21"/>
      <c r="O51" s="21"/>
      <c r="P51" s="22"/>
      <c r="Q51" s="4"/>
    </row>
    <row r="52" spans="1:23">
      <c r="A52" s="721"/>
      <c r="B52" s="722" t="s">
        <v>460</v>
      </c>
      <c r="C52" s="721"/>
      <c r="D52" s="721"/>
      <c r="E52" s="721"/>
      <c r="F52" s="721"/>
      <c r="G52" s="721"/>
      <c r="H52" s="721"/>
    </row>
    <row r="53" spans="1:23">
      <c r="A53" s="727"/>
      <c r="B53" s="729" t="s">
        <v>897</v>
      </c>
      <c r="C53" s="727"/>
      <c r="D53" s="727"/>
      <c r="E53" s="727"/>
      <c r="F53" s="727"/>
      <c r="G53" s="727"/>
      <c r="H53" s="727"/>
    </row>
    <row r="54" spans="1:23">
      <c r="B54" s="277" t="s">
        <v>898</v>
      </c>
      <c r="C54" s="277" t="s">
        <v>899</v>
      </c>
    </row>
    <row r="55" spans="1:23" ht="39" customHeight="1">
      <c r="B55" s="278" t="s">
        <v>460</v>
      </c>
      <c r="C55" s="295" t="s">
        <v>3058</v>
      </c>
    </row>
    <row r="56" spans="1:23">
      <c r="B56" s="16"/>
    </row>
    <row r="57" spans="1:23">
      <c r="A57" s="727"/>
      <c r="B57" s="728" t="s">
        <v>901</v>
      </c>
      <c r="C57" s="727"/>
      <c r="D57" s="727"/>
      <c r="E57" s="727"/>
      <c r="F57" s="727"/>
      <c r="G57" s="727"/>
      <c r="H57" s="727"/>
    </row>
    <row r="58" spans="1:23" ht="29.1">
      <c r="B58" s="719" t="s">
        <v>902</v>
      </c>
      <c r="C58" s="719" t="s">
        <v>898</v>
      </c>
      <c r="D58" s="719" t="s">
        <v>899</v>
      </c>
      <c r="E58" s="719" t="s">
        <v>903</v>
      </c>
      <c r="F58" s="719" t="s">
        <v>904</v>
      </c>
      <c r="G58" s="719" t="s">
        <v>905</v>
      </c>
      <c r="H58" s="719" t="s">
        <v>924</v>
      </c>
      <c r="I58" s="719" t="s">
        <v>956</v>
      </c>
      <c r="J58" s="719" t="s">
        <v>927</v>
      </c>
    </row>
    <row r="59" spans="1:23">
      <c r="B59" s="278" t="s">
        <v>630</v>
      </c>
      <c r="C59" s="278" t="str">
        <f>$B$55</f>
        <v>Trust</v>
      </c>
      <c r="D59" s="299" t="str">
        <f>$C$55</f>
        <v>Reduced trust from customers/stakeholders in water company as a result of air pollution</v>
      </c>
      <c r="E59" s="299" t="s">
        <v>906</v>
      </c>
      <c r="F59" s="279" t="s">
        <v>907</v>
      </c>
      <c r="G59" s="300" t="s">
        <v>477</v>
      </c>
      <c r="H59" s="640" t="s">
        <v>907</v>
      </c>
      <c r="I59" s="640" t="s">
        <v>907</v>
      </c>
      <c r="J59" s="640" t="s">
        <v>907</v>
      </c>
    </row>
    <row r="60" spans="1:23">
      <c r="B60" s="278" t="s">
        <v>631</v>
      </c>
      <c r="C60" s="278" t="str">
        <f>$B$55</f>
        <v>Trust</v>
      </c>
      <c r="D60" s="299" t="str">
        <f>$C$55</f>
        <v>Reduced trust from customers/stakeholders in water company as a result of air pollution</v>
      </c>
      <c r="E60" s="299" t="s">
        <v>906</v>
      </c>
      <c r="F60" s="279" t="s">
        <v>907</v>
      </c>
      <c r="G60" s="300" t="s">
        <v>477</v>
      </c>
      <c r="H60" s="640" t="s">
        <v>907</v>
      </c>
      <c r="I60" s="640" t="s">
        <v>907</v>
      </c>
      <c r="J60" s="640" t="s">
        <v>907</v>
      </c>
    </row>
    <row r="61" spans="1:23">
      <c r="B61" s="278" t="s">
        <v>632</v>
      </c>
      <c r="C61" s="278" t="str">
        <f>$B$55</f>
        <v>Trust</v>
      </c>
      <c r="D61" s="299" t="str">
        <f>$C$55</f>
        <v>Reduced trust from customers/stakeholders in water company as a result of air pollution</v>
      </c>
      <c r="E61" s="299" t="s">
        <v>906</v>
      </c>
      <c r="F61" s="279" t="s">
        <v>907</v>
      </c>
      <c r="G61" s="300" t="s">
        <v>477</v>
      </c>
      <c r="H61" s="640" t="s">
        <v>907</v>
      </c>
      <c r="I61" s="640" t="s">
        <v>907</v>
      </c>
      <c r="J61" s="640" t="s">
        <v>907</v>
      </c>
    </row>
    <row r="62" spans="1:23">
      <c r="B62" s="278" t="s">
        <v>633</v>
      </c>
      <c r="C62" s="278" t="str">
        <f>$B$55</f>
        <v>Trust</v>
      </c>
      <c r="D62" s="299" t="str">
        <f>$C$55</f>
        <v>Reduced trust from customers/stakeholders in water company as a result of air pollution</v>
      </c>
      <c r="E62" s="299" t="s">
        <v>906</v>
      </c>
      <c r="F62" s="279" t="s">
        <v>907</v>
      </c>
      <c r="G62" s="300" t="s">
        <v>477</v>
      </c>
      <c r="H62" s="640" t="s">
        <v>907</v>
      </c>
      <c r="I62" s="640" t="s">
        <v>907</v>
      </c>
      <c r="J62" s="640" t="s">
        <v>907</v>
      </c>
    </row>
    <row r="63" spans="1:23">
      <c r="D63" s="4"/>
      <c r="E63" s="4"/>
      <c r="G63" s="23"/>
      <c r="H63" s="23"/>
    </row>
    <row r="64" spans="1:23">
      <c r="A64" s="721"/>
      <c r="B64" s="722" t="s">
        <v>465</v>
      </c>
      <c r="C64" s="721"/>
      <c r="D64" s="721"/>
      <c r="E64" s="721"/>
      <c r="F64" s="721"/>
      <c r="G64" s="721"/>
      <c r="H64" s="721"/>
    </row>
    <row r="65" spans="1:8">
      <c r="A65" s="727"/>
      <c r="B65" s="729" t="s">
        <v>897</v>
      </c>
      <c r="C65" s="727"/>
      <c r="D65" s="727"/>
      <c r="E65" s="727"/>
      <c r="F65" s="727"/>
      <c r="G65" s="727"/>
      <c r="H65" s="727"/>
    </row>
    <row r="66" spans="1:8">
      <c r="B66" s="277" t="s">
        <v>898</v>
      </c>
      <c r="C66" s="277" t="s">
        <v>899</v>
      </c>
    </row>
    <row r="67" spans="1:8">
      <c r="B67" s="278" t="s">
        <v>465</v>
      </c>
      <c r="C67" s="278" t="s">
        <v>3059</v>
      </c>
    </row>
    <row r="68" spans="1:8">
      <c r="B68" s="16"/>
    </row>
    <row r="69" spans="1:8">
      <c r="A69" s="727"/>
      <c r="B69" s="728" t="s">
        <v>943</v>
      </c>
      <c r="C69" s="727"/>
      <c r="D69" s="727"/>
      <c r="E69" s="727"/>
      <c r="F69" s="727"/>
      <c r="G69" s="727"/>
      <c r="H69" s="727"/>
    </row>
    <row r="70" spans="1:8">
      <c r="A70" s="725"/>
      <c r="B70" s="726" t="s">
        <v>912</v>
      </c>
      <c r="C70" s="725"/>
      <c r="D70" s="725"/>
      <c r="E70" s="725"/>
      <c r="F70" s="725"/>
      <c r="G70" s="725"/>
      <c r="H70" s="725"/>
    </row>
    <row r="71" spans="1:8" ht="29.1">
      <c r="B71" s="719" t="s">
        <v>913</v>
      </c>
      <c r="C71" s="719" t="s">
        <v>914</v>
      </c>
      <c r="D71" s="719" t="s">
        <v>915</v>
      </c>
      <c r="E71" s="719" t="s">
        <v>916</v>
      </c>
      <c r="F71" s="719" t="s">
        <v>917</v>
      </c>
      <c r="G71" s="719" t="s">
        <v>918</v>
      </c>
      <c r="H71" s="719" t="s">
        <v>919</v>
      </c>
    </row>
    <row r="72" spans="1:8">
      <c r="B72" s="281">
        <v>19</v>
      </c>
      <c r="C72" s="278" t="s">
        <v>1671</v>
      </c>
      <c r="D72" s="278" t="s">
        <v>1182</v>
      </c>
      <c r="E72" s="278">
        <v>2023</v>
      </c>
      <c r="F72" s="278" t="s">
        <v>1047</v>
      </c>
      <c r="G72" s="278" t="s">
        <v>1672</v>
      </c>
      <c r="H72" s="278" t="s">
        <v>1673</v>
      </c>
    </row>
    <row r="73" spans="1:8">
      <c r="B73" s="16"/>
    </row>
    <row r="74" spans="1:8">
      <c r="A74" s="725"/>
      <c r="B74" s="726" t="s">
        <v>924</v>
      </c>
      <c r="C74" s="725"/>
      <c r="D74" s="725"/>
      <c r="E74" s="725"/>
      <c r="F74" s="725"/>
      <c r="G74" s="725"/>
      <c r="H74" s="725"/>
    </row>
    <row r="75" spans="1:8">
      <c r="B75" s="277" t="s">
        <v>165</v>
      </c>
      <c r="C75" s="277" t="s">
        <v>995</v>
      </c>
      <c r="D75" s="277" t="s">
        <v>926</v>
      </c>
      <c r="E75" s="1134" t="s">
        <v>927</v>
      </c>
      <c r="F75" s="1134"/>
      <c r="G75" s="1134"/>
      <c r="H75" s="1134"/>
    </row>
    <row r="76" spans="1:8">
      <c r="B76" s="278" t="s">
        <v>169</v>
      </c>
      <c r="C76" s="278" t="s">
        <v>166</v>
      </c>
      <c r="D76" s="278">
        <f>VLOOKUP(C76,METHODOLOGY!$C$175:$D$177,2,FALSE)</f>
        <v>3</v>
      </c>
      <c r="E76" s="1087" t="str">
        <f>_xlfn.XLOOKUP(C76,METHODOLOGY!$E$150:$O$150,METHODOLOGY!$E$151:$O$151,"",0,1)</f>
        <v>Monetary values have been peer reviewed or are recommended / referenced in other, well recognised and accepted guidance / tools relevant to the water sector.</v>
      </c>
      <c r="F76" s="1087"/>
      <c r="G76" s="1087"/>
      <c r="H76" s="1087"/>
    </row>
    <row r="77" spans="1:8">
      <c r="B77" s="278" t="s">
        <v>173</v>
      </c>
      <c r="C77" s="278" t="s">
        <v>167</v>
      </c>
      <c r="D77" s="278">
        <f>VLOOKUP(C77,METHODOLOGY!$C$175:$D$177,2,FALSE)</f>
        <v>2</v>
      </c>
      <c r="E77" s="1087" t="str">
        <f>_xlfn.XLOOKUP(C77,METHODOLOGY!$E$150:$O$150,METHODOLOGY!$E$155:$O$155,"",0,1)</f>
        <v>Study has some limitations which may impact on the robustness of the value.</v>
      </c>
      <c r="F77" s="1087"/>
      <c r="G77" s="1087"/>
      <c r="H77" s="1087"/>
    </row>
    <row r="78" spans="1:8">
      <c r="B78" s="278" t="s">
        <v>177</v>
      </c>
      <c r="C78" s="278" t="s">
        <v>166</v>
      </c>
      <c r="D78" s="278">
        <f>VLOOKUP(C78,METHODOLOGY!$C$175:$D$177,2,FALSE)</f>
        <v>3</v>
      </c>
      <c r="E78" s="1087" t="str">
        <f>_xlfn.XLOOKUP(C78,METHODOLOGY!$E$150:$O$150,METHODOLOGY!$E$158:$O$158,"",0,1)</f>
        <v>0 – 5 years</v>
      </c>
      <c r="F78" s="1087"/>
      <c r="G78" s="1087"/>
      <c r="H78" s="1087"/>
    </row>
    <row r="79" spans="1:8">
      <c r="B79" s="278" t="s">
        <v>181</v>
      </c>
      <c r="C79" s="278" t="s">
        <v>166</v>
      </c>
      <c r="D79" s="278">
        <f>VLOOKUP(C79,METHODOLOGY!$C$175:$D$177,2,FALSE)</f>
        <v>3</v>
      </c>
      <c r="E79" s="1087" t="str">
        <f>_xlfn.XLOOKUP(C79,METHODOLOGY!$E$150:$O$150,METHODOLOGY!$E$160:$O$160,"",0,1)</f>
        <v>Geographically relevant to UK</v>
      </c>
      <c r="F79" s="1087"/>
      <c r="G79" s="1087"/>
      <c r="H79" s="1087"/>
    </row>
    <row r="80" spans="1:8">
      <c r="B80" s="278" t="s">
        <v>928</v>
      </c>
      <c r="C80" s="278" t="s">
        <v>166</v>
      </c>
      <c r="D80" s="278">
        <f>VLOOKUP(C80,METHODOLOGY!$C$175:$D$177,2,FALSE)</f>
        <v>3</v>
      </c>
      <c r="E80" s="1087" t="str">
        <f>_xlfn.XLOOKUP(C80,METHODOLOGY!$E$150:$O$150,METHODOLOGY!$E$162:$O$162,"",0,1)</f>
        <v>Clear understanding of the valuation method and how the value should be applied.</v>
      </c>
      <c r="F80" s="1087"/>
      <c r="G80" s="1087"/>
      <c r="H80" s="1087"/>
    </row>
    <row r="81" spans="1:11">
      <c r="B81" s="278" t="s">
        <v>189</v>
      </c>
      <c r="C81" s="278" t="s">
        <v>167</v>
      </c>
      <c r="D81" s="278">
        <f>VLOOKUP(C81,METHODOLOGY!$C$175:$D$177,2,FALSE)</f>
        <v>2</v>
      </c>
      <c r="E81" s="1087" t="str">
        <f>_xlfn.XLOOKUP(C81,METHODOLOGY!$E$150:$O$150,METHODOLOGY!$E$164:$O$164,"",0,1)</f>
        <v xml:space="preserve">The original valuation can be used with some modification e.g. applying household numbers. The calculation is simple or introduces low levels of uncertainty. </v>
      </c>
      <c r="F81" s="1087"/>
      <c r="G81" s="1087"/>
      <c r="H81" s="1087"/>
    </row>
    <row r="82" spans="1:11">
      <c r="C82" s="282" t="s">
        <v>924</v>
      </c>
      <c r="D82" s="326">
        <f>IF(AND(D81=1,AVERAGE(D76:D81)&gt;2.14285714285714),2.14285714285714,IF(AND(D81=2,AVERAGE(D76:D81)&gt;2.57142857142857),2.57142857142857,AVERAGE(D76:D81)))</f>
        <v>2.5714285714285698</v>
      </c>
      <c r="E82" s="270" t="str">
        <f>IF(D82&lt;=2.14285714285714,"Red",IF(D82&lt;=2.57142857142857,"Amber",IF(D82&lt;=3,"Green")))</f>
        <v>Amber</v>
      </c>
    </row>
    <row r="85" spans="1:11">
      <c r="A85" s="725"/>
      <c r="B85" s="726" t="s">
        <v>929</v>
      </c>
      <c r="C85" s="725"/>
      <c r="D85" s="725"/>
      <c r="E85" s="725"/>
      <c r="F85" s="725"/>
      <c r="G85" s="725"/>
      <c r="H85" s="725"/>
    </row>
    <row r="86" spans="1:11">
      <c r="B86" s="277" t="s">
        <v>913</v>
      </c>
      <c r="C86" s="277" t="s">
        <v>902</v>
      </c>
      <c r="D86" s="277" t="s">
        <v>331</v>
      </c>
      <c r="E86" s="277" t="s">
        <v>226</v>
      </c>
      <c r="F86" s="1157" t="s">
        <v>930</v>
      </c>
      <c r="G86" s="1157"/>
      <c r="H86" s="1157"/>
      <c r="I86" s="1157"/>
      <c r="J86" s="1157"/>
      <c r="K86" s="1157"/>
    </row>
    <row r="87" spans="1:11">
      <c r="B87" s="1447">
        <v>19</v>
      </c>
      <c r="C87" s="439" t="s">
        <v>630</v>
      </c>
      <c r="D87" s="439">
        <f>8148</f>
        <v>8148</v>
      </c>
      <c r="E87" s="513" t="s">
        <v>3060</v>
      </c>
      <c r="F87" s="1180" t="s">
        <v>3061</v>
      </c>
      <c r="G87" s="1181"/>
      <c r="H87" s="1181"/>
      <c r="I87" s="1181"/>
      <c r="J87" s="1181"/>
      <c r="K87" s="1182"/>
    </row>
    <row r="88" spans="1:11" ht="15" customHeight="1">
      <c r="B88" s="1448"/>
      <c r="C88" s="439" t="s">
        <v>631</v>
      </c>
      <c r="D88" s="439">
        <v>16616</v>
      </c>
      <c r="E88" s="334" t="s">
        <v>3062</v>
      </c>
      <c r="F88" s="1241"/>
      <c r="G88" s="1013"/>
      <c r="H88" s="1013"/>
      <c r="I88" s="1013"/>
      <c r="J88" s="1013"/>
      <c r="K88" s="1242"/>
    </row>
    <row r="89" spans="1:11">
      <c r="B89" s="1448"/>
      <c r="C89" s="439" t="s">
        <v>632</v>
      </c>
      <c r="D89" s="439">
        <f>9667</f>
        <v>9667</v>
      </c>
      <c r="E89" s="334" t="s">
        <v>3063</v>
      </c>
      <c r="F89" s="1241"/>
      <c r="G89" s="1013"/>
      <c r="H89" s="1013"/>
      <c r="I89" s="1013"/>
      <c r="J89" s="1013"/>
      <c r="K89" s="1242"/>
    </row>
    <row r="90" spans="1:11">
      <c r="B90" s="1448"/>
      <c r="C90" s="514" t="s">
        <v>907</v>
      </c>
      <c r="D90" s="415">
        <v>172</v>
      </c>
      <c r="E90" s="334" t="s">
        <v>3064</v>
      </c>
      <c r="F90" s="1241"/>
      <c r="G90" s="1013"/>
      <c r="H90" s="1013"/>
      <c r="I90" s="1013"/>
      <c r="J90" s="1013"/>
      <c r="K90" s="1242"/>
    </row>
    <row r="91" spans="1:11">
      <c r="B91" s="1449"/>
      <c r="C91" s="439" t="s">
        <v>633</v>
      </c>
      <c r="D91" s="415">
        <v>74769</v>
      </c>
      <c r="E91" s="295" t="s">
        <v>3065</v>
      </c>
      <c r="F91" s="1183"/>
      <c r="G91" s="1184"/>
      <c r="H91" s="1184"/>
      <c r="I91" s="1184"/>
      <c r="J91" s="1184"/>
      <c r="K91" s="1185"/>
    </row>
    <row r="92" spans="1:11" ht="38.25" customHeight="1">
      <c r="B92" s="1447">
        <v>18</v>
      </c>
      <c r="C92" s="439" t="s">
        <v>630</v>
      </c>
      <c r="D92" s="278">
        <v>103</v>
      </c>
      <c r="E92" s="334" t="s">
        <v>3050</v>
      </c>
      <c r="F92" s="1180" t="s">
        <v>3066</v>
      </c>
      <c r="G92" s="1196"/>
      <c r="H92" s="1196"/>
      <c r="I92" s="1196"/>
      <c r="J92" s="1196"/>
      <c r="K92" s="1238"/>
    </row>
    <row r="93" spans="1:11" ht="38.25" customHeight="1">
      <c r="B93" s="1449"/>
      <c r="C93" s="439" t="s">
        <v>632</v>
      </c>
      <c r="D93" s="278">
        <v>414</v>
      </c>
      <c r="E93" s="334" t="s">
        <v>3063</v>
      </c>
      <c r="F93" s="1213"/>
      <c r="G93" s="1214"/>
      <c r="H93" s="1214"/>
      <c r="I93" s="1214"/>
      <c r="J93" s="1214"/>
      <c r="K93" s="1239"/>
    </row>
    <row r="95" spans="1:11">
      <c r="A95" s="725"/>
      <c r="B95" s="726" t="s">
        <v>936</v>
      </c>
      <c r="C95" s="725"/>
      <c r="D95" s="725"/>
      <c r="E95" s="725"/>
      <c r="F95" s="725"/>
      <c r="G95" s="725"/>
      <c r="H95" s="725"/>
    </row>
    <row r="96" spans="1:11">
      <c r="B96" s="414" t="s">
        <v>3067</v>
      </c>
      <c r="C96" s="414"/>
      <c r="D96" s="414"/>
      <c r="E96" s="414"/>
      <c r="F96" s="414"/>
      <c r="G96" s="414"/>
      <c r="H96" s="414"/>
      <c r="I96" s="414"/>
      <c r="J96" s="414"/>
    </row>
    <row r="97" spans="1:10">
      <c r="B97" s="298" t="s">
        <v>3068</v>
      </c>
      <c r="C97" s="298" t="s">
        <v>479</v>
      </c>
      <c r="D97" s="277" t="s">
        <v>916</v>
      </c>
      <c r="E97" s="277" t="s">
        <v>963</v>
      </c>
      <c r="F97" s="277" t="s">
        <v>964</v>
      </c>
      <c r="G97" s="277" t="s">
        <v>965</v>
      </c>
      <c r="H97" s="277" t="s">
        <v>966</v>
      </c>
      <c r="I97" s="277" t="s">
        <v>967</v>
      </c>
      <c r="J97" s="277" t="s">
        <v>968</v>
      </c>
    </row>
    <row r="98" spans="1:10">
      <c r="B98" s="334" t="s">
        <v>3069</v>
      </c>
      <c r="C98" s="437" t="s">
        <v>3070</v>
      </c>
      <c r="D98" s="515">
        <f>$E$25</f>
        <v>2014</v>
      </c>
      <c r="E98" s="281">
        <v>2013</v>
      </c>
      <c r="F98" s="278">
        <v>2022</v>
      </c>
      <c r="G98" s="278">
        <f>VLOOKUP(E98,'GDP Deflators'!$H$13:$I$86,2,FALSE)</f>
        <v>76.728899999999996</v>
      </c>
      <c r="H98" s="278">
        <f>VLOOKUP(F98,'GDP Deflators'!$H$13:$I$86,2,FALSE)</f>
        <v>93.351699999999994</v>
      </c>
      <c r="I98" s="385">
        <f>D93</f>
        <v>414</v>
      </c>
      <c r="J98" s="516">
        <f>I98*(H98/G98)</f>
        <v>503.69031486180569</v>
      </c>
    </row>
    <row r="99" spans="1:10">
      <c r="B99" s="334" t="s">
        <v>3071</v>
      </c>
      <c r="C99" s="437" t="s">
        <v>3070</v>
      </c>
      <c r="D99" s="515">
        <f>$E$25</f>
        <v>2014</v>
      </c>
      <c r="E99" s="281">
        <v>2013</v>
      </c>
      <c r="F99" s="278">
        <v>2022</v>
      </c>
      <c r="G99" s="278">
        <f>VLOOKUP(E99,'GDP Deflators'!$H$13:$I$86,2,FALSE)</f>
        <v>76.728899999999996</v>
      </c>
      <c r="H99" s="278">
        <f>VLOOKUP(F99,'GDP Deflators'!$H$13:$I$86,2,FALSE)</f>
        <v>93.351699999999994</v>
      </c>
      <c r="I99" s="385">
        <f>D92</f>
        <v>103</v>
      </c>
      <c r="J99" s="516">
        <f>I99*(H99/G99)</f>
        <v>125.31425707914488</v>
      </c>
    </row>
    <row r="100" spans="1:10">
      <c r="B100" s="334" t="s">
        <v>3069</v>
      </c>
      <c r="C100" s="437" t="s">
        <v>3072</v>
      </c>
      <c r="D100" s="515">
        <f>E72</f>
        <v>2023</v>
      </c>
      <c r="E100" s="281">
        <v>2022</v>
      </c>
      <c r="F100" s="278">
        <v>2022</v>
      </c>
      <c r="G100" s="278">
        <f>VLOOKUP(E100,'GDP Deflators'!$H$13:$I$86,2,FALSE)</f>
        <v>93.351699999999994</v>
      </c>
      <c r="H100" s="278">
        <f>VLOOKUP(F100,'GDP Deflators'!$H$13:$I$86,2,FALSE)</f>
        <v>93.351699999999994</v>
      </c>
      <c r="I100" s="385">
        <f>D87</f>
        <v>8148</v>
      </c>
      <c r="J100" s="516">
        <f>I100*(H100/G100)</f>
        <v>8148</v>
      </c>
    </row>
    <row r="101" spans="1:10">
      <c r="B101" s="334" t="s">
        <v>3071</v>
      </c>
      <c r="C101" s="437" t="s">
        <v>3072</v>
      </c>
      <c r="D101" s="515">
        <f>E72</f>
        <v>2023</v>
      </c>
      <c r="E101" s="281">
        <v>2022</v>
      </c>
      <c r="F101" s="278">
        <v>2022</v>
      </c>
      <c r="G101" s="278">
        <f>VLOOKUP(E101,'GDP Deflators'!$H$13:$I$86,2,FALSE)</f>
        <v>93.351699999999994</v>
      </c>
      <c r="H101" s="278">
        <f>VLOOKUP(F101,'GDP Deflators'!$H$13:$I$86,2,FALSE)</f>
        <v>93.351699999999994</v>
      </c>
      <c r="I101" s="385">
        <f>D89</f>
        <v>9667</v>
      </c>
      <c r="J101" s="516">
        <f>I101*(H101/G101)</f>
        <v>9667</v>
      </c>
    </row>
    <row r="102" spans="1:10">
      <c r="B102" s="3"/>
      <c r="C102" s="3"/>
      <c r="D102" s="25"/>
      <c r="E102" s="26"/>
      <c r="G102" s="26"/>
      <c r="H102" s="26"/>
      <c r="I102" s="26"/>
      <c r="J102" s="27"/>
    </row>
    <row r="103" spans="1:10">
      <c r="B103" s="3"/>
      <c r="C103" s="24"/>
      <c r="D103" s="25"/>
      <c r="E103" s="26"/>
      <c r="G103" s="26"/>
      <c r="H103" s="26"/>
      <c r="I103" s="26"/>
      <c r="J103" s="27"/>
    </row>
    <row r="104" spans="1:10">
      <c r="B104" s="414" t="s">
        <v>3073</v>
      </c>
      <c r="C104" s="414"/>
      <c r="D104" s="414"/>
      <c r="E104" s="414"/>
    </row>
    <row r="105" spans="1:10" ht="67.5" customHeight="1">
      <c r="B105" s="393" t="s">
        <v>3068</v>
      </c>
      <c r="C105" s="381" t="s">
        <v>3074</v>
      </c>
      <c r="D105" s="517" t="s">
        <v>3075</v>
      </c>
      <c r="E105" s="518" t="s">
        <v>3076</v>
      </c>
      <c r="G105" s="26"/>
      <c r="H105" s="26"/>
      <c r="I105" s="26"/>
      <c r="J105" s="27"/>
    </row>
    <row r="106" spans="1:10">
      <c r="B106" s="334" t="s">
        <v>3069</v>
      </c>
      <c r="C106" s="496">
        <f>J100</f>
        <v>8148</v>
      </c>
      <c r="D106" s="450">
        <f>J98</f>
        <v>503.69031486180569</v>
      </c>
      <c r="E106" s="387">
        <f>C106-D106</f>
        <v>7644.3096851381943</v>
      </c>
      <c r="G106" s="26"/>
      <c r="H106" s="26"/>
      <c r="I106" s="26"/>
      <c r="J106" s="27"/>
    </row>
    <row r="107" spans="1:10">
      <c r="B107" s="334" t="s">
        <v>3071</v>
      </c>
      <c r="C107" s="496">
        <f>J101</f>
        <v>9667</v>
      </c>
      <c r="D107" s="450">
        <f>J99</f>
        <v>125.31425707914488</v>
      </c>
      <c r="E107" s="387">
        <f>C107-D107</f>
        <v>9541.6857429208558</v>
      </c>
      <c r="G107" s="26"/>
      <c r="H107" s="26"/>
      <c r="I107" s="26"/>
      <c r="J107" s="27"/>
    </row>
    <row r="108" spans="1:10">
      <c r="B108" s="3"/>
      <c r="C108" s="3"/>
      <c r="D108" s="25"/>
      <c r="E108" s="26"/>
      <c r="G108" s="26"/>
      <c r="H108" s="26"/>
      <c r="I108" s="26"/>
      <c r="J108" s="27"/>
    </row>
    <row r="110" spans="1:10">
      <c r="A110" s="727"/>
      <c r="B110" s="728" t="s">
        <v>901</v>
      </c>
      <c r="C110" s="727"/>
      <c r="D110" s="727"/>
      <c r="E110" s="727"/>
      <c r="F110" s="727"/>
      <c r="G110" s="727"/>
      <c r="H110" s="727"/>
    </row>
    <row r="111" spans="1:10" ht="29.1">
      <c r="B111" s="719" t="s">
        <v>902</v>
      </c>
      <c r="C111" s="719" t="s">
        <v>898</v>
      </c>
      <c r="D111" s="719" t="s">
        <v>899</v>
      </c>
      <c r="E111" s="719" t="s">
        <v>903</v>
      </c>
      <c r="F111" s="719" t="s">
        <v>904</v>
      </c>
      <c r="G111" s="719" t="s">
        <v>905</v>
      </c>
      <c r="H111" s="752" t="s">
        <v>924</v>
      </c>
      <c r="I111" s="752" t="s">
        <v>956</v>
      </c>
      <c r="J111" s="752" t="s">
        <v>927</v>
      </c>
    </row>
    <row r="112" spans="1:10">
      <c r="B112" s="278" t="s">
        <v>630</v>
      </c>
      <c r="C112" s="278" t="s">
        <v>465</v>
      </c>
      <c r="D112" s="278" t="s">
        <v>3077</v>
      </c>
      <c r="E112" s="299" t="s">
        <v>960</v>
      </c>
      <c r="F112" s="278" t="str" cm="1">
        <f t="array" ref="F112">_xlfn.XLOOKUP(1,($D$118:$D$122=B112)*($E$118:$E$122=C112),$B$118:$B$122,"Not found",0,1)</f>
        <v>32-3</v>
      </c>
      <c r="G112" s="311">
        <f>VLOOKUP(F112,B118:L122,11,FALSE)</f>
        <v>8728.2823987136835</v>
      </c>
      <c r="H112" s="1120">
        <f>$D$82</f>
        <v>2.5714285714285698</v>
      </c>
      <c r="I112" s="1149" t="s">
        <v>1583</v>
      </c>
      <c r="J112" s="1450" t="s">
        <v>3055</v>
      </c>
    </row>
    <row r="113" spans="1:23">
      <c r="B113" s="278" t="s">
        <v>631</v>
      </c>
      <c r="C113" s="278" t="s">
        <v>465</v>
      </c>
      <c r="D113" s="278" t="s">
        <v>3077</v>
      </c>
      <c r="E113" s="299" t="s">
        <v>960</v>
      </c>
      <c r="F113" s="278" t="str" cm="1">
        <f t="array" ref="F113">_xlfn.XLOOKUP(1,($D$118:$D$122=B113)*($E$118:$E$122=C113),$B$118:$B$122,"Not found",0,1)</f>
        <v>32-4</v>
      </c>
      <c r="G113" s="311">
        <f>VLOOKUP(F113,B118:L122,11,FALSE)</f>
        <v>17799.354484171152</v>
      </c>
      <c r="H113" s="1121"/>
      <c r="I113" s="1149"/>
      <c r="J113" s="1450"/>
    </row>
    <row r="114" spans="1:23">
      <c r="B114" s="278" t="s">
        <v>632</v>
      </c>
      <c r="C114" s="278" t="s">
        <v>465</v>
      </c>
      <c r="D114" s="278" t="s">
        <v>3077</v>
      </c>
      <c r="E114" s="299" t="s">
        <v>960</v>
      </c>
      <c r="F114" s="278" t="str" cm="1">
        <f t="array" ref="F114">_xlfn.XLOOKUP(1,($D$118:$D$122=B114)*($E$118:$E$122=C114),$B$118:$B$122,"Not found",0,1)</f>
        <v>32-5</v>
      </c>
      <c r="G114" s="311">
        <f>VLOOKUP(F114,B118:L122,11,FALSE)</f>
        <v>10355.462192975598</v>
      </c>
      <c r="H114" s="1121"/>
      <c r="I114" s="1149"/>
      <c r="J114" s="1450"/>
    </row>
    <row r="115" spans="1:23">
      <c r="B115" s="278" t="s">
        <v>633</v>
      </c>
      <c r="C115" s="278" t="s">
        <v>465</v>
      </c>
      <c r="D115" s="278" t="s">
        <v>3077</v>
      </c>
      <c r="E115" s="299" t="s">
        <v>960</v>
      </c>
      <c r="F115" s="278" t="str" cm="1">
        <f t="array" ref="F115">_xlfn.XLOOKUP(1,($D$118:$D$122=B115)*($E$118:$E$122=C115),$B$118:$B$122,"Not found",0,1)</f>
        <v>32-6</v>
      </c>
      <c r="G115" s="311">
        <f>VLOOKUP(F115,B118:L122,11,FALSE)</f>
        <v>80093.881525456964</v>
      </c>
      <c r="H115" s="1122"/>
      <c r="I115" s="1149"/>
      <c r="J115" s="1450"/>
    </row>
    <row r="116" spans="1:23">
      <c r="B116" s="18"/>
    </row>
    <row r="117" spans="1:23">
      <c r="A117" s="725"/>
      <c r="B117" s="726" t="s">
        <v>962</v>
      </c>
      <c r="C117" s="725"/>
      <c r="D117" s="725"/>
      <c r="E117" s="725"/>
      <c r="F117" s="725"/>
      <c r="G117" s="725"/>
      <c r="H117" s="725"/>
    </row>
    <row r="118" spans="1:23">
      <c r="B118" s="277" t="s">
        <v>904</v>
      </c>
      <c r="C118" s="277" t="s">
        <v>62</v>
      </c>
      <c r="D118" s="277" t="s">
        <v>902</v>
      </c>
      <c r="E118" s="277" t="s">
        <v>898</v>
      </c>
      <c r="F118" s="277" t="s">
        <v>916</v>
      </c>
      <c r="G118" s="277" t="s">
        <v>963</v>
      </c>
      <c r="H118" s="277" t="s">
        <v>964</v>
      </c>
      <c r="I118" s="277" t="s">
        <v>965</v>
      </c>
      <c r="J118" s="277" t="s">
        <v>966</v>
      </c>
      <c r="K118" s="277" t="s">
        <v>967</v>
      </c>
      <c r="L118" s="277" t="s">
        <v>968</v>
      </c>
      <c r="M118" s="277" t="s">
        <v>956</v>
      </c>
      <c r="N118" s="277" t="s">
        <v>969</v>
      </c>
      <c r="O118" s="277" t="s">
        <v>970</v>
      </c>
      <c r="P118" s="277" t="s">
        <v>927</v>
      </c>
      <c r="Q118" s="277" t="s">
        <v>913</v>
      </c>
      <c r="R118" s="277" t="s">
        <v>914</v>
      </c>
      <c r="S118" s="277" t="s">
        <v>915</v>
      </c>
      <c r="T118" s="277" t="s">
        <v>916</v>
      </c>
      <c r="U118" s="277" t="s">
        <v>917</v>
      </c>
      <c r="V118" s="277" t="s">
        <v>918</v>
      </c>
      <c r="W118" s="277" t="s">
        <v>919</v>
      </c>
    </row>
    <row r="119" spans="1:23">
      <c r="B119" s="302" t="s">
        <v>3078</v>
      </c>
      <c r="C119" s="278" t="s">
        <v>417</v>
      </c>
      <c r="D119" s="278" t="s">
        <v>630</v>
      </c>
      <c r="E119" s="299" t="s">
        <v>465</v>
      </c>
      <c r="F119" s="299">
        <f>$E$72</f>
        <v>2023</v>
      </c>
      <c r="G119" s="278">
        <v>2022</v>
      </c>
      <c r="H119" s="278">
        <f>'COMPANY INPUT'!$C$16</f>
        <v>2023</v>
      </c>
      <c r="I119" s="278">
        <f>VLOOKUP(G119,'GDP Deflators'!$H$13:$I$86,2,FALSE)</f>
        <v>93.351699999999994</v>
      </c>
      <c r="J119" s="278">
        <f>VLOOKUP(H119,'GDP Deflators'!$H$13:$I$86,2,FALSE)</f>
        <v>100</v>
      </c>
      <c r="K119" s="519">
        <f>D87</f>
        <v>8148</v>
      </c>
      <c r="L119" s="746">
        <f t="shared" ref="L119:L122" si="1">K119*(J119/I119)</f>
        <v>8728.2823987136835</v>
      </c>
      <c r="M119" s="278" t="str">
        <f>$I$112</f>
        <v>Damage costs</v>
      </c>
      <c r="N119" s="326">
        <f>$H$112</f>
        <v>2.5714285714285698</v>
      </c>
      <c r="O119" s="278" t="s">
        <v>718</v>
      </c>
      <c r="P119" s="281" t="str">
        <f>$J$112</f>
        <v>Referenced within ENCA</v>
      </c>
      <c r="Q119" s="299">
        <f>$B$72</f>
        <v>19</v>
      </c>
      <c r="R119" s="299" t="str">
        <f>$C$72</f>
        <v>DEFRA (2023) Air quality appraisal: damage cost guidance</v>
      </c>
      <c r="S119" s="299" t="str">
        <f>$D$72</f>
        <v>ENCA</v>
      </c>
      <c r="T119" s="299">
        <f>$E$72</f>
        <v>2023</v>
      </c>
      <c r="U119" s="299" t="str">
        <f>$F$72</f>
        <v>UK</v>
      </c>
      <c r="V119" s="299" t="str">
        <f>$G$72</f>
        <v>UK average</v>
      </c>
      <c r="W119" s="299" t="str">
        <f>$H$72</f>
        <v>Not available</v>
      </c>
    </row>
    <row r="120" spans="1:23">
      <c r="B120" s="302" t="s">
        <v>3079</v>
      </c>
      <c r="C120" s="278" t="s">
        <v>417</v>
      </c>
      <c r="D120" s="278" t="s">
        <v>631</v>
      </c>
      <c r="E120" s="299" t="s">
        <v>465</v>
      </c>
      <c r="F120" s="299">
        <f>$E$72</f>
        <v>2023</v>
      </c>
      <c r="G120" s="278">
        <v>2022</v>
      </c>
      <c r="H120" s="278">
        <f>'COMPANY INPUT'!$C$16</f>
        <v>2023</v>
      </c>
      <c r="I120" s="278">
        <f>VLOOKUP(G120,'GDP Deflators'!$H$13:$I$86,2,FALSE)</f>
        <v>93.351699999999994</v>
      </c>
      <c r="J120" s="278">
        <f>VLOOKUP(H120,'GDP Deflators'!$H$13:$I$86,2,FALSE)</f>
        <v>100</v>
      </c>
      <c r="K120" s="385">
        <f>D88</f>
        <v>16616</v>
      </c>
      <c r="L120" s="746">
        <f t="shared" si="1"/>
        <v>17799.354484171152</v>
      </c>
      <c r="M120" s="278" t="str">
        <f>$I$112</f>
        <v>Damage costs</v>
      </c>
      <c r="N120" s="326">
        <f>$H$112</f>
        <v>2.5714285714285698</v>
      </c>
      <c r="O120" s="278" t="s">
        <v>718</v>
      </c>
      <c r="P120" s="281" t="str">
        <f>$J$112</f>
        <v>Referenced within ENCA</v>
      </c>
      <c r="Q120" s="299">
        <f>$B$72</f>
        <v>19</v>
      </c>
      <c r="R120" s="299" t="str">
        <f>$C$72</f>
        <v>DEFRA (2023) Air quality appraisal: damage cost guidance</v>
      </c>
      <c r="S120" s="299" t="str">
        <f>$D$72</f>
        <v>ENCA</v>
      </c>
      <c r="T120" s="299">
        <f>$E$72</f>
        <v>2023</v>
      </c>
      <c r="U120" s="299" t="str">
        <f>$F$72</f>
        <v>UK</v>
      </c>
      <c r="V120" s="299" t="str">
        <f>$G$72</f>
        <v>UK average</v>
      </c>
      <c r="W120" s="299" t="str">
        <f>$H$72</f>
        <v>Not available</v>
      </c>
    </row>
    <row r="121" spans="1:23">
      <c r="B121" s="302" t="s">
        <v>3080</v>
      </c>
      <c r="C121" s="278" t="s">
        <v>417</v>
      </c>
      <c r="D121" s="278" t="s">
        <v>632</v>
      </c>
      <c r="E121" s="299" t="s">
        <v>465</v>
      </c>
      <c r="F121" s="299">
        <f>$E$72</f>
        <v>2023</v>
      </c>
      <c r="G121" s="278">
        <v>2022</v>
      </c>
      <c r="H121" s="278">
        <f>'COMPANY INPUT'!$C$16</f>
        <v>2023</v>
      </c>
      <c r="I121" s="278">
        <f>VLOOKUP(G121,'GDP Deflators'!$H$13:$I$86,2,FALSE)</f>
        <v>93.351699999999994</v>
      </c>
      <c r="J121" s="278">
        <f>VLOOKUP(H121,'GDP Deflators'!$H$13:$I$86,2,FALSE)</f>
        <v>100</v>
      </c>
      <c r="K121" s="519">
        <f>D89</f>
        <v>9667</v>
      </c>
      <c r="L121" s="746">
        <f t="shared" si="1"/>
        <v>10355.462192975598</v>
      </c>
      <c r="M121" s="278" t="str">
        <f>$I$112</f>
        <v>Damage costs</v>
      </c>
      <c r="N121" s="326">
        <f>$H$112</f>
        <v>2.5714285714285698</v>
      </c>
      <c r="O121" s="278" t="s">
        <v>718</v>
      </c>
      <c r="P121" s="281" t="str">
        <f>$J$112</f>
        <v>Referenced within ENCA</v>
      </c>
      <c r="Q121" s="299">
        <f>$B$72</f>
        <v>19</v>
      </c>
      <c r="R121" s="299" t="str">
        <f>$C$72</f>
        <v>DEFRA (2023) Air quality appraisal: damage cost guidance</v>
      </c>
      <c r="S121" s="299" t="str">
        <f>$D$72</f>
        <v>ENCA</v>
      </c>
      <c r="T121" s="299">
        <f>$E$72</f>
        <v>2023</v>
      </c>
      <c r="U121" s="299" t="str">
        <f>$F$72</f>
        <v>UK</v>
      </c>
      <c r="V121" s="299" t="str">
        <f>$G$72</f>
        <v>UK average</v>
      </c>
      <c r="W121" s="299" t="str">
        <f>$H$72</f>
        <v>Not available</v>
      </c>
    </row>
    <row r="122" spans="1:23">
      <c r="B122" s="302" t="s">
        <v>3081</v>
      </c>
      <c r="C122" s="278" t="s">
        <v>417</v>
      </c>
      <c r="D122" s="278" t="s">
        <v>633</v>
      </c>
      <c r="E122" s="299" t="s">
        <v>465</v>
      </c>
      <c r="F122" s="299">
        <f>$E$72</f>
        <v>2023</v>
      </c>
      <c r="G122" s="278">
        <v>2022</v>
      </c>
      <c r="H122" s="278">
        <f>'COMPANY INPUT'!$C$16</f>
        <v>2023</v>
      </c>
      <c r="I122" s="278">
        <f>VLOOKUP(G122,'GDP Deflators'!$H$13:$I$86,2,FALSE)</f>
        <v>93.351699999999994</v>
      </c>
      <c r="J122" s="278">
        <f>VLOOKUP(H122,'GDP Deflators'!$H$13:$I$86,2,FALSE)</f>
        <v>100</v>
      </c>
      <c r="K122" s="385">
        <f>D91</f>
        <v>74769</v>
      </c>
      <c r="L122" s="746">
        <f t="shared" si="1"/>
        <v>80093.881525456964</v>
      </c>
      <c r="M122" s="278" t="str">
        <f>$I$112</f>
        <v>Damage costs</v>
      </c>
      <c r="N122" s="326">
        <f>$H$112</f>
        <v>2.5714285714285698</v>
      </c>
      <c r="O122" s="278" t="s">
        <v>718</v>
      </c>
      <c r="P122" s="281" t="str">
        <f>$J$112</f>
        <v>Referenced within ENCA</v>
      </c>
      <c r="Q122" s="299">
        <f>$B$72</f>
        <v>19</v>
      </c>
      <c r="R122" s="299" t="str">
        <f>$C$72</f>
        <v>DEFRA (2023) Air quality appraisal: damage cost guidance</v>
      </c>
      <c r="S122" s="299" t="str">
        <f>$D$72</f>
        <v>ENCA</v>
      </c>
      <c r="T122" s="299">
        <f>$E$72</f>
        <v>2023</v>
      </c>
      <c r="U122" s="299" t="str">
        <f>$F$72</f>
        <v>UK</v>
      </c>
      <c r="V122" s="299" t="str">
        <f>$G$72</f>
        <v>UK average</v>
      </c>
      <c r="W122" s="299" t="str">
        <f>$H$72</f>
        <v>Not available</v>
      </c>
    </row>
  </sheetData>
  <sheetProtection algorithmName="SHA-512" hashValue="4WmJ5RTHr+Vy9Qkq2483S52ml03phqFlT0dVu6FdvcYwy9uakg2I/RtZI9MtVIkWboJHMvgo0dleB1r0p3ns7Q==" saltValue="Xza9QgkLIRnN3eKMkkaJeQ==" spinCount="100000" sheet="1" objects="1" scenarios="1"/>
  <dataConsolidate/>
  <mergeCells count="29">
    <mergeCell ref="J112:J115"/>
    <mergeCell ref="I112:I115"/>
    <mergeCell ref="H112:H115"/>
    <mergeCell ref="B92:B93"/>
    <mergeCell ref="F92:K93"/>
    <mergeCell ref="B87:B91"/>
    <mergeCell ref="F38:K38"/>
    <mergeCell ref="F86:K86"/>
    <mergeCell ref="F87:K91"/>
    <mergeCell ref="I44:I45"/>
    <mergeCell ref="H44:H45"/>
    <mergeCell ref="F39:K40"/>
    <mergeCell ref="J44:J45"/>
    <mergeCell ref="E75:H75"/>
    <mergeCell ref="E81:H81"/>
    <mergeCell ref="E76:H76"/>
    <mergeCell ref="E77:H77"/>
    <mergeCell ref="E78:H78"/>
    <mergeCell ref="E79:H79"/>
    <mergeCell ref="E80:H80"/>
    <mergeCell ref="B5:H5"/>
    <mergeCell ref="E28:H28"/>
    <mergeCell ref="E29:H29"/>
    <mergeCell ref="E30:H30"/>
    <mergeCell ref="B39:B40"/>
    <mergeCell ref="E31:H31"/>
    <mergeCell ref="E32:H32"/>
    <mergeCell ref="E33:H33"/>
    <mergeCell ref="E34:H34"/>
  </mergeCells>
  <conditionalFormatting sqref="D35:E35">
    <cfRule type="cellIs" dxfId="362" priority="11" operator="lessThanOrEqual">
      <formula>2.14285714285714</formula>
    </cfRule>
    <cfRule type="cellIs" dxfId="361" priority="12" operator="lessThanOrEqual">
      <formula>2.57142857142857</formula>
    </cfRule>
    <cfRule type="cellIs" dxfId="360" priority="13" operator="lessThanOrEqual">
      <formula>3</formula>
    </cfRule>
  </conditionalFormatting>
  <conditionalFormatting sqref="D82:E82">
    <cfRule type="cellIs" dxfId="359" priority="5" operator="lessThanOrEqual">
      <formula>2.14285714285714</formula>
    </cfRule>
    <cfRule type="cellIs" dxfId="358" priority="6" operator="lessThanOrEqual">
      <formula>2.57142857142857</formula>
    </cfRule>
    <cfRule type="cellIs" dxfId="357" priority="7" operator="lessThanOrEqual">
      <formula>3</formula>
    </cfRule>
  </conditionalFormatting>
  <conditionalFormatting sqref="D11:F14">
    <cfRule type="notContainsBlanks" dxfId="356" priority="1">
      <formula>LEN(TRIM(D11))&gt;0</formula>
    </cfRule>
  </conditionalFormatting>
  <conditionalFormatting sqref="E35">
    <cfRule type="containsText" dxfId="355" priority="8" operator="containsText" text="Green">
      <formula>NOT(ISERROR(SEARCH("Green",E35)))</formula>
    </cfRule>
    <cfRule type="containsText" dxfId="354" priority="9" operator="containsText" text="Amber">
      <formula>NOT(ISERROR(SEARCH("Amber",E35)))</formula>
    </cfRule>
    <cfRule type="containsText" dxfId="353" priority="10" operator="containsText" text="Red">
      <formula>NOT(ISERROR(SEARCH("Red",E35)))</formula>
    </cfRule>
  </conditionalFormatting>
  <conditionalFormatting sqref="E82">
    <cfRule type="containsText" dxfId="352" priority="2" operator="containsText" text="Green">
      <formula>NOT(ISERROR(SEARCH("Green",E82)))</formula>
    </cfRule>
    <cfRule type="containsText" dxfId="351" priority="3" operator="containsText" text="Amber">
      <formula>NOT(ISERROR(SEARCH("Amber",E82)))</formula>
    </cfRule>
    <cfRule type="containsText" dxfId="350" priority="4" operator="containsText" text="Red">
      <formula>NOT(ISERROR(SEARCH("Red",E82)))</formula>
    </cfRule>
  </conditionalFormatting>
  <conditionalFormatting sqref="H44">
    <cfRule type="cellIs" dxfId="349" priority="29" operator="lessThanOrEqual">
      <formula>2.14285714285714</formula>
    </cfRule>
    <cfRule type="cellIs" dxfId="348" priority="30" operator="lessThanOrEqual">
      <formula>2.57142857142857</formula>
    </cfRule>
    <cfRule type="cellIs" dxfId="347" priority="31" operator="lessThanOrEqual">
      <formula>3</formula>
    </cfRule>
  </conditionalFormatting>
  <conditionalFormatting sqref="H112">
    <cfRule type="cellIs" dxfId="346" priority="17" operator="lessThanOrEqual">
      <formula>2.14285714285714</formula>
    </cfRule>
    <cfRule type="cellIs" dxfId="345" priority="18" operator="lessThanOrEqual">
      <formula>2.57142857142857</formula>
    </cfRule>
    <cfRule type="cellIs" dxfId="344" priority="19" operator="lessThanOrEqual">
      <formula>3</formula>
    </cfRule>
  </conditionalFormatting>
  <conditionalFormatting sqref="N49:N50">
    <cfRule type="cellIs" dxfId="343" priority="26" operator="lessThanOrEqual">
      <formula>2.14285714285714</formula>
    </cfRule>
    <cfRule type="cellIs" dxfId="342" priority="27" operator="lessThanOrEqual">
      <formula>2.57142857142857</formula>
    </cfRule>
    <cfRule type="cellIs" dxfId="341" priority="28" operator="lessThanOrEqual">
      <formula>3</formula>
    </cfRule>
  </conditionalFormatting>
  <conditionalFormatting sqref="N119:N122">
    <cfRule type="cellIs" dxfId="340" priority="14" operator="lessThanOrEqual">
      <formula>2.14285714285714</formula>
    </cfRule>
    <cfRule type="cellIs" dxfId="339" priority="15" operator="lessThanOrEqual">
      <formula>2.57142857142857</formula>
    </cfRule>
    <cfRule type="cellIs" dxfId="338" priority="16" operator="lessThanOrEqual">
      <formula>3</formula>
    </cfRule>
  </conditionalFormatting>
  <dataValidations count="1">
    <dataValidation type="list" allowBlank="1" showInputMessage="1" showErrorMessage="1" sqref="C76:C81 C29:C34 C83" xr:uid="{7E9F9418-D057-4B5A-AB34-3527B7125B27}">
      <formula1>"High, Medium, Low"</formula1>
    </dataValidation>
  </dataValidations>
  <hyperlinks>
    <hyperlink ref="G72" r:id="rId1" display="https://www.gov.uk/government/publications/assess-the-impact-of-air-quality/air-quality-appraisal-damage-cost-guidance" xr:uid="{1DB9F396-B17B-4D99-A2BD-4E6298B4F35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E96B3-6185-4266-8F36-65964A8792EE}">
  <sheetPr>
    <tabColor theme="6" tint="-0.499984740745262"/>
  </sheetPr>
  <dimension ref="A1:K57"/>
  <sheetViews>
    <sheetView workbookViewId="0">
      <selection activeCell="B1" sqref="B1"/>
    </sheetView>
  </sheetViews>
  <sheetFormatPr defaultColWidth="9" defaultRowHeight="14.45"/>
  <cols>
    <col min="1" max="1" width="4.25" style="7" customWidth="1"/>
    <col min="2" max="2" width="26.25" style="7" customWidth="1"/>
    <col min="3" max="3" width="18.375" style="7" customWidth="1"/>
    <col min="4" max="4" width="16.5" style="51" customWidth="1"/>
    <col min="5" max="5" width="15.625" style="51" customWidth="1"/>
    <col min="6" max="6" width="51.25" style="7" customWidth="1"/>
    <col min="7" max="7" width="34.25" style="7" customWidth="1"/>
    <col min="8" max="8" width="14.5" style="7" customWidth="1"/>
    <col min="9" max="9" width="22.75" style="7" customWidth="1"/>
    <col min="10" max="16384" width="9" style="7"/>
  </cols>
  <sheetData>
    <row r="1" spans="1:8" ht="30.95">
      <c r="A1" s="3"/>
      <c r="B1" s="658" t="s">
        <v>202</v>
      </c>
      <c r="C1" s="24"/>
      <c r="D1" s="24"/>
      <c r="E1" s="24"/>
      <c r="F1" s="3"/>
      <c r="G1" s="3"/>
    </row>
    <row r="2" spans="1:8" ht="15" thickBot="1">
      <c r="A2" s="3"/>
      <c r="B2" s="660"/>
      <c r="C2" s="24"/>
      <c r="D2" s="24"/>
      <c r="E2" s="24"/>
      <c r="F2" s="3"/>
      <c r="G2" s="3"/>
    </row>
    <row r="3" spans="1:8" ht="18.600000000000001">
      <c r="A3" s="3"/>
      <c r="B3" s="822" t="s">
        <v>203</v>
      </c>
      <c r="C3" s="823"/>
      <c r="D3" s="864"/>
      <c r="E3" s="864"/>
      <c r="F3" s="910"/>
      <c r="G3" s="995" t="s">
        <v>204</v>
      </c>
      <c r="H3" s="994"/>
    </row>
    <row r="4" spans="1:8" ht="15" customHeight="1">
      <c r="A4" s="3"/>
      <c r="B4" s="1015" t="s">
        <v>205</v>
      </c>
      <c r="C4" s="1016"/>
      <c r="D4" s="1016"/>
      <c r="E4" s="1016"/>
      <c r="F4" s="1017"/>
      <c r="G4" s="1058" t="s">
        <v>206</v>
      </c>
      <c r="H4" s="994"/>
    </row>
    <row r="5" spans="1:8" ht="15" customHeight="1">
      <c r="A5" s="3"/>
      <c r="B5" s="1015"/>
      <c r="C5" s="1016"/>
      <c r="D5" s="1016"/>
      <c r="E5" s="1016"/>
      <c r="F5" s="1017"/>
      <c r="G5" s="1058"/>
      <c r="H5" s="994"/>
    </row>
    <row r="6" spans="1:8" ht="15" customHeight="1">
      <c r="A6" s="3"/>
      <c r="B6" s="1015"/>
      <c r="C6" s="1016"/>
      <c r="D6" s="1016"/>
      <c r="E6" s="1016"/>
      <c r="F6" s="1017"/>
      <c r="G6" s="1058"/>
      <c r="H6" s="994"/>
    </row>
    <row r="7" spans="1:8" ht="15" customHeight="1">
      <c r="A7" s="3"/>
      <c r="B7" s="1015"/>
      <c r="C7" s="1016"/>
      <c r="D7" s="1016"/>
      <c r="E7" s="1016"/>
      <c r="F7" s="1017"/>
      <c r="G7" s="1058"/>
      <c r="H7" s="994"/>
    </row>
    <row r="8" spans="1:8" ht="15" customHeight="1">
      <c r="A8" s="3"/>
      <c r="B8" s="1015"/>
      <c r="C8" s="1016"/>
      <c r="D8" s="1016"/>
      <c r="E8" s="1016"/>
      <c r="F8" s="1017"/>
      <c r="G8" s="1058"/>
      <c r="H8" s="994"/>
    </row>
    <row r="9" spans="1:8" ht="15" customHeight="1">
      <c r="A9" s="3"/>
      <c r="B9" s="1015"/>
      <c r="C9" s="1016"/>
      <c r="D9" s="1016"/>
      <c r="E9" s="1016"/>
      <c r="F9" s="1017"/>
      <c r="G9" s="1058"/>
      <c r="H9" s="994"/>
    </row>
    <row r="10" spans="1:8" ht="15" customHeight="1">
      <c r="A10" s="3"/>
      <c r="B10" s="1015"/>
      <c r="C10" s="1016"/>
      <c r="D10" s="1016"/>
      <c r="E10" s="1016"/>
      <c r="F10" s="1017"/>
      <c r="G10" s="1058"/>
      <c r="H10" s="994"/>
    </row>
    <row r="11" spans="1:8" ht="15" customHeight="1">
      <c r="A11" s="3"/>
      <c r="B11" s="1015"/>
      <c r="C11" s="1016"/>
      <c r="D11" s="1016"/>
      <c r="E11" s="1016"/>
      <c r="F11" s="1017"/>
      <c r="G11" s="1058"/>
      <c r="H11" s="994"/>
    </row>
    <row r="12" spans="1:8" ht="15" customHeight="1">
      <c r="A12" s="3"/>
      <c r="B12" s="1015"/>
      <c r="C12" s="1016"/>
      <c r="D12" s="1016"/>
      <c r="E12" s="1016"/>
      <c r="F12" s="1017"/>
      <c r="G12" s="1058"/>
      <c r="H12" s="994"/>
    </row>
    <row r="13" spans="1:8" ht="15" customHeight="1">
      <c r="A13" s="3"/>
      <c r="B13" s="1015"/>
      <c r="C13" s="1016"/>
      <c r="D13" s="1016"/>
      <c r="E13" s="1016"/>
      <c r="F13" s="1017"/>
      <c r="G13" s="1058"/>
      <c r="H13" s="994"/>
    </row>
    <row r="14" spans="1:8" ht="15.75" customHeight="1" thickBot="1">
      <c r="A14" s="3"/>
      <c r="B14" s="1018"/>
      <c r="C14" s="1019"/>
      <c r="D14" s="1019"/>
      <c r="E14" s="1019"/>
      <c r="F14" s="1020"/>
      <c r="G14" s="1059"/>
      <c r="H14" s="994"/>
    </row>
    <row r="15" spans="1:8" ht="15" thickBot="1">
      <c r="A15" s="3"/>
      <c r="B15" s="3"/>
      <c r="C15" s="3"/>
      <c r="D15" s="24"/>
      <c r="E15" s="24"/>
      <c r="F15" s="3"/>
      <c r="G15" s="3"/>
    </row>
    <row r="16" spans="1:8" ht="18.600000000000001">
      <c r="A16" s="3"/>
      <c r="B16" s="822" t="s">
        <v>17</v>
      </c>
      <c r="C16" s="823"/>
      <c r="D16" s="864"/>
      <c r="E16" s="864"/>
      <c r="F16" s="910"/>
      <c r="G16" s="3"/>
    </row>
    <row r="17" spans="1:11" ht="32.1">
      <c r="A17" s="3"/>
      <c r="B17" s="958" t="s">
        <v>207</v>
      </c>
      <c r="C17" s="959" t="s">
        <v>208</v>
      </c>
      <c r="D17" s="960" t="s">
        <v>209</v>
      </c>
      <c r="E17" s="1068" t="s">
        <v>210</v>
      </c>
      <c r="F17" s="1068"/>
      <c r="G17" s="3"/>
    </row>
    <row r="18" spans="1:11" ht="32.1">
      <c r="A18" s="3"/>
      <c r="B18" s="930">
        <v>1</v>
      </c>
      <c r="C18" s="929" t="s">
        <v>211</v>
      </c>
      <c r="D18" s="961" t="s">
        <v>212</v>
      </c>
      <c r="E18" s="1033" t="s">
        <v>213</v>
      </c>
      <c r="F18" s="1033"/>
      <c r="G18" s="3"/>
    </row>
    <row r="19" spans="1:11" ht="52.5" customHeight="1">
      <c r="A19" s="3"/>
      <c r="B19" s="930">
        <v>2</v>
      </c>
      <c r="C19" s="929" t="s">
        <v>211</v>
      </c>
      <c r="D19" s="961" t="s">
        <v>212</v>
      </c>
      <c r="E19" s="1033" t="s">
        <v>214</v>
      </c>
      <c r="F19" s="1033"/>
      <c r="G19" s="3"/>
    </row>
    <row r="20" spans="1:11" ht="66" customHeight="1">
      <c r="A20" s="3"/>
      <c r="B20" s="930">
        <v>3</v>
      </c>
      <c r="C20" s="929" t="s">
        <v>215</v>
      </c>
      <c r="D20" s="961" t="s">
        <v>212</v>
      </c>
      <c r="E20" s="1033" t="s">
        <v>216</v>
      </c>
      <c r="F20" s="1033"/>
      <c r="G20" s="3"/>
    </row>
    <row r="21" spans="1:11" ht="47.1" customHeight="1">
      <c r="A21" s="3"/>
      <c r="B21" s="930">
        <v>4</v>
      </c>
      <c r="C21" s="929" t="s">
        <v>217</v>
      </c>
      <c r="D21" s="961" t="s">
        <v>218</v>
      </c>
      <c r="E21" s="1033" t="s">
        <v>219</v>
      </c>
      <c r="F21" s="1033"/>
      <c r="G21" s="3"/>
    </row>
    <row r="22" spans="1:11" ht="164.25" customHeight="1">
      <c r="A22" s="3"/>
      <c r="B22" s="930">
        <v>5</v>
      </c>
      <c r="C22" s="929" t="s">
        <v>217</v>
      </c>
      <c r="D22" s="961" t="s">
        <v>220</v>
      </c>
      <c r="E22" s="1033" t="s">
        <v>221</v>
      </c>
      <c r="F22" s="1033"/>
      <c r="G22" s="3"/>
    </row>
    <row r="23" spans="1:11">
      <c r="A23" s="3"/>
      <c r="B23" s="3"/>
      <c r="C23" s="3"/>
      <c r="D23" s="24"/>
      <c r="E23" s="24"/>
      <c r="F23" s="3"/>
      <c r="G23" s="3"/>
    </row>
    <row r="24" spans="1:11">
      <c r="A24" s="3"/>
      <c r="B24" s="3"/>
      <c r="C24" s="3"/>
      <c r="D24" s="24"/>
      <c r="E24" s="24"/>
      <c r="F24" s="3"/>
      <c r="G24" s="3"/>
    </row>
    <row r="25" spans="1:11" ht="15.95">
      <c r="A25" s="3"/>
      <c r="B25" s="870" t="s">
        <v>222</v>
      </c>
      <c r="C25" s="3"/>
      <c r="D25" s="24"/>
      <c r="E25" s="24"/>
      <c r="F25" s="993"/>
      <c r="G25" s="993"/>
    </row>
    <row r="26" spans="1:11" s="832" customFormat="1" ht="36" customHeight="1">
      <c r="B26" s="909" t="s">
        <v>223</v>
      </c>
      <c r="C26" s="909" t="s">
        <v>224</v>
      </c>
      <c r="D26" s="865" t="s">
        <v>225</v>
      </c>
      <c r="E26" s="865" t="s">
        <v>226</v>
      </c>
      <c r="F26" s="909" t="s">
        <v>227</v>
      </c>
      <c r="G26" s="909" t="s">
        <v>228</v>
      </c>
      <c r="H26" s="865" t="s">
        <v>229</v>
      </c>
      <c r="J26" s="7"/>
      <c r="K26" s="7"/>
    </row>
    <row r="27" spans="1:11" s="832" customFormat="1" ht="48">
      <c r="B27" s="1063" t="s">
        <v>230</v>
      </c>
      <c r="C27" s="867" t="s">
        <v>231</v>
      </c>
      <c r="D27" s="866">
        <v>11</v>
      </c>
      <c r="E27" s="866" t="s">
        <v>232</v>
      </c>
      <c r="F27" s="867" t="s">
        <v>233</v>
      </c>
      <c r="G27" s="1066" t="s">
        <v>234</v>
      </c>
      <c r="H27" s="1060" t="s">
        <v>235</v>
      </c>
      <c r="J27" s="7"/>
      <c r="K27" s="7"/>
    </row>
    <row r="28" spans="1:11" s="832" customFormat="1" ht="63.95">
      <c r="B28" s="1065"/>
      <c r="C28" s="867" t="s">
        <v>236</v>
      </c>
      <c r="D28" s="866">
        <v>3</v>
      </c>
      <c r="E28" s="866" t="s">
        <v>232</v>
      </c>
      <c r="F28" s="867" t="s">
        <v>237</v>
      </c>
      <c r="G28" s="1066"/>
      <c r="H28" s="1062"/>
      <c r="J28" s="7"/>
      <c r="K28" s="7"/>
    </row>
    <row r="29" spans="1:11" s="832" customFormat="1" ht="63.95">
      <c r="B29" s="1063" t="s">
        <v>238</v>
      </c>
      <c r="C29" s="867" t="s">
        <v>239</v>
      </c>
      <c r="D29" s="866">
        <v>2</v>
      </c>
      <c r="E29" s="866" t="s">
        <v>240</v>
      </c>
      <c r="F29" s="867" t="s">
        <v>241</v>
      </c>
      <c r="G29" s="1030" t="s">
        <v>242</v>
      </c>
      <c r="H29" s="1067" t="s">
        <v>235</v>
      </c>
      <c r="J29" s="7"/>
      <c r="K29" s="7"/>
    </row>
    <row r="30" spans="1:11" s="832" customFormat="1" ht="86.45" customHeight="1">
      <c r="B30" s="1065"/>
      <c r="C30" s="867" t="s">
        <v>243</v>
      </c>
      <c r="D30" s="866">
        <v>6</v>
      </c>
      <c r="E30" s="866" t="s">
        <v>244</v>
      </c>
      <c r="F30" s="867" t="s">
        <v>245</v>
      </c>
      <c r="G30" s="1030"/>
      <c r="H30" s="1067"/>
      <c r="J30" s="7"/>
      <c r="K30" s="7"/>
    </row>
    <row r="31" spans="1:11" s="832" customFormat="1" ht="48">
      <c r="B31" s="1063" t="s">
        <v>246</v>
      </c>
      <c r="C31" s="867" t="s">
        <v>247</v>
      </c>
      <c r="D31" s="866">
        <v>3</v>
      </c>
      <c r="E31" s="866" t="s">
        <v>248</v>
      </c>
      <c r="F31" s="867" t="s">
        <v>249</v>
      </c>
      <c r="G31" s="1066" t="s">
        <v>234</v>
      </c>
      <c r="H31" s="1067" t="s">
        <v>235</v>
      </c>
      <c r="J31" s="7"/>
      <c r="K31" s="7"/>
    </row>
    <row r="32" spans="1:11" s="832" customFormat="1" ht="48">
      <c r="B32" s="1065"/>
      <c r="C32" s="867" t="s">
        <v>250</v>
      </c>
      <c r="D32" s="866">
        <v>1</v>
      </c>
      <c r="E32" s="866" t="s">
        <v>251</v>
      </c>
      <c r="F32" s="867" t="s">
        <v>252</v>
      </c>
      <c r="G32" s="1066"/>
      <c r="H32" s="1067"/>
      <c r="J32" s="7"/>
      <c r="K32" s="7"/>
    </row>
    <row r="33" spans="2:11" s="832" customFormat="1" ht="48">
      <c r="B33" s="867" t="s">
        <v>253</v>
      </c>
      <c r="C33" s="867" t="s">
        <v>254</v>
      </c>
      <c r="D33" s="866">
        <v>1</v>
      </c>
      <c r="E33" s="866" t="s">
        <v>255</v>
      </c>
      <c r="F33" s="908" t="s">
        <v>256</v>
      </c>
      <c r="G33" s="884" t="s">
        <v>234</v>
      </c>
      <c r="H33" s="911" t="s">
        <v>235</v>
      </c>
      <c r="J33" s="7"/>
      <c r="K33" s="7"/>
    </row>
    <row r="34" spans="2:11" s="832" customFormat="1" ht="48">
      <c r="B34" s="867" t="s">
        <v>257</v>
      </c>
      <c r="C34" s="867" t="s">
        <v>258</v>
      </c>
      <c r="D34" s="866">
        <v>4</v>
      </c>
      <c r="E34" s="866" t="s">
        <v>259</v>
      </c>
      <c r="F34" s="867" t="s">
        <v>260</v>
      </c>
      <c r="G34" s="908" t="s">
        <v>234</v>
      </c>
      <c r="H34" s="912" t="s">
        <v>235</v>
      </c>
      <c r="J34" s="7"/>
      <c r="K34" s="7"/>
    </row>
    <row r="35" spans="2:11" s="832" customFormat="1" ht="32.1">
      <c r="B35" s="867" t="s">
        <v>261</v>
      </c>
      <c r="C35" s="867" t="s">
        <v>262</v>
      </c>
      <c r="D35" s="866">
        <v>1</v>
      </c>
      <c r="E35" s="866" t="s">
        <v>263</v>
      </c>
      <c r="F35" s="867" t="s">
        <v>264</v>
      </c>
      <c r="G35" s="908" t="s">
        <v>234</v>
      </c>
      <c r="H35" s="912" t="s">
        <v>235</v>
      </c>
      <c r="J35" s="7"/>
      <c r="K35" s="7"/>
    </row>
    <row r="36" spans="2:11" s="832" customFormat="1" ht="48">
      <c r="B36" s="867" t="s">
        <v>265</v>
      </c>
      <c r="C36" s="867" t="s">
        <v>266</v>
      </c>
      <c r="D36" s="866">
        <v>2</v>
      </c>
      <c r="E36" s="866" t="s">
        <v>267</v>
      </c>
      <c r="F36" s="867" t="s">
        <v>268</v>
      </c>
      <c r="G36" s="908" t="s">
        <v>234</v>
      </c>
      <c r="H36" s="912" t="s">
        <v>235</v>
      </c>
      <c r="J36" s="7"/>
      <c r="K36" s="7"/>
    </row>
    <row r="37" spans="2:11" s="832" customFormat="1" ht="48">
      <c r="B37" s="1063" t="s">
        <v>269</v>
      </c>
      <c r="C37" s="867" t="s">
        <v>270</v>
      </c>
      <c r="D37" s="866">
        <v>19</v>
      </c>
      <c r="E37" s="866" t="s">
        <v>244</v>
      </c>
      <c r="F37" s="867" t="s">
        <v>271</v>
      </c>
      <c r="G37" s="908" t="s">
        <v>272</v>
      </c>
      <c r="H37" s="1069" t="s">
        <v>273</v>
      </c>
      <c r="J37" s="7"/>
      <c r="K37" s="7"/>
    </row>
    <row r="38" spans="2:11" s="832" customFormat="1" ht="128.1">
      <c r="B38" s="1065"/>
      <c r="C38" s="867" t="s">
        <v>274</v>
      </c>
      <c r="D38" s="866">
        <v>3</v>
      </c>
      <c r="E38" s="866" t="s">
        <v>275</v>
      </c>
      <c r="F38" s="867" t="s">
        <v>276</v>
      </c>
      <c r="G38" s="908" t="s">
        <v>277</v>
      </c>
      <c r="H38" s="1070"/>
      <c r="J38" s="7"/>
      <c r="K38" s="7"/>
    </row>
    <row r="39" spans="2:11" s="832" customFormat="1" ht="80.099999999999994">
      <c r="B39" s="867" t="s">
        <v>278</v>
      </c>
      <c r="C39" s="867" t="s">
        <v>279</v>
      </c>
      <c r="D39" s="866">
        <v>1</v>
      </c>
      <c r="E39" s="866" t="s">
        <v>280</v>
      </c>
      <c r="F39" s="867" t="s">
        <v>281</v>
      </c>
      <c r="G39" s="908" t="s">
        <v>282</v>
      </c>
      <c r="H39" s="912" t="s">
        <v>235</v>
      </c>
      <c r="J39" s="7"/>
      <c r="K39" s="7"/>
    </row>
    <row r="40" spans="2:11" s="832" customFormat="1" ht="80.099999999999994">
      <c r="B40" s="1063" t="s">
        <v>283</v>
      </c>
      <c r="C40" s="867" t="s">
        <v>284</v>
      </c>
      <c r="D40" s="866">
        <v>3</v>
      </c>
      <c r="E40" s="866" t="s">
        <v>285</v>
      </c>
      <c r="F40" s="867" t="s">
        <v>286</v>
      </c>
      <c r="G40" s="1063" t="s">
        <v>287</v>
      </c>
      <c r="H40" s="1060" t="s">
        <v>235</v>
      </c>
      <c r="J40" s="7"/>
      <c r="K40" s="7"/>
    </row>
    <row r="41" spans="2:11" s="832" customFormat="1" ht="32.1">
      <c r="B41" s="1065"/>
      <c r="C41" s="867" t="s">
        <v>288</v>
      </c>
      <c r="D41" s="866">
        <v>9</v>
      </c>
      <c r="E41" s="866" t="s">
        <v>244</v>
      </c>
      <c r="F41" s="867" t="s">
        <v>289</v>
      </c>
      <c r="G41" s="1065"/>
      <c r="H41" s="1062"/>
      <c r="J41" s="7"/>
      <c r="K41" s="7"/>
    </row>
    <row r="42" spans="2:11" s="832" customFormat="1" ht="63.95">
      <c r="B42" s="1063" t="s">
        <v>290</v>
      </c>
      <c r="C42" s="867" t="s">
        <v>291</v>
      </c>
      <c r="D42" s="866">
        <v>4</v>
      </c>
      <c r="E42" s="866" t="s">
        <v>244</v>
      </c>
      <c r="F42" s="867" t="s">
        <v>292</v>
      </c>
      <c r="G42" s="1063" t="s">
        <v>234</v>
      </c>
      <c r="H42" s="1060" t="s">
        <v>235</v>
      </c>
      <c r="J42" s="7"/>
      <c r="K42" s="7"/>
    </row>
    <row r="43" spans="2:11" s="832" customFormat="1" ht="48">
      <c r="B43" s="1064"/>
      <c r="C43" s="867" t="s">
        <v>293</v>
      </c>
      <c r="D43" s="866">
        <v>3</v>
      </c>
      <c r="E43" s="866" t="s">
        <v>294</v>
      </c>
      <c r="F43" s="867" t="s">
        <v>295</v>
      </c>
      <c r="G43" s="1065"/>
      <c r="H43" s="1061"/>
      <c r="J43" s="7"/>
      <c r="K43" s="7"/>
    </row>
    <row r="44" spans="2:11" s="832" customFormat="1" ht="48">
      <c r="B44" s="1063" t="s">
        <v>296</v>
      </c>
      <c r="C44" s="913" t="s">
        <v>297</v>
      </c>
      <c r="D44" s="866">
        <v>3</v>
      </c>
      <c r="E44" s="866" t="s">
        <v>298</v>
      </c>
      <c r="F44" s="867" t="s">
        <v>299</v>
      </c>
      <c r="G44" s="1071" t="s">
        <v>300</v>
      </c>
      <c r="H44" s="1067" t="s">
        <v>235</v>
      </c>
      <c r="J44" s="7"/>
      <c r="K44" s="7"/>
    </row>
    <row r="45" spans="2:11" s="832" customFormat="1" ht="111.95">
      <c r="B45" s="1065"/>
      <c r="C45" s="913" t="s">
        <v>301</v>
      </c>
      <c r="D45" s="866">
        <v>1</v>
      </c>
      <c r="E45" s="866" t="s">
        <v>298</v>
      </c>
      <c r="F45" s="867" t="s">
        <v>302</v>
      </c>
      <c r="G45" s="1071"/>
      <c r="H45" s="1067"/>
      <c r="J45" s="7"/>
      <c r="K45" s="7"/>
    </row>
    <row r="46" spans="2:11" s="832" customFormat="1" ht="32.1">
      <c r="B46" s="914" t="s">
        <v>303</v>
      </c>
      <c r="C46" s="867" t="s">
        <v>304</v>
      </c>
      <c r="D46" s="866">
        <v>1</v>
      </c>
      <c r="E46" s="866" t="s">
        <v>305</v>
      </c>
      <c r="F46" s="867" t="s">
        <v>295</v>
      </c>
      <c r="G46" s="908" t="s">
        <v>234</v>
      </c>
      <c r="H46" s="915" t="s">
        <v>235</v>
      </c>
      <c r="J46" s="7"/>
      <c r="K46" s="7"/>
    </row>
    <row r="47" spans="2:11" s="832" customFormat="1" ht="15.95">
      <c r="D47" s="837"/>
      <c r="E47" s="837"/>
      <c r="I47" s="7"/>
      <c r="J47" s="7"/>
      <c r="K47" s="7"/>
    </row>
    <row r="48" spans="2:11" s="832" customFormat="1" ht="15.95">
      <c r="D48" s="837"/>
      <c r="E48" s="837"/>
      <c r="I48" s="7"/>
      <c r="J48" s="7"/>
      <c r="K48" s="7"/>
    </row>
    <row r="49" spans="2:11" s="832" customFormat="1" ht="15.95">
      <c r="B49" s="870" t="s">
        <v>306</v>
      </c>
      <c r="D49" s="837"/>
      <c r="E49" s="837"/>
    </row>
    <row r="50" spans="2:11" s="832" customFormat="1" ht="36" customHeight="1">
      <c r="B50" s="909" t="s">
        <v>223</v>
      </c>
      <c r="C50" s="909" t="s">
        <v>307</v>
      </c>
      <c r="D50" s="865" t="s">
        <v>225</v>
      </c>
      <c r="E50" s="865" t="s">
        <v>226</v>
      </c>
      <c r="F50" s="909" t="s">
        <v>227</v>
      </c>
      <c r="G50" s="909" t="s">
        <v>228</v>
      </c>
      <c r="H50" s="865" t="s">
        <v>229</v>
      </c>
      <c r="J50" s="7"/>
      <c r="K50" s="7"/>
    </row>
    <row r="51" spans="2:11" ht="63.95">
      <c r="B51" s="1063" t="s">
        <v>253</v>
      </c>
      <c r="C51" s="867" t="s">
        <v>308</v>
      </c>
      <c r="D51" s="866">
        <v>13</v>
      </c>
      <c r="E51" s="866" t="s">
        <v>309</v>
      </c>
      <c r="F51" s="867" t="s">
        <v>310</v>
      </c>
      <c r="G51" s="908" t="s">
        <v>234</v>
      </c>
      <c r="H51" s="1060" t="s">
        <v>235</v>
      </c>
    </row>
    <row r="52" spans="2:11" ht="63.95">
      <c r="B52" s="1064"/>
      <c r="C52" s="867" t="s">
        <v>311</v>
      </c>
      <c r="D52" s="866">
        <v>5</v>
      </c>
      <c r="E52" s="866" t="s">
        <v>309</v>
      </c>
      <c r="F52" s="867" t="s">
        <v>312</v>
      </c>
      <c r="G52" s="908" t="s">
        <v>234</v>
      </c>
      <c r="H52" s="1061"/>
    </row>
    <row r="53" spans="2:11" ht="128.1">
      <c r="B53" s="1064"/>
      <c r="C53" s="867" t="s">
        <v>313</v>
      </c>
      <c r="D53" s="866">
        <v>11</v>
      </c>
      <c r="E53" s="866" t="s">
        <v>309</v>
      </c>
      <c r="F53" s="867" t="s">
        <v>314</v>
      </c>
      <c r="G53" s="908" t="s">
        <v>315</v>
      </c>
      <c r="H53" s="1061"/>
    </row>
    <row r="54" spans="2:11" ht="63.95">
      <c r="B54" s="1064"/>
      <c r="C54" s="867" t="s">
        <v>316</v>
      </c>
      <c r="D54" s="866">
        <v>2</v>
      </c>
      <c r="E54" s="866" t="s">
        <v>309</v>
      </c>
      <c r="F54" s="867" t="s">
        <v>312</v>
      </c>
      <c r="G54" s="908" t="s">
        <v>234</v>
      </c>
      <c r="H54" s="1061"/>
    </row>
    <row r="55" spans="2:11" ht="48">
      <c r="B55" s="1065"/>
      <c r="C55" s="867" t="s">
        <v>317</v>
      </c>
      <c r="D55" s="866">
        <v>14</v>
      </c>
      <c r="E55" s="866" t="s">
        <v>309</v>
      </c>
      <c r="F55" s="867" t="s">
        <v>318</v>
      </c>
      <c r="G55" s="908" t="s">
        <v>319</v>
      </c>
      <c r="H55" s="1062"/>
    </row>
    <row r="56" spans="2:11" ht="63.95">
      <c r="B56" s="914" t="s">
        <v>320</v>
      </c>
      <c r="C56" s="867" t="s">
        <v>321</v>
      </c>
      <c r="D56" s="866">
        <v>4</v>
      </c>
      <c r="E56" s="866" t="s">
        <v>322</v>
      </c>
      <c r="F56" s="867" t="s">
        <v>323</v>
      </c>
      <c r="G56" s="908" t="s">
        <v>234</v>
      </c>
      <c r="H56" s="912" t="s">
        <v>235</v>
      </c>
    </row>
    <row r="57" spans="2:11" ht="48">
      <c r="B57" s="914" t="s">
        <v>303</v>
      </c>
      <c r="C57" s="867" t="s">
        <v>324</v>
      </c>
      <c r="D57" s="866">
        <v>1</v>
      </c>
      <c r="E57" s="866" t="s">
        <v>325</v>
      </c>
      <c r="F57" s="867" t="s">
        <v>326</v>
      </c>
      <c r="G57" s="908" t="s">
        <v>234</v>
      </c>
      <c r="H57" s="912" t="s">
        <v>235</v>
      </c>
    </row>
  </sheetData>
  <sheetProtection algorithmName="SHA-512" hashValue="fVWNuzxF3sru/6/jtFfLW+PYRsQX2UoXArVgjtnB1s22svV9/nGsRnK8mkSGnHkWVXepa0sBdId+65GMavIFVg==" saltValue="SkU/P8xipTgHUx8iK0Qo/A==" spinCount="100000" sheet="1" objects="1" scenarios="1"/>
  <mergeCells count="30">
    <mergeCell ref="H42:H43"/>
    <mergeCell ref="G42:G43"/>
    <mergeCell ref="B42:B43"/>
    <mergeCell ref="G44:G45"/>
    <mergeCell ref="H44:H45"/>
    <mergeCell ref="B44:B45"/>
    <mergeCell ref="H31:H32"/>
    <mergeCell ref="G31:G32"/>
    <mergeCell ref="H37:H38"/>
    <mergeCell ref="B37:B38"/>
    <mergeCell ref="H40:H41"/>
    <mergeCell ref="G40:G41"/>
    <mergeCell ref="B40:B41"/>
    <mergeCell ref="B31:B32"/>
    <mergeCell ref="G4:G14"/>
    <mergeCell ref="H51:H55"/>
    <mergeCell ref="B51:B55"/>
    <mergeCell ref="B4:F14"/>
    <mergeCell ref="B27:B28"/>
    <mergeCell ref="B29:B30"/>
    <mergeCell ref="G27:G28"/>
    <mergeCell ref="H27:H28"/>
    <mergeCell ref="G29:G30"/>
    <mergeCell ref="H29:H30"/>
    <mergeCell ref="E17:F17"/>
    <mergeCell ref="E19:F19"/>
    <mergeCell ref="E18:F18"/>
    <mergeCell ref="E20:F20"/>
    <mergeCell ref="E21:F21"/>
    <mergeCell ref="E22:F2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59EA-166A-4EFD-9D52-9AA938C9CCB8}">
  <sheetPr codeName="Sheet39">
    <tabColor theme="5" tint="0.59999389629810485"/>
  </sheetPr>
  <dimension ref="A1:W53"/>
  <sheetViews>
    <sheetView workbookViewId="0"/>
  </sheetViews>
  <sheetFormatPr defaultColWidth="9" defaultRowHeight="14.45"/>
  <cols>
    <col min="1" max="1" width="3.5" style="2" customWidth="1"/>
    <col min="2" max="3" width="40.625" style="2" customWidth="1"/>
    <col min="4" max="15" width="15.625" style="2" customWidth="1"/>
    <col min="16" max="16" width="16.125" style="2" customWidth="1"/>
    <col min="17" max="17" width="9" style="2"/>
    <col min="18" max="18" width="16.625" style="2" customWidth="1"/>
    <col min="19" max="19" width="18.5" style="2" customWidth="1"/>
    <col min="20" max="16384" width="9" style="2"/>
  </cols>
  <sheetData>
    <row r="1" spans="1:8" ht="15" thickBot="1"/>
    <row r="2" spans="1:8" s="710" customFormat="1" ht="18.95" thickBot="1">
      <c r="A2" s="707"/>
      <c r="B2" s="1451" t="s">
        <v>419</v>
      </c>
      <c r="C2" s="1451"/>
      <c r="D2" s="1451"/>
    </row>
    <row r="4" spans="1:8" s="714" customFormat="1" ht="18.600000000000001">
      <c r="A4" s="715"/>
      <c r="B4" s="713" t="s">
        <v>893</v>
      </c>
      <c r="C4" s="715"/>
      <c r="D4" s="715"/>
      <c r="E4" s="715"/>
      <c r="F4" s="715"/>
      <c r="G4" s="715"/>
      <c r="H4" s="715"/>
    </row>
    <row r="5" spans="1:8" s="7" customFormat="1" ht="117" customHeight="1">
      <c r="A5" s="737"/>
      <c r="B5" s="1236" t="s">
        <v>3082</v>
      </c>
      <c r="C5" s="1236"/>
      <c r="D5" s="1236"/>
      <c r="E5" s="1236"/>
      <c r="F5" s="1236"/>
      <c r="G5" s="1236"/>
      <c r="H5" s="1236"/>
    </row>
    <row r="6" spans="1:8" s="7" customFormat="1"/>
    <row r="7" spans="1:8" s="718" customFormat="1" ht="18.600000000000001">
      <c r="A7" s="724"/>
      <c r="B7" s="724" t="s">
        <v>895</v>
      </c>
      <c r="C7" s="724"/>
      <c r="D7" s="724"/>
      <c r="E7" s="724"/>
      <c r="F7" s="724"/>
      <c r="G7" s="724"/>
      <c r="H7" s="724"/>
    </row>
    <row r="9" spans="1:8">
      <c r="D9" s="1128" t="s">
        <v>479</v>
      </c>
      <c r="E9" s="1129"/>
      <c r="F9" s="1129"/>
      <c r="G9" s="266"/>
      <c r="H9" s="267"/>
    </row>
    <row r="10" spans="1:8" ht="29.1">
      <c r="B10" s="763" t="s">
        <v>104</v>
      </c>
      <c r="C10" s="521" t="s">
        <v>226</v>
      </c>
      <c r="D10" s="719" t="s">
        <v>449</v>
      </c>
      <c r="E10" s="719" t="s">
        <v>354</v>
      </c>
      <c r="F10" s="774" t="s">
        <v>3083</v>
      </c>
      <c r="G10" s="266"/>
      <c r="H10" s="267"/>
    </row>
    <row r="11" spans="1:8">
      <c r="B11" s="297" t="s">
        <v>634</v>
      </c>
      <c r="C11" s="374" t="s">
        <v>71</v>
      </c>
      <c r="D11" s="374" t="s">
        <v>475</v>
      </c>
      <c r="E11" s="374" cm="1">
        <f t="array" ref="E11">_xlfn.XLOOKUP(1,($B11=$B$45:$B$47)*(E$10=$C$45:$C$47),$G$45:$G$47,"Not found",0,1)</f>
        <v>-1.317726347656756</v>
      </c>
      <c r="F11" s="374" t="s">
        <v>473</v>
      </c>
      <c r="G11" s="265"/>
      <c r="H11" s="206"/>
    </row>
    <row r="12" spans="1:8">
      <c r="B12" s="297" t="s">
        <v>635</v>
      </c>
      <c r="C12" s="374" t="s">
        <v>71</v>
      </c>
      <c r="D12" s="374" t="s">
        <v>475</v>
      </c>
      <c r="E12" s="374" cm="1">
        <f t="array" ref="E12">_xlfn.XLOOKUP(1,($B12=$B$45:$B$47)*(E$10=$C$45:$C$47),$G$45:$G$47,"Not found",0,1)</f>
        <v>-45.462889076058175</v>
      </c>
      <c r="F12" s="374" t="s">
        <v>473</v>
      </c>
      <c r="G12" s="265"/>
      <c r="H12" s="206"/>
    </row>
    <row r="13" spans="1:8">
      <c r="B13" s="297" t="s">
        <v>636</v>
      </c>
      <c r="C13" s="374" t="s">
        <v>71</v>
      </c>
      <c r="D13" s="374"/>
      <c r="E13" s="374" cm="1">
        <f t="array" ref="E13">_xlfn.XLOOKUP(1,($B13=$B$45:$B$47)*(E$10=$C$45:$C$47),$G$45:$G$47,"Not found",0,1)</f>
        <v>-0.52934306273391052</v>
      </c>
      <c r="F13" s="374" t="s">
        <v>473</v>
      </c>
      <c r="G13" s="265"/>
      <c r="H13" s="206"/>
    </row>
    <row r="14" spans="1:8">
      <c r="B14" s="800" t="s">
        <v>896</v>
      </c>
    </row>
    <row r="16" spans="1:8">
      <c r="A16" s="721"/>
      <c r="B16" s="722" t="s">
        <v>354</v>
      </c>
      <c r="C16" s="721"/>
      <c r="D16" s="721"/>
      <c r="E16" s="721"/>
      <c r="F16" s="721"/>
      <c r="G16" s="721"/>
      <c r="H16" s="721"/>
    </row>
    <row r="17" spans="1:8">
      <c r="A17" s="727"/>
      <c r="B17" s="729" t="s">
        <v>897</v>
      </c>
      <c r="C17" s="727"/>
      <c r="D17" s="727"/>
      <c r="E17" s="727"/>
      <c r="F17" s="727"/>
      <c r="G17" s="727"/>
      <c r="H17" s="727"/>
    </row>
    <row r="18" spans="1:8">
      <c r="B18" s="277" t="s">
        <v>898</v>
      </c>
      <c r="C18" s="277" t="s">
        <v>899</v>
      </c>
    </row>
    <row r="19" spans="1:8">
      <c r="B19" s="278" t="s">
        <v>354</v>
      </c>
      <c r="C19" s="278" t="s">
        <v>3084</v>
      </c>
    </row>
    <row r="20" spans="1:8">
      <c r="B20" s="16"/>
    </row>
    <row r="21" spans="1:8">
      <c r="A21" s="727"/>
      <c r="B21" s="728" t="s">
        <v>911</v>
      </c>
      <c r="C21" s="727"/>
      <c r="D21" s="727"/>
      <c r="E21" s="727"/>
      <c r="F21" s="727"/>
      <c r="G21" s="727"/>
      <c r="H21" s="727"/>
    </row>
    <row r="22" spans="1:8">
      <c r="A22" s="725"/>
      <c r="B22" s="726" t="s">
        <v>912</v>
      </c>
      <c r="C22" s="725"/>
      <c r="D22" s="725"/>
      <c r="E22" s="725"/>
      <c r="F22" s="725"/>
      <c r="G22" s="725"/>
      <c r="H22" s="725"/>
    </row>
    <row r="23" spans="1:8" ht="29.1">
      <c r="B23" s="719" t="s">
        <v>913</v>
      </c>
      <c r="C23" s="719" t="s">
        <v>914</v>
      </c>
      <c r="D23" s="719" t="s">
        <v>915</v>
      </c>
      <c r="E23" s="719" t="s">
        <v>916</v>
      </c>
      <c r="F23" s="719" t="s">
        <v>917</v>
      </c>
      <c r="G23" s="719" t="s">
        <v>918</v>
      </c>
      <c r="H23" s="719" t="s">
        <v>919</v>
      </c>
    </row>
    <row r="24" spans="1:8">
      <c r="B24" s="278">
        <v>84</v>
      </c>
      <c r="C24" s="278" t="s">
        <v>3085</v>
      </c>
      <c r="D24" s="278" t="s">
        <v>1182</v>
      </c>
      <c r="E24" s="278">
        <v>2015</v>
      </c>
      <c r="F24" s="278" t="s">
        <v>1047</v>
      </c>
      <c r="G24" s="278" t="s">
        <v>1047</v>
      </c>
      <c r="H24" s="278"/>
    </row>
    <row r="25" spans="1:8">
      <c r="B25" s="16"/>
    </row>
    <row r="26" spans="1:8">
      <c r="A26" s="725"/>
      <c r="B26" s="726" t="s">
        <v>924</v>
      </c>
      <c r="C26" s="725"/>
      <c r="D26" s="725"/>
      <c r="E26" s="725"/>
      <c r="F26" s="725"/>
      <c r="G26" s="725"/>
      <c r="H26" s="725"/>
    </row>
    <row r="27" spans="1:8">
      <c r="B27" s="277" t="s">
        <v>165</v>
      </c>
      <c r="C27" s="277" t="s">
        <v>925</v>
      </c>
      <c r="D27" s="277" t="s">
        <v>926</v>
      </c>
      <c r="E27" s="1134" t="s">
        <v>927</v>
      </c>
      <c r="F27" s="1134"/>
      <c r="G27" s="1134"/>
      <c r="H27" s="1134"/>
    </row>
    <row r="28" spans="1:8">
      <c r="B28" s="278" t="s">
        <v>169</v>
      </c>
      <c r="C28" s="278" t="s">
        <v>166</v>
      </c>
      <c r="D28" s="278">
        <f>VLOOKUP(C28,METHODOLOGY!$C$175:$D$177,2,FALSE)</f>
        <v>3</v>
      </c>
      <c r="E28" s="1087" t="str">
        <f>_xlfn.XLOOKUP(C28,METHODOLOGY!$E$150:$O$150,METHODOLOGY!$E$151:$O$151,"",0,1)</f>
        <v>Monetary values have been peer reviewed or are recommended / referenced in other, well recognised and accepted guidance / tools relevant to the water sector.</v>
      </c>
      <c r="F28" s="1087"/>
      <c r="G28" s="1087"/>
      <c r="H28" s="1087"/>
    </row>
    <row r="29" spans="1:8">
      <c r="B29" s="278" t="s">
        <v>173</v>
      </c>
      <c r="C29" s="278" t="s">
        <v>166</v>
      </c>
      <c r="D29" s="278">
        <f>VLOOKUP(C29,METHODOLOGY!$C$175:$D$177,2,FALSE)</f>
        <v>3</v>
      </c>
      <c r="E29" s="1087" t="str">
        <f>_xlfn.XLOOKUP(C29,METHODOLOGY!$E$150:$O$150,METHODOLOGY!$E$155:$O$155,"",0,1)</f>
        <v>Study has few limitations and is considered robust.</v>
      </c>
      <c r="F29" s="1087"/>
      <c r="G29" s="1087"/>
      <c r="H29" s="1087"/>
    </row>
    <row r="30" spans="1:8">
      <c r="B30" s="278" t="s">
        <v>177</v>
      </c>
      <c r="C30" s="278" t="s">
        <v>167</v>
      </c>
      <c r="D30" s="278">
        <f>VLOOKUP(C30,METHODOLOGY!$C$175:$D$177,2,FALSE)</f>
        <v>2</v>
      </c>
      <c r="E30" s="1087" t="str">
        <f>_xlfn.XLOOKUP(C30,METHODOLOGY!$E$150:$O$150,METHODOLOGY!$E$158:$O$158,"",0,1)</f>
        <v>6-10 years</v>
      </c>
      <c r="F30" s="1087"/>
      <c r="G30" s="1087"/>
      <c r="H30" s="1087"/>
    </row>
    <row r="31" spans="1:8">
      <c r="B31" s="278" t="s">
        <v>181</v>
      </c>
      <c r="C31" s="278" t="s">
        <v>166</v>
      </c>
      <c r="D31" s="278">
        <f>VLOOKUP(C31,METHODOLOGY!$C$175:$D$177,2,FALSE)</f>
        <v>3</v>
      </c>
      <c r="E31" s="1087" t="str">
        <f>_xlfn.XLOOKUP(C31,METHODOLOGY!$E$150:$O$150,METHODOLOGY!$E$160:$O$160,"",0,1)</f>
        <v>Geographically relevant to UK</v>
      </c>
      <c r="F31" s="1087"/>
      <c r="G31" s="1087"/>
      <c r="H31" s="1087"/>
    </row>
    <row r="32" spans="1:8">
      <c r="B32" s="278" t="s">
        <v>928</v>
      </c>
      <c r="C32" s="278" t="s">
        <v>166</v>
      </c>
      <c r="D32" s="278">
        <f>VLOOKUP(C32,METHODOLOGY!$C$175:$D$177,2,FALSE)</f>
        <v>3</v>
      </c>
      <c r="E32" s="1087" t="str">
        <f>_xlfn.XLOOKUP(C32,METHODOLOGY!$E$150:$O$150,METHODOLOGY!$E$162:$O$162,"",0,1)</f>
        <v>Clear understanding of the valuation method and how the value should be applied.</v>
      </c>
      <c r="F32" s="1087"/>
      <c r="G32" s="1087"/>
      <c r="H32" s="1087"/>
    </row>
    <row r="33" spans="1:12">
      <c r="B33" s="278" t="s">
        <v>189</v>
      </c>
      <c r="C33" s="278" t="s">
        <v>166</v>
      </c>
      <c r="D33" s="278">
        <f>VLOOKUP(C33,METHODOLOGY!$C$175:$D$177,2,FALSE)</f>
        <v>3</v>
      </c>
      <c r="E33" s="1087" t="str">
        <f>_xlfn.XLOOKUP(C33,METHODOLOGY!$E$150:$O$150,METHODOLOGY!$E$164:$O$164,"",0,1)</f>
        <v xml:space="preserve">The original valuation can be used with no or very simple modification e.g. change units from ha to km2, applying inflation. </v>
      </c>
      <c r="F33" s="1087"/>
      <c r="G33" s="1087"/>
      <c r="H33" s="1087"/>
    </row>
    <row r="34" spans="1:12">
      <c r="C34" s="282" t="s">
        <v>924</v>
      </c>
      <c r="D34" s="326">
        <f>IF(AND(D33=1,AVERAGE(D28:D33)&gt;2.14285714285714),2.14285714285714,IF(AND(D33=2,AVERAGE(D28:D33)&gt;2.57142857142857),2.57142857142857,AVERAGE(D28:D33)))</f>
        <v>2.8333333333333335</v>
      </c>
      <c r="E34" s="270" t="str">
        <f>IF(D34&lt;=2.14285714285714,"Red",IF(D34&lt;=2.57142857142857,"Amber",IF(D34&lt;=3,"Green")))</f>
        <v>Green</v>
      </c>
    </row>
    <row r="37" spans="1:12">
      <c r="A37" s="725"/>
      <c r="B37" s="726" t="s">
        <v>929</v>
      </c>
      <c r="C37" s="725"/>
      <c r="D37" s="725"/>
      <c r="E37" s="725"/>
      <c r="F37" s="725"/>
      <c r="G37" s="725"/>
      <c r="H37" s="725"/>
    </row>
    <row r="38" spans="1:12">
      <c r="B38" s="277" t="s">
        <v>913</v>
      </c>
      <c r="C38" s="277" t="s">
        <v>1089</v>
      </c>
      <c r="D38" s="277" t="s">
        <v>902</v>
      </c>
      <c r="E38" s="277" t="s">
        <v>331</v>
      </c>
      <c r="F38" s="277" t="s">
        <v>226</v>
      </c>
      <c r="G38" s="1157" t="s">
        <v>930</v>
      </c>
      <c r="H38" s="1157"/>
      <c r="I38" s="1157"/>
      <c r="J38" s="1157"/>
      <c r="K38" s="1157"/>
      <c r="L38" s="1157"/>
    </row>
    <row r="39" spans="1:12" ht="40.5" customHeight="1">
      <c r="B39" s="278">
        <v>84</v>
      </c>
      <c r="C39" s="278" t="s">
        <v>354</v>
      </c>
      <c r="D39" s="475" t="s">
        <v>634</v>
      </c>
      <c r="E39" s="520">
        <v>1.17</v>
      </c>
      <c r="F39" s="394" t="s">
        <v>294</v>
      </c>
      <c r="G39" s="1158" t="s">
        <v>3086</v>
      </c>
      <c r="H39" s="1095"/>
      <c r="I39" s="1095"/>
      <c r="J39" s="1095"/>
      <c r="K39" s="1095"/>
      <c r="L39" s="1095"/>
    </row>
    <row r="40" spans="1:12" ht="42" customHeight="1">
      <c r="B40" s="278">
        <v>84</v>
      </c>
      <c r="C40" s="278" t="s">
        <v>354</v>
      </c>
      <c r="D40" s="475" t="s">
        <v>635</v>
      </c>
      <c r="E40" s="520">
        <v>39.76</v>
      </c>
      <c r="F40" s="394" t="s">
        <v>294</v>
      </c>
      <c r="G40" s="1095" t="s">
        <v>3087</v>
      </c>
      <c r="H40" s="1095"/>
      <c r="I40" s="1095"/>
      <c r="J40" s="1095"/>
      <c r="K40" s="1095"/>
      <c r="L40" s="1095"/>
    </row>
    <row r="41" spans="1:12" ht="42.6" customHeight="1">
      <c r="B41" s="278">
        <v>84</v>
      </c>
      <c r="C41" s="278" t="s">
        <v>354</v>
      </c>
      <c r="D41" s="475" t="s">
        <v>636</v>
      </c>
      <c r="E41" s="520">
        <v>0.47</v>
      </c>
      <c r="F41" s="394" t="s">
        <v>294</v>
      </c>
      <c r="G41" s="1095" t="s">
        <v>3088</v>
      </c>
      <c r="H41" s="1095"/>
      <c r="I41" s="1095"/>
      <c r="J41" s="1095"/>
      <c r="K41" s="1095"/>
      <c r="L41" s="1095"/>
    </row>
    <row r="43" spans="1:12">
      <c r="A43" s="727"/>
      <c r="B43" s="728" t="s">
        <v>901</v>
      </c>
      <c r="C43" s="727"/>
      <c r="D43" s="727"/>
      <c r="E43" s="727"/>
      <c r="F43" s="727"/>
      <c r="G43" s="727"/>
      <c r="H43" s="727"/>
    </row>
    <row r="44" spans="1:12" ht="29.1">
      <c r="B44" s="719" t="s">
        <v>902</v>
      </c>
      <c r="C44" s="719" t="s">
        <v>898</v>
      </c>
      <c r="D44" s="719" t="s">
        <v>899</v>
      </c>
      <c r="E44" s="719" t="s">
        <v>903</v>
      </c>
      <c r="F44" s="719" t="s">
        <v>904</v>
      </c>
      <c r="G44" s="719" t="s">
        <v>905</v>
      </c>
      <c r="H44" s="752" t="s">
        <v>924</v>
      </c>
      <c r="I44" s="752" t="s">
        <v>956</v>
      </c>
      <c r="J44" s="752" t="s">
        <v>927</v>
      </c>
    </row>
    <row r="45" spans="1:12" ht="28.5" customHeight="1">
      <c r="B45" s="475" t="s">
        <v>634</v>
      </c>
      <c r="C45" s="278" t="s">
        <v>354</v>
      </c>
      <c r="D45" s="278" t="s">
        <v>3084</v>
      </c>
      <c r="E45" s="515" t="s">
        <v>3089</v>
      </c>
      <c r="F45" s="278" t="str" cm="1">
        <f t="array" ref="F45">_xlfn.XLOOKUP(1,(D51:D53=B45)*(E51:E53=C45),B51:B53,"Not found",0,1)</f>
        <v>33-1</v>
      </c>
      <c r="G45" s="311">
        <f>VLOOKUP(F45,B51:L54,11,FALSE)</f>
        <v>-1.317726347656756</v>
      </c>
      <c r="H45" s="1120">
        <f>$D$34</f>
        <v>2.8333333333333335</v>
      </c>
      <c r="I45" s="1149" t="s">
        <v>1583</v>
      </c>
      <c r="J45" s="1149" t="s">
        <v>3090</v>
      </c>
    </row>
    <row r="46" spans="1:12" ht="28.5" customHeight="1">
      <c r="B46" s="475" t="s">
        <v>635</v>
      </c>
      <c r="C46" s="278" t="s">
        <v>354</v>
      </c>
      <c r="D46" s="278" t="s">
        <v>3084</v>
      </c>
      <c r="E46" s="515" t="s">
        <v>3089</v>
      </c>
      <c r="F46" s="278" t="str" cm="1">
        <f t="array" ref="F46">_xlfn.XLOOKUP(1,(D52:D54=B46)*(E52:E54=C46),B52:B54,"Not found",0,1)</f>
        <v>33-2</v>
      </c>
      <c r="G46" s="311">
        <f>VLOOKUP(F46,B52:L54,11,FALSE)</f>
        <v>-45.462889076058175</v>
      </c>
      <c r="H46" s="1121"/>
      <c r="I46" s="1149"/>
      <c r="J46" s="1149"/>
    </row>
    <row r="47" spans="1:12" ht="28.5" customHeight="1">
      <c r="B47" s="475" t="s">
        <v>636</v>
      </c>
      <c r="C47" s="278" t="s">
        <v>354</v>
      </c>
      <c r="D47" s="278" t="s">
        <v>3084</v>
      </c>
      <c r="E47" s="515" t="s">
        <v>3089</v>
      </c>
      <c r="F47" s="278" t="str" cm="1">
        <f t="array" ref="F47">_xlfn.XLOOKUP(1,(D53:D54=B47)*(E53:E54=C47),B53:B54,"Not found",0,1)</f>
        <v>33-3</v>
      </c>
      <c r="G47" s="311">
        <f>VLOOKUP(F47,B53:L54,11,FALSE)</f>
        <v>-0.52934306273391052</v>
      </c>
      <c r="H47" s="1122"/>
      <c r="I47" s="1149"/>
      <c r="J47" s="1149"/>
    </row>
    <row r="48" spans="1:12">
      <c r="B48" s="18"/>
    </row>
    <row r="49" spans="1:23">
      <c r="A49" s="725"/>
      <c r="B49" s="726" t="s">
        <v>962</v>
      </c>
      <c r="C49" s="725"/>
      <c r="D49" s="725"/>
      <c r="E49" s="725"/>
      <c r="F49" s="725"/>
      <c r="G49" s="725"/>
      <c r="H49" s="725"/>
    </row>
    <row r="50" spans="1:23">
      <c r="B50" s="277" t="s">
        <v>904</v>
      </c>
      <c r="C50" s="277" t="s">
        <v>62</v>
      </c>
      <c r="D50" s="277" t="s">
        <v>902</v>
      </c>
      <c r="E50" s="277" t="s">
        <v>898</v>
      </c>
      <c r="F50" s="277" t="s">
        <v>916</v>
      </c>
      <c r="G50" s="277" t="s">
        <v>963</v>
      </c>
      <c r="H50" s="277" t="s">
        <v>964</v>
      </c>
      <c r="I50" s="277" t="s">
        <v>965</v>
      </c>
      <c r="J50" s="277" t="s">
        <v>966</v>
      </c>
      <c r="K50" s="277" t="s">
        <v>967</v>
      </c>
      <c r="L50" s="277" t="s">
        <v>968</v>
      </c>
      <c r="M50" s="277" t="s">
        <v>956</v>
      </c>
      <c r="N50" s="277" t="s">
        <v>969</v>
      </c>
      <c r="O50" s="277" t="s">
        <v>970</v>
      </c>
      <c r="P50" s="277" t="s">
        <v>927</v>
      </c>
      <c r="Q50" s="277" t="s">
        <v>913</v>
      </c>
      <c r="R50" s="277" t="s">
        <v>914</v>
      </c>
      <c r="S50" s="277" t="s">
        <v>915</v>
      </c>
      <c r="T50" s="277" t="s">
        <v>916</v>
      </c>
      <c r="U50" s="277" t="s">
        <v>917</v>
      </c>
      <c r="V50" s="277" t="s">
        <v>918</v>
      </c>
      <c r="W50" s="277" t="s">
        <v>919</v>
      </c>
    </row>
    <row r="51" spans="1:23">
      <c r="B51" s="302" t="s">
        <v>3091</v>
      </c>
      <c r="C51" s="279" t="s">
        <v>783</v>
      </c>
      <c r="D51" s="297" t="s">
        <v>634</v>
      </c>
      <c r="E51" s="278" t="s">
        <v>354</v>
      </c>
      <c r="F51" s="299">
        <f>$E$24</f>
        <v>2015</v>
      </c>
      <c r="G51" s="278">
        <v>2021</v>
      </c>
      <c r="H51" s="278">
        <f>'COMPANY INPUT'!$C$16</f>
        <v>2023</v>
      </c>
      <c r="I51" s="278">
        <f>VLOOKUP(G51,'GDP Deflators'!$H$13:$I$86,2,FALSE)</f>
        <v>88.789299999999997</v>
      </c>
      <c r="J51" s="278">
        <f>VLOOKUP(H51,'GDP Deflators'!$H$13:$I$86,2,FALSE)</f>
        <v>100</v>
      </c>
      <c r="K51" s="385">
        <f>-E39</f>
        <v>-1.17</v>
      </c>
      <c r="L51" s="746">
        <f>K51*(J51/I51)</f>
        <v>-1.317726347656756</v>
      </c>
      <c r="M51" s="278" t="str">
        <f>$I$45</f>
        <v>Damage costs</v>
      </c>
      <c r="N51" s="326">
        <f>$H$45</f>
        <v>2.8333333333333335</v>
      </c>
      <c r="O51" s="278" t="s">
        <v>718</v>
      </c>
      <c r="P51" s="278" t="str">
        <f>$J$45</f>
        <v>Based on pollutant specific benefits of pollutant removal in a UK context.</v>
      </c>
      <c r="Q51" s="299">
        <f t="shared" ref="Q51:W51" si="0">B24</f>
        <v>84</v>
      </c>
      <c r="R51" s="278" t="str">
        <f t="shared" si="0"/>
        <v>Gooday, RD. et al (2015) Farmscoper Extension Defra Project SCF0104</v>
      </c>
      <c r="S51" s="278" t="str">
        <f t="shared" si="0"/>
        <v>ENCA</v>
      </c>
      <c r="T51" s="278">
        <f t="shared" si="0"/>
        <v>2015</v>
      </c>
      <c r="U51" s="278" t="str">
        <f t="shared" si="0"/>
        <v>UK</v>
      </c>
      <c r="V51" s="278" t="str">
        <f t="shared" si="0"/>
        <v>UK</v>
      </c>
      <c r="W51" s="278">
        <f t="shared" si="0"/>
        <v>0</v>
      </c>
    </row>
    <row r="52" spans="1:23">
      <c r="B52" s="302" t="s">
        <v>3092</v>
      </c>
      <c r="C52" s="279" t="s">
        <v>783</v>
      </c>
      <c r="D52" s="297" t="s">
        <v>635</v>
      </c>
      <c r="E52" s="278" t="s">
        <v>354</v>
      </c>
      <c r="F52" s="299">
        <f t="shared" ref="F52:F53" si="1">$E$24</f>
        <v>2015</v>
      </c>
      <c r="G52" s="278">
        <v>2021</v>
      </c>
      <c r="H52" s="278">
        <v>2024</v>
      </c>
      <c r="I52" s="278">
        <f>VLOOKUP(G52,'GDP Deflators'!$H$13:$I$86,2,FALSE)</f>
        <v>88.789299999999997</v>
      </c>
      <c r="J52" s="278">
        <f>VLOOKUP(H52,'GDP Deflators'!$H$13:$I$86,2,FALSE)</f>
        <v>101.52460002617836</v>
      </c>
      <c r="K52" s="385">
        <f>-E40</f>
        <v>-39.76</v>
      </c>
      <c r="L52" s="746">
        <f>K52*(J52/I52)</f>
        <v>-45.462889076058175</v>
      </c>
      <c r="M52" s="278" t="str">
        <f>$I$45</f>
        <v>Damage costs</v>
      </c>
      <c r="N52" s="326">
        <f>$H$45</f>
        <v>2.8333333333333335</v>
      </c>
      <c r="O52" s="278" t="s">
        <v>718</v>
      </c>
      <c r="P52" s="278" t="str">
        <f>$J$45</f>
        <v>Based on pollutant specific benefits of pollutant removal in a UK context.</v>
      </c>
      <c r="Q52" s="299">
        <f t="shared" ref="Q52:W52" si="2">B24</f>
        <v>84</v>
      </c>
      <c r="R52" s="278" t="str">
        <f t="shared" si="2"/>
        <v>Gooday, RD. et al (2015) Farmscoper Extension Defra Project SCF0104</v>
      </c>
      <c r="S52" s="278" t="str">
        <f t="shared" si="2"/>
        <v>ENCA</v>
      </c>
      <c r="T52" s="278">
        <f t="shared" si="2"/>
        <v>2015</v>
      </c>
      <c r="U52" s="278" t="str">
        <f t="shared" si="2"/>
        <v>UK</v>
      </c>
      <c r="V52" s="278" t="str">
        <f t="shared" si="2"/>
        <v>UK</v>
      </c>
      <c r="W52" s="278">
        <f t="shared" si="2"/>
        <v>0</v>
      </c>
    </row>
    <row r="53" spans="1:23">
      <c r="B53" s="302" t="s">
        <v>3093</v>
      </c>
      <c r="C53" s="279" t="s">
        <v>783</v>
      </c>
      <c r="D53" s="297" t="s">
        <v>636</v>
      </c>
      <c r="E53" s="278" t="s">
        <v>354</v>
      </c>
      <c r="F53" s="299">
        <f t="shared" si="1"/>
        <v>2015</v>
      </c>
      <c r="G53" s="278">
        <v>2021</v>
      </c>
      <c r="H53" s="278">
        <f>'COMPANY INPUT'!$C$16</f>
        <v>2023</v>
      </c>
      <c r="I53" s="278">
        <f>VLOOKUP(G53,'GDP Deflators'!$H$13:$I$86,2,FALSE)</f>
        <v>88.789299999999997</v>
      </c>
      <c r="J53" s="278">
        <f>VLOOKUP(H53,'GDP Deflators'!$H$13:$I$86,2,FALSE)</f>
        <v>100</v>
      </c>
      <c r="K53" s="385">
        <f>-E41</f>
        <v>-0.47</v>
      </c>
      <c r="L53" s="746">
        <f>K53*(J53/I53)</f>
        <v>-0.52934306273391052</v>
      </c>
      <c r="M53" s="278" t="str">
        <f>$I$45</f>
        <v>Damage costs</v>
      </c>
      <c r="N53" s="326">
        <f>$H$45</f>
        <v>2.8333333333333335</v>
      </c>
      <c r="O53" s="278" t="s">
        <v>718</v>
      </c>
      <c r="P53" s="278" t="str">
        <f>$J$45</f>
        <v>Based on pollutant specific benefits of pollutant removal in a UK context.</v>
      </c>
      <c r="Q53" s="299">
        <f t="shared" ref="Q53:W53" si="3">B24</f>
        <v>84</v>
      </c>
      <c r="R53" s="278" t="str">
        <f t="shared" si="3"/>
        <v>Gooday, RD. et al (2015) Farmscoper Extension Defra Project SCF0104</v>
      </c>
      <c r="S53" s="278" t="str">
        <f t="shared" si="3"/>
        <v>ENCA</v>
      </c>
      <c r="T53" s="278">
        <f t="shared" si="3"/>
        <v>2015</v>
      </c>
      <c r="U53" s="278" t="str">
        <f t="shared" si="3"/>
        <v>UK</v>
      </c>
      <c r="V53" s="278" t="str">
        <f t="shared" si="3"/>
        <v>UK</v>
      </c>
      <c r="W53" s="278">
        <f t="shared" si="3"/>
        <v>0</v>
      </c>
    </row>
  </sheetData>
  <sheetProtection algorithmName="SHA-512" hashValue="n3GgQyPIvc8Kuf+FQ2XIcHDaqzohTffFWNGivlVZVNpLQfeIdJ2x23YRpxTamLQHJEIzyTknNEdGyMUmgoXc2g==" saltValue="/xeLxpKdrJ/MzMxZIS6tLA==" spinCount="100000" sheet="1" objects="1" scenarios="1"/>
  <dataConsolidate/>
  <mergeCells count="17">
    <mergeCell ref="E33:H33"/>
    <mergeCell ref="J45:J47"/>
    <mergeCell ref="I45:I47"/>
    <mergeCell ref="H45:H47"/>
    <mergeCell ref="B2:D2"/>
    <mergeCell ref="G41:L41"/>
    <mergeCell ref="D9:F9"/>
    <mergeCell ref="G38:L38"/>
    <mergeCell ref="G39:L39"/>
    <mergeCell ref="G40:L40"/>
    <mergeCell ref="B5:H5"/>
    <mergeCell ref="E27:H27"/>
    <mergeCell ref="E28:H28"/>
    <mergeCell ref="E29:H29"/>
    <mergeCell ref="E30:H30"/>
    <mergeCell ref="E31:H31"/>
    <mergeCell ref="E32:H32"/>
  </mergeCells>
  <phoneticPr fontId="16" type="noConversion"/>
  <conditionalFormatting sqref="D34:E34">
    <cfRule type="cellIs" dxfId="337" priority="5" operator="lessThanOrEqual">
      <formula>2.14285714285714</formula>
    </cfRule>
    <cfRule type="cellIs" dxfId="336" priority="6" operator="lessThanOrEqual">
      <formula>2.57142857142857</formula>
    </cfRule>
    <cfRule type="cellIs" dxfId="335" priority="7" operator="lessThanOrEqual">
      <formula>3</formula>
    </cfRule>
  </conditionalFormatting>
  <conditionalFormatting sqref="D11:F13">
    <cfRule type="notContainsBlanks" dxfId="334" priority="1">
      <formula>LEN(TRIM(D11))&gt;0</formula>
    </cfRule>
  </conditionalFormatting>
  <conditionalFormatting sqref="E34">
    <cfRule type="containsText" dxfId="333" priority="2" operator="containsText" text="Green">
      <formula>NOT(ISERROR(SEARCH("Green",E34)))</formula>
    </cfRule>
    <cfRule type="containsText" dxfId="332" priority="3" operator="containsText" text="Amber">
      <formula>NOT(ISERROR(SEARCH("Amber",E34)))</formula>
    </cfRule>
    <cfRule type="containsText" dxfId="331" priority="4" operator="containsText" text="Red">
      <formula>NOT(ISERROR(SEARCH("Red",E34)))</formula>
    </cfRule>
  </conditionalFormatting>
  <conditionalFormatting sqref="H45">
    <cfRule type="cellIs" dxfId="330" priority="11" operator="lessThanOrEqual">
      <formula>2.14285714285714</formula>
    </cfRule>
    <cfRule type="cellIs" dxfId="329" priority="12" operator="lessThanOrEqual">
      <formula>2.57142857142857</formula>
    </cfRule>
    <cfRule type="cellIs" dxfId="328" priority="13" operator="lessThanOrEqual">
      <formula>3</formula>
    </cfRule>
  </conditionalFormatting>
  <conditionalFormatting sqref="N51:N53">
    <cfRule type="cellIs" dxfId="327" priority="8" operator="lessThanOrEqual">
      <formula>2.14285714285714</formula>
    </cfRule>
    <cfRule type="cellIs" dxfId="326" priority="9" operator="lessThanOrEqual">
      <formula>2.57142857142857</formula>
    </cfRule>
    <cfRule type="cellIs" dxfId="325" priority="10" operator="lessThanOrEqual">
      <formula>3</formula>
    </cfRule>
  </conditionalFormatting>
  <dataValidations count="1">
    <dataValidation type="list" allowBlank="1" showInputMessage="1" showErrorMessage="1" sqref="C28:C33 C35 C54" xr:uid="{6AD93268-1344-42B1-8FFD-FCF493B6ADB3}">
      <formula1>"High, Medium, Low"</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661C-555F-4583-9993-BFCD486A411D}">
  <sheetPr codeName="Sheet40">
    <tabColor theme="5" tint="0.59999389629810485"/>
  </sheetPr>
  <dimension ref="A1:W154"/>
  <sheetViews>
    <sheetView workbookViewId="0"/>
  </sheetViews>
  <sheetFormatPr defaultColWidth="9" defaultRowHeight="14.45"/>
  <cols>
    <col min="1" max="1" width="3.5" style="7" customWidth="1"/>
    <col min="2" max="3" width="40.625" style="7" customWidth="1"/>
    <col min="4" max="13" width="15.625" style="7" customWidth="1"/>
    <col min="14" max="15" width="16.125" style="7" customWidth="1"/>
    <col min="16" max="16" width="21.5" style="7" customWidth="1"/>
    <col min="17" max="17" width="16.625" style="7" customWidth="1"/>
    <col min="18" max="18" width="18.5" style="7" customWidth="1"/>
    <col min="19" max="16384" width="9" style="7"/>
  </cols>
  <sheetData>
    <row r="1" spans="1:8" ht="15" thickBot="1"/>
    <row r="2" spans="1:8" s="732" customFormat="1" ht="18.95" thickBot="1">
      <c r="A2" s="730"/>
      <c r="B2" s="753" t="s">
        <v>421</v>
      </c>
      <c r="C2" s="733"/>
      <c r="D2" s="733"/>
    </row>
    <row r="3" spans="1:8">
      <c r="B3" s="100"/>
      <c r="C3" s="101"/>
      <c r="D3" s="101"/>
    </row>
    <row r="4" spans="1:8" s="734" customFormat="1" ht="18.600000000000001">
      <c r="A4" s="735"/>
      <c r="B4" s="713" t="s">
        <v>893</v>
      </c>
      <c r="C4" s="735"/>
      <c r="D4" s="735"/>
      <c r="E4" s="735"/>
      <c r="F4" s="735"/>
      <c r="G4" s="735"/>
      <c r="H4" s="735"/>
    </row>
    <row r="5" spans="1:8" ht="114" customHeight="1">
      <c r="A5" s="737"/>
      <c r="B5" s="1236" t="s">
        <v>3094</v>
      </c>
      <c r="C5" s="1236"/>
      <c r="D5" s="1236"/>
      <c r="E5" s="1236"/>
      <c r="F5" s="1236"/>
      <c r="G5" s="1236"/>
      <c r="H5" s="1236"/>
    </row>
    <row r="7" spans="1:8" s="754" customFormat="1" ht="18.600000000000001">
      <c r="A7" s="755"/>
      <c r="B7" s="755" t="s">
        <v>895</v>
      </c>
      <c r="C7" s="755"/>
      <c r="D7" s="755"/>
      <c r="E7" s="755"/>
      <c r="F7" s="755"/>
      <c r="G7" s="755"/>
      <c r="H7" s="755"/>
    </row>
    <row r="9" spans="1:8">
      <c r="D9" s="1452" t="s">
        <v>3095</v>
      </c>
      <c r="E9" s="1453"/>
    </row>
    <row r="10" spans="1:8" s="31" customFormat="1" ht="29.1">
      <c r="B10" s="400" t="s">
        <v>104</v>
      </c>
      <c r="C10" s="310" t="s">
        <v>711</v>
      </c>
      <c r="D10" s="719" t="s">
        <v>1359</v>
      </c>
      <c r="E10" s="719" t="s">
        <v>1379</v>
      </c>
    </row>
    <row r="11" spans="1:8" s="32" customFormat="1" ht="29.1">
      <c r="B11" s="357" t="s">
        <v>637</v>
      </c>
      <c r="C11" s="346" t="s">
        <v>422</v>
      </c>
      <c r="D11" s="793" cm="1">
        <f t="array" ref="D11">_xlfn.XLOOKUP(1,($B11=$B$106:$B$107)*(D$10=$C$106:$C$107),$G$106:$G$107,"Not found",0,1)</f>
        <v>-6533.1127607650569</v>
      </c>
      <c r="E11" s="793" cm="1">
        <f t="array" ref="E11">_xlfn.XLOOKUP(1,($B11=$B$149:$B$150)*(E$10=$C$149:$C$150),$G$149:$G$150,"Not found",0,1)</f>
        <v>-956.51321340438665</v>
      </c>
    </row>
    <row r="12" spans="1:8" s="32" customFormat="1" ht="29.1">
      <c r="B12" s="357" t="s">
        <v>3096</v>
      </c>
      <c r="C12" s="346" t="s">
        <v>639</v>
      </c>
      <c r="D12" s="793" cm="1">
        <f t="array" ref="D12">_xlfn.XLOOKUP(1,($B12=$B$106:$B$107)*(D$10=$C$106:$C$107),$G$106:$G$107,"Not found",0,1)</f>
        <v>-1064.4720000000016</v>
      </c>
      <c r="E12" s="793" t="str" cm="1">
        <f t="array" ref="E12">_xlfn.XLOOKUP(1,($B12=$B$149:$B$150)*(E$10=$C$149:$C$150),$G$149:$G$150,"Not found",0,1)</f>
        <v>LG(H)</v>
      </c>
    </row>
    <row r="13" spans="1:8">
      <c r="B13" s="800" t="s">
        <v>896</v>
      </c>
    </row>
    <row r="15" spans="1:8">
      <c r="A15" s="739"/>
      <c r="B15" s="740" t="s">
        <v>151</v>
      </c>
      <c r="C15" s="739"/>
      <c r="D15" s="739"/>
      <c r="E15" s="739"/>
      <c r="F15" s="739"/>
      <c r="G15" s="739"/>
      <c r="H15" s="739"/>
    </row>
    <row r="16" spans="1:8">
      <c r="A16" s="741"/>
      <c r="B16" s="742" t="s">
        <v>897</v>
      </c>
      <c r="C16" s="741"/>
      <c r="D16" s="741"/>
      <c r="E16" s="741"/>
      <c r="F16" s="741"/>
      <c r="G16" s="741"/>
      <c r="H16" s="741"/>
    </row>
    <row r="17" spans="1:8">
      <c r="B17" s="398" t="s">
        <v>898</v>
      </c>
      <c r="C17" s="398" t="s">
        <v>899</v>
      </c>
    </row>
    <row r="18" spans="1:8">
      <c r="B18" s="276" t="s">
        <v>151</v>
      </c>
      <c r="C18" s="276" t="s">
        <v>1901</v>
      </c>
    </row>
    <row r="19" spans="1:8">
      <c r="B19" s="29"/>
    </row>
    <row r="20" spans="1:8">
      <c r="A20" s="741"/>
      <c r="B20" s="743" t="s">
        <v>911</v>
      </c>
      <c r="C20" s="741"/>
      <c r="D20" s="741"/>
      <c r="E20" s="741"/>
      <c r="F20" s="741"/>
      <c r="G20" s="741"/>
      <c r="H20" s="741"/>
    </row>
    <row r="21" spans="1:8">
      <c r="A21" s="744"/>
      <c r="B21" s="745" t="s">
        <v>912</v>
      </c>
      <c r="C21" s="744"/>
      <c r="D21" s="744"/>
      <c r="E21" s="744"/>
      <c r="F21" s="744"/>
      <c r="G21" s="744"/>
      <c r="H21" s="744"/>
    </row>
    <row r="22" spans="1:8" ht="29.1">
      <c r="B22" s="719" t="s">
        <v>913</v>
      </c>
      <c r="C22" s="719" t="s">
        <v>914</v>
      </c>
      <c r="D22" s="719" t="s">
        <v>915</v>
      </c>
      <c r="E22" s="719" t="s">
        <v>916</v>
      </c>
      <c r="F22" s="719" t="s">
        <v>917</v>
      </c>
      <c r="G22" s="719" t="s">
        <v>918</v>
      </c>
      <c r="H22" s="719" t="s">
        <v>919</v>
      </c>
    </row>
    <row r="23" spans="1:8" s="2" customFormat="1" ht="29.1">
      <c r="B23" s="278">
        <v>11</v>
      </c>
      <c r="C23" s="375" t="s">
        <v>3097</v>
      </c>
      <c r="D23" s="278" t="s">
        <v>1261</v>
      </c>
      <c r="E23" s="278">
        <v>2007</v>
      </c>
      <c r="F23" s="278" t="s">
        <v>1047</v>
      </c>
      <c r="G23" s="278" t="s">
        <v>1047</v>
      </c>
      <c r="H23" s="278" t="s">
        <v>906</v>
      </c>
    </row>
    <row r="24" spans="1:8">
      <c r="B24" s="29"/>
    </row>
    <row r="25" spans="1:8">
      <c r="A25" s="744"/>
      <c r="B25" s="745" t="s">
        <v>924</v>
      </c>
      <c r="C25" s="744"/>
      <c r="D25" s="744"/>
      <c r="E25" s="744"/>
      <c r="F25" s="744"/>
      <c r="G25" s="744"/>
      <c r="H25" s="744"/>
    </row>
    <row r="26" spans="1:8">
      <c r="B26" s="398" t="s">
        <v>165</v>
      </c>
      <c r="C26" s="521" t="s">
        <v>995</v>
      </c>
      <c r="D26" s="522" t="s">
        <v>926</v>
      </c>
      <c r="E26" s="1139" t="s">
        <v>927</v>
      </c>
      <c r="F26" s="1139"/>
      <c r="G26" s="1139"/>
      <c r="H26" s="1139"/>
    </row>
    <row r="27" spans="1:8">
      <c r="B27" s="276" t="s">
        <v>169</v>
      </c>
      <c r="C27" s="346" t="s">
        <v>166</v>
      </c>
      <c r="D27" s="278">
        <f>VLOOKUP(C27,METHODOLOGY!$C$175:$D$177,2,FALSE)</f>
        <v>3</v>
      </c>
      <c r="E27" s="1087" t="str">
        <f>_xlfn.XLOOKUP(C27,METHODOLOGY!$E$150:$O$150,METHODOLOGY!$E$151:$O$151,"",0,1)</f>
        <v>Monetary values have been peer reviewed or are recommended / referenced in other, well recognised and accepted guidance / tools relevant to the water sector.</v>
      </c>
      <c r="F27" s="1087"/>
      <c r="G27" s="1087"/>
      <c r="H27" s="1087"/>
    </row>
    <row r="28" spans="1:8">
      <c r="B28" s="276" t="s">
        <v>173</v>
      </c>
      <c r="C28" s="346" t="s">
        <v>166</v>
      </c>
      <c r="D28" s="278">
        <f>VLOOKUP(C28,METHODOLOGY!$C$175:$D$177,2,FALSE)</f>
        <v>3</v>
      </c>
      <c r="E28" s="1087" t="str">
        <f>_xlfn.XLOOKUP(C28,METHODOLOGY!$E$150:$O$150,METHODOLOGY!$E$155:$O$155,"",0,1)</f>
        <v>Study has few limitations and is considered robust.</v>
      </c>
      <c r="F28" s="1087"/>
      <c r="G28" s="1087"/>
      <c r="H28" s="1087"/>
    </row>
    <row r="29" spans="1:8">
      <c r="B29" s="276" t="s">
        <v>177</v>
      </c>
      <c r="C29" s="346" t="s">
        <v>168</v>
      </c>
      <c r="D29" s="278">
        <f>VLOOKUP(C29,METHODOLOGY!$C$175:$D$177,2,FALSE)</f>
        <v>1</v>
      </c>
      <c r="E29" s="1087" t="str">
        <f>_xlfn.XLOOKUP(C29,METHODOLOGY!$E$150:$O$150,METHODOLOGY!$E$158:$O$158,"",0,1)</f>
        <v>&gt;10 years</v>
      </c>
      <c r="F29" s="1087"/>
      <c r="G29" s="1087"/>
      <c r="H29" s="1087"/>
    </row>
    <row r="30" spans="1:8">
      <c r="B30" s="276" t="s">
        <v>181</v>
      </c>
      <c r="C30" s="346" t="s">
        <v>166</v>
      </c>
      <c r="D30" s="278">
        <f>VLOOKUP(C30,METHODOLOGY!$C$175:$D$177,2,FALSE)</f>
        <v>3</v>
      </c>
      <c r="E30" s="1087" t="str">
        <f>_xlfn.XLOOKUP(C30,METHODOLOGY!$E$150:$O$150,METHODOLOGY!$E$160:$O$160,"",0,1)</f>
        <v>Geographically relevant to UK</v>
      </c>
      <c r="F30" s="1087"/>
      <c r="G30" s="1087"/>
      <c r="H30" s="1087"/>
    </row>
    <row r="31" spans="1:8">
      <c r="B31" s="276" t="s">
        <v>928</v>
      </c>
      <c r="C31" s="346" t="s">
        <v>167</v>
      </c>
      <c r="D31" s="278">
        <f>VLOOKUP(C31,METHODOLOGY!$C$175:$D$177,2,FALSE)</f>
        <v>2</v>
      </c>
      <c r="E31" s="1087" t="str">
        <f>_xlfn.XLOOKUP(C31,METHODOLOGY!$E$150:$O$150,METHODOLOGY!$E$162:$O$162,"",0,1)</f>
        <v>Meta-analysis or limited understanding of what the value represents.</v>
      </c>
      <c r="F31" s="1087"/>
      <c r="G31" s="1087"/>
      <c r="H31" s="1087"/>
    </row>
    <row r="32" spans="1:8">
      <c r="B32" s="276" t="s">
        <v>189</v>
      </c>
      <c r="C32" s="346" t="s">
        <v>168</v>
      </c>
      <c r="D32" s="278">
        <f>VLOOKUP(C32,METHODOLOGY!$C$175:$D$177,2,FALSE)</f>
        <v>1</v>
      </c>
      <c r="E32" s="1087" t="str">
        <f>_xlfn.XLOOKUP(C32,METHODOLOGY!$E$150:$O$150,METHODOLOGY!$E$164:$O$164,"",0,1)</f>
        <v xml:space="preserve">The original valuation can be used with significant modification e.g. several additional data inputs are required to use the original source. The calculation is complex or introduces significant uncertainty. </v>
      </c>
      <c r="F32" s="1087"/>
      <c r="G32" s="1087"/>
      <c r="H32" s="1087"/>
    </row>
    <row r="33" spans="1:16">
      <c r="C33" s="282" t="s">
        <v>924</v>
      </c>
      <c r="D33" s="326">
        <f>IF(AND(D32=1,AVERAGE(D27:D32)&gt;2.14285714285714),2.14285714285714,IF(AND(D32=2,AVERAGE(D27:D32)&gt;2.57142857142857),2.57142857142857,AVERAGE(D27:D32)))</f>
        <v>2.1428571428571401</v>
      </c>
      <c r="E33" s="270" t="str">
        <f>IF(D33&lt;=2.14285714285714,"Red",IF(D33&lt;=2.57142857142857,"Amber",IF(D33&lt;=3,"Green")))</f>
        <v>Red</v>
      </c>
    </row>
    <row r="35" spans="1:16">
      <c r="A35" s="744"/>
      <c r="B35" s="745" t="s">
        <v>929</v>
      </c>
      <c r="C35" s="744"/>
      <c r="D35" s="744"/>
      <c r="E35" s="744"/>
      <c r="F35" s="744"/>
      <c r="G35" s="744"/>
      <c r="H35" s="744"/>
    </row>
    <row r="36" spans="1:16">
      <c r="B36" s="398" t="s">
        <v>913</v>
      </c>
      <c r="C36" s="398" t="s">
        <v>902</v>
      </c>
      <c r="D36" s="398" t="s">
        <v>2945</v>
      </c>
      <c r="E36" s="398" t="s">
        <v>3098</v>
      </c>
      <c r="F36" s="398" t="s">
        <v>331</v>
      </c>
      <c r="G36" s="398" t="s">
        <v>226</v>
      </c>
      <c r="H36" s="398" t="s">
        <v>930</v>
      </c>
      <c r="J36" s="92"/>
      <c r="K36" s="92"/>
      <c r="L36" s="92"/>
      <c r="M36" s="92"/>
      <c r="N36" s="92"/>
      <c r="O36" s="92"/>
      <c r="P36" s="92"/>
    </row>
    <row r="37" spans="1:16" ht="14.25" customHeight="1">
      <c r="B37" s="1262">
        <v>11</v>
      </c>
      <c r="C37" s="1267" t="s">
        <v>637</v>
      </c>
      <c r="D37" s="102" t="s">
        <v>1394</v>
      </c>
      <c r="E37" s="338" t="s">
        <v>3099</v>
      </c>
      <c r="F37" s="523">
        <v>7.9200000000000007E-2</v>
      </c>
      <c r="G37" s="276" t="s">
        <v>3100</v>
      </c>
      <c r="H37" s="342" t="s">
        <v>3101</v>
      </c>
      <c r="K37" s="51"/>
      <c r="L37" s="51"/>
      <c r="M37" s="51"/>
      <c r="N37" s="51"/>
      <c r="O37" s="51"/>
      <c r="P37" s="51"/>
    </row>
    <row r="38" spans="1:16" ht="14.45" customHeight="1">
      <c r="B38" s="1263"/>
      <c r="C38" s="1268"/>
      <c r="D38" s="103"/>
      <c r="E38" s="338" t="s">
        <v>3102</v>
      </c>
      <c r="F38" s="523">
        <v>7.5399999999999995E-2</v>
      </c>
      <c r="G38" s="276" t="s">
        <v>3100</v>
      </c>
      <c r="H38" s="342" t="s">
        <v>3101</v>
      </c>
      <c r="K38" s="104"/>
      <c r="L38" s="104"/>
      <c r="M38" s="104"/>
      <c r="N38" s="104"/>
      <c r="O38" s="104"/>
      <c r="P38" s="104"/>
    </row>
    <row r="39" spans="1:16" ht="14.45" customHeight="1">
      <c r="B39" s="1263"/>
      <c r="C39" s="1268"/>
      <c r="D39" s="103"/>
      <c r="E39" s="338" t="s">
        <v>3103</v>
      </c>
      <c r="F39" s="523">
        <v>4.7E-2</v>
      </c>
      <c r="G39" s="276" t="s">
        <v>3100</v>
      </c>
      <c r="H39" s="342" t="s">
        <v>3101</v>
      </c>
      <c r="K39" s="104"/>
      <c r="L39" s="104"/>
      <c r="M39" s="104"/>
      <c r="N39" s="104"/>
      <c r="O39" s="104"/>
      <c r="P39" s="104"/>
    </row>
    <row r="40" spans="1:16" ht="14.45" customHeight="1">
      <c r="B40" s="1263"/>
      <c r="C40" s="1268"/>
      <c r="D40" s="105"/>
      <c r="E40" s="338" t="s">
        <v>3104</v>
      </c>
      <c r="F40" s="523">
        <v>0.03</v>
      </c>
      <c r="G40" s="276" t="s">
        <v>3100</v>
      </c>
      <c r="H40" s="342" t="s">
        <v>3101</v>
      </c>
      <c r="K40" s="104"/>
      <c r="L40" s="104"/>
      <c r="M40" s="104"/>
      <c r="N40" s="104"/>
      <c r="O40" s="104"/>
      <c r="P40" s="104"/>
    </row>
    <row r="41" spans="1:16" ht="14.25" customHeight="1">
      <c r="B41" s="1263"/>
      <c r="C41" s="1268"/>
      <c r="D41" s="102" t="s">
        <v>3105</v>
      </c>
      <c r="E41" s="338" t="s">
        <v>3099</v>
      </c>
      <c r="F41" s="523">
        <f>9.44/100</f>
        <v>9.4399999999999998E-2</v>
      </c>
      <c r="G41" s="276" t="s">
        <v>3100</v>
      </c>
      <c r="H41" s="342" t="s">
        <v>3101</v>
      </c>
      <c r="K41" s="104"/>
      <c r="L41" s="104"/>
      <c r="M41" s="104"/>
      <c r="N41" s="104"/>
      <c r="O41" s="104"/>
      <c r="P41" s="104"/>
    </row>
    <row r="42" spans="1:16" ht="14.25" customHeight="1">
      <c r="B42" s="1263"/>
      <c r="C42" s="1268"/>
      <c r="D42" s="103"/>
      <c r="E42" s="338" t="s">
        <v>3102</v>
      </c>
      <c r="F42" s="523">
        <f>2.93/100</f>
        <v>2.9300000000000003E-2</v>
      </c>
      <c r="G42" s="276" t="s">
        <v>3100</v>
      </c>
      <c r="H42" s="342" t="s">
        <v>3101</v>
      </c>
      <c r="K42" s="104"/>
      <c r="L42" s="104"/>
      <c r="M42" s="104"/>
      <c r="N42" s="104"/>
      <c r="O42" s="104"/>
      <c r="P42" s="104"/>
    </row>
    <row r="43" spans="1:16" ht="14.25" customHeight="1">
      <c r="B43" s="1263"/>
      <c r="C43" s="1268"/>
      <c r="D43" s="103"/>
      <c r="E43" s="338" t="s">
        <v>3103</v>
      </c>
      <c r="F43" s="523">
        <f>0.44/100</f>
        <v>4.4000000000000003E-3</v>
      </c>
      <c r="G43" s="276" t="s">
        <v>3100</v>
      </c>
      <c r="H43" s="342" t="s">
        <v>3101</v>
      </c>
      <c r="K43" s="104"/>
      <c r="L43" s="104"/>
      <c r="M43" s="104"/>
      <c r="N43" s="104"/>
      <c r="O43" s="104"/>
      <c r="P43" s="104"/>
    </row>
    <row r="44" spans="1:16" ht="14.25" customHeight="1">
      <c r="B44" s="1263"/>
      <c r="C44" s="1268"/>
      <c r="D44" s="105"/>
      <c r="E44" s="338" t="s">
        <v>3104</v>
      </c>
      <c r="F44" s="523">
        <f>3/100</f>
        <v>0.03</v>
      </c>
      <c r="G44" s="276" t="s">
        <v>3100</v>
      </c>
      <c r="H44" s="342" t="s">
        <v>3101</v>
      </c>
      <c r="K44" s="104"/>
      <c r="L44" s="104"/>
      <c r="M44" s="104"/>
      <c r="N44" s="104"/>
      <c r="O44" s="104"/>
      <c r="P44" s="104"/>
    </row>
    <row r="45" spans="1:16" ht="14.25" customHeight="1">
      <c r="B45" s="1263"/>
      <c r="C45" s="1268"/>
      <c r="D45" s="102" t="s">
        <v>1390</v>
      </c>
      <c r="E45" s="338" t="s">
        <v>3099</v>
      </c>
      <c r="F45" s="523">
        <f>9.62/100</f>
        <v>9.6199999999999994E-2</v>
      </c>
      <c r="G45" s="276" t="s">
        <v>3100</v>
      </c>
      <c r="H45" s="342" t="s">
        <v>3101</v>
      </c>
      <c r="K45" s="104"/>
      <c r="L45" s="104"/>
      <c r="M45" s="104"/>
      <c r="N45" s="104"/>
      <c r="O45" s="104"/>
      <c r="P45" s="104"/>
    </row>
    <row r="46" spans="1:16" ht="14.25" customHeight="1">
      <c r="B46" s="1263"/>
      <c r="C46" s="1268"/>
      <c r="D46" s="103"/>
      <c r="E46" s="338" t="s">
        <v>3102</v>
      </c>
      <c r="F46" s="523">
        <f>19.97/100</f>
        <v>0.19969999999999999</v>
      </c>
      <c r="G46" s="276" t="s">
        <v>3100</v>
      </c>
      <c r="H46" s="342" t="s">
        <v>3101</v>
      </c>
      <c r="K46" s="104"/>
      <c r="L46" s="104"/>
      <c r="M46" s="104"/>
      <c r="N46" s="104"/>
      <c r="O46" s="104"/>
      <c r="P46" s="104"/>
    </row>
    <row r="47" spans="1:16" ht="14.25" customHeight="1">
      <c r="B47" s="1263"/>
      <c r="C47" s="1268"/>
      <c r="D47" s="103"/>
      <c r="E47" s="338" t="s">
        <v>3103</v>
      </c>
      <c r="F47" s="523">
        <f>2.71/100</f>
        <v>2.7099999999999999E-2</v>
      </c>
      <c r="G47" s="276" t="s">
        <v>3100</v>
      </c>
      <c r="H47" s="342" t="s">
        <v>3101</v>
      </c>
      <c r="K47" s="104"/>
      <c r="L47" s="104"/>
      <c r="M47" s="104"/>
      <c r="N47" s="104"/>
      <c r="O47" s="104"/>
      <c r="P47" s="104"/>
    </row>
    <row r="48" spans="1:16" ht="14.25" customHeight="1">
      <c r="B48" s="1264"/>
      <c r="C48" s="1269"/>
      <c r="D48" s="105"/>
      <c r="E48" s="338" t="s">
        <v>3104</v>
      </c>
      <c r="F48" s="523">
        <f>15/100</f>
        <v>0.15</v>
      </c>
      <c r="G48" s="276" t="s">
        <v>3100</v>
      </c>
      <c r="H48" s="342" t="s">
        <v>3101</v>
      </c>
      <c r="K48" s="104"/>
      <c r="L48" s="104"/>
      <c r="M48" s="104"/>
      <c r="N48" s="104"/>
      <c r="O48" s="104"/>
      <c r="P48" s="104"/>
    </row>
    <row r="49" spans="2:16">
      <c r="B49" s="106"/>
      <c r="C49" s="106"/>
      <c r="D49" s="106"/>
      <c r="E49" s="32"/>
      <c r="F49" s="107"/>
      <c r="H49" s="31"/>
      <c r="J49" s="104"/>
      <c r="K49" s="104"/>
      <c r="L49" s="104"/>
      <c r="M49" s="104"/>
      <c r="N49" s="104"/>
      <c r="O49" s="104"/>
    </row>
    <row r="50" spans="2:16" ht="43.5">
      <c r="B50" s="777" t="s">
        <v>169</v>
      </c>
      <c r="C50" s="777" t="s">
        <v>913</v>
      </c>
      <c r="D50" s="777" t="s">
        <v>902</v>
      </c>
      <c r="E50" s="777" t="s">
        <v>2945</v>
      </c>
      <c r="F50" s="777" t="s">
        <v>3106</v>
      </c>
      <c r="G50" s="107"/>
      <c r="I50" s="31"/>
      <c r="K50" s="104"/>
      <c r="L50" s="104"/>
      <c r="M50" s="104"/>
      <c r="N50" s="104"/>
      <c r="O50" s="104"/>
      <c r="P50" s="104"/>
    </row>
    <row r="51" spans="2:16">
      <c r="B51" s="1307" t="s">
        <v>3107</v>
      </c>
      <c r="C51" s="1262">
        <v>12</v>
      </c>
      <c r="D51" s="1167" t="s">
        <v>637</v>
      </c>
      <c r="E51" s="338" t="s">
        <v>1394</v>
      </c>
      <c r="F51" s="524">
        <v>5739467</v>
      </c>
      <c r="G51" s="107"/>
      <c r="I51" s="31"/>
      <c r="K51" s="104"/>
      <c r="L51" s="104"/>
      <c r="M51" s="104"/>
      <c r="N51" s="104"/>
      <c r="O51" s="104"/>
      <c r="P51" s="104"/>
    </row>
    <row r="52" spans="2:16">
      <c r="B52" s="1307"/>
      <c r="C52" s="1263"/>
      <c r="D52" s="1168"/>
      <c r="E52" s="338" t="s">
        <v>3105</v>
      </c>
      <c r="F52" s="524">
        <v>15620350</v>
      </c>
      <c r="G52" s="107"/>
      <c r="I52" s="31"/>
      <c r="K52" s="104"/>
      <c r="L52" s="104"/>
      <c r="M52" s="104"/>
      <c r="N52" s="104"/>
      <c r="O52" s="104"/>
      <c r="P52" s="104"/>
    </row>
    <row r="53" spans="2:16">
      <c r="B53" s="1307"/>
      <c r="C53" s="1264"/>
      <c r="D53" s="1169"/>
      <c r="E53" s="338" t="s">
        <v>1390</v>
      </c>
      <c r="F53" s="524">
        <v>5753254</v>
      </c>
      <c r="G53" s="107"/>
      <c r="I53" s="31"/>
      <c r="K53" s="104"/>
      <c r="L53" s="104"/>
      <c r="M53" s="104"/>
      <c r="N53" s="104"/>
      <c r="O53" s="104"/>
      <c r="P53" s="104"/>
    </row>
    <row r="54" spans="2:16">
      <c r="B54" s="106"/>
      <c r="C54" s="106"/>
      <c r="D54" s="106"/>
      <c r="E54" s="32"/>
      <c r="F54" s="107"/>
      <c r="H54" s="31"/>
      <c r="J54" s="104"/>
      <c r="K54" s="104"/>
      <c r="L54" s="104"/>
      <c r="M54" s="104"/>
      <c r="N54" s="104"/>
      <c r="O54" s="104"/>
    </row>
    <row r="55" spans="2:16" ht="43.5">
      <c r="B55" s="777" t="s">
        <v>169</v>
      </c>
      <c r="C55" s="400" t="s">
        <v>913</v>
      </c>
      <c r="D55" s="400" t="s">
        <v>902</v>
      </c>
      <c r="E55" s="777" t="s">
        <v>2945</v>
      </c>
      <c r="F55" s="400" t="s">
        <v>3108</v>
      </c>
      <c r="G55" s="107"/>
      <c r="I55" s="31"/>
      <c r="K55" s="104"/>
      <c r="L55" s="104"/>
      <c r="M55" s="104"/>
      <c r="N55" s="104"/>
      <c r="O55" s="104"/>
      <c r="P55" s="104"/>
    </row>
    <row r="56" spans="2:16">
      <c r="B56" s="1307" t="s">
        <v>3109</v>
      </c>
      <c r="C56" s="1262">
        <v>13</v>
      </c>
      <c r="D56" s="1167" t="s">
        <v>637</v>
      </c>
      <c r="E56" s="338" t="s">
        <v>2947</v>
      </c>
      <c r="F56" s="524">
        <v>283334</v>
      </c>
      <c r="G56" s="107"/>
      <c r="I56" s="31"/>
      <c r="K56" s="104"/>
      <c r="L56" s="104"/>
      <c r="M56" s="104"/>
      <c r="N56" s="104"/>
      <c r="O56" s="104"/>
      <c r="P56" s="104"/>
    </row>
    <row r="57" spans="2:16">
      <c r="B57" s="1307"/>
      <c r="C57" s="1263"/>
      <c r="D57" s="1168"/>
      <c r="E57" s="338" t="s">
        <v>2948</v>
      </c>
      <c r="F57" s="524">
        <v>301918</v>
      </c>
      <c r="G57" s="107"/>
      <c r="I57" s="31"/>
      <c r="K57" s="104"/>
      <c r="L57" s="104"/>
      <c r="M57" s="104"/>
      <c r="N57" s="104"/>
      <c r="O57" s="104"/>
      <c r="P57" s="104"/>
    </row>
    <row r="58" spans="2:16">
      <c r="B58" s="1307"/>
      <c r="C58" s="1263"/>
      <c r="D58" s="1168"/>
      <c r="E58" s="338" t="s">
        <v>2949</v>
      </c>
      <c r="F58" s="524">
        <v>304975</v>
      </c>
      <c r="G58" s="107"/>
      <c r="I58" s="31"/>
      <c r="K58" s="104"/>
      <c r="L58" s="104"/>
      <c r="M58" s="104"/>
      <c r="N58" s="104"/>
      <c r="O58" s="104"/>
      <c r="P58" s="104"/>
    </row>
    <row r="59" spans="2:16">
      <c r="B59" s="1307"/>
      <c r="C59" s="1263"/>
      <c r="D59" s="1168"/>
      <c r="E59" s="338" t="s">
        <v>2950</v>
      </c>
      <c r="F59" s="524">
        <v>281000</v>
      </c>
      <c r="G59" s="107"/>
      <c r="I59" s="31"/>
      <c r="K59" s="104"/>
      <c r="L59" s="104"/>
      <c r="M59" s="104"/>
      <c r="N59" s="104"/>
      <c r="O59" s="104"/>
      <c r="P59" s="104"/>
    </row>
    <row r="60" spans="2:16">
      <c r="B60" s="1307"/>
      <c r="C60" s="1263"/>
      <c r="D60" s="1168"/>
      <c r="E60" s="338" t="s">
        <v>1390</v>
      </c>
      <c r="F60" s="524">
        <v>518000</v>
      </c>
      <c r="G60" s="107"/>
      <c r="I60" s="31"/>
      <c r="K60" s="104"/>
      <c r="L60" s="104"/>
      <c r="M60" s="104"/>
      <c r="N60" s="104"/>
      <c r="O60" s="104"/>
      <c r="P60" s="104"/>
    </row>
    <row r="61" spans="2:16">
      <c r="B61" s="1307"/>
      <c r="C61" s="1264"/>
      <c r="D61" s="1169"/>
      <c r="E61" s="338" t="s">
        <v>1899</v>
      </c>
      <c r="F61" s="524">
        <v>344000</v>
      </c>
      <c r="G61" s="107"/>
      <c r="I61" s="31"/>
      <c r="K61" s="104"/>
      <c r="L61" s="104"/>
      <c r="M61" s="104"/>
      <c r="N61" s="104"/>
      <c r="O61" s="104"/>
      <c r="P61" s="104"/>
    </row>
    <row r="62" spans="2:16">
      <c r="B62" s="106"/>
      <c r="C62" s="106"/>
      <c r="D62" s="106"/>
      <c r="E62" s="32"/>
      <c r="F62" s="108"/>
      <c r="G62" s="107"/>
      <c r="I62" s="31"/>
      <c r="K62" s="104"/>
      <c r="L62" s="104"/>
      <c r="M62" s="104"/>
      <c r="N62" s="104"/>
      <c r="O62" s="104"/>
      <c r="P62" s="104"/>
    </row>
    <row r="63" spans="2:16">
      <c r="B63" s="308" t="s">
        <v>169</v>
      </c>
      <c r="C63" s="308" t="s">
        <v>913</v>
      </c>
      <c r="D63" s="398" t="s">
        <v>902</v>
      </c>
      <c r="E63" s="313" t="s">
        <v>2945</v>
      </c>
      <c r="F63" s="525" t="s">
        <v>3110</v>
      </c>
      <c r="G63" s="525" t="s">
        <v>1420</v>
      </c>
      <c r="I63" s="31"/>
      <c r="K63" s="104"/>
      <c r="L63" s="104"/>
      <c r="M63" s="104"/>
      <c r="N63" s="104"/>
      <c r="O63" s="104"/>
      <c r="P63" s="104"/>
    </row>
    <row r="64" spans="2:16">
      <c r="B64" s="346" t="s">
        <v>3111</v>
      </c>
      <c r="C64" s="346">
        <v>23</v>
      </c>
      <c r="D64" s="346" t="s">
        <v>3096</v>
      </c>
      <c r="E64" s="338" t="s">
        <v>3112</v>
      </c>
      <c r="F64" s="524">
        <v>104.36</v>
      </c>
      <c r="G64" s="524" t="s">
        <v>3113</v>
      </c>
      <c r="I64" s="31"/>
      <c r="K64" s="104"/>
      <c r="L64" s="104"/>
      <c r="M64" s="104"/>
      <c r="N64" s="104"/>
      <c r="O64" s="104"/>
      <c r="P64" s="104"/>
    </row>
    <row r="65" spans="1:16">
      <c r="B65" s="106"/>
      <c r="C65" s="106"/>
      <c r="D65" s="106"/>
      <c r="E65" s="32"/>
      <c r="F65" s="108"/>
      <c r="G65" s="107"/>
      <c r="I65" s="31"/>
      <c r="K65" s="104"/>
      <c r="L65" s="104"/>
      <c r="M65" s="104"/>
      <c r="N65" s="104"/>
      <c r="O65" s="104"/>
      <c r="P65" s="104"/>
    </row>
    <row r="66" spans="1:16">
      <c r="B66" s="308" t="s">
        <v>169</v>
      </c>
      <c r="C66" s="308" t="s">
        <v>913</v>
      </c>
      <c r="D66" s="398" t="s">
        <v>902</v>
      </c>
      <c r="E66" s="313" t="s">
        <v>2945</v>
      </c>
      <c r="F66" s="525" t="s">
        <v>3114</v>
      </c>
      <c r="G66" s="525" t="s">
        <v>1420</v>
      </c>
      <c r="I66" s="31"/>
      <c r="K66" s="104"/>
      <c r="L66" s="104"/>
      <c r="M66" s="104"/>
      <c r="N66" s="104"/>
      <c r="O66" s="104"/>
      <c r="P66" s="104"/>
    </row>
    <row r="67" spans="1:16">
      <c r="B67" s="346" t="s">
        <v>3115</v>
      </c>
      <c r="C67" s="346">
        <v>23</v>
      </c>
      <c r="D67" s="346" t="s">
        <v>3096</v>
      </c>
      <c r="E67" s="338" t="s">
        <v>1532</v>
      </c>
      <c r="F67" s="524">
        <v>340</v>
      </c>
      <c r="G67" s="524" t="s">
        <v>3116</v>
      </c>
      <c r="I67" s="31"/>
      <c r="K67" s="104"/>
      <c r="L67" s="104"/>
      <c r="M67" s="104"/>
      <c r="N67" s="104"/>
      <c r="O67" s="104"/>
      <c r="P67" s="104"/>
    </row>
    <row r="68" spans="1:16">
      <c r="B68" s="32"/>
      <c r="C68" s="31"/>
      <c r="E68" s="109"/>
      <c r="F68" s="109"/>
      <c r="G68" s="109"/>
      <c r="H68" s="109"/>
      <c r="I68" s="109"/>
      <c r="J68" s="109"/>
    </row>
    <row r="69" spans="1:16">
      <c r="A69" s="744"/>
      <c r="B69" s="745" t="s">
        <v>936</v>
      </c>
      <c r="C69" s="744"/>
      <c r="D69" s="744"/>
      <c r="E69" s="744"/>
      <c r="F69" s="744"/>
      <c r="G69" s="744"/>
      <c r="H69" s="744"/>
    </row>
    <row r="70" spans="1:16">
      <c r="B70" s="7" t="s">
        <v>3117</v>
      </c>
    </row>
    <row r="71" spans="1:16">
      <c r="B71" s="526" t="s">
        <v>3118</v>
      </c>
      <c r="C71" s="526" t="s">
        <v>3119</v>
      </c>
    </row>
    <row r="72" spans="1:16">
      <c r="B72" s="276" t="str">
        <f>E56</f>
        <v>Flat or maisonette in converted house</v>
      </c>
      <c r="C72" s="345">
        <f>F56</f>
        <v>283334</v>
      </c>
    </row>
    <row r="73" spans="1:16" ht="15" thickBot="1">
      <c r="B73" s="52" t="str">
        <f>E57</f>
        <v>Purpose built flat or maisonette</v>
      </c>
      <c r="C73" s="110">
        <f>F57</f>
        <v>301918</v>
      </c>
    </row>
    <row r="74" spans="1:16" ht="15" thickBot="1">
      <c r="B74" s="111" t="str">
        <f>B84</f>
        <v>Flat</v>
      </c>
      <c r="C74" s="112">
        <f>(C72+C73)/2</f>
        <v>292626</v>
      </c>
    </row>
    <row r="75" spans="1:16">
      <c r="B75" s="29"/>
    </row>
    <row r="76" spans="1:16">
      <c r="B76" s="7" t="s">
        <v>3120</v>
      </c>
    </row>
    <row r="77" spans="1:16">
      <c r="B77" s="526" t="s">
        <v>3118</v>
      </c>
      <c r="C77" s="526" t="s">
        <v>3119</v>
      </c>
    </row>
    <row r="78" spans="1:16">
      <c r="B78" s="276" t="str">
        <f>E59</f>
        <v>Terraced</v>
      </c>
      <c r="C78" s="345">
        <f>F59</f>
        <v>281000</v>
      </c>
    </row>
    <row r="79" spans="1:16" ht="15" thickBot="1">
      <c r="B79" s="52" t="str">
        <f>E58</f>
        <v>Semi Detached</v>
      </c>
      <c r="C79" s="110">
        <f>F58</f>
        <v>304975</v>
      </c>
    </row>
    <row r="80" spans="1:16" ht="15" thickBot="1">
      <c r="B80" s="111" t="s">
        <v>3121</v>
      </c>
      <c r="C80" s="113">
        <f>(C78+C79)/2</f>
        <v>292987.5</v>
      </c>
    </row>
    <row r="81" spans="2:10">
      <c r="B81" s="29"/>
    </row>
    <row r="82" spans="2:10">
      <c r="B82" s="7" t="s">
        <v>3122</v>
      </c>
    </row>
    <row r="83" spans="2:10" ht="29.1">
      <c r="B83" s="400" t="s">
        <v>3118</v>
      </c>
      <c r="C83" s="400" t="s">
        <v>3123</v>
      </c>
      <c r="D83" s="400" t="s">
        <v>3124</v>
      </c>
      <c r="E83" s="400" t="s">
        <v>3125</v>
      </c>
      <c r="F83" s="400" t="s">
        <v>3126</v>
      </c>
      <c r="G83" s="400" t="s">
        <v>3127</v>
      </c>
      <c r="H83" s="400" t="s">
        <v>3128</v>
      </c>
      <c r="I83" s="400" t="s">
        <v>3129</v>
      </c>
    </row>
    <row r="84" spans="2:10">
      <c r="B84" s="334" t="s">
        <v>1394</v>
      </c>
      <c r="C84" s="457">
        <v>5753254</v>
      </c>
      <c r="D84" s="457">
        <f>C74</f>
        <v>292626</v>
      </c>
      <c r="E84" s="527">
        <f>F39</f>
        <v>4.7E-2</v>
      </c>
      <c r="F84" s="402">
        <f>D84*(1+E84)</f>
        <v>306379.42199999996</v>
      </c>
      <c r="G84" s="528">
        <f>E84*C84</f>
        <v>270402.93800000002</v>
      </c>
      <c r="H84" s="402">
        <f>F84-D84</f>
        <v>13753.421999999962</v>
      </c>
      <c r="I84" s="406">
        <f>H84*(C84/$C$87)</f>
        <v>2918.4053010884595</v>
      </c>
    </row>
    <row r="85" spans="2:10">
      <c r="B85" s="334" t="s">
        <v>3121</v>
      </c>
      <c r="C85" s="457">
        <v>15620350</v>
      </c>
      <c r="D85" s="457">
        <f>C80</f>
        <v>292987.5</v>
      </c>
      <c r="E85" s="527">
        <f>F43</f>
        <v>4.4000000000000003E-3</v>
      </c>
      <c r="F85" s="402">
        <f>D85*(1+E85)</f>
        <v>294276.64499999996</v>
      </c>
      <c r="G85" s="528">
        <f>E85*C85</f>
        <v>68729.540000000008</v>
      </c>
      <c r="H85" s="402">
        <f>F85-D85</f>
        <v>1289.1449999999604</v>
      </c>
      <c r="I85" s="406">
        <f>H85*(C85/$C$87)</f>
        <v>742.70067380966839</v>
      </c>
    </row>
    <row r="86" spans="2:10" ht="15" thickBot="1">
      <c r="B86" s="37" t="s">
        <v>1390</v>
      </c>
      <c r="C86" s="114">
        <v>5739467</v>
      </c>
      <c r="D86" s="115">
        <f>F60</f>
        <v>518000</v>
      </c>
      <c r="E86" s="116">
        <f>F47</f>
        <v>2.7099999999999999E-2</v>
      </c>
      <c r="F86" s="117">
        <f>D86*(1+E86)</f>
        <v>532037.79999999993</v>
      </c>
      <c r="G86" s="118">
        <f>E86*C86</f>
        <v>155539.5557</v>
      </c>
      <c r="H86" s="117">
        <f>F86-D86</f>
        <v>14037.79999999993</v>
      </c>
      <c r="I86" s="406">
        <f>H86*(C86/$C$87)</f>
        <v>2971.6106247278149</v>
      </c>
    </row>
    <row r="87" spans="2:10" ht="15" thickBot="1">
      <c r="B87" s="119" t="s">
        <v>3130</v>
      </c>
      <c r="C87" s="120">
        <v>27113071</v>
      </c>
      <c r="D87" s="121"/>
      <c r="E87" s="122"/>
      <c r="F87" s="122"/>
      <c r="G87" s="122"/>
      <c r="H87" s="123"/>
      <c r="I87" s="794">
        <f>SUM(I84:I86)</f>
        <v>6632.7165996259428</v>
      </c>
    </row>
    <row r="88" spans="2:10">
      <c r="B88" s="7" t="s">
        <v>3131</v>
      </c>
    </row>
    <row r="89" spans="2:10">
      <c r="B89" s="3" t="s">
        <v>3132</v>
      </c>
    </row>
    <row r="90" spans="2:10">
      <c r="B90" s="32"/>
      <c r="C90" s="31"/>
      <c r="E90" s="109"/>
      <c r="F90" s="109"/>
      <c r="G90" s="109"/>
      <c r="H90" s="109"/>
      <c r="I90" s="109"/>
      <c r="J90" s="109"/>
    </row>
    <row r="91" spans="2:10">
      <c r="B91" s="32" t="s">
        <v>3133</v>
      </c>
      <c r="C91" s="31"/>
      <c r="E91" s="109"/>
      <c r="F91" s="109"/>
      <c r="G91" s="109"/>
      <c r="H91" s="109"/>
      <c r="I91" s="109"/>
      <c r="J91" s="109"/>
    </row>
    <row r="92" spans="2:10">
      <c r="B92" s="525" t="s">
        <v>1464</v>
      </c>
      <c r="C92" s="525" t="s">
        <v>331</v>
      </c>
      <c r="E92" s="109"/>
      <c r="F92" s="109"/>
      <c r="G92" s="109"/>
      <c r="H92" s="109"/>
      <c r="I92" s="109"/>
      <c r="J92" s="109"/>
    </row>
    <row r="93" spans="2:10" ht="29.1">
      <c r="B93" s="529" t="str">
        <f>F63</f>
        <v>Mean rateable value per m2 floor space (£/m2 2023)</v>
      </c>
      <c r="C93" s="530">
        <f>F64</f>
        <v>104.36</v>
      </c>
      <c r="E93" s="109"/>
      <c r="F93" s="109"/>
      <c r="G93" s="109"/>
      <c r="H93" s="109"/>
      <c r="I93" s="109"/>
      <c r="J93" s="109"/>
    </row>
    <row r="94" spans="2:10">
      <c r="B94" s="338" t="s">
        <v>3134</v>
      </c>
      <c r="C94" s="529">
        <f>F67</f>
        <v>340</v>
      </c>
      <c r="E94" s="109"/>
      <c r="F94" s="109"/>
      <c r="G94" s="109"/>
      <c r="H94" s="109"/>
      <c r="I94" s="109"/>
      <c r="J94" s="109"/>
    </row>
    <row r="95" spans="2:10">
      <c r="B95" s="338" t="s">
        <v>3135</v>
      </c>
      <c r="C95" s="530">
        <f>C93*C94</f>
        <v>35482.400000000001</v>
      </c>
      <c r="E95" s="109"/>
      <c r="F95" s="109"/>
      <c r="G95" s="109"/>
      <c r="H95" s="109"/>
      <c r="I95" s="109"/>
      <c r="J95" s="109"/>
    </row>
    <row r="96" spans="2:10">
      <c r="B96" s="32"/>
      <c r="C96" s="31"/>
      <c r="E96" s="109"/>
      <c r="F96" s="109"/>
      <c r="G96" s="109"/>
      <c r="H96" s="109"/>
      <c r="I96" s="109"/>
      <c r="J96" s="109"/>
    </row>
    <row r="97" spans="1:23">
      <c r="B97" s="7" t="s">
        <v>3136</v>
      </c>
    </row>
    <row r="98" spans="1:23">
      <c r="B98" s="525" t="s">
        <v>1464</v>
      </c>
      <c r="C98" s="525" t="s">
        <v>331</v>
      </c>
    </row>
    <row r="99" spans="1:23">
      <c r="B99" s="524" t="s">
        <v>3137</v>
      </c>
      <c r="C99" s="531">
        <v>0.03</v>
      </c>
      <c r="F99" s="8"/>
    </row>
    <row r="100" spans="1:23">
      <c r="B100" s="338" t="s">
        <v>3138</v>
      </c>
      <c r="C100" s="530">
        <f>C95</f>
        <v>35482.400000000001</v>
      </c>
    </row>
    <row r="101" spans="1:23">
      <c r="B101" s="338" t="s">
        <v>3139</v>
      </c>
      <c r="C101" s="795">
        <f>(C100*(1+C99))-C100</f>
        <v>1064.4720000000016</v>
      </c>
    </row>
    <row r="102" spans="1:23">
      <c r="B102" s="7" t="s">
        <v>3131</v>
      </c>
    </row>
    <row r="104" spans="1:23">
      <c r="A104" s="741"/>
      <c r="B104" s="743" t="s">
        <v>901</v>
      </c>
      <c r="C104" s="741"/>
      <c r="D104" s="741"/>
      <c r="E104" s="741"/>
      <c r="F104" s="741"/>
      <c r="G104" s="741"/>
      <c r="H104" s="741"/>
    </row>
    <row r="105" spans="1:23" ht="29.1">
      <c r="B105" s="719" t="s">
        <v>902</v>
      </c>
      <c r="C105" s="719" t="s">
        <v>898</v>
      </c>
      <c r="D105" s="719" t="s">
        <v>899</v>
      </c>
      <c r="E105" s="719" t="s">
        <v>903</v>
      </c>
      <c r="F105" s="719" t="s">
        <v>904</v>
      </c>
      <c r="G105" s="719" t="s">
        <v>905</v>
      </c>
      <c r="H105" s="719" t="s">
        <v>924</v>
      </c>
      <c r="I105" s="719" t="s">
        <v>956</v>
      </c>
      <c r="J105" s="719" t="s">
        <v>927</v>
      </c>
    </row>
    <row r="106" spans="1:23">
      <c r="B106" s="276" t="s">
        <v>637</v>
      </c>
      <c r="C106" s="276" t="s">
        <v>151</v>
      </c>
      <c r="D106" s="373" t="s">
        <v>1901</v>
      </c>
      <c r="E106" s="373" t="s">
        <v>957</v>
      </c>
      <c r="F106" s="276" t="str" cm="1">
        <f t="array" ref="F106">_xlfn.XLOOKUP(1,(D111:D112=B106)*(E111:E112=C106),B111:B112,"Not found",0,1)</f>
        <v>34-1</v>
      </c>
      <c r="G106" s="343">
        <f>VLOOKUP(F106,B110:L112,11,FALSE)</f>
        <v>-6533.1127607650569</v>
      </c>
      <c r="H106" s="1120">
        <f>$D$33</f>
        <v>2.1428571428571401</v>
      </c>
      <c r="I106" s="1167" t="s">
        <v>1806</v>
      </c>
      <c r="J106" s="1167" t="s">
        <v>2136</v>
      </c>
    </row>
    <row r="107" spans="1:23">
      <c r="B107" s="276" t="s">
        <v>3096</v>
      </c>
      <c r="C107" s="276" t="s">
        <v>151</v>
      </c>
      <c r="D107" s="373" t="s">
        <v>1901</v>
      </c>
      <c r="E107" s="373" t="s">
        <v>957</v>
      </c>
      <c r="F107" s="276" t="str" cm="1">
        <f t="array" ref="F107">_xlfn.XLOOKUP(1,(D111:D112=B107)*(E111:E112=C107),B111:B112,"Not found",0,1)</f>
        <v>34-2</v>
      </c>
      <c r="G107" s="343">
        <f>VLOOKUP(F107,B111:L113,11,FALSE)</f>
        <v>-1064.4720000000016</v>
      </c>
      <c r="H107" s="1122"/>
      <c r="I107" s="1169"/>
      <c r="J107" s="1169"/>
    </row>
    <row r="108" spans="1:23">
      <c r="B108" s="30"/>
    </row>
    <row r="109" spans="1:23">
      <c r="A109" s="744"/>
      <c r="B109" s="745" t="s">
        <v>962</v>
      </c>
      <c r="C109" s="744"/>
      <c r="D109" s="744"/>
      <c r="E109" s="744"/>
      <c r="F109" s="744"/>
      <c r="G109" s="744"/>
      <c r="H109" s="744"/>
    </row>
    <row r="110" spans="1:23">
      <c r="B110" s="398" t="s">
        <v>904</v>
      </c>
      <c r="C110" s="398" t="s">
        <v>62</v>
      </c>
      <c r="D110" s="398" t="s">
        <v>902</v>
      </c>
      <c r="E110" s="398" t="s">
        <v>898</v>
      </c>
      <c r="F110" s="398" t="s">
        <v>916</v>
      </c>
      <c r="G110" s="398" t="s">
        <v>963</v>
      </c>
      <c r="H110" s="398" t="s">
        <v>964</v>
      </c>
      <c r="I110" s="398" t="s">
        <v>965</v>
      </c>
      <c r="J110" s="398" t="s">
        <v>966</v>
      </c>
      <c r="K110" s="398" t="s">
        <v>967</v>
      </c>
      <c r="L110" s="398" t="s">
        <v>968</v>
      </c>
      <c r="M110" s="398" t="s">
        <v>956</v>
      </c>
      <c r="N110" s="398" t="s">
        <v>969</v>
      </c>
      <c r="O110" s="398" t="s">
        <v>970</v>
      </c>
      <c r="P110" s="398" t="s">
        <v>927</v>
      </c>
      <c r="Q110" s="398" t="s">
        <v>913</v>
      </c>
      <c r="R110" s="398" t="s">
        <v>914</v>
      </c>
      <c r="S110" s="398" t="s">
        <v>915</v>
      </c>
      <c r="T110" s="398" t="s">
        <v>916</v>
      </c>
      <c r="U110" s="398" t="s">
        <v>917</v>
      </c>
      <c r="V110" s="398" t="s">
        <v>918</v>
      </c>
      <c r="W110" s="398" t="s">
        <v>919</v>
      </c>
    </row>
    <row r="111" spans="1:23">
      <c r="B111" s="372" t="s">
        <v>3140</v>
      </c>
      <c r="C111" s="276" t="s">
        <v>421</v>
      </c>
      <c r="D111" s="276" t="s">
        <v>637</v>
      </c>
      <c r="E111" s="276" t="s">
        <v>151</v>
      </c>
      <c r="F111" s="373">
        <v>2024</v>
      </c>
      <c r="G111" s="276">
        <v>2024</v>
      </c>
      <c r="H111" s="276">
        <f>'COMPANY INPUT'!$C$16</f>
        <v>2023</v>
      </c>
      <c r="I111" s="276">
        <f>VLOOKUP(G111,'GDP Deflators'!$H$13:$I$86,2,FALSE)</f>
        <v>101.52460002617836</v>
      </c>
      <c r="J111" s="276">
        <f>VLOOKUP(H111,'GDP Deflators'!$H$13:$I$86,2,FALSE)</f>
        <v>100</v>
      </c>
      <c r="K111" s="406">
        <f>-I87</f>
        <v>-6632.7165996259428</v>
      </c>
      <c r="L111" s="747">
        <f>K111*(J111/I111)</f>
        <v>-6533.1127607650569</v>
      </c>
      <c r="M111" s="276" t="str">
        <f>$I$106</f>
        <v>Market value</v>
      </c>
      <c r="N111" s="326">
        <f>$H$106</f>
        <v>2.1428571428571401</v>
      </c>
      <c r="O111" s="276" t="s">
        <v>718</v>
      </c>
      <c r="P111" s="276" t="str">
        <f>$J$106</f>
        <v>Only suitable source identified</v>
      </c>
      <c r="Q111" s="532" t="s">
        <v>3141</v>
      </c>
      <c r="R111" s="276" t="str">
        <f t="shared" ref="R111:W111" si="0">C23</f>
        <v>RICS 2007 - Urban Parks, Open Space and Residential Property Values</v>
      </c>
      <c r="S111" s="276" t="str">
        <f t="shared" si="0"/>
        <v>B£ST</v>
      </c>
      <c r="T111" s="276">
        <f t="shared" si="0"/>
        <v>2007</v>
      </c>
      <c r="U111" s="276" t="str">
        <f t="shared" si="0"/>
        <v>UK</v>
      </c>
      <c r="V111" s="276" t="str">
        <f t="shared" si="0"/>
        <v>UK</v>
      </c>
      <c r="W111" s="276" t="str">
        <f t="shared" si="0"/>
        <v>N/A</v>
      </c>
    </row>
    <row r="112" spans="1:23">
      <c r="B112" s="372" t="s">
        <v>3142</v>
      </c>
      <c r="C112" s="276" t="s">
        <v>421</v>
      </c>
      <c r="D112" s="276" t="s">
        <v>3096</v>
      </c>
      <c r="E112" s="276" t="s">
        <v>151</v>
      </c>
      <c r="F112" s="373">
        <v>2023</v>
      </c>
      <c r="G112" s="276">
        <v>2023</v>
      </c>
      <c r="H112" s="276">
        <f>'COMPANY INPUT'!$C$16</f>
        <v>2023</v>
      </c>
      <c r="I112" s="276">
        <f>VLOOKUP(G112,'GDP Deflators'!$H$13:$I$86,2,FALSE)</f>
        <v>100</v>
      </c>
      <c r="J112" s="276">
        <f>VLOOKUP(H112,'GDP Deflators'!$H$13:$I$86,2,FALSE)</f>
        <v>100</v>
      </c>
      <c r="K112" s="406">
        <f>-C101</f>
        <v>-1064.4720000000016</v>
      </c>
      <c r="L112" s="747">
        <f>K112*(J112/I112)</f>
        <v>-1064.4720000000016</v>
      </c>
      <c r="M112" s="276" t="str">
        <f>$I$106</f>
        <v>Market value</v>
      </c>
      <c r="N112" s="326">
        <f>$H$106</f>
        <v>2.1428571428571401</v>
      </c>
      <c r="O112" s="276" t="s">
        <v>718</v>
      </c>
      <c r="P112" s="276" t="str">
        <f>$J$106</f>
        <v>Only suitable source identified</v>
      </c>
      <c r="Q112" s="533" t="s">
        <v>3143</v>
      </c>
      <c r="R112" s="276" t="str">
        <f t="shared" ref="R112:W112" si="1">C23</f>
        <v>RICS 2007 - Urban Parks, Open Space and Residential Property Values</v>
      </c>
      <c r="S112" s="276" t="str">
        <f t="shared" si="1"/>
        <v>B£ST</v>
      </c>
      <c r="T112" s="276">
        <f t="shared" si="1"/>
        <v>2007</v>
      </c>
      <c r="U112" s="276" t="str">
        <f t="shared" si="1"/>
        <v>UK</v>
      </c>
      <c r="V112" s="276" t="str">
        <f t="shared" si="1"/>
        <v>UK</v>
      </c>
      <c r="W112" s="276" t="str">
        <f t="shared" si="1"/>
        <v>N/A</v>
      </c>
    </row>
    <row r="113" spans="1:8">
      <c r="B113" s="3"/>
    </row>
    <row r="114" spans="1:8">
      <c r="A114" s="739"/>
      <c r="B114" s="740" t="s">
        <v>465</v>
      </c>
      <c r="C114" s="739"/>
      <c r="D114" s="739"/>
      <c r="E114" s="739"/>
      <c r="F114" s="739"/>
      <c r="G114" s="739"/>
      <c r="H114" s="739"/>
    </row>
    <row r="115" spans="1:8">
      <c r="A115" s="741"/>
      <c r="B115" s="742" t="s">
        <v>897</v>
      </c>
      <c r="C115" s="741"/>
      <c r="D115" s="741"/>
      <c r="E115" s="741"/>
      <c r="F115" s="741"/>
      <c r="G115" s="741"/>
      <c r="H115" s="741"/>
    </row>
    <row r="116" spans="1:8">
      <c r="B116" s="398" t="s">
        <v>898</v>
      </c>
      <c r="C116" s="398" t="s">
        <v>899</v>
      </c>
    </row>
    <row r="117" spans="1:8">
      <c r="B117" s="276" t="s">
        <v>465</v>
      </c>
      <c r="C117" s="276" t="s">
        <v>2998</v>
      </c>
    </row>
    <row r="118" spans="1:8">
      <c r="B118" s="29"/>
    </row>
    <row r="119" spans="1:8">
      <c r="A119" s="741"/>
      <c r="B119" s="743" t="s">
        <v>943</v>
      </c>
      <c r="C119" s="741"/>
      <c r="D119" s="741"/>
      <c r="E119" s="741"/>
      <c r="F119" s="741"/>
      <c r="G119" s="741"/>
      <c r="H119" s="741"/>
    </row>
    <row r="120" spans="1:8">
      <c r="A120" s="744"/>
      <c r="B120" s="745" t="s">
        <v>912</v>
      </c>
      <c r="C120" s="744"/>
      <c r="D120" s="744"/>
      <c r="E120" s="744"/>
      <c r="F120" s="744"/>
      <c r="G120" s="744"/>
      <c r="H120" s="744"/>
    </row>
    <row r="121" spans="1:8" ht="29.1">
      <c r="B121" s="719" t="s">
        <v>913</v>
      </c>
      <c r="C121" s="719" t="s">
        <v>914</v>
      </c>
      <c r="D121" s="719" t="s">
        <v>915</v>
      </c>
      <c r="E121" s="719" t="s">
        <v>916</v>
      </c>
      <c r="F121" s="719" t="s">
        <v>917</v>
      </c>
      <c r="G121" s="719" t="s">
        <v>918</v>
      </c>
      <c r="H121" s="719" t="s">
        <v>919</v>
      </c>
    </row>
    <row r="122" spans="1:8">
      <c r="B122" s="276">
        <v>14</v>
      </c>
      <c r="C122" s="276" t="s">
        <v>3144</v>
      </c>
      <c r="D122" s="276" t="s">
        <v>1182</v>
      </c>
      <c r="E122" s="276">
        <v>2010</v>
      </c>
      <c r="F122" s="276" t="s">
        <v>1047</v>
      </c>
      <c r="G122" s="276" t="s">
        <v>1047</v>
      </c>
      <c r="H122" s="276" t="s">
        <v>906</v>
      </c>
    </row>
    <row r="123" spans="1:8">
      <c r="B123" s="29"/>
    </row>
    <row r="124" spans="1:8">
      <c r="A124" s="744"/>
      <c r="B124" s="745" t="s">
        <v>924</v>
      </c>
      <c r="C124" s="744"/>
      <c r="D124" s="744"/>
      <c r="E124" s="744"/>
      <c r="F124" s="744"/>
      <c r="G124" s="744"/>
      <c r="H124" s="744"/>
    </row>
    <row r="125" spans="1:8">
      <c r="B125" s="398" t="s">
        <v>165</v>
      </c>
      <c r="C125" s="398" t="s">
        <v>995</v>
      </c>
      <c r="D125" s="398" t="s">
        <v>926</v>
      </c>
      <c r="E125" s="1139" t="s">
        <v>927</v>
      </c>
      <c r="F125" s="1139"/>
      <c r="G125" s="1139"/>
      <c r="H125" s="1139"/>
    </row>
    <row r="126" spans="1:8">
      <c r="B126" s="276" t="s">
        <v>169</v>
      </c>
      <c r="C126" s="276" t="s">
        <v>166</v>
      </c>
      <c r="D126" s="278">
        <f>VLOOKUP(C126,METHODOLOGY!$C$175:$D$177,2,FALSE)</f>
        <v>3</v>
      </c>
      <c r="E126" s="1087" t="str">
        <f>_xlfn.XLOOKUP(C126,METHODOLOGY!$E$150:$O$150,METHODOLOGY!$E$151:$O$151,"",0,1)</f>
        <v>Monetary values have been peer reviewed or are recommended / referenced in other, well recognised and accepted guidance / tools relevant to the water sector.</v>
      </c>
      <c r="F126" s="1087"/>
      <c r="G126" s="1087"/>
      <c r="H126" s="1087"/>
    </row>
    <row r="127" spans="1:8">
      <c r="B127" s="276" t="s">
        <v>173</v>
      </c>
      <c r="C127" s="276" t="s">
        <v>166</v>
      </c>
      <c r="D127" s="278">
        <f>VLOOKUP(C127,METHODOLOGY!$C$175:$D$177,2,FALSE)</f>
        <v>3</v>
      </c>
      <c r="E127" s="1087" t="str">
        <f>_xlfn.XLOOKUP(C127,METHODOLOGY!$E$150:$O$150,METHODOLOGY!$E$155:$O$155,"",0,1)</f>
        <v>Study has few limitations and is considered robust.</v>
      </c>
      <c r="F127" s="1087"/>
      <c r="G127" s="1087"/>
      <c r="H127" s="1087"/>
    </row>
    <row r="128" spans="1:8">
      <c r="B128" s="276" t="s">
        <v>177</v>
      </c>
      <c r="C128" s="276" t="s">
        <v>166</v>
      </c>
      <c r="D128" s="278">
        <f>VLOOKUP(C128,METHODOLOGY!$C$175:$D$177,2,FALSE)</f>
        <v>3</v>
      </c>
      <c r="E128" s="1087" t="str">
        <f>_xlfn.XLOOKUP(C128,METHODOLOGY!$E$150:$O$150,METHODOLOGY!$E$158:$O$158,"",0,1)</f>
        <v>0 – 5 years</v>
      </c>
      <c r="F128" s="1087"/>
      <c r="G128" s="1087"/>
      <c r="H128" s="1087"/>
    </row>
    <row r="129" spans="1:11">
      <c r="B129" s="276" t="s">
        <v>181</v>
      </c>
      <c r="C129" s="276" t="s">
        <v>166</v>
      </c>
      <c r="D129" s="278">
        <f>VLOOKUP(C129,METHODOLOGY!$C$175:$D$177,2,FALSE)</f>
        <v>3</v>
      </c>
      <c r="E129" s="1087" t="str">
        <f>_xlfn.XLOOKUP(C129,METHODOLOGY!$E$150:$O$150,METHODOLOGY!$E$160:$O$160,"",0,1)</f>
        <v>Geographically relevant to UK</v>
      </c>
      <c r="F129" s="1087"/>
      <c r="G129" s="1087"/>
      <c r="H129" s="1087"/>
    </row>
    <row r="130" spans="1:11">
      <c r="B130" s="276" t="s">
        <v>928</v>
      </c>
      <c r="C130" s="276" t="s">
        <v>167</v>
      </c>
      <c r="D130" s="278">
        <f>VLOOKUP(C130,METHODOLOGY!$C$175:$D$177,2,FALSE)</f>
        <v>2</v>
      </c>
      <c r="E130" s="1087" t="str">
        <f>_xlfn.XLOOKUP(C130,METHODOLOGY!$E$150:$O$150,METHODOLOGY!$E$162:$O$162,"",0,1)</f>
        <v>Meta-analysis or limited understanding of what the value represents.</v>
      </c>
      <c r="F130" s="1087"/>
      <c r="G130" s="1087"/>
      <c r="H130" s="1087"/>
    </row>
    <row r="131" spans="1:11">
      <c r="B131" s="276" t="s">
        <v>189</v>
      </c>
      <c r="C131" s="276" t="s">
        <v>167</v>
      </c>
      <c r="D131" s="278">
        <f>VLOOKUP(C131,METHODOLOGY!$C$175:$D$177,2,FALSE)</f>
        <v>2</v>
      </c>
      <c r="E131" s="1087" t="str">
        <f>_xlfn.XLOOKUP(C131,METHODOLOGY!$E$150:$O$150,METHODOLOGY!$E$164:$O$164,"",0,1)</f>
        <v xml:space="preserve">The original valuation can be used with some modification e.g. applying household numbers. The calculation is simple or introduces low levels of uncertainty. </v>
      </c>
      <c r="F131" s="1087"/>
      <c r="G131" s="1087"/>
      <c r="H131" s="1087"/>
    </row>
    <row r="132" spans="1:11">
      <c r="C132" s="282" t="s">
        <v>924</v>
      </c>
      <c r="D132" s="326">
        <f>IF(AND(D131=1,AVERAGE(D126:D131)&gt;2.14285714285714),2.14285714285714,IF(AND(D131=2,AVERAGE(D126:D131)&gt;2.57142857142857),2.57142857142857,AVERAGE(D126:D131)))</f>
        <v>2.5714285714285698</v>
      </c>
      <c r="E132" s="270" t="str">
        <f>IF(D132&lt;=2.14285714285714,"Red",IF(D132&lt;=2.57142857142857,"Amber",IF(D132&lt;=3,"Green")))</f>
        <v>Amber</v>
      </c>
    </row>
    <row r="134" spans="1:11">
      <c r="A134" s="744"/>
      <c r="B134" s="745" t="s">
        <v>929</v>
      </c>
      <c r="C134" s="744"/>
      <c r="D134" s="744"/>
      <c r="E134" s="744"/>
      <c r="F134" s="744"/>
      <c r="G134" s="744"/>
      <c r="H134" s="744"/>
    </row>
    <row r="135" spans="1:11">
      <c r="B135" s="398" t="s">
        <v>913</v>
      </c>
      <c r="C135" s="398" t="s">
        <v>902</v>
      </c>
      <c r="D135" s="398" t="s">
        <v>331</v>
      </c>
      <c r="E135" s="398" t="s">
        <v>226</v>
      </c>
      <c r="F135" s="1145" t="s">
        <v>930</v>
      </c>
      <c r="G135" s="1145"/>
      <c r="H135" s="1145"/>
      <c r="I135" s="1145"/>
      <c r="J135" s="1145"/>
      <c r="K135" s="1145"/>
    </row>
    <row r="136" spans="1:11" ht="57" customHeight="1">
      <c r="B136" s="357">
        <v>14</v>
      </c>
      <c r="C136" s="357" t="s">
        <v>637</v>
      </c>
      <c r="D136" s="346" t="s">
        <v>3145</v>
      </c>
      <c r="E136" s="534" t="s">
        <v>3146</v>
      </c>
      <c r="F136" s="1158" t="s">
        <v>3147</v>
      </c>
      <c r="G136" s="1095"/>
      <c r="H136" s="1095"/>
      <c r="I136" s="1095"/>
      <c r="J136" s="1095"/>
      <c r="K136" s="1095"/>
    </row>
    <row r="137" spans="1:11">
      <c r="B137" s="32"/>
      <c r="C137" s="31"/>
      <c r="E137" s="109"/>
      <c r="F137" s="109"/>
      <c r="G137" s="109"/>
      <c r="H137" s="109"/>
      <c r="I137" s="109"/>
      <c r="J137" s="109"/>
    </row>
    <row r="138" spans="1:11">
      <c r="B138" s="313" t="s">
        <v>169</v>
      </c>
      <c r="C138" s="310" t="s">
        <v>913</v>
      </c>
      <c r="D138" s="293" t="s">
        <v>3148</v>
      </c>
      <c r="E138" s="109"/>
      <c r="F138" s="109"/>
      <c r="G138" s="109"/>
      <c r="H138" s="109"/>
      <c r="I138" s="109"/>
      <c r="J138" s="109"/>
    </row>
    <row r="139" spans="1:11">
      <c r="B139" s="338" t="s">
        <v>3149</v>
      </c>
      <c r="C139" s="342">
        <v>23</v>
      </c>
      <c r="D139" s="276">
        <v>2.36</v>
      </c>
      <c r="E139" s="109"/>
      <c r="F139" s="109"/>
      <c r="G139" s="109"/>
      <c r="H139" s="109"/>
      <c r="I139" s="109"/>
      <c r="J139" s="109"/>
    </row>
    <row r="140" spans="1:11">
      <c r="B140" s="32"/>
      <c r="C140" s="31"/>
      <c r="E140" s="109"/>
      <c r="F140" s="109"/>
      <c r="G140" s="109"/>
      <c r="H140" s="109"/>
      <c r="I140" s="109"/>
      <c r="J140" s="109"/>
    </row>
    <row r="141" spans="1:11">
      <c r="A141" s="744"/>
      <c r="B141" s="745" t="s">
        <v>936</v>
      </c>
      <c r="C141" s="744"/>
      <c r="D141" s="744"/>
      <c r="E141" s="744"/>
      <c r="F141" s="744"/>
      <c r="G141" s="744"/>
      <c r="H141" s="744"/>
    </row>
    <row r="142" spans="1:11">
      <c r="B142" s="400" t="s">
        <v>3150</v>
      </c>
      <c r="C142" s="400" t="s">
        <v>3151</v>
      </c>
      <c r="D142" s="398" t="s">
        <v>3148</v>
      </c>
      <c r="E142" s="398" t="s">
        <v>3152</v>
      </c>
    </row>
    <row r="143" spans="1:11">
      <c r="B143" s="276" t="s">
        <v>3153</v>
      </c>
      <c r="C143" s="348">
        <v>135</v>
      </c>
      <c r="D143" s="276">
        <f>D139</f>
        <v>2.36</v>
      </c>
      <c r="E143" s="343">
        <f>C143*D143</f>
        <v>318.59999999999997</v>
      </c>
    </row>
    <row r="144" spans="1:11">
      <c r="B144" s="334" t="s">
        <v>3154</v>
      </c>
      <c r="C144" s="348">
        <v>452</v>
      </c>
      <c r="D144" s="276">
        <f>D139</f>
        <v>2.36</v>
      </c>
      <c r="E144" s="343">
        <f>C144*D144</f>
        <v>1066.72</v>
      </c>
    </row>
    <row r="145" spans="1:23">
      <c r="B145" s="334" t="s">
        <v>1899</v>
      </c>
      <c r="C145" s="348">
        <f>AVERAGE(C143:C144)</f>
        <v>293.5</v>
      </c>
      <c r="D145" s="276">
        <f>D139</f>
        <v>2.36</v>
      </c>
      <c r="E145" s="343">
        <f>C145*D145</f>
        <v>692.66</v>
      </c>
      <c r="G145" s="124"/>
    </row>
    <row r="146" spans="1:23">
      <c r="B146" s="3"/>
    </row>
    <row r="147" spans="1:23">
      <c r="A147" s="741"/>
      <c r="B147" s="743" t="s">
        <v>901</v>
      </c>
      <c r="C147" s="741"/>
      <c r="D147" s="741"/>
      <c r="E147" s="741"/>
      <c r="F147" s="741"/>
      <c r="G147" s="741"/>
      <c r="H147" s="741"/>
    </row>
    <row r="148" spans="1:23" ht="29.1">
      <c r="B148" s="522" t="s">
        <v>902</v>
      </c>
      <c r="C148" s="522" t="s">
        <v>898</v>
      </c>
      <c r="D148" s="522" t="s">
        <v>899</v>
      </c>
      <c r="E148" s="719" t="s">
        <v>903</v>
      </c>
      <c r="F148" s="719" t="s">
        <v>904</v>
      </c>
      <c r="G148" s="719" t="s">
        <v>905</v>
      </c>
      <c r="H148" s="752" t="s">
        <v>924</v>
      </c>
      <c r="I148" s="752" t="s">
        <v>956</v>
      </c>
      <c r="J148" s="752" t="s">
        <v>927</v>
      </c>
    </row>
    <row r="149" spans="1:23">
      <c r="B149" s="373" t="s">
        <v>637</v>
      </c>
      <c r="C149" s="276" t="s">
        <v>465</v>
      </c>
      <c r="D149" s="276" t="s">
        <v>2998</v>
      </c>
      <c r="E149" s="348" t="s">
        <v>960</v>
      </c>
      <c r="F149" s="276" t="str" cm="1">
        <f t="array" ref="F149">_xlfn.XLOOKUP(1,($D$154:$D$156=B149)*($E$154:$E$156=C149),$B$154:$B$156,"Not found",0,1)</f>
        <v>34-3</v>
      </c>
      <c r="G149" s="633">
        <f>VLOOKUP(F149,B154:L154,11,FALSE)</f>
        <v>-956.51321340438665</v>
      </c>
      <c r="H149" s="326">
        <f>$D$132</f>
        <v>2.5714285714285698</v>
      </c>
      <c r="I149" s="276" t="s">
        <v>3155</v>
      </c>
      <c r="J149" s="276" t="s">
        <v>3156</v>
      </c>
    </row>
    <row r="150" spans="1:23">
      <c r="B150" s="276" t="s">
        <v>3096</v>
      </c>
      <c r="C150" s="276" t="s">
        <v>465</v>
      </c>
      <c r="D150" s="276" t="s">
        <v>2998</v>
      </c>
      <c r="E150" s="373" t="s">
        <v>906</v>
      </c>
      <c r="F150" s="340" t="s">
        <v>907</v>
      </c>
      <c r="G150" s="633" t="s">
        <v>477</v>
      </c>
      <c r="H150" s="630" t="s">
        <v>907</v>
      </c>
      <c r="I150" s="340" t="s">
        <v>907</v>
      </c>
      <c r="J150" s="340" t="s">
        <v>907</v>
      </c>
    </row>
    <row r="151" spans="1:23">
      <c r="B151" s="91"/>
      <c r="D151" s="91"/>
      <c r="E151" s="93"/>
      <c r="G151" s="124"/>
      <c r="H151" s="124"/>
    </row>
    <row r="152" spans="1:23">
      <c r="A152" s="744"/>
      <c r="B152" s="745" t="s">
        <v>962</v>
      </c>
      <c r="C152" s="744"/>
      <c r="D152" s="744"/>
      <c r="E152" s="744"/>
      <c r="F152" s="744"/>
      <c r="G152" s="744"/>
      <c r="H152" s="744"/>
    </row>
    <row r="153" spans="1:23">
      <c r="B153" s="398" t="s">
        <v>904</v>
      </c>
      <c r="C153" s="398" t="s">
        <v>62</v>
      </c>
      <c r="D153" s="398" t="s">
        <v>902</v>
      </c>
      <c r="E153" s="398" t="s">
        <v>898</v>
      </c>
      <c r="F153" s="398" t="s">
        <v>916</v>
      </c>
      <c r="G153" s="398" t="s">
        <v>963</v>
      </c>
      <c r="H153" s="398" t="s">
        <v>964</v>
      </c>
      <c r="I153" s="398" t="s">
        <v>965</v>
      </c>
      <c r="J153" s="398" t="s">
        <v>966</v>
      </c>
      <c r="K153" s="398" t="s">
        <v>967</v>
      </c>
      <c r="L153" s="398" t="s">
        <v>968</v>
      </c>
      <c r="M153" s="398" t="s">
        <v>956</v>
      </c>
      <c r="N153" s="398" t="s">
        <v>969</v>
      </c>
      <c r="O153" s="398" t="s">
        <v>970</v>
      </c>
      <c r="P153" s="398" t="s">
        <v>927</v>
      </c>
      <c r="Q153" s="398" t="s">
        <v>913</v>
      </c>
      <c r="R153" s="398" t="s">
        <v>914</v>
      </c>
      <c r="S153" s="398" t="s">
        <v>915</v>
      </c>
      <c r="T153" s="398" t="s">
        <v>916</v>
      </c>
      <c r="U153" s="398" t="s">
        <v>917</v>
      </c>
      <c r="V153" s="398" t="s">
        <v>918</v>
      </c>
      <c r="W153" s="398" t="s">
        <v>919</v>
      </c>
    </row>
    <row r="154" spans="1:23">
      <c r="B154" s="372" t="s">
        <v>3157</v>
      </c>
      <c r="C154" s="276" t="s">
        <v>421</v>
      </c>
      <c r="D154" s="373" t="s">
        <v>637</v>
      </c>
      <c r="E154" s="276" t="s">
        <v>465</v>
      </c>
      <c r="F154" s="373">
        <f>E122</f>
        <v>2010</v>
      </c>
      <c r="G154" s="276">
        <v>2010</v>
      </c>
      <c r="H154" s="276">
        <f>'COMPANY INPUT'!$C$16</f>
        <v>2023</v>
      </c>
      <c r="I154" s="276">
        <f>VLOOKUP(G154,'GDP Deflators'!$H$13:$I$86,2,TRUE)</f>
        <v>72.415099999999995</v>
      </c>
      <c r="J154" s="276">
        <f>VLOOKUP(H154,'GDP Deflators'!$H$13:$I$86,2,FALSE)</f>
        <v>100</v>
      </c>
      <c r="K154" s="348">
        <f>-E145</f>
        <v>-692.66</v>
      </c>
      <c r="L154" s="747">
        <f t="shared" ref="L154" si="2">K154*(J154/I154)</f>
        <v>-956.51321340438665</v>
      </c>
      <c r="M154" s="276" t="str">
        <f>I149</f>
        <v>Quality adjusted life years</v>
      </c>
      <c r="N154" s="326">
        <f>H149</f>
        <v>2.5714285714285698</v>
      </c>
      <c r="O154" s="276" t="s">
        <v>718</v>
      </c>
      <c r="P154" s="276" t="str">
        <f>J149</f>
        <v>Reasonably high confidence score using reputable data from sources referenced in Government tools and workbooks</v>
      </c>
      <c r="Q154" s="533" t="s">
        <v>3158</v>
      </c>
      <c r="R154" s="276">
        <f>B136</f>
        <v>14</v>
      </c>
      <c r="S154" s="276" t="str">
        <f>D122</f>
        <v>ENCA</v>
      </c>
      <c r="T154" s="276">
        <f>E122</f>
        <v>2010</v>
      </c>
      <c r="U154" s="276" t="str">
        <f>$F$23</f>
        <v>UK</v>
      </c>
      <c r="V154" s="276" t="str">
        <f>$G$23</f>
        <v>UK</v>
      </c>
      <c r="W154" s="276" t="str">
        <f>$H$23</f>
        <v>N/A</v>
      </c>
    </row>
  </sheetData>
  <sheetProtection algorithmName="SHA-512" hashValue="yE2YVqjEcwDTHC+YOySuIkfF1ZrO9P84X3LXpNg89G7T0V6ABxDbOsqqvxgEfju2yc1099CNm2gsHWrNTBnplQ==" saltValue="te4hlHZq2KMFRC+63K/F/A==" spinCount="100000" sheet="1" objects="1" scenarios="1"/>
  <dataConsolidate/>
  <mergeCells count="29">
    <mergeCell ref="E29:H29"/>
    <mergeCell ref="B56:B61"/>
    <mergeCell ref="C56:C61"/>
    <mergeCell ref="C51:C53"/>
    <mergeCell ref="C37:C48"/>
    <mergeCell ref="B37:B48"/>
    <mergeCell ref="E30:H30"/>
    <mergeCell ref="E31:H31"/>
    <mergeCell ref="E32:H32"/>
    <mergeCell ref="D9:E9"/>
    <mergeCell ref="B5:H5"/>
    <mergeCell ref="E26:H26"/>
    <mergeCell ref="E27:H27"/>
    <mergeCell ref="E28:H28"/>
    <mergeCell ref="F135:K135"/>
    <mergeCell ref="F136:K136"/>
    <mergeCell ref="B51:B53"/>
    <mergeCell ref="J106:J107"/>
    <mergeCell ref="I106:I107"/>
    <mergeCell ref="H106:H107"/>
    <mergeCell ref="E127:H127"/>
    <mergeCell ref="E128:H128"/>
    <mergeCell ref="E129:H129"/>
    <mergeCell ref="E130:H130"/>
    <mergeCell ref="E131:H131"/>
    <mergeCell ref="D51:D53"/>
    <mergeCell ref="D56:D61"/>
    <mergeCell ref="E125:H125"/>
    <mergeCell ref="E126:H126"/>
  </mergeCells>
  <phoneticPr fontId="16" type="noConversion"/>
  <conditionalFormatting sqref="D11:E12">
    <cfRule type="notContainsBlanks" dxfId="324" priority="1">
      <formula>LEN(TRIM(D11))&gt;0</formula>
    </cfRule>
  </conditionalFormatting>
  <conditionalFormatting sqref="D33:E33">
    <cfRule type="cellIs" dxfId="323" priority="11" operator="lessThanOrEqual">
      <formula>2.14285714285714</formula>
    </cfRule>
    <cfRule type="cellIs" dxfId="322" priority="12" operator="lessThanOrEqual">
      <formula>2.57142857142857</formula>
    </cfRule>
    <cfRule type="cellIs" dxfId="321" priority="13" operator="lessThanOrEqual">
      <formula>3</formula>
    </cfRule>
  </conditionalFormatting>
  <conditionalFormatting sqref="D132:E132">
    <cfRule type="cellIs" dxfId="320" priority="5" operator="lessThanOrEqual">
      <formula>2.14285714285714</formula>
    </cfRule>
    <cfRule type="cellIs" dxfId="319" priority="6" operator="lessThanOrEqual">
      <formula>2.57142857142857</formula>
    </cfRule>
    <cfRule type="cellIs" dxfId="318" priority="7" operator="lessThanOrEqual">
      <formula>3</formula>
    </cfRule>
  </conditionalFormatting>
  <conditionalFormatting sqref="E33">
    <cfRule type="containsText" dxfId="317" priority="8" operator="containsText" text="Green">
      <formula>NOT(ISERROR(SEARCH("Green",E33)))</formula>
    </cfRule>
    <cfRule type="containsText" dxfId="316" priority="9" operator="containsText" text="Amber">
      <formula>NOT(ISERROR(SEARCH("Amber",E33)))</formula>
    </cfRule>
    <cfRule type="containsText" dxfId="315" priority="10" operator="containsText" text="Red">
      <formula>NOT(ISERROR(SEARCH("Red",E33)))</formula>
    </cfRule>
  </conditionalFormatting>
  <conditionalFormatting sqref="E132">
    <cfRule type="containsText" dxfId="314" priority="2" operator="containsText" text="Green">
      <formula>NOT(ISERROR(SEARCH("Green",E132)))</formula>
    </cfRule>
    <cfRule type="containsText" dxfId="313" priority="3" operator="containsText" text="Amber">
      <formula>NOT(ISERROR(SEARCH("Amber",E132)))</formula>
    </cfRule>
    <cfRule type="containsText" dxfId="312" priority="4" operator="containsText" text="Red">
      <formula>NOT(ISERROR(SEARCH("Red",E132)))</formula>
    </cfRule>
  </conditionalFormatting>
  <conditionalFormatting sqref="H106">
    <cfRule type="cellIs" dxfId="311" priority="29" operator="lessThanOrEqual">
      <formula>2.14285714285714</formula>
    </cfRule>
    <cfRule type="cellIs" dxfId="310" priority="30" operator="lessThanOrEqual">
      <formula>2.57142857142857</formula>
    </cfRule>
    <cfRule type="cellIs" dxfId="309" priority="31" operator="lessThanOrEqual">
      <formula>3</formula>
    </cfRule>
  </conditionalFormatting>
  <conditionalFormatting sqref="H149">
    <cfRule type="cellIs" dxfId="308" priority="17" operator="lessThanOrEqual">
      <formula>2.14285714285714</formula>
    </cfRule>
    <cfRule type="cellIs" dxfId="307" priority="18" operator="lessThanOrEqual">
      <formula>2.57142857142857</formula>
    </cfRule>
    <cfRule type="cellIs" dxfId="306" priority="19" operator="lessThanOrEqual">
      <formula>3</formula>
    </cfRule>
  </conditionalFormatting>
  <conditionalFormatting sqref="N111:N112">
    <cfRule type="cellIs" dxfId="305" priority="26" operator="lessThanOrEqual">
      <formula>2.14285714285714</formula>
    </cfRule>
    <cfRule type="cellIs" dxfId="304" priority="27" operator="lessThanOrEqual">
      <formula>2.57142857142857</formula>
    </cfRule>
    <cfRule type="cellIs" dxfId="303" priority="28" operator="lessThanOrEqual">
      <formula>3</formula>
    </cfRule>
  </conditionalFormatting>
  <conditionalFormatting sqref="N154">
    <cfRule type="cellIs" dxfId="302" priority="14" operator="lessThanOrEqual">
      <formula>2.14285714285714</formula>
    </cfRule>
    <cfRule type="cellIs" dxfId="301" priority="15" operator="lessThanOrEqual">
      <formula>2.57142857142857</formula>
    </cfRule>
    <cfRule type="cellIs" dxfId="300" priority="16" operator="lessThanOrEqual">
      <formula>3</formula>
    </cfRule>
  </conditionalFormatting>
  <dataValidations count="1">
    <dataValidation type="list" allowBlank="1" showInputMessage="1" showErrorMessage="1" sqref="C155 C34 C27:C32 C133 C126:C131 C103" xr:uid="{3F2AA421-B3F5-43F1-B804-DFEFC3AA8393}">
      <formula1>"High, Medium, Low"</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EFB4-C630-44AA-B811-1B2A174B8815}">
  <sheetPr codeName="Sheet41">
    <tabColor theme="5" tint="0.59999389629810485"/>
  </sheetPr>
  <dimension ref="A1:W95"/>
  <sheetViews>
    <sheetView workbookViewId="0"/>
  </sheetViews>
  <sheetFormatPr defaultColWidth="9" defaultRowHeight="14.45"/>
  <cols>
    <col min="1" max="1" width="3.5" style="2" customWidth="1"/>
    <col min="2" max="3" width="40.625" style="2" customWidth="1"/>
    <col min="4" max="15" width="15.625" style="2" customWidth="1"/>
    <col min="16" max="16" width="16.125" style="2" customWidth="1"/>
    <col min="17" max="17" width="9" style="2"/>
    <col min="18" max="18" width="16.625" style="2" customWidth="1"/>
    <col min="19" max="19" width="18.5" style="2" customWidth="1"/>
    <col min="20" max="16384" width="9" style="2"/>
  </cols>
  <sheetData>
    <row r="1" spans="1:8" ht="15" thickBot="1"/>
    <row r="2" spans="1:8" s="710" customFormat="1" ht="18.95" thickBot="1">
      <c r="A2" s="707"/>
      <c r="B2" s="749" t="s">
        <v>424</v>
      </c>
      <c r="C2" s="711"/>
      <c r="D2" s="711"/>
    </row>
    <row r="4" spans="1:8" s="714" customFormat="1" ht="18.600000000000001">
      <c r="A4" s="715"/>
      <c r="B4" s="713" t="s">
        <v>893</v>
      </c>
      <c r="C4" s="715"/>
      <c r="D4" s="715"/>
      <c r="E4" s="715"/>
      <c r="F4" s="715"/>
      <c r="G4" s="715"/>
      <c r="H4" s="715"/>
    </row>
    <row r="5" spans="1:8" s="7" customFormat="1" ht="112.5" customHeight="1">
      <c r="A5" s="737"/>
      <c r="B5" s="1152" t="s">
        <v>3159</v>
      </c>
      <c r="C5" s="1152"/>
      <c r="D5" s="1152"/>
      <c r="E5" s="1152"/>
      <c r="F5" s="1152"/>
      <c r="G5" s="1152"/>
      <c r="H5" s="1152"/>
    </row>
    <row r="6" spans="1:8" s="7" customFormat="1"/>
    <row r="7" spans="1:8" s="718" customFormat="1" ht="18.600000000000001">
      <c r="A7" s="724"/>
      <c r="B7" s="724" t="s">
        <v>895</v>
      </c>
      <c r="C7" s="724"/>
      <c r="D7" s="724"/>
      <c r="E7" s="724"/>
      <c r="F7" s="724"/>
      <c r="G7" s="724"/>
      <c r="H7" s="724"/>
    </row>
    <row r="9" spans="1:8">
      <c r="D9" s="1134" t="s">
        <v>479</v>
      </c>
      <c r="E9" s="1134"/>
      <c r="F9" s="1134"/>
    </row>
    <row r="10" spans="1:8">
      <c r="B10" s="277" t="s">
        <v>104</v>
      </c>
      <c r="C10" s="277" t="s">
        <v>226</v>
      </c>
      <c r="D10" s="277" t="s">
        <v>448</v>
      </c>
      <c r="E10" s="277" t="s">
        <v>460</v>
      </c>
      <c r="F10" s="277" t="s">
        <v>462</v>
      </c>
    </row>
    <row r="11" spans="1:8">
      <c r="B11" s="278" t="s">
        <v>640</v>
      </c>
      <c r="C11" s="297" t="s">
        <v>425</v>
      </c>
      <c r="D11" s="793" t="str" cm="1">
        <f t="array" ref="D11">_xlfn.XLOOKUP(1,($B11=$B$88:$B$94)*(D$10=$C$88:$C$94),$G$88:$G$94,"Not found",0,1)</f>
        <v>LG(H)</v>
      </c>
      <c r="E11" s="793" t="str" cm="1">
        <f t="array" ref="E11">_xlfn.XLOOKUP(1,($B11=$B$88:$B$91)*(E$10=$C$88:$C$91),$G$88:$G$91,"Not found",0,1)</f>
        <v>LG(H)</v>
      </c>
      <c r="F11" s="793" cm="1">
        <f t="array" ref="F11">_xlfn.XLOOKUP(1,($B11=$B$74:$B$75)*(F$10=$C$74:$C$75),$G$74:$G$75,"Not found",0,1)</f>
        <v>42.527345511651106</v>
      </c>
    </row>
    <row r="12" spans="1:8">
      <c r="B12" s="278" t="s">
        <v>641</v>
      </c>
      <c r="C12" s="297" t="s">
        <v>372</v>
      </c>
      <c r="D12" s="793" t="str" cm="1">
        <f t="array" ref="D12">_xlfn.XLOOKUP(1,($B12=$B$88:$B$94)*(D$10=$C$88:$C$94),$G$88:$G$94,"Not found",0,1)</f>
        <v>LG(H)</v>
      </c>
      <c r="E12" s="793" t="str" cm="1">
        <f t="array" ref="E12">_xlfn.XLOOKUP(1,($B12=$B$88:$B$91)*(E$10=$C$88:$C$91),$G$88:$G$91,"Not found",0,1)</f>
        <v>LG(H)</v>
      </c>
      <c r="F12" s="793"/>
    </row>
    <row r="13" spans="1:8">
      <c r="B13" s="278" t="s">
        <v>642</v>
      </c>
      <c r="C13" s="297" t="s">
        <v>372</v>
      </c>
      <c r="D13" s="793" t="str" cm="1">
        <f t="array" ref="D13">_xlfn.XLOOKUP(1,($B13=$B$88:$B$94)*(D$10=$C$88:$C$94),$G$88:$G$94,"Not found",0,1)</f>
        <v>LG(H)</v>
      </c>
      <c r="E13" s="793" t="str" cm="1">
        <f t="array" ref="E13">_xlfn.XLOOKUP(1,($B13=$B$88:$B$91)*(E$10=$C$88:$C$91),$G$88:$G$91,"Not found",0,1)</f>
        <v>LG(H)</v>
      </c>
      <c r="F13" s="793"/>
    </row>
    <row r="14" spans="1:8">
      <c r="B14" s="800" t="s">
        <v>896</v>
      </c>
    </row>
    <row r="16" spans="1:8">
      <c r="A16" s="797"/>
      <c r="B16" s="722" t="s">
        <v>462</v>
      </c>
      <c r="C16" s="797"/>
      <c r="D16" s="797"/>
      <c r="E16" s="797"/>
      <c r="F16" s="797"/>
      <c r="G16" s="797"/>
      <c r="H16" s="797"/>
    </row>
    <row r="17" spans="1:8">
      <c r="A17" s="727"/>
      <c r="B17" s="729" t="s">
        <v>897</v>
      </c>
      <c r="C17" s="727"/>
      <c r="D17" s="727"/>
      <c r="E17" s="727"/>
      <c r="F17" s="727"/>
      <c r="G17" s="727"/>
      <c r="H17" s="727"/>
    </row>
    <row r="18" spans="1:8">
      <c r="B18" s="277" t="s">
        <v>898</v>
      </c>
      <c r="C18" s="277" t="s">
        <v>899</v>
      </c>
    </row>
    <row r="19" spans="1:8">
      <c r="B19" s="278" t="s">
        <v>462</v>
      </c>
      <c r="C19" s="375" t="s">
        <v>910</v>
      </c>
    </row>
    <row r="20" spans="1:8">
      <c r="B20" s="16"/>
    </row>
    <row r="21" spans="1:8">
      <c r="A21" s="727"/>
      <c r="B21" s="728" t="s">
        <v>911</v>
      </c>
      <c r="C21" s="727"/>
      <c r="D21" s="727"/>
      <c r="E21" s="727"/>
      <c r="F21" s="727"/>
      <c r="G21" s="727"/>
      <c r="H21" s="727"/>
    </row>
    <row r="22" spans="1:8">
      <c r="A22" s="725"/>
      <c r="B22" s="726" t="s">
        <v>912</v>
      </c>
      <c r="C22" s="725"/>
      <c r="D22" s="725"/>
      <c r="E22" s="725"/>
      <c r="F22" s="725"/>
      <c r="G22" s="725"/>
      <c r="H22" s="725"/>
    </row>
    <row r="23" spans="1:8" ht="29.1">
      <c r="B23" s="719" t="s">
        <v>913</v>
      </c>
      <c r="C23" s="719" t="s">
        <v>914</v>
      </c>
      <c r="D23" s="719" t="s">
        <v>915</v>
      </c>
      <c r="E23" s="719" t="s">
        <v>916</v>
      </c>
      <c r="F23" s="719" t="s">
        <v>917</v>
      </c>
      <c r="G23" s="719" t="s">
        <v>918</v>
      </c>
      <c r="H23" s="719" t="s">
        <v>919</v>
      </c>
    </row>
    <row r="24" spans="1:8">
      <c r="B24" s="278">
        <v>6</v>
      </c>
      <c r="C24" s="278" t="s">
        <v>3160</v>
      </c>
      <c r="D24" s="279" t="s">
        <v>907</v>
      </c>
      <c r="E24" s="278">
        <v>2024</v>
      </c>
      <c r="F24" s="278" t="s">
        <v>1047</v>
      </c>
      <c r="G24" s="278" t="s">
        <v>1047</v>
      </c>
      <c r="H24" s="279" t="s">
        <v>907</v>
      </c>
    </row>
    <row r="25" spans="1:8">
      <c r="B25" s="16"/>
    </row>
    <row r="26" spans="1:8">
      <c r="A26" s="725"/>
      <c r="B26" s="726" t="s">
        <v>924</v>
      </c>
      <c r="C26" s="725"/>
      <c r="D26" s="725"/>
      <c r="E26" s="725"/>
      <c r="F26" s="725"/>
      <c r="G26" s="725"/>
      <c r="H26" s="725"/>
    </row>
    <row r="27" spans="1:8">
      <c r="B27" s="277" t="s">
        <v>165</v>
      </c>
      <c r="C27" s="277" t="s">
        <v>925</v>
      </c>
      <c r="D27" s="277" t="s">
        <v>926</v>
      </c>
      <c r="E27" s="1134" t="s">
        <v>927</v>
      </c>
      <c r="F27" s="1134"/>
      <c r="G27" s="1134"/>
      <c r="H27" s="1134"/>
    </row>
    <row r="28" spans="1:8">
      <c r="B28" s="278" t="s">
        <v>169</v>
      </c>
      <c r="C28" s="278" t="s">
        <v>167</v>
      </c>
      <c r="D28" s="278">
        <f>VLOOKUP(C28,METHODOLOGY!$C$175:$D$177,2,FALSE)</f>
        <v>2</v>
      </c>
      <c r="E28" s="1087" t="str">
        <f>_xlfn.XLOOKUP(C28,METHODOLOGY!$E$150:$O$150,METHODOLOGY!$E$151:$O$151,"",0,1)</f>
        <v>The monetary values are recommended / referenced in other, well recognised and accepted guidance / tools relevant to another sector.</v>
      </c>
      <c r="F28" s="1087"/>
      <c r="G28" s="1087"/>
      <c r="H28" s="1087"/>
    </row>
    <row r="29" spans="1:8">
      <c r="B29" s="278" t="s">
        <v>173</v>
      </c>
      <c r="C29" s="278" t="s">
        <v>166</v>
      </c>
      <c r="D29" s="278">
        <f>VLOOKUP(C29,METHODOLOGY!$C$175:$D$177,2,FALSE)</f>
        <v>3</v>
      </c>
      <c r="E29" s="1087" t="str">
        <f>_xlfn.XLOOKUP(C29,METHODOLOGY!$E$150:$O$150,METHODOLOGY!$E$155:$O$155,"",0,1)</f>
        <v>Study has few limitations and is considered robust.</v>
      </c>
      <c r="F29" s="1087"/>
      <c r="G29" s="1087"/>
      <c r="H29" s="1087"/>
    </row>
    <row r="30" spans="1:8">
      <c r="B30" s="278" t="s">
        <v>177</v>
      </c>
      <c r="C30" s="278" t="s">
        <v>166</v>
      </c>
      <c r="D30" s="278">
        <f>VLOOKUP(C30,METHODOLOGY!$C$175:$D$177,2,FALSE)</f>
        <v>3</v>
      </c>
      <c r="E30" s="1087" t="str">
        <f>_xlfn.XLOOKUP(C30,METHODOLOGY!$E$150:$O$150,METHODOLOGY!$E$158:$O$158,"",0,1)</f>
        <v>0 – 5 years</v>
      </c>
      <c r="F30" s="1087"/>
      <c r="G30" s="1087"/>
      <c r="H30" s="1087"/>
    </row>
    <row r="31" spans="1:8">
      <c r="B31" s="278" t="s">
        <v>181</v>
      </c>
      <c r="C31" s="278" t="s">
        <v>166</v>
      </c>
      <c r="D31" s="278">
        <f>VLOOKUP(C31,METHODOLOGY!$C$175:$D$177,2,FALSE)</f>
        <v>3</v>
      </c>
      <c r="E31" s="1087" t="str">
        <f>_xlfn.XLOOKUP(C31,METHODOLOGY!$E$150:$O$150,METHODOLOGY!$E$160:$O$160,"",0,1)</f>
        <v>Geographically relevant to UK</v>
      </c>
      <c r="F31" s="1087"/>
      <c r="G31" s="1087"/>
      <c r="H31" s="1087"/>
    </row>
    <row r="32" spans="1:8">
      <c r="B32" s="278" t="s">
        <v>928</v>
      </c>
      <c r="C32" s="278" t="s">
        <v>166</v>
      </c>
      <c r="D32" s="278">
        <f>VLOOKUP(C32,METHODOLOGY!$C$175:$D$177,2,FALSE)</f>
        <v>3</v>
      </c>
      <c r="E32" s="1087" t="str">
        <f>_xlfn.XLOOKUP(C32,METHODOLOGY!$E$150:$O$150,METHODOLOGY!$E$162:$O$162,"",0,1)</f>
        <v>Clear understanding of the valuation method and how the value should be applied.</v>
      </c>
      <c r="F32" s="1087"/>
      <c r="G32" s="1087"/>
      <c r="H32" s="1087"/>
    </row>
    <row r="33" spans="1:23">
      <c r="B33" s="278" t="s">
        <v>189</v>
      </c>
      <c r="C33" s="278" t="s">
        <v>166</v>
      </c>
      <c r="D33" s="278">
        <f>VLOOKUP(C33,METHODOLOGY!$C$175:$D$177,2,FALSE)</f>
        <v>3</v>
      </c>
      <c r="E33" s="1087" t="str">
        <f>_xlfn.XLOOKUP(C33,METHODOLOGY!$E$150:$O$150,METHODOLOGY!$E$164:$O$164,"",0,1)</f>
        <v xml:space="preserve">The original valuation can be used with no or very simple modification e.g. change units from ha to km2, applying inflation. </v>
      </c>
      <c r="F33" s="1087"/>
      <c r="G33" s="1087"/>
      <c r="H33" s="1087"/>
    </row>
    <row r="34" spans="1:23">
      <c r="C34" s="282" t="s">
        <v>924</v>
      </c>
      <c r="D34" s="326">
        <f>IF(AND(D33=1,AVERAGE(D28:D33)&gt;2.14285714285714),2.14285714285714,IF(AND(D33=2,AVERAGE(D28:D33)&gt;2.57142857142857),2.57142857142857,AVERAGE(D28:D33)))</f>
        <v>2.8333333333333335</v>
      </c>
      <c r="E34" s="270" t="str">
        <f>IF(D34&lt;=2.14285714285714,"Red",IF(D34&lt;=2.57142857142857,"Amber",IF(D34&lt;=3,"Green")))</f>
        <v>Green</v>
      </c>
    </row>
    <row r="37" spans="1:23">
      <c r="A37" s="725"/>
      <c r="B37" s="726" t="s">
        <v>929</v>
      </c>
      <c r="C37" s="725"/>
      <c r="D37" s="725"/>
      <c r="E37" s="725"/>
      <c r="F37" s="725"/>
      <c r="G37" s="725"/>
      <c r="H37" s="725"/>
    </row>
    <row r="38" spans="1:23">
      <c r="B38" s="277" t="s">
        <v>913</v>
      </c>
      <c r="C38" s="277" t="s">
        <v>898</v>
      </c>
      <c r="D38" s="277" t="s">
        <v>331</v>
      </c>
      <c r="E38" s="277" t="s">
        <v>226</v>
      </c>
      <c r="F38" s="1157" t="s">
        <v>930</v>
      </c>
      <c r="G38" s="1157"/>
      <c r="H38" s="1157"/>
      <c r="I38" s="1157"/>
      <c r="J38" s="1157"/>
      <c r="K38" s="1157"/>
    </row>
    <row r="39" spans="1:23" ht="35.450000000000003" customHeight="1">
      <c r="B39" s="278">
        <v>6</v>
      </c>
      <c r="C39" s="278" t="s">
        <v>462</v>
      </c>
      <c r="D39" s="278">
        <v>39.700000000000003</v>
      </c>
      <c r="E39" s="394" t="s">
        <v>1115</v>
      </c>
      <c r="F39" s="1158" t="s">
        <v>3161</v>
      </c>
      <c r="G39" s="1158"/>
      <c r="H39" s="1158"/>
      <c r="I39" s="1158"/>
      <c r="J39" s="1158"/>
      <c r="K39" s="1158"/>
    </row>
    <row r="41" spans="1:23">
      <c r="A41" s="725"/>
      <c r="B41" s="726" t="s">
        <v>936</v>
      </c>
      <c r="C41" s="725"/>
      <c r="D41" s="725"/>
      <c r="E41" s="725"/>
      <c r="F41" s="725"/>
      <c r="G41" s="725"/>
      <c r="H41" s="725"/>
    </row>
    <row r="42" spans="1:23">
      <c r="B42" s="298" t="s">
        <v>953</v>
      </c>
      <c r="C42" s="298" t="s">
        <v>936</v>
      </c>
      <c r="D42" s="226"/>
      <c r="E42" s="226"/>
      <c r="F42" s="226"/>
      <c r="G42" s="226"/>
    </row>
    <row r="43" spans="1:23" ht="29.1">
      <c r="B43" s="295" t="s">
        <v>3162</v>
      </c>
      <c r="C43" s="321">
        <v>1</v>
      </c>
      <c r="D43" s="24"/>
      <c r="E43" s="26"/>
      <c r="F43" s="26"/>
      <c r="G43" s="26"/>
    </row>
    <row r="44" spans="1:23">
      <c r="B44" s="320" t="s">
        <v>3163</v>
      </c>
      <c r="C44" s="322">
        <v>39.700000000000003</v>
      </c>
      <c r="D44" s="24"/>
      <c r="E44" s="26"/>
      <c r="F44" s="26"/>
      <c r="G44" s="26"/>
    </row>
    <row r="45" spans="1:23">
      <c r="B45" s="320" t="s">
        <v>3164</v>
      </c>
      <c r="C45" s="322">
        <f>C43*C44</f>
        <v>39.700000000000003</v>
      </c>
      <c r="D45" s="24"/>
      <c r="E45" s="26"/>
      <c r="F45" s="26"/>
      <c r="G45" s="26"/>
    </row>
    <row r="46" spans="1:23">
      <c r="B46" s="3"/>
      <c r="C46" s="333"/>
      <c r="D46" s="24"/>
      <c r="E46" s="26"/>
      <c r="F46" s="26"/>
      <c r="G46" s="26"/>
    </row>
    <row r="47" spans="1:23" s="262" customFormat="1">
      <c r="A47" s="727"/>
      <c r="B47" s="728" t="s">
        <v>943</v>
      </c>
      <c r="C47" s="727"/>
      <c r="D47" s="727"/>
      <c r="E47" s="727"/>
      <c r="F47" s="727"/>
      <c r="G47" s="727"/>
      <c r="H47" s="727"/>
      <c r="I47" s="2"/>
      <c r="J47" s="2"/>
      <c r="K47" s="2"/>
      <c r="L47" s="2"/>
      <c r="M47" s="2"/>
      <c r="N47" s="2"/>
      <c r="O47" s="2"/>
      <c r="P47" s="2"/>
      <c r="Q47" s="2"/>
      <c r="R47" s="2"/>
      <c r="S47" s="2"/>
      <c r="T47" s="2"/>
      <c r="U47" s="2"/>
      <c r="V47" s="2"/>
      <c r="W47" s="2"/>
    </row>
    <row r="48" spans="1:23" s="262" customFormat="1">
      <c r="A48" s="725"/>
      <c r="B48" s="726" t="s">
        <v>912</v>
      </c>
      <c r="C48" s="725"/>
      <c r="D48" s="725"/>
      <c r="E48" s="725"/>
      <c r="F48" s="725"/>
      <c r="G48" s="725"/>
      <c r="H48" s="725"/>
      <c r="I48" s="2"/>
      <c r="J48" s="2"/>
      <c r="K48" s="2"/>
      <c r="L48" s="2"/>
      <c r="M48" s="2"/>
      <c r="N48" s="2"/>
      <c r="O48" s="2"/>
      <c r="P48" s="2"/>
      <c r="Q48" s="2"/>
      <c r="R48" s="2"/>
      <c r="S48" s="2"/>
      <c r="T48" s="2"/>
      <c r="U48" s="2"/>
      <c r="V48" s="2"/>
      <c r="W48" s="2"/>
    </row>
    <row r="49" spans="1:11" ht="29.1">
      <c r="B49" s="719" t="s">
        <v>913</v>
      </c>
      <c r="C49" s="719" t="s">
        <v>914</v>
      </c>
      <c r="D49" s="719" t="s">
        <v>915</v>
      </c>
      <c r="E49" s="719" t="s">
        <v>916</v>
      </c>
      <c r="F49" s="719" t="s">
        <v>917</v>
      </c>
      <c r="G49" s="719" t="s">
        <v>918</v>
      </c>
      <c r="H49" s="719" t="s">
        <v>919</v>
      </c>
    </row>
    <row r="50" spans="1:11">
      <c r="B50" s="278">
        <v>113</v>
      </c>
      <c r="C50" s="278" t="s">
        <v>3165</v>
      </c>
      <c r="D50" s="279" t="s">
        <v>907</v>
      </c>
      <c r="E50" s="278">
        <v>2025</v>
      </c>
      <c r="F50" s="278" t="s">
        <v>1047</v>
      </c>
      <c r="G50" s="278" t="s">
        <v>1047</v>
      </c>
      <c r="H50" s="279" t="s">
        <v>907</v>
      </c>
    </row>
    <row r="51" spans="1:11">
      <c r="B51" s="16"/>
    </row>
    <row r="52" spans="1:11">
      <c r="A52" s="725"/>
      <c r="B52" s="726" t="s">
        <v>924</v>
      </c>
      <c r="C52" s="725"/>
      <c r="D52" s="725"/>
      <c r="E52" s="725"/>
      <c r="F52" s="725"/>
      <c r="G52" s="725"/>
      <c r="H52" s="725"/>
    </row>
    <row r="53" spans="1:11">
      <c r="B53" s="277" t="s">
        <v>165</v>
      </c>
      <c r="C53" s="277" t="s">
        <v>925</v>
      </c>
      <c r="D53" s="277" t="s">
        <v>926</v>
      </c>
      <c r="E53" s="1134" t="s">
        <v>927</v>
      </c>
      <c r="F53" s="1134"/>
      <c r="G53" s="1134"/>
      <c r="H53" s="1134"/>
    </row>
    <row r="54" spans="1:11">
      <c r="B54" s="278" t="s">
        <v>169</v>
      </c>
      <c r="C54" s="278" t="s">
        <v>167</v>
      </c>
      <c r="D54" s="278">
        <f>VLOOKUP(C54,METHODOLOGY!$C$175:$D$177,2,FALSE)</f>
        <v>2</v>
      </c>
      <c r="E54" s="1087" t="str">
        <f>_xlfn.XLOOKUP(C54,METHODOLOGY!$E$150:$O$150,METHODOLOGY!$E$151:$O$151,"",0,1)</f>
        <v>The monetary values are recommended / referenced in other, well recognised and accepted guidance / tools relevant to another sector.</v>
      </c>
      <c r="F54" s="1087"/>
      <c r="G54" s="1087"/>
      <c r="H54" s="1087"/>
    </row>
    <row r="55" spans="1:11">
      <c r="B55" s="278" t="s">
        <v>173</v>
      </c>
      <c r="C55" s="278" t="s">
        <v>166</v>
      </c>
      <c r="D55" s="278">
        <f>VLOOKUP(C55,METHODOLOGY!$C$175:$D$177,2,FALSE)</f>
        <v>3</v>
      </c>
      <c r="E55" s="1087" t="str">
        <f>_xlfn.XLOOKUP(C55,METHODOLOGY!$E$150:$O$150,METHODOLOGY!$E$155:$O$155,"",0,1)</f>
        <v>Study has few limitations and is considered robust.</v>
      </c>
      <c r="F55" s="1087"/>
      <c r="G55" s="1087"/>
      <c r="H55" s="1087"/>
    </row>
    <row r="56" spans="1:11">
      <c r="B56" s="278" t="s">
        <v>177</v>
      </c>
      <c r="C56" s="278" t="s">
        <v>166</v>
      </c>
      <c r="D56" s="278">
        <f>VLOOKUP(C56,METHODOLOGY!$C$175:$D$177,2,FALSE)</f>
        <v>3</v>
      </c>
      <c r="E56" s="1087" t="str">
        <f>_xlfn.XLOOKUP(C56,METHODOLOGY!$E$150:$O$150,METHODOLOGY!$E$158:$O$158,"",0,1)</f>
        <v>0 – 5 years</v>
      </c>
      <c r="F56" s="1087"/>
      <c r="G56" s="1087"/>
      <c r="H56" s="1087"/>
    </row>
    <row r="57" spans="1:11">
      <c r="B57" s="278" t="s">
        <v>181</v>
      </c>
      <c r="C57" s="278" t="s">
        <v>166</v>
      </c>
      <c r="D57" s="278">
        <f>VLOOKUP(C57,METHODOLOGY!$C$175:$D$177,2,FALSE)</f>
        <v>3</v>
      </c>
      <c r="E57" s="1087" t="str">
        <f>_xlfn.XLOOKUP(C57,METHODOLOGY!$E$150:$O$150,METHODOLOGY!$E$160:$O$160,"",0,1)</f>
        <v>Geographically relevant to UK</v>
      </c>
      <c r="F57" s="1087"/>
      <c r="G57" s="1087"/>
      <c r="H57" s="1087"/>
    </row>
    <row r="58" spans="1:11">
      <c r="B58" s="278" t="s">
        <v>928</v>
      </c>
      <c r="C58" s="278" t="s">
        <v>166</v>
      </c>
      <c r="D58" s="278">
        <f>VLOOKUP(C58,METHODOLOGY!$C$175:$D$177,2,FALSE)</f>
        <v>3</v>
      </c>
      <c r="E58" s="1087" t="str">
        <f>_xlfn.XLOOKUP(C58,METHODOLOGY!$E$150:$O$150,METHODOLOGY!$E$162:$O$162,"",0,1)</f>
        <v>Clear understanding of the valuation method and how the value should be applied.</v>
      </c>
      <c r="F58" s="1087"/>
      <c r="G58" s="1087"/>
      <c r="H58" s="1087"/>
    </row>
    <row r="59" spans="1:11">
      <c r="B59" s="278" t="s">
        <v>189</v>
      </c>
      <c r="C59" s="278" t="s">
        <v>166</v>
      </c>
      <c r="D59" s="278">
        <f>VLOOKUP(C59,METHODOLOGY!$C$175:$D$177,2,FALSE)</f>
        <v>3</v>
      </c>
      <c r="E59" s="1087" t="str">
        <f>_xlfn.XLOOKUP(C59,METHODOLOGY!$E$150:$O$150,METHODOLOGY!$E$164:$O$164,"",0,1)</f>
        <v xml:space="preserve">The original valuation can be used with no or very simple modification e.g. change units from ha to km2, applying inflation. </v>
      </c>
      <c r="F59" s="1087"/>
      <c r="G59" s="1087"/>
      <c r="H59" s="1087"/>
    </row>
    <row r="60" spans="1:11">
      <c r="C60" s="282" t="s">
        <v>924</v>
      </c>
      <c r="D60" s="326">
        <f>IF(AND(D59=1,AVERAGE(D54:D59)&gt;2.14285714285714),2.14285714285714,IF(AND(D59=2,AVERAGE(D54:D59)&gt;2.57142857142857),2.57142857142857,AVERAGE(D54:D59)))</f>
        <v>2.8333333333333335</v>
      </c>
      <c r="E60" s="270" t="str">
        <f>IF(D60&lt;=2.14285714285714,"Red",IF(D60&lt;=2.57142857142857,"Amber",IF(D60&lt;=3,"Green")))</f>
        <v>Green</v>
      </c>
    </row>
    <row r="63" spans="1:11">
      <c r="A63" s="725"/>
      <c r="B63" s="726" t="s">
        <v>929</v>
      </c>
      <c r="C63" s="725"/>
      <c r="D63" s="725"/>
      <c r="E63" s="725"/>
      <c r="F63" s="725"/>
      <c r="G63" s="725"/>
      <c r="H63" s="725"/>
    </row>
    <row r="64" spans="1:11">
      <c r="B64" s="277" t="s">
        <v>913</v>
      </c>
      <c r="C64" s="277" t="s">
        <v>898</v>
      </c>
      <c r="D64" s="277" t="s">
        <v>331</v>
      </c>
      <c r="E64" s="277" t="s">
        <v>226</v>
      </c>
      <c r="F64" s="1157" t="s">
        <v>930</v>
      </c>
      <c r="G64" s="1157"/>
      <c r="H64" s="1157"/>
      <c r="I64" s="1157"/>
      <c r="J64" s="1157"/>
      <c r="K64" s="1157"/>
    </row>
    <row r="65" spans="1:23" ht="33" customHeight="1">
      <c r="B65" s="278">
        <v>113</v>
      </c>
      <c r="C65" s="278" t="s">
        <v>462</v>
      </c>
      <c r="D65" s="278">
        <v>44.89</v>
      </c>
      <c r="E65" s="278" t="s">
        <v>1115</v>
      </c>
      <c r="F65" s="1095" t="s">
        <v>3166</v>
      </c>
      <c r="G65" s="1095"/>
      <c r="H65" s="1095"/>
      <c r="I65" s="1095"/>
      <c r="J65" s="1095"/>
      <c r="K65" s="1095"/>
    </row>
    <row r="67" spans="1:23">
      <c r="A67" s="725"/>
      <c r="B67" s="726" t="s">
        <v>936</v>
      </c>
      <c r="C67" s="725"/>
      <c r="D67" s="725"/>
      <c r="E67" s="725"/>
      <c r="F67" s="725"/>
      <c r="G67" s="725"/>
      <c r="H67" s="725"/>
    </row>
    <row r="68" spans="1:23">
      <c r="B68" s="298" t="s">
        <v>953</v>
      </c>
      <c r="C68" s="298" t="s">
        <v>936</v>
      </c>
      <c r="D68" s="226"/>
      <c r="E68" s="226"/>
      <c r="F68" s="226"/>
      <c r="G68" s="226"/>
    </row>
    <row r="69" spans="1:23" ht="29.1">
      <c r="B69" s="295" t="s">
        <v>3162</v>
      </c>
      <c r="C69" s="321">
        <v>1</v>
      </c>
      <c r="D69" s="24"/>
      <c r="E69" s="26"/>
      <c r="F69" s="26"/>
      <c r="G69" s="26"/>
    </row>
    <row r="70" spans="1:23">
      <c r="B70" s="320" t="s">
        <v>3163</v>
      </c>
      <c r="C70" s="322">
        <f>D65</f>
        <v>44.89</v>
      </c>
      <c r="D70" s="24"/>
      <c r="E70" s="26"/>
      <c r="F70" s="26"/>
      <c r="G70" s="26"/>
    </row>
    <row r="71" spans="1:23">
      <c r="B71" s="320" t="s">
        <v>3164</v>
      </c>
      <c r="C71" s="322">
        <f>C69*C70</f>
        <v>44.89</v>
      </c>
      <c r="D71" s="24"/>
      <c r="E71" s="26"/>
      <c r="F71" s="26"/>
      <c r="G71" s="26"/>
    </row>
    <row r="72" spans="1:23">
      <c r="B72" s="3"/>
      <c r="C72" s="333"/>
      <c r="D72" s="24"/>
      <c r="E72" s="26"/>
      <c r="F72" s="26"/>
      <c r="G72" s="26"/>
    </row>
    <row r="73" spans="1:23">
      <c r="A73" s="727"/>
      <c r="B73" s="728" t="s">
        <v>901</v>
      </c>
      <c r="C73" s="727"/>
      <c r="D73" s="727"/>
      <c r="E73" s="727"/>
      <c r="F73" s="727"/>
      <c r="G73" s="727"/>
      <c r="H73" s="727"/>
    </row>
    <row r="74" spans="1:23" ht="29.1">
      <c r="B74" s="719" t="s">
        <v>902</v>
      </c>
      <c r="C74" s="719" t="s">
        <v>898</v>
      </c>
      <c r="D74" s="719" t="s">
        <v>899</v>
      </c>
      <c r="E74" s="719" t="s">
        <v>903</v>
      </c>
      <c r="F74" s="719" t="s">
        <v>904</v>
      </c>
      <c r="G74" s="719" t="s">
        <v>905</v>
      </c>
      <c r="H74" s="752" t="s">
        <v>924</v>
      </c>
      <c r="I74" s="752" t="s">
        <v>956</v>
      </c>
      <c r="J74" s="752" t="s">
        <v>927</v>
      </c>
    </row>
    <row r="75" spans="1:23" ht="87">
      <c r="B75" s="278" t="s">
        <v>3167</v>
      </c>
      <c r="C75" s="278" t="s">
        <v>462</v>
      </c>
      <c r="D75" s="383" t="s">
        <v>910</v>
      </c>
      <c r="E75" s="299">
        <v>1</v>
      </c>
      <c r="F75" s="278" t="str" cm="1">
        <f t="array" ref="F75">_xlfn.XLOOKUP(1,(D79:D79=B75)*(E79:E79=C75),B79:B79,"Not found",0,1)</f>
        <v>35-1</v>
      </c>
      <c r="G75" s="311">
        <f>VLOOKUP(F75,B79:L97,11,FALSE)</f>
        <v>42.527345511651106</v>
      </c>
      <c r="H75" s="680">
        <f>D34</f>
        <v>2.8333333333333335</v>
      </c>
      <c r="I75" s="362" t="s">
        <v>3168</v>
      </c>
      <c r="J75" s="623" t="s">
        <v>3169</v>
      </c>
    </row>
    <row r="76" spans="1:23">
      <c r="B76" s="18"/>
    </row>
    <row r="77" spans="1:23">
      <c r="A77" s="725"/>
      <c r="B77" s="726" t="s">
        <v>962</v>
      </c>
      <c r="C77" s="725"/>
      <c r="D77" s="725"/>
      <c r="E77" s="725"/>
      <c r="F77" s="725"/>
      <c r="G77" s="725"/>
      <c r="H77" s="725"/>
    </row>
    <row r="78" spans="1:23">
      <c r="B78" s="277" t="s">
        <v>904</v>
      </c>
      <c r="C78" s="277" t="s">
        <v>62</v>
      </c>
      <c r="D78" s="277" t="s">
        <v>902</v>
      </c>
      <c r="E78" s="277" t="s">
        <v>898</v>
      </c>
      <c r="F78" s="277" t="s">
        <v>916</v>
      </c>
      <c r="G78" s="277" t="s">
        <v>963</v>
      </c>
      <c r="H78" s="277" t="s">
        <v>964</v>
      </c>
      <c r="I78" s="277" t="s">
        <v>965</v>
      </c>
      <c r="J78" s="277" t="s">
        <v>966</v>
      </c>
      <c r="K78" s="277" t="s">
        <v>967</v>
      </c>
      <c r="L78" s="277" t="s">
        <v>968</v>
      </c>
      <c r="M78" s="277" t="s">
        <v>956</v>
      </c>
      <c r="N78" s="277" t="s">
        <v>969</v>
      </c>
      <c r="O78" s="277" t="s">
        <v>970</v>
      </c>
      <c r="P78" s="277" t="s">
        <v>927</v>
      </c>
      <c r="Q78" s="277" t="s">
        <v>913</v>
      </c>
      <c r="R78" s="277" t="s">
        <v>914</v>
      </c>
      <c r="S78" s="277" t="s">
        <v>915</v>
      </c>
      <c r="T78" s="277" t="s">
        <v>916</v>
      </c>
      <c r="U78" s="277" t="s">
        <v>917</v>
      </c>
      <c r="V78" s="277" t="s">
        <v>918</v>
      </c>
      <c r="W78" s="277" t="s">
        <v>919</v>
      </c>
    </row>
    <row r="79" spans="1:23" ht="15" customHeight="1">
      <c r="B79" s="302" t="s">
        <v>3170</v>
      </c>
      <c r="C79" s="391" t="s">
        <v>3171</v>
      </c>
      <c r="D79" s="278" t="s">
        <v>3167</v>
      </c>
      <c r="E79" s="278" t="s">
        <v>462</v>
      </c>
      <c r="F79" s="299">
        <f>E24</f>
        <v>2024</v>
      </c>
      <c r="G79" s="278">
        <v>2022</v>
      </c>
      <c r="H79" s="278">
        <f>'COMPANY INPUT'!$C$16</f>
        <v>2023</v>
      </c>
      <c r="I79" s="278">
        <f>VLOOKUP(G79,'GDP Deflators'!$H$13:$I$86,2,FALSE)</f>
        <v>93.351699999999994</v>
      </c>
      <c r="J79" s="278">
        <f>VLOOKUP(H79,'GDP Deflators'!$H$13:$I$86,2,FALSE)</f>
        <v>100</v>
      </c>
      <c r="K79" s="535">
        <f>D39</f>
        <v>39.700000000000003</v>
      </c>
      <c r="L79" s="746">
        <f>K79*(J79/I79)</f>
        <v>42.527345511651106</v>
      </c>
      <c r="M79" s="278" t="s">
        <v>3168</v>
      </c>
      <c r="N79" s="684">
        <f>D34</f>
        <v>2.8333333333333335</v>
      </c>
      <c r="O79" s="278" t="s">
        <v>718</v>
      </c>
      <c r="P79" s="278" t="s">
        <v>3169</v>
      </c>
      <c r="Q79" s="299">
        <f>B24</f>
        <v>6</v>
      </c>
      <c r="R79" s="299" t="str">
        <f t="shared" ref="R79:V79" si="0">C24</f>
        <v>ONS (2024) Subregional productivity: labour productivity indices by city region</v>
      </c>
      <c r="S79" s="299" t="str">
        <f t="shared" si="0"/>
        <v>/</v>
      </c>
      <c r="T79" s="299">
        <f t="shared" si="0"/>
        <v>2024</v>
      </c>
      <c r="U79" s="299" t="str">
        <f t="shared" si="0"/>
        <v>UK</v>
      </c>
      <c r="V79" s="299" t="str">
        <f t="shared" si="0"/>
        <v>UK</v>
      </c>
      <c r="W79" s="299" t="str">
        <f>H24</f>
        <v>/</v>
      </c>
    </row>
    <row r="80" spans="1:23">
      <c r="B80" s="3"/>
      <c r="C80" s="333"/>
      <c r="D80" s="24"/>
      <c r="E80" s="26"/>
      <c r="F80" s="26"/>
      <c r="G80" s="26"/>
    </row>
    <row r="81" spans="1:10">
      <c r="A81" s="721"/>
      <c r="B81" s="796" t="s">
        <v>3172</v>
      </c>
      <c r="C81" s="721"/>
      <c r="D81" s="721"/>
      <c r="E81" s="721"/>
      <c r="F81" s="721"/>
      <c r="G81" s="721"/>
      <c r="H81" s="721"/>
    </row>
    <row r="82" spans="1:10">
      <c r="A82" s="727"/>
      <c r="B82" s="729" t="s">
        <v>897</v>
      </c>
      <c r="C82" s="727"/>
      <c r="D82" s="727"/>
      <c r="E82" s="727"/>
      <c r="F82" s="727"/>
      <c r="G82" s="727"/>
      <c r="H82" s="727"/>
    </row>
    <row r="83" spans="1:10">
      <c r="B83" s="277" t="s">
        <v>898</v>
      </c>
      <c r="C83" s="277" t="s">
        <v>899</v>
      </c>
    </row>
    <row r="84" spans="1:10">
      <c r="B84" s="278" t="s">
        <v>460</v>
      </c>
      <c r="C84" s="437" t="s">
        <v>3173</v>
      </c>
    </row>
    <row r="85" spans="1:10">
      <c r="B85" s="278" t="s">
        <v>448</v>
      </c>
      <c r="C85" s="437" t="s">
        <v>1624</v>
      </c>
    </row>
    <row r="86" spans="1:10">
      <c r="B86" s="16"/>
    </row>
    <row r="87" spans="1:10">
      <c r="A87" s="727"/>
      <c r="B87" s="728" t="s">
        <v>901</v>
      </c>
      <c r="C87" s="727"/>
      <c r="D87" s="727"/>
      <c r="E87" s="727"/>
      <c r="F87" s="727"/>
      <c r="G87" s="727"/>
      <c r="H87" s="727"/>
    </row>
    <row r="88" spans="1:10" ht="29.1">
      <c r="B88" s="719" t="s">
        <v>902</v>
      </c>
      <c r="C88" s="719" t="s">
        <v>898</v>
      </c>
      <c r="D88" s="719" t="s">
        <v>899</v>
      </c>
      <c r="E88" s="719" t="s">
        <v>903</v>
      </c>
      <c r="F88" s="719" t="s">
        <v>904</v>
      </c>
      <c r="G88" s="719" t="s">
        <v>905</v>
      </c>
      <c r="H88" s="719" t="s">
        <v>924</v>
      </c>
      <c r="I88" s="719" t="s">
        <v>956</v>
      </c>
      <c r="J88" s="719" t="s">
        <v>927</v>
      </c>
    </row>
    <row r="89" spans="1:10">
      <c r="B89" s="278" t="s">
        <v>640</v>
      </c>
      <c r="C89" s="278" t="s">
        <v>460</v>
      </c>
      <c r="D89" s="299" t="str">
        <f>C84</f>
        <v xml:space="preserve">Reduced trust from customers/stakeholders in water company </v>
      </c>
      <c r="E89" s="299" t="s">
        <v>906</v>
      </c>
      <c r="F89" s="279" t="s">
        <v>907</v>
      </c>
      <c r="G89" s="300" t="s">
        <v>477</v>
      </c>
      <c r="H89" s="640" t="s">
        <v>907</v>
      </c>
      <c r="I89" s="640" t="s">
        <v>907</v>
      </c>
      <c r="J89" s="640" t="s">
        <v>907</v>
      </c>
    </row>
    <row r="90" spans="1:10">
      <c r="B90" s="278" t="s">
        <v>641</v>
      </c>
      <c r="C90" s="278" t="s">
        <v>460</v>
      </c>
      <c r="D90" s="299" t="str">
        <f>C84</f>
        <v xml:space="preserve">Reduced trust from customers/stakeholders in water company </v>
      </c>
      <c r="E90" s="299" t="s">
        <v>906</v>
      </c>
      <c r="F90" s="279" t="s">
        <v>907</v>
      </c>
      <c r="G90" s="300" t="s">
        <v>477</v>
      </c>
      <c r="H90" s="640" t="s">
        <v>907</v>
      </c>
      <c r="I90" s="640" t="s">
        <v>907</v>
      </c>
      <c r="J90" s="640" t="s">
        <v>907</v>
      </c>
    </row>
    <row r="91" spans="1:10">
      <c r="B91" s="278" t="s">
        <v>642</v>
      </c>
      <c r="C91" s="278" t="s">
        <v>460</v>
      </c>
      <c r="D91" s="299" t="str">
        <f>C84</f>
        <v xml:space="preserve">Reduced trust from customers/stakeholders in water company </v>
      </c>
      <c r="E91" s="299" t="s">
        <v>906</v>
      </c>
      <c r="F91" s="279" t="s">
        <v>907</v>
      </c>
      <c r="G91" s="300" t="s">
        <v>477</v>
      </c>
      <c r="H91" s="640" t="s">
        <v>907</v>
      </c>
      <c r="I91" s="640" t="s">
        <v>907</v>
      </c>
      <c r="J91" s="640" t="s">
        <v>907</v>
      </c>
    </row>
    <row r="92" spans="1:10">
      <c r="B92" s="278" t="s">
        <v>640</v>
      </c>
      <c r="C92" s="278" t="s">
        <v>448</v>
      </c>
      <c r="D92" s="299" t="str">
        <f>C85</f>
        <v>Cost of failure</v>
      </c>
      <c r="E92" s="299" t="s">
        <v>906</v>
      </c>
      <c r="F92" s="279" t="s">
        <v>907</v>
      </c>
      <c r="G92" s="300" t="s">
        <v>477</v>
      </c>
      <c r="H92" s="640" t="s">
        <v>907</v>
      </c>
      <c r="I92" s="640" t="s">
        <v>907</v>
      </c>
      <c r="J92" s="640" t="s">
        <v>907</v>
      </c>
    </row>
    <row r="93" spans="1:10">
      <c r="B93" s="278" t="s">
        <v>641</v>
      </c>
      <c r="C93" s="278" t="s">
        <v>448</v>
      </c>
      <c r="D93" s="299" t="str">
        <f>C85</f>
        <v>Cost of failure</v>
      </c>
      <c r="E93" s="299" t="s">
        <v>906</v>
      </c>
      <c r="F93" s="279" t="s">
        <v>907</v>
      </c>
      <c r="G93" s="300" t="s">
        <v>477</v>
      </c>
      <c r="H93" s="640" t="s">
        <v>907</v>
      </c>
      <c r="I93" s="640" t="s">
        <v>907</v>
      </c>
      <c r="J93" s="640" t="s">
        <v>907</v>
      </c>
    </row>
    <row r="94" spans="1:10">
      <c r="B94" s="278" t="s">
        <v>642</v>
      </c>
      <c r="C94" s="278" t="s">
        <v>448</v>
      </c>
      <c r="D94" s="299" t="str">
        <f>C85</f>
        <v>Cost of failure</v>
      </c>
      <c r="E94" s="299" t="s">
        <v>906</v>
      </c>
      <c r="F94" s="279" t="s">
        <v>907</v>
      </c>
      <c r="G94" s="300" t="s">
        <v>477</v>
      </c>
      <c r="H94" s="640" t="s">
        <v>907</v>
      </c>
      <c r="I94" s="640" t="s">
        <v>907</v>
      </c>
      <c r="J94" s="640" t="s">
        <v>907</v>
      </c>
    </row>
    <row r="95" spans="1:10">
      <c r="D95" s="4"/>
      <c r="E95" s="4"/>
      <c r="G95" s="23"/>
      <c r="H95" s="23"/>
    </row>
  </sheetData>
  <sheetProtection algorithmName="SHA-512" hashValue="cN323LBbHs3jf2NeYO3WBOiA5vJ7u9iRSLaacX0eckgO8g2JiB0pZACuaqYsLMGGTEDe5TtdERuprI9+owtR+w==" saltValue="NuHQOBLeC+XS6YDLsitcRg==" spinCount="100000" sheet="1" objects="1" scenarios="1"/>
  <dataConsolidate/>
  <mergeCells count="20">
    <mergeCell ref="F38:K38"/>
    <mergeCell ref="F39:K39"/>
    <mergeCell ref="F64:K64"/>
    <mergeCell ref="F65:K65"/>
    <mergeCell ref="D9:F9"/>
    <mergeCell ref="E31:H31"/>
    <mergeCell ref="E32:H32"/>
    <mergeCell ref="E33:H33"/>
    <mergeCell ref="E58:H58"/>
    <mergeCell ref="E59:H59"/>
    <mergeCell ref="E53:H53"/>
    <mergeCell ref="E54:H54"/>
    <mergeCell ref="E55:H55"/>
    <mergeCell ref="E56:H56"/>
    <mergeCell ref="E57:H57"/>
    <mergeCell ref="B5:H5"/>
    <mergeCell ref="E27:H27"/>
    <mergeCell ref="E28:H28"/>
    <mergeCell ref="E29:H29"/>
    <mergeCell ref="E30:H30"/>
  </mergeCells>
  <conditionalFormatting sqref="D34:E34">
    <cfRule type="cellIs" dxfId="299" priority="11" operator="lessThanOrEqual">
      <formula>2.14285714285714</formula>
    </cfRule>
    <cfRule type="cellIs" dxfId="298" priority="12" operator="lessThanOrEqual">
      <formula>2.57142857142857</formula>
    </cfRule>
    <cfRule type="cellIs" dxfId="297" priority="13" operator="lessThanOrEqual">
      <formula>3</formula>
    </cfRule>
  </conditionalFormatting>
  <conditionalFormatting sqref="D60:E60">
    <cfRule type="cellIs" dxfId="296" priority="5" operator="lessThanOrEqual">
      <formula>2.14285714285714</formula>
    </cfRule>
    <cfRule type="cellIs" dxfId="295" priority="6" operator="lessThanOrEqual">
      <formula>2.57142857142857</formula>
    </cfRule>
    <cfRule type="cellIs" dxfId="294" priority="7" operator="lessThanOrEqual">
      <formula>3</formula>
    </cfRule>
  </conditionalFormatting>
  <conditionalFormatting sqref="D11:F13">
    <cfRule type="notContainsBlanks" dxfId="293" priority="1">
      <formula>LEN(TRIM(D11))&gt;0</formula>
    </cfRule>
  </conditionalFormatting>
  <conditionalFormatting sqref="E34">
    <cfRule type="containsText" dxfId="292" priority="8" operator="containsText" text="Green">
      <formula>NOT(ISERROR(SEARCH("Green",E34)))</formula>
    </cfRule>
    <cfRule type="containsText" dxfId="291" priority="9" operator="containsText" text="Amber">
      <formula>NOT(ISERROR(SEARCH("Amber",E34)))</formula>
    </cfRule>
    <cfRule type="containsText" dxfId="290" priority="10" operator="containsText" text="Red">
      <formula>NOT(ISERROR(SEARCH("Red",E34)))</formula>
    </cfRule>
  </conditionalFormatting>
  <conditionalFormatting sqref="E60">
    <cfRule type="containsText" dxfId="289" priority="2" operator="containsText" text="Green">
      <formula>NOT(ISERROR(SEARCH("Green",E60)))</formula>
    </cfRule>
    <cfRule type="containsText" dxfId="288" priority="3" operator="containsText" text="Amber">
      <formula>NOT(ISERROR(SEARCH("Amber",E60)))</formula>
    </cfRule>
    <cfRule type="containsText" dxfId="287" priority="4" operator="containsText" text="Red">
      <formula>NOT(ISERROR(SEARCH("Red",E60)))</formula>
    </cfRule>
  </conditionalFormatting>
  <conditionalFormatting sqref="H75">
    <cfRule type="cellIs" dxfId="286" priority="17" operator="lessThanOrEqual">
      <formula>2.14285714285714</formula>
    </cfRule>
    <cfRule type="cellIs" dxfId="285" priority="18" operator="lessThanOrEqual">
      <formula>2.57142857142857</formula>
    </cfRule>
    <cfRule type="cellIs" dxfId="284" priority="19" operator="lessThanOrEqual">
      <formula>3</formula>
    </cfRule>
  </conditionalFormatting>
  <conditionalFormatting sqref="N79">
    <cfRule type="cellIs" dxfId="283" priority="14" operator="lessThanOrEqual">
      <formula>2.14285714285714</formula>
    </cfRule>
    <cfRule type="cellIs" dxfId="282" priority="15" operator="lessThanOrEqual">
      <formula>2.57142857142857</formula>
    </cfRule>
    <cfRule type="cellIs" dxfId="281" priority="16" operator="lessThanOrEqual">
      <formula>3</formula>
    </cfRule>
  </conditionalFormatting>
  <dataValidations count="1">
    <dataValidation type="list" allowBlank="1" showInputMessage="1" showErrorMessage="1" sqref="C97 C35 C28:C33 C61 C54:C59" xr:uid="{6E1EB46F-3833-429A-A534-BF81A4BBE51F}">
      <formula1>"High, Medium, Low"</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3B945-4C30-4067-84ED-AD8E601BD6BE}">
  <sheetPr codeName="Sheet42">
    <tabColor theme="5" tint="0.59999389629810485"/>
  </sheetPr>
  <dimension ref="A1:W112"/>
  <sheetViews>
    <sheetView workbookViewId="0"/>
  </sheetViews>
  <sheetFormatPr defaultColWidth="9" defaultRowHeight="14.45"/>
  <cols>
    <col min="1" max="1" width="3.5" style="2" customWidth="1"/>
    <col min="2" max="3" width="40.625" style="2" customWidth="1"/>
    <col min="4" max="15" width="15.625" style="2" customWidth="1"/>
    <col min="16" max="16" width="16.125" style="2" customWidth="1"/>
    <col min="17" max="17" width="9" style="2"/>
    <col min="18" max="18" width="16.625" style="2" customWidth="1"/>
    <col min="19" max="19" width="18.5" style="2" customWidth="1"/>
    <col min="20" max="16384" width="9" style="2"/>
  </cols>
  <sheetData>
    <row r="1" spans="1:8" ht="15" thickBot="1"/>
    <row r="2" spans="1:8" s="710" customFormat="1" ht="18.95" thickBot="1">
      <c r="A2" s="707"/>
      <c r="B2" s="749" t="s">
        <v>426</v>
      </c>
      <c r="C2" s="711"/>
      <c r="D2" s="711"/>
    </row>
    <row r="4" spans="1:8" s="714" customFormat="1" ht="18.600000000000001">
      <c r="A4" s="715"/>
      <c r="B4" s="713" t="s">
        <v>893</v>
      </c>
      <c r="C4" s="715"/>
      <c r="D4" s="715"/>
      <c r="E4" s="715"/>
      <c r="F4" s="715"/>
      <c r="G4" s="715"/>
      <c r="H4" s="715"/>
    </row>
    <row r="5" spans="1:8" s="7" customFormat="1" ht="63" customHeight="1">
      <c r="A5" s="737"/>
      <c r="B5" s="1236" t="s">
        <v>3174</v>
      </c>
      <c r="C5" s="1236"/>
      <c r="D5" s="1236"/>
      <c r="E5" s="1236"/>
      <c r="F5" s="1236"/>
      <c r="G5" s="1236"/>
      <c r="H5" s="1236"/>
    </row>
    <row r="6" spans="1:8" s="7" customFormat="1"/>
    <row r="7" spans="1:8" s="718" customFormat="1" ht="18.600000000000001">
      <c r="A7" s="724"/>
      <c r="B7" s="724" t="s">
        <v>895</v>
      </c>
      <c r="C7" s="724"/>
      <c r="D7" s="724"/>
      <c r="E7" s="724"/>
      <c r="F7" s="724"/>
      <c r="G7" s="724"/>
      <c r="H7" s="724"/>
    </row>
    <row r="9" spans="1:8">
      <c r="D9" s="1179" t="s">
        <v>479</v>
      </c>
      <c r="E9" s="1179"/>
      <c r="F9" s="1179"/>
      <c r="G9" s="1179"/>
    </row>
    <row r="10" spans="1:8" ht="29.1">
      <c r="B10" s="399" t="s">
        <v>104</v>
      </c>
      <c r="C10" s="399" t="s">
        <v>226</v>
      </c>
      <c r="D10" s="719" t="s">
        <v>448</v>
      </c>
      <c r="E10" s="719" t="s">
        <v>460</v>
      </c>
      <c r="F10" s="719" t="s">
        <v>151</v>
      </c>
      <c r="G10" s="719" t="s">
        <v>465</v>
      </c>
    </row>
    <row r="11" spans="1:8">
      <c r="B11" s="297" t="s">
        <v>643</v>
      </c>
      <c r="C11" s="297" t="s">
        <v>372</v>
      </c>
      <c r="D11" s="793" t="s">
        <v>477</v>
      </c>
      <c r="E11" s="793" t="str" cm="1">
        <f t="array" ref="E11">_xlfn.XLOOKUP(1,($B11=$B$68:$B$71)*(E$10=$C$68:$C$71),$G$68:$G$71,"Not found",0,1)</f>
        <v>LG(H)</v>
      </c>
      <c r="F11" s="793"/>
      <c r="G11" s="793"/>
    </row>
    <row r="12" spans="1:8">
      <c r="B12" s="297" t="s">
        <v>644</v>
      </c>
      <c r="C12" s="297" t="s">
        <v>427</v>
      </c>
      <c r="D12" s="793" t="s">
        <v>477</v>
      </c>
      <c r="E12" s="793" t="str" cm="1">
        <f t="array" ref="E12">_xlfn.XLOOKUP(1,($B12=$B$68:$B$71)*(E$10=$C$68:$C$71),$G$68:$G$71,"Not found",0,1)</f>
        <v>LG(H)</v>
      </c>
      <c r="F12" s="793" cm="1">
        <f t="array" ref="F12">_xlfn.XLOOKUP(1,($B12=$B$51:$B$54)*(F$10=$C$51:$C$54),$G$51:$G$54,"Not found",0,1)</f>
        <v>30.636239168121133</v>
      </c>
      <c r="G12" s="793"/>
    </row>
    <row r="13" spans="1:8">
      <c r="B13" s="297" t="s">
        <v>645</v>
      </c>
      <c r="C13" s="297" t="s">
        <v>427</v>
      </c>
      <c r="D13" s="793" t="s">
        <v>477</v>
      </c>
      <c r="E13" s="793" t="str" cm="1">
        <f t="array" ref="E13">_xlfn.XLOOKUP(1,($B13=$B$68:$B$71)*(E$10=$C$68:$C$71),$G$68:$G$71,"Not found",0,1)</f>
        <v>LG(H)</v>
      </c>
      <c r="F13" s="793" cm="1">
        <f t="array" ref="F13">_xlfn.XLOOKUP(1,($B13=$B$51:$B$54)*(F$10=$C$51:$C$54),$G$51:$G$54,"Not found",0,1)</f>
        <v>30.636239168121133</v>
      </c>
      <c r="G13" s="793"/>
    </row>
    <row r="14" spans="1:8">
      <c r="B14" s="441" t="s">
        <v>646</v>
      </c>
      <c r="C14" s="297" t="s">
        <v>427</v>
      </c>
      <c r="D14" s="793" t="s">
        <v>477</v>
      </c>
      <c r="E14" s="793" t="str" cm="1">
        <f t="array" ref="E14">_xlfn.XLOOKUP(1,($B14=$B$68:$B$71)*(E$10=$C$68:$C$71),$G$68:$G$71,"Not found",0,1)</f>
        <v>LG(H)</v>
      </c>
      <c r="F14" s="793"/>
      <c r="G14" s="682">
        <f>_xlfn.XLOOKUP(1,($B14=$B$105)*(G$10=$C$105),$G$105,"Not found",0,1)</f>
        <v>0.3209074819255418</v>
      </c>
    </row>
    <row r="15" spans="1:8">
      <c r="B15" s="800" t="s">
        <v>896</v>
      </c>
    </row>
    <row r="17" spans="1:8">
      <c r="A17" s="721"/>
      <c r="B17" s="722" t="s">
        <v>151</v>
      </c>
      <c r="C17" s="721"/>
      <c r="D17" s="721"/>
      <c r="E17" s="721"/>
      <c r="F17" s="721"/>
      <c r="G17" s="721"/>
      <c r="H17" s="721"/>
    </row>
    <row r="18" spans="1:8">
      <c r="A18" s="727"/>
      <c r="B18" s="729" t="s">
        <v>897</v>
      </c>
      <c r="C18" s="727"/>
      <c r="D18" s="727"/>
      <c r="E18" s="727"/>
      <c r="F18" s="727"/>
      <c r="G18" s="727"/>
      <c r="H18" s="727"/>
    </row>
    <row r="19" spans="1:8">
      <c r="B19" s="277" t="s">
        <v>898</v>
      </c>
      <c r="C19" s="277" t="s">
        <v>899</v>
      </c>
    </row>
    <row r="20" spans="1:8">
      <c r="B20" s="278" t="s">
        <v>151</v>
      </c>
      <c r="C20" s="278" t="s">
        <v>3175</v>
      </c>
    </row>
    <row r="21" spans="1:8">
      <c r="B21" s="16"/>
    </row>
    <row r="22" spans="1:8">
      <c r="A22" s="727"/>
      <c r="B22" s="728" t="s">
        <v>911</v>
      </c>
      <c r="C22" s="727"/>
      <c r="D22" s="727"/>
      <c r="E22" s="727"/>
      <c r="F22" s="727"/>
      <c r="G22" s="727"/>
      <c r="H22" s="727"/>
    </row>
    <row r="23" spans="1:8">
      <c r="A23" s="725"/>
      <c r="B23" s="726" t="s">
        <v>912</v>
      </c>
      <c r="C23" s="725"/>
      <c r="D23" s="725"/>
      <c r="E23" s="725"/>
      <c r="F23" s="725"/>
      <c r="G23" s="725"/>
      <c r="H23" s="725"/>
    </row>
    <row r="24" spans="1:8" ht="29.1">
      <c r="B24" s="719" t="s">
        <v>913</v>
      </c>
      <c r="C24" s="719" t="s">
        <v>914</v>
      </c>
      <c r="D24" s="719" t="s">
        <v>915</v>
      </c>
      <c r="E24" s="719" t="s">
        <v>916</v>
      </c>
      <c r="F24" s="719" t="s">
        <v>917</v>
      </c>
      <c r="G24" s="719" t="s">
        <v>918</v>
      </c>
      <c r="H24" s="719" t="s">
        <v>919</v>
      </c>
    </row>
    <row r="25" spans="1:8">
      <c r="B25" s="278">
        <v>88</v>
      </c>
      <c r="C25" s="278" t="s">
        <v>3176</v>
      </c>
      <c r="D25" s="278" t="s">
        <v>1182</v>
      </c>
      <c r="E25" s="278">
        <v>2013</v>
      </c>
      <c r="F25" s="278" t="s">
        <v>1047</v>
      </c>
      <c r="G25" s="278" t="s">
        <v>3177</v>
      </c>
      <c r="H25" s="278"/>
    </row>
    <row r="26" spans="1:8">
      <c r="B26" s="16"/>
    </row>
    <row r="27" spans="1:8">
      <c r="A27" s="725"/>
      <c r="B27" s="726" t="s">
        <v>924</v>
      </c>
      <c r="C27" s="725"/>
      <c r="D27" s="725"/>
      <c r="E27" s="725"/>
      <c r="F27" s="725"/>
      <c r="G27" s="725"/>
      <c r="H27" s="725"/>
    </row>
    <row r="28" spans="1:8">
      <c r="B28" s="277" t="s">
        <v>165</v>
      </c>
      <c r="C28" s="277" t="s">
        <v>925</v>
      </c>
      <c r="D28" s="277" t="s">
        <v>926</v>
      </c>
      <c r="E28" s="1134" t="s">
        <v>927</v>
      </c>
      <c r="F28" s="1134"/>
      <c r="G28" s="1134"/>
      <c r="H28" s="1134"/>
    </row>
    <row r="29" spans="1:8">
      <c r="B29" s="278" t="s">
        <v>169</v>
      </c>
      <c r="C29" s="278" t="s">
        <v>166</v>
      </c>
      <c r="D29" s="278">
        <f>VLOOKUP(C29,METHODOLOGY!$C$175:$D$177,2,FALSE)</f>
        <v>3</v>
      </c>
      <c r="E29" s="1087" t="str">
        <f>_xlfn.XLOOKUP(C29,METHODOLOGY!$E$150:$O$150,METHODOLOGY!$E$151:$O$151,"",0,1)</f>
        <v>Monetary values have been peer reviewed or are recommended / referenced in other, well recognised and accepted guidance / tools relevant to the water sector.</v>
      </c>
      <c r="F29" s="1087"/>
      <c r="G29" s="1087"/>
      <c r="H29" s="1087"/>
    </row>
    <row r="30" spans="1:8">
      <c r="B30" s="278" t="s">
        <v>173</v>
      </c>
      <c r="C30" s="278" t="s">
        <v>167</v>
      </c>
      <c r="D30" s="278">
        <f>VLOOKUP(C30,METHODOLOGY!$C$175:$D$177,2,FALSE)</f>
        <v>2</v>
      </c>
      <c r="E30" s="1087" t="str">
        <f>_xlfn.XLOOKUP(C30,METHODOLOGY!$E$150:$O$150,METHODOLOGY!$E$155:$O$155,"",0,1)</f>
        <v>Study has some limitations which may impact on the robustness of the value.</v>
      </c>
      <c r="F30" s="1087"/>
      <c r="G30" s="1087"/>
      <c r="H30" s="1087"/>
    </row>
    <row r="31" spans="1:8">
      <c r="B31" s="278" t="s">
        <v>177</v>
      </c>
      <c r="C31" s="278" t="s">
        <v>167</v>
      </c>
      <c r="D31" s="278">
        <f>VLOOKUP(C31,METHODOLOGY!$C$175:$D$177,2,FALSE)</f>
        <v>2</v>
      </c>
      <c r="E31" s="1087" t="str">
        <f>_xlfn.XLOOKUP(C31,METHODOLOGY!$E$150:$O$150,METHODOLOGY!$E$158:$O$158,"",0,1)</f>
        <v>6-10 years</v>
      </c>
      <c r="F31" s="1087"/>
      <c r="G31" s="1087"/>
      <c r="H31" s="1087"/>
    </row>
    <row r="32" spans="1:8">
      <c r="B32" s="278" t="s">
        <v>181</v>
      </c>
      <c r="C32" s="278" t="s">
        <v>166</v>
      </c>
      <c r="D32" s="278">
        <f>VLOOKUP(C32,METHODOLOGY!$C$175:$D$177,2,FALSE)</f>
        <v>3</v>
      </c>
      <c r="E32" s="1087" t="str">
        <f>_xlfn.XLOOKUP(C32,METHODOLOGY!$E$150:$O$150,METHODOLOGY!$E$160:$O$160,"",0,1)</f>
        <v>Geographically relevant to UK</v>
      </c>
      <c r="F32" s="1087"/>
      <c r="G32" s="1087"/>
      <c r="H32" s="1087"/>
    </row>
    <row r="33" spans="1:12">
      <c r="B33" s="278" t="s">
        <v>928</v>
      </c>
      <c r="C33" s="278" t="s">
        <v>166</v>
      </c>
      <c r="D33" s="278">
        <f>VLOOKUP(C33,METHODOLOGY!$C$175:$D$177,2,FALSE)</f>
        <v>3</v>
      </c>
      <c r="E33" s="1087" t="str">
        <f>_xlfn.XLOOKUP(C33,METHODOLOGY!$E$150:$O$150,METHODOLOGY!$E$162:$O$162,"",0,1)</f>
        <v>Clear understanding of the valuation method and how the value should be applied.</v>
      </c>
      <c r="F33" s="1087"/>
      <c r="G33" s="1087"/>
      <c r="H33" s="1087"/>
    </row>
    <row r="34" spans="1:12">
      <c r="B34" s="278" t="s">
        <v>189</v>
      </c>
      <c r="C34" s="278" t="s">
        <v>167</v>
      </c>
      <c r="D34" s="278">
        <f>VLOOKUP(C34,METHODOLOGY!$C$175:$D$177,2,FALSE)</f>
        <v>2</v>
      </c>
      <c r="E34" s="1087" t="str">
        <f>_xlfn.XLOOKUP(C34,METHODOLOGY!$E$150:$O$150,METHODOLOGY!$E$164:$O$164,"",0,1)</f>
        <v xml:space="preserve">The original valuation can be used with some modification e.g. applying household numbers. The calculation is simple or introduces low levels of uncertainty. </v>
      </c>
      <c r="F34" s="1087"/>
      <c r="G34" s="1087"/>
      <c r="H34" s="1087"/>
    </row>
    <row r="35" spans="1:12">
      <c r="C35" s="282" t="s">
        <v>924</v>
      </c>
      <c r="D35" s="326">
        <f>IF(AND(D34=1,AVERAGE(D29:D34)&gt;2.14285714285714),2.14285714285714,IF(AND(D34=2,AVERAGE(D29:D34)&gt;2.57142857142857),2.57142857142857,AVERAGE(D29:D34)))</f>
        <v>2.5</v>
      </c>
      <c r="E35" s="270" t="str">
        <f>IF(D35&lt;=2.14285714285714,"Red",IF(D35&lt;=2.57142857142857,"Amber",IF(D35&lt;=3,"Green")))</f>
        <v>Amber</v>
      </c>
    </row>
    <row r="37" spans="1:12">
      <c r="A37" s="725"/>
      <c r="B37" s="726" t="s">
        <v>929</v>
      </c>
      <c r="C37" s="725"/>
      <c r="D37" s="725"/>
      <c r="E37" s="725"/>
      <c r="F37" s="725"/>
      <c r="G37" s="725"/>
      <c r="H37" s="725"/>
    </row>
    <row r="38" spans="1:12">
      <c r="B38" s="277" t="s">
        <v>913</v>
      </c>
      <c r="C38" s="277" t="s">
        <v>1089</v>
      </c>
      <c r="D38" s="277" t="s">
        <v>902</v>
      </c>
      <c r="E38" s="277" t="s">
        <v>331</v>
      </c>
      <c r="F38" s="277" t="s">
        <v>226</v>
      </c>
      <c r="G38" s="1157" t="s">
        <v>930</v>
      </c>
      <c r="H38" s="1157"/>
      <c r="I38" s="1157"/>
      <c r="J38" s="1157"/>
      <c r="K38" s="1157"/>
      <c r="L38" s="1157"/>
    </row>
    <row r="39" spans="1:12" ht="67.5" customHeight="1">
      <c r="B39" s="1387">
        <v>88</v>
      </c>
      <c r="C39" s="1387" t="s">
        <v>151</v>
      </c>
      <c r="D39" s="268" t="s">
        <v>644</v>
      </c>
      <c r="E39" s="1387">
        <v>2.6</v>
      </c>
      <c r="F39" s="1457" t="s">
        <v>3178</v>
      </c>
      <c r="G39" s="1180" t="s">
        <v>3179</v>
      </c>
      <c r="H39" s="1181"/>
      <c r="I39" s="1181"/>
      <c r="J39" s="1181"/>
      <c r="K39" s="1181"/>
      <c r="L39" s="1182"/>
    </row>
    <row r="40" spans="1:12" ht="70.5" customHeight="1">
      <c r="B40" s="1388"/>
      <c r="C40" s="1388"/>
      <c r="D40" s="475" t="s">
        <v>645</v>
      </c>
      <c r="E40" s="1388"/>
      <c r="F40" s="1458"/>
      <c r="G40" s="1213"/>
      <c r="H40" s="1184"/>
      <c r="I40" s="1184"/>
      <c r="J40" s="1184"/>
      <c r="K40" s="1184"/>
      <c r="L40" s="1185"/>
    </row>
    <row r="41" spans="1:12">
      <c r="D41" s="206"/>
    </row>
    <row r="42" spans="1:12">
      <c r="A42" s="725"/>
      <c r="B42" s="726" t="s">
        <v>936</v>
      </c>
      <c r="C42" s="725"/>
      <c r="D42" s="725"/>
      <c r="E42" s="725"/>
      <c r="F42" s="725"/>
      <c r="G42" s="725"/>
      <c r="H42" s="725"/>
    </row>
    <row r="43" spans="1:12">
      <c r="B43" s="294" t="s">
        <v>936</v>
      </c>
      <c r="C43" s="395"/>
      <c r="D43" s="395"/>
      <c r="E43" s="395"/>
      <c r="F43" s="1249" t="s">
        <v>930</v>
      </c>
      <c r="G43" s="1459"/>
      <c r="H43" s="1459"/>
      <c r="I43" s="1459"/>
      <c r="J43" s="1459"/>
      <c r="K43" s="1459"/>
      <c r="L43" s="1250"/>
    </row>
    <row r="44" spans="1:12" ht="29.45" customHeight="1">
      <c r="B44" s="334" t="s">
        <v>3180</v>
      </c>
      <c r="C44" s="396"/>
      <c r="D44" s="295"/>
      <c r="E44" s="387">
        <v>330000</v>
      </c>
      <c r="F44" s="1154" t="s">
        <v>3181</v>
      </c>
      <c r="G44" s="1155"/>
      <c r="H44" s="1155"/>
      <c r="I44" s="1155"/>
      <c r="J44" s="1155"/>
      <c r="K44" s="1155"/>
      <c r="L44" s="1156"/>
    </row>
    <row r="45" spans="1:12">
      <c r="B45" s="334" t="s">
        <v>3182</v>
      </c>
      <c r="C45" s="396"/>
      <c r="D45" s="295"/>
      <c r="E45" s="489">
        <v>2.5999999999999999E-2</v>
      </c>
      <c r="F45" s="1154"/>
      <c r="G45" s="1155"/>
      <c r="H45" s="1155"/>
      <c r="I45" s="1155"/>
      <c r="J45" s="1155"/>
      <c r="K45" s="1155"/>
      <c r="L45" s="1156"/>
    </row>
    <row r="46" spans="1:12">
      <c r="B46" s="334" t="s">
        <v>3183</v>
      </c>
      <c r="C46" s="396"/>
      <c r="D46" s="295"/>
      <c r="E46" s="387">
        <f>E44*E45</f>
        <v>8580</v>
      </c>
      <c r="F46" s="1154"/>
      <c r="G46" s="1155"/>
      <c r="H46" s="1155"/>
      <c r="I46" s="1155"/>
      <c r="J46" s="1155"/>
      <c r="K46" s="1155"/>
      <c r="L46" s="1156"/>
    </row>
    <row r="47" spans="1:12">
      <c r="B47" s="334" t="s">
        <v>3184</v>
      </c>
      <c r="C47" s="396"/>
      <c r="D47" s="295"/>
      <c r="E47" s="387">
        <f>E46/365</f>
        <v>23.506849315068493</v>
      </c>
      <c r="F47" s="1154"/>
      <c r="G47" s="1155"/>
      <c r="H47" s="1155"/>
      <c r="I47" s="1155"/>
      <c r="J47" s="1155"/>
      <c r="K47" s="1155"/>
      <c r="L47" s="1156"/>
    </row>
    <row r="49" spans="1:23">
      <c r="A49" s="727"/>
      <c r="B49" s="728" t="s">
        <v>901</v>
      </c>
      <c r="C49" s="727"/>
      <c r="D49" s="727"/>
      <c r="E49" s="727"/>
      <c r="F49" s="727"/>
      <c r="G49" s="727"/>
      <c r="H49" s="727"/>
    </row>
    <row r="50" spans="1:23" ht="29.1">
      <c r="B50" s="719" t="s">
        <v>902</v>
      </c>
      <c r="C50" s="719" t="s">
        <v>898</v>
      </c>
      <c r="D50" s="719" t="s">
        <v>899</v>
      </c>
      <c r="E50" s="719" t="s">
        <v>903</v>
      </c>
      <c r="F50" s="719" t="s">
        <v>904</v>
      </c>
      <c r="G50" s="719" t="s">
        <v>905</v>
      </c>
      <c r="H50" s="752" t="s">
        <v>924</v>
      </c>
      <c r="I50" s="752" t="s">
        <v>956</v>
      </c>
      <c r="J50" s="752" t="s">
        <v>927</v>
      </c>
    </row>
    <row r="51" spans="1:23" ht="45" customHeight="1">
      <c r="B51" s="475" t="s">
        <v>644</v>
      </c>
      <c r="C51" s="375" t="s">
        <v>151</v>
      </c>
      <c r="D51" s="383" t="str">
        <f>C20</f>
        <v>Negative impact on quality of place due to odour</v>
      </c>
      <c r="E51" s="299" t="s">
        <v>957</v>
      </c>
      <c r="F51" s="278" t="str" cm="1">
        <f t="array" ref="F51">_xlfn.XLOOKUP(1,(D56:D57=B51)*(E56:E57=C51),B56:B57,"Not found",0,1)</f>
        <v>36-1</v>
      </c>
      <c r="G51" s="311">
        <f>VLOOKUP(F51,B56:L58,11,FALSE)</f>
        <v>30.636239168121133</v>
      </c>
      <c r="H51" s="1120">
        <f>$D$35</f>
        <v>2.5</v>
      </c>
      <c r="I51" s="1167" t="s">
        <v>2976</v>
      </c>
      <c r="J51" s="1167" t="s">
        <v>3185</v>
      </c>
    </row>
    <row r="52" spans="1:23" ht="45" customHeight="1">
      <c r="B52" s="475" t="s">
        <v>645</v>
      </c>
      <c r="C52" s="375" t="s">
        <v>151</v>
      </c>
      <c r="D52" s="383" t="str">
        <f>C20</f>
        <v>Negative impact on quality of place due to odour</v>
      </c>
      <c r="E52" s="299" t="s">
        <v>957</v>
      </c>
      <c r="F52" s="278" t="str" cm="1">
        <f t="array" ref="F52">_xlfn.XLOOKUP(1,(D57:D58=B52)*(E57:E58=C52),B57:B58,"Not found",0,1)</f>
        <v>36-2</v>
      </c>
      <c r="G52" s="311">
        <f>VLOOKUP(F52,B57:L59,11,FALSE)</f>
        <v>30.636239168121133</v>
      </c>
      <c r="H52" s="1122"/>
      <c r="I52" s="1169"/>
      <c r="J52" s="1169"/>
    </row>
    <row r="53" spans="1:23">
      <c r="B53" s="18"/>
    </row>
    <row r="54" spans="1:23">
      <c r="A54" s="725"/>
      <c r="B54" s="726" t="s">
        <v>962</v>
      </c>
      <c r="C54" s="725"/>
      <c r="D54" s="725"/>
      <c r="E54" s="725"/>
      <c r="F54" s="725"/>
      <c r="G54" s="725"/>
      <c r="H54" s="725"/>
    </row>
    <row r="55" spans="1:23">
      <c r="B55" s="277" t="s">
        <v>904</v>
      </c>
      <c r="C55" s="277" t="s">
        <v>62</v>
      </c>
      <c r="D55" s="277" t="s">
        <v>902</v>
      </c>
      <c r="E55" s="277" t="s">
        <v>898</v>
      </c>
      <c r="F55" s="277" t="s">
        <v>916</v>
      </c>
      <c r="G55" s="277" t="s">
        <v>963</v>
      </c>
      <c r="H55" s="277" t="s">
        <v>964</v>
      </c>
      <c r="I55" s="277" t="s">
        <v>965</v>
      </c>
      <c r="J55" s="277" t="s">
        <v>966</v>
      </c>
      <c r="K55" s="277" t="s">
        <v>967</v>
      </c>
      <c r="L55" s="277" t="s">
        <v>968</v>
      </c>
      <c r="M55" s="277" t="s">
        <v>956</v>
      </c>
      <c r="N55" s="277" t="s">
        <v>969</v>
      </c>
      <c r="O55" s="277" t="s">
        <v>970</v>
      </c>
      <c r="P55" s="277" t="s">
        <v>927</v>
      </c>
      <c r="Q55" s="277" t="s">
        <v>913</v>
      </c>
      <c r="R55" s="277" t="s">
        <v>914</v>
      </c>
      <c r="S55" s="277" t="s">
        <v>915</v>
      </c>
      <c r="T55" s="277" t="s">
        <v>916</v>
      </c>
      <c r="U55" s="277" t="s">
        <v>917</v>
      </c>
      <c r="V55" s="277" t="s">
        <v>918</v>
      </c>
      <c r="W55" s="277" t="s">
        <v>919</v>
      </c>
    </row>
    <row r="56" spans="1:23" ht="57.95">
      <c r="B56" s="302" t="s">
        <v>3186</v>
      </c>
      <c r="C56" s="279" t="s">
        <v>426</v>
      </c>
      <c r="D56" s="475" t="s">
        <v>644</v>
      </c>
      <c r="E56" s="278" t="s">
        <v>151</v>
      </c>
      <c r="F56" s="299">
        <v>2013</v>
      </c>
      <c r="G56" s="278">
        <v>2013</v>
      </c>
      <c r="H56" s="278">
        <f>'COMPANY INPUT'!$C$16</f>
        <v>2023</v>
      </c>
      <c r="I56" s="278">
        <f>VLOOKUP(G56,'GDP Deflators'!$H$13:$I$86,2,FALSE)</f>
        <v>76.728899999999996</v>
      </c>
      <c r="J56" s="278">
        <f>VLOOKUP(H56,'GDP Deflators'!$H$13:$I$86,2,FALSE)</f>
        <v>100</v>
      </c>
      <c r="K56" s="387">
        <f>E47</f>
        <v>23.506849315068493</v>
      </c>
      <c r="L56" s="746">
        <f>K56*(J56/I56)</f>
        <v>30.636239168121133</v>
      </c>
      <c r="M56" s="278" t="str">
        <f>$I$51</f>
        <v>Hedonic pricing</v>
      </c>
      <c r="N56" s="326">
        <f>$H$51</f>
        <v>2.5</v>
      </c>
      <c r="O56" s="278" t="s">
        <v>718</v>
      </c>
      <c r="P56" s="278" t="str">
        <f>$J$51</f>
        <v>Valuation assumes that the  dis-amenity impact of a wastewater treatment work is similar to that of a landfill. We have also assumed the same dis-amenity value per day for chronic and transient events due to a lack of better available research</v>
      </c>
      <c r="Q56" s="299">
        <f t="shared" ref="Q56:W56" si="0">B25</f>
        <v>88</v>
      </c>
      <c r="R56" s="278" t="str">
        <f t="shared" si="0"/>
        <v>Ham et al (2013) The valuation of landfill disamenities in Birmingham</v>
      </c>
      <c r="S56" s="278" t="str">
        <f t="shared" si="0"/>
        <v>ENCA</v>
      </c>
      <c r="T56" s="278">
        <f t="shared" si="0"/>
        <v>2013</v>
      </c>
      <c r="U56" s="278" t="str">
        <f t="shared" si="0"/>
        <v>UK</v>
      </c>
      <c r="V56" s="278" t="str">
        <f t="shared" si="0"/>
        <v>Birmingham</v>
      </c>
      <c r="W56" s="278">
        <f t="shared" si="0"/>
        <v>0</v>
      </c>
    </row>
    <row r="57" spans="1:23" ht="72.599999999999994">
      <c r="B57" s="302" t="s">
        <v>3187</v>
      </c>
      <c r="C57" s="279" t="s">
        <v>426</v>
      </c>
      <c r="D57" s="475" t="s">
        <v>645</v>
      </c>
      <c r="E57" s="278" t="s">
        <v>151</v>
      </c>
      <c r="F57" s="299">
        <v>2013</v>
      </c>
      <c r="G57" s="278">
        <v>2013</v>
      </c>
      <c r="H57" s="278">
        <f>'COMPANY INPUT'!$C$16</f>
        <v>2023</v>
      </c>
      <c r="I57" s="278">
        <f>VLOOKUP(G57,'GDP Deflators'!$H$13:$I$86,2,FALSE)</f>
        <v>76.728899999999996</v>
      </c>
      <c r="J57" s="278">
        <f>VLOOKUP(H57,'GDP Deflators'!$H$13:$I$86,2,FALSE)</f>
        <v>100</v>
      </c>
      <c r="K57" s="387">
        <f>E47</f>
        <v>23.506849315068493</v>
      </c>
      <c r="L57" s="746">
        <f>K57*(J57/I57)</f>
        <v>30.636239168121133</v>
      </c>
      <c r="M57" s="278" t="str">
        <f>$I$51</f>
        <v>Hedonic pricing</v>
      </c>
      <c r="N57" s="326">
        <f>$H$51</f>
        <v>2.5</v>
      </c>
      <c r="O57" s="278" t="s">
        <v>718</v>
      </c>
      <c r="P57" s="278" t="str">
        <f>$J$51</f>
        <v>Valuation assumes that the  dis-amenity impact of a wastewater treatment work is similar to that of a landfill. We have also assumed the same dis-amenity value per day for chronic and transient events due to a lack of better available research</v>
      </c>
      <c r="Q57" s="299">
        <f t="shared" ref="Q57:V57" si="1">B25</f>
        <v>88</v>
      </c>
      <c r="R57" s="278" t="str">
        <f t="shared" si="1"/>
        <v>Ham et al (2013) The valuation of landfill disamenities in Birmingham</v>
      </c>
      <c r="S57" s="278" t="str">
        <f t="shared" si="1"/>
        <v>ENCA</v>
      </c>
      <c r="T57" s="278">
        <f t="shared" si="1"/>
        <v>2013</v>
      </c>
      <c r="U57" s="278" t="str">
        <f t="shared" si="1"/>
        <v>UK</v>
      </c>
      <c r="V57" s="278" t="str">
        <f t="shared" si="1"/>
        <v>Birmingham</v>
      </c>
      <c r="W57" s="278">
        <f>H26</f>
        <v>0</v>
      </c>
    </row>
    <row r="60" spans="1:23">
      <c r="B60" s="18"/>
    </row>
    <row r="61" spans="1:23">
      <c r="A61" s="721"/>
      <c r="B61" s="722" t="s">
        <v>460</v>
      </c>
      <c r="C61" s="721"/>
      <c r="D61" s="721"/>
      <c r="E61" s="721"/>
      <c r="F61" s="721"/>
      <c r="G61" s="721"/>
      <c r="H61" s="721"/>
    </row>
    <row r="62" spans="1:23">
      <c r="A62" s="727"/>
      <c r="B62" s="729" t="s">
        <v>897</v>
      </c>
      <c r="C62" s="727"/>
      <c r="D62" s="727"/>
      <c r="E62" s="727"/>
      <c r="F62" s="727"/>
      <c r="G62" s="727"/>
      <c r="H62" s="727"/>
    </row>
    <row r="63" spans="1:23">
      <c r="B63" s="277" t="s">
        <v>898</v>
      </c>
      <c r="C63" s="277" t="s">
        <v>899</v>
      </c>
    </row>
    <row r="64" spans="1:23">
      <c r="B64" s="278" t="s">
        <v>460</v>
      </c>
      <c r="C64" s="278" t="s">
        <v>3188</v>
      </c>
    </row>
    <row r="65" spans="1:11">
      <c r="B65" s="16"/>
    </row>
    <row r="66" spans="1:11">
      <c r="A66" s="727"/>
      <c r="B66" s="728" t="s">
        <v>901</v>
      </c>
      <c r="C66" s="727"/>
      <c r="D66" s="727"/>
      <c r="E66" s="727"/>
      <c r="F66" s="727"/>
      <c r="G66" s="727"/>
      <c r="H66" s="727"/>
    </row>
    <row r="67" spans="1:11" ht="29.1">
      <c r="B67" s="719" t="s">
        <v>902</v>
      </c>
      <c r="C67" s="719" t="s">
        <v>898</v>
      </c>
      <c r="D67" s="719" t="s">
        <v>899</v>
      </c>
      <c r="E67" s="719" t="s">
        <v>903</v>
      </c>
      <c r="F67" s="719" t="s">
        <v>904</v>
      </c>
      <c r="G67" s="719" t="s">
        <v>905</v>
      </c>
      <c r="H67" s="719" t="s">
        <v>924</v>
      </c>
      <c r="I67" s="774" t="s">
        <v>956</v>
      </c>
      <c r="J67" s="719" t="s">
        <v>927</v>
      </c>
      <c r="K67" s="267"/>
    </row>
    <row r="68" spans="1:11">
      <c r="B68" s="297" t="s">
        <v>643</v>
      </c>
      <c r="C68" s="299" t="str">
        <f>$B$64</f>
        <v>Trust</v>
      </c>
      <c r="D68" s="278" t="str">
        <f>$C$64</f>
        <v>Reduction in customer trust as a result of nuisance</v>
      </c>
      <c r="E68" s="299" t="s">
        <v>906</v>
      </c>
      <c r="F68" s="279" t="s">
        <v>907</v>
      </c>
      <c r="G68" s="300" t="s">
        <v>477</v>
      </c>
      <c r="H68" s="643" t="s">
        <v>907</v>
      </c>
      <c r="I68" s="643" t="s">
        <v>907</v>
      </c>
      <c r="J68" s="640" t="s">
        <v>907</v>
      </c>
      <c r="K68" s="6"/>
    </row>
    <row r="69" spans="1:11">
      <c r="B69" s="297" t="s">
        <v>644</v>
      </c>
      <c r="C69" s="299" t="str">
        <f t="shared" ref="C69:C71" si="2">$B$64</f>
        <v>Trust</v>
      </c>
      <c r="D69" s="278" t="str">
        <f t="shared" ref="D69:D71" si="3">$C$64</f>
        <v>Reduction in customer trust as a result of nuisance</v>
      </c>
      <c r="E69" s="299" t="s">
        <v>906</v>
      </c>
      <c r="F69" s="279" t="s">
        <v>907</v>
      </c>
      <c r="G69" s="300" t="s">
        <v>477</v>
      </c>
      <c r="H69" s="643" t="s">
        <v>907</v>
      </c>
      <c r="I69" s="643" t="s">
        <v>907</v>
      </c>
      <c r="J69" s="640" t="s">
        <v>907</v>
      </c>
      <c r="K69" s="6"/>
    </row>
    <row r="70" spans="1:11">
      <c r="B70" s="297" t="s">
        <v>645</v>
      </c>
      <c r="C70" s="299" t="str">
        <f t="shared" si="2"/>
        <v>Trust</v>
      </c>
      <c r="D70" s="278" t="str">
        <f t="shared" si="3"/>
        <v>Reduction in customer trust as a result of nuisance</v>
      </c>
      <c r="E70" s="299" t="s">
        <v>906</v>
      </c>
      <c r="F70" s="279" t="s">
        <v>907</v>
      </c>
      <c r="G70" s="300" t="s">
        <v>477</v>
      </c>
      <c r="H70" s="643" t="s">
        <v>907</v>
      </c>
      <c r="I70" s="643" t="s">
        <v>907</v>
      </c>
      <c r="J70" s="640" t="s">
        <v>907</v>
      </c>
      <c r="K70" s="6"/>
    </row>
    <row r="71" spans="1:11">
      <c r="B71" s="441" t="s">
        <v>646</v>
      </c>
      <c r="C71" s="299" t="str">
        <f t="shared" si="2"/>
        <v>Trust</v>
      </c>
      <c r="D71" s="278" t="str">
        <f t="shared" si="3"/>
        <v>Reduction in customer trust as a result of nuisance</v>
      </c>
      <c r="E71" s="299" t="s">
        <v>906</v>
      </c>
      <c r="F71" s="279" t="s">
        <v>907</v>
      </c>
      <c r="G71" s="300" t="s">
        <v>477</v>
      </c>
      <c r="H71" s="643" t="s">
        <v>907</v>
      </c>
      <c r="I71" s="643" t="s">
        <v>907</v>
      </c>
      <c r="J71" s="640" t="s">
        <v>907</v>
      </c>
      <c r="K71" s="6"/>
    </row>
    <row r="74" spans="1:11">
      <c r="A74" s="721"/>
      <c r="B74" s="722" t="s">
        <v>465</v>
      </c>
      <c r="C74" s="721"/>
      <c r="D74" s="721"/>
      <c r="E74" s="721"/>
      <c r="F74" s="721"/>
      <c r="G74" s="721"/>
      <c r="H74" s="721"/>
    </row>
    <row r="75" spans="1:11">
      <c r="A75" s="727"/>
      <c r="B75" s="729" t="s">
        <v>897</v>
      </c>
      <c r="C75" s="727"/>
      <c r="D75" s="727"/>
      <c r="E75" s="727"/>
      <c r="F75" s="727"/>
      <c r="G75" s="727"/>
      <c r="H75" s="727"/>
    </row>
    <row r="76" spans="1:11">
      <c r="B76" s="277" t="s">
        <v>898</v>
      </c>
      <c r="C76" s="277" t="s">
        <v>899</v>
      </c>
    </row>
    <row r="77" spans="1:11">
      <c r="B77" s="278" t="s">
        <v>465</v>
      </c>
      <c r="C77" s="278" t="s">
        <v>3189</v>
      </c>
    </row>
    <row r="78" spans="1:11">
      <c r="B78" s="16"/>
    </row>
    <row r="79" spans="1:11">
      <c r="A79" s="727"/>
      <c r="B79" s="728" t="s">
        <v>943</v>
      </c>
      <c r="C79" s="727"/>
      <c r="D79" s="727"/>
      <c r="E79" s="727"/>
      <c r="F79" s="727"/>
      <c r="G79" s="727"/>
      <c r="H79" s="727"/>
    </row>
    <row r="80" spans="1:11">
      <c r="A80" s="725"/>
      <c r="B80" s="726" t="s">
        <v>912</v>
      </c>
      <c r="C80" s="725"/>
      <c r="D80" s="725"/>
      <c r="E80" s="725"/>
      <c r="F80" s="725"/>
      <c r="G80" s="725"/>
      <c r="H80" s="725"/>
    </row>
    <row r="81" spans="1:12" ht="29.1">
      <c r="B81" s="719" t="s">
        <v>913</v>
      </c>
      <c r="C81" s="719" t="s">
        <v>914</v>
      </c>
      <c r="D81" s="719" t="s">
        <v>915</v>
      </c>
      <c r="E81" s="719" t="s">
        <v>916</v>
      </c>
      <c r="F81" s="719" t="s">
        <v>917</v>
      </c>
      <c r="G81" s="719" t="s">
        <v>918</v>
      </c>
      <c r="H81" s="719" t="s">
        <v>919</v>
      </c>
    </row>
    <row r="82" spans="1:12">
      <c r="B82" s="278">
        <v>33</v>
      </c>
      <c r="C82" s="281" t="s">
        <v>3190</v>
      </c>
      <c r="D82" s="278" t="s">
        <v>1182</v>
      </c>
      <c r="E82" s="278">
        <v>2023</v>
      </c>
      <c r="F82" s="278" t="s">
        <v>1047</v>
      </c>
      <c r="G82" s="278" t="s">
        <v>1047</v>
      </c>
      <c r="H82" s="278" t="s">
        <v>3191</v>
      </c>
    </row>
    <row r="83" spans="1:12">
      <c r="B83" s="16"/>
    </row>
    <row r="84" spans="1:12">
      <c r="A84" s="725"/>
      <c r="B84" s="726" t="s">
        <v>924</v>
      </c>
      <c r="C84" s="725"/>
      <c r="D84" s="725"/>
      <c r="E84" s="725"/>
      <c r="F84" s="725"/>
      <c r="G84" s="725"/>
      <c r="H84" s="725"/>
    </row>
    <row r="85" spans="1:12">
      <c r="B85" s="277" t="s">
        <v>165</v>
      </c>
      <c r="C85" s="277" t="s">
        <v>925</v>
      </c>
      <c r="D85" s="277" t="s">
        <v>926</v>
      </c>
      <c r="E85" s="1134" t="s">
        <v>927</v>
      </c>
      <c r="F85" s="1134"/>
      <c r="G85" s="1134"/>
      <c r="H85" s="1134"/>
    </row>
    <row r="86" spans="1:12">
      <c r="B86" s="278" t="s">
        <v>169</v>
      </c>
      <c r="C86" s="278" t="s">
        <v>167</v>
      </c>
      <c r="D86" s="278">
        <f>VLOOKUP(C86,METHODOLOGY!$C$175:$D$177,2,FALSE)</f>
        <v>2</v>
      </c>
      <c r="E86" s="1087" t="str">
        <f>_xlfn.XLOOKUP(C86,METHODOLOGY!$E$150:$O$150,METHODOLOGY!$E$151:$O$151,"",0,1)</f>
        <v>The monetary values are recommended / referenced in other, well recognised and accepted guidance / tools relevant to another sector.</v>
      </c>
      <c r="F86" s="1087"/>
      <c r="G86" s="1087"/>
      <c r="H86" s="1087"/>
    </row>
    <row r="87" spans="1:12">
      <c r="B87" s="278" t="s">
        <v>173</v>
      </c>
      <c r="C87" s="278" t="s">
        <v>168</v>
      </c>
      <c r="D87" s="278">
        <f>VLOOKUP(C87,METHODOLOGY!$C$175:$D$177,2,FALSE)</f>
        <v>1</v>
      </c>
      <c r="E87" s="1087" t="str">
        <f>_xlfn.XLOOKUP(C87,METHODOLOGY!$E$150:$O$150,METHODOLOGY!$E$155:$O$155,"",0,1)</f>
        <v>Study has significant limitations and the use of the value comes with significant caveat.</v>
      </c>
      <c r="F87" s="1087"/>
      <c r="G87" s="1087"/>
      <c r="H87" s="1087"/>
    </row>
    <row r="88" spans="1:12">
      <c r="B88" s="278" t="s">
        <v>177</v>
      </c>
      <c r="C88" s="278" t="s">
        <v>166</v>
      </c>
      <c r="D88" s="278">
        <f>VLOOKUP(C88,METHODOLOGY!$C$175:$D$177,2,FALSE)</f>
        <v>3</v>
      </c>
      <c r="E88" s="1087" t="str">
        <f>_xlfn.XLOOKUP(C88,METHODOLOGY!$E$150:$O$150,METHODOLOGY!$E$158:$O$158,"",0,1)</f>
        <v>0 – 5 years</v>
      </c>
      <c r="F88" s="1087"/>
      <c r="G88" s="1087"/>
      <c r="H88" s="1087"/>
    </row>
    <row r="89" spans="1:12">
      <c r="B89" s="278" t="s">
        <v>181</v>
      </c>
      <c r="C89" s="278" t="s">
        <v>166</v>
      </c>
      <c r="D89" s="278">
        <f>VLOOKUP(C89,METHODOLOGY!$C$175:$D$177,2,FALSE)</f>
        <v>3</v>
      </c>
      <c r="E89" s="1087" t="str">
        <f>_xlfn.XLOOKUP(C89,METHODOLOGY!$E$150:$O$150,METHODOLOGY!$E$160:$O$160,"",0,1)</f>
        <v>Geographically relevant to UK</v>
      </c>
      <c r="F89" s="1087"/>
      <c r="G89" s="1087"/>
      <c r="H89" s="1087"/>
    </row>
    <row r="90" spans="1:12">
      <c r="B90" s="278" t="s">
        <v>928</v>
      </c>
      <c r="C90" s="278" t="s">
        <v>167</v>
      </c>
      <c r="D90" s="278">
        <f>VLOOKUP(C90,METHODOLOGY!$C$175:$D$177,2,FALSE)</f>
        <v>2</v>
      </c>
      <c r="E90" s="1087" t="str">
        <f>_xlfn.XLOOKUP(C90,METHODOLOGY!$E$150:$O$150,METHODOLOGY!$E$162:$O$162,"",0,1)</f>
        <v>Meta-analysis or limited understanding of what the value represents.</v>
      </c>
      <c r="F90" s="1087"/>
      <c r="G90" s="1087"/>
      <c r="H90" s="1087"/>
    </row>
    <row r="91" spans="1:12">
      <c r="B91" s="278" t="s">
        <v>189</v>
      </c>
      <c r="C91" s="278" t="s">
        <v>166</v>
      </c>
      <c r="D91" s="278">
        <f>VLOOKUP(C91,METHODOLOGY!$C$175:$D$177,2,FALSE)</f>
        <v>3</v>
      </c>
      <c r="E91" s="1087" t="str">
        <f>_xlfn.XLOOKUP(C91,METHODOLOGY!$E$150:$O$150,METHODOLOGY!$E$164:$O$164,"",0,1)</f>
        <v xml:space="preserve">The original valuation can be used with no or very simple modification e.g. change units from ha to km2, applying inflation. </v>
      </c>
      <c r="F91" s="1087"/>
      <c r="G91" s="1087"/>
      <c r="H91" s="1087"/>
    </row>
    <row r="92" spans="1:12">
      <c r="C92" s="282" t="s">
        <v>924</v>
      </c>
      <c r="D92" s="326">
        <f>IF(AND(D91=1,AVERAGE(D86:D91)&gt;2.14285714285714),2.14285714285714,IF(AND(D91=2,AVERAGE(D86:D91)&gt;2.57142857142857),2.57142857142857,AVERAGE(D86:D91)))</f>
        <v>2.3333333333333335</v>
      </c>
      <c r="E92" s="270" t="str">
        <f>IF(D92&lt;=2.14285714285714,"Red",IF(D92&lt;=2.57142857142857,"Amber",IF(D92&lt;=3,"Green")))</f>
        <v>Amber</v>
      </c>
    </row>
    <row r="94" spans="1:12">
      <c r="A94" s="725"/>
      <c r="B94" s="726" t="s">
        <v>929</v>
      </c>
      <c r="C94" s="725"/>
      <c r="D94" s="725"/>
      <c r="E94" s="725"/>
      <c r="F94" s="725"/>
      <c r="G94" s="725"/>
      <c r="H94" s="725"/>
    </row>
    <row r="95" spans="1:12">
      <c r="B95" s="277" t="s">
        <v>913</v>
      </c>
      <c r="C95" s="277" t="s">
        <v>1089</v>
      </c>
      <c r="D95" s="277" t="s">
        <v>902</v>
      </c>
      <c r="E95" s="277" t="s">
        <v>331</v>
      </c>
      <c r="F95" s="277" t="s">
        <v>226</v>
      </c>
      <c r="G95" s="1157" t="s">
        <v>930</v>
      </c>
      <c r="H95" s="1157"/>
      <c r="I95" s="1157"/>
      <c r="J95" s="1157"/>
      <c r="K95" s="1157"/>
      <c r="L95" s="1157"/>
    </row>
    <row r="96" spans="1:12" ht="80.45" customHeight="1">
      <c r="B96" s="278">
        <v>33</v>
      </c>
      <c r="C96" s="375" t="s">
        <v>465</v>
      </c>
      <c r="D96" s="536" t="s">
        <v>646</v>
      </c>
      <c r="E96" s="415">
        <v>16600000</v>
      </c>
      <c r="F96" s="537" t="s">
        <v>1115</v>
      </c>
      <c r="G96" s="1194" t="s">
        <v>3192</v>
      </c>
      <c r="H96" s="1195"/>
      <c r="I96" s="1195"/>
      <c r="J96" s="1195"/>
      <c r="K96" s="1195"/>
      <c r="L96" s="1195"/>
    </row>
    <row r="97" spans="1:23" ht="62.45" customHeight="1">
      <c r="B97" s="278">
        <v>2</v>
      </c>
      <c r="C97" s="375" t="s">
        <v>465</v>
      </c>
      <c r="D97" s="536" t="s">
        <v>646</v>
      </c>
      <c r="E97" s="278">
        <v>104</v>
      </c>
      <c r="F97" s="279" t="s">
        <v>275</v>
      </c>
      <c r="G97" s="1195" t="s">
        <v>3193</v>
      </c>
      <c r="H97" s="1195"/>
      <c r="I97" s="1195"/>
      <c r="J97" s="1195"/>
      <c r="K97" s="1195"/>
      <c r="L97" s="1195"/>
    </row>
    <row r="99" spans="1:23">
      <c r="A99" s="725"/>
      <c r="B99" s="726" t="s">
        <v>936</v>
      </c>
      <c r="C99" s="725"/>
      <c r="D99" s="725"/>
      <c r="E99" s="725"/>
      <c r="F99" s="725"/>
      <c r="G99" s="725"/>
      <c r="H99" s="725"/>
    </row>
    <row r="100" spans="1:23">
      <c r="B100" s="277" t="s">
        <v>1089</v>
      </c>
      <c r="C100" s="277" t="s">
        <v>902</v>
      </c>
      <c r="D100" s="277" t="s">
        <v>331</v>
      </c>
      <c r="E100" s="277" t="s">
        <v>226</v>
      </c>
      <c r="F100" s="1164" t="s">
        <v>930</v>
      </c>
      <c r="G100" s="1165"/>
      <c r="H100" s="1166"/>
    </row>
    <row r="101" spans="1:23">
      <c r="B101" s="278" t="s">
        <v>465</v>
      </c>
      <c r="C101" s="536" t="s">
        <v>646</v>
      </c>
      <c r="D101" s="538">
        <f>E97/365</f>
        <v>0.28493150684931506</v>
      </c>
      <c r="E101" s="387" t="s">
        <v>3194</v>
      </c>
      <c r="F101" s="1454" t="s">
        <v>3195</v>
      </c>
      <c r="G101" s="1455"/>
      <c r="H101" s="1456"/>
    </row>
    <row r="103" spans="1:23">
      <c r="A103" s="727"/>
      <c r="B103" s="728" t="s">
        <v>901</v>
      </c>
      <c r="C103" s="727"/>
      <c r="D103" s="727"/>
      <c r="E103" s="727"/>
      <c r="F103" s="727"/>
      <c r="G103" s="727"/>
      <c r="H103" s="727"/>
    </row>
    <row r="104" spans="1:23" ht="29.1">
      <c r="B104" s="719" t="s">
        <v>902</v>
      </c>
      <c r="C104" s="719" t="s">
        <v>898</v>
      </c>
      <c r="D104" s="719" t="s">
        <v>899</v>
      </c>
      <c r="E104" s="719" t="s">
        <v>903</v>
      </c>
      <c r="F104" s="719" t="s">
        <v>904</v>
      </c>
      <c r="G104" s="719" t="s">
        <v>905</v>
      </c>
      <c r="H104" s="752" t="s">
        <v>924</v>
      </c>
      <c r="I104" s="752" t="s">
        <v>956</v>
      </c>
      <c r="J104" s="752" t="s">
        <v>927</v>
      </c>
      <c r="K104" s="267"/>
    </row>
    <row r="105" spans="1:23" ht="87">
      <c r="B105" s="441" t="s">
        <v>646</v>
      </c>
      <c r="C105" s="383" t="str">
        <f t="shared" ref="C105" si="4">$B$77</f>
        <v>Health and wellbeing</v>
      </c>
      <c r="D105" s="483" t="str">
        <f>$C$77</f>
        <v>Negative impact on individuals health and wellbeing as a result of noise exposure</v>
      </c>
      <c r="E105" s="299" t="s">
        <v>960</v>
      </c>
      <c r="F105" s="278" t="str" cm="1">
        <f t="array" ref="F105">_xlfn.XLOOKUP(1,(D110:D110=B105)*(E110:E110=C105),B110:B110,"Not found",0,1)</f>
        <v>36-3</v>
      </c>
      <c r="G105" s="311">
        <f>VLOOKUP(F105,B110:L110,11,FALSE)</f>
        <v>0.3209074819255418</v>
      </c>
      <c r="H105" s="680">
        <f>D92</f>
        <v>2.3333333333333335</v>
      </c>
      <c r="I105" s="623" t="s">
        <v>3196</v>
      </c>
      <c r="J105" s="623" t="s">
        <v>3197</v>
      </c>
      <c r="K105" s="6"/>
    </row>
    <row r="106" spans="1:23">
      <c r="B106" s="18"/>
    </row>
    <row r="107" spans="1:23" s="17" customFormat="1">
      <c r="B107" s="14" t="s">
        <v>962</v>
      </c>
    </row>
    <row r="108" spans="1:23">
      <c r="B108" s="16"/>
    </row>
    <row r="109" spans="1:23">
      <c r="B109" s="277" t="s">
        <v>904</v>
      </c>
      <c r="C109" s="277" t="s">
        <v>62</v>
      </c>
      <c r="D109" s="277" t="s">
        <v>902</v>
      </c>
      <c r="E109" s="277" t="s">
        <v>898</v>
      </c>
      <c r="F109" s="277" t="s">
        <v>916</v>
      </c>
      <c r="G109" s="277" t="s">
        <v>963</v>
      </c>
      <c r="H109" s="277" t="s">
        <v>964</v>
      </c>
      <c r="I109" s="277" t="s">
        <v>965</v>
      </c>
      <c r="J109" s="277" t="s">
        <v>966</v>
      </c>
      <c r="K109" s="277" t="s">
        <v>967</v>
      </c>
      <c r="L109" s="277" t="s">
        <v>968</v>
      </c>
      <c r="M109" s="277" t="s">
        <v>956</v>
      </c>
      <c r="N109" s="277" t="s">
        <v>969</v>
      </c>
      <c r="O109" s="277" t="s">
        <v>970</v>
      </c>
      <c r="P109" s="277" t="s">
        <v>927</v>
      </c>
      <c r="Q109" s="277" t="s">
        <v>913</v>
      </c>
      <c r="R109" s="277" t="s">
        <v>914</v>
      </c>
      <c r="S109" s="277" t="s">
        <v>915</v>
      </c>
      <c r="T109" s="277" t="s">
        <v>916</v>
      </c>
      <c r="U109" s="277" t="s">
        <v>917</v>
      </c>
      <c r="V109" s="277" t="s">
        <v>918</v>
      </c>
      <c r="W109" s="277" t="s">
        <v>919</v>
      </c>
    </row>
    <row r="110" spans="1:23">
      <c r="B110" s="302" t="s">
        <v>3198</v>
      </c>
      <c r="C110" s="279" t="s">
        <v>426</v>
      </c>
      <c r="D110" s="441" t="s">
        <v>646</v>
      </c>
      <c r="E110" s="278" t="s">
        <v>465</v>
      </c>
      <c r="F110" s="299">
        <f>E82</f>
        <v>2023</v>
      </c>
      <c r="G110" s="278">
        <v>2021</v>
      </c>
      <c r="H110" s="278">
        <f>'COMPANY INPUT'!$C$16</f>
        <v>2023</v>
      </c>
      <c r="I110" s="278">
        <f>VLOOKUP(G110,'GDP Deflators'!$H$13:$I$86,2,FALSE)</f>
        <v>88.789299999999997</v>
      </c>
      <c r="J110" s="278">
        <f>VLOOKUP(H110,'GDP Deflators'!$H$13:$I$86,2,FALSE)</f>
        <v>100</v>
      </c>
      <c r="K110" s="385">
        <f>D101</f>
        <v>0.28493150684931506</v>
      </c>
      <c r="L110" s="746">
        <f>K110*(J110/I110)</f>
        <v>0.3209074819255418</v>
      </c>
      <c r="M110" s="278" t="str">
        <f>I105</f>
        <v>Avoided damage costs</v>
      </c>
      <c r="N110" s="684">
        <f>H105</f>
        <v>2.3333333333333335</v>
      </c>
      <c r="O110" s="278" t="s">
        <v>718</v>
      </c>
      <c r="P110" s="278" t="str">
        <f>J105</f>
        <v>Based on vegetation specific noise reduction benefits</v>
      </c>
      <c r="Q110" s="299">
        <f t="shared" ref="Q110:W110" si="5">B82</f>
        <v>33</v>
      </c>
      <c r="R110" s="278" t="str">
        <f t="shared" si="5"/>
        <v>ONS (2023) Urban natural capital accounts</v>
      </c>
      <c r="S110" s="278" t="str">
        <f t="shared" si="5"/>
        <v>ENCA</v>
      </c>
      <c r="T110" s="278">
        <f t="shared" si="5"/>
        <v>2023</v>
      </c>
      <c r="U110" s="278" t="str">
        <f t="shared" si="5"/>
        <v>UK</v>
      </c>
      <c r="V110" s="278" t="str">
        <f t="shared" si="5"/>
        <v>UK</v>
      </c>
      <c r="W110" s="278" t="str">
        <f t="shared" si="5"/>
        <v>NA</v>
      </c>
    </row>
    <row r="111" spans="1:23">
      <c r="B111" s="18"/>
    </row>
    <row r="112" spans="1:23">
      <c r="B112" s="18"/>
    </row>
  </sheetData>
  <sheetProtection algorithmName="SHA-512" hashValue="CQGPoDsSFkDlHiQCp6X2FdMrmKxjUbMujtOIwV15/VE2T14MIRkZappp+KdzCchlpb5mB3tEarGFvYlx44uWuA==" saltValue="KHTosFMGWWDVLdHx9aGNfg==" spinCount="100000" sheet="1" objects="1" scenarios="1"/>
  <dataConsolidate/>
  <mergeCells count="35">
    <mergeCell ref="B5:H5"/>
    <mergeCell ref="E85:H85"/>
    <mergeCell ref="B39:B40"/>
    <mergeCell ref="C39:C40"/>
    <mergeCell ref="D9:G9"/>
    <mergeCell ref="E28:H28"/>
    <mergeCell ref="E29:H29"/>
    <mergeCell ref="E30:H30"/>
    <mergeCell ref="E31:H31"/>
    <mergeCell ref="F100:H100"/>
    <mergeCell ref="E86:H86"/>
    <mergeCell ref="E87:H87"/>
    <mergeCell ref="E88:H88"/>
    <mergeCell ref="G38:L38"/>
    <mergeCell ref="E39:E40"/>
    <mergeCell ref="F39:F40"/>
    <mergeCell ref="F43:L43"/>
    <mergeCell ref="F44:L44"/>
    <mergeCell ref="F45:L45"/>
    <mergeCell ref="F101:H101"/>
    <mergeCell ref="E89:H89"/>
    <mergeCell ref="G97:L97"/>
    <mergeCell ref="E32:H32"/>
    <mergeCell ref="E33:H33"/>
    <mergeCell ref="E34:H34"/>
    <mergeCell ref="G95:L95"/>
    <mergeCell ref="G96:L96"/>
    <mergeCell ref="J51:J52"/>
    <mergeCell ref="I51:I52"/>
    <mergeCell ref="H51:H52"/>
    <mergeCell ref="F46:L46"/>
    <mergeCell ref="F47:L47"/>
    <mergeCell ref="E90:H90"/>
    <mergeCell ref="E91:H91"/>
    <mergeCell ref="G39:L40"/>
  </mergeCells>
  <conditionalFormatting sqref="D35:E35">
    <cfRule type="cellIs" dxfId="280" priority="11" operator="lessThanOrEqual">
      <formula>2.14285714285714</formula>
    </cfRule>
    <cfRule type="cellIs" dxfId="279" priority="12" operator="lessThanOrEqual">
      <formula>2.57142857142857</formula>
    </cfRule>
    <cfRule type="cellIs" dxfId="278" priority="13" operator="lessThanOrEqual">
      <formula>3</formula>
    </cfRule>
  </conditionalFormatting>
  <conditionalFormatting sqref="D92:E92">
    <cfRule type="cellIs" dxfId="277" priority="5" operator="lessThanOrEqual">
      <formula>2.14285714285714</formula>
    </cfRule>
    <cfRule type="cellIs" dxfId="276" priority="6" operator="lessThanOrEqual">
      <formula>2.57142857142857</formula>
    </cfRule>
    <cfRule type="cellIs" dxfId="275" priority="7" operator="lessThanOrEqual">
      <formula>3</formula>
    </cfRule>
  </conditionalFormatting>
  <conditionalFormatting sqref="D11:G14">
    <cfRule type="notContainsBlanks" dxfId="274" priority="1">
      <formula>LEN(TRIM(D11))&gt;0</formula>
    </cfRule>
  </conditionalFormatting>
  <conditionalFormatting sqref="E35">
    <cfRule type="containsText" dxfId="273" priority="8" operator="containsText" text="Green">
      <formula>NOT(ISERROR(SEARCH("Green",E35)))</formula>
    </cfRule>
    <cfRule type="containsText" dxfId="272" priority="9" operator="containsText" text="Amber">
      <formula>NOT(ISERROR(SEARCH("Amber",E35)))</formula>
    </cfRule>
    <cfRule type="containsText" dxfId="271" priority="10" operator="containsText" text="Red">
      <formula>NOT(ISERROR(SEARCH("Red",E35)))</formula>
    </cfRule>
  </conditionalFormatting>
  <conditionalFormatting sqref="E92">
    <cfRule type="containsText" dxfId="270" priority="2" operator="containsText" text="Green">
      <formula>NOT(ISERROR(SEARCH("Green",E92)))</formula>
    </cfRule>
    <cfRule type="containsText" dxfId="269" priority="3" operator="containsText" text="Amber">
      <formula>NOT(ISERROR(SEARCH("Amber",E92)))</formula>
    </cfRule>
    <cfRule type="containsText" dxfId="268" priority="4" operator="containsText" text="Red">
      <formula>NOT(ISERROR(SEARCH("Red",E92)))</formula>
    </cfRule>
  </conditionalFormatting>
  <conditionalFormatting sqref="H51">
    <cfRule type="cellIs" dxfId="267" priority="29" operator="lessThanOrEqual">
      <formula>2.14285714285714</formula>
    </cfRule>
    <cfRule type="cellIs" dxfId="266" priority="30" operator="lessThanOrEqual">
      <formula>2.57142857142857</formula>
    </cfRule>
    <cfRule type="cellIs" dxfId="265" priority="31" operator="lessThanOrEqual">
      <formula>3</formula>
    </cfRule>
  </conditionalFormatting>
  <conditionalFormatting sqref="H105">
    <cfRule type="cellIs" dxfId="264" priority="17" operator="lessThanOrEqual">
      <formula>2.14285714285714</formula>
    </cfRule>
    <cfRule type="cellIs" dxfId="263" priority="18" operator="lessThanOrEqual">
      <formula>2.57142857142857</formula>
    </cfRule>
    <cfRule type="cellIs" dxfId="262" priority="19" operator="lessThanOrEqual">
      <formula>3</formula>
    </cfRule>
  </conditionalFormatting>
  <conditionalFormatting sqref="N56:N57">
    <cfRule type="cellIs" dxfId="261" priority="26" operator="lessThanOrEqual">
      <formula>2.14285714285714</formula>
    </cfRule>
    <cfRule type="cellIs" dxfId="260" priority="27" operator="lessThanOrEqual">
      <formula>2.57142857142857</formula>
    </cfRule>
    <cfRule type="cellIs" dxfId="259" priority="28" operator="lessThanOrEqual">
      <formula>3</formula>
    </cfRule>
  </conditionalFormatting>
  <conditionalFormatting sqref="N110">
    <cfRule type="cellIs" dxfId="258" priority="14" operator="lessThanOrEqual">
      <formula>2.14285714285714</formula>
    </cfRule>
    <cfRule type="cellIs" dxfId="257" priority="15" operator="lessThanOrEqual">
      <formula>2.57142857142857</formula>
    </cfRule>
    <cfRule type="cellIs" dxfId="256" priority="16" operator="lessThanOrEqual">
      <formula>3</formula>
    </cfRule>
  </conditionalFormatting>
  <dataValidations disablePrompts="1" count="1">
    <dataValidation type="list" allowBlank="1" showInputMessage="1" showErrorMessage="1" sqref="C58 C36 C29:C34 C93 C86:C91" xr:uid="{DDA92811-30AE-4629-B883-58B0534D13B0}">
      <formula1>"High, Medium, Low"</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E9008-07E8-4FDB-9546-169EFEE06119}">
  <sheetPr codeName="Sheet43">
    <tabColor theme="5" tint="0.59999389629810485"/>
  </sheetPr>
  <dimension ref="A1:W121"/>
  <sheetViews>
    <sheetView workbookViewId="0"/>
  </sheetViews>
  <sheetFormatPr defaultColWidth="9" defaultRowHeight="14.45"/>
  <cols>
    <col min="1" max="1" width="3.5" style="2" customWidth="1"/>
    <col min="2" max="3" width="40.625" style="2" customWidth="1"/>
    <col min="4" max="16" width="15.625" style="2" customWidth="1"/>
    <col min="17" max="17" width="9" style="2" bestFit="1"/>
    <col min="18" max="18" width="16.625" style="2" customWidth="1"/>
    <col min="19" max="19" width="18.5" style="2" customWidth="1"/>
    <col min="20" max="16384" width="9" style="2"/>
  </cols>
  <sheetData>
    <row r="1" spans="1:9" ht="15" thickBot="1"/>
    <row r="2" spans="1:9" s="750" customFormat="1" ht="18.95" thickBot="1">
      <c r="A2" s="748"/>
      <c r="B2" s="749" t="s">
        <v>269</v>
      </c>
      <c r="C2" s="749"/>
      <c r="D2" s="749"/>
    </row>
    <row r="4" spans="1:9" s="714" customFormat="1" ht="18.600000000000001">
      <c r="A4" s="715"/>
      <c r="B4" s="713" t="s">
        <v>893</v>
      </c>
      <c r="C4" s="715"/>
      <c r="D4" s="715"/>
      <c r="E4" s="715"/>
      <c r="F4" s="715"/>
      <c r="G4" s="715"/>
      <c r="H4" s="715"/>
    </row>
    <row r="5" spans="1:9" ht="112.5" customHeight="1">
      <c r="A5" s="716"/>
      <c r="B5" s="1152" t="s">
        <v>3199</v>
      </c>
      <c r="C5" s="1152"/>
      <c r="D5" s="1152"/>
      <c r="E5" s="1152"/>
      <c r="F5" s="1152"/>
      <c r="G5" s="1152"/>
      <c r="H5" s="1152"/>
    </row>
    <row r="7" spans="1:9" s="718" customFormat="1" ht="18.600000000000001">
      <c r="A7" s="724"/>
      <c r="B7" s="724" t="s">
        <v>895</v>
      </c>
      <c r="C7" s="724"/>
      <c r="D7" s="724"/>
      <c r="E7" s="724"/>
      <c r="F7" s="724"/>
      <c r="G7" s="724"/>
      <c r="H7" s="724"/>
    </row>
    <row r="9" spans="1:9">
      <c r="D9" s="414" t="s">
        <v>479</v>
      </c>
      <c r="E9" s="539"/>
    </row>
    <row r="10" spans="1:9" ht="29.1">
      <c r="B10" s="399" t="s">
        <v>104</v>
      </c>
      <c r="C10" s="399" t="s">
        <v>711</v>
      </c>
      <c r="D10" s="719" t="s">
        <v>462</v>
      </c>
      <c r="E10" s="719" t="s">
        <v>465</v>
      </c>
      <c r="F10" s="205"/>
      <c r="G10" s="205"/>
      <c r="H10" s="205"/>
      <c r="I10" s="205"/>
    </row>
    <row r="11" spans="1:9">
      <c r="B11" s="278" t="s">
        <v>649</v>
      </c>
      <c r="C11" s="278" t="s">
        <v>430</v>
      </c>
      <c r="D11" s="793">
        <f>G51+G80</f>
        <v>-7.6558608543803048</v>
      </c>
      <c r="E11" s="793" cm="1">
        <f t="array" ref="E11">_xlfn.XLOOKUP(1,($B11=$B$115:$B$116)*(E$10=$C$115:$C$116),$G$115:$G$116,"Not found",0,1)</f>
        <v>-10.225022936887344</v>
      </c>
      <c r="F11" s="206"/>
      <c r="G11" s="206"/>
      <c r="H11" s="206"/>
      <c r="I11" s="206"/>
    </row>
    <row r="12" spans="1:9">
      <c r="B12" s="278" t="s">
        <v>650</v>
      </c>
      <c r="C12" s="278" t="s">
        <v>430</v>
      </c>
      <c r="D12" s="793">
        <f>G52+G81</f>
        <v>-86.690167904184634</v>
      </c>
      <c r="E12" s="793" cm="1">
        <f t="array" ref="E12">_xlfn.XLOOKUP(1,($B12=$B$115:$B$116)*(E$10=$C$115:$C$116),$G$115:$G$116,"Not found",0,1)</f>
        <v>-10.225022936887344</v>
      </c>
      <c r="F12" s="206"/>
      <c r="G12" s="206"/>
      <c r="H12" s="206"/>
      <c r="I12" s="206"/>
    </row>
    <row r="13" spans="1:9">
      <c r="B13" s="800" t="s">
        <v>896</v>
      </c>
    </row>
    <row r="15" spans="1:9">
      <c r="A15" s="721"/>
      <c r="B15" s="722" t="s">
        <v>462</v>
      </c>
      <c r="C15" s="721"/>
      <c r="D15" s="721"/>
      <c r="E15" s="721"/>
      <c r="F15" s="721"/>
      <c r="G15" s="721"/>
      <c r="H15" s="721"/>
    </row>
    <row r="16" spans="1:9">
      <c r="A16" s="727"/>
      <c r="B16" s="729" t="s">
        <v>897</v>
      </c>
      <c r="C16" s="727"/>
      <c r="D16" s="727"/>
      <c r="E16" s="727"/>
      <c r="F16" s="727"/>
      <c r="G16" s="727"/>
      <c r="H16" s="727"/>
    </row>
    <row r="17" spans="1:8">
      <c r="B17" s="277" t="s">
        <v>898</v>
      </c>
      <c r="C17" s="277" t="s">
        <v>899</v>
      </c>
    </row>
    <row r="18" spans="1:8" ht="43.5">
      <c r="B18" s="278" t="s">
        <v>3200</v>
      </c>
      <c r="C18" s="375" t="s">
        <v>3201</v>
      </c>
    </row>
    <row r="19" spans="1:8" ht="43.5">
      <c r="B19" s="483" t="s">
        <v>3202</v>
      </c>
      <c r="C19" s="375" t="s">
        <v>3203</v>
      </c>
    </row>
    <row r="20" spans="1:8">
      <c r="B20" s="16"/>
    </row>
    <row r="21" spans="1:8">
      <c r="A21" s="727"/>
      <c r="B21" s="728" t="s">
        <v>911</v>
      </c>
      <c r="C21" s="727"/>
      <c r="D21" s="727"/>
      <c r="E21" s="727"/>
      <c r="F21" s="727"/>
      <c r="G21" s="727"/>
      <c r="H21" s="727"/>
    </row>
    <row r="22" spans="1:8">
      <c r="A22" s="725"/>
      <c r="B22" s="726" t="s">
        <v>912</v>
      </c>
      <c r="C22" s="725"/>
      <c r="D22" s="725"/>
      <c r="E22" s="725"/>
      <c r="F22" s="725"/>
      <c r="G22" s="725"/>
      <c r="H22" s="725"/>
    </row>
    <row r="23" spans="1:8" ht="29.1">
      <c r="B23" s="719" t="s">
        <v>913</v>
      </c>
      <c r="C23" s="719" t="s">
        <v>914</v>
      </c>
      <c r="D23" s="719" t="s">
        <v>915</v>
      </c>
      <c r="E23" s="719" t="s">
        <v>916</v>
      </c>
      <c r="F23" s="719" t="s">
        <v>917</v>
      </c>
      <c r="G23" s="719" t="s">
        <v>918</v>
      </c>
      <c r="H23" s="719" t="s">
        <v>919</v>
      </c>
    </row>
    <row r="24" spans="1:8">
      <c r="B24" s="278">
        <v>50</v>
      </c>
      <c r="C24" s="278" t="s">
        <v>3204</v>
      </c>
      <c r="D24" s="278" t="s">
        <v>1182</v>
      </c>
      <c r="E24" s="278">
        <v>2018</v>
      </c>
      <c r="F24" s="278" t="s">
        <v>1047</v>
      </c>
      <c r="G24" s="278" t="s">
        <v>1047</v>
      </c>
      <c r="H24" s="278"/>
    </row>
    <row r="25" spans="1:8">
      <c r="B25" s="16"/>
    </row>
    <row r="26" spans="1:8">
      <c r="A26" s="725"/>
      <c r="B26" s="726" t="s">
        <v>924</v>
      </c>
      <c r="C26" s="725"/>
      <c r="D26" s="725"/>
      <c r="E26" s="725"/>
      <c r="F26" s="725"/>
      <c r="G26" s="725"/>
      <c r="H26" s="725"/>
    </row>
    <row r="27" spans="1:8">
      <c r="B27" s="277" t="s">
        <v>165</v>
      </c>
      <c r="C27" s="277" t="s">
        <v>925</v>
      </c>
      <c r="D27" s="277" t="s">
        <v>926</v>
      </c>
      <c r="E27" s="1134" t="s">
        <v>927</v>
      </c>
      <c r="F27" s="1134"/>
      <c r="G27" s="1134"/>
      <c r="H27" s="1134"/>
    </row>
    <row r="28" spans="1:8">
      <c r="B28" s="278" t="s">
        <v>169</v>
      </c>
      <c r="C28" s="278" t="s">
        <v>166</v>
      </c>
      <c r="D28" s="278">
        <f>VLOOKUP(C28,METHODOLOGY!$C$175:$D$177,2,FALSE)</f>
        <v>3</v>
      </c>
      <c r="E28" s="1087" t="str">
        <f>_xlfn.XLOOKUP(C28,METHODOLOGY!$E$150:$O$150,METHODOLOGY!$E$151:$O$151,"",0,1)</f>
        <v>Monetary values have been peer reviewed or are recommended / referenced in other, well recognised and accepted guidance / tools relevant to the water sector.</v>
      </c>
      <c r="F28" s="1087"/>
      <c r="G28" s="1087"/>
      <c r="H28" s="1087"/>
    </row>
    <row r="29" spans="1:8">
      <c r="B29" s="278" t="s">
        <v>173</v>
      </c>
      <c r="C29" s="278" t="s">
        <v>166</v>
      </c>
      <c r="D29" s="278">
        <f>VLOOKUP(C29,METHODOLOGY!$C$175:$D$177,2,FALSE)</f>
        <v>3</v>
      </c>
      <c r="E29" s="1087" t="str">
        <f>_xlfn.XLOOKUP(C29,METHODOLOGY!$E$150:$O$150,METHODOLOGY!$E$155:$O$155,"",0,1)</f>
        <v>Study has few limitations and is considered robust.</v>
      </c>
      <c r="F29" s="1087"/>
      <c r="G29" s="1087"/>
      <c r="H29" s="1087"/>
    </row>
    <row r="30" spans="1:8">
      <c r="B30" s="278" t="s">
        <v>177</v>
      </c>
      <c r="C30" s="278" t="s">
        <v>167</v>
      </c>
      <c r="D30" s="278">
        <f>VLOOKUP(C30,METHODOLOGY!$C$175:$D$177,2,FALSE)</f>
        <v>2</v>
      </c>
      <c r="E30" s="1087" t="str">
        <f>_xlfn.XLOOKUP(C30,METHODOLOGY!$E$150:$O$150,METHODOLOGY!$E$158:$O$158,"",0,1)</f>
        <v>6-10 years</v>
      </c>
      <c r="F30" s="1087"/>
      <c r="G30" s="1087"/>
      <c r="H30" s="1087"/>
    </row>
    <row r="31" spans="1:8">
      <c r="B31" s="278" t="s">
        <v>181</v>
      </c>
      <c r="C31" s="278" t="s">
        <v>166</v>
      </c>
      <c r="D31" s="278">
        <f>VLOOKUP(C31,METHODOLOGY!$C$175:$D$177,2,FALSE)</f>
        <v>3</v>
      </c>
      <c r="E31" s="1087" t="str">
        <f>_xlfn.XLOOKUP(C31,METHODOLOGY!$E$150:$O$150,METHODOLOGY!$E$160:$O$160,"",0,1)</f>
        <v>Geographically relevant to UK</v>
      </c>
      <c r="F31" s="1087"/>
      <c r="G31" s="1087"/>
      <c r="H31" s="1087"/>
    </row>
    <row r="32" spans="1:8">
      <c r="B32" s="278" t="s">
        <v>928</v>
      </c>
      <c r="C32" s="278" t="s">
        <v>166</v>
      </c>
      <c r="D32" s="278">
        <f>VLOOKUP(C32,METHODOLOGY!$C$175:$D$177,2,FALSE)</f>
        <v>3</v>
      </c>
      <c r="E32" s="1087" t="str">
        <f>_xlfn.XLOOKUP(C32,METHODOLOGY!$E$150:$O$150,METHODOLOGY!$E$162:$O$162,"",0,1)</f>
        <v>Clear understanding of the valuation method and how the value should be applied.</v>
      </c>
      <c r="F32" s="1087"/>
      <c r="G32" s="1087"/>
      <c r="H32" s="1087"/>
    </row>
    <row r="33" spans="1:12">
      <c r="B33" s="278" t="s">
        <v>189</v>
      </c>
      <c r="C33" s="278" t="s">
        <v>166</v>
      </c>
      <c r="D33" s="278">
        <f>VLOOKUP(C33,METHODOLOGY!$C$175:$D$177,2,FALSE)</f>
        <v>3</v>
      </c>
      <c r="E33" s="1087" t="str">
        <f>_xlfn.XLOOKUP(C33,METHODOLOGY!$E$150:$O$150,METHODOLOGY!$E$164:$O$164,"",0,1)</f>
        <v xml:space="preserve">The original valuation can be used with no or very simple modification e.g. change units from ha to km2, applying inflation. </v>
      </c>
      <c r="F33" s="1087"/>
      <c r="G33" s="1087"/>
      <c r="H33" s="1087"/>
    </row>
    <row r="34" spans="1:12">
      <c r="C34" s="282" t="s">
        <v>924</v>
      </c>
      <c r="D34" s="326">
        <f>IF(AND(D33=1,AVERAGE(D28:D33)&gt;2.14285714285714),2.14285714285714,IF(AND(D33=2,AVERAGE(D28:D33)&gt;2.57142857142857),2.57142857142857,AVERAGE(D28:D33)))</f>
        <v>2.8333333333333335</v>
      </c>
      <c r="E34" s="270" t="str">
        <f>IF(D34&lt;=2.14285714285714,"Red",IF(D34&lt;=2.57142857142857,"Amber",IF(D34&lt;=3,"Green")))</f>
        <v>Green</v>
      </c>
    </row>
    <row r="37" spans="1:12">
      <c r="A37" s="725"/>
      <c r="B37" s="726" t="s">
        <v>929</v>
      </c>
      <c r="C37" s="725"/>
      <c r="D37" s="725"/>
      <c r="E37" s="725"/>
      <c r="F37" s="725"/>
      <c r="G37" s="725"/>
      <c r="H37" s="725"/>
    </row>
    <row r="38" spans="1:12">
      <c r="B38" s="277" t="s">
        <v>913</v>
      </c>
      <c r="C38" s="277" t="s">
        <v>1089</v>
      </c>
      <c r="D38" s="277" t="s">
        <v>902</v>
      </c>
      <c r="E38" s="277" t="s">
        <v>331</v>
      </c>
      <c r="F38" s="277" t="s">
        <v>226</v>
      </c>
      <c r="G38" s="1157" t="s">
        <v>930</v>
      </c>
      <c r="H38" s="1157"/>
      <c r="I38" s="1157"/>
      <c r="J38" s="1157"/>
      <c r="K38" s="1157"/>
      <c r="L38" s="1157"/>
    </row>
    <row r="39" spans="1:12" ht="30.75" customHeight="1">
      <c r="B39" s="278">
        <v>50</v>
      </c>
      <c r="C39" s="278" t="s">
        <v>3200</v>
      </c>
      <c r="D39" s="278" t="s">
        <v>649</v>
      </c>
      <c r="E39" s="278">
        <v>3.1</v>
      </c>
      <c r="F39" s="394" t="s">
        <v>3205</v>
      </c>
      <c r="G39" s="1158" t="s">
        <v>3206</v>
      </c>
      <c r="H39" s="1095"/>
      <c r="I39" s="1095"/>
      <c r="J39" s="1095"/>
      <c r="K39" s="1095"/>
      <c r="L39" s="1095"/>
    </row>
    <row r="40" spans="1:12">
      <c r="B40" s="278">
        <v>47</v>
      </c>
      <c r="C40" s="278" t="s">
        <v>3200</v>
      </c>
      <c r="D40" s="278" t="s">
        <v>650</v>
      </c>
      <c r="E40" s="278">
        <v>22500000</v>
      </c>
      <c r="F40" s="387" t="s">
        <v>3207</v>
      </c>
      <c r="G40" s="1195" t="s">
        <v>3208</v>
      </c>
      <c r="H40" s="1195"/>
      <c r="I40" s="1195"/>
      <c r="J40" s="1195"/>
      <c r="K40" s="1195"/>
      <c r="L40" s="1195"/>
    </row>
    <row r="41" spans="1:12" ht="29.1">
      <c r="B41" s="278">
        <v>47</v>
      </c>
      <c r="C41" s="278" t="s">
        <v>3200</v>
      </c>
      <c r="D41" s="278" t="s">
        <v>650</v>
      </c>
      <c r="E41" s="278">
        <v>1460000000</v>
      </c>
      <c r="F41" s="500" t="s">
        <v>3209</v>
      </c>
      <c r="G41" s="1095" t="s">
        <v>3210</v>
      </c>
      <c r="H41" s="1095"/>
      <c r="I41" s="1095"/>
      <c r="J41" s="1095"/>
      <c r="K41" s="1095"/>
      <c r="L41" s="1095"/>
    </row>
    <row r="43" spans="1:12">
      <c r="A43" s="725"/>
      <c r="B43" s="726" t="s">
        <v>936</v>
      </c>
      <c r="C43" s="725"/>
      <c r="D43" s="725"/>
      <c r="E43" s="725"/>
      <c r="F43" s="725"/>
      <c r="G43" s="725"/>
      <c r="H43" s="725"/>
    </row>
    <row r="44" spans="1:12">
      <c r="B44" s="285" t="s">
        <v>1089</v>
      </c>
      <c r="C44" s="294" t="s">
        <v>902</v>
      </c>
      <c r="D44" s="294" t="s">
        <v>331</v>
      </c>
      <c r="E44" s="294" t="s">
        <v>226</v>
      </c>
      <c r="F44" s="294" t="s">
        <v>930</v>
      </c>
      <c r="G44" s="26"/>
    </row>
    <row r="45" spans="1:12">
      <c r="B45" s="278" t="s">
        <v>3200</v>
      </c>
      <c r="C45" s="278" t="s">
        <v>650</v>
      </c>
      <c r="D45" s="281">
        <f>E40</f>
        <v>22500000</v>
      </c>
      <c r="E45" s="387" t="s">
        <v>3207</v>
      </c>
      <c r="F45" s="281"/>
      <c r="G45" s="26"/>
    </row>
    <row r="46" spans="1:12">
      <c r="B46" s="278" t="s">
        <v>3200</v>
      </c>
      <c r="C46" s="278" t="s">
        <v>650</v>
      </c>
      <c r="D46" s="281">
        <f>E41</f>
        <v>1460000000</v>
      </c>
      <c r="E46" s="387" t="s">
        <v>3209</v>
      </c>
      <c r="F46" s="278"/>
      <c r="G46" s="26"/>
    </row>
    <row r="47" spans="1:12">
      <c r="B47" s="278" t="s">
        <v>3200</v>
      </c>
      <c r="C47" s="278" t="s">
        <v>650</v>
      </c>
      <c r="D47" s="435">
        <f>D46/D45</f>
        <v>64.888888888888886</v>
      </c>
      <c r="E47" s="387" t="s">
        <v>3211</v>
      </c>
      <c r="F47" s="278"/>
      <c r="G47" s="26"/>
    </row>
    <row r="49" spans="1:23">
      <c r="A49" s="727"/>
      <c r="B49" s="728" t="s">
        <v>901</v>
      </c>
      <c r="C49" s="727"/>
      <c r="D49" s="727"/>
      <c r="E49" s="727"/>
      <c r="F49" s="727"/>
      <c r="G49" s="727"/>
      <c r="H49" s="727"/>
    </row>
    <row r="50" spans="1:23" ht="29.1">
      <c r="B50" s="719" t="s">
        <v>902</v>
      </c>
      <c r="C50" s="719" t="s">
        <v>898</v>
      </c>
      <c r="D50" s="719" t="s">
        <v>899</v>
      </c>
      <c r="E50" s="719" t="s">
        <v>903</v>
      </c>
      <c r="F50" s="719" t="s">
        <v>904</v>
      </c>
      <c r="G50" s="774" t="s">
        <v>905</v>
      </c>
      <c r="H50" s="719" t="s">
        <v>924</v>
      </c>
      <c r="I50" s="719" t="s">
        <v>956</v>
      </c>
      <c r="J50" s="719" t="s">
        <v>927</v>
      </c>
    </row>
    <row r="51" spans="1:23" ht="101.45">
      <c r="B51" s="278" t="s">
        <v>649</v>
      </c>
      <c r="C51" s="278" t="s">
        <v>3200</v>
      </c>
      <c r="D51" s="383" t="str">
        <f>C18</f>
        <v>Benefit to the local economy as a result of recreational and fishing visits and trip-related expenditure</v>
      </c>
      <c r="E51" s="299">
        <v>1</v>
      </c>
      <c r="F51" s="278" t="str" cm="1">
        <f t="array" ref="F51">_xlfn.XLOOKUP(1,(D56:D57=B51)*(E56:E57=C51),B56:B57,"Not found",0,1)</f>
        <v>38-1</v>
      </c>
      <c r="G51" s="311">
        <f>VLOOKUP(F51,B56:L57,11,FALSE)</f>
        <v>-3.8851743001986452</v>
      </c>
      <c r="H51" s="1120">
        <f>D34</f>
        <v>2.8333333333333335</v>
      </c>
      <c r="I51" s="1149" t="s">
        <v>3212</v>
      </c>
      <c r="J51" s="1149" t="s">
        <v>3213</v>
      </c>
    </row>
    <row r="52" spans="1:23" ht="101.45">
      <c r="B52" s="278" t="s">
        <v>650</v>
      </c>
      <c r="C52" s="278" t="s">
        <v>3200</v>
      </c>
      <c r="D52" s="6" t="str">
        <f>C18</f>
        <v>Benefit to the local economy as a result of recreational and fishing visits and trip-related expenditure</v>
      </c>
      <c r="E52" s="299">
        <v>1</v>
      </c>
      <c r="F52" s="278" t="str" cm="1">
        <f t="array" ref="F52">_xlfn.XLOOKUP(1,(D57:D58=B52)*(E57:E58=C52),B57:B58,"Not found",0,1)</f>
        <v>38-2</v>
      </c>
      <c r="G52" s="311">
        <f>VLOOKUP(F52,B56:L57,11,FALSE)</f>
        <v>-82.919481350002968</v>
      </c>
      <c r="H52" s="1122"/>
      <c r="I52" s="1149"/>
      <c r="J52" s="1149"/>
    </row>
    <row r="53" spans="1:23">
      <c r="B53" s="18"/>
      <c r="D53" s="207"/>
    </row>
    <row r="54" spans="1:23">
      <c r="A54" s="725"/>
      <c r="B54" s="726" t="s">
        <v>962</v>
      </c>
      <c r="C54" s="725"/>
      <c r="D54" s="725"/>
      <c r="E54" s="725"/>
      <c r="F54" s="725"/>
      <c r="G54" s="725"/>
      <c r="H54" s="725"/>
    </row>
    <row r="55" spans="1:23">
      <c r="B55" s="277" t="s">
        <v>904</v>
      </c>
      <c r="C55" s="277" t="s">
        <v>62</v>
      </c>
      <c r="D55" s="277" t="s">
        <v>902</v>
      </c>
      <c r="E55" s="277" t="s">
        <v>898</v>
      </c>
      <c r="F55" s="277" t="s">
        <v>916</v>
      </c>
      <c r="G55" s="277" t="s">
        <v>963</v>
      </c>
      <c r="H55" s="277" t="s">
        <v>964</v>
      </c>
      <c r="I55" s="277" t="s">
        <v>965</v>
      </c>
      <c r="J55" s="277" t="s">
        <v>966</v>
      </c>
      <c r="K55" s="277" t="s">
        <v>967</v>
      </c>
      <c r="L55" s="277" t="s">
        <v>968</v>
      </c>
      <c r="M55" s="277" t="s">
        <v>956</v>
      </c>
      <c r="N55" s="277" t="s">
        <v>969</v>
      </c>
      <c r="O55" s="277" t="s">
        <v>970</v>
      </c>
      <c r="P55" s="277" t="s">
        <v>927</v>
      </c>
      <c r="Q55" s="277" t="s">
        <v>913</v>
      </c>
      <c r="R55" s="277" t="s">
        <v>914</v>
      </c>
      <c r="S55" s="277" t="s">
        <v>915</v>
      </c>
      <c r="T55" s="277" t="s">
        <v>916</v>
      </c>
      <c r="U55" s="277" t="s">
        <v>1291</v>
      </c>
      <c r="V55" s="277" t="s">
        <v>918</v>
      </c>
      <c r="W55" s="277" t="s">
        <v>919</v>
      </c>
    </row>
    <row r="56" spans="1:23">
      <c r="B56" s="302" t="s">
        <v>3214</v>
      </c>
      <c r="C56" s="278" t="s">
        <v>269</v>
      </c>
      <c r="D56" s="278" t="s">
        <v>649</v>
      </c>
      <c r="E56" s="278" t="s">
        <v>3200</v>
      </c>
      <c r="F56" s="299">
        <f>$E$24</f>
        <v>2018</v>
      </c>
      <c r="G56" s="278">
        <v>2016</v>
      </c>
      <c r="H56" s="278">
        <f>'COMPANY INPUT'!$C$16</f>
        <v>2023</v>
      </c>
      <c r="I56" s="278">
        <f>VLOOKUP(G56,'GDP Deflators'!$H$13:$I$86,2,FALSE)</f>
        <v>79.790499999999994</v>
      </c>
      <c r="J56" s="278">
        <f>VLOOKUP(H56,'GDP Deflators'!$H$13:$I$86,2,FALSE)</f>
        <v>100</v>
      </c>
      <c r="K56" s="385">
        <f>-E39</f>
        <v>-3.1</v>
      </c>
      <c r="L56" s="746">
        <f>K56*(J56/I56)</f>
        <v>-3.8851743001986452</v>
      </c>
      <c r="M56" s="278" t="str">
        <f>$I$51</f>
        <v>Market valuation</v>
      </c>
      <c r="N56" s="326">
        <f>$H$51</f>
        <v>2.8333333333333335</v>
      </c>
      <c r="O56" s="278" t="s">
        <v>718</v>
      </c>
      <c r="P56" s="278" t="str">
        <f>$J$51</f>
        <v>Valuation used in WINEP 2021 methodology</v>
      </c>
      <c r="Q56" s="299">
        <f t="shared" ref="Q56:W57" si="0">B$24</f>
        <v>50</v>
      </c>
      <c r="R56" s="299" t="str">
        <f t="shared" si="0"/>
        <v>Outdoor Recreation Valuation Tool (ORVal: Version 2.0) (2018)</v>
      </c>
      <c r="S56" s="299" t="str">
        <f t="shared" si="0"/>
        <v>ENCA</v>
      </c>
      <c r="T56" s="299">
        <f t="shared" si="0"/>
        <v>2018</v>
      </c>
      <c r="U56" s="299" t="str">
        <f t="shared" si="0"/>
        <v>UK</v>
      </c>
      <c r="V56" s="299" t="str">
        <f t="shared" si="0"/>
        <v>UK</v>
      </c>
      <c r="W56" s="299">
        <f t="shared" si="0"/>
        <v>0</v>
      </c>
    </row>
    <row r="57" spans="1:23">
      <c r="B57" s="302" t="s">
        <v>3215</v>
      </c>
      <c r="C57" s="278" t="s">
        <v>269</v>
      </c>
      <c r="D57" s="278" t="s">
        <v>650</v>
      </c>
      <c r="E57" s="278" t="s">
        <v>3200</v>
      </c>
      <c r="F57" s="299">
        <f t="shared" ref="F57" si="1">$E$24</f>
        <v>2018</v>
      </c>
      <c r="G57" s="278">
        <v>2015</v>
      </c>
      <c r="H57" s="278">
        <f>'COMPANY INPUT'!$C$16</f>
        <v>2023</v>
      </c>
      <c r="I57" s="278">
        <f>VLOOKUP(G57,'GDP Deflators'!$H$13:$I$86,2,FALSE)</f>
        <v>78.255300000000005</v>
      </c>
      <c r="J57" s="278">
        <f>VLOOKUP(H57,'GDP Deflators'!$H$13:$I$86,2,FALSE)</f>
        <v>100</v>
      </c>
      <c r="K57" s="385">
        <f>-D47</f>
        <v>-64.888888888888886</v>
      </c>
      <c r="L57" s="746">
        <f>K57*(J57/I57)</f>
        <v>-82.919481350002968</v>
      </c>
      <c r="M57" s="278" t="str">
        <f>$I$51</f>
        <v>Market valuation</v>
      </c>
      <c r="N57" s="326">
        <f>$H$51</f>
        <v>2.8333333333333335</v>
      </c>
      <c r="O57" s="278" t="s">
        <v>718</v>
      </c>
      <c r="P57" s="278" t="str">
        <f>$J$51</f>
        <v>Valuation used in WINEP 2021 methodology</v>
      </c>
      <c r="Q57" s="299">
        <f t="shared" si="0"/>
        <v>50</v>
      </c>
      <c r="R57" s="299" t="str">
        <f t="shared" si="0"/>
        <v>Outdoor Recreation Valuation Tool (ORVal: Version 2.0) (2018)</v>
      </c>
      <c r="S57" s="299" t="str">
        <f t="shared" si="0"/>
        <v>ENCA</v>
      </c>
      <c r="T57" s="299">
        <f t="shared" si="0"/>
        <v>2018</v>
      </c>
      <c r="U57" s="299" t="str">
        <f t="shared" si="0"/>
        <v>UK</v>
      </c>
      <c r="V57" s="299" t="str">
        <f t="shared" si="0"/>
        <v>UK</v>
      </c>
      <c r="W57" s="299">
        <f t="shared" si="0"/>
        <v>0</v>
      </c>
    </row>
    <row r="58" spans="1:23">
      <c r="B58" s="208"/>
      <c r="F58" s="4"/>
      <c r="K58" s="21"/>
      <c r="L58" s="27"/>
      <c r="R58" s="4"/>
    </row>
    <row r="59" spans="1:23">
      <c r="A59" s="727"/>
      <c r="B59" s="727" t="s">
        <v>943</v>
      </c>
      <c r="C59" s="727"/>
      <c r="D59" s="727"/>
      <c r="E59" s="727"/>
      <c r="F59" s="727"/>
      <c r="G59" s="727"/>
      <c r="H59" s="727"/>
    </row>
    <row r="60" spans="1:23">
      <c r="A60" s="725"/>
      <c r="B60" s="726" t="s">
        <v>912</v>
      </c>
      <c r="C60" s="725"/>
      <c r="D60" s="725"/>
      <c r="E60" s="725"/>
      <c r="F60" s="725"/>
      <c r="G60" s="725"/>
      <c r="H60" s="725"/>
    </row>
    <row r="61" spans="1:23" ht="29.1">
      <c r="B61" s="719" t="s">
        <v>913</v>
      </c>
      <c r="C61" s="719" t="s">
        <v>914</v>
      </c>
      <c r="D61" s="719" t="s">
        <v>915</v>
      </c>
      <c r="E61" s="719" t="s">
        <v>916</v>
      </c>
      <c r="F61" s="719" t="s">
        <v>917</v>
      </c>
      <c r="G61" s="719" t="s">
        <v>918</v>
      </c>
      <c r="H61" s="719" t="s">
        <v>919</v>
      </c>
    </row>
    <row r="62" spans="1:23">
      <c r="B62" s="281">
        <v>2</v>
      </c>
      <c r="C62" s="278" t="s">
        <v>3216</v>
      </c>
      <c r="D62" s="278"/>
      <c r="E62" s="278">
        <v>2024</v>
      </c>
      <c r="F62" s="278" t="s">
        <v>1047</v>
      </c>
      <c r="G62" s="278" t="s">
        <v>1047</v>
      </c>
      <c r="H62" s="278"/>
    </row>
    <row r="63" spans="1:23">
      <c r="F63" s="209"/>
    </row>
    <row r="64" spans="1:23">
      <c r="A64" s="725"/>
      <c r="B64" s="726" t="s">
        <v>924</v>
      </c>
      <c r="C64" s="725"/>
      <c r="D64" s="725"/>
      <c r="E64" s="725"/>
      <c r="F64" s="725"/>
      <c r="G64" s="725"/>
      <c r="H64" s="725"/>
    </row>
    <row r="65" spans="1:12">
      <c r="B65" s="277" t="s">
        <v>165</v>
      </c>
      <c r="C65" s="277" t="s">
        <v>925</v>
      </c>
      <c r="D65" s="277" t="s">
        <v>926</v>
      </c>
      <c r="E65" s="1134" t="s">
        <v>927</v>
      </c>
      <c r="F65" s="1134"/>
      <c r="G65" s="1134"/>
      <c r="H65" s="1134"/>
    </row>
    <row r="66" spans="1:12">
      <c r="B66" s="278" t="s">
        <v>169</v>
      </c>
      <c r="C66" s="278" t="s">
        <v>166</v>
      </c>
      <c r="D66" s="278">
        <f>VLOOKUP(C66,METHODOLOGY!$C$175:$D$177,2,FALSE)</f>
        <v>3</v>
      </c>
      <c r="E66" s="1087" t="str">
        <f>_xlfn.XLOOKUP(C66,METHODOLOGY!$E$150:$O$150,METHODOLOGY!$E$151:$O$151,"",0,1)</f>
        <v>Monetary values have been peer reviewed or are recommended / referenced in other, well recognised and accepted guidance / tools relevant to the water sector.</v>
      </c>
      <c r="F66" s="1087"/>
      <c r="G66" s="1087"/>
      <c r="H66" s="1087"/>
    </row>
    <row r="67" spans="1:12">
      <c r="B67" s="278" t="s">
        <v>173</v>
      </c>
      <c r="C67" s="278" t="s">
        <v>166</v>
      </c>
      <c r="D67" s="278">
        <f>VLOOKUP(C67,METHODOLOGY!$C$175:$D$177,2,FALSE)</f>
        <v>3</v>
      </c>
      <c r="E67" s="1087" t="str">
        <f>_xlfn.XLOOKUP(C67,METHODOLOGY!$E$150:$O$150,METHODOLOGY!$E$155:$O$155,"",0,1)</f>
        <v>Study has few limitations and is considered robust.</v>
      </c>
      <c r="F67" s="1087"/>
      <c r="G67" s="1087"/>
      <c r="H67" s="1087"/>
    </row>
    <row r="68" spans="1:12">
      <c r="B68" s="278" t="s">
        <v>177</v>
      </c>
      <c r="C68" s="278" t="s">
        <v>166</v>
      </c>
      <c r="D68" s="278">
        <f>VLOOKUP(C68,METHODOLOGY!$C$175:$D$177,2,FALSE)</f>
        <v>3</v>
      </c>
      <c r="E68" s="1087" t="str">
        <f>_xlfn.XLOOKUP(C68,METHODOLOGY!$E$150:$O$150,METHODOLOGY!$E$158:$O$158,"",0,1)</f>
        <v>0 – 5 years</v>
      </c>
      <c r="F68" s="1087"/>
      <c r="G68" s="1087"/>
      <c r="H68" s="1087"/>
    </row>
    <row r="69" spans="1:12">
      <c r="B69" s="278" t="s">
        <v>181</v>
      </c>
      <c r="C69" s="278" t="s">
        <v>166</v>
      </c>
      <c r="D69" s="278">
        <f>VLOOKUP(C69,METHODOLOGY!$C$175:$D$177,2,FALSE)</f>
        <v>3</v>
      </c>
      <c r="E69" s="1087" t="str">
        <f>_xlfn.XLOOKUP(C69,METHODOLOGY!$E$150:$O$150,METHODOLOGY!$E$160:$O$160,"",0,1)</f>
        <v>Geographically relevant to UK</v>
      </c>
      <c r="F69" s="1087"/>
      <c r="G69" s="1087"/>
      <c r="H69" s="1087"/>
    </row>
    <row r="70" spans="1:12">
      <c r="B70" s="278" t="s">
        <v>928</v>
      </c>
      <c r="C70" s="278" t="s">
        <v>166</v>
      </c>
      <c r="D70" s="278">
        <f>VLOOKUP(C70,METHODOLOGY!$C$175:$D$177,2,FALSE)</f>
        <v>3</v>
      </c>
      <c r="E70" s="1087" t="str">
        <f>_xlfn.XLOOKUP(C70,METHODOLOGY!$E$150:$O$150,METHODOLOGY!$E$162:$O$162,"",0,1)</f>
        <v>Clear understanding of the valuation method and how the value should be applied.</v>
      </c>
      <c r="F70" s="1087"/>
      <c r="G70" s="1087"/>
      <c r="H70" s="1087"/>
    </row>
    <row r="71" spans="1:12">
      <c r="B71" s="278" t="s">
        <v>189</v>
      </c>
      <c r="C71" s="278" t="s">
        <v>166</v>
      </c>
      <c r="D71" s="278">
        <f>VLOOKUP(C71,METHODOLOGY!$C$175:$D$177,2,FALSE)</f>
        <v>3</v>
      </c>
      <c r="E71" s="1087" t="str">
        <f>_xlfn.XLOOKUP(C71,METHODOLOGY!$E$150:$O$150,METHODOLOGY!$E$164:$O$164,"",0,1)</f>
        <v xml:space="preserve">The original valuation can be used with no or very simple modification e.g. change units from ha to km2, applying inflation. </v>
      </c>
      <c r="F71" s="1087"/>
      <c r="G71" s="1087"/>
      <c r="H71" s="1087"/>
    </row>
    <row r="72" spans="1:12">
      <c r="C72" s="282" t="s">
        <v>924</v>
      </c>
      <c r="D72" s="326">
        <f>IF(AND(D71=1,AVERAGE(D66:D71)&gt;2.14285714285714),2.14285714285714,IF(AND(D71=2,AVERAGE(D66:D71)&gt;2.57142857142857),2.57142857142857,AVERAGE(D66:D71)))</f>
        <v>3</v>
      </c>
      <c r="E72" s="270" t="str">
        <f>IF(D72&lt;=2.14285714285714,"Red",IF(D72&lt;=2.57142857142857,"Amber",IF(D72&lt;=3,"Green")))</f>
        <v>Green</v>
      </c>
    </row>
    <row r="73" spans="1:12">
      <c r="D73" s="210"/>
    </row>
    <row r="74" spans="1:12">
      <c r="A74" s="725"/>
      <c r="B74" s="726" t="s">
        <v>929</v>
      </c>
      <c r="C74" s="725"/>
      <c r="D74" s="725"/>
      <c r="E74" s="725"/>
      <c r="F74" s="725"/>
      <c r="G74" s="725"/>
      <c r="H74" s="725"/>
    </row>
    <row r="75" spans="1:12">
      <c r="B75" s="277" t="s">
        <v>913</v>
      </c>
      <c r="C75" s="277" t="s">
        <v>1089</v>
      </c>
      <c r="D75" s="277" t="s">
        <v>902</v>
      </c>
      <c r="E75" s="277" t="s">
        <v>331</v>
      </c>
      <c r="F75" s="277" t="s">
        <v>226</v>
      </c>
      <c r="G75" s="1157" t="s">
        <v>930</v>
      </c>
      <c r="H75" s="1157"/>
      <c r="I75" s="1157"/>
      <c r="J75" s="1157"/>
      <c r="K75" s="1157"/>
      <c r="L75" s="1157"/>
    </row>
    <row r="76" spans="1:12" ht="120" customHeight="1">
      <c r="B76" s="281">
        <v>2</v>
      </c>
      <c r="C76" s="483" t="s">
        <v>3202</v>
      </c>
      <c r="D76" s="278" t="s">
        <v>649</v>
      </c>
      <c r="E76" s="278">
        <v>3.52</v>
      </c>
      <c r="F76" s="375" t="s">
        <v>3217</v>
      </c>
      <c r="G76" s="1195" t="s">
        <v>3218</v>
      </c>
      <c r="H76" s="1195"/>
      <c r="I76" s="1195"/>
      <c r="J76" s="1195"/>
      <c r="K76" s="1195"/>
      <c r="L76" s="1195"/>
    </row>
    <row r="78" spans="1:12">
      <c r="A78" s="727"/>
      <c r="B78" s="728" t="s">
        <v>901</v>
      </c>
      <c r="C78" s="727"/>
      <c r="D78" s="727"/>
      <c r="E78" s="727"/>
      <c r="F78" s="727"/>
      <c r="G78" s="727"/>
      <c r="H78" s="727"/>
    </row>
    <row r="79" spans="1:12" ht="29.1">
      <c r="B79" s="719" t="s">
        <v>902</v>
      </c>
      <c r="C79" s="719" t="s">
        <v>898</v>
      </c>
      <c r="D79" s="719" t="s">
        <v>899</v>
      </c>
      <c r="E79" s="719" t="s">
        <v>903</v>
      </c>
      <c r="F79" s="719" t="s">
        <v>904</v>
      </c>
      <c r="G79" s="719" t="s">
        <v>905</v>
      </c>
      <c r="H79" s="752" t="s">
        <v>924</v>
      </c>
      <c r="I79" s="752" t="s">
        <v>956</v>
      </c>
      <c r="J79" s="752" t="s">
        <v>927</v>
      </c>
    </row>
    <row r="80" spans="1:12" ht="130.5">
      <c r="B80" s="278" t="s">
        <v>649</v>
      </c>
      <c r="C80" s="483" t="s">
        <v>3202</v>
      </c>
      <c r="D80" s="242" t="str">
        <f>C19</f>
        <v>Benefit to the local economy as a result of recreational and fishing visits and resultant avoidance of public health costs</v>
      </c>
      <c r="E80" s="299">
        <v>2</v>
      </c>
      <c r="F80" s="278" t="str" cm="1">
        <f t="array" ref="F80">_xlfn.XLOOKUP(1,(D85:D86=B80)*(E85:E86=C80),B85:B86,"Not found",0,1)</f>
        <v>38-3</v>
      </c>
      <c r="G80" s="311">
        <f>VLOOKUP(F80,B85:L86,11,FALSE)</f>
        <v>-3.7706865541816597</v>
      </c>
      <c r="H80" s="1120">
        <f>D72</f>
        <v>3</v>
      </c>
      <c r="I80" s="1167" t="s">
        <v>1343</v>
      </c>
      <c r="J80" s="1167" t="s">
        <v>3219</v>
      </c>
    </row>
    <row r="81" spans="1:23" ht="130.5">
      <c r="B81" s="278" t="s">
        <v>650</v>
      </c>
      <c r="C81" s="540" t="s">
        <v>3202</v>
      </c>
      <c r="D81" s="375" t="str">
        <f>C19</f>
        <v>Benefit to the local economy as a result of recreational and fishing visits and resultant avoidance of public health costs</v>
      </c>
      <c r="E81" s="541">
        <v>2</v>
      </c>
      <c r="F81" s="278" t="str" cm="1">
        <f t="array" ref="F81">_xlfn.XLOOKUP(1,(D86:D87=B81)*(E86:E87=C81),B86:B87,"Not found",0,1)</f>
        <v>38-4</v>
      </c>
      <c r="G81" s="311">
        <f>VLOOKUP(F81,B85:L86,11,FALSE)</f>
        <v>-3.7706865541816597</v>
      </c>
      <c r="H81" s="1122"/>
      <c r="I81" s="1169"/>
      <c r="J81" s="1169"/>
    </row>
    <row r="82" spans="1:23">
      <c r="B82" s="18"/>
    </row>
    <row r="83" spans="1:23">
      <c r="A83" s="725"/>
      <c r="B83" s="726" t="s">
        <v>962</v>
      </c>
      <c r="C83" s="725"/>
      <c r="D83" s="725"/>
      <c r="E83" s="725"/>
      <c r="F83" s="725"/>
      <c r="G83" s="725"/>
      <c r="H83" s="725"/>
    </row>
    <row r="84" spans="1:23">
      <c r="B84" s="277" t="s">
        <v>904</v>
      </c>
      <c r="C84" s="277" t="s">
        <v>62</v>
      </c>
      <c r="D84" s="277" t="s">
        <v>902</v>
      </c>
      <c r="E84" s="277" t="s">
        <v>898</v>
      </c>
      <c r="F84" s="277" t="s">
        <v>916</v>
      </c>
      <c r="G84" s="277" t="s">
        <v>963</v>
      </c>
      <c r="H84" s="277" t="s">
        <v>964</v>
      </c>
      <c r="I84" s="277" t="s">
        <v>965</v>
      </c>
      <c r="J84" s="277" t="s">
        <v>966</v>
      </c>
      <c r="K84" s="277" t="s">
        <v>967</v>
      </c>
      <c r="L84" s="277" t="s">
        <v>968</v>
      </c>
      <c r="M84" s="277" t="s">
        <v>956</v>
      </c>
      <c r="N84" s="277" t="s">
        <v>969</v>
      </c>
      <c r="O84" s="277" t="s">
        <v>970</v>
      </c>
      <c r="P84" s="277" t="s">
        <v>927</v>
      </c>
      <c r="Q84" s="277" t="s">
        <v>913</v>
      </c>
      <c r="R84" s="277" t="s">
        <v>914</v>
      </c>
      <c r="S84" s="277" t="s">
        <v>915</v>
      </c>
      <c r="T84" s="277" t="s">
        <v>916</v>
      </c>
      <c r="U84" s="277" t="s">
        <v>1291</v>
      </c>
      <c r="V84" s="277" t="s">
        <v>918</v>
      </c>
      <c r="W84" s="277" t="s">
        <v>919</v>
      </c>
    </row>
    <row r="85" spans="1:23" ht="57.95">
      <c r="B85" s="302" t="s">
        <v>3220</v>
      </c>
      <c r="C85" s="278" t="s">
        <v>269</v>
      </c>
      <c r="D85" s="278" t="s">
        <v>649</v>
      </c>
      <c r="E85" s="483" t="s">
        <v>3202</v>
      </c>
      <c r="F85" s="299">
        <f>$E$62</f>
        <v>2024</v>
      </c>
      <c r="G85" s="278">
        <v>2022</v>
      </c>
      <c r="H85" s="278">
        <f>'COMPANY INPUT'!$C$16</f>
        <v>2023</v>
      </c>
      <c r="I85" s="278">
        <f>VLOOKUP(G85,'GDP Deflators'!$H$13:$I$86,2,FALSE)</f>
        <v>93.351699999999994</v>
      </c>
      <c r="J85" s="278">
        <f>VLOOKUP(H85,'GDP Deflators'!$H$13:$I$86,2,FALSE)</f>
        <v>100</v>
      </c>
      <c r="K85" s="385">
        <f>-E76</f>
        <v>-3.52</v>
      </c>
      <c r="L85" s="746">
        <f>K85*(J85/I85)</f>
        <v>-3.7706865541816597</v>
      </c>
      <c r="M85" s="278" t="str">
        <f>$I$80</f>
        <v>Avoided cost</v>
      </c>
      <c r="N85" s="326">
        <f>$H$80</f>
        <v>3</v>
      </c>
      <c r="O85" s="278" t="s">
        <v>718</v>
      </c>
      <c r="P85" s="278" t="str">
        <f>$J$80</f>
        <v>QALY method has sufficient guidance on applying the valuation</v>
      </c>
      <c r="Q85" s="299">
        <f t="shared" ref="Q85:W86" si="2">B$62</f>
        <v>2</v>
      </c>
      <c r="R85" s="299" t="str">
        <f t="shared" si="2"/>
        <v>ENCA - Physical Health tab</v>
      </c>
      <c r="S85" s="299">
        <f t="shared" si="2"/>
        <v>0</v>
      </c>
      <c r="T85" s="299">
        <f t="shared" si="2"/>
        <v>2024</v>
      </c>
      <c r="U85" s="299" t="str">
        <f t="shared" si="2"/>
        <v>UK</v>
      </c>
      <c r="V85" s="299" t="str">
        <f t="shared" si="2"/>
        <v>UK</v>
      </c>
      <c r="W85" s="299">
        <f t="shared" si="2"/>
        <v>0</v>
      </c>
    </row>
    <row r="86" spans="1:23" ht="57.95">
      <c r="B86" s="302" t="s">
        <v>3221</v>
      </c>
      <c r="C86" s="278" t="s">
        <v>269</v>
      </c>
      <c r="D86" s="278" t="s">
        <v>650</v>
      </c>
      <c r="E86" s="483" t="s">
        <v>3202</v>
      </c>
      <c r="F86" s="299">
        <f>$E$62</f>
        <v>2024</v>
      </c>
      <c r="G86" s="278">
        <v>2022</v>
      </c>
      <c r="H86" s="278">
        <f>'COMPANY INPUT'!$C$16</f>
        <v>2023</v>
      </c>
      <c r="I86" s="278">
        <f>VLOOKUP(G86,'GDP Deflators'!$H$13:$I$86,2,FALSE)</f>
        <v>93.351699999999994</v>
      </c>
      <c r="J86" s="278">
        <f>VLOOKUP(H86,'GDP Deflators'!$H$13:$I$86,2,FALSE)</f>
        <v>100</v>
      </c>
      <c r="K86" s="385">
        <f>-E76</f>
        <v>-3.52</v>
      </c>
      <c r="L86" s="746">
        <f>K86*(J86/I86)</f>
        <v>-3.7706865541816597</v>
      </c>
      <c r="M86" s="278" t="str">
        <f>$I$80</f>
        <v>Avoided cost</v>
      </c>
      <c r="N86" s="326">
        <f>$H$80</f>
        <v>3</v>
      </c>
      <c r="O86" s="278" t="s">
        <v>718</v>
      </c>
      <c r="P86" s="278" t="str">
        <f>$J$80</f>
        <v>QALY method has sufficient guidance on applying the valuation</v>
      </c>
      <c r="Q86" s="299">
        <f t="shared" si="2"/>
        <v>2</v>
      </c>
      <c r="R86" s="299" t="str">
        <f t="shared" si="2"/>
        <v>ENCA - Physical Health tab</v>
      </c>
      <c r="S86" s="299">
        <f t="shared" si="2"/>
        <v>0</v>
      </c>
      <c r="T86" s="299">
        <f t="shared" si="2"/>
        <v>2024</v>
      </c>
      <c r="U86" s="299" t="str">
        <f t="shared" si="2"/>
        <v>UK</v>
      </c>
      <c r="V86" s="299" t="str">
        <f t="shared" si="2"/>
        <v>UK</v>
      </c>
      <c r="W86" s="299">
        <f t="shared" si="2"/>
        <v>0</v>
      </c>
    </row>
    <row r="87" spans="1:23">
      <c r="B87" s="208"/>
      <c r="F87" s="4"/>
      <c r="K87" s="21"/>
      <c r="L87" s="27"/>
      <c r="R87" s="4"/>
    </row>
    <row r="88" spans="1:23">
      <c r="A88" s="721"/>
      <c r="B88" s="722" t="s">
        <v>465</v>
      </c>
      <c r="C88" s="721"/>
      <c r="D88" s="721"/>
      <c r="E88" s="721"/>
      <c r="F88" s="721"/>
      <c r="G88" s="721"/>
      <c r="H88" s="721"/>
    </row>
    <row r="89" spans="1:23">
      <c r="A89" s="727"/>
      <c r="B89" s="729" t="s">
        <v>897</v>
      </c>
      <c r="C89" s="727"/>
      <c r="D89" s="727"/>
      <c r="E89" s="727"/>
      <c r="F89" s="727"/>
      <c r="G89" s="727"/>
      <c r="H89" s="727"/>
    </row>
    <row r="90" spans="1:23">
      <c r="B90" s="277" t="s">
        <v>898</v>
      </c>
      <c r="C90" s="277" t="s">
        <v>899</v>
      </c>
    </row>
    <row r="91" spans="1:23">
      <c r="B91" s="278" t="s">
        <v>465</v>
      </c>
      <c r="C91" s="278" t="s">
        <v>3222</v>
      </c>
    </row>
    <row r="93" spans="1:23">
      <c r="A93" s="727"/>
      <c r="B93" s="728" t="s">
        <v>1028</v>
      </c>
      <c r="C93" s="727"/>
      <c r="D93" s="727"/>
      <c r="E93" s="727"/>
      <c r="F93" s="727"/>
      <c r="G93" s="727"/>
      <c r="H93" s="727"/>
    </row>
    <row r="94" spans="1:23">
      <c r="A94" s="725"/>
      <c r="B94" s="726" t="s">
        <v>912</v>
      </c>
      <c r="C94" s="725"/>
      <c r="D94" s="725"/>
      <c r="E94" s="725"/>
      <c r="F94" s="725"/>
      <c r="G94" s="725"/>
      <c r="H94" s="725"/>
    </row>
    <row r="95" spans="1:23" ht="29.1">
      <c r="B95" s="719" t="s">
        <v>913</v>
      </c>
      <c r="C95" s="719" t="s">
        <v>914</v>
      </c>
      <c r="D95" s="719" t="s">
        <v>915</v>
      </c>
      <c r="E95" s="719" t="s">
        <v>916</v>
      </c>
      <c r="F95" s="719" t="s">
        <v>917</v>
      </c>
      <c r="G95" s="719" t="s">
        <v>918</v>
      </c>
      <c r="H95" s="719" t="s">
        <v>919</v>
      </c>
    </row>
    <row r="96" spans="1:23">
      <c r="B96" s="278">
        <v>51</v>
      </c>
      <c r="C96" s="375" t="s">
        <v>3223</v>
      </c>
      <c r="D96" s="278" t="s">
        <v>1261</v>
      </c>
      <c r="E96" s="278">
        <v>2018</v>
      </c>
      <c r="F96" s="278" t="s">
        <v>1047</v>
      </c>
      <c r="G96" s="278" t="s">
        <v>1047</v>
      </c>
      <c r="H96" s="278"/>
    </row>
    <row r="97" spans="1:12">
      <c r="B97" s="16"/>
    </row>
    <row r="98" spans="1:12">
      <c r="A98" s="725"/>
      <c r="B98" s="726" t="s">
        <v>924</v>
      </c>
      <c r="C98" s="725"/>
      <c r="D98" s="725"/>
      <c r="E98" s="725"/>
      <c r="F98" s="725"/>
      <c r="G98" s="725"/>
      <c r="H98" s="725"/>
    </row>
    <row r="99" spans="1:12">
      <c r="B99" s="277" t="s">
        <v>165</v>
      </c>
      <c r="C99" s="277" t="s">
        <v>925</v>
      </c>
      <c r="D99" s="277" t="s">
        <v>926</v>
      </c>
      <c r="E99" s="1134" t="s">
        <v>927</v>
      </c>
      <c r="F99" s="1134"/>
      <c r="G99" s="1134"/>
      <c r="H99" s="1134"/>
    </row>
    <row r="100" spans="1:12">
      <c r="B100" s="278" t="s">
        <v>169</v>
      </c>
      <c r="C100" s="278" t="s">
        <v>166</v>
      </c>
      <c r="D100" s="278">
        <f>VLOOKUP(C100,METHODOLOGY!$C$175:$D$177,2,FALSE)</f>
        <v>3</v>
      </c>
      <c r="E100" s="1087" t="str">
        <f>_xlfn.XLOOKUP(C100,METHODOLOGY!$E$150:$O$150,METHODOLOGY!$E$151:$O$151,"",0,1)</f>
        <v>Monetary values have been peer reviewed or are recommended / referenced in other, well recognised and accepted guidance / tools relevant to the water sector.</v>
      </c>
      <c r="F100" s="1087"/>
      <c r="G100" s="1087"/>
      <c r="H100" s="1087"/>
    </row>
    <row r="101" spans="1:12">
      <c r="B101" s="278" t="s">
        <v>173</v>
      </c>
      <c r="C101" s="278" t="s">
        <v>166</v>
      </c>
      <c r="D101" s="278">
        <f>VLOOKUP(C101,METHODOLOGY!$C$175:$D$177,2,FALSE)</f>
        <v>3</v>
      </c>
      <c r="E101" s="1087" t="str">
        <f>_xlfn.XLOOKUP(C101,METHODOLOGY!$E$150:$O$150,METHODOLOGY!$E$155:$O$155,"",0,1)</f>
        <v>Study has few limitations and is considered robust.</v>
      </c>
      <c r="F101" s="1087"/>
      <c r="G101" s="1087"/>
      <c r="H101" s="1087"/>
    </row>
    <row r="102" spans="1:12">
      <c r="B102" s="278" t="s">
        <v>177</v>
      </c>
      <c r="C102" s="278" t="s">
        <v>167</v>
      </c>
      <c r="D102" s="278">
        <f>VLOOKUP(C102,METHODOLOGY!$C$175:$D$177,2,FALSE)</f>
        <v>2</v>
      </c>
      <c r="E102" s="1087" t="str">
        <f>_xlfn.XLOOKUP(C102,METHODOLOGY!$E$150:$O$150,METHODOLOGY!$E$158:$O$158,"",0,1)</f>
        <v>6-10 years</v>
      </c>
      <c r="F102" s="1087"/>
      <c r="G102" s="1087"/>
      <c r="H102" s="1087"/>
    </row>
    <row r="103" spans="1:12">
      <c r="B103" s="278" t="s">
        <v>181</v>
      </c>
      <c r="C103" s="278" t="s">
        <v>166</v>
      </c>
      <c r="D103" s="278">
        <f>VLOOKUP(C103,METHODOLOGY!$C$175:$D$177,2,FALSE)</f>
        <v>3</v>
      </c>
      <c r="E103" s="1087" t="str">
        <f>_xlfn.XLOOKUP(C103,METHODOLOGY!$E$150:$O$150,METHODOLOGY!$E$160:$O$160,"",0,1)</f>
        <v>Geographically relevant to UK</v>
      </c>
      <c r="F103" s="1087"/>
      <c r="G103" s="1087"/>
      <c r="H103" s="1087"/>
    </row>
    <row r="104" spans="1:12">
      <c r="B104" s="278" t="s">
        <v>928</v>
      </c>
      <c r="C104" s="278" t="s">
        <v>166</v>
      </c>
      <c r="D104" s="278">
        <f>VLOOKUP(C104,METHODOLOGY!$C$175:$D$177,2,FALSE)</f>
        <v>3</v>
      </c>
      <c r="E104" s="1087" t="str">
        <f>_xlfn.XLOOKUP(C104,METHODOLOGY!$E$150:$O$150,METHODOLOGY!$E$162:$O$162,"",0,1)</f>
        <v>Clear understanding of the valuation method and how the value should be applied.</v>
      </c>
      <c r="F104" s="1087"/>
      <c r="G104" s="1087"/>
      <c r="H104" s="1087"/>
    </row>
    <row r="105" spans="1:12">
      <c r="B105" s="278" t="s">
        <v>189</v>
      </c>
      <c r="C105" s="278" t="s">
        <v>166</v>
      </c>
      <c r="D105" s="278">
        <f>VLOOKUP(C105,METHODOLOGY!$C$175:$D$177,2,FALSE)</f>
        <v>3</v>
      </c>
      <c r="E105" s="1087" t="str">
        <f>_xlfn.XLOOKUP(C105,METHODOLOGY!$E$150:$O$150,METHODOLOGY!$E$164:$O$164,"",0,1)</f>
        <v xml:space="preserve">The original valuation can be used with no or very simple modification e.g. change units from ha to km2, applying inflation. </v>
      </c>
      <c r="F105" s="1087"/>
      <c r="G105" s="1087"/>
      <c r="H105" s="1087"/>
    </row>
    <row r="106" spans="1:12">
      <c r="C106" s="282" t="s">
        <v>924</v>
      </c>
      <c r="D106" s="326">
        <f>IF(AND(D105=1,AVERAGE(D100:D105)&gt;2.14285714285714),2.14285714285714,IF(AND(D105=2,AVERAGE(D100:D105)&gt;2.57142857142857),2.57142857142857,AVERAGE(D100:D105)))</f>
        <v>2.8333333333333335</v>
      </c>
      <c r="E106" s="270" t="str">
        <f>IF(D106&lt;=2.14285714285714,"Red",IF(D106&lt;=2.57142857142857,"Amber",IF(D106&lt;=3,"Green")))</f>
        <v>Green</v>
      </c>
    </row>
    <row r="108" spans="1:12">
      <c r="A108" s="725"/>
      <c r="B108" s="726" t="s">
        <v>929</v>
      </c>
      <c r="C108" s="725"/>
      <c r="D108" s="725"/>
      <c r="E108" s="725"/>
      <c r="F108" s="725"/>
      <c r="G108" s="725"/>
      <c r="H108" s="725"/>
    </row>
    <row r="109" spans="1:12">
      <c r="B109" s="277" t="s">
        <v>913</v>
      </c>
      <c r="C109" s="277" t="s">
        <v>1089</v>
      </c>
      <c r="D109" s="277" t="s">
        <v>902</v>
      </c>
      <c r="E109" s="277" t="s">
        <v>331</v>
      </c>
      <c r="F109" s="277" t="s">
        <v>226</v>
      </c>
      <c r="G109" s="1157" t="s">
        <v>930</v>
      </c>
      <c r="H109" s="1157"/>
      <c r="I109" s="1157"/>
      <c r="J109" s="1157"/>
      <c r="K109" s="1157"/>
      <c r="L109" s="1157"/>
    </row>
    <row r="110" spans="1:12" ht="34.5" customHeight="1">
      <c r="B110" s="278">
        <v>51</v>
      </c>
      <c r="C110" s="278" t="s">
        <v>465</v>
      </c>
      <c r="D110" s="278" t="s">
        <v>649</v>
      </c>
      <c r="E110" s="278">
        <v>8.4700000000000006</v>
      </c>
      <c r="F110" s="278" t="s">
        <v>251</v>
      </c>
      <c r="G110" s="1195" t="s">
        <v>3224</v>
      </c>
      <c r="H110" s="1195"/>
      <c r="I110" s="1195"/>
      <c r="J110" s="1195"/>
      <c r="K110" s="1195"/>
      <c r="L110" s="1195"/>
    </row>
    <row r="111" spans="1:12" ht="34.5" customHeight="1">
      <c r="B111" s="278">
        <v>51</v>
      </c>
      <c r="C111" s="278" t="s">
        <v>465</v>
      </c>
      <c r="D111" s="278" t="s">
        <v>650</v>
      </c>
      <c r="E111" s="278">
        <v>8.4700000000000006</v>
      </c>
      <c r="F111" s="212" t="s">
        <v>251</v>
      </c>
      <c r="G111" s="1195" t="s">
        <v>3224</v>
      </c>
      <c r="H111" s="1195"/>
      <c r="I111" s="1195"/>
      <c r="J111" s="1195"/>
      <c r="K111" s="1195"/>
      <c r="L111" s="1195"/>
    </row>
    <row r="113" spans="1:23">
      <c r="A113" s="727"/>
      <c r="B113" s="728" t="s">
        <v>901</v>
      </c>
      <c r="C113" s="727"/>
      <c r="D113" s="727"/>
      <c r="E113" s="727"/>
      <c r="F113" s="727"/>
      <c r="G113" s="727"/>
      <c r="H113" s="727"/>
    </row>
    <row r="114" spans="1:23" ht="29.1">
      <c r="B114" s="719" t="s">
        <v>902</v>
      </c>
      <c r="C114" s="719" t="s">
        <v>898</v>
      </c>
      <c r="D114" s="719" t="s">
        <v>899</v>
      </c>
      <c r="E114" s="719" t="s">
        <v>903</v>
      </c>
      <c r="F114" s="719" t="s">
        <v>904</v>
      </c>
      <c r="G114" s="719" t="s">
        <v>905</v>
      </c>
      <c r="H114" s="752" t="s">
        <v>924</v>
      </c>
      <c r="I114" s="752" t="s">
        <v>956</v>
      </c>
      <c r="J114" s="752" t="s">
        <v>927</v>
      </c>
    </row>
    <row r="115" spans="1:23" ht="87">
      <c r="B115" s="278" t="s">
        <v>649</v>
      </c>
      <c r="C115" s="278" t="s">
        <v>465</v>
      </c>
      <c r="D115" s="383" t="str">
        <f>C91</f>
        <v>Benefit to individuals health and wellbeing as a result of recreational and fishing visits</v>
      </c>
      <c r="E115" s="299">
        <v>3</v>
      </c>
      <c r="F115" s="278" t="str" cm="1">
        <f t="array" ref="F115">_xlfn.XLOOKUP(1,(D120:D121=B115)*(E120:E121=C115),B120:B121,"Not found",0,1)</f>
        <v>38-5</v>
      </c>
      <c r="G115" s="311">
        <f>VLOOKUP(F115,B120:L176,11,FALSE)</f>
        <v>-10.225022936887344</v>
      </c>
      <c r="H115" s="1120">
        <f>$D$106</f>
        <v>2.8333333333333335</v>
      </c>
      <c r="I115" s="1450" t="s">
        <v>3225</v>
      </c>
      <c r="J115" s="1149" t="s">
        <v>3226</v>
      </c>
    </row>
    <row r="116" spans="1:23" ht="87">
      <c r="B116" s="278" t="s">
        <v>650</v>
      </c>
      <c r="C116" s="278" t="s">
        <v>465</v>
      </c>
      <c r="D116" s="383" t="str">
        <f>C91</f>
        <v>Benefit to individuals health and wellbeing as a result of recreational and fishing visits</v>
      </c>
      <c r="E116" s="299">
        <v>3</v>
      </c>
      <c r="F116" s="278" t="str" cm="1">
        <f t="array" ref="F116">_xlfn.XLOOKUP(1,(D121:D176=B116)*(E121:E176=C116),B121:B176,"Not found",0,1)</f>
        <v>38-6</v>
      </c>
      <c r="G116" s="311">
        <f>VLOOKUP(F116,B121:L177,11,FALSE)</f>
        <v>-10.225022936887344</v>
      </c>
      <c r="H116" s="1122"/>
      <c r="I116" s="1450"/>
      <c r="J116" s="1149"/>
    </row>
    <row r="117" spans="1:23">
      <c r="B117" s="18"/>
    </row>
    <row r="118" spans="1:23">
      <c r="A118" s="725"/>
      <c r="B118" s="726" t="s">
        <v>962</v>
      </c>
      <c r="C118" s="725"/>
      <c r="D118" s="725"/>
      <c r="E118" s="725"/>
      <c r="F118" s="725"/>
      <c r="G118" s="725"/>
      <c r="H118" s="725"/>
    </row>
    <row r="119" spans="1:23">
      <c r="B119" s="277" t="s">
        <v>904</v>
      </c>
      <c r="C119" s="277" t="s">
        <v>62</v>
      </c>
      <c r="D119" s="277" t="s">
        <v>902</v>
      </c>
      <c r="E119" s="277" t="s">
        <v>898</v>
      </c>
      <c r="F119" s="277" t="s">
        <v>916</v>
      </c>
      <c r="G119" s="277" t="s">
        <v>963</v>
      </c>
      <c r="H119" s="277" t="s">
        <v>964</v>
      </c>
      <c r="I119" s="277" t="s">
        <v>965</v>
      </c>
      <c r="J119" s="277" t="s">
        <v>966</v>
      </c>
      <c r="K119" s="277" t="s">
        <v>967</v>
      </c>
      <c r="L119" s="277" t="s">
        <v>968</v>
      </c>
      <c r="M119" s="277" t="s">
        <v>956</v>
      </c>
      <c r="N119" s="277" t="s">
        <v>969</v>
      </c>
      <c r="O119" s="277" t="s">
        <v>970</v>
      </c>
      <c r="P119" s="277" t="s">
        <v>927</v>
      </c>
      <c r="Q119" s="277" t="s">
        <v>913</v>
      </c>
      <c r="R119" s="277" t="s">
        <v>914</v>
      </c>
      <c r="S119" s="277" t="s">
        <v>915</v>
      </c>
      <c r="T119" s="277" t="s">
        <v>916</v>
      </c>
      <c r="U119" s="277" t="s">
        <v>3227</v>
      </c>
      <c r="V119" s="277" t="s">
        <v>918</v>
      </c>
      <c r="W119" s="277" t="s">
        <v>919</v>
      </c>
    </row>
    <row r="120" spans="1:23">
      <c r="B120" s="302" t="s">
        <v>3228</v>
      </c>
      <c r="C120" s="278" t="s">
        <v>269</v>
      </c>
      <c r="D120" s="278" t="s">
        <v>649</v>
      </c>
      <c r="E120" s="278" t="s">
        <v>465</v>
      </c>
      <c r="F120" s="299">
        <f>E96</f>
        <v>2018</v>
      </c>
      <c r="G120" s="278">
        <v>2018</v>
      </c>
      <c r="H120" s="278">
        <f>'COMPANY INPUT'!$C$16</f>
        <v>2023</v>
      </c>
      <c r="I120" s="278">
        <f>VLOOKUP(G120,'GDP Deflators'!$H$13:$I$86,2,FALSE)</f>
        <v>82.835999999999999</v>
      </c>
      <c r="J120" s="278">
        <f>VLOOKUP(H120,'GDP Deflators'!$H$13:$I$86,2,FALSE)</f>
        <v>100</v>
      </c>
      <c r="K120" s="385">
        <f>-E110</f>
        <v>-8.4700000000000006</v>
      </c>
      <c r="L120" s="746">
        <f>K120*(J120/I120)</f>
        <v>-10.225022936887344</v>
      </c>
      <c r="M120" s="281" t="str">
        <f>$I$115</f>
        <v>Wellbeing valuation</v>
      </c>
      <c r="N120" s="326">
        <f>$H$115</f>
        <v>2.8333333333333335</v>
      </c>
      <c r="O120" s="278" t="s">
        <v>718</v>
      </c>
      <c r="P120" s="278" t="str">
        <f>$J$115</f>
        <v>EA study including information on what valuation represents</v>
      </c>
      <c r="Q120" s="278">
        <f t="shared" ref="Q120:W120" si="3">B96</f>
        <v>51</v>
      </c>
      <c r="R120" s="278" t="str">
        <f t="shared" si="3"/>
        <v>Revaluing Parks and Green Spaces, Fields in trust</v>
      </c>
      <c r="S120" s="278" t="str">
        <f t="shared" si="3"/>
        <v>B£ST</v>
      </c>
      <c r="T120" s="278">
        <f t="shared" si="3"/>
        <v>2018</v>
      </c>
      <c r="U120" s="278" t="str">
        <f t="shared" si="3"/>
        <v>UK</v>
      </c>
      <c r="V120" s="278" t="str">
        <f t="shared" si="3"/>
        <v>UK</v>
      </c>
      <c r="W120" s="278">
        <f t="shared" si="3"/>
        <v>0</v>
      </c>
    </row>
    <row r="121" spans="1:23">
      <c r="B121" s="302" t="s">
        <v>3229</v>
      </c>
      <c r="C121" s="278" t="s">
        <v>269</v>
      </c>
      <c r="D121" s="278" t="s">
        <v>650</v>
      </c>
      <c r="E121" s="278" t="s">
        <v>465</v>
      </c>
      <c r="F121" s="299">
        <f>E96</f>
        <v>2018</v>
      </c>
      <c r="G121" s="278">
        <v>2018</v>
      </c>
      <c r="H121" s="278">
        <f>'COMPANY INPUT'!$C$16</f>
        <v>2023</v>
      </c>
      <c r="I121" s="278">
        <f>VLOOKUP(G121,'GDP Deflators'!$H$13:$I$86,2,FALSE)</f>
        <v>82.835999999999999</v>
      </c>
      <c r="J121" s="278">
        <f>VLOOKUP(H121,'GDP Deflators'!$H$13:$I$86,2,FALSE)</f>
        <v>100</v>
      </c>
      <c r="K121" s="385">
        <f>-E111</f>
        <v>-8.4700000000000006</v>
      </c>
      <c r="L121" s="746">
        <f>K121*(J121/I121)</f>
        <v>-10.225022936887344</v>
      </c>
      <c r="M121" s="281" t="str">
        <f>$I$115</f>
        <v>Wellbeing valuation</v>
      </c>
      <c r="N121" s="326">
        <f>$H$115</f>
        <v>2.8333333333333335</v>
      </c>
      <c r="O121" s="278" t="s">
        <v>718</v>
      </c>
      <c r="P121" s="278" t="str">
        <f>$J$115</f>
        <v>EA study including information on what valuation represents</v>
      </c>
      <c r="Q121" s="278">
        <f t="shared" ref="Q121:W121" si="4">B96</f>
        <v>51</v>
      </c>
      <c r="R121" s="278" t="str">
        <f t="shared" si="4"/>
        <v>Revaluing Parks and Green Spaces, Fields in trust</v>
      </c>
      <c r="S121" s="278" t="str">
        <f t="shared" si="4"/>
        <v>B£ST</v>
      </c>
      <c r="T121" s="278">
        <f t="shared" si="4"/>
        <v>2018</v>
      </c>
      <c r="U121" s="278" t="str">
        <f t="shared" si="4"/>
        <v>UK</v>
      </c>
      <c r="V121" s="278" t="str">
        <f t="shared" si="4"/>
        <v>UK</v>
      </c>
      <c r="W121" s="278">
        <f t="shared" si="4"/>
        <v>0</v>
      </c>
    </row>
  </sheetData>
  <sheetProtection algorithmName="SHA-512" hashValue="mgOWLpK+TvcaSmCQ9jDFudjqFPAJnLmDqDO59LhOWK3zT9CqPnc5+DdXkHetw6gu9tWNpQ/sDhoQOvdBIR/MLQ==" saltValue="uGb8tfLweaUvzPO9H2nD+Q==" spinCount="100000" sheet="1" objects="1" scenarios="1"/>
  <dataConsolidate/>
  <mergeCells count="40">
    <mergeCell ref="E104:H104"/>
    <mergeCell ref="E105:H105"/>
    <mergeCell ref="E99:H99"/>
    <mergeCell ref="E100:H100"/>
    <mergeCell ref="E101:H101"/>
    <mergeCell ref="E102:H102"/>
    <mergeCell ref="E103:H103"/>
    <mergeCell ref="E67:H67"/>
    <mergeCell ref="E68:H68"/>
    <mergeCell ref="E69:H69"/>
    <mergeCell ref="E70:H70"/>
    <mergeCell ref="E71:H71"/>
    <mergeCell ref="J115:J116"/>
    <mergeCell ref="I115:I116"/>
    <mergeCell ref="H115:H116"/>
    <mergeCell ref="J51:J52"/>
    <mergeCell ref="I51:I52"/>
    <mergeCell ref="H51:H52"/>
    <mergeCell ref="J80:J81"/>
    <mergeCell ref="I80:I81"/>
    <mergeCell ref="H80:H81"/>
    <mergeCell ref="G75:L75"/>
    <mergeCell ref="G76:L76"/>
    <mergeCell ref="G111:L111"/>
    <mergeCell ref="G109:L109"/>
    <mergeCell ref="G110:L110"/>
    <mergeCell ref="E65:H65"/>
    <mergeCell ref="E66:H66"/>
    <mergeCell ref="G38:L38"/>
    <mergeCell ref="G39:L39"/>
    <mergeCell ref="G41:L41"/>
    <mergeCell ref="G40:L40"/>
    <mergeCell ref="B5:H5"/>
    <mergeCell ref="E27:H27"/>
    <mergeCell ref="E28:H28"/>
    <mergeCell ref="E29:H29"/>
    <mergeCell ref="E30:H30"/>
    <mergeCell ref="E31:H31"/>
    <mergeCell ref="E32:H32"/>
    <mergeCell ref="E33:H33"/>
  </mergeCells>
  <conditionalFormatting sqref="D11:E12">
    <cfRule type="notContainsBlanks" dxfId="255" priority="1">
      <formula>LEN(TRIM(D11))&gt;0</formula>
    </cfRule>
  </conditionalFormatting>
  <conditionalFormatting sqref="D34:E34">
    <cfRule type="cellIs" dxfId="254" priority="17" operator="lessThanOrEqual">
      <formula>2.14285714285714</formula>
    </cfRule>
    <cfRule type="cellIs" dxfId="253" priority="18" operator="lessThanOrEqual">
      <formula>2.57142857142857</formula>
    </cfRule>
    <cfRule type="cellIs" dxfId="252" priority="19" operator="lessThanOrEqual">
      <formula>3</formula>
    </cfRule>
  </conditionalFormatting>
  <conditionalFormatting sqref="D72:E72">
    <cfRule type="cellIs" dxfId="251" priority="11" operator="lessThanOrEqual">
      <formula>2.14285714285714</formula>
    </cfRule>
    <cfRule type="cellIs" dxfId="250" priority="12" operator="lessThanOrEqual">
      <formula>2.57142857142857</formula>
    </cfRule>
    <cfRule type="cellIs" dxfId="249" priority="13" operator="lessThanOrEqual">
      <formula>3</formula>
    </cfRule>
  </conditionalFormatting>
  <conditionalFormatting sqref="D106:E106">
    <cfRule type="cellIs" dxfId="248" priority="5" operator="lessThanOrEqual">
      <formula>2.14285714285714</formula>
    </cfRule>
    <cfRule type="cellIs" dxfId="247" priority="6" operator="lessThanOrEqual">
      <formula>2.57142857142857</formula>
    </cfRule>
    <cfRule type="cellIs" dxfId="246" priority="7" operator="lessThanOrEqual">
      <formula>3</formula>
    </cfRule>
  </conditionalFormatting>
  <conditionalFormatting sqref="E34">
    <cfRule type="containsText" dxfId="245" priority="14" operator="containsText" text="Green">
      <formula>NOT(ISERROR(SEARCH("Green",E34)))</formula>
    </cfRule>
    <cfRule type="containsText" dxfId="244" priority="15" operator="containsText" text="Amber">
      <formula>NOT(ISERROR(SEARCH("Amber",E34)))</formula>
    </cfRule>
    <cfRule type="containsText" dxfId="243" priority="16" operator="containsText" text="Red">
      <formula>NOT(ISERROR(SEARCH("Red",E34)))</formula>
    </cfRule>
  </conditionalFormatting>
  <conditionalFormatting sqref="E72">
    <cfRule type="containsText" dxfId="242" priority="8" operator="containsText" text="Green">
      <formula>NOT(ISERROR(SEARCH("Green",E72)))</formula>
    </cfRule>
    <cfRule type="containsText" dxfId="241" priority="9" operator="containsText" text="Amber">
      <formula>NOT(ISERROR(SEARCH("Amber",E72)))</formula>
    </cfRule>
    <cfRule type="containsText" dxfId="240" priority="10" operator="containsText" text="Red">
      <formula>NOT(ISERROR(SEARCH("Red",E72)))</formula>
    </cfRule>
  </conditionalFormatting>
  <conditionalFormatting sqref="E106">
    <cfRule type="containsText" dxfId="239" priority="2" operator="containsText" text="Green">
      <formula>NOT(ISERROR(SEARCH("Green",E106)))</formula>
    </cfRule>
    <cfRule type="containsText" dxfId="238" priority="3" operator="containsText" text="Amber">
      <formula>NOT(ISERROR(SEARCH("Amber",E106)))</formula>
    </cfRule>
    <cfRule type="containsText" dxfId="237" priority="4" operator="containsText" text="Red">
      <formula>NOT(ISERROR(SEARCH("Red",E106)))</formula>
    </cfRule>
  </conditionalFormatting>
  <conditionalFormatting sqref="H51">
    <cfRule type="cellIs" dxfId="236" priority="44" operator="lessThanOrEqual">
      <formula>2.14285714285714</formula>
    </cfRule>
    <cfRule type="cellIs" dxfId="235" priority="45" operator="lessThanOrEqual">
      <formula>2.57142857142857</formula>
    </cfRule>
    <cfRule type="cellIs" dxfId="234" priority="46" operator="lessThanOrEqual">
      <formula>3</formula>
    </cfRule>
  </conditionalFormatting>
  <conditionalFormatting sqref="H80">
    <cfRule type="cellIs" dxfId="233" priority="32" operator="lessThanOrEqual">
      <formula>2.14285714285714</formula>
    </cfRule>
    <cfRule type="cellIs" dxfId="232" priority="33" operator="lessThanOrEqual">
      <formula>2.57142857142857</formula>
    </cfRule>
    <cfRule type="cellIs" dxfId="231" priority="34" operator="lessThanOrEqual">
      <formula>3</formula>
    </cfRule>
  </conditionalFormatting>
  <conditionalFormatting sqref="H115">
    <cfRule type="cellIs" dxfId="230" priority="20" operator="lessThanOrEqual">
      <formula>2.14285714285714</formula>
    </cfRule>
    <cfRule type="cellIs" dxfId="229" priority="21" operator="lessThanOrEqual">
      <formula>2.57142857142857</formula>
    </cfRule>
    <cfRule type="cellIs" dxfId="228" priority="22" operator="lessThanOrEqual">
      <formula>3</formula>
    </cfRule>
  </conditionalFormatting>
  <conditionalFormatting sqref="N56:N57">
    <cfRule type="cellIs" dxfId="227" priority="47" operator="lessThanOrEqual">
      <formula>2.14285714285714</formula>
    </cfRule>
    <cfRule type="cellIs" dxfId="226" priority="48" operator="lessThanOrEqual">
      <formula>2.57142857142857</formula>
    </cfRule>
    <cfRule type="cellIs" dxfId="225" priority="49" operator="lessThanOrEqual">
      <formula>3</formula>
    </cfRule>
  </conditionalFormatting>
  <conditionalFormatting sqref="N85:N86">
    <cfRule type="cellIs" dxfId="224" priority="35" operator="lessThanOrEqual">
      <formula>2.14285714285714</formula>
    </cfRule>
    <cfRule type="cellIs" dxfId="223" priority="36" operator="lessThanOrEqual">
      <formula>2.57142857142857</formula>
    </cfRule>
    <cfRule type="cellIs" dxfId="222" priority="37" operator="lessThanOrEqual">
      <formula>3</formula>
    </cfRule>
  </conditionalFormatting>
  <conditionalFormatting sqref="N120:N121">
    <cfRule type="cellIs" dxfId="221" priority="23" operator="lessThanOrEqual">
      <formula>2.14285714285714</formula>
    </cfRule>
    <cfRule type="cellIs" dxfId="220" priority="24" operator="lessThanOrEqual">
      <formula>2.57142857142857</formula>
    </cfRule>
    <cfRule type="cellIs" dxfId="219" priority="25" operator="lessThanOrEqual">
      <formula>3</formula>
    </cfRule>
  </conditionalFormatting>
  <dataValidations disablePrompts="1" count="1">
    <dataValidation type="list" allowBlank="1" showInputMessage="1" showErrorMessage="1" sqref="C100:C105 C35 C28:C33 C122 C66:C71" xr:uid="{5E165376-3E5B-4EE3-BF52-82C8699BB6B9}">
      <formula1>"High, Medium, Low"</formula1>
    </dataValidation>
  </dataValidations>
  <hyperlinks>
    <hyperlink ref="D96" r:id="rId1" display="https://fieldsintrust.org/insights/revaluing-parks-and-green-spaces" xr:uid="{75AB19AF-7008-4848-AA38-E014E9C34A6D}"/>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7013-F9DA-4FAC-BA97-7D6FEC470312}">
  <sheetPr codeName="Sheet44">
    <tabColor theme="5" tint="0.59999389629810485"/>
  </sheetPr>
  <dimension ref="A1:W181"/>
  <sheetViews>
    <sheetView workbookViewId="0"/>
  </sheetViews>
  <sheetFormatPr defaultColWidth="8.625" defaultRowHeight="14.45"/>
  <cols>
    <col min="1" max="1" width="3.5" style="7" customWidth="1"/>
    <col min="2" max="3" width="40.625" style="7" customWidth="1"/>
    <col min="4" max="12" width="15.625" style="7" customWidth="1"/>
    <col min="13" max="15" width="16.125" style="7" customWidth="1"/>
    <col min="16" max="16" width="9" style="7" bestFit="1" customWidth="1"/>
    <col min="17" max="17" width="16.625" style="7" customWidth="1"/>
    <col min="18" max="18" width="18.5" style="7" customWidth="1"/>
    <col min="19" max="16384" width="8.625" style="7"/>
  </cols>
  <sheetData>
    <row r="1" spans="1:10" ht="15" thickBot="1"/>
    <row r="2" spans="1:10" s="732" customFormat="1" ht="18.95" thickBot="1">
      <c r="A2" s="730"/>
      <c r="B2" s="753" t="s">
        <v>431</v>
      </c>
      <c r="C2" s="733"/>
      <c r="D2" s="733"/>
    </row>
    <row r="4" spans="1:10" s="734" customFormat="1" ht="18.600000000000001">
      <c r="A4" s="735"/>
      <c r="B4" s="713" t="s">
        <v>893</v>
      </c>
      <c r="C4" s="735"/>
      <c r="D4" s="735"/>
      <c r="E4" s="735"/>
      <c r="F4" s="735"/>
      <c r="G4" s="735"/>
      <c r="H4" s="735"/>
    </row>
    <row r="5" spans="1:10" ht="141.6" customHeight="1">
      <c r="A5" s="737"/>
      <c r="B5" s="1152" t="s">
        <v>3230</v>
      </c>
      <c r="C5" s="1152"/>
      <c r="D5" s="1152"/>
      <c r="E5" s="1152"/>
      <c r="F5" s="1152"/>
      <c r="G5" s="1152"/>
      <c r="H5" s="1152"/>
    </row>
    <row r="7" spans="1:10" s="754" customFormat="1" ht="15.95" customHeight="1">
      <c r="A7" s="755"/>
      <c r="B7" s="755" t="s">
        <v>895</v>
      </c>
      <c r="C7" s="755"/>
      <c r="D7" s="755"/>
      <c r="E7" s="755"/>
      <c r="F7" s="755"/>
      <c r="G7" s="755"/>
      <c r="H7" s="755"/>
    </row>
    <row r="9" spans="1:10">
      <c r="D9" s="1139" t="s">
        <v>479</v>
      </c>
      <c r="E9" s="1139"/>
      <c r="F9" s="1139"/>
      <c r="G9" s="1139"/>
      <c r="H9" s="1139"/>
      <c r="I9" s="1139"/>
      <c r="J9" s="1139"/>
    </row>
    <row r="10" spans="1:10" ht="29.1">
      <c r="B10" s="399" t="s">
        <v>104</v>
      </c>
      <c r="C10" s="799" t="s">
        <v>711</v>
      </c>
      <c r="D10" s="719" t="s">
        <v>448</v>
      </c>
      <c r="E10" s="719" t="s">
        <v>449</v>
      </c>
      <c r="F10" s="719" t="s">
        <v>460</v>
      </c>
      <c r="G10" s="719" t="s">
        <v>461</v>
      </c>
      <c r="H10" s="719" t="s">
        <v>462</v>
      </c>
      <c r="I10" s="719" t="s">
        <v>464</v>
      </c>
      <c r="J10" s="719" t="s">
        <v>465</v>
      </c>
    </row>
    <row r="11" spans="1:10">
      <c r="B11" s="348" t="s">
        <v>651</v>
      </c>
      <c r="C11" s="466" t="s">
        <v>652</v>
      </c>
      <c r="D11" s="793"/>
      <c r="E11" s="793"/>
      <c r="F11" s="793" t="str" cm="1">
        <f t="array" ref="F11">_xlfn.XLOOKUP(1,($B11=$B$26:$B$31)*(F$10=$C$26:$C$31),$G$26:$G$31,"Not found",0,1)</f>
        <v>LG(H)</v>
      </c>
      <c r="G11" s="793" t="str" cm="1">
        <f t="array" ref="G11">_xlfn.XLOOKUP(1,($B11=$B$40:$B$45)*(G$10=$C$40:$C$45),$G$40:$G$45,"Not found",0,1)</f>
        <v>LG(L)</v>
      </c>
      <c r="H11" s="793"/>
      <c r="I11" s="793" cm="1">
        <f t="array" ref="I11">_xlfn.XLOOKUP(1,($B11=$B$141:$B$142)*(I$10=$C$141:$C$142),$G$141:$G$142,"Not found",0,1)</f>
        <v>-29.04090445224822</v>
      </c>
      <c r="J11" s="793"/>
    </row>
    <row r="12" spans="1:10">
      <c r="B12" s="348" t="s">
        <v>653</v>
      </c>
      <c r="C12" s="466" t="s">
        <v>654</v>
      </c>
      <c r="D12" s="793"/>
      <c r="E12" s="793"/>
      <c r="F12" s="793" t="str" cm="1">
        <f t="array" ref="F12">_xlfn.XLOOKUP(1,($B12=$B$26:$B$31)*(F$10=$C$26:$C$31),$G$26:$G$31,"Not found",0,1)</f>
        <v>LG(H)</v>
      </c>
      <c r="G12" s="793" t="str" cm="1">
        <f t="array" ref="G12">_xlfn.XLOOKUP(1,($B12=$B$40:$B$45)*(G$10=$C$40:$C$45),$G$40:$G$45,"Not found",0,1)</f>
        <v>LG(L)</v>
      </c>
      <c r="H12" s="793"/>
      <c r="I12" s="793" cm="1">
        <f t="array" ref="I12">_xlfn.XLOOKUP(1,($B12=$B$141:$B$142)*(I$10=$C$141:$C$142),$G$141:$G$142,"Not found",0,1)</f>
        <v>-29.04090445224822</v>
      </c>
      <c r="J12" s="793"/>
    </row>
    <row r="13" spans="1:10">
      <c r="B13" s="348" t="s">
        <v>655</v>
      </c>
      <c r="C13" s="466" t="s">
        <v>656</v>
      </c>
      <c r="D13" s="793"/>
      <c r="E13" s="793" t="s">
        <v>475</v>
      </c>
      <c r="F13" s="793" t="str" cm="1">
        <f t="array" ref="F13">_xlfn.XLOOKUP(1,($B13=$B$26:$B$31)*(F$10=$C$26:$C$31),$G$26:$G$31,"Not found",0,1)</f>
        <v>LG(H)</v>
      </c>
      <c r="G13" s="793" t="str" cm="1">
        <f t="array" ref="G13">_xlfn.XLOOKUP(1,($B13=$B$40:$B$45)*(G$10=$C$40:$C$45),$G$40:$G$45,"Not found",0,1)</f>
        <v>LG(L)</v>
      </c>
      <c r="H13" s="793"/>
      <c r="I13" s="793"/>
      <c r="J13" s="793"/>
    </row>
    <row r="14" spans="1:10">
      <c r="B14" s="348" t="s">
        <v>657</v>
      </c>
      <c r="C14" s="466" t="s">
        <v>658</v>
      </c>
      <c r="D14" s="793"/>
      <c r="E14" s="793"/>
      <c r="F14" s="793" t="str" cm="1">
        <f t="array" ref="F14">_xlfn.XLOOKUP(1,($B14=$B$26:$B$31)*(F$10=$C$26:$C$31),$G$26:$G$31,"Not found",0,1)</f>
        <v>LG(H)</v>
      </c>
      <c r="G14" s="793" t="str" cm="1">
        <f t="array" ref="G14">_xlfn.XLOOKUP(1,($B14=$B$40:$B$45)*(G$10=$C$40:$C$45),$G$40:$G$45,"Not found",0,1)</f>
        <v>LG(L)</v>
      </c>
      <c r="H14" s="793" cm="1">
        <f t="array" ref="H14">_xlfn.XLOOKUP(1,($B14=$B$105:$B$107)*(H$10=$C$105:$C$107),$G$105:$G$107,"Not found",0,1)</f>
        <v>-42.527345511651106</v>
      </c>
      <c r="I14" s="793"/>
      <c r="J14" s="793"/>
    </row>
    <row r="15" spans="1:10">
      <c r="B15" s="348" t="s">
        <v>659</v>
      </c>
      <c r="C15" s="466" t="s">
        <v>660</v>
      </c>
      <c r="D15" s="793" t="s">
        <v>477</v>
      </c>
      <c r="E15" s="793"/>
      <c r="F15" s="793" t="str" cm="1">
        <f t="array" ref="F15">_xlfn.XLOOKUP(1,($B15=$B$26:$B$31)*(F$10=$C$26:$C$31),$G$26:$G$31,"Not found",0,1)</f>
        <v>LG(H)</v>
      </c>
      <c r="G15" s="793" t="str" cm="1">
        <f t="array" ref="G15">_xlfn.XLOOKUP(1,($B15=$B$40:$B$45)*(G$10=$C$40:$C$45),$G$40:$G$45,"Not found",0,1)</f>
        <v>LG(L)</v>
      </c>
      <c r="H15" s="793" cm="1">
        <f t="array" ref="H15">_xlfn.XLOOKUP(1,($B15=$B$105:$B$107)*(H$10=$C$105:$C$107),$G$105:$G$107,"Not found",0,1)</f>
        <v>-176.49498909821853</v>
      </c>
      <c r="I15" s="793"/>
      <c r="J15" s="793" cm="1">
        <f t="array" ref="J15">_xlfn.XLOOKUP(1,($B15=$B$175:$B$176)*(J$10=$C$175:$C$176),$G$175:$G$176,"Not found",0,1)</f>
        <v>-1022.7508742779839</v>
      </c>
    </row>
    <row r="16" spans="1:10">
      <c r="B16" s="348" t="s">
        <v>661</v>
      </c>
      <c r="C16" s="466" t="s">
        <v>660</v>
      </c>
      <c r="D16" s="793"/>
      <c r="E16" s="793"/>
      <c r="F16" s="793" t="str" cm="1">
        <f t="array" ref="F16">_xlfn.XLOOKUP(1,($B16=$B$26:$B$31)*(F$10=$C$26:$C$31),$G$26:$G$31,"Not found",0,1)</f>
        <v>LG(H)</v>
      </c>
      <c r="G16" s="793" t="str" cm="1">
        <f t="array" ref="G16">_xlfn.XLOOKUP(1,($B16=$B$40:$B$45)*(G$10=$C$40:$C$45),$G$40:$G$45,"Not found",0,1)</f>
        <v>LG(L)</v>
      </c>
      <c r="H16" s="793" cm="1">
        <f t="array" ref="H16">_xlfn.XLOOKUP(1,($B16=$B$105:$B$107)*(H$10=$C$105:$C$107),$G$105:$G$107,"Not found",0,1)</f>
        <v>-176.49498909821853</v>
      </c>
      <c r="I16" s="793"/>
      <c r="J16" s="793" cm="1">
        <f t="array" ref="J16">_xlfn.XLOOKUP(1,($B16=$B$175:$B$176)*(J$10=$C$175:$C$176),$G$175:$G$176,"Not found",0,1)</f>
        <v>-1022.7508742779839</v>
      </c>
    </row>
    <row r="17" spans="1:10">
      <c r="B17" s="800" t="s">
        <v>896</v>
      </c>
      <c r="C17" s="28"/>
      <c r="D17" s="28"/>
      <c r="E17" s="28"/>
      <c r="F17" s="28"/>
      <c r="G17" s="28"/>
    </row>
    <row r="19" spans="1:10">
      <c r="A19" s="739"/>
      <c r="B19" s="740" t="s">
        <v>460</v>
      </c>
      <c r="C19" s="739"/>
      <c r="D19" s="739"/>
      <c r="E19" s="739"/>
      <c r="F19" s="739"/>
      <c r="G19" s="739"/>
      <c r="H19" s="739"/>
    </row>
    <row r="20" spans="1:10">
      <c r="A20" s="741"/>
      <c r="B20" s="742" t="s">
        <v>897</v>
      </c>
      <c r="C20" s="741"/>
      <c r="D20" s="741"/>
      <c r="E20" s="741"/>
      <c r="F20" s="741"/>
      <c r="G20" s="741"/>
      <c r="H20" s="741"/>
    </row>
    <row r="21" spans="1:10">
      <c r="B21" s="398" t="s">
        <v>898</v>
      </c>
      <c r="C21" s="398" t="s">
        <v>899</v>
      </c>
    </row>
    <row r="22" spans="1:10">
      <c r="B22" s="276" t="s">
        <v>460</v>
      </c>
      <c r="C22" s="276" t="s">
        <v>3231</v>
      </c>
    </row>
    <row r="23" spans="1:10">
      <c r="B23" s="29"/>
    </row>
    <row r="24" spans="1:10">
      <c r="A24" s="741"/>
      <c r="B24" s="743" t="s">
        <v>901</v>
      </c>
      <c r="C24" s="741"/>
      <c r="D24" s="741"/>
      <c r="E24" s="741"/>
      <c r="F24" s="741"/>
      <c r="G24" s="741"/>
      <c r="H24" s="741"/>
    </row>
    <row r="25" spans="1:10" ht="29.1">
      <c r="B25" s="719" t="s">
        <v>902</v>
      </c>
      <c r="C25" s="719" t="s">
        <v>898</v>
      </c>
      <c r="D25" s="719" t="s">
        <v>899</v>
      </c>
      <c r="E25" s="719" t="s">
        <v>903</v>
      </c>
      <c r="F25" s="719" t="s">
        <v>904</v>
      </c>
      <c r="G25" s="719" t="s">
        <v>905</v>
      </c>
      <c r="H25" s="719" t="s">
        <v>924</v>
      </c>
      <c r="I25" s="719" t="s">
        <v>956</v>
      </c>
      <c r="J25" s="719" t="s">
        <v>927</v>
      </c>
    </row>
    <row r="26" spans="1:10">
      <c r="B26" s="348" t="s">
        <v>651</v>
      </c>
      <c r="C26" s="276" t="s">
        <v>460</v>
      </c>
      <c r="D26" s="373" t="str">
        <f t="shared" ref="D26:D31" si="0">$C$22</f>
        <v>Increased trust from customers/stakeholders in water company</v>
      </c>
      <c r="E26" s="542" t="s">
        <v>906</v>
      </c>
      <c r="F26" s="340" t="s">
        <v>907</v>
      </c>
      <c r="G26" s="343" t="s">
        <v>477</v>
      </c>
      <c r="H26" s="630" t="s">
        <v>907</v>
      </c>
      <c r="I26" s="630" t="s">
        <v>907</v>
      </c>
      <c r="J26" s="630" t="s">
        <v>907</v>
      </c>
    </row>
    <row r="27" spans="1:10">
      <c r="B27" s="348" t="s">
        <v>653</v>
      </c>
      <c r="C27" s="276" t="s">
        <v>460</v>
      </c>
      <c r="D27" s="373" t="str">
        <f t="shared" si="0"/>
        <v>Increased trust from customers/stakeholders in water company</v>
      </c>
      <c r="E27" s="542" t="s">
        <v>906</v>
      </c>
      <c r="F27" s="340" t="s">
        <v>907</v>
      </c>
      <c r="G27" s="343" t="s">
        <v>477</v>
      </c>
      <c r="H27" s="630" t="s">
        <v>907</v>
      </c>
      <c r="I27" s="630" t="s">
        <v>907</v>
      </c>
      <c r="J27" s="630" t="s">
        <v>907</v>
      </c>
    </row>
    <row r="28" spans="1:10">
      <c r="B28" s="348" t="s">
        <v>655</v>
      </c>
      <c r="C28" s="276" t="s">
        <v>460</v>
      </c>
      <c r="D28" s="373" t="str">
        <f t="shared" si="0"/>
        <v>Increased trust from customers/stakeholders in water company</v>
      </c>
      <c r="E28" s="542" t="s">
        <v>906</v>
      </c>
      <c r="F28" s="340" t="s">
        <v>907</v>
      </c>
      <c r="G28" s="343" t="s">
        <v>477</v>
      </c>
      <c r="H28" s="630" t="s">
        <v>907</v>
      </c>
      <c r="I28" s="630" t="s">
        <v>907</v>
      </c>
      <c r="J28" s="630" t="s">
        <v>907</v>
      </c>
    </row>
    <row r="29" spans="1:10">
      <c r="B29" s="348" t="s">
        <v>657</v>
      </c>
      <c r="C29" s="276" t="s">
        <v>460</v>
      </c>
      <c r="D29" s="373" t="str">
        <f t="shared" si="0"/>
        <v>Increased trust from customers/stakeholders in water company</v>
      </c>
      <c r="E29" s="542" t="s">
        <v>906</v>
      </c>
      <c r="F29" s="340" t="s">
        <v>907</v>
      </c>
      <c r="G29" s="343" t="s">
        <v>477</v>
      </c>
      <c r="H29" s="630" t="s">
        <v>907</v>
      </c>
      <c r="I29" s="630" t="s">
        <v>907</v>
      </c>
      <c r="J29" s="630" t="s">
        <v>907</v>
      </c>
    </row>
    <row r="30" spans="1:10">
      <c r="B30" s="348" t="s">
        <v>659</v>
      </c>
      <c r="C30" s="276" t="s">
        <v>460</v>
      </c>
      <c r="D30" s="373" t="str">
        <f t="shared" si="0"/>
        <v>Increased trust from customers/stakeholders in water company</v>
      </c>
      <c r="E30" s="542" t="s">
        <v>906</v>
      </c>
      <c r="F30" s="340" t="s">
        <v>907</v>
      </c>
      <c r="G30" s="343" t="s">
        <v>477</v>
      </c>
      <c r="H30" s="630" t="s">
        <v>907</v>
      </c>
      <c r="I30" s="630" t="s">
        <v>907</v>
      </c>
      <c r="J30" s="630" t="s">
        <v>907</v>
      </c>
    </row>
    <row r="31" spans="1:10">
      <c r="B31" s="348" t="s">
        <v>661</v>
      </c>
      <c r="C31" s="276" t="s">
        <v>460</v>
      </c>
      <c r="D31" s="373" t="str">
        <f t="shared" si="0"/>
        <v>Increased trust from customers/stakeholders in water company</v>
      </c>
      <c r="E31" s="542" t="s">
        <v>906</v>
      </c>
      <c r="F31" s="340" t="s">
        <v>907</v>
      </c>
      <c r="G31" s="343" t="s">
        <v>477</v>
      </c>
      <c r="H31" s="630" t="s">
        <v>907</v>
      </c>
      <c r="I31" s="630" t="s">
        <v>907</v>
      </c>
      <c r="J31" s="630" t="s">
        <v>907</v>
      </c>
    </row>
    <row r="33" spans="1:10">
      <c r="A33" s="739"/>
      <c r="B33" s="740" t="s">
        <v>461</v>
      </c>
      <c r="C33" s="739"/>
      <c r="D33" s="739"/>
      <c r="E33" s="739"/>
      <c r="F33" s="739"/>
      <c r="G33" s="739"/>
      <c r="H33" s="739"/>
    </row>
    <row r="34" spans="1:10">
      <c r="A34" s="741"/>
      <c r="B34" s="742" t="s">
        <v>897</v>
      </c>
      <c r="C34" s="741"/>
      <c r="D34" s="741"/>
      <c r="E34" s="741"/>
      <c r="F34" s="741"/>
      <c r="G34" s="741"/>
      <c r="H34" s="741"/>
    </row>
    <row r="35" spans="1:10">
      <c r="B35" s="398" t="s">
        <v>898</v>
      </c>
      <c r="C35" s="398" t="s">
        <v>899</v>
      </c>
    </row>
    <row r="36" spans="1:10">
      <c r="B36" s="276" t="s">
        <v>461</v>
      </c>
      <c r="C36" s="276" t="s">
        <v>3232</v>
      </c>
    </row>
    <row r="37" spans="1:10">
      <c r="B37" s="29"/>
    </row>
    <row r="38" spans="1:10">
      <c r="A38" s="741"/>
      <c r="B38" s="743" t="s">
        <v>901</v>
      </c>
      <c r="C38" s="741"/>
      <c r="D38" s="741"/>
      <c r="E38" s="741"/>
      <c r="F38" s="741"/>
      <c r="G38" s="741"/>
      <c r="H38" s="741"/>
    </row>
    <row r="39" spans="1:10" ht="29.1">
      <c r="B39" s="719" t="s">
        <v>902</v>
      </c>
      <c r="C39" s="719" t="s">
        <v>898</v>
      </c>
      <c r="D39" s="719" t="s">
        <v>899</v>
      </c>
      <c r="E39" s="719" t="s">
        <v>903</v>
      </c>
      <c r="F39" s="719" t="s">
        <v>904</v>
      </c>
      <c r="G39" s="719" t="s">
        <v>905</v>
      </c>
      <c r="H39" s="719" t="s">
        <v>924</v>
      </c>
      <c r="I39" s="719" t="s">
        <v>956</v>
      </c>
      <c r="J39" s="719" t="s">
        <v>927</v>
      </c>
    </row>
    <row r="40" spans="1:10">
      <c r="B40" s="276" t="s">
        <v>651</v>
      </c>
      <c r="C40" s="276" t="s">
        <v>461</v>
      </c>
      <c r="D40" s="373" t="str">
        <f t="shared" ref="D40:D45" si="1">$C$36</f>
        <v>Improved stakeholder relationships</v>
      </c>
      <c r="E40" s="542" t="s">
        <v>906</v>
      </c>
      <c r="F40" s="340" t="s">
        <v>907</v>
      </c>
      <c r="G40" s="343" t="s">
        <v>961</v>
      </c>
      <c r="H40" s="630" t="s">
        <v>907</v>
      </c>
      <c r="I40" s="630" t="s">
        <v>907</v>
      </c>
      <c r="J40" s="630" t="s">
        <v>907</v>
      </c>
    </row>
    <row r="41" spans="1:10">
      <c r="B41" s="276" t="s">
        <v>653</v>
      </c>
      <c r="C41" s="276" t="s">
        <v>461</v>
      </c>
      <c r="D41" s="373" t="str">
        <f t="shared" si="1"/>
        <v>Improved stakeholder relationships</v>
      </c>
      <c r="E41" s="542" t="s">
        <v>906</v>
      </c>
      <c r="F41" s="340" t="s">
        <v>907</v>
      </c>
      <c r="G41" s="343" t="s">
        <v>961</v>
      </c>
      <c r="H41" s="630" t="s">
        <v>907</v>
      </c>
      <c r="I41" s="630" t="s">
        <v>907</v>
      </c>
      <c r="J41" s="630" t="s">
        <v>907</v>
      </c>
    </row>
    <row r="42" spans="1:10">
      <c r="B42" s="276" t="s">
        <v>655</v>
      </c>
      <c r="C42" s="276" t="s">
        <v>461</v>
      </c>
      <c r="D42" s="373" t="str">
        <f t="shared" si="1"/>
        <v>Improved stakeholder relationships</v>
      </c>
      <c r="E42" s="542" t="s">
        <v>906</v>
      </c>
      <c r="F42" s="340" t="s">
        <v>907</v>
      </c>
      <c r="G42" s="343" t="s">
        <v>961</v>
      </c>
      <c r="H42" s="630" t="s">
        <v>907</v>
      </c>
      <c r="I42" s="630" t="s">
        <v>907</v>
      </c>
      <c r="J42" s="630" t="s">
        <v>907</v>
      </c>
    </row>
    <row r="43" spans="1:10">
      <c r="B43" s="276" t="s">
        <v>657</v>
      </c>
      <c r="C43" s="276" t="s">
        <v>461</v>
      </c>
      <c r="D43" s="373" t="str">
        <f t="shared" si="1"/>
        <v>Improved stakeholder relationships</v>
      </c>
      <c r="E43" s="542" t="s">
        <v>906</v>
      </c>
      <c r="F43" s="340" t="s">
        <v>907</v>
      </c>
      <c r="G43" s="343" t="s">
        <v>961</v>
      </c>
      <c r="H43" s="630" t="s">
        <v>907</v>
      </c>
      <c r="I43" s="630" t="s">
        <v>907</v>
      </c>
      <c r="J43" s="630" t="s">
        <v>907</v>
      </c>
    </row>
    <row r="44" spans="1:10">
      <c r="B44" s="276" t="s">
        <v>659</v>
      </c>
      <c r="C44" s="276" t="s">
        <v>461</v>
      </c>
      <c r="D44" s="373" t="str">
        <f t="shared" si="1"/>
        <v>Improved stakeholder relationships</v>
      </c>
      <c r="E44" s="542" t="s">
        <v>906</v>
      </c>
      <c r="F44" s="340" t="s">
        <v>907</v>
      </c>
      <c r="G44" s="343" t="s">
        <v>961</v>
      </c>
      <c r="H44" s="630" t="s">
        <v>907</v>
      </c>
      <c r="I44" s="630" t="s">
        <v>907</v>
      </c>
      <c r="J44" s="630" t="s">
        <v>907</v>
      </c>
    </row>
    <row r="45" spans="1:10">
      <c r="B45" s="276" t="s">
        <v>661</v>
      </c>
      <c r="C45" s="276" t="s">
        <v>461</v>
      </c>
      <c r="D45" s="373" t="str">
        <f t="shared" si="1"/>
        <v>Improved stakeholder relationships</v>
      </c>
      <c r="E45" s="542" t="s">
        <v>906</v>
      </c>
      <c r="F45" s="340" t="s">
        <v>907</v>
      </c>
      <c r="G45" s="343" t="s">
        <v>961</v>
      </c>
      <c r="H45" s="630" t="s">
        <v>907</v>
      </c>
      <c r="I45" s="630" t="s">
        <v>907</v>
      </c>
      <c r="J45" s="630" t="s">
        <v>907</v>
      </c>
    </row>
    <row r="47" spans="1:10">
      <c r="A47" s="739"/>
      <c r="B47" s="740" t="s">
        <v>462</v>
      </c>
      <c r="C47" s="739"/>
      <c r="D47" s="739"/>
      <c r="E47" s="739"/>
      <c r="F47" s="739"/>
      <c r="G47" s="739"/>
      <c r="H47" s="739"/>
    </row>
    <row r="48" spans="1:10">
      <c r="A48" s="741"/>
      <c r="B48" s="742" t="s">
        <v>897</v>
      </c>
      <c r="C48" s="741"/>
      <c r="D48" s="741"/>
      <c r="E48" s="741"/>
      <c r="F48" s="741"/>
      <c r="G48" s="741"/>
      <c r="H48" s="741"/>
    </row>
    <row r="49" spans="1:8">
      <c r="B49" s="398" t="s">
        <v>898</v>
      </c>
      <c r="C49" s="398" t="s">
        <v>899</v>
      </c>
    </row>
    <row r="50" spans="1:8">
      <c r="B50" s="276" t="s">
        <v>462</v>
      </c>
      <c r="C50" s="348" t="s">
        <v>3233</v>
      </c>
    </row>
    <row r="52" spans="1:8">
      <c r="A52" s="741"/>
      <c r="B52" s="743" t="s">
        <v>911</v>
      </c>
      <c r="C52" s="741"/>
      <c r="D52" s="741"/>
      <c r="E52" s="741"/>
      <c r="F52" s="741"/>
      <c r="G52" s="741"/>
      <c r="H52" s="741"/>
    </row>
    <row r="53" spans="1:8">
      <c r="A53" s="744"/>
      <c r="B53" s="745" t="s">
        <v>912</v>
      </c>
      <c r="C53" s="744"/>
      <c r="D53" s="744"/>
      <c r="E53" s="744"/>
      <c r="F53" s="744"/>
      <c r="G53" s="744"/>
      <c r="H53" s="744"/>
    </row>
    <row r="54" spans="1:8" ht="29.1">
      <c r="B54" s="719" t="s">
        <v>913</v>
      </c>
      <c r="C54" s="719" t="s">
        <v>914</v>
      </c>
      <c r="D54" s="719" t="s">
        <v>915</v>
      </c>
      <c r="E54" s="719" t="s">
        <v>916</v>
      </c>
      <c r="F54" s="719" t="s">
        <v>917</v>
      </c>
      <c r="G54" s="719" t="s">
        <v>918</v>
      </c>
      <c r="H54" s="719" t="s">
        <v>919</v>
      </c>
    </row>
    <row r="55" spans="1:8">
      <c r="B55" s="276">
        <v>25</v>
      </c>
      <c r="C55" s="276" t="s">
        <v>3234</v>
      </c>
      <c r="D55" s="276" t="s">
        <v>1182</v>
      </c>
      <c r="E55" s="276">
        <v>2013</v>
      </c>
      <c r="F55" s="276" t="s">
        <v>1047</v>
      </c>
      <c r="G55" s="276" t="s">
        <v>1868</v>
      </c>
      <c r="H55" s="276" t="s">
        <v>906</v>
      </c>
    </row>
    <row r="56" spans="1:8">
      <c r="B56" s="29"/>
    </row>
    <row r="57" spans="1:8">
      <c r="A57" s="744"/>
      <c r="B57" s="745" t="s">
        <v>924</v>
      </c>
      <c r="C57" s="744"/>
      <c r="D57" s="744"/>
      <c r="E57" s="744"/>
      <c r="F57" s="744"/>
      <c r="G57" s="744"/>
      <c r="H57" s="744"/>
    </row>
    <row r="58" spans="1:8">
      <c r="B58" s="398" t="s">
        <v>165</v>
      </c>
      <c r="C58" s="398" t="s">
        <v>925</v>
      </c>
      <c r="D58" s="398" t="s">
        <v>926</v>
      </c>
      <c r="E58" s="1139" t="s">
        <v>927</v>
      </c>
      <c r="F58" s="1139"/>
      <c r="G58" s="1139"/>
      <c r="H58" s="1139"/>
    </row>
    <row r="59" spans="1:8">
      <c r="B59" s="276" t="s">
        <v>169</v>
      </c>
      <c r="C59" s="276" t="s">
        <v>166</v>
      </c>
      <c r="D59" s="278">
        <f>VLOOKUP(C59,METHODOLOGY!$C$175:$D$177,2,FALSE)</f>
        <v>3</v>
      </c>
      <c r="E59" s="1087" t="str">
        <f>_xlfn.XLOOKUP(C59,METHODOLOGY!$E$150:$O$150,METHODOLOGY!$E$151:$O$151,"",0,1)</f>
        <v>Monetary values have been peer reviewed or are recommended / referenced in other, well recognised and accepted guidance / tools relevant to the water sector.</v>
      </c>
      <c r="F59" s="1087"/>
      <c r="G59" s="1087"/>
      <c r="H59" s="1087"/>
    </row>
    <row r="60" spans="1:8">
      <c r="B60" s="276" t="s">
        <v>173</v>
      </c>
      <c r="C60" s="276" t="s">
        <v>167</v>
      </c>
      <c r="D60" s="278">
        <f>VLOOKUP(C60,METHODOLOGY!$C$175:$D$177,2,FALSE)</f>
        <v>2</v>
      </c>
      <c r="E60" s="1087" t="str">
        <f>_xlfn.XLOOKUP(C60,METHODOLOGY!$E$150:$O$150,METHODOLOGY!$E$155:$O$155,"",0,1)</f>
        <v>Study has some limitations which may impact on the robustness of the value.</v>
      </c>
      <c r="F60" s="1087"/>
      <c r="G60" s="1087"/>
      <c r="H60" s="1087"/>
    </row>
    <row r="61" spans="1:8">
      <c r="B61" s="276" t="s">
        <v>177</v>
      </c>
      <c r="C61" s="276" t="s">
        <v>168</v>
      </c>
      <c r="D61" s="278">
        <f>VLOOKUP(C61,METHODOLOGY!$C$175:$D$177,2,FALSE)</f>
        <v>1</v>
      </c>
      <c r="E61" s="1087" t="str">
        <f>_xlfn.XLOOKUP(C61,METHODOLOGY!$E$150:$O$150,METHODOLOGY!$E$158:$O$158,"",0,1)</f>
        <v>&gt;10 years</v>
      </c>
      <c r="F61" s="1087"/>
      <c r="G61" s="1087"/>
      <c r="H61" s="1087"/>
    </row>
    <row r="62" spans="1:8">
      <c r="B62" s="276" t="s">
        <v>181</v>
      </c>
      <c r="C62" s="276" t="s">
        <v>166</v>
      </c>
      <c r="D62" s="278">
        <f>VLOOKUP(C62,METHODOLOGY!$C$175:$D$177,2,FALSE)</f>
        <v>3</v>
      </c>
      <c r="E62" s="1087" t="str">
        <f>_xlfn.XLOOKUP(C62,METHODOLOGY!$E$150:$O$150,METHODOLOGY!$E$160:$O$160,"",0,1)</f>
        <v>Geographically relevant to UK</v>
      </c>
      <c r="F62" s="1087"/>
      <c r="G62" s="1087"/>
      <c r="H62" s="1087"/>
    </row>
    <row r="63" spans="1:8">
      <c r="B63" s="276" t="s">
        <v>928</v>
      </c>
      <c r="C63" s="276" t="s">
        <v>166</v>
      </c>
      <c r="D63" s="278">
        <f>VLOOKUP(C63,METHODOLOGY!$C$175:$D$177,2,FALSE)</f>
        <v>3</v>
      </c>
      <c r="E63" s="1087" t="str">
        <f>_xlfn.XLOOKUP(C63,METHODOLOGY!$E$150:$O$150,METHODOLOGY!$E$162:$O$162,"",0,1)</f>
        <v>Clear understanding of the valuation method and how the value should be applied.</v>
      </c>
      <c r="F63" s="1087"/>
      <c r="G63" s="1087"/>
      <c r="H63" s="1087"/>
    </row>
    <row r="64" spans="1:8">
      <c r="B64" s="276" t="s">
        <v>189</v>
      </c>
      <c r="C64" s="276" t="s">
        <v>167</v>
      </c>
      <c r="D64" s="278">
        <f>VLOOKUP(C64,METHODOLOGY!$C$175:$D$177,2,FALSE)</f>
        <v>2</v>
      </c>
      <c r="E64" s="1087" t="str">
        <f>_xlfn.XLOOKUP(C64,METHODOLOGY!$E$150:$O$150,METHODOLOGY!$E$164:$O$164,"",0,1)</f>
        <v xml:space="preserve">The original valuation can be used with some modification e.g. applying household numbers. The calculation is simple or introduces low levels of uncertainty. </v>
      </c>
      <c r="F64" s="1087"/>
      <c r="G64" s="1087"/>
      <c r="H64" s="1087"/>
    </row>
    <row r="65" spans="1:11">
      <c r="C65" s="282" t="s">
        <v>924</v>
      </c>
      <c r="D65" s="326">
        <f>IF(AND(D64=1,AVERAGE(D59:D64)&gt;2.14285714285714),2.14285714285714,IF(AND(D64=2,AVERAGE(D59:D64)&gt;2.57142857142857),2.57142857142857,AVERAGE(D59:D64)))</f>
        <v>2.3333333333333335</v>
      </c>
      <c r="E65" s="270" t="str">
        <f>IF(D65&lt;=2.14285714285714,"Red",IF(D65&lt;=2.57142857142857,"Amber",IF(D65&lt;=3,"Green")))</f>
        <v>Amber</v>
      </c>
    </row>
    <row r="67" spans="1:11">
      <c r="A67" s="744"/>
      <c r="B67" s="745" t="s">
        <v>929</v>
      </c>
      <c r="C67" s="744"/>
      <c r="D67" s="744"/>
      <c r="E67" s="744"/>
      <c r="F67" s="744"/>
      <c r="G67" s="744"/>
      <c r="H67" s="744"/>
    </row>
    <row r="68" spans="1:11">
      <c r="B68" s="398" t="s">
        <v>913</v>
      </c>
      <c r="C68" s="398" t="s">
        <v>902</v>
      </c>
      <c r="D68" s="398" t="s">
        <v>331</v>
      </c>
      <c r="E68" s="398" t="s">
        <v>226</v>
      </c>
      <c r="F68" s="1146" t="s">
        <v>930</v>
      </c>
      <c r="G68" s="1147"/>
      <c r="H68" s="1147"/>
      <c r="I68" s="1147"/>
      <c r="J68" s="1147"/>
      <c r="K68" s="1148"/>
    </row>
    <row r="69" spans="1:11" ht="110.45" customHeight="1">
      <c r="B69" s="342">
        <v>25</v>
      </c>
      <c r="C69" s="342" t="s">
        <v>657</v>
      </c>
      <c r="D69" s="338">
        <v>11.27</v>
      </c>
      <c r="E69" s="339" t="s">
        <v>3235</v>
      </c>
      <c r="F69" s="1460" t="s">
        <v>3236</v>
      </c>
      <c r="G69" s="1150"/>
      <c r="H69" s="1150"/>
      <c r="I69" s="1150"/>
      <c r="J69" s="1150"/>
      <c r="K69" s="1151"/>
    </row>
    <row r="70" spans="1:11">
      <c r="B70" s="31"/>
      <c r="C70" s="31"/>
      <c r="D70" s="32"/>
      <c r="E70" s="33"/>
      <c r="F70" s="34"/>
      <c r="G70" s="34"/>
      <c r="H70" s="34"/>
      <c r="I70" s="34"/>
      <c r="J70" s="34"/>
      <c r="K70" s="34"/>
    </row>
    <row r="71" spans="1:11">
      <c r="B71" s="310" t="s">
        <v>169</v>
      </c>
      <c r="C71" s="310" t="s">
        <v>913</v>
      </c>
      <c r="D71" s="313" t="s">
        <v>3237</v>
      </c>
      <c r="E71" s="543" t="s">
        <v>3238</v>
      </c>
      <c r="F71" s="543" t="s">
        <v>930</v>
      </c>
      <c r="G71" s="34"/>
      <c r="H71" s="34"/>
      <c r="I71" s="34"/>
      <c r="J71" s="34"/>
      <c r="K71" s="34"/>
    </row>
    <row r="72" spans="1:11">
      <c r="B72" s="1141" t="s">
        <v>3239</v>
      </c>
      <c r="C72" s="1141">
        <v>26</v>
      </c>
      <c r="D72" s="494">
        <v>40969</v>
      </c>
      <c r="E72" s="403">
        <v>146.1</v>
      </c>
      <c r="F72" s="403" t="s">
        <v>3240</v>
      </c>
      <c r="G72" s="34"/>
      <c r="H72" s="34"/>
      <c r="I72" s="34"/>
      <c r="J72" s="34"/>
      <c r="K72" s="34"/>
    </row>
    <row r="73" spans="1:11">
      <c r="B73" s="1141"/>
      <c r="C73" s="1141"/>
      <c r="D73" s="494">
        <v>45352</v>
      </c>
      <c r="E73" s="403">
        <v>214.9</v>
      </c>
      <c r="F73" s="403" t="s">
        <v>3240</v>
      </c>
      <c r="G73" s="34"/>
      <c r="H73" s="34"/>
      <c r="I73" s="34"/>
      <c r="J73" s="34"/>
      <c r="K73" s="34"/>
    </row>
    <row r="74" spans="1:11">
      <c r="B74" s="31"/>
      <c r="C74" s="31"/>
      <c r="D74" s="35"/>
      <c r="E74" s="36"/>
      <c r="F74" s="34"/>
      <c r="G74" s="34"/>
      <c r="H74" s="34"/>
      <c r="I74" s="34"/>
      <c r="J74" s="34"/>
      <c r="K74" s="34"/>
    </row>
    <row r="75" spans="1:11">
      <c r="A75" s="744"/>
      <c r="B75" s="745" t="s">
        <v>1015</v>
      </c>
      <c r="C75" s="744"/>
      <c r="D75" s="744"/>
      <c r="E75" s="744"/>
      <c r="F75" s="744"/>
      <c r="G75" s="744"/>
      <c r="H75" s="744"/>
    </row>
    <row r="76" spans="1:11">
      <c r="B76" s="7" t="s">
        <v>3241</v>
      </c>
    </row>
    <row r="77" spans="1:11">
      <c r="B77" s="293" t="s">
        <v>3242</v>
      </c>
      <c r="C77" s="293" t="s">
        <v>3243</v>
      </c>
      <c r="D77" s="293" t="s">
        <v>3244</v>
      </c>
    </row>
    <row r="78" spans="1:11">
      <c r="B78" s="343">
        <f>D69</f>
        <v>11.27</v>
      </c>
      <c r="C78" s="326">
        <f>E73/E72</f>
        <v>1.4709103353867214</v>
      </c>
      <c r="D78" s="343">
        <f>B78*C78</f>
        <v>16.577159479808351</v>
      </c>
    </row>
    <row r="79" spans="1:11">
      <c r="B79" s="124"/>
      <c r="C79" s="928"/>
      <c r="D79" s="124"/>
    </row>
    <row r="80" spans="1:11">
      <c r="B80" s="293" t="s">
        <v>3245</v>
      </c>
      <c r="C80" s="293" t="s">
        <v>331</v>
      </c>
      <c r="D80" s="293" t="s">
        <v>711</v>
      </c>
      <c r="E80" s="1306" t="s">
        <v>930</v>
      </c>
      <c r="F80" s="1306"/>
    </row>
    <row r="81" spans="1:8">
      <c r="B81" s="343" t="s">
        <v>3246</v>
      </c>
      <c r="C81" s="326">
        <f>D78*8</f>
        <v>132.61727583846681</v>
      </c>
      <c r="D81" s="343" t="s">
        <v>3247</v>
      </c>
      <c r="E81" s="1461" t="s">
        <v>3248</v>
      </c>
      <c r="F81" s="1462"/>
    </row>
    <row r="82" spans="1:8">
      <c r="B82" s="124"/>
      <c r="C82" s="928"/>
      <c r="D82" s="124"/>
    </row>
    <row r="83" spans="1:8">
      <c r="B83" s="29"/>
    </row>
    <row r="84" spans="1:8">
      <c r="A84" s="741"/>
      <c r="B84" s="743" t="s">
        <v>943</v>
      </c>
      <c r="C84" s="741"/>
      <c r="D84" s="741"/>
      <c r="E84" s="741"/>
      <c r="F84" s="741"/>
      <c r="G84" s="741"/>
      <c r="H84" s="741"/>
    </row>
    <row r="85" spans="1:8">
      <c r="A85" s="744"/>
      <c r="B85" s="745" t="s">
        <v>912</v>
      </c>
      <c r="C85" s="744"/>
      <c r="D85" s="744"/>
      <c r="E85" s="744"/>
      <c r="F85" s="744"/>
      <c r="G85" s="744"/>
      <c r="H85" s="744"/>
    </row>
    <row r="86" spans="1:8" ht="29.1">
      <c r="B86" s="719" t="s">
        <v>913</v>
      </c>
      <c r="C86" s="719" t="s">
        <v>914</v>
      </c>
      <c r="D86" s="719" t="s">
        <v>915</v>
      </c>
      <c r="E86" s="719" t="s">
        <v>916</v>
      </c>
      <c r="F86" s="719" t="s">
        <v>917</v>
      </c>
      <c r="G86" s="719" t="s">
        <v>918</v>
      </c>
      <c r="H86" s="719" t="s">
        <v>919</v>
      </c>
    </row>
    <row r="87" spans="1:8">
      <c r="B87" s="276">
        <v>6</v>
      </c>
      <c r="C87" s="276" t="s">
        <v>3249</v>
      </c>
      <c r="D87" s="276" t="s">
        <v>3250</v>
      </c>
      <c r="E87" s="276">
        <v>2024</v>
      </c>
      <c r="F87" s="276" t="s">
        <v>1047</v>
      </c>
      <c r="G87" s="276" t="s">
        <v>1868</v>
      </c>
      <c r="H87" s="276" t="s">
        <v>923</v>
      </c>
    </row>
    <row r="88" spans="1:8">
      <c r="B88" s="29"/>
    </row>
    <row r="89" spans="1:8">
      <c r="A89" s="744"/>
      <c r="B89" s="745" t="s">
        <v>924</v>
      </c>
      <c r="C89" s="744"/>
      <c r="D89" s="744"/>
      <c r="E89" s="744"/>
      <c r="F89" s="744"/>
      <c r="G89" s="744"/>
      <c r="H89" s="744"/>
    </row>
    <row r="90" spans="1:8">
      <c r="B90" s="398" t="s">
        <v>165</v>
      </c>
      <c r="C90" s="398" t="s">
        <v>925</v>
      </c>
      <c r="D90" s="398" t="s">
        <v>926</v>
      </c>
      <c r="E90" s="1139" t="s">
        <v>927</v>
      </c>
      <c r="F90" s="1139"/>
      <c r="G90" s="1139"/>
      <c r="H90" s="1139"/>
    </row>
    <row r="91" spans="1:8">
      <c r="B91" s="276" t="s">
        <v>169</v>
      </c>
      <c r="C91" s="276" t="s">
        <v>166</v>
      </c>
      <c r="D91" s="278">
        <f>VLOOKUP(C91,METHODOLOGY!$C$175:$D$177,2,FALSE)</f>
        <v>3</v>
      </c>
      <c r="E91" s="1087" t="str">
        <f>_xlfn.XLOOKUP(C91,METHODOLOGY!$E$150:$O$150,METHODOLOGY!$E$151:$O$151,"",0,1)</f>
        <v>Monetary values have been peer reviewed or are recommended / referenced in other, well recognised and accepted guidance / tools relevant to the water sector.</v>
      </c>
      <c r="F91" s="1087"/>
      <c r="G91" s="1087"/>
      <c r="H91" s="1087"/>
    </row>
    <row r="92" spans="1:8">
      <c r="B92" s="276" t="s">
        <v>173</v>
      </c>
      <c r="C92" s="276" t="s">
        <v>166</v>
      </c>
      <c r="D92" s="278">
        <f>VLOOKUP(C92,METHODOLOGY!$C$175:$D$177,2,FALSE)</f>
        <v>3</v>
      </c>
      <c r="E92" s="1087" t="str">
        <f>_xlfn.XLOOKUP(C92,METHODOLOGY!$E$150:$O$150,METHODOLOGY!$E$155:$O$155,"",0,1)</f>
        <v>Study has few limitations and is considered robust.</v>
      </c>
      <c r="F92" s="1087"/>
      <c r="G92" s="1087"/>
      <c r="H92" s="1087"/>
    </row>
    <row r="93" spans="1:8">
      <c r="B93" s="276" t="s">
        <v>177</v>
      </c>
      <c r="C93" s="276" t="s">
        <v>166</v>
      </c>
      <c r="D93" s="278">
        <f>VLOOKUP(C93,METHODOLOGY!$C$175:$D$177,2,FALSE)</f>
        <v>3</v>
      </c>
      <c r="E93" s="1087" t="str">
        <f>_xlfn.XLOOKUP(C93,METHODOLOGY!$E$150:$O$150,METHODOLOGY!$E$158:$O$158,"",0,1)</f>
        <v>0 – 5 years</v>
      </c>
      <c r="F93" s="1087"/>
      <c r="G93" s="1087"/>
      <c r="H93" s="1087"/>
    </row>
    <row r="94" spans="1:8">
      <c r="B94" s="276" t="s">
        <v>181</v>
      </c>
      <c r="C94" s="276" t="s">
        <v>166</v>
      </c>
      <c r="D94" s="278">
        <f>VLOOKUP(C94,METHODOLOGY!$C$175:$D$177,2,FALSE)</f>
        <v>3</v>
      </c>
      <c r="E94" s="1087" t="str">
        <f>_xlfn.XLOOKUP(C94,METHODOLOGY!$E$150:$O$150,METHODOLOGY!$E$160:$O$160,"",0,1)</f>
        <v>Geographically relevant to UK</v>
      </c>
      <c r="F94" s="1087"/>
      <c r="G94" s="1087"/>
      <c r="H94" s="1087"/>
    </row>
    <row r="95" spans="1:8">
      <c r="B95" s="276" t="s">
        <v>928</v>
      </c>
      <c r="C95" s="276" t="s">
        <v>166</v>
      </c>
      <c r="D95" s="278">
        <f>VLOOKUP(C95,METHODOLOGY!$C$175:$D$177,2,FALSE)</f>
        <v>3</v>
      </c>
      <c r="E95" s="1087" t="str">
        <f>_xlfn.XLOOKUP(C95,METHODOLOGY!$E$150:$O$150,METHODOLOGY!$E$162:$O$162,"",0,1)</f>
        <v>Clear understanding of the valuation method and how the value should be applied.</v>
      </c>
      <c r="F95" s="1087"/>
      <c r="G95" s="1087"/>
      <c r="H95" s="1087"/>
    </row>
    <row r="96" spans="1:8">
      <c r="B96" s="276" t="s">
        <v>189</v>
      </c>
      <c r="C96" s="276" t="s">
        <v>166</v>
      </c>
      <c r="D96" s="278">
        <f>VLOOKUP(C96,METHODOLOGY!$C$175:$D$177,2,FALSE)</f>
        <v>3</v>
      </c>
      <c r="E96" s="1087" t="str">
        <f>_xlfn.XLOOKUP(C96,METHODOLOGY!$E$150:$O$150,METHODOLOGY!$E$164:$O$164,"",0,1)</f>
        <v xml:space="preserve">The original valuation can be used with no or very simple modification e.g. change units from ha to km2, applying inflation. </v>
      </c>
      <c r="F96" s="1087"/>
      <c r="G96" s="1087"/>
      <c r="H96" s="1087"/>
    </row>
    <row r="97" spans="1:23">
      <c r="C97" s="282" t="s">
        <v>924</v>
      </c>
      <c r="D97" s="326">
        <f>IF(AND(D96=1,AVERAGE(D91:D96)&gt;2.14285714285714),2.14285714285714,IF(AND(D96=2,AVERAGE(D91:D96)&gt;2.57142857142857),2.57142857142857,AVERAGE(D91:D96)))</f>
        <v>3</v>
      </c>
      <c r="E97" s="270" t="str">
        <f>IF(D97&lt;=2.14285714285714,"Red",IF(D97&lt;=2.57142857142857,"Amber",IF(D97&lt;=3,"Green")))</f>
        <v>Green</v>
      </c>
    </row>
    <row r="99" spans="1:23">
      <c r="A99" s="744"/>
      <c r="B99" s="745" t="s">
        <v>929</v>
      </c>
      <c r="C99" s="744"/>
      <c r="D99" s="744"/>
      <c r="E99" s="744"/>
      <c r="F99" s="744"/>
      <c r="G99" s="744"/>
      <c r="H99" s="744"/>
    </row>
    <row r="100" spans="1:23">
      <c r="B100" s="398" t="s">
        <v>913</v>
      </c>
      <c r="C100" s="398" t="s">
        <v>902</v>
      </c>
      <c r="D100" s="398" t="s">
        <v>331</v>
      </c>
      <c r="E100" s="398" t="s">
        <v>226</v>
      </c>
      <c r="F100" s="1145" t="s">
        <v>930</v>
      </c>
      <c r="G100" s="1145"/>
      <c r="H100" s="1145"/>
    </row>
    <row r="101" spans="1:23" ht="51" customHeight="1">
      <c r="B101" s="375">
        <v>6</v>
      </c>
      <c r="C101" s="375" t="s">
        <v>657</v>
      </c>
      <c r="D101" s="278">
        <v>39.700000000000003</v>
      </c>
      <c r="E101" s="394" t="s">
        <v>3235</v>
      </c>
      <c r="F101" s="1095" t="s">
        <v>3251</v>
      </c>
      <c r="G101" s="1095"/>
      <c r="H101" s="1095"/>
    </row>
    <row r="103" spans="1:23">
      <c r="A103" s="741"/>
      <c r="B103" s="743" t="s">
        <v>901</v>
      </c>
      <c r="C103" s="741"/>
      <c r="D103" s="741"/>
      <c r="E103" s="741"/>
      <c r="F103" s="741"/>
      <c r="G103" s="741"/>
      <c r="H103" s="741"/>
    </row>
    <row r="104" spans="1:23" ht="29.1">
      <c r="B104" s="719" t="s">
        <v>902</v>
      </c>
      <c r="C104" s="719" t="s">
        <v>898</v>
      </c>
      <c r="D104" s="719" t="s">
        <v>899</v>
      </c>
      <c r="E104" s="719" t="s">
        <v>903</v>
      </c>
      <c r="F104" s="719" t="s">
        <v>904</v>
      </c>
      <c r="G104" s="719" t="s">
        <v>905</v>
      </c>
      <c r="H104" s="719" t="s">
        <v>924</v>
      </c>
      <c r="I104" s="719" t="s">
        <v>956</v>
      </c>
      <c r="J104" s="719" t="s">
        <v>927</v>
      </c>
    </row>
    <row r="105" spans="1:23">
      <c r="B105" s="276" t="s">
        <v>657</v>
      </c>
      <c r="C105" s="276" t="s">
        <v>1378</v>
      </c>
      <c r="D105" s="544" t="str">
        <f>C$50</f>
        <v>Improved productivity</v>
      </c>
      <c r="E105" s="542" t="s">
        <v>943</v>
      </c>
      <c r="F105" s="276" t="str" cm="1">
        <f t="array" ref="F105">_xlfn.XLOOKUP(1,($D$111:$D$113=B105)*($E$111:$E$113=C105),$B$111:$B$113,"Not found",0,1)</f>
        <v>39-1</v>
      </c>
      <c r="G105" s="343">
        <f>VLOOKUP(F105,B$111:L$114,11,FALSE)</f>
        <v>-42.527345511651106</v>
      </c>
      <c r="H105" s="326">
        <f>D97</f>
        <v>3</v>
      </c>
      <c r="I105" s="276" t="s">
        <v>3168</v>
      </c>
      <c r="J105" s="276" t="s">
        <v>3252</v>
      </c>
    </row>
    <row r="106" spans="1:23">
      <c r="B106" s="348" t="s">
        <v>659</v>
      </c>
      <c r="C106" s="276" t="s">
        <v>1378</v>
      </c>
      <c r="D106" s="544" t="str">
        <f t="shared" ref="D106:D107" si="2">C$50</f>
        <v>Improved productivity</v>
      </c>
      <c r="E106" s="542" t="s">
        <v>911</v>
      </c>
      <c r="F106" s="276" t="str" cm="1">
        <f t="array" ref="F106">_xlfn.XLOOKUP(1,($D$111:$D$113=B106)*($E$111:$E$113=C106),$B$111:$B$113,"Not found",0,1)</f>
        <v>39-7</v>
      </c>
      <c r="G106" s="343">
        <f t="shared" ref="G106:G107" si="3">VLOOKUP(F106,B$111:L$114,11,FALSE)</f>
        <v>-176.49498909821853</v>
      </c>
      <c r="H106" s="326">
        <f>D$65</f>
        <v>2.3333333333333335</v>
      </c>
      <c r="I106" s="276" t="s">
        <v>3253</v>
      </c>
      <c r="J106" s="276" t="s">
        <v>3254</v>
      </c>
    </row>
    <row r="107" spans="1:23">
      <c r="B107" s="348" t="s">
        <v>661</v>
      </c>
      <c r="C107" s="276" t="s">
        <v>1378</v>
      </c>
      <c r="D107" s="544" t="str">
        <f t="shared" si="2"/>
        <v>Improved productivity</v>
      </c>
      <c r="E107" s="542" t="s">
        <v>911</v>
      </c>
      <c r="F107" s="276" t="str" cm="1">
        <f t="array" ref="F107">_xlfn.XLOOKUP(1,($D$111:$D$113=B107)*($E$111:$E$113=C107),$B$111:$B$113,"Not found",0,1)</f>
        <v>39-8</v>
      </c>
      <c r="G107" s="343">
        <f t="shared" si="3"/>
        <v>-176.49498909821853</v>
      </c>
      <c r="H107" s="326">
        <f>D$65</f>
        <v>2.3333333333333335</v>
      </c>
      <c r="I107" s="276" t="s">
        <v>3253</v>
      </c>
      <c r="J107" s="276" t="s">
        <v>3254</v>
      </c>
    </row>
    <row r="108" spans="1:23">
      <c r="B108" s="30"/>
    </row>
    <row r="109" spans="1:23">
      <c r="A109" s="744"/>
      <c r="B109" s="745" t="s">
        <v>962</v>
      </c>
      <c r="C109" s="744"/>
      <c r="D109" s="744"/>
      <c r="E109" s="744"/>
      <c r="F109" s="744"/>
      <c r="G109" s="744"/>
      <c r="H109" s="744"/>
    </row>
    <row r="110" spans="1:23">
      <c r="B110" s="398" t="s">
        <v>904</v>
      </c>
      <c r="C110" s="398" t="s">
        <v>62</v>
      </c>
      <c r="D110" s="398" t="s">
        <v>902</v>
      </c>
      <c r="E110" s="398" t="s">
        <v>898</v>
      </c>
      <c r="F110" s="398" t="s">
        <v>916</v>
      </c>
      <c r="G110" s="398" t="s">
        <v>963</v>
      </c>
      <c r="H110" s="398" t="s">
        <v>964</v>
      </c>
      <c r="I110" s="398" t="s">
        <v>965</v>
      </c>
      <c r="J110" s="398" t="s">
        <v>966</v>
      </c>
      <c r="K110" s="398" t="s">
        <v>967</v>
      </c>
      <c r="L110" s="398" t="s">
        <v>968</v>
      </c>
      <c r="M110" s="398" t="s">
        <v>956</v>
      </c>
      <c r="N110" s="398" t="s">
        <v>969</v>
      </c>
      <c r="O110" s="398" t="s">
        <v>970</v>
      </c>
      <c r="P110" s="398" t="s">
        <v>927</v>
      </c>
      <c r="Q110" s="398" t="s">
        <v>913</v>
      </c>
      <c r="R110" s="398" t="s">
        <v>914</v>
      </c>
      <c r="S110" s="398" t="s">
        <v>915</v>
      </c>
      <c r="T110" s="398" t="s">
        <v>916</v>
      </c>
      <c r="U110" s="398" t="s">
        <v>917</v>
      </c>
      <c r="V110" s="398" t="s">
        <v>918</v>
      </c>
      <c r="W110" s="398" t="s">
        <v>919</v>
      </c>
    </row>
    <row r="111" spans="1:23">
      <c r="B111" s="372" t="s">
        <v>3255</v>
      </c>
      <c r="C111" s="276" t="s">
        <v>431</v>
      </c>
      <c r="D111" s="276" t="str">
        <f>B105</f>
        <v>Time leveraged (through in-kind contribution)</v>
      </c>
      <c r="E111" s="276" t="str">
        <f>C105</f>
        <v>Local Economy</v>
      </c>
      <c r="F111" s="373">
        <f>E87</f>
        <v>2024</v>
      </c>
      <c r="G111" s="276">
        <v>2022</v>
      </c>
      <c r="H111" s="276">
        <f>'COMPANY INPUT'!$C$16</f>
        <v>2023</v>
      </c>
      <c r="I111" s="276">
        <f>VLOOKUP(G111,'GDP Deflators'!$H$13:$I$86,2,FALSE)</f>
        <v>93.351699999999994</v>
      </c>
      <c r="J111" s="276">
        <f>VLOOKUP(H111,'GDP Deflators'!$H$13:$I$86,2,FALSE)</f>
        <v>100</v>
      </c>
      <c r="K111" s="465">
        <f>-D101</f>
        <v>-39.700000000000003</v>
      </c>
      <c r="L111" s="747">
        <f>K111*(J111/I111)</f>
        <v>-42.527345511651106</v>
      </c>
      <c r="M111" s="276" t="str">
        <f>I105</f>
        <v>GVA</v>
      </c>
      <c r="N111" s="326">
        <f>H105</f>
        <v>3</v>
      </c>
      <c r="O111" s="276" t="s">
        <v>718</v>
      </c>
      <c r="P111" s="276" t="str">
        <f>J105</f>
        <v>We have opted for the GVA added per volunteering hour instead of the replacement cost of the volunteering hours as this is a more complete representation of the value created.</v>
      </c>
      <c r="Q111" s="373">
        <f t="shared" ref="Q111:W111" si="4">B87</f>
        <v>6</v>
      </c>
      <c r="R111" s="276" t="str">
        <f t="shared" si="4"/>
        <v>ONS Subregional productivity: labour productivity indices by city region</v>
      </c>
      <c r="S111" s="276" t="str">
        <f t="shared" si="4"/>
        <v>Nexus</v>
      </c>
      <c r="T111" s="276">
        <f t="shared" si="4"/>
        <v>2024</v>
      </c>
      <c r="U111" s="276" t="str">
        <f t="shared" si="4"/>
        <v>UK</v>
      </c>
      <c r="V111" s="276" t="str">
        <f t="shared" si="4"/>
        <v>National average</v>
      </c>
      <c r="W111" s="276" t="str">
        <f t="shared" si="4"/>
        <v>Unknown</v>
      </c>
    </row>
    <row r="112" spans="1:23">
      <c r="B112" s="372" t="s">
        <v>3256</v>
      </c>
      <c r="C112" s="276" t="s">
        <v>431</v>
      </c>
      <c r="D112" s="276" t="str">
        <f t="shared" ref="D112:D113" si="5">B106</f>
        <v>Company employees participating in volunteering</v>
      </c>
      <c r="E112" s="276" t="str">
        <f t="shared" ref="E112:E113" si="6">C106</f>
        <v>Local Economy</v>
      </c>
      <c r="F112" s="373">
        <f>E$55</f>
        <v>2013</v>
      </c>
      <c r="G112" s="276">
        <v>2012</v>
      </c>
      <c r="H112" s="276">
        <f>'COMPANY INPUT'!$C$16</f>
        <v>2023</v>
      </c>
      <c r="I112" s="276">
        <f>VLOOKUP(G112,'GDP Deflators'!$H$13:$I$86,2,FALSE)</f>
        <v>75.139399999999995</v>
      </c>
      <c r="J112" s="276">
        <f>VLOOKUP(H112,'GDP Deflators'!$H$13:$I$86,2,FALSE)</f>
        <v>100</v>
      </c>
      <c r="K112" s="465">
        <f>-C$81</f>
        <v>-132.61727583846681</v>
      </c>
      <c r="L112" s="747">
        <f t="shared" ref="L112:L113" si="7">K112*(J112/I112)</f>
        <v>-176.49498909821853</v>
      </c>
      <c r="M112" s="276" t="str">
        <f t="shared" ref="M112:M113" si="8">I106</f>
        <v>Replacement cost of volunteering hour</v>
      </c>
      <c r="N112" s="326">
        <f t="shared" ref="N112:N113" si="9">H106</f>
        <v>2.3333333333333335</v>
      </c>
      <c r="O112" s="276" t="s">
        <v>718</v>
      </c>
      <c r="P112" s="276" t="str">
        <f t="shared" ref="P112:P113" si="10">J106</f>
        <v>For volunteering days done by employees or non-employees this is not expected to be an exact replacement of their usual skilled paid role. Therefore the value created by their volunteering is better represented by a value for value created from all volunteering hours, rather than their GVA.</v>
      </c>
      <c r="Q112" s="373">
        <f>B$55</f>
        <v>25</v>
      </c>
      <c r="R112" s="373" t="str">
        <f t="shared" ref="R112:W113" si="11">C$55</f>
        <v>ONS (2017) Changes in the value and division of unpaid volunteering in the UK: 2000 to 2015</v>
      </c>
      <c r="S112" s="373" t="str">
        <f t="shared" si="11"/>
        <v>ENCA</v>
      </c>
      <c r="T112" s="373">
        <f t="shared" si="11"/>
        <v>2013</v>
      </c>
      <c r="U112" s="373" t="str">
        <f t="shared" si="11"/>
        <v>UK</v>
      </c>
      <c r="V112" s="373" t="str">
        <f t="shared" si="11"/>
        <v>National average</v>
      </c>
      <c r="W112" s="373" t="str">
        <f t="shared" si="11"/>
        <v>N/A</v>
      </c>
    </row>
    <row r="113" spans="1:23">
      <c r="B113" s="372" t="s">
        <v>3257</v>
      </c>
      <c r="C113" s="276" t="s">
        <v>431</v>
      </c>
      <c r="D113" s="276" t="str">
        <f t="shared" si="5"/>
        <v>Non-company employees participating in volunteering</v>
      </c>
      <c r="E113" s="276" t="str">
        <f t="shared" si="6"/>
        <v>Local Economy</v>
      </c>
      <c r="F113" s="373">
        <f>E$55</f>
        <v>2013</v>
      </c>
      <c r="G113" s="276">
        <v>2012</v>
      </c>
      <c r="H113" s="276">
        <f>'COMPANY INPUT'!$C$16</f>
        <v>2023</v>
      </c>
      <c r="I113" s="276">
        <f>VLOOKUP(G113,'GDP Deflators'!$H$13:$I$86,2,FALSE)</f>
        <v>75.139399999999995</v>
      </c>
      <c r="J113" s="276">
        <f>VLOOKUP(H113,'GDP Deflators'!$H$13:$I$86,2,FALSE)</f>
        <v>100</v>
      </c>
      <c r="K113" s="465">
        <f>-C$81</f>
        <v>-132.61727583846681</v>
      </c>
      <c r="L113" s="747">
        <f t="shared" si="7"/>
        <v>-176.49498909821853</v>
      </c>
      <c r="M113" s="276" t="str">
        <f t="shared" si="8"/>
        <v>Replacement cost of volunteering hour</v>
      </c>
      <c r="N113" s="326">
        <f t="shared" si="9"/>
        <v>2.3333333333333335</v>
      </c>
      <c r="O113" s="276" t="s">
        <v>718</v>
      </c>
      <c r="P113" s="276" t="str">
        <f t="shared" si="10"/>
        <v>For volunteering days done by employees or non-employees this is not expected to be an exact replacement of their usual skilled paid role. Therefore the value created by their volunteering is better represented by a value for value created from all volunteering hours, rather than their GVA.</v>
      </c>
      <c r="Q113" s="373">
        <f>B$55</f>
        <v>25</v>
      </c>
      <c r="R113" s="373" t="str">
        <f t="shared" si="11"/>
        <v>ONS (2017) Changes in the value and division of unpaid volunteering in the UK: 2000 to 2015</v>
      </c>
      <c r="S113" s="373" t="str">
        <f t="shared" si="11"/>
        <v>ENCA</v>
      </c>
      <c r="T113" s="373">
        <f t="shared" si="11"/>
        <v>2013</v>
      </c>
      <c r="U113" s="373" t="str">
        <f t="shared" si="11"/>
        <v>UK</v>
      </c>
      <c r="V113" s="373" t="str">
        <f t="shared" si="11"/>
        <v>National average</v>
      </c>
      <c r="W113" s="373" t="str">
        <f t="shared" si="11"/>
        <v>N/A</v>
      </c>
    </row>
    <row r="115" spans="1:23">
      <c r="A115" s="739"/>
      <c r="B115" s="740" t="s">
        <v>3258</v>
      </c>
      <c r="C115" s="739"/>
      <c r="D115" s="739"/>
      <c r="E115" s="739"/>
      <c r="F115" s="739"/>
      <c r="G115" s="739"/>
      <c r="H115" s="739"/>
    </row>
    <row r="116" spans="1:23">
      <c r="A116" s="741"/>
      <c r="B116" s="742" t="s">
        <v>897</v>
      </c>
      <c r="C116" s="741"/>
      <c r="D116" s="741"/>
      <c r="E116" s="741"/>
      <c r="F116" s="741"/>
      <c r="G116" s="741"/>
      <c r="H116" s="741"/>
    </row>
    <row r="117" spans="1:23">
      <c r="B117" s="398" t="s">
        <v>898</v>
      </c>
      <c r="C117" s="398" t="s">
        <v>899</v>
      </c>
    </row>
    <row r="118" spans="1:23">
      <c r="B118" s="276" t="s">
        <v>3258</v>
      </c>
      <c r="C118" s="276" t="s">
        <v>3259</v>
      </c>
    </row>
    <row r="120" spans="1:23">
      <c r="A120" s="741"/>
      <c r="B120" s="743" t="s">
        <v>1028</v>
      </c>
      <c r="C120" s="741"/>
      <c r="D120" s="741"/>
      <c r="E120" s="741"/>
      <c r="F120" s="741"/>
      <c r="G120" s="741"/>
      <c r="H120" s="741"/>
    </row>
    <row r="121" spans="1:23">
      <c r="A121" s="744"/>
      <c r="B121" s="745" t="s">
        <v>912</v>
      </c>
      <c r="C121" s="744"/>
      <c r="D121" s="744"/>
      <c r="E121" s="744"/>
      <c r="F121" s="744"/>
      <c r="G121" s="744"/>
      <c r="H121" s="744"/>
    </row>
    <row r="122" spans="1:23" ht="29.1">
      <c r="B122" s="719" t="s">
        <v>913</v>
      </c>
      <c r="C122" s="719" t="s">
        <v>914</v>
      </c>
      <c r="D122" s="719" t="s">
        <v>915</v>
      </c>
      <c r="E122" s="719" t="s">
        <v>916</v>
      </c>
      <c r="F122" s="719" t="s">
        <v>917</v>
      </c>
      <c r="G122" s="719" t="s">
        <v>918</v>
      </c>
      <c r="H122" s="719" t="s">
        <v>919</v>
      </c>
    </row>
    <row r="123" spans="1:23">
      <c r="B123" s="276">
        <v>14</v>
      </c>
      <c r="C123" s="276" t="s">
        <v>3144</v>
      </c>
      <c r="D123" s="276" t="s">
        <v>3260</v>
      </c>
      <c r="E123" s="276">
        <v>2010</v>
      </c>
      <c r="F123" s="276" t="s">
        <v>1047</v>
      </c>
      <c r="G123" s="276" t="s">
        <v>1047</v>
      </c>
      <c r="H123" s="276" t="s">
        <v>923</v>
      </c>
    </row>
    <row r="124" spans="1:23">
      <c r="B124" s="29"/>
    </row>
    <row r="125" spans="1:23">
      <c r="A125" s="744"/>
      <c r="B125" s="745" t="s">
        <v>924</v>
      </c>
      <c r="C125" s="744"/>
      <c r="D125" s="744"/>
      <c r="E125" s="744"/>
      <c r="F125" s="744"/>
      <c r="G125" s="744"/>
      <c r="H125" s="744"/>
    </row>
    <row r="126" spans="1:23">
      <c r="B126" s="398" t="s">
        <v>165</v>
      </c>
      <c r="C126" s="398" t="s">
        <v>925</v>
      </c>
      <c r="D126" s="487" t="s">
        <v>926</v>
      </c>
      <c r="E126" s="1139" t="s">
        <v>927</v>
      </c>
      <c r="F126" s="1139"/>
      <c r="G126" s="1139"/>
      <c r="H126" s="1139"/>
    </row>
    <row r="127" spans="1:23">
      <c r="B127" s="276" t="s">
        <v>169</v>
      </c>
      <c r="C127" s="276" t="s">
        <v>166</v>
      </c>
      <c r="D127" s="278">
        <f>VLOOKUP(C127,METHODOLOGY!$C$175:$D$177,2,FALSE)</f>
        <v>3</v>
      </c>
      <c r="E127" s="1087" t="str">
        <f>_xlfn.XLOOKUP(C127,METHODOLOGY!$E$150:$O$150,METHODOLOGY!$E$151:$O$151,"",0,1)</f>
        <v>Monetary values have been peer reviewed or are recommended / referenced in other, well recognised and accepted guidance / tools relevant to the water sector.</v>
      </c>
      <c r="F127" s="1087"/>
      <c r="G127" s="1087"/>
      <c r="H127" s="1087"/>
    </row>
    <row r="128" spans="1:23">
      <c r="B128" s="276" t="s">
        <v>173</v>
      </c>
      <c r="C128" s="276" t="s">
        <v>167</v>
      </c>
      <c r="D128" s="278">
        <f>VLOOKUP(C128,METHODOLOGY!$C$175:$D$177,2,FALSE)</f>
        <v>2</v>
      </c>
      <c r="E128" s="1087" t="str">
        <f>_xlfn.XLOOKUP(C128,METHODOLOGY!$E$150:$O$150,METHODOLOGY!$E$155:$O$155,"",0,1)</f>
        <v>Study has some limitations which may impact on the robustness of the value.</v>
      </c>
      <c r="F128" s="1087"/>
      <c r="G128" s="1087"/>
      <c r="H128" s="1087"/>
    </row>
    <row r="129" spans="1:11">
      <c r="B129" s="276" t="s">
        <v>177</v>
      </c>
      <c r="C129" s="276" t="s">
        <v>168</v>
      </c>
      <c r="D129" s="278">
        <f>VLOOKUP(C129,METHODOLOGY!$C$175:$D$177,2,FALSE)</f>
        <v>1</v>
      </c>
      <c r="E129" s="1087" t="str">
        <f>_xlfn.XLOOKUP(C129,METHODOLOGY!$E$150:$O$150,METHODOLOGY!$E$158:$O$158,"",0,1)</f>
        <v>&gt;10 years</v>
      </c>
      <c r="F129" s="1087"/>
      <c r="G129" s="1087"/>
      <c r="H129" s="1087"/>
    </row>
    <row r="130" spans="1:11">
      <c r="B130" s="276" t="s">
        <v>181</v>
      </c>
      <c r="C130" s="276" t="s">
        <v>166</v>
      </c>
      <c r="D130" s="278">
        <f>VLOOKUP(C130,METHODOLOGY!$C$175:$D$177,2,FALSE)</f>
        <v>3</v>
      </c>
      <c r="E130" s="1087" t="str">
        <f>_xlfn.XLOOKUP(C130,METHODOLOGY!$E$150:$O$150,METHODOLOGY!$E$160:$O$160,"",0,1)</f>
        <v>Geographically relevant to UK</v>
      </c>
      <c r="F130" s="1087"/>
      <c r="G130" s="1087"/>
      <c r="H130" s="1087"/>
    </row>
    <row r="131" spans="1:11">
      <c r="B131" s="276" t="s">
        <v>928</v>
      </c>
      <c r="C131" s="276" t="s">
        <v>167</v>
      </c>
      <c r="D131" s="278">
        <f>VLOOKUP(C131,METHODOLOGY!$C$175:$D$177,2,FALSE)</f>
        <v>2</v>
      </c>
      <c r="E131" s="1087" t="str">
        <f>_xlfn.XLOOKUP(C131,METHODOLOGY!$E$150:$O$150,METHODOLOGY!$E$162:$O$162,"",0,1)</f>
        <v>Meta-analysis or limited understanding of what the value represents.</v>
      </c>
      <c r="F131" s="1087"/>
      <c r="G131" s="1087"/>
      <c r="H131" s="1087"/>
    </row>
    <row r="132" spans="1:11">
      <c r="B132" s="276" t="s">
        <v>189</v>
      </c>
      <c r="C132" s="276" t="s">
        <v>166</v>
      </c>
      <c r="D132" s="278">
        <f>VLOOKUP(C132,METHODOLOGY!$C$175:$D$177,2,FALSE)</f>
        <v>3</v>
      </c>
      <c r="E132" s="1087" t="str">
        <f>_xlfn.XLOOKUP(C132,METHODOLOGY!$E$150:$O$150,METHODOLOGY!$E$164:$O$164,"",0,1)</f>
        <v xml:space="preserve">The original valuation can be used with no or very simple modification e.g. change units from ha to km2, applying inflation. </v>
      </c>
      <c r="F132" s="1087"/>
      <c r="G132" s="1087"/>
      <c r="H132" s="1087"/>
    </row>
    <row r="133" spans="1:11">
      <c r="C133" s="282" t="s">
        <v>924</v>
      </c>
      <c r="D133" s="326">
        <f>IF(AND(D132=1,AVERAGE(D127:D132)&gt;2.14285714285714),2.14285714285714,IF(AND(D132=2,AVERAGE(D127:D132)&gt;2.57142857142857),2.57142857142857,AVERAGE(D127:D132)))</f>
        <v>2.3333333333333335</v>
      </c>
      <c r="E133" s="270" t="str">
        <f>IF(D133&lt;=2.14285714285714,"Red",IF(D133&lt;=2.57142857142857,"Amber",IF(D133&lt;=3,"Green")))</f>
        <v>Amber</v>
      </c>
    </row>
    <row r="135" spans="1:11">
      <c r="A135" s="744"/>
      <c r="B135" s="745" t="s">
        <v>929</v>
      </c>
      <c r="C135" s="744"/>
      <c r="D135" s="744"/>
      <c r="E135" s="744"/>
      <c r="F135" s="744"/>
      <c r="G135" s="744"/>
      <c r="H135" s="744"/>
    </row>
    <row r="136" spans="1:11">
      <c r="B136" s="398" t="s">
        <v>913</v>
      </c>
      <c r="C136" s="398" t="s">
        <v>902</v>
      </c>
      <c r="D136" s="398" t="s">
        <v>331</v>
      </c>
      <c r="E136" s="398" t="s">
        <v>226</v>
      </c>
      <c r="F136" s="1146" t="s">
        <v>930</v>
      </c>
      <c r="G136" s="1147"/>
      <c r="H136" s="1147"/>
      <c r="I136" s="1147"/>
      <c r="J136" s="1147"/>
      <c r="K136" s="1148"/>
    </row>
    <row r="137" spans="1:11" ht="130.5" customHeight="1">
      <c r="B137" s="342">
        <v>14</v>
      </c>
      <c r="C137" s="342" t="s">
        <v>3261</v>
      </c>
      <c r="D137" s="338">
        <v>21.03</v>
      </c>
      <c r="E137" s="534" t="s">
        <v>3205</v>
      </c>
      <c r="F137" s="1141" t="s">
        <v>3262</v>
      </c>
      <c r="G137" s="1141"/>
      <c r="H137" s="1141"/>
      <c r="I137" s="1141"/>
      <c r="J137" s="1141"/>
      <c r="K137" s="1141"/>
    </row>
    <row r="139" spans="1:11">
      <c r="A139" s="741"/>
      <c r="B139" s="743" t="s">
        <v>901</v>
      </c>
      <c r="C139" s="741"/>
      <c r="D139" s="741"/>
      <c r="E139" s="741"/>
      <c r="F139" s="741"/>
      <c r="G139" s="741"/>
      <c r="H139" s="741"/>
    </row>
    <row r="140" spans="1:11" ht="29.1">
      <c r="B140" s="719" t="s">
        <v>902</v>
      </c>
      <c r="C140" s="719" t="s">
        <v>898</v>
      </c>
      <c r="D140" s="719" t="s">
        <v>899</v>
      </c>
      <c r="E140" s="719" t="s">
        <v>903</v>
      </c>
      <c r="F140" s="719" t="s">
        <v>904</v>
      </c>
      <c r="G140" s="719" t="s">
        <v>905</v>
      </c>
      <c r="H140" s="752" t="s">
        <v>924</v>
      </c>
      <c r="I140" s="752" t="s">
        <v>956</v>
      </c>
      <c r="J140" s="752" t="s">
        <v>927</v>
      </c>
    </row>
    <row r="141" spans="1:11">
      <c r="B141" s="276" t="s">
        <v>651</v>
      </c>
      <c r="C141" s="276" t="s">
        <v>3258</v>
      </c>
      <c r="D141" s="276" t="s">
        <v>3259</v>
      </c>
      <c r="E141" s="542" t="s">
        <v>3263</v>
      </c>
      <c r="F141" s="276" t="str" cm="1">
        <f t="array" ref="F141">_xlfn.XLOOKUP(1,(D146:D146=B141)*(E146:E146=C141),B146:B146,"Not found",0,1)</f>
        <v>39-2</v>
      </c>
      <c r="G141" s="633">
        <f>VLOOKUP(F141,B146:L147,11,FALSE)</f>
        <v>-29.04090445224822</v>
      </c>
      <c r="H141" s="1120">
        <f>D133</f>
        <v>2.3333333333333335</v>
      </c>
      <c r="I141" s="1167" t="s">
        <v>3264</v>
      </c>
      <c r="J141" s="1167" t="s">
        <v>3265</v>
      </c>
    </row>
    <row r="142" spans="1:11">
      <c r="B142" s="276" t="s">
        <v>653</v>
      </c>
      <c r="C142" s="276" t="s">
        <v>3258</v>
      </c>
      <c r="D142" s="276" t="s">
        <v>3259</v>
      </c>
      <c r="E142" s="542" t="s">
        <v>3266</v>
      </c>
      <c r="F142" s="276" t="str" cm="1">
        <f t="array" ref="F142">_xlfn.XLOOKUP(1,(D147:D147=B142)*(E147:E147=C142),B147:B147,"Not found",0,1)</f>
        <v>39-3</v>
      </c>
      <c r="G142" s="633">
        <f>VLOOKUP(F142,B147:L148,11,FALSE)</f>
        <v>-29.04090445224822</v>
      </c>
      <c r="H142" s="1122"/>
      <c r="I142" s="1169"/>
      <c r="J142" s="1169"/>
    </row>
    <row r="143" spans="1:11">
      <c r="B143" s="30"/>
    </row>
    <row r="144" spans="1:11">
      <c r="A144" s="744"/>
      <c r="B144" s="745" t="s">
        <v>962</v>
      </c>
      <c r="C144" s="744"/>
      <c r="D144" s="744"/>
      <c r="E144" s="744"/>
      <c r="F144" s="744"/>
      <c r="G144" s="744"/>
      <c r="H144" s="744"/>
    </row>
    <row r="145" spans="1:23">
      <c r="B145" s="398" t="s">
        <v>904</v>
      </c>
      <c r="C145" s="398" t="s">
        <v>62</v>
      </c>
      <c r="D145" s="398" t="s">
        <v>902</v>
      </c>
      <c r="E145" s="398" t="s">
        <v>898</v>
      </c>
      <c r="F145" s="398" t="s">
        <v>916</v>
      </c>
      <c r="G145" s="398" t="s">
        <v>963</v>
      </c>
      <c r="H145" s="398" t="s">
        <v>964</v>
      </c>
      <c r="I145" s="398" t="s">
        <v>965</v>
      </c>
      <c r="J145" s="398" t="s">
        <v>966</v>
      </c>
      <c r="K145" s="398" t="s">
        <v>967</v>
      </c>
      <c r="L145" s="398" t="s">
        <v>968</v>
      </c>
      <c r="M145" s="398" t="s">
        <v>956</v>
      </c>
      <c r="N145" s="398" t="s">
        <v>969</v>
      </c>
      <c r="O145" s="398" t="s">
        <v>970</v>
      </c>
      <c r="P145" s="398" t="s">
        <v>927</v>
      </c>
      <c r="Q145" s="398" t="s">
        <v>913</v>
      </c>
      <c r="R145" s="398" t="s">
        <v>914</v>
      </c>
      <c r="S145" s="398" t="s">
        <v>915</v>
      </c>
      <c r="T145" s="398" t="s">
        <v>916</v>
      </c>
      <c r="U145" s="398" t="s">
        <v>917</v>
      </c>
      <c r="V145" s="398" t="s">
        <v>918</v>
      </c>
      <c r="W145" s="398" t="s">
        <v>919</v>
      </c>
    </row>
    <row r="146" spans="1:23">
      <c r="B146" s="372" t="s">
        <v>3267</v>
      </c>
      <c r="C146" s="276" t="s">
        <v>431</v>
      </c>
      <c r="D146" s="276" t="str">
        <f>B141</f>
        <v>Educational visits (e.g. school engagement)</v>
      </c>
      <c r="E146" s="276" t="str">
        <f>C141</f>
        <v>Skills and Knowledge</v>
      </c>
      <c r="F146" s="373">
        <v>2013</v>
      </c>
      <c r="G146" s="276">
        <v>2010</v>
      </c>
      <c r="H146" s="276">
        <f>'COMPANY INPUT'!$C$16</f>
        <v>2023</v>
      </c>
      <c r="I146" s="276">
        <f>VLOOKUP(G146,'GDP Deflators'!$H$13:$I$86,2,FALSE)</f>
        <v>72.415099999999995</v>
      </c>
      <c r="J146" s="276">
        <f>_xlfn.XLOOKUP(H146,'GDP Deflators'!$H$13:$H$86,'GDP Deflators'!$I$13:$I$86)</f>
        <v>100</v>
      </c>
      <c r="K146" s="465">
        <f>-$D$137</f>
        <v>-21.03</v>
      </c>
      <c r="L146" s="747">
        <f>K146*(J146/I146)</f>
        <v>-29.04090445224822</v>
      </c>
      <c r="M146" s="276" t="str">
        <f>$I$141</f>
        <v>Additional cost</v>
      </c>
      <c r="N146" s="326">
        <f>$H$141</f>
        <v>2.3333333333333335</v>
      </c>
      <c r="O146" s="276" t="s">
        <v>718</v>
      </c>
      <c r="P146" s="276" t="str">
        <f>$J$141</f>
        <v>Of the available values reviewed, this is the most suitable in terms of units, understanding of method, and confidence in price year.</v>
      </c>
      <c r="Q146" s="373">
        <f t="shared" ref="Q146:W146" si="12">B123</f>
        <v>14</v>
      </c>
      <c r="R146" s="373" t="str">
        <f t="shared" si="12"/>
        <v>Mourato et al (2010) Economic Analysis of Cultural Services Final Report, December 2010</v>
      </c>
      <c r="S146" s="373" t="str">
        <f t="shared" si="12"/>
        <v>ENCA &amp; WINEP</v>
      </c>
      <c r="T146" s="373">
        <f t="shared" si="12"/>
        <v>2010</v>
      </c>
      <c r="U146" s="373" t="str">
        <f t="shared" si="12"/>
        <v>UK</v>
      </c>
      <c r="V146" s="373" t="str">
        <f t="shared" si="12"/>
        <v>UK</v>
      </c>
      <c r="W146" s="373" t="str">
        <f t="shared" si="12"/>
        <v>Unknown</v>
      </c>
    </row>
    <row r="147" spans="1:23">
      <c r="B147" s="372" t="s">
        <v>3268</v>
      </c>
      <c r="C147" s="276" t="s">
        <v>431</v>
      </c>
      <c r="D147" s="276" t="str">
        <f>B142</f>
        <v>Engaging with adults - STEM &amp; water based engagement</v>
      </c>
      <c r="E147" s="276" t="str">
        <f>C142</f>
        <v>Skills and Knowledge</v>
      </c>
      <c r="F147" s="373">
        <v>2013</v>
      </c>
      <c r="G147" s="276">
        <v>2010</v>
      </c>
      <c r="H147" s="276">
        <f>'COMPANY INPUT'!$C$16</f>
        <v>2023</v>
      </c>
      <c r="I147" s="276">
        <f>VLOOKUP(G147,'GDP Deflators'!$H$13:$I$86,2,FALSE)</f>
        <v>72.415099999999995</v>
      </c>
      <c r="J147" s="276">
        <f>VLOOKUP(H147,'GDP Deflators'!$H$13:$I$86,2,FALSE)</f>
        <v>100</v>
      </c>
      <c r="K147" s="465">
        <f>-$D$137</f>
        <v>-21.03</v>
      </c>
      <c r="L147" s="747">
        <f>K147*(J147/I147)</f>
        <v>-29.04090445224822</v>
      </c>
      <c r="M147" s="276" t="str">
        <f>$I$141</f>
        <v>Additional cost</v>
      </c>
      <c r="N147" s="326">
        <f>$H$141</f>
        <v>2.3333333333333335</v>
      </c>
      <c r="O147" s="276" t="s">
        <v>718</v>
      </c>
      <c r="P147" s="276" t="str">
        <f>$J$141</f>
        <v>Of the available values reviewed, this is the most suitable in terms of units, understanding of method, and confidence in price year.</v>
      </c>
      <c r="Q147" s="373">
        <f t="shared" ref="Q147:W147" si="13">B123</f>
        <v>14</v>
      </c>
      <c r="R147" s="373" t="str">
        <f t="shared" si="13"/>
        <v>Mourato et al (2010) Economic Analysis of Cultural Services Final Report, December 2010</v>
      </c>
      <c r="S147" s="373" t="str">
        <f t="shared" si="13"/>
        <v>ENCA &amp; WINEP</v>
      </c>
      <c r="T147" s="373">
        <f t="shared" si="13"/>
        <v>2010</v>
      </c>
      <c r="U147" s="373" t="str">
        <f t="shared" si="13"/>
        <v>UK</v>
      </c>
      <c r="V147" s="373" t="str">
        <f t="shared" si="13"/>
        <v>UK</v>
      </c>
      <c r="W147" s="373" t="str">
        <f t="shared" si="13"/>
        <v>Unknown</v>
      </c>
    </row>
    <row r="149" spans="1:23">
      <c r="A149" s="739"/>
      <c r="B149" s="740" t="s">
        <v>1379</v>
      </c>
      <c r="C149" s="739"/>
      <c r="D149" s="739"/>
      <c r="E149" s="739"/>
      <c r="F149" s="739"/>
      <c r="G149" s="739"/>
      <c r="H149" s="739"/>
    </row>
    <row r="150" spans="1:23">
      <c r="A150" s="741"/>
      <c r="B150" s="742" t="s">
        <v>897</v>
      </c>
      <c r="C150" s="741"/>
      <c r="D150" s="741"/>
      <c r="E150" s="741"/>
      <c r="F150" s="741"/>
      <c r="G150" s="741"/>
      <c r="H150" s="741"/>
    </row>
    <row r="151" spans="1:23">
      <c r="B151" s="398" t="s">
        <v>898</v>
      </c>
      <c r="C151" s="398" t="s">
        <v>899</v>
      </c>
    </row>
    <row r="152" spans="1:23">
      <c r="B152" s="276" t="s">
        <v>1379</v>
      </c>
      <c r="C152" s="276" t="s">
        <v>3269</v>
      </c>
    </row>
    <row r="154" spans="1:23">
      <c r="A154" s="741"/>
      <c r="B154" s="743" t="s">
        <v>1039</v>
      </c>
      <c r="C154" s="741"/>
      <c r="D154" s="741"/>
      <c r="E154" s="741"/>
      <c r="F154" s="741"/>
      <c r="G154" s="741"/>
      <c r="H154" s="741"/>
    </row>
    <row r="155" spans="1:23">
      <c r="A155" s="744"/>
      <c r="B155" s="745" t="s">
        <v>912</v>
      </c>
      <c r="C155" s="744"/>
      <c r="D155" s="744"/>
      <c r="E155" s="744"/>
      <c r="F155" s="744"/>
      <c r="G155" s="744"/>
      <c r="H155" s="744"/>
    </row>
    <row r="156" spans="1:23" ht="29.1">
      <c r="B156" s="719" t="s">
        <v>913</v>
      </c>
      <c r="C156" s="719" t="s">
        <v>914</v>
      </c>
      <c r="D156" s="719" t="s">
        <v>915</v>
      </c>
      <c r="E156" s="719" t="s">
        <v>916</v>
      </c>
      <c r="F156" s="719" t="s">
        <v>917</v>
      </c>
      <c r="G156" s="719" t="s">
        <v>918</v>
      </c>
      <c r="H156" s="719" t="s">
        <v>919</v>
      </c>
    </row>
    <row r="157" spans="1:23">
      <c r="B157" s="276">
        <v>20</v>
      </c>
      <c r="C157" s="276" t="s">
        <v>3270</v>
      </c>
      <c r="D157" s="337" t="s">
        <v>1182</v>
      </c>
      <c r="E157" s="276">
        <v>2021</v>
      </c>
      <c r="F157" s="276" t="s">
        <v>1047</v>
      </c>
      <c r="G157" s="276" t="s">
        <v>1262</v>
      </c>
      <c r="H157" s="276" t="s">
        <v>923</v>
      </c>
    </row>
    <row r="158" spans="1:23">
      <c r="B158" s="29"/>
    </row>
    <row r="159" spans="1:23">
      <c r="A159" s="744"/>
      <c r="B159" s="745" t="s">
        <v>924</v>
      </c>
      <c r="C159" s="744"/>
      <c r="D159" s="744"/>
      <c r="E159" s="744"/>
      <c r="F159" s="744"/>
      <c r="G159" s="744"/>
      <c r="H159" s="744"/>
    </row>
    <row r="160" spans="1:23">
      <c r="B160" s="398" t="s">
        <v>165</v>
      </c>
      <c r="C160" s="398" t="s">
        <v>925</v>
      </c>
      <c r="D160" s="398" t="s">
        <v>926</v>
      </c>
      <c r="E160" s="1139" t="s">
        <v>927</v>
      </c>
      <c r="F160" s="1139"/>
      <c r="G160" s="1139"/>
      <c r="H160" s="1139"/>
    </row>
    <row r="161" spans="1:10">
      <c r="B161" s="276" t="s">
        <v>169</v>
      </c>
      <c r="C161" s="276" t="s">
        <v>166</v>
      </c>
      <c r="D161" s="278">
        <f>VLOOKUP(C161,METHODOLOGY!$C$175:$D$177,2,FALSE)</f>
        <v>3</v>
      </c>
      <c r="E161" s="1087" t="str">
        <f>_xlfn.XLOOKUP(C161,METHODOLOGY!$E$150:$O$150,METHODOLOGY!$E$151:$O$151,"",0,1)</f>
        <v>Monetary values have been peer reviewed or are recommended / referenced in other, well recognised and accepted guidance / tools relevant to the water sector.</v>
      </c>
      <c r="F161" s="1087"/>
      <c r="G161" s="1087"/>
      <c r="H161" s="1087"/>
    </row>
    <row r="162" spans="1:10">
      <c r="B162" s="276" t="s">
        <v>173</v>
      </c>
      <c r="C162" s="276" t="s">
        <v>166</v>
      </c>
      <c r="D162" s="278">
        <f>VLOOKUP(C162,METHODOLOGY!$C$175:$D$177,2,FALSE)</f>
        <v>3</v>
      </c>
      <c r="E162" s="1087" t="str">
        <f>_xlfn.XLOOKUP(C162,METHODOLOGY!$E$150:$O$150,METHODOLOGY!$E$155:$O$155,"",0,1)</f>
        <v>Study has few limitations and is considered robust.</v>
      </c>
      <c r="F162" s="1087"/>
      <c r="G162" s="1087"/>
      <c r="H162" s="1087"/>
    </row>
    <row r="163" spans="1:10">
      <c r="B163" s="276" t="s">
        <v>177</v>
      </c>
      <c r="C163" s="276" t="s">
        <v>166</v>
      </c>
      <c r="D163" s="278">
        <f>VLOOKUP(C163,METHODOLOGY!$C$175:$D$177,2,FALSE)</f>
        <v>3</v>
      </c>
      <c r="E163" s="1087" t="str">
        <f>_xlfn.XLOOKUP(C163,METHODOLOGY!$E$150:$O$150,METHODOLOGY!$E$158:$O$158,"",0,1)</f>
        <v>0 – 5 years</v>
      </c>
      <c r="F163" s="1087"/>
      <c r="G163" s="1087"/>
      <c r="H163" s="1087"/>
    </row>
    <row r="164" spans="1:10">
      <c r="B164" s="276" t="s">
        <v>181</v>
      </c>
      <c r="C164" s="276" t="s">
        <v>166</v>
      </c>
      <c r="D164" s="278">
        <f>VLOOKUP(C164,METHODOLOGY!$C$175:$D$177,2,FALSE)</f>
        <v>3</v>
      </c>
      <c r="E164" s="1087" t="str">
        <f>_xlfn.XLOOKUP(C164,METHODOLOGY!$E$150:$O$150,METHODOLOGY!$E$160:$O$160,"",0,1)</f>
        <v>Geographically relevant to UK</v>
      </c>
      <c r="F164" s="1087"/>
      <c r="G164" s="1087"/>
      <c r="H164" s="1087"/>
    </row>
    <row r="165" spans="1:10">
      <c r="B165" s="276" t="s">
        <v>928</v>
      </c>
      <c r="C165" s="276" t="s">
        <v>166</v>
      </c>
      <c r="D165" s="278">
        <f>VLOOKUP(C165,METHODOLOGY!$C$175:$D$177,2,FALSE)</f>
        <v>3</v>
      </c>
      <c r="E165" s="1087" t="str">
        <f>_xlfn.XLOOKUP(C165,METHODOLOGY!$E$150:$O$150,METHODOLOGY!$E$162:$O$162,"",0,1)</f>
        <v>Clear understanding of the valuation method and how the value should be applied.</v>
      </c>
      <c r="F165" s="1087"/>
      <c r="G165" s="1087"/>
      <c r="H165" s="1087"/>
    </row>
    <row r="166" spans="1:10">
      <c r="B166" s="276" t="s">
        <v>189</v>
      </c>
      <c r="C166" s="276" t="s">
        <v>166</v>
      </c>
      <c r="D166" s="278">
        <f>VLOOKUP(C166,METHODOLOGY!$C$175:$D$177,2,FALSE)</f>
        <v>3</v>
      </c>
      <c r="E166" s="1087" t="str">
        <f>_xlfn.XLOOKUP(C166,METHODOLOGY!$E$150:$O$150,METHODOLOGY!$E$164:$O$164,"",0,1)</f>
        <v xml:space="preserve">The original valuation can be used with no or very simple modification e.g. change units from ha to km2, applying inflation. </v>
      </c>
      <c r="F166" s="1087"/>
      <c r="G166" s="1087"/>
      <c r="H166" s="1087"/>
    </row>
    <row r="167" spans="1:10">
      <c r="C167" s="282" t="s">
        <v>924</v>
      </c>
      <c r="D167" s="326">
        <f>IF(AND(D166=1,AVERAGE(D161:D166)&gt;2.14285714285714),2.14285714285714,IF(AND(D166=2,AVERAGE(D161:D166)&gt;2.57142857142857),2.57142857142857,AVERAGE(D161:D166)))</f>
        <v>3</v>
      </c>
      <c r="E167" s="270" t="str">
        <f>IF(D167&lt;=2.14285714285714,"Red",IF(D167&lt;=2.57142857142857,"Amber",IF(D167&lt;=3,"Green")))</f>
        <v>Green</v>
      </c>
    </row>
    <row r="169" spans="1:10">
      <c r="A169" s="744"/>
      <c r="B169" s="745" t="s">
        <v>929</v>
      </c>
      <c r="C169" s="744"/>
      <c r="D169" s="744"/>
      <c r="E169" s="744"/>
      <c r="F169" s="744"/>
      <c r="G169" s="744"/>
      <c r="H169" s="744"/>
    </row>
    <row r="170" spans="1:10">
      <c r="B170" s="398" t="s">
        <v>913</v>
      </c>
      <c r="C170" s="398" t="s">
        <v>331</v>
      </c>
      <c r="D170" s="398" t="s">
        <v>226</v>
      </c>
      <c r="E170" s="1146" t="s">
        <v>930</v>
      </c>
      <c r="F170" s="1147"/>
      <c r="G170" s="1147"/>
      <c r="H170" s="1147"/>
      <c r="I170" s="1147"/>
      <c r="J170" s="1148"/>
    </row>
    <row r="171" spans="1:10" ht="72.75" customHeight="1">
      <c r="B171" s="342">
        <v>20</v>
      </c>
      <c r="C171" s="545">
        <v>911</v>
      </c>
      <c r="D171" s="636" t="s">
        <v>3271</v>
      </c>
      <c r="E171" s="1123" t="s">
        <v>3272</v>
      </c>
      <c r="F171" s="1119"/>
      <c r="G171" s="1119"/>
      <c r="H171" s="1119"/>
      <c r="I171" s="1119"/>
      <c r="J171" s="1091"/>
    </row>
    <row r="173" spans="1:10">
      <c r="A173" s="741"/>
      <c r="B173" s="743" t="s">
        <v>901</v>
      </c>
      <c r="C173" s="741"/>
      <c r="D173" s="741"/>
      <c r="E173" s="741"/>
      <c r="F173" s="741"/>
      <c r="G173" s="741"/>
      <c r="H173" s="741"/>
    </row>
    <row r="174" spans="1:10" ht="29.1">
      <c r="B174" s="719" t="s">
        <v>902</v>
      </c>
      <c r="C174" s="719" t="s">
        <v>898</v>
      </c>
      <c r="D174" s="719" t="s">
        <v>899</v>
      </c>
      <c r="E174" s="719" t="s">
        <v>903</v>
      </c>
      <c r="F174" s="719" t="s">
        <v>904</v>
      </c>
      <c r="G174" s="719" t="s">
        <v>905</v>
      </c>
      <c r="H174" s="752" t="s">
        <v>924</v>
      </c>
      <c r="I174" s="752" t="s">
        <v>956</v>
      </c>
      <c r="J174" s="752" t="s">
        <v>927</v>
      </c>
    </row>
    <row r="175" spans="1:10" ht="102.75" customHeight="1">
      <c r="B175" s="338" t="s">
        <v>659</v>
      </c>
      <c r="C175" s="338" t="s">
        <v>1379</v>
      </c>
      <c r="D175" s="342" t="s">
        <v>3269</v>
      </c>
      <c r="E175" s="801" t="s">
        <v>1039</v>
      </c>
      <c r="F175" s="338" t="str" cm="1">
        <f t="array" ref="F175">_xlfn.XLOOKUP(1,(D180:D180=B175)*(E180:E180=C175),B180:B180,"Not found",0,1)</f>
        <v>39-5</v>
      </c>
      <c r="G175" s="484">
        <f>VLOOKUP(F175,B180:L181,11,FALSE)</f>
        <v>-1022.7508742779839</v>
      </c>
      <c r="H175" s="1120">
        <f>D167</f>
        <v>3</v>
      </c>
      <c r="I175" s="1167" t="s">
        <v>3273</v>
      </c>
      <c r="J175" s="1167" t="s">
        <v>3274</v>
      </c>
    </row>
    <row r="176" spans="1:10" ht="102.75" customHeight="1">
      <c r="B176" s="338" t="s">
        <v>661</v>
      </c>
      <c r="C176" s="338" t="s">
        <v>1379</v>
      </c>
      <c r="D176" s="342" t="s">
        <v>3269</v>
      </c>
      <c r="E176" s="801" t="s">
        <v>1039</v>
      </c>
      <c r="F176" s="338" t="str" cm="1">
        <f t="array" ref="F176">_xlfn.XLOOKUP(1,(D181:D181=B176)*(E181:E181=C176),B181:B181,"Not found",0,1)</f>
        <v>39-6</v>
      </c>
      <c r="G176" s="484">
        <f>VLOOKUP(F176,B180:L181,11,FALSE)</f>
        <v>-1022.7508742779839</v>
      </c>
      <c r="H176" s="1122"/>
      <c r="I176" s="1169"/>
      <c r="J176" s="1169"/>
    </row>
    <row r="177" spans="1:23">
      <c r="B177" s="30"/>
    </row>
    <row r="178" spans="1:23">
      <c r="A178" s="744"/>
      <c r="B178" s="745" t="s">
        <v>962</v>
      </c>
      <c r="C178" s="744"/>
      <c r="D178" s="744"/>
      <c r="E178" s="744"/>
      <c r="F178" s="744"/>
      <c r="G178" s="744"/>
      <c r="H178" s="744"/>
    </row>
    <row r="179" spans="1:23">
      <c r="B179" s="398" t="s">
        <v>904</v>
      </c>
      <c r="C179" s="398" t="s">
        <v>62</v>
      </c>
      <c r="D179" s="398" t="s">
        <v>902</v>
      </c>
      <c r="E179" s="398" t="s">
        <v>898</v>
      </c>
      <c r="F179" s="398" t="s">
        <v>916</v>
      </c>
      <c r="G179" s="398" t="s">
        <v>963</v>
      </c>
      <c r="H179" s="398" t="s">
        <v>964</v>
      </c>
      <c r="I179" s="398" t="s">
        <v>965</v>
      </c>
      <c r="J179" s="398" t="s">
        <v>966</v>
      </c>
      <c r="K179" s="398" t="s">
        <v>967</v>
      </c>
      <c r="L179" s="398" t="s">
        <v>968</v>
      </c>
      <c r="M179" s="398" t="s">
        <v>956</v>
      </c>
      <c r="N179" s="398" t="s">
        <v>969</v>
      </c>
      <c r="O179" s="398" t="s">
        <v>970</v>
      </c>
      <c r="P179" s="398" t="s">
        <v>927</v>
      </c>
      <c r="Q179" s="398" t="s">
        <v>913</v>
      </c>
      <c r="R179" s="398" t="s">
        <v>914</v>
      </c>
      <c r="S179" s="398" t="s">
        <v>915</v>
      </c>
      <c r="T179" s="398" t="s">
        <v>916</v>
      </c>
      <c r="U179" s="398" t="s">
        <v>917</v>
      </c>
      <c r="V179" s="398" t="s">
        <v>918</v>
      </c>
      <c r="W179" s="398" t="s">
        <v>919</v>
      </c>
    </row>
    <row r="180" spans="1:23">
      <c r="B180" s="372" t="s">
        <v>3275</v>
      </c>
      <c r="C180" s="276" t="s">
        <v>431</v>
      </c>
      <c r="D180" s="276" t="s">
        <v>659</v>
      </c>
      <c r="E180" s="276" t="s">
        <v>1379</v>
      </c>
      <c r="F180" s="373">
        <f>E157</f>
        <v>2021</v>
      </c>
      <c r="G180" s="276">
        <v>2020</v>
      </c>
      <c r="H180" s="276">
        <f>'COMPANY INPUT'!$C$16</f>
        <v>2023</v>
      </c>
      <c r="I180" s="276">
        <f>VLOOKUP(G180,'GDP Deflators'!$H$13:$I$86,2,FALSE)</f>
        <v>89.073499999999996</v>
      </c>
      <c r="J180" s="276">
        <f>_xlfn.XLOOKUP(H180,'GDP Deflators'!$H$13:$H$86,'GDP Deflators'!$I$13:$I$86)</f>
        <v>100</v>
      </c>
      <c r="K180" s="343">
        <f>-C171</f>
        <v>-911</v>
      </c>
      <c r="L180" s="747">
        <f>K180*(J180/I180)</f>
        <v>-1022.7508742779839</v>
      </c>
      <c r="M180" s="276" t="str">
        <f>$I$175</f>
        <v>wellbeing valuation</v>
      </c>
      <c r="N180" s="326">
        <f>$H$175</f>
        <v>3</v>
      </c>
      <c r="O180" s="276" t="s">
        <v>718</v>
      </c>
      <c r="P180" s="276" t="str">
        <f>$J$175</f>
        <v>Compared to the value provided by HACT, the method is more transparent including the base year. This value is from a recent study (original source 2021) and relates strongly to the impact pathway.</v>
      </c>
      <c r="Q180" s="373">
        <f>B157</f>
        <v>20</v>
      </c>
      <c r="R180" s="373" t="str">
        <f t="shared" ref="R180" si="14">C157</f>
        <v>HM Treasury (2021) Green Book supplementary guidance: wellbeing</v>
      </c>
      <c r="S180" s="373" t="str">
        <f t="shared" ref="S180" si="15">D157</f>
        <v>ENCA</v>
      </c>
      <c r="T180" s="373">
        <f t="shared" ref="T180" si="16">E157</f>
        <v>2021</v>
      </c>
      <c r="U180" s="373" t="str">
        <f t="shared" ref="U180" si="17">F157</f>
        <v>UK</v>
      </c>
      <c r="V180" s="373" t="str">
        <f t="shared" ref="V180" si="18">G157</f>
        <v>UK Wide</v>
      </c>
      <c r="W180" s="373" t="str">
        <f t="shared" ref="W180" si="19">H157</f>
        <v>Unknown</v>
      </c>
    </row>
    <row r="181" spans="1:23">
      <c r="B181" s="372" t="s">
        <v>3276</v>
      </c>
      <c r="C181" s="276" t="s">
        <v>431</v>
      </c>
      <c r="D181" s="276" t="s">
        <v>661</v>
      </c>
      <c r="E181" s="276" t="s">
        <v>1379</v>
      </c>
      <c r="F181" s="373">
        <v>2021</v>
      </c>
      <c r="G181" s="276">
        <v>2020</v>
      </c>
      <c r="H181" s="276">
        <f>'COMPANY INPUT'!$C$16</f>
        <v>2023</v>
      </c>
      <c r="I181" s="276">
        <f>VLOOKUP(G181,'GDP Deflators'!$H$13:$I$86,2,FALSE)</f>
        <v>89.073499999999996</v>
      </c>
      <c r="J181" s="276">
        <f>VLOOKUP(H181,'GDP Deflators'!$H$13:$I$86,2,FALSE)</f>
        <v>100</v>
      </c>
      <c r="K181" s="343">
        <f>-C171</f>
        <v>-911</v>
      </c>
      <c r="L181" s="747">
        <f>K181*(J181/I181)</f>
        <v>-1022.7508742779839</v>
      </c>
      <c r="M181" s="276" t="str">
        <f>$I$175</f>
        <v>wellbeing valuation</v>
      </c>
      <c r="N181" s="326">
        <f>$H$175</f>
        <v>3</v>
      </c>
      <c r="O181" s="276" t="s">
        <v>718</v>
      </c>
      <c r="P181" s="276" t="str">
        <f>$J$175</f>
        <v>Compared to the value provided by HACT, the method is more transparent including the base year. This value is from a recent study (original source 2021) and relates strongly to the impact pathway.</v>
      </c>
      <c r="Q181" s="373">
        <f>B157</f>
        <v>20</v>
      </c>
      <c r="R181" s="373" t="str">
        <f t="shared" ref="R181" si="20">C157</f>
        <v>HM Treasury (2021) Green Book supplementary guidance: wellbeing</v>
      </c>
      <c r="S181" s="373" t="str">
        <f t="shared" ref="S181" si="21">D157</f>
        <v>ENCA</v>
      </c>
      <c r="T181" s="373">
        <f t="shared" ref="T181" si="22">E157</f>
        <v>2021</v>
      </c>
      <c r="U181" s="373" t="str">
        <f t="shared" ref="U181" si="23">F157</f>
        <v>UK</v>
      </c>
      <c r="V181" s="373" t="str">
        <f t="shared" ref="V181" si="24">G157</f>
        <v>UK Wide</v>
      </c>
      <c r="W181" s="373" t="str">
        <f t="shared" ref="W181" si="25">H157</f>
        <v>Unknown</v>
      </c>
    </row>
  </sheetData>
  <sheetProtection algorithmName="SHA-512" hashValue="4AGaJwhANpo9ETSdXhklbHGAxM5MIwCDF360WVokkxpB8cV2h+qqeeRmKEsyR5k9KTi7Xi+tKBFmRfR6GWBX9w==" saltValue="k/5GvaC8AlQK6fPEVMHjUQ==" spinCount="100000" sheet="1" objects="1" scenarios="1"/>
  <mergeCells count="48">
    <mergeCell ref="E130:H130"/>
    <mergeCell ref="E163:H163"/>
    <mergeCell ref="E164:H164"/>
    <mergeCell ref="E165:H165"/>
    <mergeCell ref="E166:H166"/>
    <mergeCell ref="E131:H131"/>
    <mergeCell ref="E132:H132"/>
    <mergeCell ref="E160:H160"/>
    <mergeCell ref="E161:H161"/>
    <mergeCell ref="E162:H162"/>
    <mergeCell ref="F101:H101"/>
    <mergeCell ref="E126:H126"/>
    <mergeCell ref="E127:H127"/>
    <mergeCell ref="E128:H128"/>
    <mergeCell ref="E129:H129"/>
    <mergeCell ref="B72:B73"/>
    <mergeCell ref="E94:H94"/>
    <mergeCell ref="E95:H95"/>
    <mergeCell ref="E96:H96"/>
    <mergeCell ref="F100:H100"/>
    <mergeCell ref="E64:H64"/>
    <mergeCell ref="E90:H90"/>
    <mergeCell ref="E91:H91"/>
    <mergeCell ref="E92:H92"/>
    <mergeCell ref="E93:H93"/>
    <mergeCell ref="E80:F80"/>
    <mergeCell ref="E81:F81"/>
    <mergeCell ref="B5:H5"/>
    <mergeCell ref="E58:H58"/>
    <mergeCell ref="E59:H59"/>
    <mergeCell ref="E60:H60"/>
    <mergeCell ref="E61:H61"/>
    <mergeCell ref="J175:J176"/>
    <mergeCell ref="I175:I176"/>
    <mergeCell ref="H175:H176"/>
    <mergeCell ref="D9:J9"/>
    <mergeCell ref="C72:C73"/>
    <mergeCell ref="E170:J170"/>
    <mergeCell ref="E171:J171"/>
    <mergeCell ref="F137:K137"/>
    <mergeCell ref="J141:J142"/>
    <mergeCell ref="I141:I142"/>
    <mergeCell ref="H141:H142"/>
    <mergeCell ref="F68:K68"/>
    <mergeCell ref="F69:K69"/>
    <mergeCell ref="F136:K136"/>
    <mergeCell ref="E62:H62"/>
    <mergeCell ref="E63:H63"/>
  </mergeCells>
  <phoneticPr fontId="16" type="noConversion"/>
  <conditionalFormatting sqref="C17:G17">
    <cfRule type="cellIs" dxfId="218" priority="162" operator="equal">
      <formula>"n/a"</formula>
    </cfRule>
  </conditionalFormatting>
  <conditionalFormatting sqref="D65:E65">
    <cfRule type="cellIs" dxfId="217" priority="26" operator="lessThanOrEqual">
      <formula>3</formula>
    </cfRule>
    <cfRule type="cellIs" dxfId="216" priority="25" operator="lessThanOrEqual">
      <formula>2.57142857142857</formula>
    </cfRule>
    <cfRule type="cellIs" dxfId="215" priority="24" operator="lessThanOrEqual">
      <formula>2.14285714285714</formula>
    </cfRule>
  </conditionalFormatting>
  <conditionalFormatting sqref="D97:E97">
    <cfRule type="cellIs" dxfId="214" priority="20" operator="lessThanOrEqual">
      <formula>3</formula>
    </cfRule>
    <cfRule type="cellIs" dxfId="213" priority="19" operator="lessThanOrEqual">
      <formula>2.57142857142857</formula>
    </cfRule>
    <cfRule type="cellIs" dxfId="212" priority="18" operator="lessThanOrEqual">
      <formula>2.14285714285714</formula>
    </cfRule>
  </conditionalFormatting>
  <conditionalFormatting sqref="D133:E133">
    <cfRule type="cellIs" dxfId="211" priority="12" operator="lessThanOrEqual">
      <formula>2.14285714285714</formula>
    </cfRule>
    <cfRule type="cellIs" dxfId="210" priority="13" operator="lessThanOrEqual">
      <formula>2.57142857142857</formula>
    </cfRule>
    <cfRule type="cellIs" dxfId="209" priority="14" operator="lessThanOrEqual">
      <formula>3</formula>
    </cfRule>
  </conditionalFormatting>
  <conditionalFormatting sqref="D167:E167">
    <cfRule type="cellIs" dxfId="208" priority="6" operator="lessThanOrEqual">
      <formula>2.14285714285714</formula>
    </cfRule>
    <cfRule type="cellIs" dxfId="207" priority="8" operator="lessThanOrEqual">
      <formula>3</formula>
    </cfRule>
    <cfRule type="cellIs" dxfId="206" priority="7" operator="lessThanOrEqual">
      <formula>2.57142857142857</formula>
    </cfRule>
  </conditionalFormatting>
  <conditionalFormatting sqref="D11:J16">
    <cfRule type="notContainsBlanks" dxfId="205" priority="1">
      <formula>LEN(TRIM(D11))&gt;0</formula>
    </cfRule>
  </conditionalFormatting>
  <conditionalFormatting sqref="E65">
    <cfRule type="containsText" dxfId="204" priority="23" operator="containsText" text="Red">
      <formula>NOT(ISERROR(SEARCH("Red",E65)))</formula>
    </cfRule>
    <cfRule type="containsText" dxfId="203" priority="22" operator="containsText" text="Amber">
      <formula>NOT(ISERROR(SEARCH("Amber",E65)))</formula>
    </cfRule>
    <cfRule type="containsText" dxfId="202" priority="21" operator="containsText" text="Green">
      <formula>NOT(ISERROR(SEARCH("Green",E65)))</formula>
    </cfRule>
  </conditionalFormatting>
  <conditionalFormatting sqref="E97">
    <cfRule type="containsText" dxfId="201" priority="15" operator="containsText" text="Green">
      <formula>NOT(ISERROR(SEARCH("Green",E97)))</formula>
    </cfRule>
    <cfRule type="containsText" dxfId="200" priority="16" operator="containsText" text="Amber">
      <formula>NOT(ISERROR(SEARCH("Amber",E97)))</formula>
    </cfRule>
    <cfRule type="containsText" dxfId="199" priority="17" operator="containsText" text="Red">
      <formula>NOT(ISERROR(SEARCH("Red",E97)))</formula>
    </cfRule>
  </conditionalFormatting>
  <conditionalFormatting sqref="E133">
    <cfRule type="containsText" dxfId="198" priority="9" operator="containsText" text="Green">
      <formula>NOT(ISERROR(SEARCH("Green",E133)))</formula>
    </cfRule>
    <cfRule type="containsText" dxfId="197" priority="10" operator="containsText" text="Amber">
      <formula>NOT(ISERROR(SEARCH("Amber",E133)))</formula>
    </cfRule>
    <cfRule type="containsText" dxfId="196" priority="11" operator="containsText" text="Red">
      <formula>NOT(ISERROR(SEARCH("Red",E133)))</formula>
    </cfRule>
  </conditionalFormatting>
  <conditionalFormatting sqref="E167">
    <cfRule type="containsText" dxfId="195" priority="3" operator="containsText" text="Green">
      <formula>NOT(ISERROR(SEARCH("Green",E167)))</formula>
    </cfRule>
    <cfRule type="containsText" dxfId="194" priority="4" operator="containsText" text="Amber">
      <formula>NOT(ISERROR(SEARCH("Amber",E167)))</formula>
    </cfRule>
    <cfRule type="containsText" dxfId="193" priority="5" operator="containsText" text="Red">
      <formula>NOT(ISERROR(SEARCH("Red",E167)))</formula>
    </cfRule>
  </conditionalFormatting>
  <conditionalFormatting sqref="H105:H107">
    <cfRule type="cellIs" dxfId="192" priority="54" operator="lessThanOrEqual">
      <formula>2.14285714285714</formula>
    </cfRule>
    <cfRule type="cellIs" dxfId="191" priority="55" operator="lessThanOrEqual">
      <formula>2.57142857142857</formula>
    </cfRule>
    <cfRule type="cellIs" dxfId="190" priority="56" operator="lessThanOrEqual">
      <formula>3</formula>
    </cfRule>
  </conditionalFormatting>
  <conditionalFormatting sqref="H141">
    <cfRule type="cellIs" dxfId="189" priority="39" operator="lessThanOrEqual">
      <formula>2.14285714285714</formula>
    </cfRule>
    <cfRule type="cellIs" dxfId="188" priority="40" operator="lessThanOrEqual">
      <formula>2.57142857142857</formula>
    </cfRule>
    <cfRule type="cellIs" dxfId="187" priority="41" operator="lessThanOrEqual">
      <formula>3</formula>
    </cfRule>
  </conditionalFormatting>
  <conditionalFormatting sqref="H175">
    <cfRule type="cellIs" dxfId="186" priority="27" operator="lessThanOrEqual">
      <formula>2.14285714285714</formula>
    </cfRule>
    <cfRule type="cellIs" dxfId="185" priority="28" operator="lessThanOrEqual">
      <formula>2.57142857142857</formula>
    </cfRule>
    <cfRule type="cellIs" dxfId="184" priority="29" operator="lessThanOrEqual">
      <formula>3</formula>
    </cfRule>
  </conditionalFormatting>
  <conditionalFormatting sqref="N111:N113">
    <cfRule type="cellIs" dxfId="183" priority="51" operator="lessThanOrEqual">
      <formula>2.14285714285714</formula>
    </cfRule>
    <cfRule type="cellIs" dxfId="182" priority="53" operator="lessThanOrEqual">
      <formula>3</formula>
    </cfRule>
    <cfRule type="cellIs" dxfId="181" priority="52" operator="lessThanOrEqual">
      <formula>2.57142857142857</formula>
    </cfRule>
  </conditionalFormatting>
  <conditionalFormatting sqref="N146:N147">
    <cfRule type="cellIs" dxfId="180" priority="42" operator="lessThanOrEqual">
      <formula>2.14285714285714</formula>
    </cfRule>
    <cfRule type="cellIs" dxfId="179" priority="43" operator="lessThanOrEqual">
      <formula>2.57142857142857</formula>
    </cfRule>
    <cfRule type="cellIs" dxfId="178" priority="44" operator="lessThanOrEqual">
      <formula>3</formula>
    </cfRule>
  </conditionalFormatting>
  <conditionalFormatting sqref="N180:N181">
    <cfRule type="cellIs" dxfId="177" priority="30" operator="lessThanOrEqual">
      <formula>2.14285714285714</formula>
    </cfRule>
    <cfRule type="cellIs" dxfId="176" priority="31" operator="lessThanOrEqual">
      <formula>2.57142857142857</formula>
    </cfRule>
    <cfRule type="cellIs" dxfId="175" priority="32" operator="lessThanOrEqual">
      <formula>3</formula>
    </cfRule>
  </conditionalFormatting>
  <dataValidations disablePrompts="1" count="1">
    <dataValidation type="list" allowBlank="1" showInputMessage="1" showErrorMessage="1" sqref="C32 C46 C98 C91:C96 C66 C59:C64 C134 C127:C132 C168 C161:C166" xr:uid="{A640F30D-2181-4243-B9BC-82A059308CA9}">
      <formula1>"High, Medium, Low"</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EAF2-9DC8-47C2-95CC-3422C2D1B450}">
  <sheetPr codeName="Sheet45">
    <tabColor theme="5" tint="0.59999389629810485"/>
  </sheetPr>
  <dimension ref="A1:W150"/>
  <sheetViews>
    <sheetView workbookViewId="0"/>
  </sheetViews>
  <sheetFormatPr defaultColWidth="9" defaultRowHeight="14.45"/>
  <cols>
    <col min="1" max="1" width="3.5" style="7" customWidth="1"/>
    <col min="2" max="3" width="40.625" style="7" customWidth="1"/>
    <col min="4" max="15" width="15.625" style="7" customWidth="1"/>
    <col min="16" max="16" width="9" style="7"/>
    <col min="17" max="17" width="16.625" style="7" customWidth="1"/>
    <col min="18" max="18" width="18.5" style="7" customWidth="1"/>
    <col min="19" max="16384" width="9" style="7"/>
  </cols>
  <sheetData>
    <row r="1" spans="1:8" ht="15" thickBot="1"/>
    <row r="2" spans="1:8" s="732" customFormat="1" ht="18.95" thickBot="1">
      <c r="A2" s="730"/>
      <c r="B2" s="753" t="s">
        <v>433</v>
      </c>
      <c r="C2" s="733"/>
      <c r="D2" s="733"/>
    </row>
    <row r="4" spans="1:8" s="734" customFormat="1" ht="18.600000000000001">
      <c r="A4" s="735"/>
      <c r="B4" s="713" t="s">
        <v>893</v>
      </c>
      <c r="C4" s="735"/>
      <c r="D4" s="735"/>
      <c r="E4" s="735"/>
      <c r="F4" s="735"/>
      <c r="G4" s="735"/>
      <c r="H4" s="735"/>
    </row>
    <row r="5" spans="1:8" ht="57" customHeight="1">
      <c r="A5" s="737"/>
      <c r="B5" s="1152" t="s">
        <v>3277</v>
      </c>
      <c r="C5" s="1152"/>
      <c r="D5" s="1152"/>
      <c r="E5" s="1152"/>
      <c r="F5" s="1152"/>
      <c r="G5" s="1152"/>
      <c r="H5" s="1152"/>
    </row>
    <row r="7" spans="1:8" s="754" customFormat="1" ht="18.600000000000001">
      <c r="A7" s="755"/>
      <c r="B7" s="755" t="s">
        <v>895</v>
      </c>
      <c r="C7" s="755"/>
      <c r="D7" s="755"/>
      <c r="E7" s="755"/>
      <c r="F7" s="755"/>
      <c r="G7" s="755"/>
      <c r="H7" s="755"/>
    </row>
    <row r="9" spans="1:8">
      <c r="D9" s="397" t="s">
        <v>479</v>
      </c>
      <c r="E9" s="397"/>
      <c r="F9" s="397"/>
      <c r="G9" s="397"/>
    </row>
    <row r="10" spans="1:8" ht="29.1">
      <c r="B10" s="399" t="s">
        <v>104</v>
      </c>
      <c r="C10" s="399" t="s">
        <v>711</v>
      </c>
      <c r="D10" s="719" t="s">
        <v>460</v>
      </c>
      <c r="E10" s="719" t="s">
        <v>1378</v>
      </c>
      <c r="F10" s="719" t="s">
        <v>3258</v>
      </c>
      <c r="G10" s="719" t="s">
        <v>465</v>
      </c>
    </row>
    <row r="11" spans="1:8">
      <c r="B11" s="276" t="s">
        <v>662</v>
      </c>
      <c r="C11" s="276" t="s">
        <v>434</v>
      </c>
      <c r="D11" s="793" t="str" cm="1">
        <f t="array" ref="D11">_xlfn.XLOOKUP(1,($B11=$B$23:$B$25)*(D$10=$C$23:$C$25),$G$23:$G$25,"Not found",0,1)</f>
        <v>LG(H)</v>
      </c>
      <c r="E11" s="793" cm="1">
        <f t="array" ref="E11">_xlfn.XLOOKUP(1,($B11=$B$73:$B$74)*(E$10=$C$73:$C$74),$G$73:$G$74,"Not found",0,1)</f>
        <v>-38067.650043417394</v>
      </c>
      <c r="F11" s="793" cm="1">
        <f t="array" ref="F11">_xlfn.XLOOKUP(1,($B11=$B$107:$B$107)*(F$10=$C$107:$C$107),$G$107,"Not found",0,1)</f>
        <v>-1408.6890043300893</v>
      </c>
      <c r="G11" s="793" cm="1">
        <f t="array" ref="G11">_xlfn.XLOOKUP(1,($B11=$B$142:$B$144)*(G$10=$C$142:$C$144),$G$142:$G$144,"Not found",0,1)</f>
        <v>-1540.2836177239146</v>
      </c>
    </row>
    <row r="12" spans="1:8">
      <c r="B12" s="276" t="s">
        <v>663</v>
      </c>
      <c r="C12" s="276" t="s">
        <v>434</v>
      </c>
      <c r="D12" s="793" t="str" cm="1">
        <f t="array" ref="D12">_xlfn.XLOOKUP(1,($B12=$B$23:$B$25)*(D$10=$C$23:$C$25),$G$23:$G$25,"Not found",0,1)</f>
        <v>LG(H)</v>
      </c>
      <c r="E12" s="793" cm="1">
        <f t="array" ref="E12">_xlfn.XLOOKUP(1,($B12=$B$73:$B$74)*(E$10=$C$73:$C$74),$G$73:$G$74,"Not found",0,1)</f>
        <v>-60802.307996370291</v>
      </c>
      <c r="F12" s="793"/>
      <c r="G12" s="793" cm="1">
        <f t="array" ref="G12">_xlfn.XLOOKUP(1,($B12=$B$142:$B$144)*(G$10=$C$142:$C$144),$G$142:$G$144,"Not found",0,1)</f>
        <v>-16851.630206603542</v>
      </c>
    </row>
    <row r="13" spans="1:8">
      <c r="B13" s="276" t="s">
        <v>664</v>
      </c>
      <c r="C13" s="276" t="s">
        <v>434</v>
      </c>
      <c r="D13" s="793" t="str" cm="1">
        <f t="array" ref="D13">_xlfn.XLOOKUP(1,($B13=$B$23:$B$25)*(D$10=$C$23:$C$25),$G$23:$G$25,"Not found",0,1)</f>
        <v>LG(H)</v>
      </c>
      <c r="E13" s="793"/>
      <c r="F13" s="793"/>
      <c r="G13" s="793" cm="1">
        <f t="array" ref="G13">_xlfn.XLOOKUP(1,($B13=$B$142:$B$144)*(G$10=$C$142:$C$144),$G$142:$G$144,"Not found",0,1)</f>
        <v>-1963.8929446487991</v>
      </c>
    </row>
    <row r="14" spans="1:8">
      <c r="B14" s="800" t="s">
        <v>896</v>
      </c>
    </row>
    <row r="16" spans="1:8">
      <c r="A16" s="739"/>
      <c r="B16" s="740" t="s">
        <v>460</v>
      </c>
      <c r="C16" s="739"/>
      <c r="D16" s="739"/>
      <c r="E16" s="739"/>
      <c r="F16" s="739"/>
      <c r="G16" s="739"/>
      <c r="H16" s="739"/>
    </row>
    <row r="17" spans="1:10">
      <c r="A17" s="741"/>
      <c r="B17" s="742" t="s">
        <v>897</v>
      </c>
      <c r="C17" s="741"/>
      <c r="D17" s="741"/>
      <c r="E17" s="741"/>
      <c r="F17" s="741"/>
      <c r="G17" s="741"/>
      <c r="H17" s="741"/>
    </row>
    <row r="18" spans="1:10">
      <c r="B18" s="398" t="s">
        <v>898</v>
      </c>
      <c r="C18" s="398" t="s">
        <v>899</v>
      </c>
    </row>
    <row r="19" spans="1:10">
      <c r="B19" s="276" t="s">
        <v>460</v>
      </c>
      <c r="C19" s="276" t="s">
        <v>3278</v>
      </c>
    </row>
    <row r="20" spans="1:10">
      <c r="B20" s="29"/>
    </row>
    <row r="21" spans="1:10">
      <c r="A21" s="741"/>
      <c r="B21" s="743" t="s">
        <v>901</v>
      </c>
      <c r="C21" s="741"/>
      <c r="D21" s="741"/>
      <c r="E21" s="741"/>
      <c r="F21" s="741"/>
      <c r="G21" s="741"/>
      <c r="H21" s="741"/>
    </row>
    <row r="22" spans="1:10" ht="29.1">
      <c r="B22" s="719" t="s">
        <v>902</v>
      </c>
      <c r="C22" s="719" t="s">
        <v>898</v>
      </c>
      <c r="D22" s="719" t="s">
        <v>899</v>
      </c>
      <c r="E22" s="719" t="s">
        <v>903</v>
      </c>
      <c r="F22" s="719" t="s">
        <v>904</v>
      </c>
      <c r="G22" s="719" t="s">
        <v>905</v>
      </c>
      <c r="H22" s="719" t="s">
        <v>924</v>
      </c>
      <c r="I22" s="719" t="s">
        <v>956</v>
      </c>
      <c r="J22" s="719" t="s">
        <v>927</v>
      </c>
    </row>
    <row r="23" spans="1:10">
      <c r="B23" s="373" t="s">
        <v>662</v>
      </c>
      <c r="C23" s="373" t="s">
        <v>460</v>
      </c>
      <c r="D23" s="276" t="s">
        <v>3278</v>
      </c>
      <c r="E23" s="373" t="s">
        <v>477</v>
      </c>
      <c r="F23" s="340" t="s">
        <v>907</v>
      </c>
      <c r="G23" s="373" t="s">
        <v>477</v>
      </c>
      <c r="H23" s="630" t="s">
        <v>907</v>
      </c>
      <c r="I23" s="630" t="s">
        <v>907</v>
      </c>
      <c r="J23" s="630" t="s">
        <v>907</v>
      </c>
    </row>
    <row r="24" spans="1:10">
      <c r="B24" s="373" t="s">
        <v>663</v>
      </c>
      <c r="C24" s="373" t="s">
        <v>460</v>
      </c>
      <c r="D24" s="276" t="s">
        <v>3278</v>
      </c>
      <c r="E24" s="373" t="s">
        <v>477</v>
      </c>
      <c r="F24" s="340" t="s">
        <v>907</v>
      </c>
      <c r="G24" s="373" t="s">
        <v>477</v>
      </c>
      <c r="H24" s="630" t="s">
        <v>907</v>
      </c>
      <c r="I24" s="630" t="s">
        <v>907</v>
      </c>
      <c r="J24" s="630" t="s">
        <v>907</v>
      </c>
    </row>
    <row r="25" spans="1:10">
      <c r="B25" s="373" t="s">
        <v>664</v>
      </c>
      <c r="C25" s="373" t="s">
        <v>460</v>
      </c>
      <c r="D25" s="276" t="s">
        <v>3278</v>
      </c>
      <c r="E25" s="373" t="s">
        <v>477</v>
      </c>
      <c r="F25" s="340" t="s">
        <v>907</v>
      </c>
      <c r="G25" s="373" t="s">
        <v>477</v>
      </c>
      <c r="H25" s="630" t="s">
        <v>907</v>
      </c>
      <c r="I25" s="630" t="s">
        <v>907</v>
      </c>
      <c r="J25" s="630" t="s">
        <v>907</v>
      </c>
    </row>
    <row r="27" spans="1:10">
      <c r="A27" s="739"/>
      <c r="B27" s="740" t="s">
        <v>1378</v>
      </c>
      <c r="C27" s="739"/>
      <c r="D27" s="739"/>
      <c r="E27" s="739"/>
      <c r="F27" s="739"/>
      <c r="G27" s="739"/>
      <c r="H27" s="739"/>
    </row>
    <row r="28" spans="1:10">
      <c r="A28" s="741"/>
      <c r="B28" s="742" t="s">
        <v>897</v>
      </c>
      <c r="C28" s="741"/>
      <c r="D28" s="741"/>
      <c r="E28" s="741"/>
      <c r="F28" s="741"/>
      <c r="G28" s="741"/>
      <c r="H28" s="741"/>
    </row>
    <row r="29" spans="1:10">
      <c r="B29" s="398" t="s">
        <v>898</v>
      </c>
      <c r="C29" s="398" t="s">
        <v>899</v>
      </c>
    </row>
    <row r="30" spans="1:10">
      <c r="B30" s="276" t="s">
        <v>462</v>
      </c>
      <c r="C30" s="276" t="s">
        <v>3279</v>
      </c>
    </row>
    <row r="31" spans="1:10">
      <c r="B31" s="29"/>
    </row>
    <row r="32" spans="1:10">
      <c r="A32" s="741"/>
      <c r="B32" s="743" t="s">
        <v>957</v>
      </c>
      <c r="C32" s="741"/>
      <c r="D32" s="741"/>
      <c r="E32" s="741"/>
      <c r="F32" s="741"/>
      <c r="G32" s="741"/>
      <c r="H32" s="741"/>
    </row>
    <row r="33" spans="1:8">
      <c r="A33" s="744"/>
      <c r="B33" s="745" t="s">
        <v>912</v>
      </c>
      <c r="C33" s="744"/>
      <c r="D33" s="744"/>
      <c r="E33" s="744"/>
      <c r="F33" s="744"/>
      <c r="G33" s="744"/>
      <c r="H33" s="744"/>
    </row>
    <row r="34" spans="1:8" ht="29.1">
      <c r="B34" s="719" t="s">
        <v>913</v>
      </c>
      <c r="C34" s="719" t="s">
        <v>914</v>
      </c>
      <c r="D34" s="719" t="s">
        <v>915</v>
      </c>
      <c r="E34" s="719" t="s">
        <v>916</v>
      </c>
      <c r="F34" s="719" t="s">
        <v>917</v>
      </c>
      <c r="G34" s="719" t="s">
        <v>918</v>
      </c>
      <c r="H34" s="719" t="s">
        <v>919</v>
      </c>
    </row>
    <row r="35" spans="1:8">
      <c r="B35" s="276">
        <v>5</v>
      </c>
      <c r="C35" s="276" t="s">
        <v>3280</v>
      </c>
      <c r="D35" s="340" t="s">
        <v>907</v>
      </c>
      <c r="E35" s="276">
        <v>2021</v>
      </c>
      <c r="F35" s="276" t="s">
        <v>1047</v>
      </c>
      <c r="G35" s="276" t="s">
        <v>1868</v>
      </c>
      <c r="H35" s="276" t="s">
        <v>923</v>
      </c>
    </row>
    <row r="36" spans="1:8">
      <c r="B36" s="29"/>
    </row>
    <row r="37" spans="1:8">
      <c r="A37" s="744"/>
      <c r="B37" s="745" t="s">
        <v>924</v>
      </c>
      <c r="C37" s="744"/>
      <c r="D37" s="744"/>
      <c r="E37" s="744"/>
      <c r="F37" s="744"/>
      <c r="G37" s="744"/>
      <c r="H37" s="744"/>
    </row>
    <row r="38" spans="1:8">
      <c r="B38" s="398" t="s">
        <v>165</v>
      </c>
      <c r="C38" s="398" t="s">
        <v>995</v>
      </c>
      <c r="D38" s="398" t="s">
        <v>926</v>
      </c>
      <c r="E38" s="1139" t="s">
        <v>927</v>
      </c>
      <c r="F38" s="1139"/>
      <c r="G38" s="1139"/>
      <c r="H38" s="1139"/>
    </row>
    <row r="39" spans="1:8">
      <c r="B39" s="276" t="s">
        <v>169</v>
      </c>
      <c r="C39" s="276" t="s">
        <v>166</v>
      </c>
      <c r="D39" s="278">
        <f>VLOOKUP(C39,METHODOLOGY!$C$175:$D$177,2,FALSE)</f>
        <v>3</v>
      </c>
      <c r="E39" s="1087" t="str">
        <f>_xlfn.XLOOKUP(C39,METHODOLOGY!$E$150:$O$150,METHODOLOGY!$E$151:$O$151,"",0,1)</f>
        <v>Monetary values have been peer reviewed or are recommended / referenced in other, well recognised and accepted guidance / tools relevant to the water sector.</v>
      </c>
      <c r="F39" s="1087"/>
      <c r="G39" s="1087"/>
      <c r="H39" s="1087"/>
    </row>
    <row r="40" spans="1:8">
      <c r="B40" s="276" t="s">
        <v>173</v>
      </c>
      <c r="C40" s="276" t="s">
        <v>166</v>
      </c>
      <c r="D40" s="278">
        <f>VLOOKUP(C40,METHODOLOGY!$C$175:$D$177,2,FALSE)</f>
        <v>3</v>
      </c>
      <c r="E40" s="1087" t="str">
        <f>_xlfn.XLOOKUP(C40,METHODOLOGY!$E$150:$O$150,METHODOLOGY!$E$155:$O$155,"",0,1)</f>
        <v>Study has few limitations and is considered robust.</v>
      </c>
      <c r="F40" s="1087"/>
      <c r="G40" s="1087"/>
      <c r="H40" s="1087"/>
    </row>
    <row r="41" spans="1:8">
      <c r="B41" s="276" t="s">
        <v>177</v>
      </c>
      <c r="C41" s="276" t="s">
        <v>166</v>
      </c>
      <c r="D41" s="278">
        <f>VLOOKUP(C41,METHODOLOGY!$C$175:$D$177,2,FALSE)</f>
        <v>3</v>
      </c>
      <c r="E41" s="1087" t="str">
        <f>_xlfn.XLOOKUP(C41,METHODOLOGY!$E$150:$O$150,METHODOLOGY!$E$158:$O$158,"",0,1)</f>
        <v>0 – 5 years</v>
      </c>
      <c r="F41" s="1087"/>
      <c r="G41" s="1087"/>
      <c r="H41" s="1087"/>
    </row>
    <row r="42" spans="1:8">
      <c r="B42" s="276" t="s">
        <v>181</v>
      </c>
      <c r="C42" s="276" t="s">
        <v>166</v>
      </c>
      <c r="D42" s="278">
        <f>VLOOKUP(C42,METHODOLOGY!$C$175:$D$177,2,FALSE)</f>
        <v>3</v>
      </c>
      <c r="E42" s="1087" t="str">
        <f>_xlfn.XLOOKUP(C42,METHODOLOGY!$E$150:$O$150,METHODOLOGY!$E$160:$O$160,"",0,1)</f>
        <v>Geographically relevant to UK</v>
      </c>
      <c r="F42" s="1087"/>
      <c r="G42" s="1087"/>
      <c r="H42" s="1087"/>
    </row>
    <row r="43" spans="1:8">
      <c r="B43" s="276" t="s">
        <v>928</v>
      </c>
      <c r="C43" s="276" t="s">
        <v>166</v>
      </c>
      <c r="D43" s="278">
        <f>VLOOKUP(C43,METHODOLOGY!$C$175:$D$177,2,FALSE)</f>
        <v>3</v>
      </c>
      <c r="E43" s="1087" t="str">
        <f>_xlfn.XLOOKUP(C43,METHODOLOGY!$E$150:$O$150,METHODOLOGY!$E$162:$O$162,"",0,1)</f>
        <v>Clear understanding of the valuation method and how the value should be applied.</v>
      </c>
      <c r="F43" s="1087"/>
      <c r="G43" s="1087"/>
      <c r="H43" s="1087"/>
    </row>
    <row r="44" spans="1:8">
      <c r="B44" s="276" t="s">
        <v>189</v>
      </c>
      <c r="C44" s="276" t="s">
        <v>166</v>
      </c>
      <c r="D44" s="278">
        <f>VLOOKUP(C44,METHODOLOGY!$C$175:$D$177,2,FALSE)</f>
        <v>3</v>
      </c>
      <c r="E44" s="1087" t="str">
        <f>_xlfn.XLOOKUP(C44,METHODOLOGY!$E$150:$O$150,METHODOLOGY!$E$164:$O$164,"",0,1)</f>
        <v xml:space="preserve">The original valuation can be used with no or very simple modification e.g. change units from ha to km2, applying inflation. </v>
      </c>
      <c r="F44" s="1087"/>
      <c r="G44" s="1087"/>
      <c r="H44" s="1087"/>
    </row>
    <row r="45" spans="1:8">
      <c r="C45" s="282" t="s">
        <v>924</v>
      </c>
      <c r="D45" s="326">
        <f>IF(AND(D44=1,AVERAGE(D39:D44)&gt;2.14285714285714),2.14285714285714,IF(AND(D44=2,AVERAGE(D39:D44)&gt;2.57142857142857),2.57142857142857,AVERAGE(D39:D44)))</f>
        <v>3</v>
      </c>
      <c r="E45" s="270" t="str">
        <f>IF(D45&lt;=2.14285714285714,"Red",IF(D45&lt;=2.57142857142857,"Amber",IF(D45&lt;=3,"Green")))</f>
        <v>Green</v>
      </c>
    </row>
    <row r="48" spans="1:8">
      <c r="A48" s="744"/>
      <c r="B48" s="745" t="s">
        <v>929</v>
      </c>
      <c r="C48" s="744"/>
      <c r="D48" s="744"/>
      <c r="E48" s="744"/>
      <c r="F48" s="744"/>
      <c r="G48" s="744"/>
      <c r="H48" s="744"/>
    </row>
    <row r="49" spans="1:9">
      <c r="B49" s="398" t="s">
        <v>913</v>
      </c>
      <c r="C49" s="398" t="s">
        <v>331</v>
      </c>
      <c r="D49" s="1145" t="s">
        <v>930</v>
      </c>
      <c r="E49" s="1145"/>
      <c r="F49" s="1145"/>
      <c r="G49" s="1145"/>
      <c r="H49" s="1145"/>
      <c r="I49" s="1145"/>
    </row>
    <row r="50" spans="1:9" ht="161.25" customHeight="1">
      <c r="B50" s="338">
        <v>5</v>
      </c>
      <c r="C50" s="339">
        <v>33800</v>
      </c>
      <c r="D50" s="1140" t="s">
        <v>3281</v>
      </c>
      <c r="E50" s="1141"/>
      <c r="F50" s="1141"/>
      <c r="G50" s="1141"/>
      <c r="H50" s="1141"/>
      <c r="I50" s="1141"/>
    </row>
    <row r="52" spans="1:9">
      <c r="A52" s="741"/>
      <c r="B52" s="743" t="s">
        <v>960</v>
      </c>
      <c r="C52" s="741"/>
      <c r="D52" s="741"/>
      <c r="E52" s="741"/>
      <c r="F52" s="741"/>
      <c r="G52" s="741"/>
      <c r="H52" s="741"/>
    </row>
    <row r="53" spans="1:9">
      <c r="A53" s="744"/>
      <c r="B53" s="745" t="s">
        <v>912</v>
      </c>
      <c r="C53" s="744"/>
      <c r="D53" s="744"/>
      <c r="E53" s="744"/>
      <c r="F53" s="744"/>
      <c r="G53" s="744"/>
      <c r="H53" s="744"/>
    </row>
    <row r="54" spans="1:9" ht="29.1">
      <c r="B54" s="719" t="s">
        <v>913</v>
      </c>
      <c r="C54" s="719" t="s">
        <v>914</v>
      </c>
      <c r="D54" s="719" t="s">
        <v>915</v>
      </c>
      <c r="E54" s="719" t="s">
        <v>916</v>
      </c>
      <c r="F54" s="719" t="s">
        <v>917</v>
      </c>
      <c r="G54" s="719" t="s">
        <v>918</v>
      </c>
      <c r="H54" s="719" t="s">
        <v>919</v>
      </c>
    </row>
    <row r="55" spans="1:9">
      <c r="B55" s="276">
        <v>6</v>
      </c>
      <c r="C55" s="276" t="s">
        <v>3249</v>
      </c>
      <c r="D55" s="276" t="s">
        <v>717</v>
      </c>
      <c r="E55" s="276">
        <v>2024</v>
      </c>
      <c r="F55" s="276" t="s">
        <v>1047</v>
      </c>
      <c r="G55" s="276" t="s">
        <v>1868</v>
      </c>
      <c r="H55" s="276" t="s">
        <v>906</v>
      </c>
    </row>
    <row r="56" spans="1:9">
      <c r="B56" s="29"/>
    </row>
    <row r="57" spans="1:9">
      <c r="A57" s="744"/>
      <c r="B57" s="745" t="s">
        <v>924</v>
      </c>
      <c r="C57" s="744"/>
      <c r="D57" s="744"/>
      <c r="E57" s="744"/>
      <c r="F57" s="744"/>
      <c r="G57" s="744"/>
      <c r="H57" s="744"/>
    </row>
    <row r="58" spans="1:9">
      <c r="B58" s="398" t="s">
        <v>165</v>
      </c>
      <c r="C58" s="398" t="s">
        <v>995</v>
      </c>
      <c r="D58" s="398" t="s">
        <v>926</v>
      </c>
      <c r="E58" s="1139" t="s">
        <v>927</v>
      </c>
      <c r="F58" s="1139"/>
      <c r="G58" s="1139"/>
      <c r="H58" s="1139"/>
    </row>
    <row r="59" spans="1:9">
      <c r="B59" s="276" t="s">
        <v>169</v>
      </c>
      <c r="C59" s="276" t="s">
        <v>166</v>
      </c>
      <c r="D59" s="278">
        <f>VLOOKUP(C59,METHODOLOGY!$C$175:$D$177,2,FALSE)</f>
        <v>3</v>
      </c>
      <c r="E59" s="1087" t="str">
        <f>_xlfn.XLOOKUP(C59,METHODOLOGY!$E$150:$O$150,METHODOLOGY!$E$151:$O$151,"",0,1)</f>
        <v>Monetary values have been peer reviewed or are recommended / referenced in other, well recognised and accepted guidance / tools relevant to the water sector.</v>
      </c>
      <c r="F59" s="1087"/>
      <c r="G59" s="1087"/>
      <c r="H59" s="1087"/>
    </row>
    <row r="60" spans="1:9">
      <c r="B60" s="276" t="s">
        <v>173</v>
      </c>
      <c r="C60" s="276" t="s">
        <v>166</v>
      </c>
      <c r="D60" s="278">
        <f>VLOOKUP(C60,METHODOLOGY!$C$175:$D$177,2,FALSE)</f>
        <v>3</v>
      </c>
      <c r="E60" s="1087" t="str">
        <f>_xlfn.XLOOKUP(C60,METHODOLOGY!$E$150:$O$150,METHODOLOGY!$E$155:$O$155,"",0,1)</f>
        <v>Study has few limitations and is considered robust.</v>
      </c>
      <c r="F60" s="1087"/>
      <c r="G60" s="1087"/>
      <c r="H60" s="1087"/>
    </row>
    <row r="61" spans="1:9">
      <c r="B61" s="276" t="s">
        <v>177</v>
      </c>
      <c r="C61" s="276" t="s">
        <v>166</v>
      </c>
      <c r="D61" s="278">
        <f>VLOOKUP(C61,METHODOLOGY!$C$175:$D$177,2,FALSE)</f>
        <v>3</v>
      </c>
      <c r="E61" s="1087" t="str">
        <f>_xlfn.XLOOKUP(C61,METHODOLOGY!$E$150:$O$150,METHODOLOGY!$E$158:$O$158,"",0,1)</f>
        <v>0 – 5 years</v>
      </c>
      <c r="F61" s="1087"/>
      <c r="G61" s="1087"/>
      <c r="H61" s="1087"/>
    </row>
    <row r="62" spans="1:9">
      <c r="B62" s="276" t="s">
        <v>181</v>
      </c>
      <c r="C62" s="276" t="s">
        <v>166</v>
      </c>
      <c r="D62" s="278">
        <f>VLOOKUP(C62,METHODOLOGY!$C$175:$D$177,2,FALSE)</f>
        <v>3</v>
      </c>
      <c r="E62" s="1087" t="str">
        <f>_xlfn.XLOOKUP(C62,METHODOLOGY!$E$150:$O$150,METHODOLOGY!$E$160:$O$160,"",0,1)</f>
        <v>Geographically relevant to UK</v>
      </c>
      <c r="F62" s="1087"/>
      <c r="G62" s="1087"/>
      <c r="H62" s="1087"/>
    </row>
    <row r="63" spans="1:9">
      <c r="B63" s="276" t="s">
        <v>928</v>
      </c>
      <c r="C63" s="276" t="s">
        <v>166</v>
      </c>
      <c r="D63" s="278">
        <f>VLOOKUP(C63,METHODOLOGY!$C$175:$D$177,2,FALSE)</f>
        <v>3</v>
      </c>
      <c r="E63" s="1087" t="str">
        <f>_xlfn.XLOOKUP(C63,METHODOLOGY!$E$150:$O$150,METHODOLOGY!$E$162:$O$162,"",0,1)</f>
        <v>Clear understanding of the valuation method and how the value should be applied.</v>
      </c>
      <c r="F63" s="1087"/>
      <c r="G63" s="1087"/>
      <c r="H63" s="1087"/>
    </row>
    <row r="64" spans="1:9">
      <c r="B64" s="276" t="s">
        <v>189</v>
      </c>
      <c r="C64" s="276" t="s">
        <v>166</v>
      </c>
      <c r="D64" s="278">
        <f>VLOOKUP(C64,METHODOLOGY!$C$175:$D$177,2,FALSE)</f>
        <v>3</v>
      </c>
      <c r="E64" s="1087" t="str">
        <f>_xlfn.XLOOKUP(C64,METHODOLOGY!$E$150:$O$150,METHODOLOGY!$E$164:$O$164,"",0,1)</f>
        <v xml:space="preserve">The original valuation can be used with no or very simple modification e.g. change units from ha to km2, applying inflation. </v>
      </c>
      <c r="F64" s="1087"/>
      <c r="G64" s="1087"/>
      <c r="H64" s="1087"/>
    </row>
    <row r="65" spans="1:23">
      <c r="C65" s="282" t="s">
        <v>924</v>
      </c>
      <c r="D65" s="326">
        <f>IF(AND(D64=1,AVERAGE(D59:D64)&gt;2.14285714285714),2.14285714285714,IF(AND(D64=2,AVERAGE(D59:D64)&gt;2.57142857142857),2.57142857142857,AVERAGE(D59:D64)))</f>
        <v>3</v>
      </c>
      <c r="E65" s="270" t="str">
        <f>IF(D65&lt;=2.14285714285714,"Red",IF(D65&lt;=2.57142857142857,"Amber",IF(D65&lt;=3,"Green")))</f>
        <v>Green</v>
      </c>
    </row>
    <row r="67" spans="1:23">
      <c r="A67" s="744"/>
      <c r="B67" s="745" t="s">
        <v>929</v>
      </c>
      <c r="C67" s="744"/>
      <c r="D67" s="744"/>
      <c r="E67" s="744"/>
      <c r="F67" s="744"/>
      <c r="G67" s="744"/>
      <c r="H67" s="744"/>
    </row>
    <row r="68" spans="1:23">
      <c r="B68" s="398" t="s">
        <v>913</v>
      </c>
      <c r="C68" s="398" t="s">
        <v>331</v>
      </c>
      <c r="D68" s="1145" t="s">
        <v>930</v>
      </c>
      <c r="E68" s="1145"/>
      <c r="F68" s="1145"/>
      <c r="G68" s="1145"/>
      <c r="H68" s="1145"/>
      <c r="I68" s="1145"/>
    </row>
    <row r="69" spans="1:23" ht="39.75" customHeight="1">
      <c r="B69" s="342">
        <v>6</v>
      </c>
      <c r="C69" s="339">
        <v>61729.3</v>
      </c>
      <c r="D69" s="1140" t="s">
        <v>3282</v>
      </c>
      <c r="E69" s="1141"/>
      <c r="F69" s="1141"/>
      <c r="G69" s="1141"/>
      <c r="H69" s="1141"/>
      <c r="I69" s="1141"/>
    </row>
    <row r="71" spans="1:23">
      <c r="A71" s="741"/>
      <c r="B71" s="743" t="s">
        <v>901</v>
      </c>
      <c r="C71" s="741"/>
      <c r="D71" s="741"/>
      <c r="E71" s="741"/>
      <c r="F71" s="741"/>
      <c r="G71" s="741"/>
      <c r="H71" s="741"/>
    </row>
    <row r="72" spans="1:23" ht="29.1">
      <c r="B72" s="719" t="s">
        <v>902</v>
      </c>
      <c r="C72" s="719" t="s">
        <v>898</v>
      </c>
      <c r="D72" s="719" t="s">
        <v>899</v>
      </c>
      <c r="E72" s="719" t="s">
        <v>903</v>
      </c>
      <c r="F72" s="719" t="s">
        <v>904</v>
      </c>
      <c r="G72" s="719" t="s">
        <v>905</v>
      </c>
      <c r="H72" s="752" t="s">
        <v>924</v>
      </c>
      <c r="I72" s="752" t="s">
        <v>956</v>
      </c>
      <c r="J72" s="752" t="s">
        <v>927</v>
      </c>
    </row>
    <row r="73" spans="1:23">
      <c r="B73" s="276" t="s">
        <v>662</v>
      </c>
      <c r="C73" s="276" t="s">
        <v>1378</v>
      </c>
      <c r="D73" s="373" t="str">
        <f>C30</f>
        <v>Increased earning leads to increased spending power, boosting local economy</v>
      </c>
      <c r="E73" s="373" t="s">
        <v>911</v>
      </c>
      <c r="F73" s="276" t="str" cm="1">
        <f t="array" ref="F73">_xlfn.XLOOKUP(1,($D$78:$D$79=B73)*($E$78:$E$79=C73),$B$78:$B$79,"Not found",0,1)</f>
        <v>40-1</v>
      </c>
      <c r="G73" s="633">
        <f>VLOOKUP(F73,B77:L79,11,FALSE)</f>
        <v>-38067.650043417394</v>
      </c>
      <c r="H73" s="326">
        <f>$D$45</f>
        <v>3</v>
      </c>
      <c r="I73" s="1178" t="s">
        <v>3168</v>
      </c>
      <c r="J73" s="1178" t="s">
        <v>3283</v>
      </c>
    </row>
    <row r="74" spans="1:23">
      <c r="B74" s="276" t="s">
        <v>663</v>
      </c>
      <c r="C74" s="276" t="s">
        <v>1378</v>
      </c>
      <c r="D74" s="373" t="str">
        <f>D73</f>
        <v>Increased earning leads to increased spending power, boosting local economy</v>
      </c>
      <c r="E74" s="373" t="s">
        <v>943</v>
      </c>
      <c r="F74" s="276" t="str" cm="1">
        <f t="array" ref="F74">_xlfn.XLOOKUP(1,($D$78:$D$79=B74)*($E$78:$E$79=C74),$B$78:$B$79,"Not found",0,1)</f>
        <v>40-2</v>
      </c>
      <c r="G74" s="633">
        <f>VLOOKUP(F74,B78:L80,11,FALSE)</f>
        <v>-60802.307996370291</v>
      </c>
      <c r="H74" s="326">
        <f>D65</f>
        <v>3</v>
      </c>
      <c r="I74" s="1178"/>
      <c r="J74" s="1178"/>
    </row>
    <row r="75" spans="1:23">
      <c r="B75" s="30"/>
    </row>
    <row r="76" spans="1:23">
      <c r="A76" s="744"/>
      <c r="B76" s="745" t="s">
        <v>962</v>
      </c>
      <c r="C76" s="744"/>
      <c r="D76" s="744"/>
      <c r="E76" s="744"/>
      <c r="F76" s="744"/>
      <c r="G76" s="744"/>
      <c r="H76" s="744"/>
    </row>
    <row r="77" spans="1:23">
      <c r="B77" s="398" t="s">
        <v>904</v>
      </c>
      <c r="C77" s="398" t="s">
        <v>62</v>
      </c>
      <c r="D77" s="398" t="s">
        <v>902</v>
      </c>
      <c r="E77" s="398" t="s">
        <v>898</v>
      </c>
      <c r="F77" s="398" t="s">
        <v>916</v>
      </c>
      <c r="G77" s="398" t="s">
        <v>963</v>
      </c>
      <c r="H77" s="398" t="s">
        <v>964</v>
      </c>
      <c r="I77" s="398" t="s">
        <v>965</v>
      </c>
      <c r="J77" s="398" t="s">
        <v>966</v>
      </c>
      <c r="K77" s="398" t="s">
        <v>967</v>
      </c>
      <c r="L77" s="398" t="s">
        <v>968</v>
      </c>
      <c r="M77" s="398" t="s">
        <v>956</v>
      </c>
      <c r="N77" s="398" t="s">
        <v>969</v>
      </c>
      <c r="O77" s="398" t="s">
        <v>970</v>
      </c>
      <c r="P77" s="398" t="s">
        <v>927</v>
      </c>
      <c r="Q77" s="398" t="s">
        <v>913</v>
      </c>
      <c r="R77" s="398" t="s">
        <v>914</v>
      </c>
      <c r="S77" s="398" t="s">
        <v>915</v>
      </c>
      <c r="T77" s="398" t="s">
        <v>916</v>
      </c>
      <c r="U77" s="398" t="s">
        <v>917</v>
      </c>
      <c r="V77" s="398" t="s">
        <v>918</v>
      </c>
      <c r="W77" s="398" t="s">
        <v>919</v>
      </c>
    </row>
    <row r="78" spans="1:23">
      <c r="B78" s="372" t="s">
        <v>3284</v>
      </c>
      <c r="C78" s="340" t="s">
        <v>433</v>
      </c>
      <c r="D78" s="276" t="s">
        <v>662</v>
      </c>
      <c r="E78" s="276" t="s">
        <v>1378</v>
      </c>
      <c r="F78" s="373">
        <v>2021</v>
      </c>
      <c r="G78" s="276">
        <f>E35</f>
        <v>2021</v>
      </c>
      <c r="H78" s="276">
        <f>'COMPANY INPUT'!$C$16</f>
        <v>2023</v>
      </c>
      <c r="I78" s="276">
        <f>VLOOKUP(G78,'GDP Deflators'!$H$13:$I$86,2,FALSE)</f>
        <v>88.789299999999997</v>
      </c>
      <c r="J78" s="276">
        <f>VLOOKUP(H78,'GDP Deflators'!$H$13:$I$86,2,FALSE)</f>
        <v>100</v>
      </c>
      <c r="K78" s="465">
        <f>-C50</f>
        <v>-33800</v>
      </c>
      <c r="L78" s="747">
        <f>K78*(J78/I78)</f>
        <v>-38067.650043417394</v>
      </c>
      <c r="M78" s="276" t="str">
        <f>$I$73</f>
        <v>GVA</v>
      </c>
      <c r="N78" s="326">
        <f>H73</f>
        <v>3</v>
      </c>
      <c r="O78" s="276" t="s">
        <v>718</v>
      </c>
      <c r="P78" s="276" t="str">
        <f>$J$73</f>
        <v>Best available</v>
      </c>
      <c r="Q78" s="373">
        <f t="shared" ref="Q78:W78" si="0">B35</f>
        <v>5</v>
      </c>
      <c r="R78" s="373" t="str">
        <f t="shared" si="0"/>
        <v>St Martin's Group (2021) The real costs and benefits of apprenticeships - Technical data report</v>
      </c>
      <c r="S78" s="373" t="str">
        <f t="shared" si="0"/>
        <v>/</v>
      </c>
      <c r="T78" s="373">
        <f t="shared" si="0"/>
        <v>2021</v>
      </c>
      <c r="U78" s="373" t="str">
        <f t="shared" si="0"/>
        <v>UK</v>
      </c>
      <c r="V78" s="373" t="str">
        <f t="shared" si="0"/>
        <v>National average</v>
      </c>
      <c r="W78" s="373" t="str">
        <f t="shared" si="0"/>
        <v>Unknown</v>
      </c>
    </row>
    <row r="79" spans="1:23">
      <c r="B79" s="372" t="s">
        <v>3285</v>
      </c>
      <c r="C79" s="340" t="s">
        <v>433</v>
      </c>
      <c r="D79" s="276" t="s">
        <v>663</v>
      </c>
      <c r="E79" s="276" t="s">
        <v>1378</v>
      </c>
      <c r="F79" s="373">
        <v>2024</v>
      </c>
      <c r="G79" s="276">
        <v>2024</v>
      </c>
      <c r="H79" s="276">
        <f>'COMPANY INPUT'!$C$16</f>
        <v>2023</v>
      </c>
      <c r="I79" s="276">
        <f>VLOOKUP(G79,'GDP Deflators'!$H$13:$I$86,2,FALSE)</f>
        <v>101.52460002617836</v>
      </c>
      <c r="J79" s="276">
        <f>VLOOKUP(H79,'GDP Deflators'!$H$13:$I$86,2,FALSE)</f>
        <v>100</v>
      </c>
      <c r="K79" s="465">
        <f>-C69</f>
        <v>-61729.3</v>
      </c>
      <c r="L79" s="747">
        <f t="shared" ref="L79" si="1">K79*(J79/I79)</f>
        <v>-60802.307996370291</v>
      </c>
      <c r="M79" s="276" t="str">
        <f>$I$73</f>
        <v>GVA</v>
      </c>
      <c r="N79" s="326">
        <f>H74</f>
        <v>3</v>
      </c>
      <c r="O79" s="276" t="s">
        <v>718</v>
      </c>
      <c r="P79" s="276" t="str">
        <f>$J$73</f>
        <v>Best available</v>
      </c>
      <c r="Q79" s="373">
        <f t="shared" ref="Q79:W79" si="2">B55</f>
        <v>6</v>
      </c>
      <c r="R79" s="373" t="str">
        <f t="shared" si="2"/>
        <v>ONS Subregional productivity: labour productivity indices by city region</v>
      </c>
      <c r="S79" s="373" t="str">
        <f t="shared" si="2"/>
        <v>No</v>
      </c>
      <c r="T79" s="373">
        <f t="shared" si="2"/>
        <v>2024</v>
      </c>
      <c r="U79" s="373" t="str">
        <f t="shared" si="2"/>
        <v>UK</v>
      </c>
      <c r="V79" s="373" t="str">
        <f t="shared" si="2"/>
        <v>National average</v>
      </c>
      <c r="W79" s="373" t="str">
        <f t="shared" si="2"/>
        <v>N/A</v>
      </c>
    </row>
    <row r="81" spans="1:8">
      <c r="A81" s="739"/>
      <c r="B81" s="740" t="s">
        <v>3258</v>
      </c>
      <c r="C81" s="739"/>
      <c r="D81" s="739"/>
      <c r="E81" s="739"/>
      <c r="F81" s="739"/>
      <c r="G81" s="739"/>
      <c r="H81" s="739"/>
    </row>
    <row r="82" spans="1:8">
      <c r="A82" s="741"/>
      <c r="B82" s="742" t="s">
        <v>897</v>
      </c>
      <c r="C82" s="741"/>
      <c r="D82" s="741"/>
      <c r="E82" s="741"/>
      <c r="F82" s="741"/>
      <c r="G82" s="741"/>
      <c r="H82" s="741"/>
    </row>
    <row r="83" spans="1:8">
      <c r="B83" s="398" t="s">
        <v>898</v>
      </c>
      <c r="C83" s="398" t="s">
        <v>899</v>
      </c>
    </row>
    <row r="84" spans="1:8">
      <c r="B84" s="276" t="s">
        <v>3258</v>
      </c>
      <c r="C84" s="276" t="s">
        <v>3259</v>
      </c>
    </row>
    <row r="85" spans="1:8">
      <c r="B85" s="29"/>
    </row>
    <row r="86" spans="1:8">
      <c r="A86" s="741"/>
      <c r="B86" s="743" t="s">
        <v>1028</v>
      </c>
      <c r="C86" s="741"/>
      <c r="D86" s="741"/>
      <c r="E86" s="741"/>
      <c r="F86" s="741"/>
      <c r="G86" s="741"/>
      <c r="H86" s="741"/>
    </row>
    <row r="87" spans="1:8">
      <c r="A87" s="744"/>
      <c r="B87" s="745" t="s">
        <v>912</v>
      </c>
      <c r="C87" s="744"/>
      <c r="D87" s="744"/>
      <c r="E87" s="744"/>
      <c r="F87" s="744"/>
      <c r="G87" s="744"/>
      <c r="H87" s="744"/>
    </row>
    <row r="88" spans="1:8" ht="29.1">
      <c r="B88" s="719" t="s">
        <v>913</v>
      </c>
      <c r="C88" s="719" t="s">
        <v>914</v>
      </c>
      <c r="D88" s="719" t="s">
        <v>915</v>
      </c>
      <c r="E88" s="719" t="s">
        <v>916</v>
      </c>
      <c r="F88" s="719" t="s">
        <v>917</v>
      </c>
      <c r="G88" s="719" t="s">
        <v>918</v>
      </c>
      <c r="H88" s="719" t="s">
        <v>919</v>
      </c>
    </row>
    <row r="89" spans="1:8">
      <c r="B89" s="276">
        <v>10</v>
      </c>
      <c r="C89" s="276" t="s">
        <v>3286</v>
      </c>
      <c r="D89" s="340" t="s">
        <v>717</v>
      </c>
      <c r="E89" s="276">
        <v>2016</v>
      </c>
      <c r="F89" s="276" t="s">
        <v>1047</v>
      </c>
      <c r="G89" s="276" t="s">
        <v>3287</v>
      </c>
      <c r="H89" s="337">
        <v>21</v>
      </c>
    </row>
    <row r="90" spans="1:8">
      <c r="B90" s="29"/>
    </row>
    <row r="91" spans="1:8">
      <c r="A91" s="744"/>
      <c r="B91" s="745" t="s">
        <v>924</v>
      </c>
      <c r="C91" s="744"/>
      <c r="D91" s="744"/>
      <c r="E91" s="744"/>
      <c r="F91" s="744"/>
      <c r="G91" s="744"/>
      <c r="H91" s="744"/>
    </row>
    <row r="92" spans="1:8">
      <c r="B92" s="398" t="s">
        <v>165</v>
      </c>
      <c r="C92" s="398" t="s">
        <v>925</v>
      </c>
      <c r="D92" s="398" t="s">
        <v>926</v>
      </c>
      <c r="E92" s="1139" t="s">
        <v>927</v>
      </c>
      <c r="F92" s="1139"/>
      <c r="G92" s="1139"/>
      <c r="H92" s="1139"/>
    </row>
    <row r="93" spans="1:8">
      <c r="B93" s="276" t="s">
        <v>169</v>
      </c>
      <c r="C93" s="276" t="s">
        <v>167</v>
      </c>
      <c r="D93" s="278">
        <f>VLOOKUP(C93,METHODOLOGY!$C$175:$D$177,2,FALSE)</f>
        <v>2</v>
      </c>
      <c r="E93" s="1087" t="str">
        <f>_xlfn.XLOOKUP(C93,METHODOLOGY!$E$150:$O$150,METHODOLOGY!$E$151:$O$151,"",0,1)</f>
        <v>The monetary values are recommended / referenced in other, well recognised and accepted guidance / tools relevant to another sector.</v>
      </c>
      <c r="F93" s="1087"/>
      <c r="G93" s="1087"/>
      <c r="H93" s="1087"/>
    </row>
    <row r="94" spans="1:8">
      <c r="B94" s="276" t="s">
        <v>173</v>
      </c>
      <c r="C94" s="276" t="s">
        <v>167</v>
      </c>
      <c r="D94" s="278">
        <f>VLOOKUP(C94,METHODOLOGY!$C$175:$D$177,2,FALSE)</f>
        <v>2</v>
      </c>
      <c r="E94" s="1087" t="str">
        <f>_xlfn.XLOOKUP(C94,METHODOLOGY!$E$150:$O$150,METHODOLOGY!$E$155:$O$155,"",0,1)</f>
        <v>Study has some limitations which may impact on the robustness of the value.</v>
      </c>
      <c r="F94" s="1087"/>
      <c r="G94" s="1087"/>
      <c r="H94" s="1087"/>
    </row>
    <row r="95" spans="1:8">
      <c r="B95" s="276" t="s">
        <v>177</v>
      </c>
      <c r="C95" s="276" t="s">
        <v>167</v>
      </c>
      <c r="D95" s="278">
        <f>VLOOKUP(C95,METHODOLOGY!$C$175:$D$177,2,FALSE)</f>
        <v>2</v>
      </c>
      <c r="E95" s="1087" t="str">
        <f>_xlfn.XLOOKUP(C95,METHODOLOGY!$E$150:$O$150,METHODOLOGY!$E$158:$O$158,"",0,1)</f>
        <v>6-10 years</v>
      </c>
      <c r="F95" s="1087"/>
      <c r="G95" s="1087"/>
      <c r="H95" s="1087"/>
    </row>
    <row r="96" spans="1:8">
      <c r="B96" s="276" t="s">
        <v>181</v>
      </c>
      <c r="C96" s="276" t="s">
        <v>166</v>
      </c>
      <c r="D96" s="278">
        <f>VLOOKUP(C96,METHODOLOGY!$C$175:$D$177,2,FALSE)</f>
        <v>3</v>
      </c>
      <c r="E96" s="1087" t="str">
        <f>_xlfn.XLOOKUP(C96,METHODOLOGY!$E$150:$O$150,METHODOLOGY!$E$160:$O$160,"",0,1)</f>
        <v>Geographically relevant to UK</v>
      </c>
      <c r="F96" s="1087"/>
      <c r="G96" s="1087"/>
      <c r="H96" s="1087"/>
    </row>
    <row r="97" spans="1:23">
      <c r="B97" s="276" t="s">
        <v>928</v>
      </c>
      <c r="C97" s="276" t="s">
        <v>166</v>
      </c>
      <c r="D97" s="278">
        <f>VLOOKUP(C97,METHODOLOGY!$C$175:$D$177,2,FALSE)</f>
        <v>3</v>
      </c>
      <c r="E97" s="1087" t="str">
        <f>_xlfn.XLOOKUP(C97,METHODOLOGY!$E$150:$O$150,METHODOLOGY!$E$162:$O$162,"",0,1)</f>
        <v>Clear understanding of the valuation method and how the value should be applied.</v>
      </c>
      <c r="F97" s="1087"/>
      <c r="G97" s="1087"/>
      <c r="H97" s="1087"/>
    </row>
    <row r="98" spans="1:23">
      <c r="B98" s="276" t="s">
        <v>189</v>
      </c>
      <c r="C98" s="276" t="s">
        <v>166</v>
      </c>
      <c r="D98" s="278">
        <f>VLOOKUP(C98,METHODOLOGY!$C$175:$D$177,2,FALSE)</f>
        <v>3</v>
      </c>
      <c r="E98" s="1087" t="str">
        <f>_xlfn.XLOOKUP(C98,METHODOLOGY!$E$150:$O$150,METHODOLOGY!$E$164:$O$164,"",0,1)</f>
        <v xml:space="preserve">The original valuation can be used with no or very simple modification e.g. change units from ha to km2, applying inflation. </v>
      </c>
      <c r="F98" s="1087"/>
      <c r="G98" s="1087"/>
      <c r="H98" s="1087"/>
    </row>
    <row r="99" spans="1:23">
      <c r="C99" s="282" t="s">
        <v>924</v>
      </c>
      <c r="D99" s="326">
        <f>IF(AND(D98=1,AVERAGE(D93:D98)&gt;2.14285714285714),2.14285714285714,IF(AND(D98=2,AVERAGE(D93:D98)&gt;2.57142857142857),2.57142857142857,AVERAGE(D93:D98)))</f>
        <v>2.5</v>
      </c>
      <c r="E99" s="270" t="str">
        <f>IF(D99&lt;=2.14285714285714,"Red",IF(D99&lt;=2.57142857142857,"Amber",IF(D99&lt;=3,"Green")))</f>
        <v>Amber</v>
      </c>
    </row>
    <row r="101" spans="1:23">
      <c r="A101" s="744"/>
      <c r="B101" s="745" t="s">
        <v>929</v>
      </c>
      <c r="C101" s="744"/>
      <c r="D101" s="744"/>
      <c r="E101" s="744"/>
      <c r="F101" s="744"/>
      <c r="G101" s="744"/>
      <c r="H101" s="744"/>
    </row>
    <row r="102" spans="1:23">
      <c r="B102" s="398" t="s">
        <v>913</v>
      </c>
      <c r="C102" s="398" t="s">
        <v>331</v>
      </c>
      <c r="D102" s="1145" t="s">
        <v>930</v>
      </c>
      <c r="E102" s="1145"/>
      <c r="F102" s="1145"/>
      <c r="G102" s="1145"/>
      <c r="H102" s="1145"/>
      <c r="I102" s="1145"/>
    </row>
    <row r="103" spans="1:23" ht="84.75" customHeight="1">
      <c r="B103" s="338">
        <v>10</v>
      </c>
      <c r="C103" s="545">
        <v>1124</v>
      </c>
      <c r="D103" s="1140" t="s">
        <v>3288</v>
      </c>
      <c r="E103" s="1141"/>
      <c r="F103" s="1141"/>
      <c r="G103" s="1141"/>
      <c r="H103" s="1141"/>
      <c r="I103" s="1141"/>
    </row>
    <row r="105" spans="1:23">
      <c r="A105" s="741"/>
      <c r="B105" s="743" t="s">
        <v>901</v>
      </c>
      <c r="C105" s="741"/>
      <c r="D105" s="741"/>
      <c r="E105" s="741"/>
      <c r="F105" s="741"/>
      <c r="G105" s="741"/>
      <c r="H105" s="741"/>
    </row>
    <row r="106" spans="1:23" ht="29.1">
      <c r="B106" s="719" t="s">
        <v>902</v>
      </c>
      <c r="C106" s="719" t="s">
        <v>898</v>
      </c>
      <c r="D106" s="719" t="s">
        <v>899</v>
      </c>
      <c r="E106" s="719" t="s">
        <v>903</v>
      </c>
      <c r="F106" s="719" t="s">
        <v>904</v>
      </c>
      <c r="G106" s="719" t="s">
        <v>905</v>
      </c>
      <c r="H106" s="719" t="s">
        <v>924</v>
      </c>
      <c r="I106" s="719" t="s">
        <v>956</v>
      </c>
      <c r="J106" s="719" t="s">
        <v>927</v>
      </c>
    </row>
    <row r="107" spans="1:23">
      <c r="B107" s="276" t="s">
        <v>662</v>
      </c>
      <c r="C107" s="276" t="s">
        <v>3258</v>
      </c>
      <c r="D107" s="373" t="str">
        <f>C84</f>
        <v>Improved skills and knowledge</v>
      </c>
      <c r="E107" s="373" t="s">
        <v>1028</v>
      </c>
      <c r="F107" s="276" t="str" cm="1">
        <f t="array" ref="F107">_xlfn.XLOOKUP(1,(D111:D111=B107)*(E111:E111=C107),B111:B111,"Not found",0,1)</f>
        <v>40-3</v>
      </c>
      <c r="G107" s="670">
        <f>L111</f>
        <v>-1408.6890043300893</v>
      </c>
      <c r="H107" s="326">
        <f>D99</f>
        <v>2.5</v>
      </c>
      <c r="I107" s="276" t="s">
        <v>3289</v>
      </c>
      <c r="J107" s="276" t="s">
        <v>3290</v>
      </c>
    </row>
    <row r="108" spans="1:23">
      <c r="B108" s="30"/>
    </row>
    <row r="109" spans="1:23">
      <c r="A109" s="744"/>
      <c r="B109" s="745" t="s">
        <v>962</v>
      </c>
      <c r="C109" s="744"/>
      <c r="D109" s="744"/>
      <c r="E109" s="744"/>
      <c r="F109" s="744"/>
      <c r="G109" s="744"/>
      <c r="H109" s="744"/>
    </row>
    <row r="110" spans="1:23">
      <c r="B110" s="398" t="s">
        <v>904</v>
      </c>
      <c r="C110" s="398" t="s">
        <v>62</v>
      </c>
      <c r="D110" s="398" t="s">
        <v>902</v>
      </c>
      <c r="E110" s="398" t="s">
        <v>898</v>
      </c>
      <c r="F110" s="398" t="s">
        <v>916</v>
      </c>
      <c r="G110" s="398" t="s">
        <v>963</v>
      </c>
      <c r="H110" s="398" t="s">
        <v>964</v>
      </c>
      <c r="I110" s="398" t="s">
        <v>965</v>
      </c>
      <c r="J110" s="398" t="s">
        <v>966</v>
      </c>
      <c r="K110" s="398" t="s">
        <v>967</v>
      </c>
      <c r="L110" s="398" t="s">
        <v>968</v>
      </c>
      <c r="M110" s="398" t="s">
        <v>956</v>
      </c>
      <c r="N110" s="398" t="s">
        <v>969</v>
      </c>
      <c r="O110" s="398" t="s">
        <v>970</v>
      </c>
      <c r="P110" s="398" t="s">
        <v>927</v>
      </c>
      <c r="Q110" s="398" t="s">
        <v>913</v>
      </c>
      <c r="R110" s="398" t="s">
        <v>914</v>
      </c>
      <c r="S110" s="398" t="s">
        <v>915</v>
      </c>
      <c r="T110" s="398" t="s">
        <v>916</v>
      </c>
      <c r="U110" s="398" t="s">
        <v>917</v>
      </c>
      <c r="V110" s="398" t="s">
        <v>918</v>
      </c>
      <c r="W110" s="398" t="s">
        <v>919</v>
      </c>
    </row>
    <row r="111" spans="1:23">
      <c r="B111" s="372" t="s">
        <v>3291</v>
      </c>
      <c r="C111" s="276" t="s">
        <v>433</v>
      </c>
      <c r="D111" s="276" t="s">
        <v>662</v>
      </c>
      <c r="E111" s="276" t="s">
        <v>3258</v>
      </c>
      <c r="F111" s="373">
        <f>E89</f>
        <v>2016</v>
      </c>
      <c r="G111" s="276">
        <v>2016</v>
      </c>
      <c r="H111" s="276">
        <f>'COMPANY INPUT'!$C$16</f>
        <v>2023</v>
      </c>
      <c r="I111" s="276">
        <f>VLOOKUP(G111,'GDP Deflators'!$H$13:$I$86,2,FALSE)</f>
        <v>79.790499999999994</v>
      </c>
      <c r="J111" s="276">
        <f>VLOOKUP(H111,'GDP Deflators'!$H$13:$I$86,2,FALSE)</f>
        <v>100</v>
      </c>
      <c r="K111" s="402">
        <f>-C103</f>
        <v>-1124</v>
      </c>
      <c r="L111" s="747">
        <f t="shared" ref="L111" si="3">K111*(J111/I111)</f>
        <v>-1408.6890043300893</v>
      </c>
      <c r="M111" s="276" t="str">
        <f>I107</f>
        <v>a Social Return on Investment framework (SROI)</v>
      </c>
      <c r="N111" s="326">
        <f>H107</f>
        <v>2.5</v>
      </c>
      <c r="O111" s="276" t="s">
        <v>718</v>
      </c>
      <c r="P111" s="276" t="str">
        <f>J107</f>
        <v>Best available evidence</v>
      </c>
      <c r="Q111" s="276">
        <f t="shared" ref="Q111:W111" si="4">B89</f>
        <v>10</v>
      </c>
      <c r="R111" s="276" t="str">
        <f t="shared" si="4"/>
        <v>EN:ABLE Communities CIO (2016) EN:ABLE Communities CIO Trustees' Annual Report for the period from 25 August 2015 to 31 July 2016</v>
      </c>
      <c r="S111" s="276" t="str">
        <f t="shared" si="4"/>
        <v>No</v>
      </c>
      <c r="T111" s="276">
        <f t="shared" si="4"/>
        <v>2016</v>
      </c>
      <c r="U111" s="276" t="str">
        <f t="shared" si="4"/>
        <v>UK</v>
      </c>
      <c r="V111" s="276" t="str">
        <f t="shared" si="4"/>
        <v>Yorkshire &amp; the Humber</v>
      </c>
      <c r="W111" s="276">
        <f t="shared" si="4"/>
        <v>21</v>
      </c>
    </row>
    <row r="113" spans="1:8">
      <c r="A113" s="739"/>
      <c r="B113" s="740" t="s">
        <v>1379</v>
      </c>
      <c r="C113" s="739"/>
      <c r="D113" s="739"/>
      <c r="E113" s="739"/>
      <c r="F113" s="739"/>
      <c r="G113" s="739"/>
      <c r="H113" s="739"/>
    </row>
    <row r="114" spans="1:8">
      <c r="A114" s="741"/>
      <c r="B114" s="742" t="s">
        <v>897</v>
      </c>
      <c r="C114" s="741"/>
      <c r="D114" s="741"/>
      <c r="E114" s="741"/>
      <c r="F114" s="741"/>
      <c r="G114" s="741"/>
      <c r="H114" s="741"/>
    </row>
    <row r="115" spans="1:8">
      <c r="B115" s="398" t="s">
        <v>898</v>
      </c>
      <c r="C115" s="398" t="s">
        <v>899</v>
      </c>
    </row>
    <row r="116" spans="1:8">
      <c r="B116" s="276" t="s">
        <v>465</v>
      </c>
      <c r="C116" s="276" t="s">
        <v>3292</v>
      </c>
    </row>
    <row r="117" spans="1:8">
      <c r="B117" s="29"/>
    </row>
    <row r="118" spans="1:8">
      <c r="A118" s="741"/>
      <c r="B118" s="743" t="s">
        <v>1427</v>
      </c>
      <c r="C118" s="741"/>
      <c r="D118" s="741"/>
      <c r="E118" s="741"/>
      <c r="F118" s="741"/>
      <c r="G118" s="741"/>
      <c r="H118" s="741"/>
    </row>
    <row r="119" spans="1:8">
      <c r="A119" s="744"/>
      <c r="B119" s="745" t="s">
        <v>912</v>
      </c>
      <c r="C119" s="744"/>
      <c r="D119" s="744"/>
      <c r="E119" s="744"/>
      <c r="F119" s="744"/>
      <c r="G119" s="744"/>
      <c r="H119" s="744"/>
    </row>
    <row r="120" spans="1:8" ht="29.1">
      <c r="B120" s="719" t="s">
        <v>913</v>
      </c>
      <c r="C120" s="719" t="s">
        <v>914</v>
      </c>
      <c r="D120" s="719" t="s">
        <v>915</v>
      </c>
      <c r="E120" s="719" t="s">
        <v>916</v>
      </c>
      <c r="F120" s="719" t="s">
        <v>917</v>
      </c>
      <c r="G120" s="719" t="s">
        <v>918</v>
      </c>
      <c r="H120" s="719" t="s">
        <v>919</v>
      </c>
    </row>
    <row r="121" spans="1:8">
      <c r="B121" s="276">
        <v>10</v>
      </c>
      <c r="C121" s="276" t="s">
        <v>3286</v>
      </c>
      <c r="D121" s="340" t="s">
        <v>907</v>
      </c>
      <c r="E121" s="276">
        <v>2016</v>
      </c>
      <c r="F121" s="276" t="s">
        <v>1047</v>
      </c>
      <c r="G121" s="276" t="s">
        <v>3287</v>
      </c>
      <c r="H121" s="337">
        <v>21</v>
      </c>
    </row>
    <row r="122" spans="1:8">
      <c r="B122" s="29"/>
    </row>
    <row r="123" spans="1:8">
      <c r="A123" s="744"/>
      <c r="B123" s="745" t="s">
        <v>924</v>
      </c>
      <c r="C123" s="744"/>
      <c r="D123" s="744"/>
      <c r="E123" s="744"/>
      <c r="F123" s="744"/>
      <c r="G123" s="744"/>
      <c r="H123" s="744"/>
    </row>
    <row r="124" spans="1:8">
      <c r="B124" s="398" t="s">
        <v>165</v>
      </c>
      <c r="C124" s="398" t="s">
        <v>995</v>
      </c>
      <c r="D124" s="398" t="s">
        <v>926</v>
      </c>
      <c r="E124" s="1139" t="s">
        <v>927</v>
      </c>
      <c r="F124" s="1139"/>
      <c r="G124" s="1139"/>
      <c r="H124" s="1139"/>
    </row>
    <row r="125" spans="1:8">
      <c r="B125" s="276" t="s">
        <v>169</v>
      </c>
      <c r="C125" s="276" t="s">
        <v>167</v>
      </c>
      <c r="D125" s="278">
        <f>VLOOKUP(C125,METHODOLOGY!$C$175:$D$177,2,FALSE)</f>
        <v>2</v>
      </c>
      <c r="E125" s="1087" t="str">
        <f>_xlfn.XLOOKUP(C125,METHODOLOGY!$E$150:$O$150,METHODOLOGY!$E$151:$O$151,"",0,1)</f>
        <v>The monetary values are recommended / referenced in other, well recognised and accepted guidance / tools relevant to another sector.</v>
      </c>
      <c r="F125" s="1087"/>
      <c r="G125" s="1087"/>
      <c r="H125" s="1087"/>
    </row>
    <row r="126" spans="1:8">
      <c r="B126" s="276" t="s">
        <v>173</v>
      </c>
      <c r="C126" s="276" t="s">
        <v>167</v>
      </c>
      <c r="D126" s="278">
        <f>VLOOKUP(C126,METHODOLOGY!$C$175:$D$177,2,FALSE)</f>
        <v>2</v>
      </c>
      <c r="E126" s="1087" t="str">
        <f>_xlfn.XLOOKUP(C126,METHODOLOGY!$E$150:$O$150,METHODOLOGY!$E$155:$O$155,"",0,1)</f>
        <v>Study has some limitations which may impact on the robustness of the value.</v>
      </c>
      <c r="F126" s="1087"/>
      <c r="G126" s="1087"/>
      <c r="H126" s="1087"/>
    </row>
    <row r="127" spans="1:8">
      <c r="B127" s="276" t="s">
        <v>177</v>
      </c>
      <c r="C127" s="276" t="s">
        <v>167</v>
      </c>
      <c r="D127" s="278">
        <f>VLOOKUP(C127,METHODOLOGY!$C$175:$D$177,2,FALSE)</f>
        <v>2</v>
      </c>
      <c r="E127" s="1087" t="str">
        <f>_xlfn.XLOOKUP(C127,METHODOLOGY!$E$150:$O$150,METHODOLOGY!$E$158:$O$158,"",0,1)</f>
        <v>6-10 years</v>
      </c>
      <c r="F127" s="1087"/>
      <c r="G127" s="1087"/>
      <c r="H127" s="1087"/>
    </row>
    <row r="128" spans="1:8">
      <c r="B128" s="276" t="s">
        <v>181</v>
      </c>
      <c r="C128" s="276" t="s">
        <v>166</v>
      </c>
      <c r="D128" s="278">
        <f>VLOOKUP(C128,METHODOLOGY!$C$175:$D$177,2,FALSE)</f>
        <v>3</v>
      </c>
      <c r="E128" s="1087" t="str">
        <f>_xlfn.XLOOKUP(C128,METHODOLOGY!$E$150:$O$150,METHODOLOGY!$E$160:$O$160,"",0,1)</f>
        <v>Geographically relevant to UK</v>
      </c>
      <c r="F128" s="1087"/>
      <c r="G128" s="1087"/>
      <c r="H128" s="1087"/>
    </row>
    <row r="129" spans="1:10">
      <c r="B129" s="276" t="s">
        <v>928</v>
      </c>
      <c r="C129" s="276" t="s">
        <v>166</v>
      </c>
      <c r="D129" s="278">
        <f>VLOOKUP(C129,METHODOLOGY!$C$175:$D$177,2,FALSE)</f>
        <v>3</v>
      </c>
      <c r="E129" s="1087" t="str">
        <f>_xlfn.XLOOKUP(C129,METHODOLOGY!$E$150:$O$150,METHODOLOGY!$E$162:$O$162,"",0,1)</f>
        <v>Clear understanding of the valuation method and how the value should be applied.</v>
      </c>
      <c r="F129" s="1087"/>
      <c r="G129" s="1087"/>
      <c r="H129" s="1087"/>
    </row>
    <row r="130" spans="1:10">
      <c r="B130" s="276" t="s">
        <v>189</v>
      </c>
      <c r="C130" s="276" t="s">
        <v>166</v>
      </c>
      <c r="D130" s="278">
        <f>VLOOKUP(C130,METHODOLOGY!$C$175:$D$177,2,FALSE)</f>
        <v>3</v>
      </c>
      <c r="E130" s="1087" t="str">
        <f>_xlfn.XLOOKUP(C130,METHODOLOGY!$E$150:$O$150,METHODOLOGY!$E$164:$O$164,"",0,1)</f>
        <v xml:space="preserve">The original valuation can be used with no or very simple modification e.g. change units from ha to km2, applying inflation. </v>
      </c>
      <c r="F130" s="1087"/>
      <c r="G130" s="1087"/>
      <c r="H130" s="1087"/>
    </row>
    <row r="131" spans="1:10">
      <c r="C131" s="282" t="s">
        <v>924</v>
      </c>
      <c r="D131" s="326">
        <f>IF(AND(D130=1,AVERAGE(D125:D130)&gt;2.14285714285714),2.14285714285714,IF(AND(D130=2,AVERAGE(D125:D130)&gt;2.57142857142857),2.57142857142857,AVERAGE(D125:D130)))</f>
        <v>2.5</v>
      </c>
      <c r="E131" s="270" t="str">
        <f>IF(D131&lt;=2.14285714285714,"Red",IF(D131&lt;=2.57142857142857,"Amber",IF(D131&lt;=3,"Green")))</f>
        <v>Amber</v>
      </c>
    </row>
    <row r="133" spans="1:10">
      <c r="A133" s="744"/>
      <c r="B133" s="745" t="s">
        <v>929</v>
      </c>
      <c r="C133" s="744"/>
      <c r="D133" s="744"/>
      <c r="E133" s="744"/>
      <c r="F133" s="744"/>
      <c r="G133" s="744"/>
      <c r="H133" s="744"/>
    </row>
    <row r="134" spans="1:10">
      <c r="B134" s="398" t="s">
        <v>913</v>
      </c>
      <c r="C134" s="398" t="s">
        <v>902</v>
      </c>
      <c r="D134" s="398" t="s">
        <v>331</v>
      </c>
      <c r="E134" s="1145" t="s">
        <v>930</v>
      </c>
      <c r="F134" s="1145"/>
      <c r="G134" s="1145"/>
      <c r="H134" s="1145"/>
      <c r="I134" s="1145"/>
      <c r="J134" s="1145"/>
    </row>
    <row r="135" spans="1:10" ht="66.75" customHeight="1">
      <c r="B135" s="1141">
        <v>10</v>
      </c>
      <c r="C135" s="338" t="s">
        <v>662</v>
      </c>
      <c r="D135" s="545">
        <v>1229</v>
      </c>
      <c r="E135" s="1140" t="s">
        <v>3293</v>
      </c>
      <c r="F135" s="1141"/>
      <c r="G135" s="1141"/>
      <c r="H135" s="1141"/>
      <c r="I135" s="1141"/>
      <c r="J135" s="1141"/>
    </row>
    <row r="136" spans="1:10" ht="51" customHeight="1">
      <c r="B136" s="1141"/>
      <c r="C136" s="338" t="s">
        <v>663</v>
      </c>
      <c r="D136" s="545">
        <v>13446</v>
      </c>
      <c r="E136" s="1140" t="s">
        <v>3294</v>
      </c>
      <c r="F136" s="1141"/>
      <c r="G136" s="1141"/>
      <c r="H136" s="1141"/>
      <c r="I136" s="1141"/>
      <c r="J136" s="1141"/>
    </row>
    <row r="137" spans="1:10" ht="51" customHeight="1">
      <c r="B137" s="1141"/>
      <c r="C137" s="338" t="s">
        <v>664</v>
      </c>
      <c r="D137" s="545">
        <v>1567</v>
      </c>
      <c r="E137" s="1158" t="s">
        <v>3295</v>
      </c>
      <c r="F137" s="1095"/>
      <c r="G137" s="1095"/>
      <c r="H137" s="1095"/>
      <c r="I137" s="1095"/>
      <c r="J137" s="1095"/>
    </row>
    <row r="138" spans="1:10">
      <c r="B138" s="32"/>
      <c r="C138" s="32"/>
      <c r="D138" s="96"/>
      <c r="E138" s="97"/>
      <c r="F138" s="34"/>
      <c r="G138" s="34"/>
      <c r="H138" s="34"/>
      <c r="I138" s="34"/>
      <c r="J138" s="34"/>
    </row>
    <row r="140" spans="1:10">
      <c r="A140" s="741"/>
      <c r="B140" s="743" t="s">
        <v>901</v>
      </c>
      <c r="C140" s="741"/>
      <c r="D140" s="741"/>
      <c r="E140" s="741"/>
      <c r="F140" s="741"/>
      <c r="G140" s="741"/>
      <c r="H140" s="741"/>
    </row>
    <row r="141" spans="1:10" ht="29.1">
      <c r="B141" s="719" t="s">
        <v>902</v>
      </c>
      <c r="C141" s="719" t="s">
        <v>898</v>
      </c>
      <c r="D141" s="719" t="s">
        <v>899</v>
      </c>
      <c r="E141" s="719" t="s">
        <v>903</v>
      </c>
      <c r="F141" s="719" t="s">
        <v>904</v>
      </c>
      <c r="G141" s="719" t="s">
        <v>905</v>
      </c>
      <c r="H141" s="752" t="s">
        <v>924</v>
      </c>
      <c r="I141" s="752" t="s">
        <v>956</v>
      </c>
      <c r="J141" s="752" t="s">
        <v>927</v>
      </c>
    </row>
    <row r="142" spans="1:10">
      <c r="B142" s="276" t="s">
        <v>662</v>
      </c>
      <c r="C142" s="276" t="s">
        <v>1379</v>
      </c>
      <c r="D142" s="373" t="s">
        <v>3292</v>
      </c>
      <c r="E142" s="373" t="s">
        <v>1427</v>
      </c>
      <c r="F142" s="276" t="str" cm="1">
        <f t="array" ref="F142">_xlfn.XLOOKUP(1,($D$148:$D$150=B142)*($E$148:$E$150=C142),$B$148:$B$150,"Not found",0,1)</f>
        <v>40-4</v>
      </c>
      <c r="G142" s="633">
        <f>VLOOKUP(F142,$B$147:$L$150,11,FALSE)</f>
        <v>-1540.2836177239146</v>
      </c>
      <c r="H142" s="1120">
        <f>D131</f>
        <v>2.5</v>
      </c>
      <c r="I142" s="1267" t="s">
        <v>3296</v>
      </c>
      <c r="J142" s="1267" t="s">
        <v>3290</v>
      </c>
    </row>
    <row r="143" spans="1:10">
      <c r="B143" s="276" t="s">
        <v>663</v>
      </c>
      <c r="C143" s="276" t="s">
        <v>1379</v>
      </c>
      <c r="D143" s="373" t="s">
        <v>3292</v>
      </c>
      <c r="E143" s="373" t="s">
        <v>1427</v>
      </c>
      <c r="F143" s="276" t="str" cm="1">
        <f t="array" ref="F143">_xlfn.XLOOKUP(1,($D$148:$D$150=B143)*($E$148:$E$150=C143),$B$148:$B$150,"Not found",0,1)</f>
        <v>40-5</v>
      </c>
      <c r="G143" s="633">
        <f>VLOOKUP(F143,$B$147:$L$150,11,FALSE)</f>
        <v>-16851.630206603542</v>
      </c>
      <c r="H143" s="1121"/>
      <c r="I143" s="1268"/>
      <c r="J143" s="1268"/>
    </row>
    <row r="144" spans="1:10">
      <c r="B144" s="276" t="s">
        <v>664</v>
      </c>
      <c r="C144" s="276" t="s">
        <v>1379</v>
      </c>
      <c r="D144" s="373" t="s">
        <v>3292</v>
      </c>
      <c r="E144" s="373" t="s">
        <v>1427</v>
      </c>
      <c r="F144" s="276" t="str" cm="1">
        <f t="array" ref="F144">_xlfn.XLOOKUP(1,($D$148:$D$150=B144)*($E$148:$E$150=C144),$B$148:$B$150,"Not found",0,1)</f>
        <v>40-6</v>
      </c>
      <c r="G144" s="633">
        <f>VLOOKUP(F144,$B$147:$L$150,11,FALSE)</f>
        <v>-1963.8929446487991</v>
      </c>
      <c r="H144" s="1122"/>
      <c r="I144" s="1269"/>
      <c r="J144" s="1269"/>
    </row>
    <row r="145" spans="1:23">
      <c r="B145" s="30"/>
    </row>
    <row r="146" spans="1:23">
      <c r="A146" s="744"/>
      <c r="B146" s="745" t="s">
        <v>962</v>
      </c>
      <c r="C146" s="744"/>
      <c r="D146" s="744"/>
      <c r="E146" s="744"/>
      <c r="F146" s="744"/>
      <c r="G146" s="744"/>
      <c r="H146" s="744"/>
    </row>
    <row r="147" spans="1:23">
      <c r="B147" s="398" t="s">
        <v>904</v>
      </c>
      <c r="C147" s="398" t="s">
        <v>62</v>
      </c>
      <c r="D147" s="398" t="s">
        <v>902</v>
      </c>
      <c r="E147" s="398" t="s">
        <v>898</v>
      </c>
      <c r="F147" s="398" t="s">
        <v>916</v>
      </c>
      <c r="G147" s="398" t="s">
        <v>963</v>
      </c>
      <c r="H147" s="398" t="s">
        <v>964</v>
      </c>
      <c r="I147" s="398" t="s">
        <v>965</v>
      </c>
      <c r="J147" s="398" t="s">
        <v>966</v>
      </c>
      <c r="K147" s="398" t="s">
        <v>967</v>
      </c>
      <c r="L147" s="398" t="s">
        <v>968</v>
      </c>
      <c r="M147" s="398" t="s">
        <v>956</v>
      </c>
      <c r="N147" s="398" t="s">
        <v>969</v>
      </c>
      <c r="O147" s="398" t="s">
        <v>970</v>
      </c>
      <c r="P147" s="398" t="s">
        <v>927</v>
      </c>
      <c r="Q147" s="398" t="s">
        <v>913</v>
      </c>
      <c r="R147" s="398" t="s">
        <v>914</v>
      </c>
      <c r="S147" s="398" t="s">
        <v>915</v>
      </c>
      <c r="T147" s="398" t="s">
        <v>916</v>
      </c>
      <c r="U147" s="398" t="s">
        <v>917</v>
      </c>
      <c r="V147" s="398" t="s">
        <v>918</v>
      </c>
      <c r="W147" s="398" t="s">
        <v>919</v>
      </c>
    </row>
    <row r="148" spans="1:23">
      <c r="B148" s="372" t="s">
        <v>3297</v>
      </c>
      <c r="C148" s="276" t="s">
        <v>433</v>
      </c>
      <c r="D148" s="276" t="s">
        <v>662</v>
      </c>
      <c r="E148" s="276" t="s">
        <v>465</v>
      </c>
      <c r="F148" s="373">
        <v>2016</v>
      </c>
      <c r="G148" s="276">
        <f>E121</f>
        <v>2016</v>
      </c>
      <c r="H148" s="276">
        <f>'COMPANY INPUT'!$C$16</f>
        <v>2023</v>
      </c>
      <c r="I148" s="276">
        <f>VLOOKUP(G148,'GDP Deflators'!$H$13:$I$86,2,FALSE)</f>
        <v>79.790499999999994</v>
      </c>
      <c r="J148" s="276">
        <f>VLOOKUP(H148,'GDP Deflators'!$H$13:$I$86,2,FALSE)</f>
        <v>100</v>
      </c>
      <c r="K148" s="402">
        <f>-D135</f>
        <v>-1229</v>
      </c>
      <c r="L148" s="747">
        <f>K148*(J148/I148)</f>
        <v>-1540.2836177239146</v>
      </c>
      <c r="M148" s="276" t="str">
        <f>$I$142</f>
        <v>Social Return on Investment framework (SROI)</v>
      </c>
      <c r="N148" s="326">
        <f>$H$142</f>
        <v>2.5</v>
      </c>
      <c r="O148" s="276" t="s">
        <v>718</v>
      </c>
      <c r="P148" s="276" t="str">
        <f>$J$142</f>
        <v>Best available evidence</v>
      </c>
      <c r="Q148" s="373">
        <f t="shared" ref="Q148:W148" si="5">B121</f>
        <v>10</v>
      </c>
      <c r="R148" s="373" t="str">
        <f t="shared" si="5"/>
        <v>EN:ABLE Communities CIO (2016) EN:ABLE Communities CIO Trustees' Annual Report for the period from 25 August 2015 to 31 July 2016</v>
      </c>
      <c r="S148" s="373" t="str">
        <f t="shared" si="5"/>
        <v>/</v>
      </c>
      <c r="T148" s="373">
        <f t="shared" si="5"/>
        <v>2016</v>
      </c>
      <c r="U148" s="373" t="str">
        <f t="shared" si="5"/>
        <v>UK</v>
      </c>
      <c r="V148" s="373" t="str">
        <f t="shared" si="5"/>
        <v>Yorkshire &amp; the Humber</v>
      </c>
      <c r="W148" s="373">
        <f t="shared" si="5"/>
        <v>21</v>
      </c>
    </row>
    <row r="149" spans="1:23">
      <c r="B149" s="372" t="s">
        <v>3298</v>
      </c>
      <c r="C149" s="276" t="s">
        <v>433</v>
      </c>
      <c r="D149" s="276" t="s">
        <v>663</v>
      </c>
      <c r="E149" s="276" t="s">
        <v>465</v>
      </c>
      <c r="F149" s="373">
        <v>2016</v>
      </c>
      <c r="G149" s="276">
        <v>2016</v>
      </c>
      <c r="H149" s="276">
        <f>'COMPANY INPUT'!$C$16</f>
        <v>2023</v>
      </c>
      <c r="I149" s="276">
        <f>VLOOKUP(G149,'GDP Deflators'!$H$13:$I$86,2,FALSE)</f>
        <v>79.790499999999994</v>
      </c>
      <c r="J149" s="276">
        <f>VLOOKUP(H149,'GDP Deflators'!$H$13:$I$86,2,FALSE)</f>
        <v>100</v>
      </c>
      <c r="K149" s="402">
        <f>-D136</f>
        <v>-13446</v>
      </c>
      <c r="L149" s="747">
        <f t="shared" ref="L149:L150" si="6">K149*(J149/I149)</f>
        <v>-16851.630206603542</v>
      </c>
      <c r="M149" s="276" t="str">
        <f>$I$142</f>
        <v>Social Return on Investment framework (SROI)</v>
      </c>
      <c r="N149" s="326">
        <f>$H$142</f>
        <v>2.5</v>
      </c>
      <c r="O149" s="276" t="s">
        <v>718</v>
      </c>
      <c r="P149" s="276" t="str">
        <f>$J$142</f>
        <v>Best available evidence</v>
      </c>
      <c r="Q149" s="373">
        <f>B121</f>
        <v>10</v>
      </c>
      <c r="R149" s="373" t="str">
        <f t="shared" ref="R149:W149" si="7">C121</f>
        <v>EN:ABLE Communities CIO (2016) EN:ABLE Communities CIO Trustees' Annual Report for the period from 25 August 2015 to 31 July 2016</v>
      </c>
      <c r="S149" s="373" t="str">
        <f t="shared" si="7"/>
        <v>/</v>
      </c>
      <c r="T149" s="373">
        <f t="shared" si="7"/>
        <v>2016</v>
      </c>
      <c r="U149" s="373" t="str">
        <f t="shared" si="7"/>
        <v>UK</v>
      </c>
      <c r="V149" s="373" t="str">
        <f t="shared" si="7"/>
        <v>Yorkshire &amp; the Humber</v>
      </c>
      <c r="W149" s="373">
        <f t="shared" si="7"/>
        <v>21</v>
      </c>
    </row>
    <row r="150" spans="1:23">
      <c r="B150" s="372" t="s">
        <v>3299</v>
      </c>
      <c r="C150" s="276" t="s">
        <v>433</v>
      </c>
      <c r="D150" s="276" t="s">
        <v>664</v>
      </c>
      <c r="E150" s="276" t="s">
        <v>465</v>
      </c>
      <c r="F150" s="373">
        <v>2016</v>
      </c>
      <c r="G150" s="276">
        <v>2016</v>
      </c>
      <c r="H150" s="276">
        <f>'COMPANY INPUT'!$C$16</f>
        <v>2023</v>
      </c>
      <c r="I150" s="276">
        <f>VLOOKUP(G150,'GDP Deflators'!$H$13:$I$86,2,FALSE)</f>
        <v>79.790499999999994</v>
      </c>
      <c r="J150" s="276">
        <f>VLOOKUP(H150,'GDP Deflators'!$H$13:$I$86,2,FALSE)</f>
        <v>100</v>
      </c>
      <c r="K150" s="402">
        <f>-D137</f>
        <v>-1567</v>
      </c>
      <c r="L150" s="747">
        <f t="shared" si="6"/>
        <v>-1963.8929446487991</v>
      </c>
      <c r="M150" s="276" t="str">
        <f>$I$142</f>
        <v>Social Return on Investment framework (SROI)</v>
      </c>
      <c r="N150" s="326">
        <f>$H$142</f>
        <v>2.5</v>
      </c>
      <c r="O150" s="276" t="s">
        <v>718</v>
      </c>
      <c r="P150" s="276" t="str">
        <f>$J$142</f>
        <v>Best available evidence</v>
      </c>
      <c r="Q150" s="373">
        <f>B121</f>
        <v>10</v>
      </c>
      <c r="R150" s="373" t="str">
        <f t="shared" ref="R150:W150" si="8">C121</f>
        <v>EN:ABLE Communities CIO (2016) EN:ABLE Communities CIO Trustees' Annual Report for the period from 25 August 2015 to 31 July 2016</v>
      </c>
      <c r="S150" s="373" t="str">
        <f t="shared" si="8"/>
        <v>/</v>
      </c>
      <c r="T150" s="373">
        <f t="shared" si="8"/>
        <v>2016</v>
      </c>
      <c r="U150" s="373" t="str">
        <f t="shared" si="8"/>
        <v>UK</v>
      </c>
      <c r="V150" s="373" t="str">
        <f t="shared" si="8"/>
        <v>Yorkshire &amp; the Humber</v>
      </c>
      <c r="W150" s="373">
        <f t="shared" si="8"/>
        <v>21</v>
      </c>
    </row>
  </sheetData>
  <sheetProtection algorithmName="SHA-512" hashValue="VBugq/htKs/lyBeNqr6kgg3z3S9xrTrJFxuoXM9BkGpnXCWMpC/yJqOfvZGkpRA8kI2g6pQ9PSdug+VQH0p5bg==" saltValue="FR8KIzCPkkWlPr0zjPE8Uw==" spinCount="100000" sheet="1" objects="1" scenarios="1"/>
  <dataConsolidate/>
  <mergeCells count="45">
    <mergeCell ref="E98:H98"/>
    <mergeCell ref="E124:H124"/>
    <mergeCell ref="E130:H130"/>
    <mergeCell ref="E125:H125"/>
    <mergeCell ref="E126:H126"/>
    <mergeCell ref="E127:H127"/>
    <mergeCell ref="E128:H128"/>
    <mergeCell ref="E129:H129"/>
    <mergeCell ref="E93:H93"/>
    <mergeCell ref="E94:H94"/>
    <mergeCell ref="E95:H95"/>
    <mergeCell ref="E96:H96"/>
    <mergeCell ref="E97:H97"/>
    <mergeCell ref="J142:J144"/>
    <mergeCell ref="I142:I144"/>
    <mergeCell ref="H142:H144"/>
    <mergeCell ref="B5:H5"/>
    <mergeCell ref="E38:H38"/>
    <mergeCell ref="E39:H39"/>
    <mergeCell ref="E40:H40"/>
    <mergeCell ref="E41:H41"/>
    <mergeCell ref="E42:H42"/>
    <mergeCell ref="E43:H43"/>
    <mergeCell ref="E44:H44"/>
    <mergeCell ref="E58:H58"/>
    <mergeCell ref="E59:H59"/>
    <mergeCell ref="E60:H60"/>
    <mergeCell ref="E61:H61"/>
    <mergeCell ref="E62:H62"/>
    <mergeCell ref="B135:B137"/>
    <mergeCell ref="E136:J136"/>
    <mergeCell ref="E137:J137"/>
    <mergeCell ref="D68:I68"/>
    <mergeCell ref="D49:I49"/>
    <mergeCell ref="D50:I50"/>
    <mergeCell ref="E134:J134"/>
    <mergeCell ref="E135:J135"/>
    <mergeCell ref="D69:I69"/>
    <mergeCell ref="D102:I102"/>
    <mergeCell ref="D103:I103"/>
    <mergeCell ref="J73:J74"/>
    <mergeCell ref="I73:I74"/>
    <mergeCell ref="E63:H63"/>
    <mergeCell ref="E64:H64"/>
    <mergeCell ref="E92:H92"/>
  </mergeCells>
  <phoneticPr fontId="16" type="noConversion"/>
  <conditionalFormatting sqref="D45:E45 H142 N148:N150">
    <cfRule type="cellIs" dxfId="174" priority="31" operator="lessThanOrEqual">
      <formula>3</formula>
    </cfRule>
    <cfRule type="cellIs" dxfId="173" priority="30" operator="lessThanOrEqual">
      <formula>2.57142857142857</formula>
    </cfRule>
    <cfRule type="cellIs" dxfId="172" priority="29" operator="lessThanOrEqual">
      <formula>2.14285714285714</formula>
    </cfRule>
  </conditionalFormatting>
  <conditionalFormatting sqref="D65:E65">
    <cfRule type="cellIs" dxfId="171" priority="25" operator="lessThanOrEqual">
      <formula>3</formula>
    </cfRule>
    <cfRule type="cellIs" dxfId="170" priority="23" operator="lessThanOrEqual">
      <formula>2.14285714285714</formula>
    </cfRule>
    <cfRule type="cellIs" dxfId="169" priority="24" operator="lessThanOrEqual">
      <formula>2.57142857142857</formula>
    </cfRule>
  </conditionalFormatting>
  <conditionalFormatting sqref="D99:E99">
    <cfRule type="cellIs" dxfId="168" priority="19" operator="lessThanOrEqual">
      <formula>3</formula>
    </cfRule>
    <cfRule type="cellIs" dxfId="167" priority="17" operator="lessThanOrEqual">
      <formula>2.14285714285714</formula>
    </cfRule>
    <cfRule type="cellIs" dxfId="166" priority="18" operator="lessThanOrEqual">
      <formula>2.57142857142857</formula>
    </cfRule>
  </conditionalFormatting>
  <conditionalFormatting sqref="D131:E131">
    <cfRule type="cellIs" dxfId="165" priority="11" operator="lessThanOrEqual">
      <formula>2.14285714285714</formula>
    </cfRule>
    <cfRule type="cellIs" dxfId="164" priority="12" operator="lessThanOrEqual">
      <formula>2.57142857142857</formula>
    </cfRule>
    <cfRule type="cellIs" dxfId="163" priority="13" operator="lessThanOrEqual">
      <formula>3</formula>
    </cfRule>
  </conditionalFormatting>
  <conditionalFormatting sqref="D11:G13">
    <cfRule type="notContainsBlanks" dxfId="162" priority="1">
      <formula>LEN(TRIM(D11))&gt;0</formula>
    </cfRule>
  </conditionalFormatting>
  <conditionalFormatting sqref="E45">
    <cfRule type="containsText" dxfId="161" priority="26" operator="containsText" text="Green">
      <formula>NOT(ISERROR(SEARCH("Green",E45)))</formula>
    </cfRule>
    <cfRule type="containsText" dxfId="160" priority="27" operator="containsText" text="Amber">
      <formula>NOT(ISERROR(SEARCH("Amber",E45)))</formula>
    </cfRule>
    <cfRule type="containsText" dxfId="159" priority="28" operator="containsText" text="Red">
      <formula>NOT(ISERROR(SEARCH("Red",E45)))</formula>
    </cfRule>
  </conditionalFormatting>
  <conditionalFormatting sqref="E65">
    <cfRule type="containsText" dxfId="158" priority="22" operator="containsText" text="Red">
      <formula>NOT(ISERROR(SEARCH("Red",E65)))</formula>
    </cfRule>
    <cfRule type="containsText" dxfId="157" priority="21" operator="containsText" text="Amber">
      <formula>NOT(ISERROR(SEARCH("Amber",E65)))</formula>
    </cfRule>
    <cfRule type="containsText" dxfId="156" priority="20" operator="containsText" text="Green">
      <formula>NOT(ISERROR(SEARCH("Green",E65)))</formula>
    </cfRule>
  </conditionalFormatting>
  <conditionalFormatting sqref="E99">
    <cfRule type="containsText" dxfId="155" priority="14" operator="containsText" text="Green">
      <formula>NOT(ISERROR(SEARCH("Green",E99)))</formula>
    </cfRule>
    <cfRule type="containsText" dxfId="154" priority="15" operator="containsText" text="Amber">
      <formula>NOT(ISERROR(SEARCH("Amber",E99)))</formula>
    </cfRule>
    <cfRule type="containsText" dxfId="153" priority="16" operator="containsText" text="Red">
      <formula>NOT(ISERROR(SEARCH("Red",E99)))</formula>
    </cfRule>
  </conditionalFormatting>
  <conditionalFormatting sqref="E131">
    <cfRule type="containsText" dxfId="152" priority="8" operator="containsText" text="Green">
      <formula>NOT(ISERROR(SEARCH("Green",E131)))</formula>
    </cfRule>
    <cfRule type="containsText" dxfId="151" priority="9" operator="containsText" text="Amber">
      <formula>NOT(ISERROR(SEARCH("Amber",E131)))</formula>
    </cfRule>
    <cfRule type="containsText" dxfId="150" priority="10" operator="containsText" text="Red">
      <formula>NOT(ISERROR(SEARCH("Red",E131)))</formula>
    </cfRule>
  </conditionalFormatting>
  <conditionalFormatting sqref="H73:H74">
    <cfRule type="cellIs" dxfId="149" priority="71" operator="lessThanOrEqual">
      <formula>2.14285714285714</formula>
    </cfRule>
    <cfRule type="cellIs" dxfId="148" priority="72" operator="lessThanOrEqual">
      <formula>2.57142857142857</formula>
    </cfRule>
    <cfRule type="cellIs" dxfId="147" priority="73" operator="lessThanOrEqual">
      <formula>3</formula>
    </cfRule>
  </conditionalFormatting>
  <conditionalFormatting sqref="H107">
    <cfRule type="cellIs" dxfId="146" priority="50" operator="lessThanOrEqual">
      <formula>2.14285714285714</formula>
    </cfRule>
    <cfRule type="cellIs" dxfId="145" priority="51" operator="lessThanOrEqual">
      <formula>2.57142857142857</formula>
    </cfRule>
    <cfRule type="cellIs" dxfId="144" priority="52" operator="lessThanOrEqual">
      <formula>3</formula>
    </cfRule>
  </conditionalFormatting>
  <conditionalFormatting sqref="N78:N79">
    <cfRule type="cellIs" dxfId="143" priority="68" operator="lessThanOrEqual">
      <formula>2.14285714285714</formula>
    </cfRule>
    <cfRule type="cellIs" dxfId="142" priority="69" operator="lessThanOrEqual">
      <formula>2.57142857142857</formula>
    </cfRule>
    <cfRule type="cellIs" dxfId="141" priority="70" operator="lessThanOrEqual">
      <formula>3</formula>
    </cfRule>
  </conditionalFormatting>
  <conditionalFormatting sqref="N111">
    <cfRule type="cellIs" dxfId="140" priority="59" operator="lessThanOrEqual">
      <formula>2.14285714285714</formula>
    </cfRule>
    <cfRule type="cellIs" dxfId="139" priority="60" operator="lessThanOrEqual">
      <formula>2.57142857142857</formula>
    </cfRule>
    <cfRule type="cellIs" dxfId="138" priority="61" operator="lessThanOrEqual">
      <formula>3</formula>
    </cfRule>
  </conditionalFormatting>
  <dataValidations count="1">
    <dataValidation type="list" allowBlank="1" showInputMessage="1" showErrorMessage="1" sqref="C46 C39:C44 C66 C59:C64 C112 C93:C98 C125:C130" xr:uid="{C73B1DB7-7596-45EA-8551-C289C9408DFD}">
      <formula1>"High, Medium, Low"</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962D-3F46-4013-9464-B70B8C412233}">
  <sheetPr codeName="Sheet46">
    <tabColor theme="5" tint="0.59999389629810485"/>
  </sheetPr>
  <dimension ref="A1:W790"/>
  <sheetViews>
    <sheetView workbookViewId="0"/>
  </sheetViews>
  <sheetFormatPr defaultColWidth="9" defaultRowHeight="14.45"/>
  <cols>
    <col min="1" max="1" width="3.5" style="2" customWidth="1"/>
    <col min="2" max="3" width="40.625" style="2" customWidth="1"/>
    <col min="4" max="14" width="15.625" style="2" customWidth="1"/>
    <col min="15" max="16" width="16.125" style="2" customWidth="1"/>
    <col min="17" max="17" width="9" style="2"/>
    <col min="18" max="18" width="16.625" style="2" customWidth="1"/>
    <col min="19" max="19" width="18.5" style="2" customWidth="1"/>
    <col min="20" max="16384" width="9" style="2"/>
  </cols>
  <sheetData>
    <row r="1" spans="1:8" ht="15" thickBot="1"/>
    <row r="2" spans="1:8" s="710" customFormat="1" ht="18.95" thickBot="1">
      <c r="A2" s="707"/>
      <c r="B2" s="749" t="s">
        <v>435</v>
      </c>
      <c r="C2" s="711"/>
      <c r="D2" s="711"/>
    </row>
    <row r="4" spans="1:8" s="714" customFormat="1" ht="18.600000000000001">
      <c r="A4" s="715"/>
      <c r="B4" s="713" t="s">
        <v>893</v>
      </c>
      <c r="C4" s="715"/>
      <c r="D4" s="715"/>
      <c r="E4" s="715"/>
      <c r="F4" s="715"/>
      <c r="G4" s="715"/>
      <c r="H4" s="715"/>
    </row>
    <row r="5" spans="1:8" s="7" customFormat="1" ht="35.25" customHeight="1">
      <c r="A5" s="737"/>
      <c r="B5" s="1152" t="s">
        <v>3277</v>
      </c>
      <c r="C5" s="1152"/>
      <c r="D5" s="1152"/>
      <c r="E5" s="1152"/>
      <c r="F5" s="1152"/>
      <c r="G5" s="1152"/>
      <c r="H5" s="1152"/>
    </row>
    <row r="6" spans="1:8" s="7" customFormat="1"/>
    <row r="7" spans="1:8" s="718" customFormat="1" ht="18.600000000000001">
      <c r="A7" s="724"/>
      <c r="B7" s="724" t="s">
        <v>895</v>
      </c>
      <c r="C7" s="724"/>
      <c r="D7" s="724"/>
      <c r="E7" s="724"/>
      <c r="F7" s="724"/>
      <c r="G7" s="724"/>
      <c r="H7" s="724"/>
    </row>
    <row r="9" spans="1:8">
      <c r="D9" s="399" t="s">
        <v>479</v>
      </c>
    </row>
    <row r="10" spans="1:8">
      <c r="B10" s="277" t="s">
        <v>104</v>
      </c>
      <c r="C10" s="277" t="s">
        <v>226</v>
      </c>
      <c r="D10" s="399" t="s">
        <v>462</v>
      </c>
    </row>
    <row r="11" spans="1:8">
      <c r="B11" s="278" t="s">
        <v>665</v>
      </c>
      <c r="C11" s="297" t="s">
        <v>436</v>
      </c>
      <c r="D11" s="793" cm="1">
        <f t="array" ref="D11">_xlfn.XLOOKUP(1,($B11=$B$752:$B$769)*(D$10=$C$753:$C$769),$G$752:$G$769,"Not found",0,1)</f>
        <v>-1461782.2074234125</v>
      </c>
    </row>
    <row r="12" spans="1:8">
      <c r="B12" s="278" t="s">
        <v>667</v>
      </c>
      <c r="C12" s="297" t="s">
        <v>436</v>
      </c>
      <c r="D12" s="793" cm="1">
        <f t="array" ref="D12">_xlfn.XLOOKUP(1,($B12=$B$752:$B$769)*(D$10=$C$753:$C$769),$G$752:$G$769,"Not found",0,1)</f>
        <v>-2353181.7902387585</v>
      </c>
    </row>
    <row r="13" spans="1:8">
      <c r="B13" s="278" t="s">
        <v>668</v>
      </c>
      <c r="C13" s="297" t="s">
        <v>436</v>
      </c>
      <c r="D13" s="793" cm="1">
        <f t="array" ref="D13">_xlfn.XLOOKUP(1,($B13=$B$752:$B$769)*(D$10=$C$753:$C$769),$G$752:$G$769,"Not found",0,1)</f>
        <v>-4363760.1728858603</v>
      </c>
    </row>
    <row r="14" spans="1:8">
      <c r="B14" s="278" t="s">
        <v>669</v>
      </c>
      <c r="C14" s="297" t="s">
        <v>436</v>
      </c>
      <c r="D14" s="793" cm="1">
        <f t="array" ref="D14">_xlfn.XLOOKUP(1,($B14=$B$752:$B$769)*(D$10=$C$753:$C$769),$G$752:$G$769,"Not found",0,1)</f>
        <v>-1662125.8682742876</v>
      </c>
    </row>
    <row r="15" spans="1:8">
      <c r="B15" s="278" t="s">
        <v>670</v>
      </c>
      <c r="C15" s="297" t="s">
        <v>436</v>
      </c>
      <c r="D15" s="793" cm="1">
        <f t="array" ref="D15">_xlfn.XLOOKUP(1,($B15=$B$752:$B$769)*(D$10=$C$753:$C$769),$G$752:$G$769,"Not found",0,1)</f>
        <v>-780748.79375542828</v>
      </c>
    </row>
    <row r="16" spans="1:8">
      <c r="B16" s="278" t="s">
        <v>671</v>
      </c>
      <c r="C16" s="297" t="s">
        <v>436</v>
      </c>
      <c r="D16" s="793" cm="1">
        <f t="array" ref="D16">_xlfn.XLOOKUP(1,($B16=$B$752:$B$769)*(D$10=$C$753:$C$769),$G$752:$G$769,"Not found",0,1)</f>
        <v>-1517330.9938984814</v>
      </c>
    </row>
    <row r="17" spans="1:8">
      <c r="B17" s="278" t="s">
        <v>672</v>
      </c>
      <c r="C17" s="297" t="s">
        <v>436</v>
      </c>
      <c r="D17" s="793" cm="1">
        <f t="array" ref="D17">_xlfn.XLOOKUP(1,($B17=$B$752:$B$769)*(D$10=$C$753:$C$769),$G$752:$G$769,"Not found",0,1)</f>
        <v>-5610716.1679179119</v>
      </c>
    </row>
    <row r="18" spans="1:8">
      <c r="B18" s="278" t="s">
        <v>673</v>
      </c>
      <c r="C18" s="297" t="s">
        <v>436</v>
      </c>
      <c r="D18" s="793" cm="1">
        <f t="array" ref="D18">_xlfn.XLOOKUP(1,($B18=$B$752:$B$769)*(D$10=$C$753:$C$769),$G$752:$G$769,"Not found",0,1)</f>
        <v>-2932351.0838531954</v>
      </c>
    </row>
    <row r="19" spans="1:8">
      <c r="B19" s="278" t="s">
        <v>674</v>
      </c>
      <c r="C19" s="297" t="s">
        <v>436</v>
      </c>
      <c r="D19" s="793" cm="1">
        <f t="array" ref="D19">_xlfn.XLOOKUP(1,($B19=$B$752:$B$769)*(D$10=$C$753:$C$769),$G$752:$G$769,"Not found",0,1)</f>
        <v>-42029048.745163165</v>
      </c>
    </row>
    <row r="20" spans="1:8">
      <c r="B20" s="278" t="s">
        <v>675</v>
      </c>
      <c r="C20" s="297" t="s">
        <v>436</v>
      </c>
      <c r="D20" s="793" cm="1">
        <f t="array" ref="D20">_xlfn.XLOOKUP(1,($B20=$B$752:$B$769)*(D$10=$C$753:$C$769),$G$752:$G$769,"Not found",0,1)</f>
        <v>-585032.39820596029</v>
      </c>
    </row>
    <row r="21" spans="1:8">
      <c r="B21" s="278" t="s">
        <v>676</v>
      </c>
      <c r="C21" s="297" t="s">
        <v>436</v>
      </c>
      <c r="D21" s="793" cm="1">
        <f t="array" ref="D21">_xlfn.XLOOKUP(1,($B21=$B$752:$B$769)*(D$10=$C$753:$C$769),$G$752:$G$769,"Not found",0,1)</f>
        <v>-746957.39485850581</v>
      </c>
    </row>
    <row r="22" spans="1:8">
      <c r="B22" s="278" t="s">
        <v>677</v>
      </c>
      <c r="C22" s="297" t="s">
        <v>436</v>
      </c>
      <c r="D22" s="793" cm="1">
        <f t="array" ref="D22">_xlfn.XLOOKUP(1,($B22=$B$752:$B$769)*(D$10=$C$753:$C$769),$G$752:$G$769,"Not found",0,1)</f>
        <v>-999791.93167792924</v>
      </c>
    </row>
    <row r="23" spans="1:8">
      <c r="B23" s="278" t="s">
        <v>678</v>
      </c>
      <c r="C23" s="297" t="s">
        <v>436</v>
      </c>
      <c r="D23" s="793" cm="1">
        <f t="array" ref="D23">_xlfn.XLOOKUP(1,($B23=$B$752:$B$769)*(D$10=$C$753:$C$769),$G$752:$G$769,"Not found",0,1)</f>
        <v>-577873.73540509935</v>
      </c>
    </row>
    <row r="24" spans="1:8">
      <c r="B24" s="278" t="s">
        <v>679</v>
      </c>
      <c r="C24" s="297" t="s">
        <v>436</v>
      </c>
      <c r="D24" s="793" cm="1">
        <f t="array" ref="D24">_xlfn.XLOOKUP(1,($B24=$B$752:$B$769)*(D$10=$C$753:$C$769),$G$752:$G$769,"Not found",0,1)</f>
        <v>-225111.79731623392</v>
      </c>
    </row>
    <row r="25" spans="1:8">
      <c r="B25" s="278" t="s">
        <v>3300</v>
      </c>
      <c r="C25" s="297" t="s">
        <v>436</v>
      </c>
      <c r="D25" s="793" cm="1">
        <f t="array" ref="D25">_xlfn.XLOOKUP(1,($B25=$B$752:$B$769)*(D$10=$C$753:$C$769),$G$752:$G$769,"Not found",0,1)</f>
        <v>-552302.56820087961</v>
      </c>
    </row>
    <row r="26" spans="1:8">
      <c r="B26" s="278" t="s">
        <v>681</v>
      </c>
      <c r="C26" s="297" t="s">
        <v>436</v>
      </c>
      <c r="D26" s="793" cm="1">
        <f t="array" ref="D26">_xlfn.XLOOKUP(1,($B26=$B$752:$B$769)*(D$10=$C$753:$C$769),$G$752:$G$769,"Not found",0,1)</f>
        <v>-1837272.221474472</v>
      </c>
    </row>
    <row r="27" spans="1:8">
      <c r="B27" s="278" t="s">
        <v>682</v>
      </c>
      <c r="C27" s="297" t="s">
        <v>436</v>
      </c>
      <c r="D27" s="793" cm="1">
        <f t="array" ref="D27">_xlfn.XLOOKUP(1,($B27=$B$752:$B$769)*(D$10=$C$753:$C$769),$G$752:$G$769,"Not found",0,1)</f>
        <v>-812047.97380690777</v>
      </c>
    </row>
    <row r="28" spans="1:8">
      <c r="B28" s="278" t="s">
        <v>683</v>
      </c>
      <c r="C28" s="278" t="s">
        <v>436</v>
      </c>
      <c r="D28" s="793" cm="1">
        <f t="array" ref="D28">_xlfn.XLOOKUP(1,($B28=$B$752:$B$769)*(D$10=$C$752:$C$769),$G$752:$G$769,"Not found",0,1)</f>
        <v>-6009549.0749629186</v>
      </c>
    </row>
    <row r="29" spans="1:8">
      <c r="B29" s="800" t="s">
        <v>896</v>
      </c>
    </row>
    <row r="31" spans="1:8">
      <c r="A31" s="721"/>
      <c r="B31" s="722" t="s">
        <v>898</v>
      </c>
      <c r="C31" s="721"/>
      <c r="D31" s="721"/>
      <c r="E31" s="721"/>
      <c r="F31" s="721"/>
      <c r="G31" s="721"/>
      <c r="H31" s="721"/>
    </row>
    <row r="32" spans="1:8">
      <c r="A32" s="727"/>
      <c r="B32" s="729" t="s">
        <v>897</v>
      </c>
      <c r="C32" s="727"/>
      <c r="D32" s="727"/>
      <c r="E32" s="727"/>
      <c r="F32" s="727"/>
      <c r="G32" s="727"/>
      <c r="H32" s="727"/>
    </row>
    <row r="33" spans="1:8">
      <c r="B33" s="277" t="s">
        <v>898</v>
      </c>
      <c r="C33" s="277" t="s">
        <v>899</v>
      </c>
    </row>
    <row r="34" spans="1:8">
      <c r="B34" s="278" t="s">
        <v>462</v>
      </c>
      <c r="C34" s="278" t="s">
        <v>3301</v>
      </c>
    </row>
    <row r="35" spans="1:8">
      <c r="B35" s="16"/>
    </row>
    <row r="36" spans="1:8">
      <c r="A36" s="727"/>
      <c r="B36" s="728" t="s">
        <v>911</v>
      </c>
      <c r="C36" s="727"/>
      <c r="D36" s="727"/>
      <c r="E36" s="727"/>
      <c r="F36" s="727"/>
      <c r="G36" s="727"/>
      <c r="H36" s="727"/>
    </row>
    <row r="37" spans="1:8">
      <c r="A37" s="725"/>
      <c r="B37" s="726" t="s">
        <v>912</v>
      </c>
      <c r="C37" s="725"/>
      <c r="D37" s="725"/>
      <c r="E37" s="725"/>
      <c r="F37" s="725"/>
      <c r="G37" s="725"/>
      <c r="H37" s="725"/>
    </row>
    <row r="38" spans="1:8" ht="29.1">
      <c r="B38" s="719" t="s">
        <v>913</v>
      </c>
      <c r="C38" s="719" t="s">
        <v>914</v>
      </c>
      <c r="D38" s="719" t="s">
        <v>915</v>
      </c>
      <c r="E38" s="719" t="s">
        <v>916</v>
      </c>
      <c r="F38" s="719" t="s">
        <v>917</v>
      </c>
      <c r="G38" s="719" t="s">
        <v>918</v>
      </c>
      <c r="H38" s="719" t="s">
        <v>919</v>
      </c>
    </row>
    <row r="39" spans="1:8">
      <c r="B39" s="278">
        <v>114</v>
      </c>
      <c r="C39" s="278" t="s">
        <v>3302</v>
      </c>
      <c r="D39" s="278" t="s">
        <v>3191</v>
      </c>
      <c r="E39" s="278">
        <v>2020</v>
      </c>
      <c r="F39" s="278" t="s">
        <v>3303</v>
      </c>
      <c r="G39" s="278" t="s">
        <v>3303</v>
      </c>
      <c r="H39" s="278" t="s">
        <v>3191</v>
      </c>
    </row>
    <row r="40" spans="1:8">
      <c r="B40" s="16"/>
    </row>
    <row r="41" spans="1:8">
      <c r="A41" s="725"/>
      <c r="B41" s="726" t="s">
        <v>924</v>
      </c>
      <c r="C41" s="725"/>
      <c r="D41" s="725"/>
      <c r="E41" s="725"/>
      <c r="F41" s="725"/>
      <c r="G41" s="725"/>
      <c r="H41" s="725"/>
    </row>
    <row r="42" spans="1:8">
      <c r="B42" s="277" t="s">
        <v>165</v>
      </c>
      <c r="C42" s="277" t="s">
        <v>925</v>
      </c>
      <c r="D42" s="277" t="s">
        <v>926</v>
      </c>
      <c r="E42" s="1134" t="s">
        <v>927</v>
      </c>
      <c r="F42" s="1134"/>
      <c r="G42" s="1134"/>
      <c r="H42" s="1134"/>
    </row>
    <row r="43" spans="1:8">
      <c r="B43" s="278" t="s">
        <v>169</v>
      </c>
      <c r="C43" s="278" t="s">
        <v>166</v>
      </c>
      <c r="D43" s="278">
        <f>VLOOKUP(C43,METHODOLOGY!$C$175:$D$177,2,FALSE)</f>
        <v>3</v>
      </c>
      <c r="E43" s="1087" t="str">
        <f>_xlfn.XLOOKUP(C43,METHODOLOGY!$E$150:$O$150,METHODOLOGY!$E$151:$O$151,"",0,1)</f>
        <v>Monetary values have been peer reviewed or are recommended / referenced in other, well recognised and accepted guidance / tools relevant to the water sector.</v>
      </c>
      <c r="F43" s="1087"/>
      <c r="G43" s="1087"/>
      <c r="H43" s="1087"/>
    </row>
    <row r="44" spans="1:8">
      <c r="B44" s="278" t="s">
        <v>173</v>
      </c>
      <c r="C44" s="278" t="s">
        <v>166</v>
      </c>
      <c r="D44" s="278">
        <f>VLOOKUP(C44,METHODOLOGY!$C$175:$D$177,2,FALSE)</f>
        <v>3</v>
      </c>
      <c r="E44" s="1087" t="str">
        <f>_xlfn.XLOOKUP(C44,METHODOLOGY!$E$150:$O$150,METHODOLOGY!$E$155:$O$155,"",0,1)</f>
        <v>Study has few limitations and is considered robust.</v>
      </c>
      <c r="F44" s="1087"/>
      <c r="G44" s="1087"/>
      <c r="H44" s="1087"/>
    </row>
    <row r="45" spans="1:8">
      <c r="B45" s="278" t="s">
        <v>177</v>
      </c>
      <c r="C45" s="278" t="s">
        <v>166</v>
      </c>
      <c r="D45" s="278">
        <f>VLOOKUP(C45,METHODOLOGY!$C$175:$D$177,2,FALSE)</f>
        <v>3</v>
      </c>
      <c r="E45" s="1087" t="str">
        <f>_xlfn.XLOOKUP(C45,METHODOLOGY!$E$150:$O$150,METHODOLOGY!$E$158:$O$158,"",0,1)</f>
        <v>0 – 5 years</v>
      </c>
      <c r="F45" s="1087"/>
      <c r="G45" s="1087"/>
      <c r="H45" s="1087"/>
    </row>
    <row r="46" spans="1:8">
      <c r="B46" s="278" t="s">
        <v>181</v>
      </c>
      <c r="C46" s="278" t="s">
        <v>166</v>
      </c>
      <c r="D46" s="278">
        <f>VLOOKUP(C46,METHODOLOGY!$C$175:$D$177,2,FALSE)</f>
        <v>3</v>
      </c>
      <c r="E46" s="1087" t="str">
        <f>_xlfn.XLOOKUP(C46,METHODOLOGY!$E$150:$O$150,METHODOLOGY!$E$160:$O$160,"",0,1)</f>
        <v>Geographically relevant to UK</v>
      </c>
      <c r="F46" s="1087"/>
      <c r="G46" s="1087"/>
      <c r="H46" s="1087"/>
    </row>
    <row r="47" spans="1:8">
      <c r="B47" s="278" t="s">
        <v>928</v>
      </c>
      <c r="C47" s="278" t="s">
        <v>166</v>
      </c>
      <c r="D47" s="278">
        <f>VLOOKUP(C47,METHODOLOGY!$C$175:$D$177,2,FALSE)</f>
        <v>3</v>
      </c>
      <c r="E47" s="1087" t="str">
        <f>_xlfn.XLOOKUP(C47,METHODOLOGY!$E$150:$O$150,METHODOLOGY!$E$162:$O$162,"",0,1)</f>
        <v>Clear understanding of the valuation method and how the value should be applied.</v>
      </c>
      <c r="F47" s="1087"/>
      <c r="G47" s="1087"/>
      <c r="H47" s="1087"/>
    </row>
    <row r="48" spans="1:8">
      <c r="B48" s="278" t="s">
        <v>189</v>
      </c>
      <c r="C48" s="278" t="s">
        <v>167</v>
      </c>
      <c r="D48" s="278">
        <f>VLOOKUP(C48,METHODOLOGY!$C$175:$D$177,2,FALSE)</f>
        <v>2</v>
      </c>
      <c r="E48" s="1087" t="str">
        <f>_xlfn.XLOOKUP(C48,METHODOLOGY!$E$150:$O$150,METHODOLOGY!$E$164:$O$164,"",0,1)</f>
        <v xml:space="preserve">The original valuation can be used with some modification e.g. applying household numbers. The calculation is simple or introduces low levels of uncertainty. </v>
      </c>
      <c r="F48" s="1087"/>
      <c r="G48" s="1087"/>
      <c r="H48" s="1087"/>
    </row>
    <row r="49" spans="1:9">
      <c r="C49" s="282" t="s">
        <v>924</v>
      </c>
      <c r="D49" s="326">
        <f>IF(AND(D48=1,AVERAGE(D43:D48)&gt;2.14285714285714),2.14285714285714,IF(AND(D48=2,AVERAGE(D43:D48)&gt;2.57142857142857),2.57142857142857,AVERAGE(D43:D48)))</f>
        <v>2.5714285714285698</v>
      </c>
      <c r="E49" s="270" t="str">
        <f>IF(D49&lt;=2.14285714285714,"Red",IF(D49&lt;=2.57142857142857,"Amber",IF(D49&lt;=3,"Green")))</f>
        <v>Amber</v>
      </c>
    </row>
    <row r="52" spans="1:9">
      <c r="A52" s="725"/>
      <c r="B52" s="726" t="s">
        <v>929</v>
      </c>
      <c r="C52" s="725"/>
      <c r="D52" s="725"/>
      <c r="E52" s="725"/>
      <c r="F52" s="725"/>
      <c r="G52" s="725"/>
      <c r="H52" s="725"/>
    </row>
    <row r="53" spans="1:9">
      <c r="B53" s="277" t="s">
        <v>913</v>
      </c>
      <c r="C53" s="277" t="s">
        <v>1089</v>
      </c>
      <c r="D53" s="277" t="s">
        <v>902</v>
      </c>
      <c r="E53" s="277" t="s">
        <v>1016</v>
      </c>
      <c r="F53" s="277" t="s">
        <v>3304</v>
      </c>
      <c r="G53" s="277" t="s">
        <v>331</v>
      </c>
      <c r="H53" s="277" t="s">
        <v>226</v>
      </c>
      <c r="I53" s="277" t="s">
        <v>930</v>
      </c>
    </row>
    <row r="54" spans="1:9" ht="14.45" customHeight="1">
      <c r="B54" s="278">
        <v>114</v>
      </c>
      <c r="C54" s="278" t="s">
        <v>462</v>
      </c>
      <c r="D54" s="278" t="s">
        <v>665</v>
      </c>
      <c r="E54" s="278" t="s">
        <v>3305</v>
      </c>
      <c r="F54" s="278" t="s">
        <v>3306</v>
      </c>
      <c r="G54" s="304">
        <v>550000</v>
      </c>
      <c r="H54" s="394" t="s">
        <v>2084</v>
      </c>
      <c r="I54" s="1158" t="s">
        <v>3307</v>
      </c>
    </row>
    <row r="55" spans="1:9" ht="14.45" customHeight="1">
      <c r="B55" s="278">
        <v>114</v>
      </c>
      <c r="C55" s="278" t="s">
        <v>462</v>
      </c>
      <c r="D55" s="278" t="s">
        <v>665</v>
      </c>
      <c r="E55" s="278" t="s">
        <v>3305</v>
      </c>
      <c r="F55" s="278" t="s">
        <v>3308</v>
      </c>
      <c r="G55" s="304">
        <v>400000</v>
      </c>
      <c r="H55" s="394" t="s">
        <v>2084</v>
      </c>
      <c r="I55" s="1158"/>
    </row>
    <row r="56" spans="1:9" ht="14.45" customHeight="1">
      <c r="B56" s="278">
        <v>114</v>
      </c>
      <c r="C56" s="278" t="s">
        <v>462</v>
      </c>
      <c r="D56" s="278" t="s">
        <v>665</v>
      </c>
      <c r="E56" s="278" t="s">
        <v>3305</v>
      </c>
      <c r="F56" s="278" t="s">
        <v>3309</v>
      </c>
      <c r="G56" s="304">
        <v>680000</v>
      </c>
      <c r="H56" s="394" t="s">
        <v>2084</v>
      </c>
      <c r="I56" s="1158"/>
    </row>
    <row r="57" spans="1:9" ht="14.45" customHeight="1">
      <c r="B57" s="278">
        <v>114</v>
      </c>
      <c r="C57" s="278" t="s">
        <v>462</v>
      </c>
      <c r="D57" s="278" t="s">
        <v>665</v>
      </c>
      <c r="E57" s="278" t="s">
        <v>3305</v>
      </c>
      <c r="F57" s="278" t="s">
        <v>3310</v>
      </c>
      <c r="G57" s="304">
        <v>2150000</v>
      </c>
      <c r="H57" s="394" t="s">
        <v>2084</v>
      </c>
      <c r="I57" s="1158"/>
    </row>
    <row r="58" spans="1:9" ht="14.45" customHeight="1">
      <c r="B58" s="278">
        <v>114</v>
      </c>
      <c r="C58" s="278" t="s">
        <v>462</v>
      </c>
      <c r="D58" s="278" t="s">
        <v>665</v>
      </c>
      <c r="E58" s="278" t="s">
        <v>3305</v>
      </c>
      <c r="F58" s="278" t="s">
        <v>3311</v>
      </c>
      <c r="G58" s="304">
        <v>370000</v>
      </c>
      <c r="H58" s="394" t="s">
        <v>2084</v>
      </c>
      <c r="I58" s="1158"/>
    </row>
    <row r="59" spans="1:9" ht="14.45" customHeight="1">
      <c r="B59" s="278">
        <v>114</v>
      </c>
      <c r="C59" s="278" t="s">
        <v>462</v>
      </c>
      <c r="D59" s="278" t="s">
        <v>665</v>
      </c>
      <c r="E59" s="278" t="s">
        <v>3305</v>
      </c>
      <c r="F59" s="278" t="s">
        <v>3312</v>
      </c>
      <c r="G59" s="304">
        <v>500000</v>
      </c>
      <c r="H59" s="394" t="s">
        <v>2084</v>
      </c>
      <c r="I59" s="1158"/>
    </row>
    <row r="60" spans="1:9" ht="14.45" customHeight="1">
      <c r="B60" s="278">
        <v>114</v>
      </c>
      <c r="C60" s="278" t="s">
        <v>462</v>
      </c>
      <c r="D60" s="278" t="s">
        <v>665</v>
      </c>
      <c r="E60" s="278" t="s">
        <v>3305</v>
      </c>
      <c r="F60" s="278" t="s">
        <v>3313</v>
      </c>
      <c r="G60" s="304">
        <v>1200000</v>
      </c>
      <c r="H60" s="394" t="s">
        <v>2084</v>
      </c>
      <c r="I60" s="1158"/>
    </row>
    <row r="61" spans="1:9" ht="14.45" customHeight="1">
      <c r="B61" s="278">
        <v>114</v>
      </c>
      <c r="C61" s="278" t="s">
        <v>462</v>
      </c>
      <c r="D61" s="278" t="s">
        <v>665</v>
      </c>
      <c r="E61" s="278" t="s">
        <v>3305</v>
      </c>
      <c r="F61" s="278" t="s">
        <v>3314</v>
      </c>
      <c r="G61" s="304">
        <v>1370000</v>
      </c>
      <c r="H61" s="394" t="s">
        <v>2084</v>
      </c>
      <c r="I61" s="1158"/>
    </row>
    <row r="62" spans="1:9" ht="14.45" customHeight="1">
      <c r="B62" s="278">
        <v>114</v>
      </c>
      <c r="C62" s="278" t="s">
        <v>462</v>
      </c>
      <c r="D62" s="278" t="s">
        <v>665</v>
      </c>
      <c r="E62" s="278" t="s">
        <v>3305</v>
      </c>
      <c r="F62" s="278" t="s">
        <v>3315</v>
      </c>
      <c r="G62" s="304">
        <v>970000</v>
      </c>
      <c r="H62" s="394" t="s">
        <v>2084</v>
      </c>
      <c r="I62" s="1158"/>
    </row>
    <row r="63" spans="1:9" ht="14.45" customHeight="1">
      <c r="B63" s="278">
        <v>114</v>
      </c>
      <c r="C63" s="278" t="s">
        <v>462</v>
      </c>
      <c r="D63" s="278" t="s">
        <v>665</v>
      </c>
      <c r="E63" s="278" t="s">
        <v>3305</v>
      </c>
      <c r="F63" s="278" t="s">
        <v>3316</v>
      </c>
      <c r="G63" s="304">
        <v>620000</v>
      </c>
      <c r="H63" s="394" t="s">
        <v>2084</v>
      </c>
      <c r="I63" s="1158"/>
    </row>
    <row r="64" spans="1:9" ht="14.45" customHeight="1">
      <c r="B64" s="278">
        <v>114</v>
      </c>
      <c r="C64" s="278" t="s">
        <v>462</v>
      </c>
      <c r="D64" s="278" t="s">
        <v>665</v>
      </c>
      <c r="E64" s="278" t="s">
        <v>3305</v>
      </c>
      <c r="F64" s="278" t="s">
        <v>3317</v>
      </c>
      <c r="G64" s="304">
        <v>1880000</v>
      </c>
      <c r="H64" s="394" t="s">
        <v>2084</v>
      </c>
      <c r="I64" s="1158"/>
    </row>
    <row r="65" spans="2:9" ht="14.45" customHeight="1">
      <c r="B65" s="278">
        <v>114</v>
      </c>
      <c r="C65" s="278" t="s">
        <v>462</v>
      </c>
      <c r="D65" s="278" t="s">
        <v>665</v>
      </c>
      <c r="E65" s="278" t="s">
        <v>3305</v>
      </c>
      <c r="F65" s="278" t="s">
        <v>3318</v>
      </c>
      <c r="G65" s="304">
        <v>1000000</v>
      </c>
      <c r="H65" s="394" t="s">
        <v>2084</v>
      </c>
      <c r="I65" s="1158"/>
    </row>
    <row r="66" spans="2:9" ht="14.45" customHeight="1">
      <c r="B66" s="278">
        <v>114</v>
      </c>
      <c r="C66" s="278" t="s">
        <v>462</v>
      </c>
      <c r="D66" s="278" t="s">
        <v>665</v>
      </c>
      <c r="E66" s="278" t="s">
        <v>3305</v>
      </c>
      <c r="F66" s="278" t="s">
        <v>3319</v>
      </c>
      <c r="G66" s="304">
        <v>2100000</v>
      </c>
      <c r="H66" s="394" t="s">
        <v>2084</v>
      </c>
      <c r="I66" s="1158"/>
    </row>
    <row r="67" spans="2:9" ht="14.45" customHeight="1">
      <c r="B67" s="278">
        <v>114</v>
      </c>
      <c r="C67" s="278" t="s">
        <v>462</v>
      </c>
      <c r="D67" s="278" t="s">
        <v>665</v>
      </c>
      <c r="E67" s="278" t="s">
        <v>3305</v>
      </c>
      <c r="F67" s="278" t="s">
        <v>3320</v>
      </c>
      <c r="G67" s="304">
        <v>1100000</v>
      </c>
      <c r="H67" s="394" t="s">
        <v>2084</v>
      </c>
      <c r="I67" s="1158"/>
    </row>
    <row r="68" spans="2:9" ht="14.45" customHeight="1">
      <c r="B68" s="278">
        <v>114</v>
      </c>
      <c r="C68" s="278" t="s">
        <v>462</v>
      </c>
      <c r="D68" s="278" t="s">
        <v>665</v>
      </c>
      <c r="E68" s="278" t="s">
        <v>3305</v>
      </c>
      <c r="F68" s="278" t="s">
        <v>3321</v>
      </c>
      <c r="G68" s="304">
        <v>370000</v>
      </c>
      <c r="H68" s="394" t="s">
        <v>2084</v>
      </c>
      <c r="I68" s="1158"/>
    </row>
    <row r="69" spans="2:9" ht="14.45" customHeight="1">
      <c r="B69" s="278">
        <v>114</v>
      </c>
      <c r="C69" s="278" t="s">
        <v>462</v>
      </c>
      <c r="D69" s="278" t="s">
        <v>665</v>
      </c>
      <c r="E69" s="278" t="s">
        <v>3305</v>
      </c>
      <c r="F69" s="278" t="s">
        <v>3322</v>
      </c>
      <c r="G69" s="304">
        <v>550000</v>
      </c>
      <c r="H69" s="394" t="s">
        <v>2084</v>
      </c>
      <c r="I69" s="1158"/>
    </row>
    <row r="70" spans="2:9" ht="14.45" customHeight="1">
      <c r="B70" s="278">
        <v>114</v>
      </c>
      <c r="C70" s="278" t="s">
        <v>462</v>
      </c>
      <c r="D70" s="278" t="s">
        <v>665</v>
      </c>
      <c r="E70" s="278" t="s">
        <v>3305</v>
      </c>
      <c r="F70" s="278" t="s">
        <v>3323</v>
      </c>
      <c r="G70" s="304">
        <v>2650000</v>
      </c>
      <c r="H70" s="394" t="s">
        <v>2084</v>
      </c>
      <c r="I70" s="1158"/>
    </row>
    <row r="71" spans="2:9" ht="14.45" customHeight="1">
      <c r="B71" s="278">
        <v>114</v>
      </c>
      <c r="C71" s="278" t="s">
        <v>462</v>
      </c>
      <c r="D71" s="278" t="s">
        <v>665</v>
      </c>
      <c r="E71" s="278" t="s">
        <v>3305</v>
      </c>
      <c r="F71" s="278" t="s">
        <v>3324</v>
      </c>
      <c r="G71" s="304">
        <v>1100000</v>
      </c>
      <c r="H71" s="394" t="s">
        <v>2084</v>
      </c>
      <c r="I71" s="1158"/>
    </row>
    <row r="72" spans="2:9" ht="14.45" customHeight="1">
      <c r="B72" s="278">
        <v>114</v>
      </c>
      <c r="C72" s="278" t="s">
        <v>462</v>
      </c>
      <c r="D72" s="278" t="s">
        <v>665</v>
      </c>
      <c r="E72" s="278" t="s">
        <v>3305</v>
      </c>
      <c r="F72" s="278" t="s">
        <v>3325</v>
      </c>
      <c r="G72" s="304">
        <v>1530000</v>
      </c>
      <c r="H72" s="394" t="s">
        <v>2084</v>
      </c>
      <c r="I72" s="1158"/>
    </row>
    <row r="73" spans="2:9" ht="14.45" customHeight="1">
      <c r="B73" s="278">
        <v>114</v>
      </c>
      <c r="C73" s="278" t="s">
        <v>462</v>
      </c>
      <c r="D73" s="278" t="s">
        <v>665</v>
      </c>
      <c r="E73" s="278" t="s">
        <v>3305</v>
      </c>
      <c r="F73" s="278" t="s">
        <v>3326</v>
      </c>
      <c r="G73" s="304">
        <v>1350000</v>
      </c>
      <c r="H73" s="394" t="s">
        <v>2084</v>
      </c>
      <c r="I73" s="1158"/>
    </row>
    <row r="74" spans="2:9" ht="14.45" customHeight="1">
      <c r="B74" s="278">
        <v>114</v>
      </c>
      <c r="C74" s="278" t="s">
        <v>462</v>
      </c>
      <c r="D74" s="278" t="s">
        <v>665</v>
      </c>
      <c r="E74" s="278" t="s">
        <v>3305</v>
      </c>
      <c r="F74" s="278" t="s">
        <v>3327</v>
      </c>
      <c r="G74" s="304">
        <v>1460000</v>
      </c>
      <c r="H74" s="394" t="s">
        <v>2084</v>
      </c>
      <c r="I74" s="1158"/>
    </row>
    <row r="75" spans="2:9" ht="14.45" customHeight="1">
      <c r="B75" s="278">
        <v>114</v>
      </c>
      <c r="C75" s="278" t="s">
        <v>462</v>
      </c>
      <c r="D75" s="278" t="s">
        <v>665</v>
      </c>
      <c r="E75" s="278" t="s">
        <v>3305</v>
      </c>
      <c r="F75" s="278" t="s">
        <v>3328</v>
      </c>
      <c r="G75" s="304">
        <v>1200000</v>
      </c>
      <c r="H75" s="394" t="s">
        <v>2084</v>
      </c>
      <c r="I75" s="1158"/>
    </row>
    <row r="76" spans="2:9" ht="14.45" customHeight="1">
      <c r="B76" s="278">
        <v>114</v>
      </c>
      <c r="C76" s="278" t="s">
        <v>462</v>
      </c>
      <c r="D76" s="278" t="s">
        <v>665</v>
      </c>
      <c r="E76" s="278" t="s">
        <v>3305</v>
      </c>
      <c r="F76" s="278" t="s">
        <v>3329</v>
      </c>
      <c r="G76" s="304">
        <v>1100000</v>
      </c>
      <c r="H76" s="394" t="s">
        <v>2084</v>
      </c>
      <c r="I76" s="1158"/>
    </row>
    <row r="77" spans="2:9" ht="14.45" customHeight="1">
      <c r="B77" s="278">
        <v>114</v>
      </c>
      <c r="C77" s="278" t="s">
        <v>462</v>
      </c>
      <c r="D77" s="278" t="s">
        <v>665</v>
      </c>
      <c r="E77" s="278" t="s">
        <v>3305</v>
      </c>
      <c r="F77" s="278" t="s">
        <v>3330</v>
      </c>
      <c r="G77" s="304">
        <v>950000</v>
      </c>
      <c r="H77" s="394" t="s">
        <v>2084</v>
      </c>
      <c r="I77" s="1158"/>
    </row>
    <row r="78" spans="2:9" ht="14.45" customHeight="1">
      <c r="B78" s="278">
        <v>114</v>
      </c>
      <c r="C78" s="278" t="s">
        <v>462</v>
      </c>
      <c r="D78" s="278" t="s">
        <v>665</v>
      </c>
      <c r="E78" s="278" t="s">
        <v>3305</v>
      </c>
      <c r="F78" s="278" t="s">
        <v>3331</v>
      </c>
      <c r="G78" s="304">
        <v>1130000</v>
      </c>
      <c r="H78" s="394" t="s">
        <v>2084</v>
      </c>
      <c r="I78" s="1158"/>
    </row>
    <row r="79" spans="2:9" ht="14.45" customHeight="1">
      <c r="B79" s="278">
        <v>114</v>
      </c>
      <c r="C79" s="278" t="s">
        <v>462</v>
      </c>
      <c r="D79" s="278" t="s">
        <v>665</v>
      </c>
      <c r="E79" s="278" t="s">
        <v>3305</v>
      </c>
      <c r="F79" s="278" t="s">
        <v>3332</v>
      </c>
      <c r="G79" s="304">
        <v>670000</v>
      </c>
      <c r="H79" s="394" t="s">
        <v>2084</v>
      </c>
      <c r="I79" s="1158"/>
    </row>
    <row r="80" spans="2:9" ht="14.45" customHeight="1">
      <c r="B80" s="278">
        <v>114</v>
      </c>
      <c r="C80" s="278" t="s">
        <v>462</v>
      </c>
      <c r="D80" s="278" t="s">
        <v>665</v>
      </c>
      <c r="E80" s="278" t="s">
        <v>3305</v>
      </c>
      <c r="F80" s="278" t="s">
        <v>3333</v>
      </c>
      <c r="G80" s="304">
        <v>1230000</v>
      </c>
      <c r="H80" s="394" t="s">
        <v>2084</v>
      </c>
      <c r="I80" s="1158"/>
    </row>
    <row r="81" spans="2:9" ht="14.45" customHeight="1">
      <c r="B81" s="278">
        <v>114</v>
      </c>
      <c r="C81" s="278" t="s">
        <v>462</v>
      </c>
      <c r="D81" s="278" t="s">
        <v>665</v>
      </c>
      <c r="E81" s="278" t="s">
        <v>3305</v>
      </c>
      <c r="F81" s="278" t="s">
        <v>3334</v>
      </c>
      <c r="G81" s="304">
        <v>2040000</v>
      </c>
      <c r="H81" s="394" t="s">
        <v>2084</v>
      </c>
      <c r="I81" s="1158"/>
    </row>
    <row r="82" spans="2:9" ht="14.45" customHeight="1">
      <c r="B82" s="278">
        <v>114</v>
      </c>
      <c r="C82" s="278" t="s">
        <v>462</v>
      </c>
      <c r="D82" s="278" t="s">
        <v>665</v>
      </c>
      <c r="E82" s="278" t="s">
        <v>3305</v>
      </c>
      <c r="F82" s="278" t="s">
        <v>3335</v>
      </c>
      <c r="G82" s="304">
        <v>1200000</v>
      </c>
      <c r="H82" s="394" t="s">
        <v>2084</v>
      </c>
      <c r="I82" s="1158"/>
    </row>
    <row r="83" spans="2:9" ht="14.45" customHeight="1">
      <c r="B83" s="278">
        <v>114</v>
      </c>
      <c r="C83" s="278" t="s">
        <v>462</v>
      </c>
      <c r="D83" s="278" t="s">
        <v>665</v>
      </c>
      <c r="E83" s="278" t="s">
        <v>3305</v>
      </c>
      <c r="F83" s="278" t="s">
        <v>3336</v>
      </c>
      <c r="G83" s="304">
        <v>1710000</v>
      </c>
      <c r="H83" s="394" t="s">
        <v>2084</v>
      </c>
      <c r="I83" s="1158"/>
    </row>
    <row r="84" spans="2:9" ht="14.45" customHeight="1">
      <c r="B84" s="278">
        <v>114</v>
      </c>
      <c r="C84" s="278" t="s">
        <v>462</v>
      </c>
      <c r="D84" s="278" t="s">
        <v>665</v>
      </c>
      <c r="E84" s="278" t="s">
        <v>3305</v>
      </c>
      <c r="F84" s="278" t="s">
        <v>3337</v>
      </c>
      <c r="G84" s="304">
        <v>1700000</v>
      </c>
      <c r="H84" s="394" t="s">
        <v>2084</v>
      </c>
      <c r="I84" s="1158"/>
    </row>
    <row r="85" spans="2:9" ht="14.45" customHeight="1">
      <c r="B85" s="278">
        <v>114</v>
      </c>
      <c r="C85" s="278" t="s">
        <v>462</v>
      </c>
      <c r="D85" s="278" t="s">
        <v>665</v>
      </c>
      <c r="E85" s="278" t="s">
        <v>3305</v>
      </c>
      <c r="F85" s="278" t="s">
        <v>3338</v>
      </c>
      <c r="G85" s="304">
        <v>2000000</v>
      </c>
      <c r="H85" s="394" t="s">
        <v>2084</v>
      </c>
      <c r="I85" s="1158"/>
    </row>
    <row r="86" spans="2:9" ht="14.45" customHeight="1">
      <c r="B86" s="278">
        <v>114</v>
      </c>
      <c r="C86" s="278" t="s">
        <v>462</v>
      </c>
      <c r="D86" s="278" t="s">
        <v>665</v>
      </c>
      <c r="E86" s="278" t="s">
        <v>3305</v>
      </c>
      <c r="F86" s="278" t="s">
        <v>3339</v>
      </c>
      <c r="G86" s="304">
        <v>1000000</v>
      </c>
      <c r="H86" s="394" t="s">
        <v>2084</v>
      </c>
      <c r="I86" s="1158"/>
    </row>
    <row r="87" spans="2:9" ht="14.45" customHeight="1">
      <c r="B87" s="278">
        <v>114</v>
      </c>
      <c r="C87" s="278" t="s">
        <v>462</v>
      </c>
      <c r="D87" s="278" t="s">
        <v>665</v>
      </c>
      <c r="E87" s="278" t="s">
        <v>3305</v>
      </c>
      <c r="F87" s="278" t="s">
        <v>3340</v>
      </c>
      <c r="G87" s="304">
        <v>450000</v>
      </c>
      <c r="H87" s="394" t="s">
        <v>2084</v>
      </c>
      <c r="I87" s="1158"/>
    </row>
    <row r="88" spans="2:9" ht="14.45" customHeight="1">
      <c r="B88" s="278">
        <v>114</v>
      </c>
      <c r="C88" s="278" t="s">
        <v>462</v>
      </c>
      <c r="D88" s="278" t="s">
        <v>665</v>
      </c>
      <c r="E88" s="278" t="s">
        <v>3305</v>
      </c>
      <c r="F88" s="278" t="s">
        <v>3341</v>
      </c>
      <c r="G88" s="304">
        <v>920000</v>
      </c>
      <c r="H88" s="394" t="s">
        <v>2084</v>
      </c>
      <c r="I88" s="1158"/>
    </row>
    <row r="89" spans="2:9" ht="14.45" customHeight="1">
      <c r="B89" s="278">
        <v>114</v>
      </c>
      <c r="C89" s="278" t="s">
        <v>462</v>
      </c>
      <c r="D89" s="278" t="s">
        <v>665</v>
      </c>
      <c r="E89" s="278" t="s">
        <v>3305</v>
      </c>
      <c r="F89" s="278" t="s">
        <v>3342</v>
      </c>
      <c r="G89" s="304">
        <v>2850000</v>
      </c>
      <c r="H89" s="394" t="s">
        <v>2084</v>
      </c>
      <c r="I89" s="1158"/>
    </row>
    <row r="90" spans="2:9" ht="14.45" customHeight="1">
      <c r="B90" s="278">
        <v>114</v>
      </c>
      <c r="C90" s="278" t="s">
        <v>462</v>
      </c>
      <c r="D90" s="278" t="s">
        <v>665</v>
      </c>
      <c r="E90" s="278" t="s">
        <v>3305</v>
      </c>
      <c r="F90" s="278" t="s">
        <v>3343</v>
      </c>
      <c r="G90" s="304">
        <v>1700000</v>
      </c>
      <c r="H90" s="394" t="s">
        <v>2084</v>
      </c>
      <c r="I90" s="1158"/>
    </row>
    <row r="91" spans="2:9" ht="14.45" customHeight="1">
      <c r="B91" s="278">
        <v>114</v>
      </c>
      <c r="C91" s="278" t="s">
        <v>462</v>
      </c>
      <c r="D91" s="278" t="s">
        <v>667</v>
      </c>
      <c r="E91" s="278" t="s">
        <v>3344</v>
      </c>
      <c r="F91" s="278" t="s">
        <v>3177</v>
      </c>
      <c r="G91" s="304">
        <v>1700000</v>
      </c>
      <c r="H91" s="394" t="s">
        <v>2084</v>
      </c>
      <c r="I91" s="1158"/>
    </row>
    <row r="92" spans="2:9" ht="14.45" customHeight="1">
      <c r="B92" s="278">
        <v>114</v>
      </c>
      <c r="C92" s="278" t="s">
        <v>462</v>
      </c>
      <c r="D92" s="278" t="s">
        <v>667</v>
      </c>
      <c r="E92" s="278" t="s">
        <v>3344</v>
      </c>
      <c r="F92" s="278" t="s">
        <v>3345</v>
      </c>
      <c r="G92" s="304">
        <v>2850000</v>
      </c>
      <c r="H92" s="394" t="s">
        <v>2084</v>
      </c>
      <c r="I92" s="1158"/>
    </row>
    <row r="93" spans="2:9" ht="14.45" customHeight="1">
      <c r="B93" s="278">
        <v>114</v>
      </c>
      <c r="C93" s="278" t="s">
        <v>462</v>
      </c>
      <c r="D93" s="278" t="s">
        <v>667</v>
      </c>
      <c r="E93" s="278" t="s">
        <v>3344</v>
      </c>
      <c r="F93" s="278" t="s">
        <v>3346</v>
      </c>
      <c r="G93" s="304">
        <v>1140000</v>
      </c>
      <c r="H93" s="394" t="s">
        <v>2084</v>
      </c>
      <c r="I93" s="1158"/>
    </row>
    <row r="94" spans="2:9" ht="14.45" customHeight="1">
      <c r="B94" s="278">
        <v>114</v>
      </c>
      <c r="C94" s="278" t="s">
        <v>462</v>
      </c>
      <c r="D94" s="278" t="s">
        <v>667</v>
      </c>
      <c r="E94" s="278" t="s">
        <v>3344</v>
      </c>
      <c r="F94" s="278" t="s">
        <v>3347</v>
      </c>
      <c r="G94" s="304">
        <v>1810000</v>
      </c>
      <c r="H94" s="394" t="s">
        <v>2084</v>
      </c>
      <c r="I94" s="1158"/>
    </row>
    <row r="95" spans="2:9" ht="14.45" customHeight="1">
      <c r="B95" s="278">
        <v>114</v>
      </c>
      <c r="C95" s="278" t="s">
        <v>462</v>
      </c>
      <c r="D95" s="278" t="s">
        <v>667</v>
      </c>
      <c r="E95" s="278" t="s">
        <v>3344</v>
      </c>
      <c r="F95" s="278" t="s">
        <v>3348</v>
      </c>
      <c r="G95" s="304">
        <v>1900000</v>
      </c>
      <c r="H95" s="394" t="s">
        <v>2084</v>
      </c>
      <c r="I95" s="1158"/>
    </row>
    <row r="96" spans="2:9" ht="14.45" customHeight="1">
      <c r="B96" s="278">
        <v>114</v>
      </c>
      <c r="C96" s="278" t="s">
        <v>462</v>
      </c>
      <c r="D96" s="278" t="s">
        <v>667</v>
      </c>
      <c r="E96" s="278" t="s">
        <v>3344</v>
      </c>
      <c r="F96" s="278" t="s">
        <v>3349</v>
      </c>
      <c r="G96" s="304">
        <v>1800000</v>
      </c>
      <c r="H96" s="394" t="s">
        <v>2084</v>
      </c>
      <c r="I96" s="1158"/>
    </row>
    <row r="97" spans="2:9" ht="14.45" customHeight="1">
      <c r="B97" s="278">
        <v>114</v>
      </c>
      <c r="C97" s="278" t="s">
        <v>462</v>
      </c>
      <c r="D97" s="278" t="s">
        <v>667</v>
      </c>
      <c r="E97" s="278" t="s">
        <v>3344</v>
      </c>
      <c r="F97" s="278" t="s">
        <v>3350</v>
      </c>
      <c r="G97" s="304">
        <v>2300000</v>
      </c>
      <c r="H97" s="394" t="s">
        <v>2084</v>
      </c>
      <c r="I97" s="1158"/>
    </row>
    <row r="98" spans="2:9" ht="14.45" customHeight="1">
      <c r="B98" s="278">
        <v>114</v>
      </c>
      <c r="C98" s="278" t="s">
        <v>462</v>
      </c>
      <c r="D98" s="278" t="s">
        <v>667</v>
      </c>
      <c r="E98" s="278" t="s">
        <v>3344</v>
      </c>
      <c r="F98" s="278" t="s">
        <v>3351</v>
      </c>
      <c r="G98" s="304">
        <v>2650000</v>
      </c>
      <c r="H98" s="394" t="s">
        <v>2084</v>
      </c>
      <c r="I98" s="1158"/>
    </row>
    <row r="99" spans="2:9" ht="14.45" customHeight="1">
      <c r="B99" s="278">
        <v>114</v>
      </c>
      <c r="C99" s="278" t="s">
        <v>462</v>
      </c>
      <c r="D99" s="278" t="s">
        <v>667</v>
      </c>
      <c r="E99" s="278" t="s">
        <v>3344</v>
      </c>
      <c r="F99" s="278" t="s">
        <v>3352</v>
      </c>
      <c r="G99" s="304">
        <v>1800000</v>
      </c>
      <c r="H99" s="394" t="s">
        <v>2084</v>
      </c>
      <c r="I99" s="1158"/>
    </row>
    <row r="100" spans="2:9" ht="14.45" customHeight="1">
      <c r="B100" s="278">
        <v>114</v>
      </c>
      <c r="C100" s="278" t="s">
        <v>462</v>
      </c>
      <c r="D100" s="278" t="s">
        <v>667</v>
      </c>
      <c r="E100" s="278" t="s">
        <v>3344</v>
      </c>
      <c r="F100" s="278" t="s">
        <v>3353</v>
      </c>
      <c r="G100" s="304">
        <v>1000000</v>
      </c>
      <c r="H100" s="394" t="s">
        <v>2084</v>
      </c>
      <c r="I100" s="1158"/>
    </row>
    <row r="101" spans="2:9" ht="14.45" customHeight="1">
      <c r="B101" s="278">
        <v>114</v>
      </c>
      <c r="C101" s="278" t="s">
        <v>462</v>
      </c>
      <c r="D101" s="278" t="s">
        <v>667</v>
      </c>
      <c r="E101" s="278" t="s">
        <v>3344</v>
      </c>
      <c r="F101" s="278" t="s">
        <v>3354</v>
      </c>
      <c r="G101" s="304">
        <v>1700000</v>
      </c>
      <c r="H101" s="394" t="s">
        <v>2084</v>
      </c>
      <c r="I101" s="1158"/>
    </row>
    <row r="102" spans="2:9" ht="14.45" customHeight="1">
      <c r="B102" s="278">
        <v>114</v>
      </c>
      <c r="C102" s="278" t="s">
        <v>462</v>
      </c>
      <c r="D102" s="278" t="s">
        <v>667</v>
      </c>
      <c r="E102" s="278" t="s">
        <v>3344</v>
      </c>
      <c r="F102" s="278" t="s">
        <v>3355</v>
      </c>
      <c r="G102" s="304">
        <v>1370000</v>
      </c>
      <c r="H102" s="394" t="s">
        <v>2084</v>
      </c>
      <c r="I102" s="1158"/>
    </row>
    <row r="103" spans="2:9" ht="14.45" customHeight="1">
      <c r="B103" s="278">
        <v>114</v>
      </c>
      <c r="C103" s="278" t="s">
        <v>462</v>
      </c>
      <c r="D103" s="278" t="s">
        <v>667</v>
      </c>
      <c r="E103" s="278" t="s">
        <v>3344</v>
      </c>
      <c r="F103" s="278" t="s">
        <v>3356</v>
      </c>
      <c r="G103" s="304">
        <v>2450000</v>
      </c>
      <c r="H103" s="394" t="s">
        <v>2084</v>
      </c>
      <c r="I103" s="1158"/>
    </row>
    <row r="104" spans="2:9" ht="14.45" customHeight="1">
      <c r="B104" s="278">
        <v>114</v>
      </c>
      <c r="C104" s="278" t="s">
        <v>462</v>
      </c>
      <c r="D104" s="278" t="s">
        <v>667</v>
      </c>
      <c r="E104" s="278" t="s">
        <v>3344</v>
      </c>
      <c r="F104" s="278" t="s">
        <v>3357</v>
      </c>
      <c r="G104" s="304">
        <v>2250000</v>
      </c>
      <c r="H104" s="394" t="s">
        <v>2084</v>
      </c>
      <c r="I104" s="1158"/>
    </row>
    <row r="105" spans="2:9" ht="14.45" customHeight="1">
      <c r="B105" s="278">
        <v>114</v>
      </c>
      <c r="C105" s="278" t="s">
        <v>462</v>
      </c>
      <c r="D105" s="278" t="s">
        <v>667</v>
      </c>
      <c r="E105" s="278" t="s">
        <v>3344</v>
      </c>
      <c r="F105" s="278" t="s">
        <v>3358</v>
      </c>
      <c r="G105" s="304">
        <v>1770000</v>
      </c>
      <c r="H105" s="394" t="s">
        <v>2084</v>
      </c>
      <c r="I105" s="1158"/>
    </row>
    <row r="106" spans="2:9" ht="14.45" customHeight="1">
      <c r="B106" s="278">
        <v>114</v>
      </c>
      <c r="C106" s="278" t="s">
        <v>462</v>
      </c>
      <c r="D106" s="278" t="s">
        <v>667</v>
      </c>
      <c r="E106" s="278" t="s">
        <v>3344</v>
      </c>
      <c r="F106" s="278" t="s">
        <v>3359</v>
      </c>
      <c r="G106" s="304">
        <v>1500000</v>
      </c>
      <c r="H106" s="394" t="s">
        <v>2084</v>
      </c>
      <c r="I106" s="1158"/>
    </row>
    <row r="107" spans="2:9" ht="14.45" customHeight="1">
      <c r="B107" s="278">
        <v>114</v>
      </c>
      <c r="C107" s="278" t="s">
        <v>462</v>
      </c>
      <c r="D107" s="278" t="s">
        <v>667</v>
      </c>
      <c r="E107" s="278" t="s">
        <v>3344</v>
      </c>
      <c r="F107" s="278" t="s">
        <v>3360</v>
      </c>
      <c r="G107" s="304">
        <v>4270000</v>
      </c>
      <c r="H107" s="394" t="s">
        <v>2084</v>
      </c>
      <c r="I107" s="1158"/>
    </row>
    <row r="108" spans="2:9" ht="14.45" customHeight="1">
      <c r="B108" s="278">
        <v>114</v>
      </c>
      <c r="C108" s="278" t="s">
        <v>462</v>
      </c>
      <c r="D108" s="278" t="s">
        <v>667</v>
      </c>
      <c r="E108" s="278" t="s">
        <v>3344</v>
      </c>
      <c r="F108" s="278" t="s">
        <v>3361</v>
      </c>
      <c r="G108" s="304">
        <v>2340000</v>
      </c>
      <c r="H108" s="394" t="s">
        <v>2084</v>
      </c>
      <c r="I108" s="1158"/>
    </row>
    <row r="109" spans="2:9" ht="14.45" customHeight="1">
      <c r="B109" s="278">
        <v>114</v>
      </c>
      <c r="C109" s="278" t="s">
        <v>462</v>
      </c>
      <c r="D109" s="278" t="s">
        <v>667</v>
      </c>
      <c r="E109" s="278" t="s">
        <v>3344</v>
      </c>
      <c r="F109" s="278" t="s">
        <v>3362</v>
      </c>
      <c r="G109" s="304">
        <v>1600000</v>
      </c>
      <c r="H109" s="394" t="s">
        <v>2084</v>
      </c>
      <c r="I109" s="1158"/>
    </row>
    <row r="110" spans="2:9" ht="14.45" customHeight="1">
      <c r="B110" s="278">
        <v>114</v>
      </c>
      <c r="C110" s="278" t="s">
        <v>462</v>
      </c>
      <c r="D110" s="278" t="s">
        <v>667</v>
      </c>
      <c r="E110" s="278" t="s">
        <v>3344</v>
      </c>
      <c r="F110" s="278" t="s">
        <v>3363</v>
      </c>
      <c r="G110" s="304">
        <v>780000</v>
      </c>
      <c r="H110" s="394" t="s">
        <v>2084</v>
      </c>
      <c r="I110" s="1158"/>
    </row>
    <row r="111" spans="2:9" ht="14.45" customHeight="1">
      <c r="B111" s="278">
        <v>114</v>
      </c>
      <c r="C111" s="278" t="s">
        <v>462</v>
      </c>
      <c r="D111" s="278" t="s">
        <v>667</v>
      </c>
      <c r="E111" s="278" t="s">
        <v>3344</v>
      </c>
      <c r="F111" s="278" t="s">
        <v>3364</v>
      </c>
      <c r="G111" s="304">
        <v>820000</v>
      </c>
      <c r="H111" s="394" t="s">
        <v>2084</v>
      </c>
      <c r="I111" s="1158"/>
    </row>
    <row r="112" spans="2:9" ht="14.45" customHeight="1">
      <c r="B112" s="278">
        <v>114</v>
      </c>
      <c r="C112" s="278" t="s">
        <v>462</v>
      </c>
      <c r="D112" s="278" t="s">
        <v>667</v>
      </c>
      <c r="E112" s="278" t="s">
        <v>3344</v>
      </c>
      <c r="F112" s="278" t="s">
        <v>3365</v>
      </c>
      <c r="G112" s="304">
        <v>4130000</v>
      </c>
      <c r="H112" s="394" t="s">
        <v>2084</v>
      </c>
      <c r="I112" s="1158"/>
    </row>
    <row r="113" spans="2:9" ht="14.45" customHeight="1">
      <c r="B113" s="278">
        <v>114</v>
      </c>
      <c r="C113" s="278" t="s">
        <v>462</v>
      </c>
      <c r="D113" s="278" t="s">
        <v>667</v>
      </c>
      <c r="E113" s="278" t="s">
        <v>3344</v>
      </c>
      <c r="F113" s="278" t="s">
        <v>3366</v>
      </c>
      <c r="G113" s="304">
        <v>2100000</v>
      </c>
      <c r="H113" s="394" t="s">
        <v>2084</v>
      </c>
      <c r="I113" s="1158"/>
    </row>
    <row r="114" spans="2:9" ht="14.45" customHeight="1">
      <c r="B114" s="278">
        <v>114</v>
      </c>
      <c r="C114" s="278" t="s">
        <v>462</v>
      </c>
      <c r="D114" s="278" t="s">
        <v>667</v>
      </c>
      <c r="E114" s="278" t="s">
        <v>3344</v>
      </c>
      <c r="F114" s="278" t="s">
        <v>3367</v>
      </c>
      <c r="G114" s="304">
        <v>1230000</v>
      </c>
      <c r="H114" s="394" t="s">
        <v>2084</v>
      </c>
      <c r="I114" s="1158"/>
    </row>
    <row r="115" spans="2:9" ht="14.45" customHeight="1">
      <c r="B115" s="278">
        <v>114</v>
      </c>
      <c r="C115" s="278" t="s">
        <v>462</v>
      </c>
      <c r="D115" s="278" t="s">
        <v>667</v>
      </c>
      <c r="E115" s="278" t="s">
        <v>3344</v>
      </c>
      <c r="F115" s="278" t="s">
        <v>3368</v>
      </c>
      <c r="G115" s="304">
        <v>1110000</v>
      </c>
      <c r="H115" s="394" t="s">
        <v>2084</v>
      </c>
      <c r="I115" s="1158"/>
    </row>
    <row r="116" spans="2:9" ht="14.45" customHeight="1">
      <c r="B116" s="278">
        <v>114</v>
      </c>
      <c r="C116" s="278" t="s">
        <v>462</v>
      </c>
      <c r="D116" s="278" t="s">
        <v>667</v>
      </c>
      <c r="E116" s="278" t="s">
        <v>3344</v>
      </c>
      <c r="F116" s="278" t="s">
        <v>3369</v>
      </c>
      <c r="G116" s="304">
        <v>3850000</v>
      </c>
      <c r="H116" s="394" t="s">
        <v>2084</v>
      </c>
      <c r="I116" s="1158"/>
    </row>
    <row r="117" spans="2:9" ht="14.45" customHeight="1">
      <c r="B117" s="278">
        <v>114</v>
      </c>
      <c r="C117" s="278" t="s">
        <v>462</v>
      </c>
      <c r="D117" s="278" t="s">
        <v>667</v>
      </c>
      <c r="E117" s="278" t="s">
        <v>3344</v>
      </c>
      <c r="F117" s="278" t="s">
        <v>3370</v>
      </c>
      <c r="G117" s="304">
        <v>1165000</v>
      </c>
      <c r="H117" s="394" t="s">
        <v>2084</v>
      </c>
      <c r="I117" s="1158"/>
    </row>
    <row r="118" spans="2:9" ht="14.45" customHeight="1">
      <c r="B118" s="278">
        <v>114</v>
      </c>
      <c r="C118" s="278" t="s">
        <v>462</v>
      </c>
      <c r="D118" s="278" t="s">
        <v>667</v>
      </c>
      <c r="E118" s="278" t="s">
        <v>3344</v>
      </c>
      <c r="F118" s="278" t="s">
        <v>3371</v>
      </c>
      <c r="G118" s="304">
        <v>2650000</v>
      </c>
      <c r="H118" s="394" t="s">
        <v>2084</v>
      </c>
      <c r="I118" s="1158"/>
    </row>
    <row r="119" spans="2:9" ht="14.45" customHeight="1">
      <c r="B119" s="278">
        <v>114</v>
      </c>
      <c r="C119" s="278" t="s">
        <v>462</v>
      </c>
      <c r="D119" s="278" t="s">
        <v>667</v>
      </c>
      <c r="E119" s="278" t="s">
        <v>3344</v>
      </c>
      <c r="F119" s="278" t="s">
        <v>3372</v>
      </c>
      <c r="G119" s="304">
        <v>2230000</v>
      </c>
      <c r="H119" s="394" t="s">
        <v>2084</v>
      </c>
      <c r="I119" s="1158"/>
    </row>
    <row r="120" spans="2:9" ht="14.45" customHeight="1">
      <c r="B120" s="278">
        <v>114</v>
      </c>
      <c r="C120" s="278" t="s">
        <v>462</v>
      </c>
      <c r="D120" s="278" t="s">
        <v>667</v>
      </c>
      <c r="E120" s="278" t="s">
        <v>3344</v>
      </c>
      <c r="F120" s="278" t="s">
        <v>3373</v>
      </c>
      <c r="G120" s="304">
        <v>1450000</v>
      </c>
      <c r="H120" s="394" t="s">
        <v>2084</v>
      </c>
      <c r="I120" s="1158"/>
    </row>
    <row r="121" spans="2:9" ht="14.45" customHeight="1">
      <c r="B121" s="278">
        <v>114</v>
      </c>
      <c r="C121" s="278" t="s">
        <v>462</v>
      </c>
      <c r="D121" s="278" t="s">
        <v>668</v>
      </c>
      <c r="E121" s="278" t="s">
        <v>3374</v>
      </c>
      <c r="F121" s="278" t="s">
        <v>3375</v>
      </c>
      <c r="G121" s="304">
        <v>2330000</v>
      </c>
      <c r="H121" s="394" t="s">
        <v>2084</v>
      </c>
      <c r="I121" s="1158"/>
    </row>
    <row r="122" spans="2:9" ht="14.45" customHeight="1">
      <c r="B122" s="278">
        <v>114</v>
      </c>
      <c r="C122" s="278" t="s">
        <v>462</v>
      </c>
      <c r="D122" s="278" t="s">
        <v>668</v>
      </c>
      <c r="E122" s="278" t="s">
        <v>3374</v>
      </c>
      <c r="F122" s="278" t="s">
        <v>3376</v>
      </c>
      <c r="G122" s="304">
        <v>4000000</v>
      </c>
      <c r="H122" s="394" t="s">
        <v>2084</v>
      </c>
      <c r="I122" s="1158"/>
    </row>
    <row r="123" spans="2:9" ht="14.45" customHeight="1">
      <c r="B123" s="278">
        <v>114</v>
      </c>
      <c r="C123" s="278" t="s">
        <v>462</v>
      </c>
      <c r="D123" s="278" t="s">
        <v>668</v>
      </c>
      <c r="E123" s="278" t="s">
        <v>3374</v>
      </c>
      <c r="F123" s="278" t="s">
        <v>3377</v>
      </c>
      <c r="G123" s="304">
        <v>3190000</v>
      </c>
      <c r="H123" s="394" t="s">
        <v>2084</v>
      </c>
      <c r="I123" s="1158"/>
    </row>
    <row r="124" spans="2:9" ht="14.45" customHeight="1">
      <c r="B124" s="278">
        <v>114</v>
      </c>
      <c r="C124" s="278" t="s">
        <v>462</v>
      </c>
      <c r="D124" s="278" t="s">
        <v>668</v>
      </c>
      <c r="E124" s="278" t="s">
        <v>3374</v>
      </c>
      <c r="F124" s="278" t="s">
        <v>3378</v>
      </c>
      <c r="G124" s="304">
        <v>3785000</v>
      </c>
      <c r="H124" s="394" t="s">
        <v>2084</v>
      </c>
      <c r="I124" s="1158"/>
    </row>
    <row r="125" spans="2:9" ht="14.45" customHeight="1">
      <c r="B125" s="278">
        <v>114</v>
      </c>
      <c r="C125" s="278" t="s">
        <v>462</v>
      </c>
      <c r="D125" s="278" t="s">
        <v>668</v>
      </c>
      <c r="E125" s="278" t="s">
        <v>3374</v>
      </c>
      <c r="F125" s="278" t="s">
        <v>3379</v>
      </c>
      <c r="G125" s="304">
        <v>1870000</v>
      </c>
      <c r="H125" s="394" t="s">
        <v>2084</v>
      </c>
      <c r="I125" s="1158"/>
    </row>
    <row r="126" spans="2:9" ht="14.45" customHeight="1">
      <c r="B126" s="278">
        <v>114</v>
      </c>
      <c r="C126" s="278" t="s">
        <v>462</v>
      </c>
      <c r="D126" s="278" t="s">
        <v>668</v>
      </c>
      <c r="E126" s="278" t="s">
        <v>3374</v>
      </c>
      <c r="F126" s="278" t="s">
        <v>3380</v>
      </c>
      <c r="G126" s="304">
        <v>7000000</v>
      </c>
      <c r="H126" s="394" t="s">
        <v>2084</v>
      </c>
      <c r="I126" s="1158"/>
    </row>
    <row r="127" spans="2:9" ht="14.45" customHeight="1">
      <c r="B127" s="278">
        <v>114</v>
      </c>
      <c r="C127" s="278" t="s">
        <v>462</v>
      </c>
      <c r="D127" s="278" t="s">
        <v>668</v>
      </c>
      <c r="E127" s="278" t="s">
        <v>3374</v>
      </c>
      <c r="F127" s="278" t="s">
        <v>3381</v>
      </c>
      <c r="G127" s="304">
        <v>2120000</v>
      </c>
      <c r="H127" s="394" t="s">
        <v>2084</v>
      </c>
      <c r="I127" s="1158"/>
    </row>
    <row r="128" spans="2:9" ht="14.45" customHeight="1">
      <c r="B128" s="278">
        <v>114</v>
      </c>
      <c r="C128" s="278" t="s">
        <v>462</v>
      </c>
      <c r="D128" s="278" t="s">
        <v>668</v>
      </c>
      <c r="E128" s="278" t="s">
        <v>3374</v>
      </c>
      <c r="F128" s="278" t="s">
        <v>3382</v>
      </c>
      <c r="G128" s="304">
        <v>5000000</v>
      </c>
      <c r="H128" s="394" t="s">
        <v>2084</v>
      </c>
      <c r="I128" s="1158"/>
    </row>
    <row r="129" spans="2:9" ht="14.45" customHeight="1">
      <c r="B129" s="278">
        <v>114</v>
      </c>
      <c r="C129" s="278" t="s">
        <v>462</v>
      </c>
      <c r="D129" s="278" t="s">
        <v>668</v>
      </c>
      <c r="E129" s="278" t="s">
        <v>3374</v>
      </c>
      <c r="F129" s="278" t="s">
        <v>3383</v>
      </c>
      <c r="G129" s="304">
        <v>6250000</v>
      </c>
      <c r="H129" s="394" t="s">
        <v>2084</v>
      </c>
      <c r="I129" s="1158"/>
    </row>
    <row r="130" spans="2:9" ht="14.45" customHeight="1">
      <c r="B130" s="278">
        <v>114</v>
      </c>
      <c r="C130" s="278" t="s">
        <v>462</v>
      </c>
      <c r="D130" s="278" t="s">
        <v>668</v>
      </c>
      <c r="E130" s="278" t="s">
        <v>3374</v>
      </c>
      <c r="F130" s="278" t="s">
        <v>3384</v>
      </c>
      <c r="G130" s="304">
        <v>3850000</v>
      </c>
      <c r="H130" s="394" t="s">
        <v>2084</v>
      </c>
      <c r="I130" s="1158"/>
    </row>
    <row r="131" spans="2:9" ht="14.45" customHeight="1">
      <c r="B131" s="278">
        <v>114</v>
      </c>
      <c r="C131" s="278" t="s">
        <v>462</v>
      </c>
      <c r="D131" s="278" t="s">
        <v>668</v>
      </c>
      <c r="E131" s="278" t="s">
        <v>3374</v>
      </c>
      <c r="F131" s="278" t="s">
        <v>3385</v>
      </c>
      <c r="G131" s="304">
        <v>3700000</v>
      </c>
      <c r="H131" s="394" t="s">
        <v>2084</v>
      </c>
      <c r="I131" s="1158"/>
    </row>
    <row r="132" spans="2:9" ht="14.45" customHeight="1">
      <c r="B132" s="278">
        <v>114</v>
      </c>
      <c r="C132" s="278" t="s">
        <v>462</v>
      </c>
      <c r="D132" s="278" t="s">
        <v>668</v>
      </c>
      <c r="E132" s="278" t="s">
        <v>3374</v>
      </c>
      <c r="F132" s="278" t="s">
        <v>3386</v>
      </c>
      <c r="G132" s="304">
        <v>5160000</v>
      </c>
      <c r="H132" s="394" t="s">
        <v>2084</v>
      </c>
      <c r="I132" s="1158"/>
    </row>
    <row r="133" spans="2:9" ht="14.45" customHeight="1">
      <c r="B133" s="278">
        <v>114</v>
      </c>
      <c r="C133" s="278" t="s">
        <v>462</v>
      </c>
      <c r="D133" s="278" t="s">
        <v>668</v>
      </c>
      <c r="E133" s="278" t="s">
        <v>3374</v>
      </c>
      <c r="F133" s="278" t="s">
        <v>3387</v>
      </c>
      <c r="G133" s="304">
        <v>2475000</v>
      </c>
      <c r="H133" s="394" t="s">
        <v>2084</v>
      </c>
      <c r="I133" s="1158"/>
    </row>
    <row r="134" spans="2:9" ht="14.45" customHeight="1">
      <c r="B134" s="278">
        <v>114</v>
      </c>
      <c r="C134" s="278" t="s">
        <v>462</v>
      </c>
      <c r="D134" s="278" t="s">
        <v>668</v>
      </c>
      <c r="E134" s="278" t="s">
        <v>3374</v>
      </c>
      <c r="F134" s="278" t="s">
        <v>3388</v>
      </c>
      <c r="G134" s="304">
        <v>7000000</v>
      </c>
      <c r="H134" s="394" t="s">
        <v>2084</v>
      </c>
      <c r="I134" s="1158"/>
    </row>
    <row r="135" spans="2:9" ht="14.45" customHeight="1">
      <c r="B135" s="278">
        <v>114</v>
      </c>
      <c r="C135" s="278" t="s">
        <v>462</v>
      </c>
      <c r="D135" s="278" t="s">
        <v>668</v>
      </c>
      <c r="E135" s="278" t="s">
        <v>3374</v>
      </c>
      <c r="F135" s="278" t="s">
        <v>3389</v>
      </c>
      <c r="G135" s="304">
        <v>2300000</v>
      </c>
      <c r="H135" s="394" t="s">
        <v>2084</v>
      </c>
      <c r="I135" s="1158"/>
    </row>
    <row r="136" spans="2:9" ht="14.45" customHeight="1">
      <c r="B136" s="278">
        <v>114</v>
      </c>
      <c r="C136" s="278" t="s">
        <v>462</v>
      </c>
      <c r="D136" s="278" t="s">
        <v>668</v>
      </c>
      <c r="E136" s="278" t="s">
        <v>3374</v>
      </c>
      <c r="F136" s="278" t="s">
        <v>3390</v>
      </c>
      <c r="G136" s="304">
        <v>7550000</v>
      </c>
      <c r="H136" s="394" t="s">
        <v>2084</v>
      </c>
      <c r="I136" s="1158"/>
    </row>
    <row r="137" spans="2:9" ht="14.45" customHeight="1">
      <c r="B137" s="278">
        <v>114</v>
      </c>
      <c r="C137" s="278" t="s">
        <v>462</v>
      </c>
      <c r="D137" s="278" t="s">
        <v>668</v>
      </c>
      <c r="E137" s="278" t="s">
        <v>3374</v>
      </c>
      <c r="F137" s="278" t="s">
        <v>3391</v>
      </c>
      <c r="G137" s="304">
        <v>800000</v>
      </c>
      <c r="H137" s="394" t="s">
        <v>2084</v>
      </c>
      <c r="I137" s="1158"/>
    </row>
    <row r="138" spans="2:9" ht="14.45" customHeight="1">
      <c r="B138" s="278">
        <v>114</v>
      </c>
      <c r="C138" s="278" t="s">
        <v>462</v>
      </c>
      <c r="D138" s="278" t="s">
        <v>668</v>
      </c>
      <c r="E138" s="278" t="s">
        <v>3374</v>
      </c>
      <c r="F138" s="278" t="s">
        <v>3392</v>
      </c>
      <c r="G138" s="304">
        <v>7600000</v>
      </c>
      <c r="H138" s="394" t="s">
        <v>2084</v>
      </c>
      <c r="I138" s="1158"/>
    </row>
    <row r="139" spans="2:9" ht="14.45" customHeight="1">
      <c r="B139" s="278">
        <v>114</v>
      </c>
      <c r="C139" s="278" t="s">
        <v>462</v>
      </c>
      <c r="D139" s="278" t="s">
        <v>668</v>
      </c>
      <c r="E139" s="278" t="s">
        <v>3374</v>
      </c>
      <c r="F139" s="278" t="s">
        <v>3393</v>
      </c>
      <c r="G139" s="304">
        <v>370000</v>
      </c>
      <c r="H139" s="394" t="s">
        <v>2084</v>
      </c>
      <c r="I139" s="1158"/>
    </row>
    <row r="140" spans="2:9" ht="14.45" customHeight="1">
      <c r="B140" s="278">
        <v>114</v>
      </c>
      <c r="C140" s="278" t="s">
        <v>462</v>
      </c>
      <c r="D140" s="278" t="s">
        <v>668</v>
      </c>
      <c r="E140" s="278" t="s">
        <v>3374</v>
      </c>
      <c r="F140" s="278" t="s">
        <v>3394</v>
      </c>
      <c r="G140" s="304">
        <v>1700000</v>
      </c>
      <c r="H140" s="394" t="s">
        <v>2084</v>
      </c>
      <c r="I140" s="1158"/>
    </row>
    <row r="141" spans="2:9" ht="14.45" customHeight="1">
      <c r="B141" s="278">
        <v>114</v>
      </c>
      <c r="C141" s="278" t="s">
        <v>462</v>
      </c>
      <c r="D141" s="278" t="s">
        <v>668</v>
      </c>
      <c r="E141" s="278" t="s">
        <v>3374</v>
      </c>
      <c r="F141" s="278" t="s">
        <v>3395</v>
      </c>
      <c r="G141" s="304">
        <v>1100000</v>
      </c>
      <c r="H141" s="394" t="s">
        <v>2084</v>
      </c>
      <c r="I141" s="1158"/>
    </row>
    <row r="142" spans="2:9" ht="14.45" customHeight="1">
      <c r="B142" s="278">
        <v>114</v>
      </c>
      <c r="C142" s="278" t="s">
        <v>462</v>
      </c>
      <c r="D142" s="278" t="s">
        <v>668</v>
      </c>
      <c r="E142" s="278" t="s">
        <v>3374</v>
      </c>
      <c r="F142" s="278" t="s">
        <v>3396</v>
      </c>
      <c r="G142" s="304">
        <v>4500000</v>
      </c>
      <c r="H142" s="394" t="s">
        <v>2084</v>
      </c>
      <c r="I142" s="1158"/>
    </row>
    <row r="143" spans="2:9" ht="14.45" customHeight="1">
      <c r="B143" s="278">
        <v>114</v>
      </c>
      <c r="C143" s="278" t="s">
        <v>462</v>
      </c>
      <c r="D143" s="278" t="s">
        <v>668</v>
      </c>
      <c r="E143" s="278" t="s">
        <v>3374</v>
      </c>
      <c r="F143" s="278" t="s">
        <v>3397</v>
      </c>
      <c r="G143" s="304">
        <v>7100000</v>
      </c>
      <c r="H143" s="394" t="s">
        <v>2084</v>
      </c>
      <c r="I143" s="1158"/>
    </row>
    <row r="144" spans="2:9" ht="14.45" customHeight="1">
      <c r="B144" s="278">
        <v>114</v>
      </c>
      <c r="C144" s="278" t="s">
        <v>462</v>
      </c>
      <c r="D144" s="278" t="s">
        <v>668</v>
      </c>
      <c r="E144" s="278" t="s">
        <v>3374</v>
      </c>
      <c r="F144" s="278" t="s">
        <v>3398</v>
      </c>
      <c r="G144" s="304">
        <v>2700000</v>
      </c>
      <c r="H144" s="394" t="s">
        <v>2084</v>
      </c>
      <c r="I144" s="1158"/>
    </row>
    <row r="145" spans="2:9" ht="14.45" customHeight="1">
      <c r="B145" s="278">
        <v>114</v>
      </c>
      <c r="C145" s="278" t="s">
        <v>462</v>
      </c>
      <c r="D145" s="278" t="s">
        <v>668</v>
      </c>
      <c r="E145" s="278" t="s">
        <v>3374</v>
      </c>
      <c r="F145" s="278" t="s">
        <v>3399</v>
      </c>
      <c r="G145" s="304">
        <v>2350000</v>
      </c>
      <c r="H145" s="394" t="s">
        <v>2084</v>
      </c>
      <c r="I145" s="1158"/>
    </row>
    <row r="146" spans="2:9" ht="14.45" customHeight="1">
      <c r="B146" s="278">
        <v>114</v>
      </c>
      <c r="C146" s="278" t="s">
        <v>462</v>
      </c>
      <c r="D146" s="278" t="s">
        <v>668</v>
      </c>
      <c r="E146" s="278" t="s">
        <v>3374</v>
      </c>
      <c r="F146" s="278" t="s">
        <v>3400</v>
      </c>
      <c r="G146" s="304">
        <v>1150000</v>
      </c>
      <c r="H146" s="394" t="s">
        <v>2084</v>
      </c>
      <c r="I146" s="1158"/>
    </row>
    <row r="147" spans="2:9" ht="14.45" customHeight="1">
      <c r="B147" s="278">
        <v>114</v>
      </c>
      <c r="C147" s="278" t="s">
        <v>462</v>
      </c>
      <c r="D147" s="278" t="s">
        <v>668</v>
      </c>
      <c r="E147" s="278" t="s">
        <v>3374</v>
      </c>
      <c r="F147" s="278" t="s">
        <v>3401</v>
      </c>
      <c r="G147" s="304">
        <v>3060000</v>
      </c>
      <c r="H147" s="394" t="s">
        <v>2084</v>
      </c>
      <c r="I147" s="1158"/>
    </row>
    <row r="148" spans="2:9" ht="14.45" customHeight="1">
      <c r="B148" s="278">
        <v>114</v>
      </c>
      <c r="C148" s="278" t="s">
        <v>462</v>
      </c>
      <c r="D148" s="278" t="s">
        <v>668</v>
      </c>
      <c r="E148" s="278" t="s">
        <v>3374</v>
      </c>
      <c r="F148" s="278" t="s">
        <v>3402</v>
      </c>
      <c r="G148" s="304">
        <v>3790000</v>
      </c>
      <c r="H148" s="394" t="s">
        <v>2084</v>
      </c>
      <c r="I148" s="1158"/>
    </row>
    <row r="149" spans="2:9" ht="14.45" customHeight="1">
      <c r="B149" s="278">
        <v>114</v>
      </c>
      <c r="C149" s="278" t="s">
        <v>462</v>
      </c>
      <c r="D149" s="278" t="s">
        <v>668</v>
      </c>
      <c r="E149" s="278" t="s">
        <v>3374</v>
      </c>
      <c r="F149" s="278" t="s">
        <v>3403</v>
      </c>
      <c r="G149" s="304">
        <v>2100000</v>
      </c>
      <c r="H149" s="394" t="s">
        <v>2084</v>
      </c>
      <c r="I149" s="1158"/>
    </row>
    <row r="150" spans="2:9" ht="14.45" customHeight="1">
      <c r="B150" s="278">
        <v>114</v>
      </c>
      <c r="C150" s="278" t="s">
        <v>462</v>
      </c>
      <c r="D150" s="278" t="s">
        <v>668</v>
      </c>
      <c r="E150" s="278" t="s">
        <v>3374</v>
      </c>
      <c r="F150" s="278" t="s">
        <v>3404</v>
      </c>
      <c r="G150" s="304">
        <v>6100000</v>
      </c>
      <c r="H150" s="394" t="s">
        <v>2084</v>
      </c>
      <c r="I150" s="1158"/>
    </row>
    <row r="151" spans="2:9" ht="14.45" customHeight="1">
      <c r="B151" s="278">
        <v>114</v>
      </c>
      <c r="C151" s="278" t="s">
        <v>462</v>
      </c>
      <c r="D151" s="278" t="s">
        <v>668</v>
      </c>
      <c r="E151" s="278" t="s">
        <v>3374</v>
      </c>
      <c r="F151" s="278" t="s">
        <v>3405</v>
      </c>
      <c r="G151" s="304">
        <v>850000</v>
      </c>
      <c r="H151" s="394" t="s">
        <v>2084</v>
      </c>
      <c r="I151" s="1158"/>
    </row>
    <row r="152" spans="2:9" ht="14.45" customHeight="1">
      <c r="B152" s="278">
        <v>114</v>
      </c>
      <c r="C152" s="278" t="s">
        <v>462</v>
      </c>
      <c r="D152" s="278" t="s">
        <v>668</v>
      </c>
      <c r="E152" s="278" t="s">
        <v>3374</v>
      </c>
      <c r="F152" s="278" t="s">
        <v>3406</v>
      </c>
      <c r="G152" s="304">
        <v>2460000</v>
      </c>
      <c r="H152" s="394" t="s">
        <v>2084</v>
      </c>
      <c r="I152" s="1158"/>
    </row>
    <row r="153" spans="2:9" ht="14.45" customHeight="1">
      <c r="B153" s="278">
        <v>114</v>
      </c>
      <c r="C153" s="278" t="s">
        <v>462</v>
      </c>
      <c r="D153" s="278" t="s">
        <v>668</v>
      </c>
      <c r="E153" s="278" t="s">
        <v>3374</v>
      </c>
      <c r="F153" s="278" t="s">
        <v>3407</v>
      </c>
      <c r="G153" s="304">
        <v>2400000</v>
      </c>
      <c r="H153" s="394" t="s">
        <v>2084</v>
      </c>
      <c r="I153" s="1158"/>
    </row>
    <row r="154" spans="2:9" ht="14.45" customHeight="1">
      <c r="B154" s="278">
        <v>114</v>
      </c>
      <c r="C154" s="278" t="s">
        <v>462</v>
      </c>
      <c r="D154" s="278" t="s">
        <v>668</v>
      </c>
      <c r="E154" s="278" t="s">
        <v>3374</v>
      </c>
      <c r="F154" s="278" t="s">
        <v>3408</v>
      </c>
      <c r="G154" s="304">
        <v>1600000</v>
      </c>
      <c r="H154" s="394" t="s">
        <v>2084</v>
      </c>
      <c r="I154" s="1158"/>
    </row>
    <row r="155" spans="2:9" ht="14.45" customHeight="1">
      <c r="B155" s="278">
        <v>114</v>
      </c>
      <c r="C155" s="278" t="s">
        <v>462</v>
      </c>
      <c r="D155" s="278" t="s">
        <v>668</v>
      </c>
      <c r="E155" s="278" t="s">
        <v>3374</v>
      </c>
      <c r="F155" s="278" t="s">
        <v>3409</v>
      </c>
      <c r="G155" s="304">
        <v>4300000</v>
      </c>
      <c r="H155" s="394" t="s">
        <v>2084</v>
      </c>
      <c r="I155" s="1158"/>
    </row>
    <row r="156" spans="2:9" ht="14.45" customHeight="1">
      <c r="B156" s="278">
        <v>114</v>
      </c>
      <c r="C156" s="278" t="s">
        <v>462</v>
      </c>
      <c r="D156" s="278" t="s">
        <v>668</v>
      </c>
      <c r="E156" s="278" t="s">
        <v>3374</v>
      </c>
      <c r="F156" s="278" t="s">
        <v>3410</v>
      </c>
      <c r="G156" s="304">
        <v>5390000</v>
      </c>
      <c r="H156" s="394" t="s">
        <v>2084</v>
      </c>
      <c r="I156" s="1158"/>
    </row>
    <row r="157" spans="2:9" ht="14.45" customHeight="1">
      <c r="B157" s="278">
        <v>114</v>
      </c>
      <c r="C157" s="278" t="s">
        <v>462</v>
      </c>
      <c r="D157" s="278" t="s">
        <v>668</v>
      </c>
      <c r="E157" s="278" t="s">
        <v>3374</v>
      </c>
      <c r="F157" s="278" t="s">
        <v>3411</v>
      </c>
      <c r="G157" s="304">
        <v>2250000</v>
      </c>
      <c r="H157" s="394" t="s">
        <v>2084</v>
      </c>
      <c r="I157" s="1158"/>
    </row>
    <row r="158" spans="2:9" ht="14.45" customHeight="1">
      <c r="B158" s="278">
        <v>114</v>
      </c>
      <c r="C158" s="278" t="s">
        <v>462</v>
      </c>
      <c r="D158" s="278" t="s">
        <v>668</v>
      </c>
      <c r="E158" s="278" t="s">
        <v>3374</v>
      </c>
      <c r="F158" s="278" t="s">
        <v>3412</v>
      </c>
      <c r="G158" s="304">
        <v>3650000</v>
      </c>
      <c r="H158" s="394" t="s">
        <v>2084</v>
      </c>
      <c r="I158" s="1158"/>
    </row>
    <row r="159" spans="2:9" ht="14.45" customHeight="1">
      <c r="B159" s="278">
        <v>114</v>
      </c>
      <c r="C159" s="278" t="s">
        <v>462</v>
      </c>
      <c r="D159" s="278" t="s">
        <v>668</v>
      </c>
      <c r="E159" s="278" t="s">
        <v>3374</v>
      </c>
      <c r="F159" s="278" t="s">
        <v>3413</v>
      </c>
      <c r="G159" s="304">
        <v>8900000</v>
      </c>
      <c r="H159" s="394" t="s">
        <v>2084</v>
      </c>
      <c r="I159" s="1158"/>
    </row>
    <row r="160" spans="2:9" ht="14.45" customHeight="1">
      <c r="B160" s="278">
        <v>114</v>
      </c>
      <c r="C160" s="278" t="s">
        <v>462</v>
      </c>
      <c r="D160" s="278" t="s">
        <v>668</v>
      </c>
      <c r="E160" s="278" t="s">
        <v>3374</v>
      </c>
      <c r="F160" s="278" t="s">
        <v>3414</v>
      </c>
      <c r="G160" s="304">
        <v>3300000</v>
      </c>
      <c r="H160" s="394" t="s">
        <v>2084</v>
      </c>
      <c r="I160" s="1158"/>
    </row>
    <row r="161" spans="2:9" ht="14.45" customHeight="1">
      <c r="B161" s="278">
        <v>114</v>
      </c>
      <c r="C161" s="278" t="s">
        <v>462</v>
      </c>
      <c r="D161" s="278" t="s">
        <v>668</v>
      </c>
      <c r="E161" s="278" t="s">
        <v>3374</v>
      </c>
      <c r="F161" s="278" t="s">
        <v>3415</v>
      </c>
      <c r="G161" s="304">
        <v>4200000</v>
      </c>
      <c r="H161" s="394" t="s">
        <v>2084</v>
      </c>
      <c r="I161" s="1158"/>
    </row>
    <row r="162" spans="2:9" ht="14.45" customHeight="1">
      <c r="B162" s="278">
        <v>114</v>
      </c>
      <c r="C162" s="278" t="s">
        <v>462</v>
      </c>
      <c r="D162" s="278" t="s">
        <v>668</v>
      </c>
      <c r="E162" s="278" t="s">
        <v>3374</v>
      </c>
      <c r="F162" s="278" t="s">
        <v>3416</v>
      </c>
      <c r="G162" s="304">
        <v>2150000</v>
      </c>
      <c r="H162" s="394" t="s">
        <v>2084</v>
      </c>
      <c r="I162" s="1158"/>
    </row>
    <row r="163" spans="2:9" ht="14.45" customHeight="1">
      <c r="B163" s="278">
        <v>114</v>
      </c>
      <c r="C163" s="278" t="s">
        <v>462</v>
      </c>
      <c r="D163" s="278" t="s">
        <v>668</v>
      </c>
      <c r="E163" s="278" t="s">
        <v>3374</v>
      </c>
      <c r="F163" s="278" t="s">
        <v>3417</v>
      </c>
      <c r="G163" s="304">
        <v>1750000</v>
      </c>
      <c r="H163" s="394" t="s">
        <v>2084</v>
      </c>
      <c r="I163" s="1158"/>
    </row>
    <row r="164" spans="2:9" ht="14.45" customHeight="1">
      <c r="B164" s="278">
        <v>114</v>
      </c>
      <c r="C164" s="278" t="s">
        <v>462</v>
      </c>
      <c r="D164" s="278" t="s">
        <v>668</v>
      </c>
      <c r="E164" s="278" t="s">
        <v>3374</v>
      </c>
      <c r="F164" s="278" t="s">
        <v>2328</v>
      </c>
      <c r="G164" s="304">
        <v>6900000</v>
      </c>
      <c r="H164" s="394" t="s">
        <v>2084</v>
      </c>
      <c r="I164" s="1158"/>
    </row>
    <row r="165" spans="2:9" ht="14.45" customHeight="1">
      <c r="B165" s="278">
        <v>114</v>
      </c>
      <c r="C165" s="278" t="s">
        <v>462</v>
      </c>
      <c r="D165" s="278" t="s">
        <v>668</v>
      </c>
      <c r="E165" s="278" t="s">
        <v>3374</v>
      </c>
      <c r="F165" s="278" t="s">
        <v>3418</v>
      </c>
      <c r="G165" s="304">
        <v>3510000</v>
      </c>
      <c r="H165" s="394" t="s">
        <v>2084</v>
      </c>
      <c r="I165" s="1158"/>
    </row>
    <row r="166" spans="2:9" ht="14.45" customHeight="1">
      <c r="B166" s="278">
        <v>114</v>
      </c>
      <c r="C166" s="278" t="s">
        <v>462</v>
      </c>
      <c r="D166" s="278" t="s">
        <v>668</v>
      </c>
      <c r="E166" s="278" t="s">
        <v>3374</v>
      </c>
      <c r="F166" s="278" t="s">
        <v>3419</v>
      </c>
      <c r="G166" s="304">
        <v>4580000</v>
      </c>
      <c r="H166" s="394" t="s">
        <v>2084</v>
      </c>
      <c r="I166" s="1158"/>
    </row>
    <row r="167" spans="2:9" ht="14.45" customHeight="1">
      <c r="B167" s="278">
        <v>114</v>
      </c>
      <c r="C167" s="278" t="s">
        <v>462</v>
      </c>
      <c r="D167" s="278" t="s">
        <v>668</v>
      </c>
      <c r="E167" s="278" t="s">
        <v>3374</v>
      </c>
      <c r="F167" s="278" t="s">
        <v>3420</v>
      </c>
      <c r="G167" s="304">
        <v>6800000</v>
      </c>
      <c r="H167" s="394" t="s">
        <v>2084</v>
      </c>
      <c r="I167" s="1158"/>
    </row>
    <row r="168" spans="2:9" ht="14.45" customHeight="1">
      <c r="B168" s="278">
        <v>114</v>
      </c>
      <c r="C168" s="278" t="s">
        <v>462</v>
      </c>
      <c r="D168" s="278" t="s">
        <v>668</v>
      </c>
      <c r="E168" s="278" t="s">
        <v>3374</v>
      </c>
      <c r="F168" s="278" t="s">
        <v>3421</v>
      </c>
      <c r="G168" s="304">
        <v>1150000</v>
      </c>
      <c r="H168" s="394" t="s">
        <v>2084</v>
      </c>
      <c r="I168" s="1158"/>
    </row>
    <row r="169" spans="2:9" ht="14.45" customHeight="1">
      <c r="B169" s="278">
        <v>114</v>
      </c>
      <c r="C169" s="278" t="s">
        <v>462</v>
      </c>
      <c r="D169" s="278" t="s">
        <v>668</v>
      </c>
      <c r="E169" s="278" t="s">
        <v>3374</v>
      </c>
      <c r="F169" s="278" t="s">
        <v>3422</v>
      </c>
      <c r="G169" s="304">
        <v>6050000</v>
      </c>
      <c r="H169" s="394" t="s">
        <v>2084</v>
      </c>
      <c r="I169" s="1158"/>
    </row>
    <row r="170" spans="2:9" ht="14.45" customHeight="1">
      <c r="B170" s="278">
        <v>114</v>
      </c>
      <c r="C170" s="278" t="s">
        <v>462</v>
      </c>
      <c r="D170" s="278" t="s">
        <v>668</v>
      </c>
      <c r="E170" s="278" t="s">
        <v>3374</v>
      </c>
      <c r="F170" s="278" t="s">
        <v>3423</v>
      </c>
      <c r="G170" s="304">
        <v>370000</v>
      </c>
      <c r="H170" s="394" t="s">
        <v>2084</v>
      </c>
      <c r="I170" s="1158"/>
    </row>
    <row r="171" spans="2:9" ht="14.45" customHeight="1">
      <c r="B171" s="278">
        <v>114</v>
      </c>
      <c r="C171" s="278" t="s">
        <v>462</v>
      </c>
      <c r="D171" s="278" t="s">
        <v>669</v>
      </c>
      <c r="E171" s="278" t="s">
        <v>3424</v>
      </c>
      <c r="F171" s="278" t="s">
        <v>3425</v>
      </c>
      <c r="G171" s="304">
        <v>760000</v>
      </c>
      <c r="H171" s="394" t="s">
        <v>2084</v>
      </c>
      <c r="I171" s="1158"/>
    </row>
    <row r="172" spans="2:9" ht="14.45" customHeight="1">
      <c r="B172" s="278">
        <v>114</v>
      </c>
      <c r="C172" s="278" t="s">
        <v>462</v>
      </c>
      <c r="D172" s="278" t="s">
        <v>669</v>
      </c>
      <c r="E172" s="278" t="s">
        <v>3424</v>
      </c>
      <c r="F172" s="278" t="s">
        <v>3426</v>
      </c>
      <c r="G172" s="304">
        <v>700000</v>
      </c>
      <c r="H172" s="394" t="s">
        <v>2084</v>
      </c>
      <c r="I172" s="1158"/>
    </row>
    <row r="173" spans="2:9" ht="14.45" customHeight="1">
      <c r="B173" s="278">
        <v>114</v>
      </c>
      <c r="C173" s="278" t="s">
        <v>462</v>
      </c>
      <c r="D173" s="278" t="s">
        <v>669</v>
      </c>
      <c r="E173" s="278" t="s">
        <v>3424</v>
      </c>
      <c r="F173" s="278" t="s">
        <v>3427</v>
      </c>
      <c r="G173" s="304">
        <v>1140000</v>
      </c>
      <c r="H173" s="394" t="s">
        <v>2084</v>
      </c>
      <c r="I173" s="1158"/>
    </row>
    <row r="174" spans="2:9" ht="14.45" customHeight="1">
      <c r="B174" s="278">
        <v>114</v>
      </c>
      <c r="C174" s="278" t="s">
        <v>462</v>
      </c>
      <c r="D174" s="278" t="s">
        <v>669</v>
      </c>
      <c r="E174" s="278" t="s">
        <v>3424</v>
      </c>
      <c r="F174" s="278" t="s">
        <v>3428</v>
      </c>
      <c r="G174" s="304">
        <v>2050000</v>
      </c>
      <c r="H174" s="394" t="s">
        <v>2084</v>
      </c>
      <c r="I174" s="1158"/>
    </row>
    <row r="175" spans="2:9" ht="14.45" customHeight="1">
      <c r="B175" s="278">
        <v>114</v>
      </c>
      <c r="C175" s="278" t="s">
        <v>462</v>
      </c>
      <c r="D175" s="278" t="s">
        <v>669</v>
      </c>
      <c r="E175" s="278" t="s">
        <v>3424</v>
      </c>
      <c r="F175" s="278" t="s">
        <v>3429</v>
      </c>
      <c r="G175" s="304">
        <v>750000</v>
      </c>
      <c r="H175" s="394" t="s">
        <v>2084</v>
      </c>
      <c r="I175" s="1158"/>
    </row>
    <row r="176" spans="2:9" ht="14.45" customHeight="1">
      <c r="B176" s="278">
        <v>114</v>
      </c>
      <c r="C176" s="278" t="s">
        <v>462</v>
      </c>
      <c r="D176" s="278" t="s">
        <v>669</v>
      </c>
      <c r="E176" s="278" t="s">
        <v>3424</v>
      </c>
      <c r="F176" s="278" t="s">
        <v>3430</v>
      </c>
      <c r="G176" s="304">
        <v>1945000</v>
      </c>
      <c r="H176" s="394" t="s">
        <v>2084</v>
      </c>
      <c r="I176" s="1158"/>
    </row>
    <row r="177" spans="2:9" ht="14.45" customHeight="1">
      <c r="B177" s="278">
        <v>114</v>
      </c>
      <c r="C177" s="278" t="s">
        <v>462</v>
      </c>
      <c r="D177" s="278" t="s">
        <v>669</v>
      </c>
      <c r="E177" s="278" t="s">
        <v>3424</v>
      </c>
      <c r="F177" s="278" t="s">
        <v>3431</v>
      </c>
      <c r="G177" s="304">
        <v>2150000</v>
      </c>
      <c r="H177" s="394" t="s">
        <v>2084</v>
      </c>
      <c r="I177" s="1158"/>
    </row>
    <row r="178" spans="2:9" ht="14.45" customHeight="1">
      <c r="B178" s="278">
        <v>114</v>
      </c>
      <c r="C178" s="278" t="s">
        <v>462</v>
      </c>
      <c r="D178" s="278" t="s">
        <v>669</v>
      </c>
      <c r="E178" s="278" t="s">
        <v>3424</v>
      </c>
      <c r="F178" s="278" t="s">
        <v>3432</v>
      </c>
      <c r="G178" s="304">
        <v>2940000</v>
      </c>
      <c r="H178" s="394" t="s">
        <v>2084</v>
      </c>
      <c r="I178" s="1158"/>
    </row>
    <row r="179" spans="2:9" ht="14.45" customHeight="1">
      <c r="B179" s="278">
        <v>114</v>
      </c>
      <c r="C179" s="278" t="s">
        <v>462</v>
      </c>
      <c r="D179" s="278" t="s">
        <v>669</v>
      </c>
      <c r="E179" s="278" t="s">
        <v>3424</v>
      </c>
      <c r="F179" s="278" t="s">
        <v>3433</v>
      </c>
      <c r="G179" s="304">
        <v>550000</v>
      </c>
      <c r="H179" s="394" t="s">
        <v>2084</v>
      </c>
      <c r="I179" s="1158"/>
    </row>
    <row r="180" spans="2:9" ht="14.45" customHeight="1">
      <c r="B180" s="278">
        <v>114</v>
      </c>
      <c r="C180" s="278" t="s">
        <v>462</v>
      </c>
      <c r="D180" s="278" t="s">
        <v>669</v>
      </c>
      <c r="E180" s="278" t="s">
        <v>3424</v>
      </c>
      <c r="F180" s="278" t="s">
        <v>3434</v>
      </c>
      <c r="G180" s="304">
        <v>1500000</v>
      </c>
      <c r="H180" s="394" t="s">
        <v>2084</v>
      </c>
      <c r="I180" s="1158"/>
    </row>
    <row r="181" spans="2:9" ht="14.45" customHeight="1">
      <c r="B181" s="278">
        <v>114</v>
      </c>
      <c r="C181" s="278" t="s">
        <v>462</v>
      </c>
      <c r="D181" s="278" t="s">
        <v>669</v>
      </c>
      <c r="E181" s="278" t="s">
        <v>3424</v>
      </c>
      <c r="F181" s="278" t="s">
        <v>3435</v>
      </c>
      <c r="G181" s="304">
        <v>2150000</v>
      </c>
      <c r="H181" s="394" t="s">
        <v>2084</v>
      </c>
      <c r="I181" s="1158"/>
    </row>
    <row r="182" spans="2:9" ht="14.45" customHeight="1">
      <c r="B182" s="278">
        <v>114</v>
      </c>
      <c r="C182" s="278" t="s">
        <v>462</v>
      </c>
      <c r="D182" s="278" t="s">
        <v>669</v>
      </c>
      <c r="E182" s="278" t="s">
        <v>3424</v>
      </c>
      <c r="F182" s="278" t="s">
        <v>3436</v>
      </c>
      <c r="G182" s="304">
        <v>750000</v>
      </c>
      <c r="H182" s="394" t="s">
        <v>2084</v>
      </c>
      <c r="I182" s="1158"/>
    </row>
    <row r="183" spans="2:9" ht="14.45" customHeight="1">
      <c r="B183" s="278">
        <v>114</v>
      </c>
      <c r="C183" s="278" t="s">
        <v>462</v>
      </c>
      <c r="D183" s="278" t="s">
        <v>669</v>
      </c>
      <c r="E183" s="278" t="s">
        <v>3424</v>
      </c>
      <c r="F183" s="278" t="s">
        <v>3437</v>
      </c>
      <c r="G183" s="304">
        <v>370000</v>
      </c>
      <c r="H183" s="394" t="s">
        <v>2084</v>
      </c>
      <c r="I183" s="1158"/>
    </row>
    <row r="184" spans="2:9" ht="14.45" customHeight="1">
      <c r="B184" s="278">
        <v>114</v>
      </c>
      <c r="C184" s="278" t="s">
        <v>462</v>
      </c>
      <c r="D184" s="278" t="s">
        <v>669</v>
      </c>
      <c r="E184" s="278" t="s">
        <v>3424</v>
      </c>
      <c r="F184" s="278" t="s">
        <v>3438</v>
      </c>
      <c r="G184" s="304">
        <v>1680000</v>
      </c>
      <c r="H184" s="394" t="s">
        <v>2084</v>
      </c>
      <c r="I184" s="1158"/>
    </row>
    <row r="185" spans="2:9" ht="14.45" customHeight="1">
      <c r="B185" s="278">
        <v>114</v>
      </c>
      <c r="C185" s="278" t="s">
        <v>462</v>
      </c>
      <c r="D185" s="278" t="s">
        <v>669</v>
      </c>
      <c r="E185" s="278" t="s">
        <v>3424</v>
      </c>
      <c r="F185" s="278" t="s">
        <v>3439</v>
      </c>
      <c r="G185" s="304">
        <v>900000</v>
      </c>
      <c r="H185" s="394" t="s">
        <v>2084</v>
      </c>
      <c r="I185" s="1158"/>
    </row>
    <row r="186" spans="2:9" ht="14.45" customHeight="1">
      <c r="B186" s="278">
        <v>114</v>
      </c>
      <c r="C186" s="278" t="s">
        <v>462</v>
      </c>
      <c r="D186" s="278" t="s">
        <v>669</v>
      </c>
      <c r="E186" s="278" t="s">
        <v>3424</v>
      </c>
      <c r="F186" s="278" t="s">
        <v>3440</v>
      </c>
      <c r="G186" s="304">
        <v>1800000</v>
      </c>
      <c r="H186" s="394" t="s">
        <v>2084</v>
      </c>
      <c r="I186" s="1158"/>
    </row>
    <row r="187" spans="2:9" ht="14.45" customHeight="1">
      <c r="B187" s="278">
        <v>114</v>
      </c>
      <c r="C187" s="278" t="s">
        <v>462</v>
      </c>
      <c r="D187" s="278" t="s">
        <v>669</v>
      </c>
      <c r="E187" s="278" t="s">
        <v>3424</v>
      </c>
      <c r="F187" s="278" t="s">
        <v>3441</v>
      </c>
      <c r="G187" s="304">
        <v>1570000</v>
      </c>
      <c r="H187" s="394" t="s">
        <v>2084</v>
      </c>
      <c r="I187" s="1158"/>
    </row>
    <row r="188" spans="2:9" ht="14.45" customHeight="1">
      <c r="B188" s="278">
        <v>114</v>
      </c>
      <c r="C188" s="278" t="s">
        <v>462</v>
      </c>
      <c r="D188" s="278" t="s">
        <v>669</v>
      </c>
      <c r="E188" s="278" t="s">
        <v>3424</v>
      </c>
      <c r="F188" s="278" t="s">
        <v>3442</v>
      </c>
      <c r="G188" s="304">
        <v>1000000</v>
      </c>
      <c r="H188" s="394" t="s">
        <v>2084</v>
      </c>
      <c r="I188" s="1158"/>
    </row>
    <row r="189" spans="2:9" ht="14.45" customHeight="1">
      <c r="B189" s="278">
        <v>114</v>
      </c>
      <c r="C189" s="278" t="s">
        <v>462</v>
      </c>
      <c r="D189" s="278" t="s">
        <v>669</v>
      </c>
      <c r="E189" s="278" t="s">
        <v>3424</v>
      </c>
      <c r="F189" s="278" t="s">
        <v>3443</v>
      </c>
      <c r="G189" s="304">
        <v>870000</v>
      </c>
      <c r="H189" s="394" t="s">
        <v>2084</v>
      </c>
      <c r="I189" s="1158"/>
    </row>
    <row r="190" spans="2:9" ht="14.45" customHeight="1">
      <c r="B190" s="278">
        <v>114</v>
      </c>
      <c r="C190" s="278" t="s">
        <v>462</v>
      </c>
      <c r="D190" s="278" t="s">
        <v>669</v>
      </c>
      <c r="E190" s="278" t="s">
        <v>3424</v>
      </c>
      <c r="F190" s="278" t="s">
        <v>3444</v>
      </c>
      <c r="G190" s="304">
        <v>1200000</v>
      </c>
      <c r="H190" s="394" t="s">
        <v>2084</v>
      </c>
      <c r="I190" s="1158"/>
    </row>
    <row r="191" spans="2:9" ht="14.45" customHeight="1">
      <c r="B191" s="278">
        <v>114</v>
      </c>
      <c r="C191" s="278" t="s">
        <v>462</v>
      </c>
      <c r="D191" s="278" t="s">
        <v>669</v>
      </c>
      <c r="E191" s="278" t="s">
        <v>3424</v>
      </c>
      <c r="F191" s="278" t="s">
        <v>3445</v>
      </c>
      <c r="G191" s="304">
        <v>2750000</v>
      </c>
      <c r="H191" s="394" t="s">
        <v>2084</v>
      </c>
      <c r="I191" s="1158"/>
    </row>
    <row r="192" spans="2:9" ht="14.45" customHeight="1">
      <c r="B192" s="278">
        <v>114</v>
      </c>
      <c r="C192" s="278" t="s">
        <v>462</v>
      </c>
      <c r="D192" s="278" t="s">
        <v>670</v>
      </c>
      <c r="E192" s="278" t="s">
        <v>3446</v>
      </c>
      <c r="F192" s="278" t="s">
        <v>3447</v>
      </c>
      <c r="G192" s="304">
        <v>640000</v>
      </c>
      <c r="H192" s="394" t="s">
        <v>2084</v>
      </c>
      <c r="I192" s="1158"/>
    </row>
    <row r="193" spans="2:9" ht="14.45" customHeight="1">
      <c r="B193" s="278">
        <v>114</v>
      </c>
      <c r="C193" s="278" t="s">
        <v>462</v>
      </c>
      <c r="D193" s="278" t="s">
        <v>670</v>
      </c>
      <c r="E193" s="278" t="s">
        <v>3446</v>
      </c>
      <c r="F193" s="278" t="s">
        <v>3448</v>
      </c>
      <c r="G193" s="304">
        <v>700000</v>
      </c>
      <c r="H193" s="394" t="s">
        <v>2084</v>
      </c>
      <c r="I193" s="1158"/>
    </row>
    <row r="194" spans="2:9" ht="14.45" customHeight="1">
      <c r="B194" s="278">
        <v>114</v>
      </c>
      <c r="C194" s="278" t="s">
        <v>462</v>
      </c>
      <c r="D194" s="278" t="s">
        <v>670</v>
      </c>
      <c r="E194" s="278" t="s">
        <v>3446</v>
      </c>
      <c r="F194" s="278" t="s">
        <v>3449</v>
      </c>
      <c r="G194" s="304">
        <v>720000</v>
      </c>
      <c r="H194" s="394" t="s">
        <v>2084</v>
      </c>
      <c r="I194" s="1158"/>
    </row>
    <row r="195" spans="2:9" ht="14.45" customHeight="1">
      <c r="B195" s="278">
        <v>114</v>
      </c>
      <c r="C195" s="278" t="s">
        <v>462</v>
      </c>
      <c r="D195" s="278" t="s">
        <v>670</v>
      </c>
      <c r="E195" s="278" t="s">
        <v>3446</v>
      </c>
      <c r="F195" s="278" t="s">
        <v>3450</v>
      </c>
      <c r="G195" s="304">
        <v>615000</v>
      </c>
      <c r="H195" s="394" t="s">
        <v>2084</v>
      </c>
      <c r="I195" s="1158"/>
    </row>
    <row r="196" spans="2:9" ht="14.45" customHeight="1">
      <c r="B196" s="278">
        <v>114</v>
      </c>
      <c r="C196" s="278" t="s">
        <v>462</v>
      </c>
      <c r="D196" s="278" t="s">
        <v>670</v>
      </c>
      <c r="E196" s="278" t="s">
        <v>3446</v>
      </c>
      <c r="F196" s="278" t="s">
        <v>3451</v>
      </c>
      <c r="G196" s="304">
        <v>600000</v>
      </c>
      <c r="H196" s="394" t="s">
        <v>2084</v>
      </c>
      <c r="I196" s="1158"/>
    </row>
    <row r="197" spans="2:9" ht="14.45" customHeight="1">
      <c r="B197" s="278">
        <v>114</v>
      </c>
      <c r="C197" s="278" t="s">
        <v>462</v>
      </c>
      <c r="D197" s="278" t="s">
        <v>670</v>
      </c>
      <c r="E197" s="278" t="s">
        <v>3446</v>
      </c>
      <c r="F197" s="278" t="s">
        <v>3452</v>
      </c>
      <c r="G197" s="304">
        <v>850000</v>
      </c>
      <c r="H197" s="394" t="s">
        <v>2084</v>
      </c>
      <c r="I197" s="1158"/>
    </row>
    <row r="198" spans="2:9" ht="14.45" customHeight="1">
      <c r="B198" s="278">
        <v>114</v>
      </c>
      <c r="C198" s="278" t="s">
        <v>462</v>
      </c>
      <c r="D198" s="278" t="s">
        <v>670</v>
      </c>
      <c r="E198" s="278" t="s">
        <v>3446</v>
      </c>
      <c r="F198" s="278" t="s">
        <v>3453</v>
      </c>
      <c r="G198" s="304">
        <v>1150000</v>
      </c>
      <c r="H198" s="394" t="s">
        <v>2084</v>
      </c>
      <c r="I198" s="1158"/>
    </row>
    <row r="199" spans="2:9" ht="14.45" customHeight="1">
      <c r="B199" s="278">
        <v>114</v>
      </c>
      <c r="C199" s="278" t="s">
        <v>462</v>
      </c>
      <c r="D199" s="278" t="s">
        <v>670</v>
      </c>
      <c r="E199" s="278" t="s">
        <v>3446</v>
      </c>
      <c r="F199" s="278" t="s">
        <v>3454</v>
      </c>
      <c r="G199" s="304">
        <v>650000</v>
      </c>
      <c r="H199" s="394" t="s">
        <v>2084</v>
      </c>
      <c r="I199" s="1158"/>
    </row>
    <row r="200" spans="2:9" ht="14.45" customHeight="1">
      <c r="B200" s="278">
        <v>114</v>
      </c>
      <c r="C200" s="278" t="s">
        <v>462</v>
      </c>
      <c r="D200" s="278" t="s">
        <v>670</v>
      </c>
      <c r="E200" s="278" t="s">
        <v>3446</v>
      </c>
      <c r="F200" s="278" t="s">
        <v>3455</v>
      </c>
      <c r="G200" s="304">
        <v>400000</v>
      </c>
      <c r="H200" s="394" t="s">
        <v>2084</v>
      </c>
      <c r="I200" s="1158"/>
    </row>
    <row r="201" spans="2:9" ht="14.45" customHeight="1">
      <c r="B201" s="278">
        <v>114</v>
      </c>
      <c r="C201" s="278" t="s">
        <v>462</v>
      </c>
      <c r="D201" s="278" t="s">
        <v>670</v>
      </c>
      <c r="E201" s="278" t="s">
        <v>3446</v>
      </c>
      <c r="F201" s="278" t="s">
        <v>3456</v>
      </c>
      <c r="G201" s="304">
        <v>400000</v>
      </c>
      <c r="H201" s="394" t="s">
        <v>2084</v>
      </c>
      <c r="I201" s="1158"/>
    </row>
    <row r="202" spans="2:9" ht="14.45" customHeight="1">
      <c r="B202" s="278">
        <v>114</v>
      </c>
      <c r="C202" s="278" t="s">
        <v>462</v>
      </c>
      <c r="D202" s="278" t="s">
        <v>670</v>
      </c>
      <c r="E202" s="278" t="s">
        <v>3446</v>
      </c>
      <c r="F202" s="278" t="s">
        <v>3457</v>
      </c>
      <c r="G202" s="304">
        <v>600000</v>
      </c>
      <c r="H202" s="394" t="s">
        <v>2084</v>
      </c>
      <c r="I202" s="1158"/>
    </row>
    <row r="203" spans="2:9" ht="14.45" customHeight="1">
      <c r="B203" s="278">
        <v>114</v>
      </c>
      <c r="C203" s="278" t="s">
        <v>462</v>
      </c>
      <c r="D203" s="278" t="s">
        <v>670</v>
      </c>
      <c r="E203" s="278" t="s">
        <v>3446</v>
      </c>
      <c r="F203" s="278" t="s">
        <v>3458</v>
      </c>
      <c r="G203" s="304">
        <v>600000</v>
      </c>
      <c r="H203" s="394" t="s">
        <v>2084</v>
      </c>
      <c r="I203" s="1158"/>
    </row>
    <row r="204" spans="2:9" ht="14.45" customHeight="1">
      <c r="B204" s="278">
        <v>114</v>
      </c>
      <c r="C204" s="278" t="s">
        <v>462</v>
      </c>
      <c r="D204" s="278" t="s">
        <v>671</v>
      </c>
      <c r="E204" s="278" t="s">
        <v>3459</v>
      </c>
      <c r="F204" s="278" t="s">
        <v>3460</v>
      </c>
      <c r="G204" s="304">
        <v>370000</v>
      </c>
      <c r="H204" s="394" t="s">
        <v>2084</v>
      </c>
      <c r="I204" s="1158"/>
    </row>
    <row r="205" spans="2:9" ht="14.45" customHeight="1">
      <c r="B205" s="278">
        <v>114</v>
      </c>
      <c r="C205" s="278" t="s">
        <v>462</v>
      </c>
      <c r="D205" s="278" t="s">
        <v>671</v>
      </c>
      <c r="E205" s="278" t="s">
        <v>3459</v>
      </c>
      <c r="F205" s="278" t="s">
        <v>3461</v>
      </c>
      <c r="G205" s="304">
        <v>1100000</v>
      </c>
      <c r="H205" s="394" t="s">
        <v>2084</v>
      </c>
      <c r="I205" s="1158"/>
    </row>
    <row r="206" spans="2:9" ht="14.45" customHeight="1">
      <c r="B206" s="278">
        <v>114</v>
      </c>
      <c r="C206" s="278" t="s">
        <v>462</v>
      </c>
      <c r="D206" s="278" t="s">
        <v>671</v>
      </c>
      <c r="E206" s="278" t="s">
        <v>3459</v>
      </c>
      <c r="F206" s="278" t="s">
        <v>3462</v>
      </c>
      <c r="G206" s="304">
        <v>450000</v>
      </c>
      <c r="H206" s="394" t="s">
        <v>2084</v>
      </c>
      <c r="I206" s="1158"/>
    </row>
    <row r="207" spans="2:9" ht="14.45" customHeight="1">
      <c r="B207" s="278">
        <v>114</v>
      </c>
      <c r="C207" s="278" t="s">
        <v>462</v>
      </c>
      <c r="D207" s="278" t="s">
        <v>671</v>
      </c>
      <c r="E207" s="278" t="s">
        <v>3459</v>
      </c>
      <c r="F207" s="278" t="s">
        <v>3463</v>
      </c>
      <c r="G207" s="304">
        <v>1120000</v>
      </c>
      <c r="H207" s="394" t="s">
        <v>2084</v>
      </c>
      <c r="I207" s="1158"/>
    </row>
    <row r="208" spans="2:9" ht="14.45" customHeight="1">
      <c r="B208" s="278">
        <v>114</v>
      </c>
      <c r="C208" s="278" t="s">
        <v>462</v>
      </c>
      <c r="D208" s="278" t="s">
        <v>671</v>
      </c>
      <c r="E208" s="278" t="s">
        <v>3459</v>
      </c>
      <c r="F208" s="278" t="s">
        <v>3464</v>
      </c>
      <c r="G208" s="304">
        <v>1110000</v>
      </c>
      <c r="H208" s="394" t="s">
        <v>2084</v>
      </c>
      <c r="I208" s="1158"/>
    </row>
    <row r="209" spans="2:9" ht="14.45" customHeight="1">
      <c r="B209" s="278">
        <v>114</v>
      </c>
      <c r="C209" s="278" t="s">
        <v>462</v>
      </c>
      <c r="D209" s="278" t="s">
        <v>671</v>
      </c>
      <c r="E209" s="278" t="s">
        <v>3459</v>
      </c>
      <c r="F209" s="278" t="s">
        <v>3465</v>
      </c>
      <c r="G209" s="304">
        <v>370000</v>
      </c>
      <c r="H209" s="394" t="s">
        <v>2084</v>
      </c>
      <c r="I209" s="1158"/>
    </row>
    <row r="210" spans="2:9" ht="14.45" customHeight="1">
      <c r="B210" s="278">
        <v>114</v>
      </c>
      <c r="C210" s="278" t="s">
        <v>462</v>
      </c>
      <c r="D210" s="278" t="s">
        <v>671</v>
      </c>
      <c r="E210" s="278" t="s">
        <v>3459</v>
      </c>
      <c r="F210" s="278" t="s">
        <v>3466</v>
      </c>
      <c r="G210" s="304">
        <v>1380000</v>
      </c>
      <c r="H210" s="394" t="s">
        <v>2084</v>
      </c>
      <c r="I210" s="1158"/>
    </row>
    <row r="211" spans="2:9" ht="14.45" customHeight="1">
      <c r="B211" s="278">
        <v>114</v>
      </c>
      <c r="C211" s="278" t="s">
        <v>462</v>
      </c>
      <c r="D211" s="278" t="s">
        <v>671</v>
      </c>
      <c r="E211" s="278" t="s">
        <v>3459</v>
      </c>
      <c r="F211" s="278" t="s">
        <v>3467</v>
      </c>
      <c r="G211" s="304">
        <v>370000</v>
      </c>
      <c r="H211" s="394" t="s">
        <v>2084</v>
      </c>
      <c r="I211" s="1158"/>
    </row>
    <row r="212" spans="2:9" ht="14.45" customHeight="1">
      <c r="B212" s="278">
        <v>114</v>
      </c>
      <c r="C212" s="278" t="s">
        <v>462</v>
      </c>
      <c r="D212" s="278" t="s">
        <v>671</v>
      </c>
      <c r="E212" s="278" t="s">
        <v>3459</v>
      </c>
      <c r="F212" s="278" t="s">
        <v>3468</v>
      </c>
      <c r="G212" s="304">
        <v>1300000</v>
      </c>
      <c r="H212" s="394" t="s">
        <v>2084</v>
      </c>
      <c r="I212" s="1158"/>
    </row>
    <row r="213" spans="2:9" ht="14.45" customHeight="1">
      <c r="B213" s="278">
        <v>114</v>
      </c>
      <c r="C213" s="278" t="s">
        <v>462</v>
      </c>
      <c r="D213" s="278" t="s">
        <v>671</v>
      </c>
      <c r="E213" s="278" t="s">
        <v>3459</v>
      </c>
      <c r="F213" s="278" t="s">
        <v>3469</v>
      </c>
      <c r="G213" s="304">
        <v>2760000</v>
      </c>
      <c r="H213" s="394" t="s">
        <v>2084</v>
      </c>
      <c r="I213" s="1158"/>
    </row>
    <row r="214" spans="2:9" ht="14.45" customHeight="1">
      <c r="B214" s="278">
        <v>114</v>
      </c>
      <c r="C214" s="278" t="s">
        <v>462</v>
      </c>
      <c r="D214" s="278" t="s">
        <v>671</v>
      </c>
      <c r="E214" s="278" t="s">
        <v>3459</v>
      </c>
      <c r="F214" s="278" t="s">
        <v>3470</v>
      </c>
      <c r="G214" s="304">
        <v>1245000</v>
      </c>
      <c r="H214" s="394" t="s">
        <v>2084</v>
      </c>
      <c r="I214" s="1158"/>
    </row>
    <row r="215" spans="2:9" ht="14.45" customHeight="1">
      <c r="B215" s="278">
        <v>114</v>
      </c>
      <c r="C215" s="278" t="s">
        <v>462</v>
      </c>
      <c r="D215" s="278" t="s">
        <v>671</v>
      </c>
      <c r="E215" s="278" t="s">
        <v>3459</v>
      </c>
      <c r="F215" s="278" t="s">
        <v>3471</v>
      </c>
      <c r="G215" s="304">
        <v>370000</v>
      </c>
      <c r="H215" s="394" t="s">
        <v>2084</v>
      </c>
      <c r="I215" s="1158"/>
    </row>
    <row r="216" spans="2:9" ht="14.45" customHeight="1">
      <c r="B216" s="278">
        <v>114</v>
      </c>
      <c r="C216" s="278" t="s">
        <v>462</v>
      </c>
      <c r="D216" s="278" t="s">
        <v>671</v>
      </c>
      <c r="E216" s="278" t="s">
        <v>3459</v>
      </c>
      <c r="F216" s="278" t="s">
        <v>3472</v>
      </c>
      <c r="G216" s="304">
        <v>1430000</v>
      </c>
      <c r="H216" s="394" t="s">
        <v>2084</v>
      </c>
      <c r="I216" s="1158"/>
    </row>
    <row r="217" spans="2:9" ht="14.45" customHeight="1">
      <c r="B217" s="278">
        <v>114</v>
      </c>
      <c r="C217" s="278" t="s">
        <v>462</v>
      </c>
      <c r="D217" s="278" t="s">
        <v>671</v>
      </c>
      <c r="E217" s="278" t="s">
        <v>3459</v>
      </c>
      <c r="F217" s="278" t="s">
        <v>3473</v>
      </c>
      <c r="G217" s="304">
        <v>1700000</v>
      </c>
      <c r="H217" s="394" t="s">
        <v>2084</v>
      </c>
      <c r="I217" s="1158"/>
    </row>
    <row r="218" spans="2:9" ht="14.45" customHeight="1">
      <c r="B218" s="278">
        <v>114</v>
      </c>
      <c r="C218" s="278" t="s">
        <v>462</v>
      </c>
      <c r="D218" s="278" t="s">
        <v>671</v>
      </c>
      <c r="E218" s="278" t="s">
        <v>3459</v>
      </c>
      <c r="F218" s="278" t="s">
        <v>3474</v>
      </c>
      <c r="G218" s="304">
        <v>1830000</v>
      </c>
      <c r="H218" s="394" t="s">
        <v>2084</v>
      </c>
      <c r="I218" s="1158"/>
    </row>
    <row r="219" spans="2:9" ht="14.45" customHeight="1">
      <c r="B219" s="278">
        <v>114</v>
      </c>
      <c r="C219" s="278" t="s">
        <v>462</v>
      </c>
      <c r="D219" s="278" t="s">
        <v>671</v>
      </c>
      <c r="E219" s="278" t="s">
        <v>3459</v>
      </c>
      <c r="F219" s="278" t="s">
        <v>3475</v>
      </c>
      <c r="G219" s="304">
        <v>1100000</v>
      </c>
      <c r="H219" s="394" t="s">
        <v>2084</v>
      </c>
      <c r="I219" s="1158"/>
    </row>
    <row r="220" spans="2:9" ht="14.45" customHeight="1">
      <c r="B220" s="278">
        <v>114</v>
      </c>
      <c r="C220" s="278" t="s">
        <v>462</v>
      </c>
      <c r="D220" s="278" t="s">
        <v>671</v>
      </c>
      <c r="E220" s="278" t="s">
        <v>3459</v>
      </c>
      <c r="F220" s="278" t="s">
        <v>3476</v>
      </c>
      <c r="G220" s="304">
        <v>870000</v>
      </c>
      <c r="H220" s="394" t="s">
        <v>2084</v>
      </c>
      <c r="I220" s="1158"/>
    </row>
    <row r="221" spans="2:9" ht="14.45" customHeight="1">
      <c r="B221" s="278">
        <v>114</v>
      </c>
      <c r="C221" s="278" t="s">
        <v>462</v>
      </c>
      <c r="D221" s="278" t="s">
        <v>671</v>
      </c>
      <c r="E221" s="278" t="s">
        <v>3459</v>
      </c>
      <c r="F221" s="278" t="s">
        <v>3477</v>
      </c>
      <c r="G221" s="304">
        <v>1650000</v>
      </c>
      <c r="H221" s="394" t="s">
        <v>2084</v>
      </c>
      <c r="I221" s="1158"/>
    </row>
    <row r="222" spans="2:9" ht="14.45" customHeight="1">
      <c r="B222" s="278">
        <v>114</v>
      </c>
      <c r="C222" s="278" t="s">
        <v>462</v>
      </c>
      <c r="D222" s="278" t="s">
        <v>671</v>
      </c>
      <c r="E222" s="278" t="s">
        <v>3459</v>
      </c>
      <c r="F222" s="278" t="s">
        <v>3478</v>
      </c>
      <c r="G222" s="304">
        <v>815000</v>
      </c>
      <c r="H222" s="394" t="s">
        <v>2084</v>
      </c>
      <c r="I222" s="1158"/>
    </row>
    <row r="223" spans="2:9" ht="14.45" customHeight="1">
      <c r="B223" s="278">
        <v>114</v>
      </c>
      <c r="C223" s="278" t="s">
        <v>462</v>
      </c>
      <c r="D223" s="278" t="s">
        <v>671</v>
      </c>
      <c r="E223" s="278" t="s">
        <v>3459</v>
      </c>
      <c r="F223" s="278" t="s">
        <v>3479</v>
      </c>
      <c r="G223" s="304">
        <v>2130000</v>
      </c>
      <c r="H223" s="394" t="s">
        <v>2084</v>
      </c>
      <c r="I223" s="1158"/>
    </row>
    <row r="224" spans="2:9" ht="14.45" customHeight="1">
      <c r="B224" s="278">
        <v>114</v>
      </c>
      <c r="C224" s="278" t="s">
        <v>462</v>
      </c>
      <c r="D224" s="278" t="s">
        <v>671</v>
      </c>
      <c r="E224" s="278" t="s">
        <v>3459</v>
      </c>
      <c r="F224" s="278" t="s">
        <v>3480</v>
      </c>
      <c r="G224" s="304">
        <v>850000</v>
      </c>
      <c r="H224" s="394" t="s">
        <v>2084</v>
      </c>
      <c r="I224" s="1158"/>
    </row>
    <row r="225" spans="2:9" ht="14.45" customHeight="1">
      <c r="B225" s="278">
        <v>114</v>
      </c>
      <c r="C225" s="278" t="s">
        <v>462</v>
      </c>
      <c r="D225" s="278" t="s">
        <v>671</v>
      </c>
      <c r="E225" s="278" t="s">
        <v>3459</v>
      </c>
      <c r="F225" s="278" t="s">
        <v>3481</v>
      </c>
      <c r="G225" s="304">
        <v>710000</v>
      </c>
      <c r="H225" s="394" t="s">
        <v>2084</v>
      </c>
      <c r="I225" s="1158"/>
    </row>
    <row r="226" spans="2:9" ht="14.45" customHeight="1">
      <c r="B226" s="278">
        <v>114</v>
      </c>
      <c r="C226" s="278" t="s">
        <v>462</v>
      </c>
      <c r="D226" s="278" t="s">
        <v>671</v>
      </c>
      <c r="E226" s="278" t="s">
        <v>3459</v>
      </c>
      <c r="F226" s="278" t="s">
        <v>3482</v>
      </c>
      <c r="G226" s="304">
        <v>1175000</v>
      </c>
      <c r="H226" s="394" t="s">
        <v>2084</v>
      </c>
      <c r="I226" s="1158"/>
    </row>
    <row r="227" spans="2:9" ht="14.45" customHeight="1">
      <c r="B227" s="278">
        <v>114</v>
      </c>
      <c r="C227" s="278" t="s">
        <v>462</v>
      </c>
      <c r="D227" s="278" t="s">
        <v>671</v>
      </c>
      <c r="E227" s="278" t="s">
        <v>3459</v>
      </c>
      <c r="F227" s="278" t="s">
        <v>3483</v>
      </c>
      <c r="G227" s="304">
        <v>1770000</v>
      </c>
      <c r="H227" s="394" t="s">
        <v>2084</v>
      </c>
      <c r="I227" s="1158"/>
    </row>
    <row r="228" spans="2:9" ht="14.45" customHeight="1">
      <c r="B228" s="278">
        <v>114</v>
      </c>
      <c r="C228" s="278" t="s">
        <v>462</v>
      </c>
      <c r="D228" s="278" t="s">
        <v>671</v>
      </c>
      <c r="E228" s="278" t="s">
        <v>3459</v>
      </c>
      <c r="F228" s="278" t="s">
        <v>3484</v>
      </c>
      <c r="G228" s="304">
        <v>900000</v>
      </c>
      <c r="H228" s="394" t="s">
        <v>2084</v>
      </c>
      <c r="I228" s="1158"/>
    </row>
    <row r="229" spans="2:9" ht="14.45" customHeight="1">
      <c r="B229" s="278">
        <v>114</v>
      </c>
      <c r="C229" s="278" t="s">
        <v>462</v>
      </c>
      <c r="D229" s="278" t="s">
        <v>671</v>
      </c>
      <c r="E229" s="278" t="s">
        <v>3459</v>
      </c>
      <c r="F229" s="278" t="s">
        <v>3485</v>
      </c>
      <c r="G229" s="304">
        <v>1160000</v>
      </c>
      <c r="H229" s="394" t="s">
        <v>2084</v>
      </c>
      <c r="I229" s="1158"/>
    </row>
    <row r="230" spans="2:9" ht="14.45" customHeight="1">
      <c r="B230" s="278">
        <v>114</v>
      </c>
      <c r="C230" s="278" t="s">
        <v>462</v>
      </c>
      <c r="D230" s="278" t="s">
        <v>671</v>
      </c>
      <c r="E230" s="278" t="s">
        <v>3459</v>
      </c>
      <c r="F230" s="278" t="s">
        <v>3486</v>
      </c>
      <c r="G230" s="304">
        <v>1500000</v>
      </c>
      <c r="H230" s="394" t="s">
        <v>2084</v>
      </c>
      <c r="I230" s="1158"/>
    </row>
    <row r="231" spans="2:9" ht="14.45" customHeight="1">
      <c r="B231" s="278">
        <v>114</v>
      </c>
      <c r="C231" s="278" t="s">
        <v>462</v>
      </c>
      <c r="D231" s="278" t="s">
        <v>671</v>
      </c>
      <c r="E231" s="278" t="s">
        <v>3459</v>
      </c>
      <c r="F231" s="278" t="s">
        <v>3487</v>
      </c>
      <c r="G231" s="304">
        <v>1450481</v>
      </c>
      <c r="H231" s="394" t="s">
        <v>2084</v>
      </c>
      <c r="I231" s="1158"/>
    </row>
    <row r="232" spans="2:9" ht="14.45" customHeight="1">
      <c r="B232" s="278">
        <v>114</v>
      </c>
      <c r="C232" s="278" t="s">
        <v>462</v>
      </c>
      <c r="D232" s="278" t="s">
        <v>671</v>
      </c>
      <c r="E232" s="278" t="s">
        <v>3459</v>
      </c>
      <c r="F232" s="278" t="s">
        <v>3488</v>
      </c>
      <c r="G232" s="304">
        <v>1750000</v>
      </c>
      <c r="H232" s="394" t="s">
        <v>2084</v>
      </c>
      <c r="I232" s="1158"/>
    </row>
    <row r="233" spans="2:9" ht="14.45" customHeight="1">
      <c r="B233" s="278">
        <v>114</v>
      </c>
      <c r="C233" s="278" t="s">
        <v>462</v>
      </c>
      <c r="D233" s="278" t="s">
        <v>671</v>
      </c>
      <c r="E233" s="278" t="s">
        <v>3459</v>
      </c>
      <c r="F233" s="278" t="s">
        <v>3489</v>
      </c>
      <c r="G233" s="304">
        <v>1250000</v>
      </c>
      <c r="H233" s="394" t="s">
        <v>2084</v>
      </c>
      <c r="I233" s="1158"/>
    </row>
    <row r="234" spans="2:9" ht="14.45" customHeight="1">
      <c r="B234" s="278">
        <v>114</v>
      </c>
      <c r="C234" s="278" t="s">
        <v>462</v>
      </c>
      <c r="D234" s="278" t="s">
        <v>671</v>
      </c>
      <c r="E234" s="278" t="s">
        <v>3459</v>
      </c>
      <c r="F234" s="278" t="s">
        <v>3490</v>
      </c>
      <c r="G234" s="304">
        <v>1120000</v>
      </c>
      <c r="H234" s="394" t="s">
        <v>2084</v>
      </c>
      <c r="I234" s="1158"/>
    </row>
    <row r="235" spans="2:9" ht="14.45" customHeight="1">
      <c r="B235" s="278">
        <v>114</v>
      </c>
      <c r="C235" s="278" t="s">
        <v>462</v>
      </c>
      <c r="D235" s="278" t="s">
        <v>671</v>
      </c>
      <c r="E235" s="278" t="s">
        <v>3459</v>
      </c>
      <c r="F235" s="278" t="s">
        <v>3491</v>
      </c>
      <c r="G235" s="304">
        <v>2400000</v>
      </c>
      <c r="H235" s="394" t="s">
        <v>2084</v>
      </c>
      <c r="I235" s="1158"/>
    </row>
    <row r="236" spans="2:9" ht="14.45" customHeight="1">
      <c r="B236" s="278">
        <v>114</v>
      </c>
      <c r="C236" s="278" t="s">
        <v>462</v>
      </c>
      <c r="D236" s="278" t="s">
        <v>671</v>
      </c>
      <c r="E236" s="278" t="s">
        <v>3459</v>
      </c>
      <c r="F236" s="278" t="s">
        <v>3492</v>
      </c>
      <c r="G236" s="304">
        <v>1950000</v>
      </c>
      <c r="H236" s="394" t="s">
        <v>2084</v>
      </c>
      <c r="I236" s="1158"/>
    </row>
    <row r="237" spans="2:9" ht="14.45" customHeight="1">
      <c r="B237" s="278">
        <v>114</v>
      </c>
      <c r="C237" s="278" t="s">
        <v>462</v>
      </c>
      <c r="D237" s="278" t="s">
        <v>671</v>
      </c>
      <c r="E237" s="278" t="s">
        <v>3459</v>
      </c>
      <c r="F237" s="278" t="s">
        <v>3493</v>
      </c>
      <c r="G237" s="304">
        <v>2240000</v>
      </c>
      <c r="H237" s="394" t="s">
        <v>2084</v>
      </c>
      <c r="I237" s="1158"/>
    </row>
    <row r="238" spans="2:9" ht="14.45" customHeight="1">
      <c r="B238" s="278">
        <v>114</v>
      </c>
      <c r="C238" s="278" t="s">
        <v>462</v>
      </c>
      <c r="D238" s="278" t="s">
        <v>671</v>
      </c>
      <c r="E238" s="278" t="s">
        <v>3459</v>
      </c>
      <c r="F238" s="278" t="s">
        <v>3494</v>
      </c>
      <c r="G238" s="304">
        <v>1400000</v>
      </c>
      <c r="H238" s="394" t="s">
        <v>2084</v>
      </c>
      <c r="I238" s="1158"/>
    </row>
    <row r="239" spans="2:9" ht="14.45" customHeight="1">
      <c r="B239" s="278">
        <v>114</v>
      </c>
      <c r="C239" s="278" t="s">
        <v>462</v>
      </c>
      <c r="D239" s="278" t="s">
        <v>671</v>
      </c>
      <c r="E239" s="278" t="s">
        <v>3459</v>
      </c>
      <c r="F239" s="278" t="s">
        <v>3495</v>
      </c>
      <c r="G239" s="304">
        <v>1390000</v>
      </c>
      <c r="H239" s="394" t="s">
        <v>2084</v>
      </c>
      <c r="I239" s="1158"/>
    </row>
    <row r="240" spans="2:9" ht="14.45" customHeight="1">
      <c r="B240" s="278">
        <v>114</v>
      </c>
      <c r="C240" s="278" t="s">
        <v>462</v>
      </c>
      <c r="D240" s="278" t="s">
        <v>671</v>
      </c>
      <c r="E240" s="278" t="s">
        <v>3459</v>
      </c>
      <c r="F240" s="278" t="s">
        <v>3496</v>
      </c>
      <c r="G240" s="304">
        <v>900000</v>
      </c>
      <c r="H240" s="394" t="s">
        <v>2084</v>
      </c>
      <c r="I240" s="1158"/>
    </row>
    <row r="241" spans="2:9" ht="14.45" customHeight="1">
      <c r="B241" s="278">
        <v>114</v>
      </c>
      <c r="C241" s="278" t="s">
        <v>462</v>
      </c>
      <c r="D241" s="278" t="s">
        <v>671</v>
      </c>
      <c r="E241" s="278" t="s">
        <v>3459</v>
      </c>
      <c r="F241" s="278" t="s">
        <v>3497</v>
      </c>
      <c r="G241" s="304">
        <v>1170000</v>
      </c>
      <c r="H241" s="394" t="s">
        <v>2084</v>
      </c>
      <c r="I241" s="1158"/>
    </row>
    <row r="242" spans="2:9" ht="14.45" customHeight="1">
      <c r="B242" s="278">
        <v>114</v>
      </c>
      <c r="C242" s="278" t="s">
        <v>462</v>
      </c>
      <c r="D242" s="278" t="s">
        <v>671</v>
      </c>
      <c r="E242" s="278" t="s">
        <v>3459</v>
      </c>
      <c r="F242" s="278" t="s">
        <v>3498</v>
      </c>
      <c r="G242" s="304">
        <v>1500000</v>
      </c>
      <c r="H242" s="394" t="s">
        <v>2084</v>
      </c>
      <c r="I242" s="1158"/>
    </row>
    <row r="243" spans="2:9" ht="14.45" customHeight="1">
      <c r="B243" s="278">
        <v>114</v>
      </c>
      <c r="C243" s="278" t="s">
        <v>462</v>
      </c>
      <c r="D243" s="278" t="s">
        <v>672</v>
      </c>
      <c r="E243" s="278" t="s">
        <v>3499</v>
      </c>
      <c r="F243" s="278" t="s">
        <v>3500</v>
      </c>
      <c r="G243" s="304">
        <v>4100000</v>
      </c>
      <c r="H243" s="394" t="s">
        <v>2084</v>
      </c>
      <c r="I243" s="1158"/>
    </row>
    <row r="244" spans="2:9" ht="14.45" customHeight="1">
      <c r="B244" s="278">
        <v>114</v>
      </c>
      <c r="C244" s="278" t="s">
        <v>462</v>
      </c>
      <c r="D244" s="278" t="s">
        <v>672</v>
      </c>
      <c r="E244" s="278" t="s">
        <v>3499</v>
      </c>
      <c r="F244" s="278" t="s">
        <v>3501</v>
      </c>
      <c r="G244" s="304">
        <v>3350000</v>
      </c>
      <c r="H244" s="394" t="s">
        <v>2084</v>
      </c>
      <c r="I244" s="1158"/>
    </row>
    <row r="245" spans="2:9" ht="14.45" customHeight="1">
      <c r="B245" s="278">
        <v>114</v>
      </c>
      <c r="C245" s="278" t="s">
        <v>462</v>
      </c>
      <c r="D245" s="278" t="s">
        <v>672</v>
      </c>
      <c r="E245" s="278" t="s">
        <v>3499</v>
      </c>
      <c r="F245" s="278" t="s">
        <v>3502</v>
      </c>
      <c r="G245" s="304">
        <v>2510000</v>
      </c>
      <c r="H245" s="394" t="s">
        <v>2084</v>
      </c>
      <c r="I245" s="1158"/>
    </row>
    <row r="246" spans="2:9" ht="14.45" customHeight="1">
      <c r="B246" s="278">
        <v>114</v>
      </c>
      <c r="C246" s="278" t="s">
        <v>462</v>
      </c>
      <c r="D246" s="278" t="s">
        <v>672</v>
      </c>
      <c r="E246" s="278" t="s">
        <v>3499</v>
      </c>
      <c r="F246" s="278" t="s">
        <v>3503</v>
      </c>
      <c r="G246" s="304">
        <v>3450000</v>
      </c>
      <c r="H246" s="394" t="s">
        <v>2084</v>
      </c>
      <c r="I246" s="1158"/>
    </row>
    <row r="247" spans="2:9" ht="14.45" customHeight="1">
      <c r="B247" s="278">
        <v>114</v>
      </c>
      <c r="C247" s="278" t="s">
        <v>462</v>
      </c>
      <c r="D247" s="278" t="s">
        <v>672</v>
      </c>
      <c r="E247" s="278" t="s">
        <v>3499</v>
      </c>
      <c r="F247" s="278" t="s">
        <v>3504</v>
      </c>
      <c r="G247" s="304">
        <v>2900000</v>
      </c>
      <c r="H247" s="394" t="s">
        <v>2084</v>
      </c>
      <c r="I247" s="1158"/>
    </row>
    <row r="248" spans="2:9" ht="14.45" customHeight="1">
      <c r="B248" s="278">
        <v>114</v>
      </c>
      <c r="C248" s="278" t="s">
        <v>462</v>
      </c>
      <c r="D248" s="278" t="s">
        <v>672</v>
      </c>
      <c r="E248" s="278" t="s">
        <v>3499</v>
      </c>
      <c r="F248" s="278" t="s">
        <v>3505</v>
      </c>
      <c r="G248" s="304">
        <v>5100000</v>
      </c>
      <c r="H248" s="394" t="s">
        <v>2084</v>
      </c>
      <c r="I248" s="1158"/>
    </row>
    <row r="249" spans="2:9" ht="14.45" customHeight="1">
      <c r="B249" s="278">
        <v>114</v>
      </c>
      <c r="C249" s="278" t="s">
        <v>462</v>
      </c>
      <c r="D249" s="278" t="s">
        <v>672</v>
      </c>
      <c r="E249" s="278" t="s">
        <v>3499</v>
      </c>
      <c r="F249" s="278" t="s">
        <v>3506</v>
      </c>
      <c r="G249" s="304">
        <v>7160000</v>
      </c>
      <c r="H249" s="394" t="s">
        <v>2084</v>
      </c>
      <c r="I249" s="1158"/>
    </row>
    <row r="250" spans="2:9" ht="14.45" customHeight="1">
      <c r="B250" s="278">
        <v>114</v>
      </c>
      <c r="C250" s="278" t="s">
        <v>462</v>
      </c>
      <c r="D250" s="278" t="s">
        <v>672</v>
      </c>
      <c r="E250" s="278" t="s">
        <v>3499</v>
      </c>
      <c r="F250" s="278" t="s">
        <v>3507</v>
      </c>
      <c r="G250" s="304">
        <v>5450000</v>
      </c>
      <c r="H250" s="394" t="s">
        <v>2084</v>
      </c>
      <c r="I250" s="1158"/>
    </row>
    <row r="251" spans="2:9" ht="14.45" customHeight="1">
      <c r="B251" s="278">
        <v>114</v>
      </c>
      <c r="C251" s="278" t="s">
        <v>462</v>
      </c>
      <c r="D251" s="278" t="s">
        <v>672</v>
      </c>
      <c r="E251" s="278" t="s">
        <v>3499</v>
      </c>
      <c r="F251" s="278" t="s">
        <v>3508</v>
      </c>
      <c r="G251" s="304">
        <v>4100000</v>
      </c>
      <c r="H251" s="394" t="s">
        <v>2084</v>
      </c>
      <c r="I251" s="1158"/>
    </row>
    <row r="252" spans="2:9" ht="14.45" customHeight="1">
      <c r="B252" s="278">
        <v>114</v>
      </c>
      <c r="C252" s="278" t="s">
        <v>462</v>
      </c>
      <c r="D252" s="278" t="s">
        <v>672</v>
      </c>
      <c r="E252" s="278" t="s">
        <v>3499</v>
      </c>
      <c r="F252" s="278" t="s">
        <v>3509</v>
      </c>
      <c r="G252" s="304">
        <v>4800000</v>
      </c>
      <c r="H252" s="394" t="s">
        <v>2084</v>
      </c>
      <c r="I252" s="1158"/>
    </row>
    <row r="253" spans="2:9" ht="14.45" customHeight="1">
      <c r="B253" s="278">
        <v>114</v>
      </c>
      <c r="C253" s="278" t="s">
        <v>462</v>
      </c>
      <c r="D253" s="278" t="s">
        <v>672</v>
      </c>
      <c r="E253" s="278" t="s">
        <v>3499</v>
      </c>
      <c r="F253" s="278" t="s">
        <v>3510</v>
      </c>
      <c r="G253" s="304">
        <v>8210000</v>
      </c>
      <c r="H253" s="394" t="s">
        <v>2084</v>
      </c>
      <c r="I253" s="1158"/>
    </row>
    <row r="254" spans="2:9" ht="14.45" customHeight="1">
      <c r="B254" s="278">
        <v>114</v>
      </c>
      <c r="C254" s="278" t="s">
        <v>462</v>
      </c>
      <c r="D254" s="278" t="s">
        <v>672</v>
      </c>
      <c r="E254" s="278" t="s">
        <v>3499</v>
      </c>
      <c r="F254" s="278" t="s">
        <v>3511</v>
      </c>
      <c r="G254" s="304">
        <v>4840000</v>
      </c>
      <c r="H254" s="394" t="s">
        <v>2084</v>
      </c>
      <c r="I254" s="1158"/>
    </row>
    <row r="255" spans="2:9" ht="14.45" customHeight="1">
      <c r="B255" s="278">
        <v>114</v>
      </c>
      <c r="C255" s="278" t="s">
        <v>462</v>
      </c>
      <c r="D255" s="278" t="s">
        <v>672</v>
      </c>
      <c r="E255" s="278" t="s">
        <v>3499</v>
      </c>
      <c r="F255" s="278" t="s">
        <v>3512</v>
      </c>
      <c r="G255" s="304">
        <v>4100000</v>
      </c>
      <c r="H255" s="394" t="s">
        <v>2084</v>
      </c>
      <c r="I255" s="1158"/>
    </row>
    <row r="256" spans="2:9" ht="14.45" customHeight="1">
      <c r="B256" s="278">
        <v>114</v>
      </c>
      <c r="C256" s="278" t="s">
        <v>462</v>
      </c>
      <c r="D256" s="278" t="s">
        <v>672</v>
      </c>
      <c r="E256" s="278" t="s">
        <v>3499</v>
      </c>
      <c r="F256" s="278" t="s">
        <v>3513</v>
      </c>
      <c r="G256" s="304">
        <v>2350000</v>
      </c>
      <c r="H256" s="394" t="s">
        <v>2084</v>
      </c>
      <c r="I256" s="1158"/>
    </row>
    <row r="257" spans="2:9" ht="14.45" customHeight="1">
      <c r="B257" s="278">
        <v>114</v>
      </c>
      <c r="C257" s="278" t="s">
        <v>462</v>
      </c>
      <c r="D257" s="278" t="s">
        <v>672</v>
      </c>
      <c r="E257" s="278" t="s">
        <v>3499</v>
      </c>
      <c r="F257" s="278" t="s">
        <v>3514</v>
      </c>
      <c r="G257" s="304">
        <v>6000000</v>
      </c>
      <c r="H257" s="394" t="s">
        <v>2084</v>
      </c>
      <c r="I257" s="1158"/>
    </row>
    <row r="258" spans="2:9" ht="14.45" customHeight="1">
      <c r="B258" s="278">
        <v>114</v>
      </c>
      <c r="C258" s="278" t="s">
        <v>462</v>
      </c>
      <c r="D258" s="278" t="s">
        <v>672</v>
      </c>
      <c r="E258" s="278" t="s">
        <v>3499</v>
      </c>
      <c r="F258" s="278" t="s">
        <v>3515</v>
      </c>
      <c r="G258" s="304">
        <v>3750000</v>
      </c>
      <c r="H258" s="394" t="s">
        <v>2084</v>
      </c>
      <c r="I258" s="1158"/>
    </row>
    <row r="259" spans="2:9" ht="14.45" customHeight="1">
      <c r="B259" s="278">
        <v>114</v>
      </c>
      <c r="C259" s="278" t="s">
        <v>462</v>
      </c>
      <c r="D259" s="278" t="s">
        <v>672</v>
      </c>
      <c r="E259" s="278" t="s">
        <v>3499</v>
      </c>
      <c r="F259" s="278" t="s">
        <v>3516</v>
      </c>
      <c r="G259" s="304">
        <v>3800000</v>
      </c>
      <c r="H259" s="394" t="s">
        <v>2084</v>
      </c>
      <c r="I259" s="1158"/>
    </row>
    <row r="260" spans="2:9" ht="14.45" customHeight="1">
      <c r="B260" s="278">
        <v>114</v>
      </c>
      <c r="C260" s="278" t="s">
        <v>462</v>
      </c>
      <c r="D260" s="278" t="s">
        <v>672</v>
      </c>
      <c r="E260" s="278" t="s">
        <v>3499</v>
      </c>
      <c r="F260" s="278" t="s">
        <v>3517</v>
      </c>
      <c r="G260" s="304">
        <v>9280000</v>
      </c>
      <c r="H260" s="394" t="s">
        <v>2084</v>
      </c>
      <c r="I260" s="1158"/>
    </row>
    <row r="261" spans="2:9" ht="14.45" customHeight="1">
      <c r="B261" s="278">
        <v>114</v>
      </c>
      <c r="C261" s="278" t="s">
        <v>462</v>
      </c>
      <c r="D261" s="278" t="s">
        <v>672</v>
      </c>
      <c r="E261" s="278" t="s">
        <v>3499</v>
      </c>
      <c r="F261" s="278" t="s">
        <v>3518</v>
      </c>
      <c r="G261" s="304">
        <v>7350000</v>
      </c>
      <c r="H261" s="394" t="s">
        <v>2084</v>
      </c>
      <c r="I261" s="1158"/>
    </row>
    <row r="262" spans="2:9" ht="14.45" customHeight="1">
      <c r="B262" s="278">
        <v>114</v>
      </c>
      <c r="C262" s="278" t="s">
        <v>462</v>
      </c>
      <c r="D262" s="278" t="s">
        <v>672</v>
      </c>
      <c r="E262" s="278" t="s">
        <v>3499</v>
      </c>
      <c r="F262" s="278" t="s">
        <v>3519</v>
      </c>
      <c r="G262" s="304">
        <v>3725000</v>
      </c>
      <c r="H262" s="394" t="s">
        <v>2084</v>
      </c>
      <c r="I262" s="1158"/>
    </row>
    <row r="263" spans="2:9" ht="14.45" customHeight="1">
      <c r="B263" s="278">
        <v>114</v>
      </c>
      <c r="C263" s="278" t="s">
        <v>462</v>
      </c>
      <c r="D263" s="278" t="s">
        <v>672</v>
      </c>
      <c r="E263" s="278" t="s">
        <v>3499</v>
      </c>
      <c r="F263" s="278" t="s">
        <v>3520</v>
      </c>
      <c r="G263" s="304">
        <v>1820000</v>
      </c>
      <c r="H263" s="394" t="s">
        <v>2084</v>
      </c>
      <c r="I263" s="1158"/>
    </row>
    <row r="264" spans="2:9" ht="14.45" customHeight="1">
      <c r="B264" s="278">
        <v>114</v>
      </c>
      <c r="C264" s="278" t="s">
        <v>462</v>
      </c>
      <c r="D264" s="278" t="s">
        <v>672</v>
      </c>
      <c r="E264" s="278" t="s">
        <v>3499</v>
      </c>
      <c r="F264" s="278" t="s">
        <v>3521</v>
      </c>
      <c r="G264" s="304">
        <v>3850000</v>
      </c>
      <c r="H264" s="394" t="s">
        <v>2084</v>
      </c>
      <c r="I264" s="1158"/>
    </row>
    <row r="265" spans="2:9" ht="14.45" customHeight="1">
      <c r="B265" s="278">
        <v>114</v>
      </c>
      <c r="C265" s="278" t="s">
        <v>462</v>
      </c>
      <c r="D265" s="278" t="s">
        <v>672</v>
      </c>
      <c r="E265" s="278" t="s">
        <v>3499</v>
      </c>
      <c r="F265" s="278" t="s">
        <v>3522</v>
      </c>
      <c r="G265" s="304">
        <v>7625000</v>
      </c>
      <c r="H265" s="394" t="s">
        <v>2084</v>
      </c>
      <c r="I265" s="1158"/>
    </row>
    <row r="266" spans="2:9" ht="14.45" customHeight="1">
      <c r="B266" s="278">
        <v>114</v>
      </c>
      <c r="C266" s="278" t="s">
        <v>462</v>
      </c>
      <c r="D266" s="278" t="s">
        <v>672</v>
      </c>
      <c r="E266" s="278" t="s">
        <v>3499</v>
      </c>
      <c r="F266" s="278" t="s">
        <v>3523</v>
      </c>
      <c r="G266" s="304">
        <v>5730000</v>
      </c>
      <c r="H266" s="394" t="s">
        <v>2084</v>
      </c>
      <c r="I266" s="1158"/>
    </row>
    <row r="267" spans="2:9" ht="14.45" customHeight="1">
      <c r="B267" s="278">
        <v>114</v>
      </c>
      <c r="C267" s="278" t="s">
        <v>462</v>
      </c>
      <c r="D267" s="278" t="s">
        <v>672</v>
      </c>
      <c r="E267" s="278" t="s">
        <v>3499</v>
      </c>
      <c r="F267" s="278" t="s">
        <v>3524</v>
      </c>
      <c r="G267" s="304">
        <v>2360000</v>
      </c>
      <c r="H267" s="394" t="s">
        <v>2084</v>
      </c>
      <c r="I267" s="1158"/>
    </row>
    <row r="268" spans="2:9" ht="14.45" customHeight="1">
      <c r="B268" s="278">
        <v>114</v>
      </c>
      <c r="C268" s="278" t="s">
        <v>462</v>
      </c>
      <c r="D268" s="278" t="s">
        <v>672</v>
      </c>
      <c r="E268" s="278" t="s">
        <v>3499</v>
      </c>
      <c r="F268" s="278" t="s">
        <v>3525</v>
      </c>
      <c r="G268" s="304">
        <v>3910000</v>
      </c>
      <c r="H268" s="394" t="s">
        <v>2084</v>
      </c>
      <c r="I268" s="1158"/>
    </row>
    <row r="269" spans="2:9" ht="14.45" customHeight="1">
      <c r="B269" s="278">
        <v>114</v>
      </c>
      <c r="C269" s="278" t="s">
        <v>462</v>
      </c>
      <c r="D269" s="278" t="s">
        <v>672</v>
      </c>
      <c r="E269" s="278" t="s">
        <v>3499</v>
      </c>
      <c r="F269" s="278" t="s">
        <v>3526</v>
      </c>
      <c r="G269" s="304">
        <v>5330000</v>
      </c>
      <c r="H269" s="394" t="s">
        <v>2084</v>
      </c>
      <c r="I269" s="1158"/>
    </row>
    <row r="270" spans="2:9" ht="14.45" customHeight="1">
      <c r="B270" s="278">
        <v>114</v>
      </c>
      <c r="C270" s="278" t="s">
        <v>462</v>
      </c>
      <c r="D270" s="278" t="s">
        <v>672</v>
      </c>
      <c r="E270" s="278" t="s">
        <v>3499</v>
      </c>
      <c r="F270" s="278" t="s">
        <v>3527</v>
      </c>
      <c r="G270" s="304">
        <v>1600000</v>
      </c>
      <c r="H270" s="394" t="s">
        <v>2084</v>
      </c>
      <c r="I270" s="1158"/>
    </row>
    <row r="271" spans="2:9" ht="14.45" customHeight="1">
      <c r="B271" s="278">
        <v>114</v>
      </c>
      <c r="C271" s="278" t="s">
        <v>462</v>
      </c>
      <c r="D271" s="278" t="s">
        <v>672</v>
      </c>
      <c r="E271" s="278" t="s">
        <v>3499</v>
      </c>
      <c r="F271" s="278" t="s">
        <v>3528</v>
      </c>
      <c r="G271" s="304">
        <v>4450000</v>
      </c>
      <c r="H271" s="394" t="s">
        <v>2084</v>
      </c>
      <c r="I271" s="1158"/>
    </row>
    <row r="272" spans="2:9" ht="14.45" customHeight="1">
      <c r="B272" s="278">
        <v>114</v>
      </c>
      <c r="C272" s="278" t="s">
        <v>462</v>
      </c>
      <c r="D272" s="278" t="s">
        <v>672</v>
      </c>
      <c r="E272" s="278" t="s">
        <v>3499</v>
      </c>
      <c r="F272" s="278" t="s">
        <v>3529</v>
      </c>
      <c r="G272" s="304">
        <v>2800000</v>
      </c>
      <c r="H272" s="394" t="s">
        <v>2084</v>
      </c>
      <c r="I272" s="1158"/>
    </row>
    <row r="273" spans="2:9" ht="14.45" customHeight="1">
      <c r="B273" s="278">
        <v>114</v>
      </c>
      <c r="C273" s="278" t="s">
        <v>462</v>
      </c>
      <c r="D273" s="278" t="s">
        <v>672</v>
      </c>
      <c r="E273" s="278" t="s">
        <v>3499</v>
      </c>
      <c r="F273" s="278" t="s">
        <v>3530</v>
      </c>
      <c r="G273" s="304">
        <v>3370000</v>
      </c>
      <c r="H273" s="394" t="s">
        <v>2084</v>
      </c>
      <c r="I273" s="1158"/>
    </row>
    <row r="274" spans="2:9" ht="14.45" customHeight="1">
      <c r="B274" s="278">
        <v>114</v>
      </c>
      <c r="C274" s="278" t="s">
        <v>462</v>
      </c>
      <c r="D274" s="278" t="s">
        <v>672</v>
      </c>
      <c r="E274" s="278" t="s">
        <v>3499</v>
      </c>
      <c r="F274" s="278" t="s">
        <v>3531</v>
      </c>
      <c r="G274" s="304">
        <v>5150000</v>
      </c>
      <c r="H274" s="394" t="s">
        <v>2084</v>
      </c>
      <c r="I274" s="1158"/>
    </row>
    <row r="275" spans="2:9" ht="14.45" customHeight="1">
      <c r="B275" s="278">
        <v>114</v>
      </c>
      <c r="C275" s="278" t="s">
        <v>462</v>
      </c>
      <c r="D275" s="278" t="s">
        <v>672</v>
      </c>
      <c r="E275" s="278" t="s">
        <v>3499</v>
      </c>
      <c r="F275" s="278" t="s">
        <v>3532</v>
      </c>
      <c r="G275" s="304">
        <v>3050000</v>
      </c>
      <c r="H275" s="394" t="s">
        <v>2084</v>
      </c>
      <c r="I275" s="1158"/>
    </row>
    <row r="276" spans="2:9" ht="14.45" customHeight="1">
      <c r="B276" s="278">
        <v>114</v>
      </c>
      <c r="C276" s="278" t="s">
        <v>462</v>
      </c>
      <c r="D276" s="278" t="s">
        <v>672</v>
      </c>
      <c r="E276" s="278" t="s">
        <v>3499</v>
      </c>
      <c r="F276" s="278" t="s">
        <v>3533</v>
      </c>
      <c r="G276" s="304">
        <v>7200000</v>
      </c>
      <c r="H276" s="394" t="s">
        <v>2084</v>
      </c>
      <c r="I276" s="1158"/>
    </row>
    <row r="277" spans="2:9" ht="14.45" customHeight="1">
      <c r="B277" s="278">
        <v>114</v>
      </c>
      <c r="C277" s="278" t="s">
        <v>462</v>
      </c>
      <c r="D277" s="278" t="s">
        <v>672</v>
      </c>
      <c r="E277" s="278" t="s">
        <v>3499</v>
      </c>
      <c r="F277" s="278" t="s">
        <v>3534</v>
      </c>
      <c r="G277" s="304">
        <v>5750000</v>
      </c>
      <c r="H277" s="394" t="s">
        <v>2084</v>
      </c>
      <c r="I277" s="1158"/>
    </row>
    <row r="278" spans="2:9" ht="14.45" customHeight="1">
      <c r="B278" s="278">
        <v>114</v>
      </c>
      <c r="C278" s="278" t="s">
        <v>462</v>
      </c>
      <c r="D278" s="278" t="s">
        <v>672</v>
      </c>
      <c r="E278" s="278" t="s">
        <v>3499</v>
      </c>
      <c r="F278" s="278" t="s">
        <v>3535</v>
      </c>
      <c r="G278" s="304">
        <v>5090000</v>
      </c>
      <c r="H278" s="394" t="s">
        <v>2084</v>
      </c>
      <c r="I278" s="1158"/>
    </row>
    <row r="279" spans="2:9" ht="14.45" customHeight="1">
      <c r="B279" s="278">
        <v>114</v>
      </c>
      <c r="C279" s="278" t="s">
        <v>462</v>
      </c>
      <c r="D279" s="278" t="s">
        <v>672</v>
      </c>
      <c r="E279" s="278" t="s">
        <v>3499</v>
      </c>
      <c r="F279" s="278" t="s">
        <v>2410</v>
      </c>
      <c r="G279" s="304">
        <v>3000000</v>
      </c>
      <c r="H279" s="394" t="s">
        <v>2084</v>
      </c>
      <c r="I279" s="1158"/>
    </row>
    <row r="280" spans="2:9" ht="14.45" customHeight="1">
      <c r="B280" s="278">
        <v>114</v>
      </c>
      <c r="C280" s="278" t="s">
        <v>462</v>
      </c>
      <c r="D280" s="278" t="s">
        <v>672</v>
      </c>
      <c r="E280" s="278" t="s">
        <v>3499</v>
      </c>
      <c r="F280" s="278" t="s">
        <v>3536</v>
      </c>
      <c r="G280" s="304">
        <v>4800000</v>
      </c>
      <c r="H280" s="394" t="s">
        <v>2084</v>
      </c>
      <c r="I280" s="1158"/>
    </row>
    <row r="281" spans="2:9" ht="14.45" customHeight="1">
      <c r="B281" s="278">
        <v>114</v>
      </c>
      <c r="C281" s="278" t="s">
        <v>462</v>
      </c>
      <c r="D281" s="278" t="s">
        <v>672</v>
      </c>
      <c r="E281" s="278" t="s">
        <v>3499</v>
      </c>
      <c r="F281" s="278" t="s">
        <v>3537</v>
      </c>
      <c r="G281" s="304">
        <v>6500000</v>
      </c>
      <c r="H281" s="394" t="s">
        <v>2084</v>
      </c>
      <c r="I281" s="1158"/>
    </row>
    <row r="282" spans="2:9" ht="14.45" customHeight="1">
      <c r="B282" s="278">
        <v>114</v>
      </c>
      <c r="C282" s="278" t="s">
        <v>462</v>
      </c>
      <c r="D282" s="278" t="s">
        <v>672</v>
      </c>
      <c r="E282" s="278" t="s">
        <v>3499</v>
      </c>
      <c r="F282" s="278" t="s">
        <v>3538</v>
      </c>
      <c r="G282" s="304">
        <v>2950000</v>
      </c>
      <c r="H282" s="394" t="s">
        <v>2084</v>
      </c>
      <c r="I282" s="1158"/>
    </row>
    <row r="283" spans="2:9" ht="14.45" customHeight="1">
      <c r="B283" s="278">
        <v>114</v>
      </c>
      <c r="C283" s="278" t="s">
        <v>462</v>
      </c>
      <c r="D283" s="278" t="s">
        <v>672</v>
      </c>
      <c r="E283" s="278" t="s">
        <v>3499</v>
      </c>
      <c r="F283" s="278" t="s">
        <v>3539</v>
      </c>
      <c r="G283" s="304">
        <v>7780000</v>
      </c>
      <c r="H283" s="394" t="s">
        <v>2084</v>
      </c>
      <c r="I283" s="1158"/>
    </row>
    <row r="284" spans="2:9" ht="14.45" customHeight="1">
      <c r="B284" s="278">
        <v>114</v>
      </c>
      <c r="C284" s="278" t="s">
        <v>462</v>
      </c>
      <c r="D284" s="278" t="s">
        <v>672</v>
      </c>
      <c r="E284" s="278" t="s">
        <v>3499</v>
      </c>
      <c r="F284" s="278" t="s">
        <v>3540</v>
      </c>
      <c r="G284" s="304">
        <v>4300000</v>
      </c>
      <c r="H284" s="394" t="s">
        <v>2084</v>
      </c>
      <c r="I284" s="1158"/>
    </row>
    <row r="285" spans="2:9" ht="14.45" customHeight="1">
      <c r="B285" s="278">
        <v>114</v>
      </c>
      <c r="C285" s="278" t="s">
        <v>462</v>
      </c>
      <c r="D285" s="278" t="s">
        <v>672</v>
      </c>
      <c r="E285" s="278" t="s">
        <v>3499</v>
      </c>
      <c r="F285" s="278" t="s">
        <v>3541</v>
      </c>
      <c r="G285" s="304">
        <v>8300000</v>
      </c>
      <c r="H285" s="394" t="s">
        <v>2084</v>
      </c>
      <c r="I285" s="1158"/>
    </row>
    <row r="286" spans="2:9" ht="14.45" customHeight="1">
      <c r="B286" s="278">
        <v>114</v>
      </c>
      <c r="C286" s="278" t="s">
        <v>462</v>
      </c>
      <c r="D286" s="278" t="s">
        <v>672</v>
      </c>
      <c r="E286" s="278" t="s">
        <v>3499</v>
      </c>
      <c r="F286" s="278" t="s">
        <v>3542</v>
      </c>
      <c r="G286" s="304">
        <v>2270000</v>
      </c>
      <c r="H286" s="394" t="s">
        <v>2084</v>
      </c>
      <c r="I286" s="1158"/>
    </row>
    <row r="287" spans="2:9" ht="14.45" customHeight="1">
      <c r="B287" s="278">
        <v>114</v>
      </c>
      <c r="C287" s="278" t="s">
        <v>462</v>
      </c>
      <c r="D287" s="278" t="s">
        <v>672</v>
      </c>
      <c r="E287" s="278" t="s">
        <v>3499</v>
      </c>
      <c r="F287" s="278" t="s">
        <v>3543</v>
      </c>
      <c r="G287" s="304">
        <v>5450000</v>
      </c>
      <c r="H287" s="394" t="s">
        <v>2084</v>
      </c>
      <c r="I287" s="1158"/>
    </row>
    <row r="288" spans="2:9" ht="14.45" customHeight="1">
      <c r="B288" s="278">
        <v>114</v>
      </c>
      <c r="C288" s="278" t="s">
        <v>462</v>
      </c>
      <c r="D288" s="278" t="s">
        <v>672</v>
      </c>
      <c r="E288" s="278" t="s">
        <v>3499</v>
      </c>
      <c r="F288" s="278" t="s">
        <v>3544</v>
      </c>
      <c r="G288" s="304">
        <v>6150000</v>
      </c>
      <c r="H288" s="394" t="s">
        <v>2084</v>
      </c>
      <c r="I288" s="1158"/>
    </row>
    <row r="289" spans="2:9" ht="14.45" customHeight="1">
      <c r="B289" s="278">
        <v>114</v>
      </c>
      <c r="C289" s="278" t="s">
        <v>462</v>
      </c>
      <c r="D289" s="278" t="s">
        <v>672</v>
      </c>
      <c r="E289" s="278" t="s">
        <v>3499</v>
      </c>
      <c r="F289" s="278" t="s">
        <v>3545</v>
      </c>
      <c r="G289" s="304">
        <v>5630000</v>
      </c>
      <c r="H289" s="394" t="s">
        <v>2084</v>
      </c>
      <c r="I289" s="1158"/>
    </row>
    <row r="290" spans="2:9" ht="14.45" customHeight="1">
      <c r="B290" s="278">
        <v>114</v>
      </c>
      <c r="C290" s="278" t="s">
        <v>462</v>
      </c>
      <c r="D290" s="278" t="s">
        <v>672</v>
      </c>
      <c r="E290" s="278" t="s">
        <v>3499</v>
      </c>
      <c r="F290" s="278" t="s">
        <v>3546</v>
      </c>
      <c r="G290" s="304">
        <v>2700000</v>
      </c>
      <c r="H290" s="394" t="s">
        <v>2084</v>
      </c>
      <c r="I290" s="1158"/>
    </row>
    <row r="291" spans="2:9" ht="14.45" customHeight="1">
      <c r="B291" s="278">
        <v>114</v>
      </c>
      <c r="C291" s="278" t="s">
        <v>462</v>
      </c>
      <c r="D291" s="278" t="s">
        <v>672</v>
      </c>
      <c r="E291" s="278" t="s">
        <v>3499</v>
      </c>
      <c r="F291" s="278" t="s">
        <v>3547</v>
      </c>
      <c r="G291" s="304">
        <v>6000000</v>
      </c>
      <c r="H291" s="394" t="s">
        <v>2084</v>
      </c>
      <c r="I291" s="1158"/>
    </row>
    <row r="292" spans="2:9" ht="14.45" customHeight="1">
      <c r="B292" s="278">
        <v>114</v>
      </c>
      <c r="C292" s="278" t="s">
        <v>462</v>
      </c>
      <c r="D292" s="278" t="s">
        <v>672</v>
      </c>
      <c r="E292" s="278" t="s">
        <v>3499</v>
      </c>
      <c r="F292" s="278" t="s">
        <v>3548</v>
      </c>
      <c r="G292" s="304">
        <v>5800000</v>
      </c>
      <c r="H292" s="394" t="s">
        <v>2084</v>
      </c>
      <c r="I292" s="1158"/>
    </row>
    <row r="293" spans="2:9" ht="14.45" customHeight="1">
      <c r="B293" s="278">
        <v>114</v>
      </c>
      <c r="C293" s="278" t="s">
        <v>462</v>
      </c>
      <c r="D293" s="278" t="s">
        <v>672</v>
      </c>
      <c r="E293" s="278" t="s">
        <v>3499</v>
      </c>
      <c r="F293" s="278" t="s">
        <v>2325</v>
      </c>
      <c r="G293" s="304">
        <v>3280000</v>
      </c>
      <c r="H293" s="394" t="s">
        <v>2084</v>
      </c>
      <c r="I293" s="1158"/>
    </row>
    <row r="294" spans="2:9" ht="14.45" customHeight="1">
      <c r="B294" s="278">
        <v>114</v>
      </c>
      <c r="C294" s="278" t="s">
        <v>462</v>
      </c>
      <c r="D294" s="278" t="s">
        <v>672</v>
      </c>
      <c r="E294" s="278" t="s">
        <v>3499</v>
      </c>
      <c r="F294" s="278" t="s">
        <v>3549</v>
      </c>
      <c r="G294" s="304">
        <v>6100000</v>
      </c>
      <c r="H294" s="394" t="s">
        <v>2084</v>
      </c>
      <c r="I294" s="1158"/>
    </row>
    <row r="295" spans="2:9" ht="14.45" customHeight="1">
      <c r="B295" s="278">
        <v>114</v>
      </c>
      <c r="C295" s="278" t="s">
        <v>462</v>
      </c>
      <c r="D295" s="278" t="s">
        <v>672</v>
      </c>
      <c r="E295" s="278" t="s">
        <v>3499</v>
      </c>
      <c r="F295" s="278" t="s">
        <v>3550</v>
      </c>
      <c r="G295" s="304">
        <v>2550000</v>
      </c>
      <c r="H295" s="394" t="s">
        <v>2084</v>
      </c>
      <c r="I295" s="1158"/>
    </row>
    <row r="296" spans="2:9" ht="14.45" customHeight="1">
      <c r="B296" s="278">
        <v>114</v>
      </c>
      <c r="C296" s="278" t="s">
        <v>462</v>
      </c>
      <c r="D296" s="278" t="s">
        <v>672</v>
      </c>
      <c r="E296" s="278" t="s">
        <v>3499</v>
      </c>
      <c r="F296" s="278" t="s">
        <v>3551</v>
      </c>
      <c r="G296" s="304">
        <v>2850000</v>
      </c>
      <c r="H296" s="394" t="s">
        <v>2084</v>
      </c>
      <c r="I296" s="1158"/>
    </row>
    <row r="297" spans="2:9" ht="14.45" customHeight="1">
      <c r="B297" s="278">
        <v>114</v>
      </c>
      <c r="C297" s="278" t="s">
        <v>462</v>
      </c>
      <c r="D297" s="278" t="s">
        <v>672</v>
      </c>
      <c r="E297" s="278" t="s">
        <v>3499</v>
      </c>
      <c r="F297" s="278" t="s">
        <v>3552</v>
      </c>
      <c r="G297" s="304">
        <v>4250000</v>
      </c>
      <c r="H297" s="394" t="s">
        <v>2084</v>
      </c>
      <c r="I297" s="1158"/>
    </row>
    <row r="298" spans="2:9" ht="14.45" customHeight="1">
      <c r="B298" s="278">
        <v>114</v>
      </c>
      <c r="C298" s="278" t="s">
        <v>462</v>
      </c>
      <c r="D298" s="278" t="s">
        <v>672</v>
      </c>
      <c r="E298" s="278" t="s">
        <v>3499</v>
      </c>
      <c r="F298" s="278" t="s">
        <v>3553</v>
      </c>
      <c r="G298" s="304">
        <v>4700000</v>
      </c>
      <c r="H298" s="394" t="s">
        <v>2084</v>
      </c>
      <c r="I298" s="1158"/>
    </row>
    <row r="299" spans="2:9" ht="14.45" customHeight="1">
      <c r="B299" s="278">
        <v>114</v>
      </c>
      <c r="C299" s="278" t="s">
        <v>462</v>
      </c>
      <c r="D299" s="278" t="s">
        <v>672</v>
      </c>
      <c r="E299" s="278" t="s">
        <v>3499</v>
      </c>
      <c r="F299" s="278" t="s">
        <v>3554</v>
      </c>
      <c r="G299" s="304">
        <v>3930000</v>
      </c>
      <c r="H299" s="394" t="s">
        <v>2084</v>
      </c>
      <c r="I299" s="1158"/>
    </row>
    <row r="300" spans="2:9" ht="14.45" customHeight="1">
      <c r="B300" s="278">
        <v>114</v>
      </c>
      <c r="C300" s="278" t="s">
        <v>462</v>
      </c>
      <c r="D300" s="278" t="s">
        <v>672</v>
      </c>
      <c r="E300" s="278" t="s">
        <v>3499</v>
      </c>
      <c r="F300" s="278" t="s">
        <v>3555</v>
      </c>
      <c r="G300" s="304">
        <v>6200000</v>
      </c>
      <c r="H300" s="394" t="s">
        <v>2084</v>
      </c>
      <c r="I300" s="1158"/>
    </row>
    <row r="301" spans="2:9" ht="14.45" customHeight="1">
      <c r="B301" s="278">
        <v>114</v>
      </c>
      <c r="C301" s="278" t="s">
        <v>462</v>
      </c>
      <c r="D301" s="278" t="s">
        <v>672</v>
      </c>
      <c r="E301" s="278" t="s">
        <v>3499</v>
      </c>
      <c r="F301" s="278" t="s">
        <v>3556</v>
      </c>
      <c r="G301" s="304">
        <v>4380000</v>
      </c>
      <c r="H301" s="394" t="s">
        <v>2084</v>
      </c>
      <c r="I301" s="1158"/>
    </row>
    <row r="302" spans="2:9" ht="14.45" customHeight="1">
      <c r="B302" s="278">
        <v>114</v>
      </c>
      <c r="C302" s="278" t="s">
        <v>462</v>
      </c>
      <c r="D302" s="278" t="s">
        <v>672</v>
      </c>
      <c r="E302" s="278" t="s">
        <v>3499</v>
      </c>
      <c r="F302" s="278" t="s">
        <v>3557</v>
      </c>
      <c r="G302" s="304">
        <v>4250000</v>
      </c>
      <c r="H302" s="394" t="s">
        <v>2084</v>
      </c>
      <c r="I302" s="1158"/>
    </row>
    <row r="303" spans="2:9" ht="14.45" customHeight="1">
      <c r="B303" s="278">
        <v>114</v>
      </c>
      <c r="C303" s="278" t="s">
        <v>462</v>
      </c>
      <c r="D303" s="278" t="s">
        <v>672</v>
      </c>
      <c r="E303" s="278" t="s">
        <v>3499</v>
      </c>
      <c r="F303" s="278" t="s">
        <v>3558</v>
      </c>
      <c r="G303" s="304">
        <v>3070000</v>
      </c>
      <c r="H303" s="394" t="s">
        <v>2084</v>
      </c>
      <c r="I303" s="1158"/>
    </row>
    <row r="304" spans="2:9" ht="14.45" customHeight="1">
      <c r="B304" s="278">
        <v>114</v>
      </c>
      <c r="C304" s="278" t="s">
        <v>462</v>
      </c>
      <c r="D304" s="278" t="s">
        <v>672</v>
      </c>
      <c r="E304" s="278" t="s">
        <v>3499</v>
      </c>
      <c r="F304" s="278" t="s">
        <v>3559</v>
      </c>
      <c r="G304" s="304">
        <v>6070000</v>
      </c>
      <c r="H304" s="394" t="s">
        <v>2084</v>
      </c>
      <c r="I304" s="1158"/>
    </row>
    <row r="305" spans="2:9" ht="14.45" customHeight="1">
      <c r="B305" s="278">
        <v>114</v>
      </c>
      <c r="C305" s="278" t="s">
        <v>462</v>
      </c>
      <c r="D305" s="278" t="s">
        <v>672</v>
      </c>
      <c r="E305" s="278" t="s">
        <v>3499</v>
      </c>
      <c r="F305" s="278" t="s">
        <v>3560</v>
      </c>
      <c r="G305" s="304">
        <v>7050000</v>
      </c>
      <c r="H305" s="394" t="s">
        <v>2084</v>
      </c>
      <c r="I305" s="1158"/>
    </row>
    <row r="306" spans="2:9" ht="14.45" customHeight="1">
      <c r="B306" s="278">
        <v>114</v>
      </c>
      <c r="C306" s="278" t="s">
        <v>462</v>
      </c>
      <c r="D306" s="278" t="s">
        <v>672</v>
      </c>
      <c r="E306" s="278" t="s">
        <v>3499</v>
      </c>
      <c r="F306" s="278" t="s">
        <v>3561</v>
      </c>
      <c r="G306" s="304">
        <v>6850000</v>
      </c>
      <c r="H306" s="394" t="s">
        <v>2084</v>
      </c>
      <c r="I306" s="1158"/>
    </row>
    <row r="307" spans="2:9" ht="14.45" customHeight="1">
      <c r="B307" s="278">
        <v>114</v>
      </c>
      <c r="C307" s="278" t="s">
        <v>462</v>
      </c>
      <c r="D307" s="278" t="s">
        <v>672</v>
      </c>
      <c r="E307" s="278" t="s">
        <v>3499</v>
      </c>
      <c r="F307" s="278" t="s">
        <v>3562</v>
      </c>
      <c r="G307" s="304">
        <v>5370000</v>
      </c>
      <c r="H307" s="394" t="s">
        <v>2084</v>
      </c>
      <c r="I307" s="1158"/>
    </row>
    <row r="308" spans="2:9" ht="14.45" customHeight="1">
      <c r="B308" s="278">
        <v>114</v>
      </c>
      <c r="C308" s="278" t="s">
        <v>462</v>
      </c>
      <c r="D308" s="278" t="s">
        <v>672</v>
      </c>
      <c r="E308" s="278" t="s">
        <v>3499</v>
      </c>
      <c r="F308" s="278" t="s">
        <v>3563</v>
      </c>
      <c r="G308" s="304">
        <v>4500000</v>
      </c>
      <c r="H308" s="394" t="s">
        <v>2084</v>
      </c>
      <c r="I308" s="1158"/>
    </row>
    <row r="309" spans="2:9" ht="14.45" customHeight="1">
      <c r="B309" s="278">
        <v>114</v>
      </c>
      <c r="C309" s="278" t="s">
        <v>462</v>
      </c>
      <c r="D309" s="278" t="s">
        <v>672</v>
      </c>
      <c r="E309" s="278" t="s">
        <v>3499</v>
      </c>
      <c r="F309" s="278" t="s">
        <v>3564</v>
      </c>
      <c r="G309" s="304">
        <v>5540000</v>
      </c>
      <c r="H309" s="394" t="s">
        <v>2084</v>
      </c>
      <c r="I309" s="1158"/>
    </row>
    <row r="310" spans="2:9" ht="14.45" customHeight="1">
      <c r="B310" s="278">
        <v>114</v>
      </c>
      <c r="C310" s="278" t="s">
        <v>462</v>
      </c>
      <c r="D310" s="278" t="s">
        <v>673</v>
      </c>
      <c r="E310" s="278" t="s">
        <v>3565</v>
      </c>
      <c r="F310" s="278" t="s">
        <v>3566</v>
      </c>
      <c r="G310" s="304">
        <v>3000000</v>
      </c>
      <c r="H310" s="394" t="s">
        <v>2084</v>
      </c>
      <c r="I310" s="1158"/>
    </row>
    <row r="311" spans="2:9" ht="14.45" customHeight="1">
      <c r="B311" s="278">
        <v>114</v>
      </c>
      <c r="C311" s="278" t="s">
        <v>462</v>
      </c>
      <c r="D311" s="278" t="s">
        <v>673</v>
      </c>
      <c r="E311" s="278" t="s">
        <v>3565</v>
      </c>
      <c r="F311" s="278" t="s">
        <v>3567</v>
      </c>
      <c r="G311" s="304">
        <v>3400000</v>
      </c>
      <c r="H311" s="394" t="s">
        <v>2084</v>
      </c>
      <c r="I311" s="1158"/>
    </row>
    <row r="312" spans="2:9" ht="14.45" customHeight="1">
      <c r="B312" s="278">
        <v>114</v>
      </c>
      <c r="C312" s="278" t="s">
        <v>462</v>
      </c>
      <c r="D312" s="278" t="s">
        <v>673</v>
      </c>
      <c r="E312" s="278" t="s">
        <v>3565</v>
      </c>
      <c r="F312" s="278" t="s">
        <v>3568</v>
      </c>
      <c r="G312" s="304">
        <v>3250000</v>
      </c>
      <c r="H312" s="394" t="s">
        <v>2084</v>
      </c>
      <c r="I312" s="1158"/>
    </row>
    <row r="313" spans="2:9" ht="14.45" customHeight="1">
      <c r="B313" s="278">
        <v>114</v>
      </c>
      <c r="C313" s="278" t="s">
        <v>462</v>
      </c>
      <c r="D313" s="278" t="s">
        <v>673</v>
      </c>
      <c r="E313" s="278" t="s">
        <v>3565</v>
      </c>
      <c r="F313" s="278" t="s">
        <v>3569</v>
      </c>
      <c r="G313" s="304">
        <v>3380000</v>
      </c>
      <c r="H313" s="394" t="s">
        <v>2084</v>
      </c>
      <c r="I313" s="1158"/>
    </row>
    <row r="314" spans="2:9" ht="14.45" customHeight="1">
      <c r="B314" s="278">
        <v>114</v>
      </c>
      <c r="C314" s="278" t="s">
        <v>462</v>
      </c>
      <c r="D314" s="278" t="s">
        <v>673</v>
      </c>
      <c r="E314" s="278" t="s">
        <v>3565</v>
      </c>
      <c r="F314" s="278" t="s">
        <v>3570</v>
      </c>
      <c r="G314" s="304">
        <v>4500000</v>
      </c>
      <c r="H314" s="394" t="s">
        <v>2084</v>
      </c>
      <c r="I314" s="1158"/>
    </row>
    <row r="315" spans="2:9" ht="14.45" customHeight="1">
      <c r="B315" s="278">
        <v>114</v>
      </c>
      <c r="C315" s="278" t="s">
        <v>462</v>
      </c>
      <c r="D315" s="278" t="s">
        <v>673</v>
      </c>
      <c r="E315" s="278" t="s">
        <v>3565</v>
      </c>
      <c r="F315" s="278" t="s">
        <v>3571</v>
      </c>
      <c r="G315" s="304">
        <v>1995000</v>
      </c>
      <c r="H315" s="394" t="s">
        <v>2084</v>
      </c>
      <c r="I315" s="1158"/>
    </row>
    <row r="316" spans="2:9" ht="14.45" customHeight="1">
      <c r="B316" s="278">
        <v>114</v>
      </c>
      <c r="C316" s="278" t="s">
        <v>462</v>
      </c>
      <c r="D316" s="278" t="s">
        <v>673</v>
      </c>
      <c r="E316" s="278" t="s">
        <v>3565</v>
      </c>
      <c r="F316" s="278" t="s">
        <v>3572</v>
      </c>
      <c r="G316" s="304">
        <v>3750000</v>
      </c>
      <c r="H316" s="394" t="s">
        <v>2084</v>
      </c>
      <c r="I316" s="1158"/>
    </row>
    <row r="317" spans="2:9" ht="14.45" customHeight="1">
      <c r="B317" s="278">
        <v>114</v>
      </c>
      <c r="C317" s="278" t="s">
        <v>462</v>
      </c>
      <c r="D317" s="278" t="s">
        <v>673</v>
      </c>
      <c r="E317" s="278" t="s">
        <v>3565</v>
      </c>
      <c r="F317" s="278" t="s">
        <v>3573</v>
      </c>
      <c r="G317" s="304">
        <v>2510000</v>
      </c>
      <c r="H317" s="394" t="s">
        <v>2084</v>
      </c>
      <c r="I317" s="1158"/>
    </row>
    <row r="318" spans="2:9" ht="14.45" customHeight="1">
      <c r="B318" s="278">
        <v>114</v>
      </c>
      <c r="C318" s="278" t="s">
        <v>462</v>
      </c>
      <c r="D318" s="278" t="s">
        <v>673</v>
      </c>
      <c r="E318" s="278" t="s">
        <v>3565</v>
      </c>
      <c r="F318" s="278" t="s">
        <v>3574</v>
      </c>
      <c r="G318" s="304">
        <v>3450000</v>
      </c>
      <c r="H318" s="394" t="s">
        <v>2084</v>
      </c>
      <c r="I318" s="1158"/>
    </row>
    <row r="319" spans="2:9" ht="14.45" customHeight="1">
      <c r="B319" s="278">
        <v>114</v>
      </c>
      <c r="C319" s="278" t="s">
        <v>462</v>
      </c>
      <c r="D319" s="278" t="s">
        <v>673</v>
      </c>
      <c r="E319" s="278" t="s">
        <v>3565</v>
      </c>
      <c r="F319" s="278" t="s">
        <v>3575</v>
      </c>
      <c r="G319" s="304">
        <v>2900000</v>
      </c>
      <c r="H319" s="394" t="s">
        <v>2084</v>
      </c>
      <c r="I319" s="1158"/>
    </row>
    <row r="320" spans="2:9" ht="14.45" customHeight="1">
      <c r="B320" s="278">
        <v>114</v>
      </c>
      <c r="C320" s="278" t="s">
        <v>462</v>
      </c>
      <c r="D320" s="278" t="s">
        <v>673</v>
      </c>
      <c r="E320" s="278" t="s">
        <v>3565</v>
      </c>
      <c r="F320" s="278" t="s">
        <v>3576</v>
      </c>
      <c r="G320" s="304">
        <v>850000</v>
      </c>
      <c r="H320" s="394" t="s">
        <v>2084</v>
      </c>
      <c r="I320" s="1158"/>
    </row>
    <row r="321" spans="2:9" ht="14.45" customHeight="1">
      <c r="B321" s="278">
        <v>114</v>
      </c>
      <c r="C321" s="278" t="s">
        <v>462</v>
      </c>
      <c r="D321" s="278" t="s">
        <v>673</v>
      </c>
      <c r="E321" s="278" t="s">
        <v>3565</v>
      </c>
      <c r="F321" s="278" t="s">
        <v>3577</v>
      </c>
      <c r="G321" s="304">
        <v>2300000</v>
      </c>
      <c r="H321" s="394" t="s">
        <v>2084</v>
      </c>
      <c r="I321" s="1158"/>
    </row>
    <row r="322" spans="2:9" ht="14.45" customHeight="1">
      <c r="B322" s="278">
        <v>114</v>
      </c>
      <c r="C322" s="278" t="s">
        <v>462</v>
      </c>
      <c r="D322" s="278" t="s">
        <v>673</v>
      </c>
      <c r="E322" s="278" t="s">
        <v>3565</v>
      </c>
      <c r="F322" s="278" t="s">
        <v>3578</v>
      </c>
      <c r="G322" s="304">
        <v>3480000</v>
      </c>
      <c r="H322" s="394" t="s">
        <v>2084</v>
      </c>
      <c r="I322" s="1158"/>
    </row>
    <row r="323" spans="2:9" ht="14.45" customHeight="1">
      <c r="B323" s="278">
        <v>114</v>
      </c>
      <c r="C323" s="278" t="s">
        <v>462</v>
      </c>
      <c r="D323" s="278" t="s">
        <v>673</v>
      </c>
      <c r="E323" s="278" t="s">
        <v>3565</v>
      </c>
      <c r="F323" s="278" t="s">
        <v>3579</v>
      </c>
      <c r="G323" s="304">
        <v>1650000</v>
      </c>
      <c r="H323" s="394" t="s">
        <v>2084</v>
      </c>
      <c r="I323" s="1158"/>
    </row>
    <row r="324" spans="2:9" ht="14.45" customHeight="1">
      <c r="B324" s="278">
        <v>114</v>
      </c>
      <c r="C324" s="278" t="s">
        <v>462</v>
      </c>
      <c r="D324" s="278" t="s">
        <v>673</v>
      </c>
      <c r="E324" s="278" t="s">
        <v>3565</v>
      </c>
      <c r="F324" s="278" t="s">
        <v>3580</v>
      </c>
      <c r="G324" s="304">
        <v>2050000</v>
      </c>
      <c r="H324" s="394" t="s">
        <v>2084</v>
      </c>
      <c r="I324" s="1158"/>
    </row>
    <row r="325" spans="2:9" ht="14.45" customHeight="1">
      <c r="B325" s="278">
        <v>114</v>
      </c>
      <c r="C325" s="278" t="s">
        <v>462</v>
      </c>
      <c r="D325" s="278" t="s">
        <v>673</v>
      </c>
      <c r="E325" s="278" t="s">
        <v>3565</v>
      </c>
      <c r="F325" s="278" t="s">
        <v>3581</v>
      </c>
      <c r="G325" s="304">
        <v>1770000</v>
      </c>
      <c r="H325" s="394" t="s">
        <v>2084</v>
      </c>
      <c r="I325" s="1158"/>
    </row>
    <row r="326" spans="2:9" ht="14.45" customHeight="1">
      <c r="B326" s="278">
        <v>114</v>
      </c>
      <c r="C326" s="278" t="s">
        <v>462</v>
      </c>
      <c r="D326" s="278" t="s">
        <v>673</v>
      </c>
      <c r="E326" s="278" t="s">
        <v>3565</v>
      </c>
      <c r="F326" s="278" t="s">
        <v>3582</v>
      </c>
      <c r="G326" s="304">
        <v>2200000</v>
      </c>
      <c r="H326" s="394" t="s">
        <v>2084</v>
      </c>
      <c r="I326" s="1158"/>
    </row>
    <row r="327" spans="2:9" ht="14.45" customHeight="1">
      <c r="B327" s="278">
        <v>114</v>
      </c>
      <c r="C327" s="278" t="s">
        <v>462</v>
      </c>
      <c r="D327" s="278" t="s">
        <v>673</v>
      </c>
      <c r="E327" s="278" t="s">
        <v>3565</v>
      </c>
      <c r="F327" s="278" t="s">
        <v>3583</v>
      </c>
      <c r="G327" s="304">
        <v>2310000</v>
      </c>
      <c r="H327" s="394" t="s">
        <v>2084</v>
      </c>
      <c r="I327" s="1158"/>
    </row>
    <row r="328" spans="2:9" ht="14.45" customHeight="1">
      <c r="B328" s="278">
        <v>114</v>
      </c>
      <c r="C328" s="278" t="s">
        <v>462</v>
      </c>
      <c r="D328" s="278" t="s">
        <v>673</v>
      </c>
      <c r="E328" s="278" t="s">
        <v>3565</v>
      </c>
      <c r="F328" s="278" t="s">
        <v>2548</v>
      </c>
      <c r="G328" s="304">
        <v>1600000</v>
      </c>
      <c r="H328" s="394" t="s">
        <v>2084</v>
      </c>
      <c r="I328" s="1158"/>
    </row>
    <row r="329" spans="2:9" ht="14.45" customHeight="1">
      <c r="B329" s="278">
        <v>114</v>
      </c>
      <c r="C329" s="278" t="s">
        <v>462</v>
      </c>
      <c r="D329" s="278" t="s">
        <v>673</v>
      </c>
      <c r="E329" s="278" t="s">
        <v>3565</v>
      </c>
      <c r="F329" s="278" t="s">
        <v>2153</v>
      </c>
      <c r="G329" s="304">
        <v>3400000</v>
      </c>
      <c r="H329" s="394" t="s">
        <v>2084</v>
      </c>
      <c r="I329" s="1158"/>
    </row>
    <row r="330" spans="2:9" ht="14.45" customHeight="1">
      <c r="B330" s="278">
        <v>114</v>
      </c>
      <c r="C330" s="278" t="s">
        <v>462</v>
      </c>
      <c r="D330" s="278" t="s">
        <v>673</v>
      </c>
      <c r="E330" s="278" t="s">
        <v>3565</v>
      </c>
      <c r="F330" s="278" t="s">
        <v>3584</v>
      </c>
      <c r="G330" s="304">
        <v>3820000</v>
      </c>
      <c r="H330" s="394" t="s">
        <v>2084</v>
      </c>
      <c r="I330" s="1158"/>
    </row>
    <row r="331" spans="2:9" ht="14.45" customHeight="1">
      <c r="B331" s="278">
        <v>114</v>
      </c>
      <c r="C331" s="278" t="s">
        <v>462</v>
      </c>
      <c r="D331" s="278" t="s">
        <v>673</v>
      </c>
      <c r="E331" s="278" t="s">
        <v>3565</v>
      </c>
      <c r="F331" s="278" t="s">
        <v>3585</v>
      </c>
      <c r="G331" s="304">
        <v>1600000</v>
      </c>
      <c r="H331" s="394" t="s">
        <v>2084</v>
      </c>
      <c r="I331" s="1158"/>
    </row>
    <row r="332" spans="2:9" ht="14.45" customHeight="1">
      <c r="B332" s="278">
        <v>114</v>
      </c>
      <c r="C332" s="278" t="s">
        <v>462</v>
      </c>
      <c r="D332" s="278" t="s">
        <v>673</v>
      </c>
      <c r="E332" s="278" t="s">
        <v>3565</v>
      </c>
      <c r="F332" s="278" t="s">
        <v>3586</v>
      </c>
      <c r="G332" s="304">
        <v>2900000</v>
      </c>
      <c r="H332" s="394" t="s">
        <v>2084</v>
      </c>
      <c r="I332" s="1158"/>
    </row>
    <row r="333" spans="2:9" ht="14.45" customHeight="1">
      <c r="B333" s="278">
        <v>114</v>
      </c>
      <c r="C333" s="278" t="s">
        <v>462</v>
      </c>
      <c r="D333" s="278" t="s">
        <v>673</v>
      </c>
      <c r="E333" s="278" t="s">
        <v>3565</v>
      </c>
      <c r="F333" s="278" t="s">
        <v>3587</v>
      </c>
      <c r="G333" s="304">
        <v>2170000</v>
      </c>
      <c r="H333" s="394" t="s">
        <v>2084</v>
      </c>
      <c r="I333" s="1158"/>
    </row>
    <row r="334" spans="2:9" ht="14.45" customHeight="1">
      <c r="B334" s="278">
        <v>114</v>
      </c>
      <c r="C334" s="278" t="s">
        <v>462</v>
      </c>
      <c r="D334" s="278" t="s">
        <v>673</v>
      </c>
      <c r="E334" s="278" t="s">
        <v>3565</v>
      </c>
      <c r="F334" s="278" t="s">
        <v>3588</v>
      </c>
      <c r="G334" s="304">
        <v>1800000</v>
      </c>
      <c r="H334" s="394" t="s">
        <v>2084</v>
      </c>
      <c r="I334" s="1158"/>
    </row>
    <row r="335" spans="2:9" ht="14.45" customHeight="1">
      <c r="B335" s="278">
        <v>114</v>
      </c>
      <c r="C335" s="278" t="s">
        <v>462</v>
      </c>
      <c r="D335" s="278" t="s">
        <v>673</v>
      </c>
      <c r="E335" s="278" t="s">
        <v>3565</v>
      </c>
      <c r="F335" s="278" t="s">
        <v>3589</v>
      </c>
      <c r="G335" s="304">
        <v>2350000</v>
      </c>
      <c r="H335" s="394" t="s">
        <v>2084</v>
      </c>
      <c r="I335" s="1158"/>
    </row>
    <row r="336" spans="2:9" ht="14.45" customHeight="1">
      <c r="B336" s="278">
        <v>114</v>
      </c>
      <c r="C336" s="278" t="s">
        <v>462</v>
      </c>
      <c r="D336" s="278" t="s">
        <v>673</v>
      </c>
      <c r="E336" s="278" t="s">
        <v>3565</v>
      </c>
      <c r="F336" s="278" t="s">
        <v>3590</v>
      </c>
      <c r="G336" s="304">
        <v>2000000</v>
      </c>
      <c r="H336" s="394" t="s">
        <v>2084</v>
      </c>
      <c r="I336" s="1158"/>
    </row>
    <row r="337" spans="2:9" ht="14.45" customHeight="1">
      <c r="B337" s="278">
        <v>114</v>
      </c>
      <c r="C337" s="278" t="s">
        <v>462</v>
      </c>
      <c r="D337" s="278" t="s">
        <v>673</v>
      </c>
      <c r="E337" s="278" t="s">
        <v>3565</v>
      </c>
      <c r="F337" s="278" t="s">
        <v>3591</v>
      </c>
      <c r="G337" s="304">
        <v>1800000</v>
      </c>
      <c r="H337" s="394" t="s">
        <v>2084</v>
      </c>
      <c r="I337" s="1158"/>
    </row>
    <row r="338" spans="2:9" ht="14.45" customHeight="1">
      <c r="B338" s="278">
        <v>114</v>
      </c>
      <c r="C338" s="278" t="s">
        <v>462</v>
      </c>
      <c r="D338" s="278" t="s">
        <v>673</v>
      </c>
      <c r="E338" s="278" t="s">
        <v>3565</v>
      </c>
      <c r="F338" s="278" t="s">
        <v>3592</v>
      </c>
      <c r="G338" s="304">
        <v>2000000</v>
      </c>
      <c r="H338" s="394" t="s">
        <v>2084</v>
      </c>
      <c r="I338" s="1158"/>
    </row>
    <row r="339" spans="2:9" ht="14.45" customHeight="1">
      <c r="B339" s="278">
        <v>114</v>
      </c>
      <c r="C339" s="278" t="s">
        <v>462</v>
      </c>
      <c r="D339" s="278" t="s">
        <v>673</v>
      </c>
      <c r="E339" s="278" t="s">
        <v>3565</v>
      </c>
      <c r="F339" s="278" t="s">
        <v>3593</v>
      </c>
      <c r="G339" s="304">
        <v>2130000</v>
      </c>
      <c r="H339" s="394" t="s">
        <v>2084</v>
      </c>
      <c r="I339" s="1158"/>
    </row>
    <row r="340" spans="2:9" ht="14.45" customHeight="1">
      <c r="B340" s="278">
        <v>114</v>
      </c>
      <c r="C340" s="278" t="s">
        <v>462</v>
      </c>
      <c r="D340" s="278" t="s">
        <v>673</v>
      </c>
      <c r="E340" s="278" t="s">
        <v>3565</v>
      </c>
      <c r="F340" s="278" t="s">
        <v>3594</v>
      </c>
      <c r="G340" s="304">
        <v>1500000</v>
      </c>
      <c r="H340" s="394" t="s">
        <v>2084</v>
      </c>
      <c r="I340" s="1158"/>
    </row>
    <row r="341" spans="2:9" ht="14.45" customHeight="1">
      <c r="B341" s="278">
        <v>114</v>
      </c>
      <c r="C341" s="278" t="s">
        <v>462</v>
      </c>
      <c r="D341" s="278" t="s">
        <v>673</v>
      </c>
      <c r="E341" s="278" t="s">
        <v>3565</v>
      </c>
      <c r="F341" s="278" t="s">
        <v>3595</v>
      </c>
      <c r="G341" s="304">
        <v>1490000</v>
      </c>
      <c r="H341" s="394" t="s">
        <v>2084</v>
      </c>
      <c r="I341" s="1158"/>
    </row>
    <row r="342" spans="2:9" ht="14.45" customHeight="1">
      <c r="B342" s="278">
        <v>114</v>
      </c>
      <c r="C342" s="278" t="s">
        <v>462</v>
      </c>
      <c r="D342" s="278" t="s">
        <v>673</v>
      </c>
      <c r="E342" s="278" t="s">
        <v>3565</v>
      </c>
      <c r="F342" s="278" t="s">
        <v>3596</v>
      </c>
      <c r="G342" s="304">
        <v>3100000</v>
      </c>
      <c r="H342" s="394" t="s">
        <v>2084</v>
      </c>
      <c r="I342" s="1158"/>
    </row>
    <row r="343" spans="2:9" ht="14.45" customHeight="1">
      <c r="B343" s="278">
        <v>114</v>
      </c>
      <c r="C343" s="278" t="s">
        <v>462</v>
      </c>
      <c r="D343" s="278" t="s">
        <v>673</v>
      </c>
      <c r="E343" s="278" t="s">
        <v>3565</v>
      </c>
      <c r="F343" s="278" t="s">
        <v>3597</v>
      </c>
      <c r="G343" s="304">
        <v>2900000</v>
      </c>
      <c r="H343" s="394" t="s">
        <v>2084</v>
      </c>
      <c r="I343" s="1158"/>
    </row>
    <row r="344" spans="2:9" ht="14.45" customHeight="1">
      <c r="B344" s="278">
        <v>114</v>
      </c>
      <c r="C344" s="278" t="s">
        <v>462</v>
      </c>
      <c r="D344" s="278" t="s">
        <v>673</v>
      </c>
      <c r="E344" s="278" t="s">
        <v>3565</v>
      </c>
      <c r="F344" s="278" t="s">
        <v>3598</v>
      </c>
      <c r="G344" s="304">
        <v>2350000</v>
      </c>
      <c r="H344" s="394" t="s">
        <v>2084</v>
      </c>
      <c r="I344" s="1158"/>
    </row>
    <row r="345" spans="2:9" ht="14.45" customHeight="1">
      <c r="B345" s="278">
        <v>114</v>
      </c>
      <c r="C345" s="278" t="s">
        <v>462</v>
      </c>
      <c r="D345" s="278" t="s">
        <v>673</v>
      </c>
      <c r="E345" s="278" t="s">
        <v>3565</v>
      </c>
      <c r="F345" s="278" t="s">
        <v>3599</v>
      </c>
      <c r="G345" s="304">
        <v>2200000</v>
      </c>
      <c r="H345" s="394" t="s">
        <v>2084</v>
      </c>
      <c r="I345" s="1158"/>
    </row>
    <row r="346" spans="2:9" ht="14.45" customHeight="1">
      <c r="B346" s="278">
        <v>114</v>
      </c>
      <c r="C346" s="278" t="s">
        <v>462</v>
      </c>
      <c r="D346" s="278" t="s">
        <v>673</v>
      </c>
      <c r="E346" s="278" t="s">
        <v>3565</v>
      </c>
      <c r="F346" s="278" t="s">
        <v>3600</v>
      </c>
      <c r="G346" s="304">
        <v>1920000</v>
      </c>
      <c r="H346" s="394" t="s">
        <v>2084</v>
      </c>
      <c r="I346" s="1158"/>
    </row>
    <row r="347" spans="2:9" ht="14.45" customHeight="1">
      <c r="B347" s="278">
        <v>114</v>
      </c>
      <c r="C347" s="278" t="s">
        <v>462</v>
      </c>
      <c r="D347" s="278" t="s">
        <v>674</v>
      </c>
      <c r="E347" s="278" t="s">
        <v>2963</v>
      </c>
      <c r="F347" s="278" t="s">
        <v>3601</v>
      </c>
      <c r="G347" s="304">
        <v>8110000</v>
      </c>
      <c r="H347" s="394" t="s">
        <v>2084</v>
      </c>
      <c r="I347" s="1158"/>
    </row>
    <row r="348" spans="2:9" ht="14.45" customHeight="1">
      <c r="B348" s="278">
        <v>114</v>
      </c>
      <c r="C348" s="278" t="s">
        <v>462</v>
      </c>
      <c r="D348" s="278" t="s">
        <v>674</v>
      </c>
      <c r="E348" s="278" t="s">
        <v>2963</v>
      </c>
      <c r="F348" s="278" t="s">
        <v>3602</v>
      </c>
      <c r="G348" s="304">
        <v>14520000</v>
      </c>
      <c r="H348" s="394" t="s">
        <v>2084</v>
      </c>
      <c r="I348" s="1158"/>
    </row>
    <row r="349" spans="2:9" ht="14.45" customHeight="1">
      <c r="B349" s="278">
        <v>114</v>
      </c>
      <c r="C349" s="278" t="s">
        <v>462</v>
      </c>
      <c r="D349" s="278" t="s">
        <v>674</v>
      </c>
      <c r="E349" s="278" t="s">
        <v>2963</v>
      </c>
      <c r="F349" s="278" t="s">
        <v>3603</v>
      </c>
      <c r="G349" s="304">
        <v>7640000</v>
      </c>
      <c r="H349" s="394" t="s">
        <v>2084</v>
      </c>
      <c r="I349" s="1158"/>
    </row>
    <row r="350" spans="2:9" ht="14.45" customHeight="1">
      <c r="B350" s="278">
        <v>114</v>
      </c>
      <c r="C350" s="278" t="s">
        <v>462</v>
      </c>
      <c r="D350" s="278" t="s">
        <v>674</v>
      </c>
      <c r="E350" s="278" t="s">
        <v>2963</v>
      </c>
      <c r="F350" s="278" t="s">
        <v>3604</v>
      </c>
      <c r="G350" s="304">
        <v>24080000</v>
      </c>
      <c r="H350" s="394" t="s">
        <v>2084</v>
      </c>
      <c r="I350" s="1158"/>
    </row>
    <row r="351" spans="2:9" ht="14.45" customHeight="1">
      <c r="B351" s="278">
        <v>114</v>
      </c>
      <c r="C351" s="278" t="s">
        <v>462</v>
      </c>
      <c r="D351" s="278" t="s">
        <v>674</v>
      </c>
      <c r="E351" s="278" t="s">
        <v>2963</v>
      </c>
      <c r="F351" s="278" t="s">
        <v>3605</v>
      </c>
      <c r="G351" s="304">
        <v>12860000</v>
      </c>
      <c r="H351" s="394" t="s">
        <v>2084</v>
      </c>
      <c r="I351" s="1158"/>
    </row>
    <row r="352" spans="2:9" ht="14.45" customHeight="1">
      <c r="B352" s="278">
        <v>114</v>
      </c>
      <c r="C352" s="278" t="s">
        <v>462</v>
      </c>
      <c r="D352" s="278" t="s">
        <v>674</v>
      </c>
      <c r="E352" s="278" t="s">
        <v>2963</v>
      </c>
      <c r="F352" s="278" t="s">
        <v>3606</v>
      </c>
      <c r="G352" s="304">
        <v>74020000</v>
      </c>
      <c r="H352" s="394" t="s">
        <v>2084</v>
      </c>
      <c r="I352" s="1158"/>
    </row>
    <row r="353" spans="2:9" ht="14.45" customHeight="1">
      <c r="B353" s="278">
        <v>114</v>
      </c>
      <c r="C353" s="278" t="s">
        <v>462</v>
      </c>
      <c r="D353" s="278" t="s">
        <v>674</v>
      </c>
      <c r="E353" s="278" t="s">
        <v>2963</v>
      </c>
      <c r="F353" s="278" t="s">
        <v>3607</v>
      </c>
      <c r="G353" s="304">
        <v>128050000</v>
      </c>
      <c r="H353" s="394" t="s">
        <v>2084</v>
      </c>
      <c r="I353" s="1158"/>
    </row>
    <row r="354" spans="2:9" ht="14.45" customHeight="1">
      <c r="B354" s="278">
        <v>114</v>
      </c>
      <c r="C354" s="278" t="s">
        <v>462</v>
      </c>
      <c r="D354" s="278" t="s">
        <v>674</v>
      </c>
      <c r="E354" s="278" t="s">
        <v>2963</v>
      </c>
      <c r="F354" s="278" t="s">
        <v>3608</v>
      </c>
      <c r="G354" s="304">
        <v>12315000</v>
      </c>
      <c r="H354" s="394" t="s">
        <v>2084</v>
      </c>
      <c r="I354" s="1158"/>
    </row>
    <row r="355" spans="2:9" ht="14.45" customHeight="1">
      <c r="B355" s="278">
        <v>114</v>
      </c>
      <c r="C355" s="278" t="s">
        <v>462</v>
      </c>
      <c r="D355" s="278" t="s">
        <v>674</v>
      </c>
      <c r="E355" s="278" t="s">
        <v>2963</v>
      </c>
      <c r="F355" s="278" t="s">
        <v>3609</v>
      </c>
      <c r="G355" s="304">
        <v>21310000</v>
      </c>
      <c r="H355" s="394" t="s">
        <v>2084</v>
      </c>
      <c r="I355" s="1158"/>
    </row>
    <row r="356" spans="2:9" ht="14.45" customHeight="1">
      <c r="B356" s="278">
        <v>114</v>
      </c>
      <c r="C356" s="278" t="s">
        <v>462</v>
      </c>
      <c r="D356" s="278" t="s">
        <v>674</v>
      </c>
      <c r="E356" s="278" t="s">
        <v>2963</v>
      </c>
      <c r="F356" s="278" t="s">
        <v>3610</v>
      </c>
      <c r="G356" s="304">
        <v>11220000</v>
      </c>
      <c r="H356" s="394" t="s">
        <v>2084</v>
      </c>
      <c r="I356" s="1158"/>
    </row>
    <row r="357" spans="2:9" ht="14.45" customHeight="1">
      <c r="B357" s="278">
        <v>114</v>
      </c>
      <c r="C357" s="278" t="s">
        <v>462</v>
      </c>
      <c r="D357" s="278" t="s">
        <v>674</v>
      </c>
      <c r="E357" s="278" t="s">
        <v>2963</v>
      </c>
      <c r="F357" s="278" t="s">
        <v>3611</v>
      </c>
      <c r="G357" s="304">
        <v>20400000</v>
      </c>
      <c r="H357" s="394" t="s">
        <v>2084</v>
      </c>
      <c r="I357" s="1158"/>
    </row>
    <row r="358" spans="2:9" ht="14.45" customHeight="1">
      <c r="B358" s="278">
        <v>114</v>
      </c>
      <c r="C358" s="278" t="s">
        <v>462</v>
      </c>
      <c r="D358" s="278" t="s">
        <v>674</v>
      </c>
      <c r="E358" s="278" t="s">
        <v>2963</v>
      </c>
      <c r="F358" s="278" t="s">
        <v>3612</v>
      </c>
      <c r="G358" s="304">
        <v>39690000</v>
      </c>
      <c r="H358" s="394" t="s">
        <v>2084</v>
      </c>
      <c r="I358" s="1158"/>
    </row>
    <row r="359" spans="2:9" ht="14.45" customHeight="1">
      <c r="B359" s="278">
        <v>114</v>
      </c>
      <c r="C359" s="278" t="s">
        <v>462</v>
      </c>
      <c r="D359" s="278" t="s">
        <v>674</v>
      </c>
      <c r="E359" s="278" t="s">
        <v>2963</v>
      </c>
      <c r="F359" s="278" t="s">
        <v>3613</v>
      </c>
      <c r="G359" s="304">
        <v>56455000</v>
      </c>
      <c r="H359" s="394" t="s">
        <v>2084</v>
      </c>
      <c r="I359" s="1158"/>
    </row>
    <row r="360" spans="2:9" ht="14.45" customHeight="1">
      <c r="B360" s="278">
        <v>114</v>
      </c>
      <c r="C360" s="278" t="s">
        <v>462</v>
      </c>
      <c r="D360" s="278" t="s">
        <v>674</v>
      </c>
      <c r="E360" s="278" t="s">
        <v>2963</v>
      </c>
      <c r="F360" s="278" t="s">
        <v>3614</v>
      </c>
      <c r="G360" s="304">
        <v>24310000</v>
      </c>
      <c r="H360" s="394" t="s">
        <v>2084</v>
      </c>
      <c r="I360" s="1158"/>
    </row>
    <row r="361" spans="2:9" ht="14.45" customHeight="1">
      <c r="B361" s="278">
        <v>114</v>
      </c>
      <c r="C361" s="278" t="s">
        <v>462</v>
      </c>
      <c r="D361" s="278" t="s">
        <v>674</v>
      </c>
      <c r="E361" s="278" t="s">
        <v>2963</v>
      </c>
      <c r="F361" s="278" t="s">
        <v>3615</v>
      </c>
      <c r="G361" s="304">
        <v>14540000</v>
      </c>
      <c r="H361" s="394" t="s">
        <v>2084</v>
      </c>
      <c r="I361" s="1158"/>
    </row>
    <row r="362" spans="2:9" ht="14.45" customHeight="1">
      <c r="B362" s="278">
        <v>114</v>
      </c>
      <c r="C362" s="278" t="s">
        <v>462</v>
      </c>
      <c r="D362" s="278" t="s">
        <v>674</v>
      </c>
      <c r="E362" s="278" t="s">
        <v>2963</v>
      </c>
      <c r="F362" s="278" t="s">
        <v>3616</v>
      </c>
      <c r="G362" s="304">
        <v>7610000</v>
      </c>
      <c r="H362" s="394" t="s">
        <v>2084</v>
      </c>
      <c r="I362" s="1158"/>
    </row>
    <row r="363" spans="2:9" ht="14.45" customHeight="1">
      <c r="B363" s="278">
        <v>114</v>
      </c>
      <c r="C363" s="278" t="s">
        <v>462</v>
      </c>
      <c r="D363" s="278" t="s">
        <v>674</v>
      </c>
      <c r="E363" s="278" t="s">
        <v>2963</v>
      </c>
      <c r="F363" s="278" t="s">
        <v>3617</v>
      </c>
      <c r="G363" s="304">
        <v>11650000</v>
      </c>
      <c r="H363" s="394" t="s">
        <v>2084</v>
      </c>
      <c r="I363" s="1158"/>
    </row>
    <row r="364" spans="2:9" ht="14.45" customHeight="1">
      <c r="B364" s="278">
        <v>114</v>
      </c>
      <c r="C364" s="278" t="s">
        <v>462</v>
      </c>
      <c r="D364" s="278" t="s">
        <v>674</v>
      </c>
      <c r="E364" s="278" t="s">
        <v>2963</v>
      </c>
      <c r="F364" s="278" t="s">
        <v>3618</v>
      </c>
      <c r="G364" s="304">
        <v>16365000</v>
      </c>
      <c r="H364" s="394" t="s">
        <v>2084</v>
      </c>
      <c r="I364" s="1158"/>
    </row>
    <row r="365" spans="2:9" ht="14.45" customHeight="1">
      <c r="B365" s="278">
        <v>114</v>
      </c>
      <c r="C365" s="278" t="s">
        <v>462</v>
      </c>
      <c r="D365" s="278" t="s">
        <v>674</v>
      </c>
      <c r="E365" s="278" t="s">
        <v>2963</v>
      </c>
      <c r="F365" s="278" t="s">
        <v>3619</v>
      </c>
      <c r="G365" s="304">
        <v>53025000</v>
      </c>
      <c r="H365" s="394" t="s">
        <v>2084</v>
      </c>
      <c r="I365" s="1158"/>
    </row>
    <row r="366" spans="2:9" ht="14.45" customHeight="1">
      <c r="B366" s="278">
        <v>114</v>
      </c>
      <c r="C366" s="278" t="s">
        <v>462</v>
      </c>
      <c r="D366" s="278" t="s">
        <v>674</v>
      </c>
      <c r="E366" s="278" t="s">
        <v>2963</v>
      </c>
      <c r="F366" s="278" t="s">
        <v>3620</v>
      </c>
      <c r="G366" s="304">
        <v>161475000</v>
      </c>
      <c r="H366" s="394" t="s">
        <v>2084</v>
      </c>
      <c r="I366" s="1158"/>
    </row>
    <row r="367" spans="2:9" ht="14.45" customHeight="1">
      <c r="B367" s="278">
        <v>114</v>
      </c>
      <c r="C367" s="278" t="s">
        <v>462</v>
      </c>
      <c r="D367" s="278" t="s">
        <v>674</v>
      </c>
      <c r="E367" s="278" t="s">
        <v>2963</v>
      </c>
      <c r="F367" s="278" t="s">
        <v>3621</v>
      </c>
      <c r="G367" s="304">
        <v>21235000</v>
      </c>
      <c r="H367" s="394" t="s">
        <v>2084</v>
      </c>
      <c r="I367" s="1158"/>
    </row>
    <row r="368" spans="2:9" ht="14.45" customHeight="1">
      <c r="B368" s="278">
        <v>114</v>
      </c>
      <c r="C368" s="278" t="s">
        <v>462</v>
      </c>
      <c r="D368" s="278" t="s">
        <v>674</v>
      </c>
      <c r="E368" s="278" t="s">
        <v>2963</v>
      </c>
      <c r="F368" s="278" t="s">
        <v>3622</v>
      </c>
      <c r="G368" s="304">
        <v>36295000</v>
      </c>
      <c r="H368" s="394" t="s">
        <v>2084</v>
      </c>
      <c r="I368" s="1158"/>
    </row>
    <row r="369" spans="1:9" ht="14.45" customHeight="1">
      <c r="B369" s="278">
        <v>114</v>
      </c>
      <c r="C369" s="278" t="s">
        <v>462</v>
      </c>
      <c r="D369" s="278" t="s">
        <v>674</v>
      </c>
      <c r="E369" s="278" t="s">
        <v>2963</v>
      </c>
      <c r="F369" s="278" t="s">
        <v>3623</v>
      </c>
      <c r="G369" s="304">
        <v>32800000</v>
      </c>
      <c r="H369" s="394" t="s">
        <v>2084</v>
      </c>
      <c r="I369" s="1158"/>
    </row>
    <row r="370" spans="1:9" ht="14.45" customHeight="1">
      <c r="B370" s="278">
        <v>114</v>
      </c>
      <c r="C370" s="278" t="s">
        <v>462</v>
      </c>
      <c r="D370" s="278" t="s">
        <v>674</v>
      </c>
      <c r="E370" s="278" t="s">
        <v>2963</v>
      </c>
      <c r="F370" s="278" t="s">
        <v>3624</v>
      </c>
      <c r="G370" s="304">
        <v>21465000</v>
      </c>
      <c r="H370" s="394" t="s">
        <v>2084</v>
      </c>
      <c r="I370" s="1158"/>
    </row>
    <row r="371" spans="1:9" ht="14.45" customHeight="1">
      <c r="B371" s="278">
        <v>114</v>
      </c>
      <c r="C371" s="278" t="s">
        <v>462</v>
      </c>
      <c r="D371" s="278" t="s">
        <v>674</v>
      </c>
      <c r="E371" s="278" t="s">
        <v>2963</v>
      </c>
      <c r="F371" s="278" t="s">
        <v>3625</v>
      </c>
      <c r="G371" s="304">
        <v>19530000</v>
      </c>
      <c r="H371" s="394" t="s">
        <v>2084</v>
      </c>
      <c r="I371" s="1158"/>
    </row>
    <row r="372" spans="1:9" ht="14.45" customHeight="1">
      <c r="B372" s="278">
        <v>114</v>
      </c>
      <c r="C372" s="278" t="s">
        <v>462</v>
      </c>
      <c r="D372" s="278" t="s">
        <v>674</v>
      </c>
      <c r="E372" s="278" t="s">
        <v>2963</v>
      </c>
      <c r="F372" s="278" t="s">
        <v>3626</v>
      </c>
      <c r="G372" s="304">
        <v>11800000</v>
      </c>
      <c r="H372" s="394" t="s">
        <v>2084</v>
      </c>
      <c r="I372" s="1158"/>
    </row>
    <row r="373" spans="1:9" ht="14.45" customHeight="1">
      <c r="B373" s="278">
        <v>114</v>
      </c>
      <c r="C373" s="278" t="s">
        <v>462</v>
      </c>
      <c r="D373" s="278" t="s">
        <v>674</v>
      </c>
      <c r="E373" s="278" t="s">
        <v>2963</v>
      </c>
      <c r="F373" s="278" t="s">
        <v>3627</v>
      </c>
      <c r="G373" s="304">
        <v>24600000</v>
      </c>
      <c r="H373" s="394" t="s">
        <v>2084</v>
      </c>
      <c r="I373" s="1158"/>
    </row>
    <row r="374" spans="1:9" ht="14.45" customHeight="1">
      <c r="B374" s="278">
        <v>114</v>
      </c>
      <c r="C374" s="278" t="s">
        <v>462</v>
      </c>
      <c r="D374" s="278" t="s">
        <v>674</v>
      </c>
      <c r="E374" s="278" t="s">
        <v>2963</v>
      </c>
      <c r="F374" s="278" t="s">
        <v>3628</v>
      </c>
      <c r="G374" s="304">
        <v>38670000</v>
      </c>
      <c r="H374" s="394" t="s">
        <v>2084</v>
      </c>
      <c r="I374" s="1158"/>
    </row>
    <row r="375" spans="1:9" ht="14.45" customHeight="1">
      <c r="B375" s="278">
        <v>114</v>
      </c>
      <c r="C375" s="278" t="s">
        <v>462</v>
      </c>
      <c r="D375" s="278" t="s">
        <v>674</v>
      </c>
      <c r="E375" s="278" t="s">
        <v>2963</v>
      </c>
      <c r="F375" s="278" t="s">
        <v>3629</v>
      </c>
      <c r="G375" s="304">
        <v>10980000</v>
      </c>
      <c r="H375" s="394" t="s">
        <v>2084</v>
      </c>
      <c r="I375" s="1158"/>
    </row>
    <row r="376" spans="1:9" ht="14.45" customHeight="1">
      <c r="B376" s="278">
        <v>114</v>
      </c>
      <c r="C376" s="278" t="s">
        <v>462</v>
      </c>
      <c r="D376" s="278" t="s">
        <v>674</v>
      </c>
      <c r="E376" s="278" t="s">
        <v>2963</v>
      </c>
      <c r="F376" s="278" t="s">
        <v>3630</v>
      </c>
      <c r="G376" s="304">
        <v>39885000</v>
      </c>
      <c r="H376" s="394" t="s">
        <v>2084</v>
      </c>
      <c r="I376" s="1158"/>
    </row>
    <row r="377" spans="1:9" ht="14.45" customHeight="1">
      <c r="B377" s="278">
        <v>114</v>
      </c>
      <c r="C377" s="278" t="s">
        <v>462</v>
      </c>
      <c r="D377" s="278" t="s">
        <v>674</v>
      </c>
      <c r="E377" s="278" t="s">
        <v>2963</v>
      </c>
      <c r="F377" s="278" t="s">
        <v>3631</v>
      </c>
      <c r="G377" s="304">
        <v>16000000</v>
      </c>
      <c r="H377" s="394" t="s">
        <v>2084</v>
      </c>
      <c r="I377" s="1158"/>
    </row>
    <row r="378" spans="1:9" ht="14.45" customHeight="1">
      <c r="B378" s="278">
        <v>114</v>
      </c>
      <c r="C378" s="278" t="s">
        <v>462</v>
      </c>
      <c r="D378" s="278" t="s">
        <v>674</v>
      </c>
      <c r="E378" s="278" t="s">
        <v>2963</v>
      </c>
      <c r="F378" s="278" t="s">
        <v>3632</v>
      </c>
      <c r="G378" s="304">
        <v>44575000</v>
      </c>
      <c r="H378" s="394" t="s">
        <v>2084</v>
      </c>
      <c r="I378" s="1158"/>
    </row>
    <row r="379" spans="1:9" ht="14.45" customHeight="1">
      <c r="B379" s="278">
        <v>114</v>
      </c>
      <c r="C379" s="278" t="s">
        <v>462</v>
      </c>
      <c r="D379" s="278" t="s">
        <v>674</v>
      </c>
      <c r="E379" s="278" t="s">
        <v>2963</v>
      </c>
      <c r="F379" s="278" t="s">
        <v>3633</v>
      </c>
      <c r="G379" s="304">
        <v>135715000</v>
      </c>
      <c r="H379" s="394" t="s">
        <v>2084</v>
      </c>
      <c r="I379" s="1158"/>
    </row>
    <row r="381" spans="1:9">
      <c r="A381" s="725"/>
      <c r="B381" s="726" t="s">
        <v>936</v>
      </c>
      <c r="C381" s="725"/>
      <c r="D381" s="725"/>
      <c r="E381" s="725"/>
      <c r="F381" s="725"/>
      <c r="G381" s="725"/>
      <c r="H381" s="725"/>
    </row>
    <row r="382" spans="1:9">
      <c r="B382" s="222" t="s">
        <v>1016</v>
      </c>
      <c r="C382" s="222" t="s">
        <v>3634</v>
      </c>
      <c r="D382" s="298" t="s">
        <v>226</v>
      </c>
      <c r="E382" s="1159" t="s">
        <v>1420</v>
      </c>
      <c r="F382" s="1160"/>
      <c r="G382" s="1161"/>
    </row>
    <row r="383" spans="1:9">
      <c r="B383" s="334" t="s">
        <v>665</v>
      </c>
      <c r="C383" s="335">
        <f>AVERAGE(G54:G90)</f>
        <v>1236486.4864864864</v>
      </c>
      <c r="D383" s="394" t="s">
        <v>2084</v>
      </c>
      <c r="E383" s="1240" t="s">
        <v>3635</v>
      </c>
      <c r="F383" s="1181"/>
      <c r="G383" s="1182"/>
    </row>
    <row r="384" spans="1:9">
      <c r="B384" s="334" t="s">
        <v>667</v>
      </c>
      <c r="C384" s="335">
        <f>AVERAGE(G91:G120)</f>
        <v>1990500</v>
      </c>
      <c r="D384" s="394" t="s">
        <v>2084</v>
      </c>
      <c r="E384" s="1241"/>
      <c r="F384" s="1013"/>
      <c r="G384" s="1242"/>
    </row>
    <row r="385" spans="1:23">
      <c r="B385" s="334" t="s">
        <v>668</v>
      </c>
      <c r="C385" s="335">
        <f>AVERAGE(G121:G170)</f>
        <v>3691200</v>
      </c>
      <c r="D385" s="394" t="s">
        <v>2084</v>
      </c>
      <c r="E385" s="1241"/>
      <c r="F385" s="1013"/>
      <c r="G385" s="1242"/>
    </row>
    <row r="386" spans="1:23">
      <c r="B386" s="334" t="s">
        <v>669</v>
      </c>
      <c r="C386" s="335">
        <f>AVERAGE(G171:G191)</f>
        <v>1405952.3809523811</v>
      </c>
      <c r="D386" s="394" t="s">
        <v>2084</v>
      </c>
      <c r="E386" s="1241"/>
      <c r="F386" s="1013"/>
      <c r="G386" s="1242"/>
    </row>
    <row r="387" spans="1:23">
      <c r="B387" s="334" t="s">
        <v>670</v>
      </c>
      <c r="C387" s="335">
        <f>AVERAGE(G192:G203)</f>
        <v>660416.66666666663</v>
      </c>
      <c r="D387" s="394" t="s">
        <v>2084</v>
      </c>
      <c r="E387" s="1241"/>
      <c r="F387" s="1013"/>
      <c r="G387" s="1242"/>
    </row>
    <row r="388" spans="1:23">
      <c r="B388" s="334" t="s">
        <v>671</v>
      </c>
      <c r="C388" s="335">
        <f>AVERAGE(G204:G242)</f>
        <v>1283473.8717948718</v>
      </c>
      <c r="D388" s="394" t="s">
        <v>2084</v>
      </c>
      <c r="E388" s="1241"/>
      <c r="F388" s="1013"/>
      <c r="G388" s="1242"/>
    </row>
    <row r="389" spans="1:23">
      <c r="B389" s="334" t="s">
        <v>672</v>
      </c>
      <c r="C389" s="335">
        <f>AVERAGE(G243:G309)</f>
        <v>4745970.1492537316</v>
      </c>
      <c r="D389" s="394" t="s">
        <v>2084</v>
      </c>
      <c r="E389" s="1241"/>
      <c r="F389" s="1013"/>
      <c r="G389" s="1242"/>
    </row>
    <row r="390" spans="1:23">
      <c r="B390" s="334" t="s">
        <v>673</v>
      </c>
      <c r="C390" s="335">
        <f>AVERAGE(G310:G346)</f>
        <v>2480405.4054054054</v>
      </c>
      <c r="D390" s="394" t="s">
        <v>2084</v>
      </c>
      <c r="E390" s="1241"/>
      <c r="F390" s="1013"/>
      <c r="G390" s="1242"/>
    </row>
    <row r="391" spans="1:23">
      <c r="B391" s="334" t="s">
        <v>674</v>
      </c>
      <c r="C391" s="335">
        <f>AVERAGE(G347:G379)</f>
        <v>35551363.636363633</v>
      </c>
      <c r="D391" s="394" t="s">
        <v>2084</v>
      </c>
      <c r="E391" s="1183"/>
      <c r="F391" s="1184"/>
      <c r="G391" s="1185"/>
    </row>
    <row r="392" spans="1:23">
      <c r="B392" s="3"/>
      <c r="C392" s="130"/>
      <c r="D392" s="24"/>
      <c r="E392" s="26"/>
      <c r="F392" s="26"/>
      <c r="G392" s="26"/>
    </row>
    <row r="393" spans="1:23" s="802" customFormat="1">
      <c r="A393" s="727"/>
      <c r="B393" s="728" t="s">
        <v>943</v>
      </c>
      <c r="C393" s="727"/>
      <c r="D393" s="727"/>
      <c r="E393" s="727"/>
      <c r="F393" s="727"/>
      <c r="G393" s="727"/>
      <c r="H393" s="727"/>
      <c r="I393" s="2"/>
      <c r="J393" s="2"/>
      <c r="K393" s="2"/>
      <c r="L393" s="2"/>
      <c r="M393" s="2"/>
      <c r="N393" s="2"/>
      <c r="O393" s="2"/>
      <c r="P393" s="2"/>
      <c r="Q393" s="2"/>
      <c r="R393" s="2"/>
      <c r="S393" s="2"/>
      <c r="T393" s="2"/>
      <c r="U393" s="2"/>
      <c r="V393" s="2"/>
      <c r="W393" s="2"/>
    </row>
    <row r="394" spans="1:23" s="802" customFormat="1">
      <c r="A394" s="725"/>
      <c r="B394" s="726" t="s">
        <v>912</v>
      </c>
      <c r="C394" s="725"/>
      <c r="D394" s="725"/>
      <c r="E394" s="725"/>
      <c r="F394" s="725"/>
      <c r="G394" s="725"/>
      <c r="H394" s="725"/>
      <c r="I394" s="2"/>
      <c r="J394" s="2"/>
      <c r="K394" s="2"/>
      <c r="L394" s="2"/>
      <c r="M394" s="2"/>
      <c r="N394" s="2"/>
      <c r="O394" s="2"/>
      <c r="P394" s="2"/>
      <c r="Q394" s="2"/>
      <c r="R394" s="2"/>
      <c r="S394" s="2"/>
      <c r="T394" s="2"/>
      <c r="U394" s="2"/>
      <c r="V394" s="2"/>
      <c r="W394" s="2"/>
    </row>
    <row r="395" spans="1:23" ht="29.1">
      <c r="B395" s="719" t="s">
        <v>913</v>
      </c>
      <c r="C395" s="719" t="s">
        <v>914</v>
      </c>
      <c r="D395" s="719" t="s">
        <v>915</v>
      </c>
      <c r="E395" s="719" t="s">
        <v>916</v>
      </c>
      <c r="F395" s="719" t="s">
        <v>917</v>
      </c>
      <c r="G395" s="719" t="s">
        <v>918</v>
      </c>
      <c r="H395" s="719" t="s">
        <v>919</v>
      </c>
    </row>
    <row r="396" spans="1:23">
      <c r="B396" s="278">
        <v>114</v>
      </c>
      <c r="C396" s="278" t="s">
        <v>3302</v>
      </c>
      <c r="D396" s="278" t="s">
        <v>1348</v>
      </c>
      <c r="E396" s="278">
        <v>2020</v>
      </c>
      <c r="F396" s="278" t="s">
        <v>3303</v>
      </c>
      <c r="G396" s="278" t="s">
        <v>3303</v>
      </c>
      <c r="H396" s="278"/>
    </row>
    <row r="397" spans="1:23">
      <c r="B397" s="16"/>
    </row>
    <row r="398" spans="1:23" s="802" customFormat="1">
      <c r="A398" s="725"/>
      <c r="B398" s="726" t="s">
        <v>924</v>
      </c>
      <c r="C398" s="725"/>
      <c r="D398" s="725"/>
      <c r="E398" s="725"/>
      <c r="F398" s="725"/>
      <c r="G398" s="725"/>
      <c r="H398" s="725"/>
      <c r="I398" s="2"/>
      <c r="J398" s="2"/>
      <c r="K398" s="2"/>
      <c r="L398" s="2"/>
      <c r="M398" s="2"/>
      <c r="N398" s="2"/>
      <c r="O398" s="2"/>
      <c r="P398" s="2"/>
      <c r="Q398" s="2"/>
      <c r="R398" s="2"/>
      <c r="S398" s="2"/>
      <c r="T398" s="2"/>
      <c r="U398" s="2"/>
      <c r="V398" s="2"/>
      <c r="W398" s="2"/>
    </row>
    <row r="399" spans="1:23">
      <c r="B399" s="277" t="s">
        <v>165</v>
      </c>
      <c r="C399" s="277" t="s">
        <v>925</v>
      </c>
      <c r="D399" s="277" t="s">
        <v>926</v>
      </c>
      <c r="E399" s="1134" t="s">
        <v>927</v>
      </c>
      <c r="F399" s="1134"/>
      <c r="G399" s="1134"/>
      <c r="H399" s="1134"/>
    </row>
    <row r="400" spans="1:23">
      <c r="B400" s="278" t="s">
        <v>169</v>
      </c>
      <c r="C400" s="278" t="s">
        <v>166</v>
      </c>
      <c r="D400" s="278">
        <f>VLOOKUP(C400,METHODOLOGY!$C$175:$D$177,2,FALSE)</f>
        <v>3</v>
      </c>
      <c r="E400" s="1087" t="str">
        <f>_xlfn.XLOOKUP(C400,METHODOLOGY!$E$150:$O$150,METHODOLOGY!$E$151:$O$151,"",0,1)</f>
        <v>Monetary values have been peer reviewed or are recommended / referenced in other, well recognised and accepted guidance / tools relevant to the water sector.</v>
      </c>
      <c r="F400" s="1087"/>
      <c r="G400" s="1087"/>
      <c r="H400" s="1087"/>
    </row>
    <row r="401" spans="1:23">
      <c r="B401" s="278" t="s">
        <v>173</v>
      </c>
      <c r="C401" s="278" t="s">
        <v>166</v>
      </c>
      <c r="D401" s="278">
        <f>VLOOKUP(C401,METHODOLOGY!$C$175:$D$177,2,FALSE)</f>
        <v>3</v>
      </c>
      <c r="E401" s="1087" t="str">
        <f>_xlfn.XLOOKUP(C401,METHODOLOGY!$E$150:$O$150,METHODOLOGY!$E$155:$O$155,"",0,1)</f>
        <v>Study has few limitations and is considered robust.</v>
      </c>
      <c r="F401" s="1087"/>
      <c r="G401" s="1087"/>
      <c r="H401" s="1087"/>
    </row>
    <row r="402" spans="1:23">
      <c r="B402" s="278" t="s">
        <v>177</v>
      </c>
      <c r="C402" s="278" t="s">
        <v>166</v>
      </c>
      <c r="D402" s="278">
        <f>VLOOKUP(C402,METHODOLOGY!$C$175:$D$177,2,FALSE)</f>
        <v>3</v>
      </c>
      <c r="E402" s="1087" t="str">
        <f>_xlfn.XLOOKUP(C402,METHODOLOGY!$E$150:$O$150,METHODOLOGY!$E$158:$O$158,"",0,1)</f>
        <v>0 – 5 years</v>
      </c>
      <c r="F402" s="1087"/>
      <c r="G402" s="1087"/>
      <c r="H402" s="1087"/>
    </row>
    <row r="403" spans="1:23">
      <c r="B403" s="278" t="s">
        <v>181</v>
      </c>
      <c r="C403" s="278" t="s">
        <v>166</v>
      </c>
      <c r="D403" s="278">
        <f>VLOOKUP(C403,METHODOLOGY!$C$175:$D$177,2,FALSE)</f>
        <v>3</v>
      </c>
      <c r="E403" s="1087" t="str">
        <f>_xlfn.XLOOKUP(C403,METHODOLOGY!$E$150:$O$150,METHODOLOGY!$E$160:$O$160,"",0,1)</f>
        <v>Geographically relevant to UK</v>
      </c>
      <c r="F403" s="1087"/>
      <c r="G403" s="1087"/>
      <c r="H403" s="1087"/>
    </row>
    <row r="404" spans="1:23">
      <c r="B404" s="278" t="s">
        <v>928</v>
      </c>
      <c r="C404" s="278" t="s">
        <v>166</v>
      </c>
      <c r="D404" s="278">
        <f>VLOOKUP(C404,METHODOLOGY!$C$175:$D$177,2,FALSE)</f>
        <v>3</v>
      </c>
      <c r="E404" s="1087" t="str">
        <f>_xlfn.XLOOKUP(C404,METHODOLOGY!$E$150:$O$150,METHODOLOGY!$E$162:$O$162,"",0,1)</f>
        <v>Clear understanding of the valuation method and how the value should be applied.</v>
      </c>
      <c r="F404" s="1087"/>
      <c r="G404" s="1087"/>
      <c r="H404" s="1087"/>
    </row>
    <row r="405" spans="1:23">
      <c r="B405" s="278" t="s">
        <v>189</v>
      </c>
      <c r="C405" s="278" t="s">
        <v>167</v>
      </c>
      <c r="D405" s="278">
        <f>VLOOKUP(C405,METHODOLOGY!$C$175:$D$177,2,FALSE)</f>
        <v>2</v>
      </c>
      <c r="E405" s="1087" t="str">
        <f>_xlfn.XLOOKUP(C405,METHODOLOGY!$E$150:$O$150,METHODOLOGY!$E$164:$O$164,"",0,1)</f>
        <v xml:space="preserve">The original valuation can be used with some modification e.g. applying household numbers. The calculation is simple or introduces low levels of uncertainty. </v>
      </c>
      <c r="F405" s="1087"/>
      <c r="G405" s="1087"/>
      <c r="H405" s="1087"/>
    </row>
    <row r="406" spans="1:23">
      <c r="C406" s="282" t="s">
        <v>924</v>
      </c>
      <c r="D406" s="326">
        <f>IF(AND(D405=1,AVERAGE(D400:D405)&gt;2.14285714285714),2.14285714285714,IF(AND(D405=2,AVERAGE(D400:D405)&gt;2.57142857142857),2.57142857142857,AVERAGE(D400:D405)))</f>
        <v>2.5714285714285698</v>
      </c>
      <c r="E406" s="270" t="str">
        <f>IF(D406&lt;=2.14285714285714,"Red",IF(D406&lt;=2.57142857142857,"Amber",IF(D406&lt;=3,"Green")))</f>
        <v>Amber</v>
      </c>
    </row>
    <row r="409" spans="1:23" s="802" customFormat="1">
      <c r="A409" s="725"/>
      <c r="B409" s="726" t="s">
        <v>929</v>
      </c>
      <c r="C409" s="725"/>
      <c r="D409" s="725"/>
      <c r="E409" s="725"/>
      <c r="F409" s="725"/>
      <c r="G409" s="725"/>
      <c r="H409" s="725"/>
      <c r="I409" s="2"/>
      <c r="J409" s="2"/>
      <c r="K409" s="2"/>
      <c r="L409" s="2"/>
      <c r="M409" s="2"/>
      <c r="N409" s="2"/>
      <c r="O409" s="2"/>
      <c r="P409" s="2"/>
      <c r="Q409" s="2"/>
      <c r="R409" s="2"/>
      <c r="S409" s="2"/>
      <c r="T409" s="2"/>
      <c r="U409" s="2"/>
      <c r="V409" s="2"/>
      <c r="W409" s="2"/>
    </row>
    <row r="410" spans="1:23">
      <c r="B410" s="277" t="s">
        <v>913</v>
      </c>
      <c r="C410" s="277" t="s">
        <v>1089</v>
      </c>
      <c r="D410" s="277" t="s">
        <v>902</v>
      </c>
      <c r="E410" s="277" t="s">
        <v>1016</v>
      </c>
      <c r="F410" s="277" t="s">
        <v>3304</v>
      </c>
      <c r="G410" s="277" t="s">
        <v>331</v>
      </c>
      <c r="H410" s="277" t="s">
        <v>226</v>
      </c>
      <c r="I410" s="277" t="s">
        <v>930</v>
      </c>
    </row>
    <row r="411" spans="1:23" ht="14.45" customHeight="1">
      <c r="B411" s="278">
        <v>114</v>
      </c>
      <c r="C411" s="278" t="s">
        <v>462</v>
      </c>
      <c r="D411" s="278" t="s">
        <v>675</v>
      </c>
      <c r="E411" s="278" t="s">
        <v>3305</v>
      </c>
      <c r="F411" s="278" t="s">
        <v>3306</v>
      </c>
      <c r="G411" s="304">
        <v>300000</v>
      </c>
      <c r="H411" s="394" t="s">
        <v>2084</v>
      </c>
      <c r="I411" s="1194" t="s">
        <v>3636</v>
      </c>
    </row>
    <row r="412" spans="1:23" ht="14.45" customHeight="1">
      <c r="B412" s="278">
        <v>114</v>
      </c>
      <c r="C412" s="278" t="s">
        <v>462</v>
      </c>
      <c r="D412" s="278" t="s">
        <v>675</v>
      </c>
      <c r="E412" s="278" t="s">
        <v>3305</v>
      </c>
      <c r="F412" s="278" t="s">
        <v>3308</v>
      </c>
      <c r="G412" s="304">
        <v>360000</v>
      </c>
      <c r="H412" s="394" t="s">
        <v>2084</v>
      </c>
      <c r="I412" s="1194"/>
    </row>
    <row r="413" spans="1:23" ht="14.45" customHeight="1">
      <c r="B413" s="278">
        <v>114</v>
      </c>
      <c r="C413" s="278" t="s">
        <v>462</v>
      </c>
      <c r="D413" s="278" t="s">
        <v>675</v>
      </c>
      <c r="E413" s="278" t="s">
        <v>3305</v>
      </c>
      <c r="F413" s="278" t="s">
        <v>3309</v>
      </c>
      <c r="G413" s="304">
        <v>500000</v>
      </c>
      <c r="H413" s="394" t="s">
        <v>2084</v>
      </c>
      <c r="I413" s="1194"/>
    </row>
    <row r="414" spans="1:23" ht="14.45" customHeight="1">
      <c r="B414" s="278">
        <v>114</v>
      </c>
      <c r="C414" s="278" t="s">
        <v>462</v>
      </c>
      <c r="D414" s="278" t="s">
        <v>675</v>
      </c>
      <c r="E414" s="278" t="s">
        <v>3305</v>
      </c>
      <c r="F414" s="278" t="s">
        <v>3310</v>
      </c>
      <c r="G414" s="304">
        <v>525000</v>
      </c>
      <c r="H414" s="394" t="s">
        <v>2084</v>
      </c>
      <c r="I414" s="1194"/>
    </row>
    <row r="415" spans="1:23" ht="14.45" customHeight="1">
      <c r="B415" s="278">
        <v>114</v>
      </c>
      <c r="C415" s="278" t="s">
        <v>462</v>
      </c>
      <c r="D415" s="278" t="s">
        <v>675</v>
      </c>
      <c r="E415" s="278" t="s">
        <v>3305</v>
      </c>
      <c r="F415" s="278" t="s">
        <v>3311</v>
      </c>
      <c r="G415" s="304">
        <v>400000</v>
      </c>
      <c r="H415" s="394" t="s">
        <v>2084</v>
      </c>
      <c r="I415" s="1194"/>
    </row>
    <row r="416" spans="1:23" ht="14.45" customHeight="1">
      <c r="B416" s="278">
        <v>114</v>
      </c>
      <c r="C416" s="278" t="s">
        <v>462</v>
      </c>
      <c r="D416" s="278" t="s">
        <v>675</v>
      </c>
      <c r="E416" s="278" t="s">
        <v>3305</v>
      </c>
      <c r="F416" s="278" t="s">
        <v>3312</v>
      </c>
      <c r="G416" s="304">
        <v>230000</v>
      </c>
      <c r="H416" s="394" t="s">
        <v>2084</v>
      </c>
      <c r="I416" s="1194"/>
    </row>
    <row r="417" spans="2:9" ht="14.45" customHeight="1">
      <c r="B417" s="278">
        <v>114</v>
      </c>
      <c r="C417" s="278" t="s">
        <v>462</v>
      </c>
      <c r="D417" s="278" t="s">
        <v>675</v>
      </c>
      <c r="E417" s="278" t="s">
        <v>3305</v>
      </c>
      <c r="F417" s="278" t="s">
        <v>3313</v>
      </c>
      <c r="G417" s="304">
        <v>340000</v>
      </c>
      <c r="H417" s="394" t="s">
        <v>2084</v>
      </c>
      <c r="I417" s="1194"/>
    </row>
    <row r="418" spans="2:9" ht="14.45" customHeight="1">
      <c r="B418" s="278">
        <v>114</v>
      </c>
      <c r="C418" s="278" t="s">
        <v>462</v>
      </c>
      <c r="D418" s="278" t="s">
        <v>675</v>
      </c>
      <c r="E418" s="278" t="s">
        <v>3305</v>
      </c>
      <c r="F418" s="278" t="s">
        <v>3314</v>
      </c>
      <c r="G418" s="304">
        <v>525000</v>
      </c>
      <c r="H418" s="394" t="s">
        <v>2084</v>
      </c>
      <c r="I418" s="1194"/>
    </row>
    <row r="419" spans="2:9" ht="14.45" customHeight="1">
      <c r="B419" s="278">
        <v>114</v>
      </c>
      <c r="C419" s="278" t="s">
        <v>462</v>
      </c>
      <c r="D419" s="278" t="s">
        <v>675</v>
      </c>
      <c r="E419" s="278" t="s">
        <v>3305</v>
      </c>
      <c r="F419" s="278" t="s">
        <v>3315</v>
      </c>
      <c r="G419" s="304">
        <v>375000</v>
      </c>
      <c r="H419" s="394" t="s">
        <v>2084</v>
      </c>
      <c r="I419" s="1194"/>
    </row>
    <row r="420" spans="2:9" ht="14.45" customHeight="1">
      <c r="B420" s="278">
        <v>114</v>
      </c>
      <c r="C420" s="278" t="s">
        <v>462</v>
      </c>
      <c r="D420" s="278" t="s">
        <v>675</v>
      </c>
      <c r="E420" s="278" t="s">
        <v>3305</v>
      </c>
      <c r="F420" s="278" t="s">
        <v>3316</v>
      </c>
      <c r="G420" s="304">
        <v>600000</v>
      </c>
      <c r="H420" s="394" t="s">
        <v>2084</v>
      </c>
      <c r="I420" s="1194"/>
    </row>
    <row r="421" spans="2:9" ht="14.45" customHeight="1">
      <c r="B421" s="278">
        <v>114</v>
      </c>
      <c r="C421" s="278" t="s">
        <v>462</v>
      </c>
      <c r="D421" s="278" t="s">
        <v>675</v>
      </c>
      <c r="E421" s="278" t="s">
        <v>3305</v>
      </c>
      <c r="F421" s="278" t="s">
        <v>3317</v>
      </c>
      <c r="G421" s="304">
        <v>850000</v>
      </c>
      <c r="H421" s="394" t="s">
        <v>2084</v>
      </c>
      <c r="I421" s="1194"/>
    </row>
    <row r="422" spans="2:9" ht="14.45" customHeight="1">
      <c r="B422" s="278">
        <v>114</v>
      </c>
      <c r="C422" s="278" t="s">
        <v>462</v>
      </c>
      <c r="D422" s="278" t="s">
        <v>675</v>
      </c>
      <c r="E422" s="278" t="s">
        <v>3305</v>
      </c>
      <c r="F422" s="278" t="s">
        <v>3318</v>
      </c>
      <c r="G422" s="304">
        <v>545000</v>
      </c>
      <c r="H422" s="394" t="s">
        <v>2084</v>
      </c>
      <c r="I422" s="1194"/>
    </row>
    <row r="423" spans="2:9" ht="14.45" customHeight="1">
      <c r="B423" s="278">
        <v>114</v>
      </c>
      <c r="C423" s="278" t="s">
        <v>462</v>
      </c>
      <c r="D423" s="278" t="s">
        <v>675</v>
      </c>
      <c r="E423" s="278" t="s">
        <v>3305</v>
      </c>
      <c r="F423" s="278" t="s">
        <v>3319</v>
      </c>
      <c r="G423" s="304">
        <v>375000</v>
      </c>
      <c r="H423" s="394" t="s">
        <v>2084</v>
      </c>
      <c r="I423" s="1194"/>
    </row>
    <row r="424" spans="2:9" ht="14.45" customHeight="1">
      <c r="B424" s="278">
        <v>114</v>
      </c>
      <c r="C424" s="278" t="s">
        <v>462</v>
      </c>
      <c r="D424" s="278" t="s">
        <v>675</v>
      </c>
      <c r="E424" s="278" t="s">
        <v>3305</v>
      </c>
      <c r="F424" s="278" t="s">
        <v>3320</v>
      </c>
      <c r="G424" s="304">
        <v>800000</v>
      </c>
      <c r="H424" s="394" t="s">
        <v>2084</v>
      </c>
      <c r="I424" s="1194"/>
    </row>
    <row r="425" spans="2:9" ht="14.45" customHeight="1">
      <c r="B425" s="278">
        <v>114</v>
      </c>
      <c r="C425" s="278" t="s">
        <v>462</v>
      </c>
      <c r="D425" s="278" t="s">
        <v>675</v>
      </c>
      <c r="E425" s="278" t="s">
        <v>3305</v>
      </c>
      <c r="F425" s="278" t="s">
        <v>3321</v>
      </c>
      <c r="G425" s="304">
        <v>250000</v>
      </c>
      <c r="H425" s="394" t="s">
        <v>2084</v>
      </c>
      <c r="I425" s="1194"/>
    </row>
    <row r="426" spans="2:9" ht="14.45" customHeight="1">
      <c r="B426" s="278">
        <v>114</v>
      </c>
      <c r="C426" s="278" t="s">
        <v>462</v>
      </c>
      <c r="D426" s="278" t="s">
        <v>675</v>
      </c>
      <c r="E426" s="278" t="s">
        <v>3305</v>
      </c>
      <c r="F426" s="278" t="s">
        <v>3322</v>
      </c>
      <c r="G426" s="304">
        <v>500000</v>
      </c>
      <c r="H426" s="394" t="s">
        <v>2084</v>
      </c>
      <c r="I426" s="1194"/>
    </row>
    <row r="427" spans="2:9" ht="14.45" customHeight="1">
      <c r="B427" s="278">
        <v>114</v>
      </c>
      <c r="C427" s="278" t="s">
        <v>462</v>
      </c>
      <c r="D427" s="278" t="s">
        <v>675</v>
      </c>
      <c r="E427" s="278" t="s">
        <v>3305</v>
      </c>
      <c r="F427" s="278" t="s">
        <v>3323</v>
      </c>
      <c r="G427" s="304">
        <v>575000</v>
      </c>
      <c r="H427" s="394" t="s">
        <v>2084</v>
      </c>
      <c r="I427" s="1194"/>
    </row>
    <row r="428" spans="2:9" ht="14.45" customHeight="1">
      <c r="B428" s="278">
        <v>114</v>
      </c>
      <c r="C428" s="278" t="s">
        <v>462</v>
      </c>
      <c r="D428" s="278" t="s">
        <v>675</v>
      </c>
      <c r="E428" s="278" t="s">
        <v>3305</v>
      </c>
      <c r="F428" s="278" t="s">
        <v>3324</v>
      </c>
      <c r="G428" s="304">
        <v>425000</v>
      </c>
      <c r="H428" s="394" t="s">
        <v>2084</v>
      </c>
      <c r="I428" s="1194"/>
    </row>
    <row r="429" spans="2:9" ht="14.45" customHeight="1">
      <c r="B429" s="278">
        <v>114</v>
      </c>
      <c r="C429" s="278" t="s">
        <v>462</v>
      </c>
      <c r="D429" s="278" t="s">
        <v>675</v>
      </c>
      <c r="E429" s="278" t="s">
        <v>3305</v>
      </c>
      <c r="F429" s="278" t="s">
        <v>3325</v>
      </c>
      <c r="G429" s="304">
        <v>475000</v>
      </c>
      <c r="H429" s="394" t="s">
        <v>2084</v>
      </c>
      <c r="I429" s="1194"/>
    </row>
    <row r="430" spans="2:9" ht="14.45" customHeight="1">
      <c r="B430" s="278">
        <v>114</v>
      </c>
      <c r="C430" s="278" t="s">
        <v>462</v>
      </c>
      <c r="D430" s="278" t="s">
        <v>675</v>
      </c>
      <c r="E430" s="278" t="s">
        <v>3305</v>
      </c>
      <c r="F430" s="278" t="s">
        <v>3326</v>
      </c>
      <c r="G430" s="304">
        <v>775000</v>
      </c>
      <c r="H430" s="394" t="s">
        <v>2084</v>
      </c>
      <c r="I430" s="1194"/>
    </row>
    <row r="431" spans="2:9" ht="14.45" customHeight="1">
      <c r="B431" s="278">
        <v>114</v>
      </c>
      <c r="C431" s="278" t="s">
        <v>462</v>
      </c>
      <c r="D431" s="278" t="s">
        <v>675</v>
      </c>
      <c r="E431" s="278" t="s">
        <v>3305</v>
      </c>
      <c r="F431" s="278" t="s">
        <v>3327</v>
      </c>
      <c r="G431" s="304">
        <v>650000</v>
      </c>
      <c r="H431" s="394" t="s">
        <v>2084</v>
      </c>
      <c r="I431" s="1194"/>
    </row>
    <row r="432" spans="2:9" ht="14.45" customHeight="1">
      <c r="B432" s="278">
        <v>114</v>
      </c>
      <c r="C432" s="278" t="s">
        <v>462</v>
      </c>
      <c r="D432" s="278" t="s">
        <v>675</v>
      </c>
      <c r="E432" s="278" t="s">
        <v>3305</v>
      </c>
      <c r="F432" s="278" t="s">
        <v>3328</v>
      </c>
      <c r="G432" s="304">
        <v>450000</v>
      </c>
      <c r="H432" s="394" t="s">
        <v>2084</v>
      </c>
      <c r="I432" s="1194"/>
    </row>
    <row r="433" spans="2:9" ht="14.45" customHeight="1">
      <c r="B433" s="278">
        <v>114</v>
      </c>
      <c r="C433" s="278" t="s">
        <v>462</v>
      </c>
      <c r="D433" s="278" t="s">
        <v>675</v>
      </c>
      <c r="E433" s="278" t="s">
        <v>3305</v>
      </c>
      <c r="F433" s="278" t="s">
        <v>3329</v>
      </c>
      <c r="G433" s="304">
        <v>325000</v>
      </c>
      <c r="H433" s="394" t="s">
        <v>2084</v>
      </c>
      <c r="I433" s="1194"/>
    </row>
    <row r="434" spans="2:9" ht="14.45" customHeight="1">
      <c r="B434" s="278">
        <v>114</v>
      </c>
      <c r="C434" s="278" t="s">
        <v>462</v>
      </c>
      <c r="D434" s="278" t="s">
        <v>675</v>
      </c>
      <c r="E434" s="278" t="s">
        <v>3305</v>
      </c>
      <c r="F434" s="278" t="s">
        <v>3330</v>
      </c>
      <c r="G434" s="304">
        <v>450000</v>
      </c>
      <c r="H434" s="394" t="s">
        <v>2084</v>
      </c>
      <c r="I434" s="1194"/>
    </row>
    <row r="435" spans="2:9" ht="14.45" customHeight="1">
      <c r="B435" s="278">
        <v>114</v>
      </c>
      <c r="C435" s="278" t="s">
        <v>462</v>
      </c>
      <c r="D435" s="278" t="s">
        <v>675</v>
      </c>
      <c r="E435" s="278" t="s">
        <v>3305</v>
      </c>
      <c r="F435" s="278" t="s">
        <v>3331</v>
      </c>
      <c r="G435" s="304">
        <v>360000</v>
      </c>
      <c r="H435" s="394" t="s">
        <v>2084</v>
      </c>
      <c r="I435" s="1194"/>
    </row>
    <row r="436" spans="2:9" ht="14.45" customHeight="1">
      <c r="B436" s="278">
        <v>114</v>
      </c>
      <c r="C436" s="278" t="s">
        <v>462</v>
      </c>
      <c r="D436" s="278" t="s">
        <v>675</v>
      </c>
      <c r="E436" s="278" t="s">
        <v>3305</v>
      </c>
      <c r="F436" s="278" t="s">
        <v>3332</v>
      </c>
      <c r="G436" s="304">
        <v>350000</v>
      </c>
      <c r="H436" s="394" t="s">
        <v>2084</v>
      </c>
      <c r="I436" s="1194"/>
    </row>
    <row r="437" spans="2:9" ht="14.45" customHeight="1">
      <c r="B437" s="278">
        <v>114</v>
      </c>
      <c r="C437" s="278" t="s">
        <v>462</v>
      </c>
      <c r="D437" s="278" t="s">
        <v>675</v>
      </c>
      <c r="E437" s="278" t="s">
        <v>3305</v>
      </c>
      <c r="F437" s="278" t="s">
        <v>3333</v>
      </c>
      <c r="G437" s="304">
        <v>450000</v>
      </c>
      <c r="H437" s="394" t="s">
        <v>2084</v>
      </c>
      <c r="I437" s="1194"/>
    </row>
    <row r="438" spans="2:9" ht="14.45" customHeight="1">
      <c r="B438" s="278">
        <v>114</v>
      </c>
      <c r="C438" s="278" t="s">
        <v>462</v>
      </c>
      <c r="D438" s="278" t="s">
        <v>675</v>
      </c>
      <c r="E438" s="278" t="s">
        <v>3305</v>
      </c>
      <c r="F438" s="278" t="s">
        <v>3334</v>
      </c>
      <c r="G438" s="304">
        <v>850000</v>
      </c>
      <c r="H438" s="394" t="s">
        <v>2084</v>
      </c>
      <c r="I438" s="1194"/>
    </row>
    <row r="439" spans="2:9" ht="14.45" customHeight="1">
      <c r="B439" s="278">
        <v>114</v>
      </c>
      <c r="C439" s="278" t="s">
        <v>462</v>
      </c>
      <c r="D439" s="278" t="s">
        <v>675</v>
      </c>
      <c r="E439" s="278" t="s">
        <v>3305</v>
      </c>
      <c r="F439" s="278" t="s">
        <v>3335</v>
      </c>
      <c r="G439" s="304">
        <v>500000</v>
      </c>
      <c r="H439" s="394" t="s">
        <v>2084</v>
      </c>
      <c r="I439" s="1194"/>
    </row>
    <row r="440" spans="2:9" ht="14.45" customHeight="1">
      <c r="B440" s="278">
        <v>114</v>
      </c>
      <c r="C440" s="278" t="s">
        <v>462</v>
      </c>
      <c r="D440" s="278" t="s">
        <v>675</v>
      </c>
      <c r="E440" s="278" t="s">
        <v>3305</v>
      </c>
      <c r="F440" s="278" t="s">
        <v>3336</v>
      </c>
      <c r="G440" s="304">
        <v>575000</v>
      </c>
      <c r="H440" s="394" t="s">
        <v>2084</v>
      </c>
      <c r="I440" s="1194"/>
    </row>
    <row r="441" spans="2:9" ht="14.45" customHeight="1">
      <c r="B441" s="278">
        <v>114</v>
      </c>
      <c r="C441" s="278" t="s">
        <v>462</v>
      </c>
      <c r="D441" s="278" t="s">
        <v>675</v>
      </c>
      <c r="E441" s="278" t="s">
        <v>3305</v>
      </c>
      <c r="F441" s="278" t="s">
        <v>3337</v>
      </c>
      <c r="G441" s="304">
        <v>400000</v>
      </c>
      <c r="H441" s="394" t="s">
        <v>2084</v>
      </c>
      <c r="I441" s="1194"/>
    </row>
    <row r="442" spans="2:9" ht="14.45" customHeight="1">
      <c r="B442" s="278">
        <v>114</v>
      </c>
      <c r="C442" s="278" t="s">
        <v>462</v>
      </c>
      <c r="D442" s="278" t="s">
        <v>675</v>
      </c>
      <c r="E442" s="278" t="s">
        <v>3305</v>
      </c>
      <c r="F442" s="278" t="s">
        <v>3338</v>
      </c>
      <c r="G442" s="304">
        <v>400000</v>
      </c>
      <c r="H442" s="394" t="s">
        <v>2084</v>
      </c>
      <c r="I442" s="1194"/>
    </row>
    <row r="443" spans="2:9" ht="14.45" customHeight="1">
      <c r="B443" s="278">
        <v>114</v>
      </c>
      <c r="C443" s="278" t="s">
        <v>462</v>
      </c>
      <c r="D443" s="278" t="s">
        <v>675</v>
      </c>
      <c r="E443" s="278" t="s">
        <v>3305</v>
      </c>
      <c r="F443" s="278" t="s">
        <v>3339</v>
      </c>
      <c r="G443" s="304">
        <v>500000</v>
      </c>
      <c r="H443" s="394" t="s">
        <v>2084</v>
      </c>
      <c r="I443" s="1194"/>
    </row>
    <row r="444" spans="2:9" ht="14.45" customHeight="1">
      <c r="B444" s="278">
        <v>114</v>
      </c>
      <c r="C444" s="278" t="s">
        <v>462</v>
      </c>
      <c r="D444" s="278" t="s">
        <v>675</v>
      </c>
      <c r="E444" s="278" t="s">
        <v>3305</v>
      </c>
      <c r="F444" s="278" t="s">
        <v>3340</v>
      </c>
      <c r="G444" s="304">
        <v>325000</v>
      </c>
      <c r="H444" s="394" t="s">
        <v>2084</v>
      </c>
      <c r="I444" s="1194"/>
    </row>
    <row r="445" spans="2:9" ht="14.45" customHeight="1">
      <c r="B445" s="278">
        <v>114</v>
      </c>
      <c r="C445" s="278" t="s">
        <v>462</v>
      </c>
      <c r="D445" s="278" t="s">
        <v>675</v>
      </c>
      <c r="E445" s="278" t="s">
        <v>3305</v>
      </c>
      <c r="F445" s="278" t="s">
        <v>3341</v>
      </c>
      <c r="G445" s="304">
        <v>350000</v>
      </c>
      <c r="H445" s="394" t="s">
        <v>2084</v>
      </c>
      <c r="I445" s="1194"/>
    </row>
    <row r="446" spans="2:9" ht="14.45" customHeight="1">
      <c r="B446" s="278">
        <v>114</v>
      </c>
      <c r="C446" s="278" t="s">
        <v>462</v>
      </c>
      <c r="D446" s="278" t="s">
        <v>675</v>
      </c>
      <c r="E446" s="278" t="s">
        <v>3305</v>
      </c>
      <c r="F446" s="278" t="s">
        <v>3342</v>
      </c>
      <c r="G446" s="304">
        <v>850000</v>
      </c>
      <c r="H446" s="394" t="s">
        <v>2084</v>
      </c>
      <c r="I446" s="1194"/>
    </row>
    <row r="447" spans="2:9" ht="14.45" customHeight="1">
      <c r="B447" s="278">
        <v>114</v>
      </c>
      <c r="C447" s="278" t="s">
        <v>462</v>
      </c>
      <c r="D447" s="278" t="s">
        <v>675</v>
      </c>
      <c r="E447" s="278" t="s">
        <v>3305</v>
      </c>
      <c r="F447" s="278" t="s">
        <v>3343</v>
      </c>
      <c r="G447" s="304">
        <v>800000</v>
      </c>
      <c r="H447" s="394" t="s">
        <v>2084</v>
      </c>
      <c r="I447" s="1194"/>
    </row>
    <row r="448" spans="2:9" ht="14.45" customHeight="1">
      <c r="B448" s="278">
        <v>114</v>
      </c>
      <c r="C448" s="278" t="s">
        <v>462</v>
      </c>
      <c r="D448" s="278" t="s">
        <v>676</v>
      </c>
      <c r="E448" s="278" t="s">
        <v>3344</v>
      </c>
      <c r="F448" s="278" t="s">
        <v>3177</v>
      </c>
      <c r="G448" s="304">
        <v>1000000</v>
      </c>
      <c r="H448" s="394" t="s">
        <v>2084</v>
      </c>
      <c r="I448" s="1194"/>
    </row>
    <row r="449" spans="2:9" ht="14.45" customHeight="1">
      <c r="B449" s="278">
        <v>114</v>
      </c>
      <c r="C449" s="278" t="s">
        <v>462</v>
      </c>
      <c r="D449" s="278" t="s">
        <v>676</v>
      </c>
      <c r="E449" s="278" t="s">
        <v>3344</v>
      </c>
      <c r="F449" s="278" t="s">
        <v>3345</v>
      </c>
      <c r="G449" s="304">
        <v>705000</v>
      </c>
      <c r="H449" s="394" t="s">
        <v>2084</v>
      </c>
      <c r="I449" s="1194"/>
    </row>
    <row r="450" spans="2:9" ht="14.45" customHeight="1">
      <c r="B450" s="278">
        <v>114</v>
      </c>
      <c r="C450" s="278" t="s">
        <v>462</v>
      </c>
      <c r="D450" s="278" t="s">
        <v>676</v>
      </c>
      <c r="E450" s="278" t="s">
        <v>3344</v>
      </c>
      <c r="F450" s="278" t="s">
        <v>3346</v>
      </c>
      <c r="G450" s="304">
        <v>650000</v>
      </c>
      <c r="H450" s="394" t="s">
        <v>2084</v>
      </c>
      <c r="I450" s="1194"/>
    </row>
    <row r="451" spans="2:9" ht="14.45" customHeight="1">
      <c r="B451" s="278">
        <v>114</v>
      </c>
      <c r="C451" s="278" t="s">
        <v>462</v>
      </c>
      <c r="D451" s="278" t="s">
        <v>676</v>
      </c>
      <c r="E451" s="278" t="s">
        <v>3344</v>
      </c>
      <c r="F451" s="278" t="s">
        <v>3347</v>
      </c>
      <c r="G451" s="304">
        <v>825000</v>
      </c>
      <c r="H451" s="394" t="s">
        <v>2084</v>
      </c>
      <c r="I451" s="1194"/>
    </row>
    <row r="452" spans="2:9" ht="14.45" customHeight="1">
      <c r="B452" s="278">
        <v>114</v>
      </c>
      <c r="C452" s="278" t="s">
        <v>462</v>
      </c>
      <c r="D452" s="278" t="s">
        <v>676</v>
      </c>
      <c r="E452" s="278" t="s">
        <v>3344</v>
      </c>
      <c r="F452" s="278" t="s">
        <v>3348</v>
      </c>
      <c r="G452" s="304">
        <v>550000</v>
      </c>
      <c r="H452" s="394" t="s">
        <v>2084</v>
      </c>
      <c r="I452" s="1194"/>
    </row>
    <row r="453" spans="2:9" ht="14.45" customHeight="1">
      <c r="B453" s="278">
        <v>114</v>
      </c>
      <c r="C453" s="278" t="s">
        <v>462</v>
      </c>
      <c r="D453" s="278" t="s">
        <v>676</v>
      </c>
      <c r="E453" s="278" t="s">
        <v>3344</v>
      </c>
      <c r="F453" s="278" t="s">
        <v>3349</v>
      </c>
      <c r="G453" s="304">
        <v>625000</v>
      </c>
      <c r="H453" s="394" t="s">
        <v>2084</v>
      </c>
      <c r="I453" s="1194"/>
    </row>
    <row r="454" spans="2:9" ht="14.45" customHeight="1">
      <c r="B454" s="278">
        <v>114</v>
      </c>
      <c r="C454" s="278" t="s">
        <v>462</v>
      </c>
      <c r="D454" s="278" t="s">
        <v>676</v>
      </c>
      <c r="E454" s="278" t="s">
        <v>3344</v>
      </c>
      <c r="F454" s="278" t="s">
        <v>3350</v>
      </c>
      <c r="G454" s="304">
        <v>550000</v>
      </c>
      <c r="H454" s="394" t="s">
        <v>2084</v>
      </c>
      <c r="I454" s="1194"/>
    </row>
    <row r="455" spans="2:9" ht="14.45" customHeight="1">
      <c r="B455" s="278">
        <v>114</v>
      </c>
      <c r="C455" s="278" t="s">
        <v>462</v>
      </c>
      <c r="D455" s="278" t="s">
        <v>676</v>
      </c>
      <c r="E455" s="278" t="s">
        <v>3344</v>
      </c>
      <c r="F455" s="278" t="s">
        <v>3351</v>
      </c>
      <c r="G455" s="304">
        <v>600000</v>
      </c>
      <c r="H455" s="394" t="s">
        <v>2084</v>
      </c>
      <c r="I455" s="1194"/>
    </row>
    <row r="456" spans="2:9" ht="14.45" customHeight="1">
      <c r="B456" s="278">
        <v>114</v>
      </c>
      <c r="C456" s="278" t="s">
        <v>462</v>
      </c>
      <c r="D456" s="278" t="s">
        <v>676</v>
      </c>
      <c r="E456" s="278" t="s">
        <v>3344</v>
      </c>
      <c r="F456" s="278" t="s">
        <v>3352</v>
      </c>
      <c r="G456" s="304">
        <v>625000</v>
      </c>
      <c r="H456" s="394" t="s">
        <v>2084</v>
      </c>
      <c r="I456" s="1194"/>
    </row>
    <row r="457" spans="2:9" ht="14.45" customHeight="1">
      <c r="B457" s="278">
        <v>114</v>
      </c>
      <c r="C457" s="278" t="s">
        <v>462</v>
      </c>
      <c r="D457" s="278" t="s">
        <v>676</v>
      </c>
      <c r="E457" s="278" t="s">
        <v>3344</v>
      </c>
      <c r="F457" s="278" t="s">
        <v>3353</v>
      </c>
      <c r="G457" s="304">
        <v>500000</v>
      </c>
      <c r="H457" s="394" t="s">
        <v>2084</v>
      </c>
      <c r="I457" s="1194"/>
    </row>
    <row r="458" spans="2:9" ht="14.45" customHeight="1">
      <c r="B458" s="278">
        <v>114</v>
      </c>
      <c r="C458" s="278" t="s">
        <v>462</v>
      </c>
      <c r="D458" s="278" t="s">
        <v>676</v>
      </c>
      <c r="E458" s="278" t="s">
        <v>3344</v>
      </c>
      <c r="F458" s="278" t="s">
        <v>3354</v>
      </c>
      <c r="G458" s="304">
        <v>720000</v>
      </c>
      <c r="H458" s="394" t="s">
        <v>2084</v>
      </c>
      <c r="I458" s="1194"/>
    </row>
    <row r="459" spans="2:9" ht="14.45" customHeight="1">
      <c r="B459" s="278">
        <v>114</v>
      </c>
      <c r="C459" s="278" t="s">
        <v>462</v>
      </c>
      <c r="D459" s="278" t="s">
        <v>676</v>
      </c>
      <c r="E459" s="278" t="s">
        <v>3344</v>
      </c>
      <c r="F459" s="278" t="s">
        <v>3355</v>
      </c>
      <c r="G459" s="304">
        <v>720000</v>
      </c>
      <c r="H459" s="394" t="s">
        <v>2084</v>
      </c>
      <c r="I459" s="1194"/>
    </row>
    <row r="460" spans="2:9" ht="14.45" customHeight="1">
      <c r="B460" s="278">
        <v>114</v>
      </c>
      <c r="C460" s="278" t="s">
        <v>462</v>
      </c>
      <c r="D460" s="278" t="s">
        <v>676</v>
      </c>
      <c r="E460" s="278" t="s">
        <v>3344</v>
      </c>
      <c r="F460" s="278" t="s">
        <v>3356</v>
      </c>
      <c r="G460" s="304">
        <v>800000</v>
      </c>
      <c r="H460" s="394" t="s">
        <v>2084</v>
      </c>
      <c r="I460" s="1194"/>
    </row>
    <row r="461" spans="2:9" ht="14.45" customHeight="1">
      <c r="B461" s="278">
        <v>114</v>
      </c>
      <c r="C461" s="278" t="s">
        <v>462</v>
      </c>
      <c r="D461" s="278" t="s">
        <v>676</v>
      </c>
      <c r="E461" s="278" t="s">
        <v>3344</v>
      </c>
      <c r="F461" s="278" t="s">
        <v>3357</v>
      </c>
      <c r="G461" s="304">
        <v>775000</v>
      </c>
      <c r="H461" s="394" t="s">
        <v>2084</v>
      </c>
      <c r="I461" s="1194"/>
    </row>
    <row r="462" spans="2:9" ht="14.45" customHeight="1">
      <c r="B462" s="278">
        <v>114</v>
      </c>
      <c r="C462" s="278" t="s">
        <v>462</v>
      </c>
      <c r="D462" s="278" t="s">
        <v>676</v>
      </c>
      <c r="E462" s="278" t="s">
        <v>3344</v>
      </c>
      <c r="F462" s="278" t="s">
        <v>3358</v>
      </c>
      <c r="G462" s="304">
        <v>550000</v>
      </c>
      <c r="H462" s="394" t="s">
        <v>2084</v>
      </c>
      <c r="I462" s="1194"/>
    </row>
    <row r="463" spans="2:9" ht="14.45" customHeight="1">
      <c r="B463" s="278">
        <v>114</v>
      </c>
      <c r="C463" s="278" t="s">
        <v>462</v>
      </c>
      <c r="D463" s="278" t="s">
        <v>676</v>
      </c>
      <c r="E463" s="278" t="s">
        <v>3344</v>
      </c>
      <c r="F463" s="278" t="s">
        <v>3359</v>
      </c>
      <c r="G463" s="304">
        <v>500000</v>
      </c>
      <c r="H463" s="394" t="s">
        <v>2084</v>
      </c>
      <c r="I463" s="1194"/>
    </row>
    <row r="464" spans="2:9" ht="14.45" customHeight="1">
      <c r="B464" s="278">
        <v>114</v>
      </c>
      <c r="C464" s="278" t="s">
        <v>462</v>
      </c>
      <c r="D464" s="278" t="s">
        <v>676</v>
      </c>
      <c r="E464" s="278" t="s">
        <v>3344</v>
      </c>
      <c r="F464" s="278" t="s">
        <v>3360</v>
      </c>
      <c r="G464" s="304">
        <v>650000</v>
      </c>
      <c r="H464" s="394" t="s">
        <v>2084</v>
      </c>
      <c r="I464" s="1194"/>
    </row>
    <row r="465" spans="2:9" ht="14.45" customHeight="1">
      <c r="B465" s="278">
        <v>114</v>
      </c>
      <c r="C465" s="278" t="s">
        <v>462</v>
      </c>
      <c r="D465" s="278" t="s">
        <v>676</v>
      </c>
      <c r="E465" s="278" t="s">
        <v>3344</v>
      </c>
      <c r="F465" s="278" t="s">
        <v>3361</v>
      </c>
      <c r="G465" s="304">
        <v>520000</v>
      </c>
      <c r="H465" s="394" t="s">
        <v>2084</v>
      </c>
      <c r="I465" s="1194"/>
    </row>
    <row r="466" spans="2:9" ht="14.45" customHeight="1">
      <c r="B466" s="278">
        <v>114</v>
      </c>
      <c r="C466" s="278" t="s">
        <v>462</v>
      </c>
      <c r="D466" s="278" t="s">
        <v>676</v>
      </c>
      <c r="E466" s="278" t="s">
        <v>3344</v>
      </c>
      <c r="F466" s="278" t="s">
        <v>3362</v>
      </c>
      <c r="G466" s="304">
        <v>500000</v>
      </c>
      <c r="H466" s="394" t="s">
        <v>2084</v>
      </c>
      <c r="I466" s="1194"/>
    </row>
    <row r="467" spans="2:9" ht="14.45" customHeight="1">
      <c r="B467" s="278">
        <v>114</v>
      </c>
      <c r="C467" s="278" t="s">
        <v>462</v>
      </c>
      <c r="D467" s="278" t="s">
        <v>676</v>
      </c>
      <c r="E467" s="278" t="s">
        <v>3344</v>
      </c>
      <c r="F467" s="278" t="s">
        <v>3363</v>
      </c>
      <c r="G467" s="304">
        <v>410000</v>
      </c>
      <c r="H467" s="394" t="s">
        <v>2084</v>
      </c>
      <c r="I467" s="1194"/>
    </row>
    <row r="468" spans="2:9" ht="14.45" customHeight="1">
      <c r="B468" s="278">
        <v>114</v>
      </c>
      <c r="C468" s="278" t="s">
        <v>462</v>
      </c>
      <c r="D468" s="278" t="s">
        <v>676</v>
      </c>
      <c r="E468" s="278" t="s">
        <v>3344</v>
      </c>
      <c r="F468" s="278" t="s">
        <v>3364</v>
      </c>
      <c r="G468" s="304">
        <v>475000</v>
      </c>
      <c r="H468" s="394" t="s">
        <v>2084</v>
      </c>
      <c r="I468" s="1194"/>
    </row>
    <row r="469" spans="2:9" ht="14.45" customHeight="1">
      <c r="B469" s="278">
        <v>114</v>
      </c>
      <c r="C469" s="278" t="s">
        <v>462</v>
      </c>
      <c r="D469" s="278" t="s">
        <v>676</v>
      </c>
      <c r="E469" s="278" t="s">
        <v>3344</v>
      </c>
      <c r="F469" s="278" t="s">
        <v>3365</v>
      </c>
      <c r="G469" s="304">
        <v>800000</v>
      </c>
      <c r="H469" s="394" t="s">
        <v>2084</v>
      </c>
      <c r="I469" s="1194"/>
    </row>
    <row r="470" spans="2:9" ht="14.45" customHeight="1">
      <c r="B470" s="278">
        <v>114</v>
      </c>
      <c r="C470" s="278" t="s">
        <v>462</v>
      </c>
      <c r="D470" s="278" t="s">
        <v>676</v>
      </c>
      <c r="E470" s="278" t="s">
        <v>3344</v>
      </c>
      <c r="F470" s="278" t="s">
        <v>3366</v>
      </c>
      <c r="G470" s="304">
        <v>520000</v>
      </c>
      <c r="H470" s="394" t="s">
        <v>2084</v>
      </c>
      <c r="I470" s="1194"/>
    </row>
    <row r="471" spans="2:9" ht="14.45" customHeight="1">
      <c r="B471" s="278">
        <v>114</v>
      </c>
      <c r="C471" s="278" t="s">
        <v>462</v>
      </c>
      <c r="D471" s="278" t="s">
        <v>676</v>
      </c>
      <c r="E471" s="278" t="s">
        <v>3344</v>
      </c>
      <c r="F471" s="278" t="s">
        <v>3367</v>
      </c>
      <c r="G471" s="304">
        <v>500000</v>
      </c>
      <c r="H471" s="394" t="s">
        <v>2084</v>
      </c>
      <c r="I471" s="1194"/>
    </row>
    <row r="472" spans="2:9" ht="14.45" customHeight="1">
      <c r="B472" s="278">
        <v>114</v>
      </c>
      <c r="C472" s="278" t="s">
        <v>462</v>
      </c>
      <c r="D472" s="278" t="s">
        <v>676</v>
      </c>
      <c r="E472" s="278" t="s">
        <v>3344</v>
      </c>
      <c r="F472" s="278" t="s">
        <v>3368</v>
      </c>
      <c r="G472" s="304">
        <v>550000</v>
      </c>
      <c r="H472" s="394" t="s">
        <v>2084</v>
      </c>
      <c r="I472" s="1194"/>
    </row>
    <row r="473" spans="2:9" ht="14.45" customHeight="1">
      <c r="B473" s="278">
        <v>114</v>
      </c>
      <c r="C473" s="278" t="s">
        <v>462</v>
      </c>
      <c r="D473" s="278" t="s">
        <v>676</v>
      </c>
      <c r="E473" s="278" t="s">
        <v>3344</v>
      </c>
      <c r="F473" s="278" t="s">
        <v>3369</v>
      </c>
      <c r="G473" s="304">
        <v>775000</v>
      </c>
      <c r="H473" s="394" t="s">
        <v>2084</v>
      </c>
      <c r="I473" s="1194"/>
    </row>
    <row r="474" spans="2:9" ht="14.45" customHeight="1">
      <c r="B474" s="278">
        <v>114</v>
      </c>
      <c r="C474" s="278" t="s">
        <v>462</v>
      </c>
      <c r="D474" s="278" t="s">
        <v>676</v>
      </c>
      <c r="E474" s="278" t="s">
        <v>3344</v>
      </c>
      <c r="F474" s="278" t="s">
        <v>3370</v>
      </c>
      <c r="G474" s="304">
        <v>550000</v>
      </c>
      <c r="H474" s="394" t="s">
        <v>2084</v>
      </c>
      <c r="I474" s="1194"/>
    </row>
    <row r="475" spans="2:9" ht="14.45" customHeight="1">
      <c r="B475" s="278">
        <v>114</v>
      </c>
      <c r="C475" s="278" t="s">
        <v>462</v>
      </c>
      <c r="D475" s="278" t="s">
        <v>676</v>
      </c>
      <c r="E475" s="278" t="s">
        <v>3344</v>
      </c>
      <c r="F475" s="278" t="s">
        <v>3371</v>
      </c>
      <c r="G475" s="304">
        <v>705000</v>
      </c>
      <c r="H475" s="394" t="s">
        <v>2084</v>
      </c>
      <c r="I475" s="1194"/>
    </row>
    <row r="476" spans="2:9" ht="14.45" customHeight="1">
      <c r="B476" s="278">
        <v>114</v>
      </c>
      <c r="C476" s="278" t="s">
        <v>462</v>
      </c>
      <c r="D476" s="278" t="s">
        <v>676</v>
      </c>
      <c r="E476" s="278" t="s">
        <v>3344</v>
      </c>
      <c r="F476" s="278" t="s">
        <v>3372</v>
      </c>
      <c r="G476" s="304">
        <v>630000</v>
      </c>
      <c r="H476" s="394" t="s">
        <v>2084</v>
      </c>
      <c r="I476" s="1194"/>
    </row>
    <row r="477" spans="2:9" ht="14.45" customHeight="1">
      <c r="B477" s="278">
        <v>114</v>
      </c>
      <c r="C477" s="278" t="s">
        <v>462</v>
      </c>
      <c r="D477" s="278" t="s">
        <v>676</v>
      </c>
      <c r="E477" s="278" t="s">
        <v>3344</v>
      </c>
      <c r="F477" s="278" t="s">
        <v>3373</v>
      </c>
      <c r="G477" s="304">
        <v>675000</v>
      </c>
      <c r="H477" s="394" t="s">
        <v>2084</v>
      </c>
      <c r="I477" s="1194"/>
    </row>
    <row r="478" spans="2:9" ht="14.45" customHeight="1">
      <c r="B478" s="278">
        <v>114</v>
      </c>
      <c r="C478" s="278" t="s">
        <v>462</v>
      </c>
      <c r="D478" s="278" t="s">
        <v>677</v>
      </c>
      <c r="E478" s="278" t="s">
        <v>3374</v>
      </c>
      <c r="F478" s="278" t="s">
        <v>3375</v>
      </c>
      <c r="G478" s="304">
        <v>305000</v>
      </c>
      <c r="H478" s="394" t="s">
        <v>2084</v>
      </c>
      <c r="I478" s="1194"/>
    </row>
    <row r="479" spans="2:9" ht="14.45" customHeight="1">
      <c r="B479" s="278">
        <v>114</v>
      </c>
      <c r="C479" s="278" t="s">
        <v>462</v>
      </c>
      <c r="D479" s="278" t="s">
        <v>677</v>
      </c>
      <c r="E479" s="278" t="s">
        <v>3374</v>
      </c>
      <c r="F479" s="278" t="s">
        <v>3376</v>
      </c>
      <c r="G479" s="304">
        <v>1500000</v>
      </c>
      <c r="H479" s="394" t="s">
        <v>2084</v>
      </c>
      <c r="I479" s="1194"/>
    </row>
    <row r="480" spans="2:9" ht="14.45" customHeight="1">
      <c r="B480" s="278">
        <v>114</v>
      </c>
      <c r="C480" s="278" t="s">
        <v>462</v>
      </c>
      <c r="D480" s="278" t="s">
        <v>677</v>
      </c>
      <c r="E480" s="278" t="s">
        <v>3374</v>
      </c>
      <c r="F480" s="278" t="s">
        <v>3377</v>
      </c>
      <c r="G480" s="304">
        <v>825000</v>
      </c>
      <c r="H480" s="394" t="s">
        <v>2084</v>
      </c>
      <c r="I480" s="1194"/>
    </row>
    <row r="481" spans="2:9" ht="14.45" customHeight="1">
      <c r="B481" s="278">
        <v>114</v>
      </c>
      <c r="C481" s="278" t="s">
        <v>462</v>
      </c>
      <c r="D481" s="278" t="s">
        <v>677</v>
      </c>
      <c r="E481" s="278" t="s">
        <v>3374</v>
      </c>
      <c r="F481" s="278" t="s">
        <v>3378</v>
      </c>
      <c r="G481" s="304">
        <v>600000</v>
      </c>
      <c r="H481" s="394" t="s">
        <v>2084</v>
      </c>
      <c r="I481" s="1194"/>
    </row>
    <row r="482" spans="2:9" ht="14.45" customHeight="1">
      <c r="B482" s="278">
        <v>114</v>
      </c>
      <c r="C482" s="278" t="s">
        <v>462</v>
      </c>
      <c r="D482" s="278" t="s">
        <v>677</v>
      </c>
      <c r="E482" s="278" t="s">
        <v>3374</v>
      </c>
      <c r="F482" s="278" t="s">
        <v>3379</v>
      </c>
      <c r="G482" s="304">
        <v>395000</v>
      </c>
      <c r="H482" s="394" t="s">
        <v>2084</v>
      </c>
      <c r="I482" s="1194"/>
    </row>
    <row r="483" spans="2:9" ht="14.45" customHeight="1">
      <c r="B483" s="278">
        <v>114</v>
      </c>
      <c r="C483" s="278" t="s">
        <v>462</v>
      </c>
      <c r="D483" s="278" t="s">
        <v>677</v>
      </c>
      <c r="E483" s="278" t="s">
        <v>3374</v>
      </c>
      <c r="F483" s="278" t="s">
        <v>3380</v>
      </c>
      <c r="G483" s="304">
        <v>850000</v>
      </c>
      <c r="H483" s="394" t="s">
        <v>2084</v>
      </c>
      <c r="I483" s="1194"/>
    </row>
    <row r="484" spans="2:9" ht="14.45" customHeight="1">
      <c r="B484" s="278">
        <v>114</v>
      </c>
      <c r="C484" s="278" t="s">
        <v>462</v>
      </c>
      <c r="D484" s="278" t="s">
        <v>677</v>
      </c>
      <c r="E484" s="278" t="s">
        <v>3374</v>
      </c>
      <c r="F484" s="278" t="s">
        <v>3381</v>
      </c>
      <c r="G484" s="304">
        <v>350000</v>
      </c>
      <c r="H484" s="394" t="s">
        <v>2084</v>
      </c>
      <c r="I484" s="1194"/>
    </row>
    <row r="485" spans="2:9" ht="14.45" customHeight="1">
      <c r="B485" s="278">
        <v>114</v>
      </c>
      <c r="C485" s="278" t="s">
        <v>462</v>
      </c>
      <c r="D485" s="278" t="s">
        <v>677</v>
      </c>
      <c r="E485" s="278" t="s">
        <v>3374</v>
      </c>
      <c r="F485" s="278" t="s">
        <v>3382</v>
      </c>
      <c r="G485" s="304">
        <v>1700000</v>
      </c>
      <c r="H485" s="394" t="s">
        <v>2084</v>
      </c>
      <c r="I485" s="1194"/>
    </row>
    <row r="486" spans="2:9" ht="14.45" customHeight="1">
      <c r="B486" s="278">
        <v>114</v>
      </c>
      <c r="C486" s="278" t="s">
        <v>462</v>
      </c>
      <c r="D486" s="278" t="s">
        <v>677</v>
      </c>
      <c r="E486" s="278" t="s">
        <v>3374</v>
      </c>
      <c r="F486" s="278" t="s">
        <v>3383</v>
      </c>
      <c r="G486" s="304">
        <v>1100000</v>
      </c>
      <c r="H486" s="394" t="s">
        <v>2084</v>
      </c>
      <c r="I486" s="1194"/>
    </row>
    <row r="487" spans="2:9" ht="14.45" customHeight="1">
      <c r="B487" s="278">
        <v>114</v>
      </c>
      <c r="C487" s="278" t="s">
        <v>462</v>
      </c>
      <c r="D487" s="278" t="s">
        <v>677</v>
      </c>
      <c r="E487" s="278" t="s">
        <v>3374</v>
      </c>
      <c r="F487" s="278" t="s">
        <v>3384</v>
      </c>
      <c r="G487" s="304">
        <v>550000</v>
      </c>
      <c r="H487" s="394" t="s">
        <v>2084</v>
      </c>
      <c r="I487" s="1194"/>
    </row>
    <row r="488" spans="2:9" ht="14.45" customHeight="1">
      <c r="B488" s="278">
        <v>114</v>
      </c>
      <c r="C488" s="278" t="s">
        <v>462</v>
      </c>
      <c r="D488" s="278" t="s">
        <v>677</v>
      </c>
      <c r="E488" s="278" t="s">
        <v>3374</v>
      </c>
      <c r="F488" s="278" t="s">
        <v>3385</v>
      </c>
      <c r="G488" s="304">
        <v>825000</v>
      </c>
      <c r="H488" s="394" t="s">
        <v>2084</v>
      </c>
      <c r="I488" s="1194"/>
    </row>
    <row r="489" spans="2:9" ht="14.45" customHeight="1">
      <c r="B489" s="278">
        <v>114</v>
      </c>
      <c r="C489" s="278" t="s">
        <v>462</v>
      </c>
      <c r="D489" s="278" t="s">
        <v>677</v>
      </c>
      <c r="E489" s="278" t="s">
        <v>3374</v>
      </c>
      <c r="F489" s="278" t="s">
        <v>3386</v>
      </c>
      <c r="G489" s="304">
        <v>800000</v>
      </c>
      <c r="H489" s="394" t="s">
        <v>2084</v>
      </c>
      <c r="I489" s="1194"/>
    </row>
    <row r="490" spans="2:9" ht="14.45" customHeight="1">
      <c r="B490" s="278">
        <v>114</v>
      </c>
      <c r="C490" s="278" t="s">
        <v>462</v>
      </c>
      <c r="D490" s="278" t="s">
        <v>677</v>
      </c>
      <c r="E490" s="278" t="s">
        <v>3374</v>
      </c>
      <c r="F490" s="278" t="s">
        <v>3387</v>
      </c>
      <c r="G490" s="304">
        <v>650000</v>
      </c>
      <c r="H490" s="394" t="s">
        <v>2084</v>
      </c>
      <c r="I490" s="1194"/>
    </row>
    <row r="491" spans="2:9" ht="14.45" customHeight="1">
      <c r="B491" s="278">
        <v>114</v>
      </c>
      <c r="C491" s="278" t="s">
        <v>462</v>
      </c>
      <c r="D491" s="278" t="s">
        <v>677</v>
      </c>
      <c r="E491" s="278" t="s">
        <v>3374</v>
      </c>
      <c r="F491" s="278" t="s">
        <v>3388</v>
      </c>
      <c r="G491" s="304">
        <v>1800000</v>
      </c>
      <c r="H491" s="394" t="s">
        <v>2084</v>
      </c>
      <c r="I491" s="1194"/>
    </row>
    <row r="492" spans="2:9" ht="14.45" customHeight="1">
      <c r="B492" s="278">
        <v>114</v>
      </c>
      <c r="C492" s="278" t="s">
        <v>462</v>
      </c>
      <c r="D492" s="278" t="s">
        <v>677</v>
      </c>
      <c r="E492" s="278" t="s">
        <v>3374</v>
      </c>
      <c r="F492" s="278" t="s">
        <v>3389</v>
      </c>
      <c r="G492" s="304">
        <v>475000</v>
      </c>
      <c r="H492" s="394" t="s">
        <v>2084</v>
      </c>
      <c r="I492" s="1194"/>
    </row>
    <row r="493" spans="2:9" ht="14.45" customHeight="1">
      <c r="B493" s="278">
        <v>114</v>
      </c>
      <c r="C493" s="278" t="s">
        <v>462</v>
      </c>
      <c r="D493" s="278" t="s">
        <v>677</v>
      </c>
      <c r="E493" s="278" t="s">
        <v>3374</v>
      </c>
      <c r="F493" s="278" t="s">
        <v>3390</v>
      </c>
      <c r="G493" s="304">
        <v>1275000</v>
      </c>
      <c r="H493" s="394" t="s">
        <v>2084</v>
      </c>
      <c r="I493" s="1194"/>
    </row>
    <row r="494" spans="2:9" ht="14.45" customHeight="1">
      <c r="B494" s="278">
        <v>114</v>
      </c>
      <c r="C494" s="278" t="s">
        <v>462</v>
      </c>
      <c r="D494" s="278" t="s">
        <v>677</v>
      </c>
      <c r="E494" s="278" t="s">
        <v>3374</v>
      </c>
      <c r="F494" s="278" t="s">
        <v>3391</v>
      </c>
      <c r="G494" s="304">
        <v>300000</v>
      </c>
      <c r="H494" s="394" t="s">
        <v>2084</v>
      </c>
      <c r="I494" s="1194"/>
    </row>
    <row r="495" spans="2:9" ht="14.45" customHeight="1">
      <c r="B495" s="278">
        <v>114</v>
      </c>
      <c r="C495" s="278" t="s">
        <v>462</v>
      </c>
      <c r="D495" s="278" t="s">
        <v>677</v>
      </c>
      <c r="E495" s="278" t="s">
        <v>3374</v>
      </c>
      <c r="F495" s="278" t="s">
        <v>3392</v>
      </c>
      <c r="G495" s="304">
        <v>1000000</v>
      </c>
      <c r="H495" s="394" t="s">
        <v>2084</v>
      </c>
      <c r="I495" s="1194"/>
    </row>
    <row r="496" spans="2:9" ht="14.45" customHeight="1">
      <c r="B496" s="278">
        <v>114</v>
      </c>
      <c r="C496" s="278" t="s">
        <v>462</v>
      </c>
      <c r="D496" s="278" t="s">
        <v>677</v>
      </c>
      <c r="E496" s="278" t="s">
        <v>3374</v>
      </c>
      <c r="F496" s="278" t="s">
        <v>3393</v>
      </c>
      <c r="G496" s="304">
        <v>325000</v>
      </c>
      <c r="H496" s="394" t="s">
        <v>2084</v>
      </c>
      <c r="I496" s="1194"/>
    </row>
    <row r="497" spans="2:9" ht="14.45" customHeight="1">
      <c r="B497" s="278">
        <v>114</v>
      </c>
      <c r="C497" s="278" t="s">
        <v>462</v>
      </c>
      <c r="D497" s="278" t="s">
        <v>677</v>
      </c>
      <c r="E497" s="278" t="s">
        <v>3374</v>
      </c>
      <c r="F497" s="278" t="s">
        <v>3394</v>
      </c>
      <c r="G497" s="304">
        <v>495000</v>
      </c>
      <c r="H497" s="394" t="s">
        <v>2084</v>
      </c>
      <c r="I497" s="1194"/>
    </row>
    <row r="498" spans="2:9" ht="14.45" customHeight="1">
      <c r="B498" s="278">
        <v>114</v>
      </c>
      <c r="C498" s="278" t="s">
        <v>462</v>
      </c>
      <c r="D498" s="278" t="s">
        <v>677</v>
      </c>
      <c r="E498" s="278" t="s">
        <v>3374</v>
      </c>
      <c r="F498" s="278" t="s">
        <v>3395</v>
      </c>
      <c r="G498" s="304">
        <v>350000</v>
      </c>
      <c r="H498" s="394" t="s">
        <v>2084</v>
      </c>
      <c r="I498" s="1194"/>
    </row>
    <row r="499" spans="2:9" ht="14.45" customHeight="1">
      <c r="B499" s="278">
        <v>114</v>
      </c>
      <c r="C499" s="278" t="s">
        <v>462</v>
      </c>
      <c r="D499" s="278" t="s">
        <v>677</v>
      </c>
      <c r="E499" s="278" t="s">
        <v>3374</v>
      </c>
      <c r="F499" s="278" t="s">
        <v>3396</v>
      </c>
      <c r="G499" s="304">
        <v>1200000</v>
      </c>
      <c r="H499" s="394" t="s">
        <v>2084</v>
      </c>
      <c r="I499" s="1194"/>
    </row>
    <row r="500" spans="2:9" ht="14.45" customHeight="1">
      <c r="B500" s="278">
        <v>114</v>
      </c>
      <c r="C500" s="278" t="s">
        <v>462</v>
      </c>
      <c r="D500" s="278" t="s">
        <v>677</v>
      </c>
      <c r="E500" s="278" t="s">
        <v>3374</v>
      </c>
      <c r="F500" s="278" t="s">
        <v>3397</v>
      </c>
      <c r="G500" s="304">
        <v>1200000</v>
      </c>
      <c r="H500" s="394" t="s">
        <v>2084</v>
      </c>
      <c r="I500" s="1194"/>
    </row>
    <row r="501" spans="2:9" ht="14.45" customHeight="1">
      <c r="B501" s="278">
        <v>114</v>
      </c>
      <c r="C501" s="278" t="s">
        <v>462</v>
      </c>
      <c r="D501" s="278" t="s">
        <v>677</v>
      </c>
      <c r="E501" s="278" t="s">
        <v>3374</v>
      </c>
      <c r="F501" s="278" t="s">
        <v>3398</v>
      </c>
      <c r="G501" s="304">
        <v>960000</v>
      </c>
      <c r="H501" s="394" t="s">
        <v>2084</v>
      </c>
      <c r="I501" s="1194"/>
    </row>
    <row r="502" spans="2:9" ht="14.45" customHeight="1">
      <c r="B502" s="278">
        <v>114</v>
      </c>
      <c r="C502" s="278" t="s">
        <v>462</v>
      </c>
      <c r="D502" s="278" t="s">
        <v>677</v>
      </c>
      <c r="E502" s="278" t="s">
        <v>3374</v>
      </c>
      <c r="F502" s="278" t="s">
        <v>3399</v>
      </c>
      <c r="G502" s="304">
        <v>720000</v>
      </c>
      <c r="H502" s="394" t="s">
        <v>2084</v>
      </c>
      <c r="I502" s="1194"/>
    </row>
    <row r="503" spans="2:9" ht="14.45" customHeight="1">
      <c r="B503" s="278">
        <v>114</v>
      </c>
      <c r="C503" s="278" t="s">
        <v>462</v>
      </c>
      <c r="D503" s="278" t="s">
        <v>677</v>
      </c>
      <c r="E503" s="278" t="s">
        <v>3374</v>
      </c>
      <c r="F503" s="278" t="s">
        <v>3400</v>
      </c>
      <c r="G503" s="304">
        <v>450000</v>
      </c>
      <c r="H503" s="394" t="s">
        <v>2084</v>
      </c>
      <c r="I503" s="1194"/>
    </row>
    <row r="504" spans="2:9" ht="14.45" customHeight="1">
      <c r="B504" s="278">
        <v>114</v>
      </c>
      <c r="C504" s="278" t="s">
        <v>462</v>
      </c>
      <c r="D504" s="278" t="s">
        <v>677</v>
      </c>
      <c r="E504" s="278" t="s">
        <v>3374</v>
      </c>
      <c r="F504" s="278" t="s">
        <v>3401</v>
      </c>
      <c r="G504" s="304">
        <v>1365000</v>
      </c>
      <c r="H504" s="394" t="s">
        <v>2084</v>
      </c>
      <c r="I504" s="1194"/>
    </row>
    <row r="505" spans="2:9" ht="14.45" customHeight="1">
      <c r="B505" s="278">
        <v>114</v>
      </c>
      <c r="C505" s="278" t="s">
        <v>462</v>
      </c>
      <c r="D505" s="278" t="s">
        <v>677</v>
      </c>
      <c r="E505" s="278" t="s">
        <v>3374</v>
      </c>
      <c r="F505" s="278" t="s">
        <v>3402</v>
      </c>
      <c r="G505" s="304">
        <v>500000</v>
      </c>
      <c r="H505" s="394" t="s">
        <v>2084</v>
      </c>
      <c r="I505" s="1194"/>
    </row>
    <row r="506" spans="2:9" ht="14.45" customHeight="1">
      <c r="B506" s="278">
        <v>114</v>
      </c>
      <c r="C506" s="278" t="s">
        <v>462</v>
      </c>
      <c r="D506" s="278" t="s">
        <v>677</v>
      </c>
      <c r="E506" s="278" t="s">
        <v>3374</v>
      </c>
      <c r="F506" s="278" t="s">
        <v>3403</v>
      </c>
      <c r="G506" s="304">
        <v>340000</v>
      </c>
      <c r="H506" s="394" t="s">
        <v>2084</v>
      </c>
      <c r="I506" s="1194"/>
    </row>
    <row r="507" spans="2:9" ht="14.45" customHeight="1">
      <c r="B507" s="278">
        <v>114</v>
      </c>
      <c r="C507" s="278" t="s">
        <v>462</v>
      </c>
      <c r="D507" s="278" t="s">
        <v>677</v>
      </c>
      <c r="E507" s="278" t="s">
        <v>3374</v>
      </c>
      <c r="F507" s="278" t="s">
        <v>3404</v>
      </c>
      <c r="G507" s="304">
        <v>1500000</v>
      </c>
      <c r="H507" s="394" t="s">
        <v>2084</v>
      </c>
      <c r="I507" s="1194"/>
    </row>
    <row r="508" spans="2:9" ht="14.45" customHeight="1">
      <c r="B508" s="278">
        <v>114</v>
      </c>
      <c r="C508" s="278" t="s">
        <v>462</v>
      </c>
      <c r="D508" s="278" t="s">
        <v>677</v>
      </c>
      <c r="E508" s="278" t="s">
        <v>3374</v>
      </c>
      <c r="F508" s="278" t="s">
        <v>3405</v>
      </c>
      <c r="G508" s="304">
        <v>400000</v>
      </c>
      <c r="H508" s="394" t="s">
        <v>2084</v>
      </c>
      <c r="I508" s="1194"/>
    </row>
    <row r="509" spans="2:9" ht="14.45" customHeight="1">
      <c r="B509" s="278">
        <v>114</v>
      </c>
      <c r="C509" s="278" t="s">
        <v>462</v>
      </c>
      <c r="D509" s="278" t="s">
        <v>677</v>
      </c>
      <c r="E509" s="278" t="s">
        <v>3374</v>
      </c>
      <c r="F509" s="278" t="s">
        <v>3406</v>
      </c>
      <c r="G509" s="304">
        <v>250000</v>
      </c>
      <c r="H509" s="394" t="s">
        <v>2084</v>
      </c>
      <c r="I509" s="1194"/>
    </row>
    <row r="510" spans="2:9" ht="14.45" customHeight="1">
      <c r="B510" s="278">
        <v>114</v>
      </c>
      <c r="C510" s="278" t="s">
        <v>462</v>
      </c>
      <c r="D510" s="278" t="s">
        <v>677</v>
      </c>
      <c r="E510" s="278" t="s">
        <v>3374</v>
      </c>
      <c r="F510" s="278" t="s">
        <v>3407</v>
      </c>
      <c r="G510" s="304">
        <v>600000</v>
      </c>
      <c r="H510" s="394" t="s">
        <v>2084</v>
      </c>
      <c r="I510" s="1194"/>
    </row>
    <row r="511" spans="2:9" ht="14.45" customHeight="1">
      <c r="B511" s="278">
        <v>114</v>
      </c>
      <c r="C511" s="278" t="s">
        <v>462</v>
      </c>
      <c r="D511" s="278" t="s">
        <v>677</v>
      </c>
      <c r="E511" s="278" t="s">
        <v>3374</v>
      </c>
      <c r="F511" s="278" t="s">
        <v>3408</v>
      </c>
      <c r="G511" s="304">
        <v>800000</v>
      </c>
      <c r="H511" s="394" t="s">
        <v>2084</v>
      </c>
      <c r="I511" s="1194"/>
    </row>
    <row r="512" spans="2:9" ht="14.45" customHeight="1">
      <c r="B512" s="278">
        <v>114</v>
      </c>
      <c r="C512" s="278" t="s">
        <v>462</v>
      </c>
      <c r="D512" s="278" t="s">
        <v>677</v>
      </c>
      <c r="E512" s="278" t="s">
        <v>3374</v>
      </c>
      <c r="F512" s="278" t="s">
        <v>3409</v>
      </c>
      <c r="G512" s="304">
        <v>525000</v>
      </c>
      <c r="H512" s="394" t="s">
        <v>2084</v>
      </c>
      <c r="I512" s="1194"/>
    </row>
    <row r="513" spans="2:9" ht="14.45" customHeight="1">
      <c r="B513" s="278">
        <v>114</v>
      </c>
      <c r="C513" s="278" t="s">
        <v>462</v>
      </c>
      <c r="D513" s="278" t="s">
        <v>677</v>
      </c>
      <c r="E513" s="278" t="s">
        <v>3374</v>
      </c>
      <c r="F513" s="278" t="s">
        <v>3410</v>
      </c>
      <c r="G513" s="304">
        <v>1100000</v>
      </c>
      <c r="H513" s="394" t="s">
        <v>2084</v>
      </c>
      <c r="I513" s="1194"/>
    </row>
    <row r="514" spans="2:9" ht="14.45" customHeight="1">
      <c r="B514" s="278">
        <v>114</v>
      </c>
      <c r="C514" s="278" t="s">
        <v>462</v>
      </c>
      <c r="D514" s="278" t="s">
        <v>677</v>
      </c>
      <c r="E514" s="278" t="s">
        <v>3374</v>
      </c>
      <c r="F514" s="278" t="s">
        <v>3411</v>
      </c>
      <c r="G514" s="304">
        <v>395000</v>
      </c>
      <c r="H514" s="394" t="s">
        <v>2084</v>
      </c>
      <c r="I514" s="1194"/>
    </row>
    <row r="515" spans="2:9" ht="14.45" customHeight="1">
      <c r="B515" s="278">
        <v>114</v>
      </c>
      <c r="C515" s="278" t="s">
        <v>462</v>
      </c>
      <c r="D515" s="278" t="s">
        <v>677</v>
      </c>
      <c r="E515" s="278" t="s">
        <v>3374</v>
      </c>
      <c r="F515" s="278" t="s">
        <v>3412</v>
      </c>
      <c r="G515" s="304">
        <v>1350000</v>
      </c>
      <c r="H515" s="394" t="s">
        <v>2084</v>
      </c>
      <c r="I515" s="1194"/>
    </row>
    <row r="516" spans="2:9" ht="14.45" customHeight="1">
      <c r="B516" s="278">
        <v>114</v>
      </c>
      <c r="C516" s="278" t="s">
        <v>462</v>
      </c>
      <c r="D516" s="278" t="s">
        <v>677</v>
      </c>
      <c r="E516" s="278" t="s">
        <v>3374</v>
      </c>
      <c r="F516" s="278" t="s">
        <v>3413</v>
      </c>
      <c r="G516" s="304">
        <v>1300000</v>
      </c>
      <c r="H516" s="394" t="s">
        <v>2084</v>
      </c>
      <c r="I516" s="1194"/>
    </row>
    <row r="517" spans="2:9" ht="14.45" customHeight="1">
      <c r="B517" s="278">
        <v>114</v>
      </c>
      <c r="C517" s="278" t="s">
        <v>462</v>
      </c>
      <c r="D517" s="278" t="s">
        <v>677</v>
      </c>
      <c r="E517" s="278" t="s">
        <v>3374</v>
      </c>
      <c r="F517" s="278" t="s">
        <v>3414</v>
      </c>
      <c r="G517" s="304">
        <v>450000</v>
      </c>
      <c r="H517" s="394" t="s">
        <v>2084</v>
      </c>
      <c r="I517" s="1194"/>
    </row>
    <row r="518" spans="2:9" ht="14.45" customHeight="1">
      <c r="B518" s="278">
        <v>114</v>
      </c>
      <c r="C518" s="278" t="s">
        <v>462</v>
      </c>
      <c r="D518" s="278" t="s">
        <v>677</v>
      </c>
      <c r="E518" s="278" t="s">
        <v>3374</v>
      </c>
      <c r="F518" s="278" t="s">
        <v>3415</v>
      </c>
      <c r="G518" s="304">
        <v>1500000</v>
      </c>
      <c r="H518" s="394" t="s">
        <v>2084</v>
      </c>
      <c r="I518" s="1194"/>
    </row>
    <row r="519" spans="2:9" ht="14.45" customHeight="1">
      <c r="B519" s="278">
        <v>114</v>
      </c>
      <c r="C519" s="278" t="s">
        <v>462</v>
      </c>
      <c r="D519" s="278" t="s">
        <v>677</v>
      </c>
      <c r="E519" s="278" t="s">
        <v>3374</v>
      </c>
      <c r="F519" s="278" t="s">
        <v>3416</v>
      </c>
      <c r="G519" s="304">
        <v>280000</v>
      </c>
      <c r="H519" s="394" t="s">
        <v>2084</v>
      </c>
      <c r="I519" s="1194"/>
    </row>
    <row r="520" spans="2:9" ht="14.45" customHeight="1">
      <c r="B520" s="278">
        <v>114</v>
      </c>
      <c r="C520" s="278" t="s">
        <v>462</v>
      </c>
      <c r="D520" s="278" t="s">
        <v>677</v>
      </c>
      <c r="E520" s="278" t="s">
        <v>3374</v>
      </c>
      <c r="F520" s="278" t="s">
        <v>3417</v>
      </c>
      <c r="G520" s="304">
        <v>515000</v>
      </c>
      <c r="H520" s="394" t="s">
        <v>2084</v>
      </c>
      <c r="I520" s="1194"/>
    </row>
    <row r="521" spans="2:9" ht="14.45" customHeight="1">
      <c r="B521" s="278">
        <v>114</v>
      </c>
      <c r="C521" s="278" t="s">
        <v>462</v>
      </c>
      <c r="D521" s="278" t="s">
        <v>677</v>
      </c>
      <c r="E521" s="278" t="s">
        <v>3374</v>
      </c>
      <c r="F521" s="278" t="s">
        <v>2328</v>
      </c>
      <c r="G521" s="304">
        <v>1800000</v>
      </c>
      <c r="H521" s="394" t="s">
        <v>2084</v>
      </c>
      <c r="I521" s="1194"/>
    </row>
    <row r="522" spans="2:9" ht="14.45" customHeight="1">
      <c r="B522" s="278">
        <v>114</v>
      </c>
      <c r="C522" s="278" t="s">
        <v>462</v>
      </c>
      <c r="D522" s="278" t="s">
        <v>677</v>
      </c>
      <c r="E522" s="278" t="s">
        <v>3374</v>
      </c>
      <c r="F522" s="278" t="s">
        <v>3418</v>
      </c>
      <c r="G522" s="304">
        <v>1900000</v>
      </c>
      <c r="H522" s="394" t="s">
        <v>2084</v>
      </c>
      <c r="I522" s="1194"/>
    </row>
    <row r="523" spans="2:9" ht="14.45" customHeight="1">
      <c r="B523" s="278">
        <v>114</v>
      </c>
      <c r="C523" s="278" t="s">
        <v>462</v>
      </c>
      <c r="D523" s="278" t="s">
        <v>677</v>
      </c>
      <c r="E523" s="278" t="s">
        <v>3374</v>
      </c>
      <c r="F523" s="278" t="s">
        <v>3419</v>
      </c>
      <c r="G523" s="304">
        <v>800000</v>
      </c>
      <c r="H523" s="394" t="s">
        <v>2084</v>
      </c>
      <c r="I523" s="1194"/>
    </row>
    <row r="524" spans="2:9" ht="14.45" customHeight="1">
      <c r="B524" s="278">
        <v>114</v>
      </c>
      <c r="C524" s="278" t="s">
        <v>462</v>
      </c>
      <c r="D524" s="278" t="s">
        <v>677</v>
      </c>
      <c r="E524" s="278" t="s">
        <v>3374</v>
      </c>
      <c r="F524" s="278" t="s">
        <v>3420</v>
      </c>
      <c r="G524" s="304">
        <v>1500000</v>
      </c>
      <c r="H524" s="394" t="s">
        <v>2084</v>
      </c>
      <c r="I524" s="1194"/>
    </row>
    <row r="525" spans="2:9" ht="14.45" customHeight="1">
      <c r="B525" s="278">
        <v>114</v>
      </c>
      <c r="C525" s="278" t="s">
        <v>462</v>
      </c>
      <c r="D525" s="278" t="s">
        <v>677</v>
      </c>
      <c r="E525" s="278" t="s">
        <v>3374</v>
      </c>
      <c r="F525" s="278" t="s">
        <v>3421</v>
      </c>
      <c r="G525" s="304">
        <v>340000</v>
      </c>
      <c r="H525" s="394" t="s">
        <v>2084</v>
      </c>
      <c r="I525" s="1194"/>
    </row>
    <row r="526" spans="2:9" ht="14.45" customHeight="1">
      <c r="B526" s="278">
        <v>114</v>
      </c>
      <c r="C526" s="278" t="s">
        <v>462</v>
      </c>
      <c r="D526" s="278" t="s">
        <v>677</v>
      </c>
      <c r="E526" s="278" t="s">
        <v>3374</v>
      </c>
      <c r="F526" s="278" t="s">
        <v>3422</v>
      </c>
      <c r="G526" s="304">
        <v>1500000</v>
      </c>
      <c r="H526" s="394" t="s">
        <v>2084</v>
      </c>
      <c r="I526" s="1194"/>
    </row>
    <row r="527" spans="2:9" ht="14.45" customHeight="1">
      <c r="B527" s="278">
        <v>114</v>
      </c>
      <c r="C527" s="278" t="s">
        <v>462</v>
      </c>
      <c r="D527" s="278" t="s">
        <v>677</v>
      </c>
      <c r="E527" s="278" t="s">
        <v>3374</v>
      </c>
      <c r="F527" s="278" t="s">
        <v>3423</v>
      </c>
      <c r="G527" s="304">
        <v>275000</v>
      </c>
      <c r="H527" s="394" t="s">
        <v>2084</v>
      </c>
      <c r="I527" s="1194"/>
    </row>
    <row r="528" spans="2:9" ht="14.45" customHeight="1">
      <c r="B528" s="278">
        <v>114</v>
      </c>
      <c r="C528" s="278" t="s">
        <v>462</v>
      </c>
      <c r="D528" s="278" t="s">
        <v>678</v>
      </c>
      <c r="E528" s="278" t="s">
        <v>3424</v>
      </c>
      <c r="F528" s="278" t="s">
        <v>3425</v>
      </c>
      <c r="G528" s="304">
        <v>500000</v>
      </c>
      <c r="H528" s="394" t="s">
        <v>2084</v>
      </c>
      <c r="I528" s="1194"/>
    </row>
    <row r="529" spans="2:9" ht="14.45" customHeight="1">
      <c r="B529" s="278">
        <v>114</v>
      </c>
      <c r="C529" s="278" t="s">
        <v>462</v>
      </c>
      <c r="D529" s="278" t="s">
        <v>678</v>
      </c>
      <c r="E529" s="278" t="s">
        <v>3424</v>
      </c>
      <c r="F529" s="278" t="s">
        <v>3426</v>
      </c>
      <c r="G529" s="304">
        <v>500000</v>
      </c>
      <c r="H529" s="394" t="s">
        <v>2084</v>
      </c>
      <c r="I529" s="1194"/>
    </row>
    <row r="530" spans="2:9" ht="14.45" customHeight="1">
      <c r="B530" s="278">
        <v>114</v>
      </c>
      <c r="C530" s="278" t="s">
        <v>462</v>
      </c>
      <c r="D530" s="278" t="s">
        <v>678</v>
      </c>
      <c r="E530" s="278" t="s">
        <v>3424</v>
      </c>
      <c r="F530" s="278" t="s">
        <v>3427</v>
      </c>
      <c r="G530" s="304">
        <v>490000</v>
      </c>
      <c r="H530" s="394" t="s">
        <v>2084</v>
      </c>
      <c r="I530" s="1194"/>
    </row>
    <row r="531" spans="2:9" ht="14.45" customHeight="1">
      <c r="B531" s="278">
        <v>114</v>
      </c>
      <c r="C531" s="278" t="s">
        <v>462</v>
      </c>
      <c r="D531" s="278" t="s">
        <v>678</v>
      </c>
      <c r="E531" s="278" t="s">
        <v>3424</v>
      </c>
      <c r="F531" s="278" t="s">
        <v>3428</v>
      </c>
      <c r="G531" s="304">
        <v>600000</v>
      </c>
      <c r="H531" s="394" t="s">
        <v>2084</v>
      </c>
      <c r="I531" s="1194"/>
    </row>
    <row r="532" spans="2:9" ht="14.45" customHeight="1">
      <c r="B532" s="278">
        <v>114</v>
      </c>
      <c r="C532" s="278" t="s">
        <v>462</v>
      </c>
      <c r="D532" s="278" t="s">
        <v>678</v>
      </c>
      <c r="E532" s="278" t="s">
        <v>3424</v>
      </c>
      <c r="F532" s="278" t="s">
        <v>3429</v>
      </c>
      <c r="G532" s="304">
        <v>550000</v>
      </c>
      <c r="H532" s="394" t="s">
        <v>2084</v>
      </c>
      <c r="I532" s="1194"/>
    </row>
    <row r="533" spans="2:9" ht="14.45" customHeight="1">
      <c r="B533" s="278">
        <v>114</v>
      </c>
      <c r="C533" s="278" t="s">
        <v>462</v>
      </c>
      <c r="D533" s="278" t="s">
        <v>678</v>
      </c>
      <c r="E533" s="278" t="s">
        <v>3424</v>
      </c>
      <c r="F533" s="278" t="s">
        <v>3430</v>
      </c>
      <c r="G533" s="304">
        <v>615000</v>
      </c>
      <c r="H533" s="394" t="s">
        <v>2084</v>
      </c>
      <c r="I533" s="1194"/>
    </row>
    <row r="534" spans="2:9" ht="14.45" customHeight="1">
      <c r="B534" s="278">
        <v>114</v>
      </c>
      <c r="C534" s="278" t="s">
        <v>462</v>
      </c>
      <c r="D534" s="278" t="s">
        <v>678</v>
      </c>
      <c r="E534" s="278" t="s">
        <v>3424</v>
      </c>
      <c r="F534" s="278" t="s">
        <v>3431</v>
      </c>
      <c r="G534" s="304">
        <v>350000</v>
      </c>
      <c r="H534" s="394" t="s">
        <v>2084</v>
      </c>
      <c r="I534" s="1194"/>
    </row>
    <row r="535" spans="2:9" ht="14.45" customHeight="1">
      <c r="B535" s="278">
        <v>114</v>
      </c>
      <c r="C535" s="278" t="s">
        <v>462</v>
      </c>
      <c r="D535" s="278" t="s">
        <v>678</v>
      </c>
      <c r="E535" s="278" t="s">
        <v>3424</v>
      </c>
      <c r="F535" s="278" t="s">
        <v>3432</v>
      </c>
      <c r="G535" s="304">
        <v>575000</v>
      </c>
      <c r="H535" s="394" t="s">
        <v>2084</v>
      </c>
      <c r="I535" s="1194"/>
    </row>
    <row r="536" spans="2:9" ht="14.45" customHeight="1">
      <c r="B536" s="278">
        <v>114</v>
      </c>
      <c r="C536" s="278" t="s">
        <v>462</v>
      </c>
      <c r="D536" s="278" t="s">
        <v>678</v>
      </c>
      <c r="E536" s="278" t="s">
        <v>3424</v>
      </c>
      <c r="F536" s="278" t="s">
        <v>3433</v>
      </c>
      <c r="G536" s="304">
        <v>470000</v>
      </c>
      <c r="H536" s="394" t="s">
        <v>2084</v>
      </c>
      <c r="I536" s="1194"/>
    </row>
    <row r="537" spans="2:9" ht="14.45" customHeight="1">
      <c r="B537" s="278">
        <v>114</v>
      </c>
      <c r="C537" s="278" t="s">
        <v>462</v>
      </c>
      <c r="D537" s="278" t="s">
        <v>678</v>
      </c>
      <c r="E537" s="278" t="s">
        <v>3424</v>
      </c>
      <c r="F537" s="278" t="s">
        <v>3434</v>
      </c>
      <c r="G537" s="304">
        <v>500000</v>
      </c>
      <c r="H537" s="394" t="s">
        <v>2084</v>
      </c>
      <c r="I537" s="1194"/>
    </row>
    <row r="538" spans="2:9" ht="14.45" customHeight="1">
      <c r="B538" s="278">
        <v>114</v>
      </c>
      <c r="C538" s="278" t="s">
        <v>462</v>
      </c>
      <c r="D538" s="278" t="s">
        <v>678</v>
      </c>
      <c r="E538" s="278" t="s">
        <v>3424</v>
      </c>
      <c r="F538" s="278" t="s">
        <v>3435</v>
      </c>
      <c r="G538" s="304">
        <v>800000</v>
      </c>
      <c r="H538" s="394" t="s">
        <v>2084</v>
      </c>
      <c r="I538" s="1194"/>
    </row>
    <row r="539" spans="2:9" ht="14.45" customHeight="1">
      <c r="B539" s="278">
        <v>114</v>
      </c>
      <c r="C539" s="278" t="s">
        <v>462</v>
      </c>
      <c r="D539" s="278" t="s">
        <v>678</v>
      </c>
      <c r="E539" s="278" t="s">
        <v>3424</v>
      </c>
      <c r="F539" s="278" t="s">
        <v>3436</v>
      </c>
      <c r="G539" s="304">
        <v>335000</v>
      </c>
      <c r="H539" s="394" t="s">
        <v>2084</v>
      </c>
      <c r="I539" s="1194"/>
    </row>
    <row r="540" spans="2:9" ht="14.45" customHeight="1">
      <c r="B540" s="278">
        <v>114</v>
      </c>
      <c r="C540" s="278" t="s">
        <v>462</v>
      </c>
      <c r="D540" s="278" t="s">
        <v>678</v>
      </c>
      <c r="E540" s="278" t="s">
        <v>3424</v>
      </c>
      <c r="F540" s="278" t="s">
        <v>3437</v>
      </c>
      <c r="G540" s="304">
        <v>225000</v>
      </c>
      <c r="H540" s="394" t="s">
        <v>2084</v>
      </c>
      <c r="I540" s="1194"/>
    </row>
    <row r="541" spans="2:9" ht="14.45" customHeight="1">
      <c r="B541" s="278">
        <v>114</v>
      </c>
      <c r="C541" s="278" t="s">
        <v>462</v>
      </c>
      <c r="D541" s="278" t="s">
        <v>678</v>
      </c>
      <c r="E541" s="278" t="s">
        <v>3424</v>
      </c>
      <c r="F541" s="278" t="s">
        <v>3438</v>
      </c>
      <c r="G541" s="304">
        <v>400000</v>
      </c>
      <c r="H541" s="394" t="s">
        <v>2084</v>
      </c>
      <c r="I541" s="1194"/>
    </row>
    <row r="542" spans="2:9" ht="14.45" customHeight="1">
      <c r="B542" s="278">
        <v>114</v>
      </c>
      <c r="C542" s="278" t="s">
        <v>462</v>
      </c>
      <c r="D542" s="278" t="s">
        <v>678</v>
      </c>
      <c r="E542" s="278" t="s">
        <v>3424</v>
      </c>
      <c r="F542" s="278" t="s">
        <v>3439</v>
      </c>
      <c r="G542" s="304">
        <v>550000</v>
      </c>
      <c r="H542" s="394" t="s">
        <v>2084</v>
      </c>
      <c r="I542" s="1194"/>
    </row>
    <row r="543" spans="2:9" ht="14.45" customHeight="1">
      <c r="B543" s="278">
        <v>114</v>
      </c>
      <c r="C543" s="278" t="s">
        <v>462</v>
      </c>
      <c r="D543" s="278" t="s">
        <v>678</v>
      </c>
      <c r="E543" s="278" t="s">
        <v>3424</v>
      </c>
      <c r="F543" s="278" t="s">
        <v>3440</v>
      </c>
      <c r="G543" s="304">
        <v>310000</v>
      </c>
      <c r="H543" s="394" t="s">
        <v>2084</v>
      </c>
      <c r="I543" s="1194"/>
    </row>
    <row r="544" spans="2:9" ht="14.45" customHeight="1">
      <c r="B544" s="278">
        <v>114</v>
      </c>
      <c r="C544" s="278" t="s">
        <v>462</v>
      </c>
      <c r="D544" s="278" t="s">
        <v>678</v>
      </c>
      <c r="E544" s="278" t="s">
        <v>3424</v>
      </c>
      <c r="F544" s="278" t="s">
        <v>3441</v>
      </c>
      <c r="G544" s="304">
        <v>370000</v>
      </c>
      <c r="H544" s="394" t="s">
        <v>2084</v>
      </c>
      <c r="I544" s="1194"/>
    </row>
    <row r="545" spans="2:9" ht="14.45" customHeight="1">
      <c r="B545" s="278">
        <v>114</v>
      </c>
      <c r="C545" s="278" t="s">
        <v>462</v>
      </c>
      <c r="D545" s="278" t="s">
        <v>678</v>
      </c>
      <c r="E545" s="278" t="s">
        <v>3424</v>
      </c>
      <c r="F545" s="278" t="s">
        <v>3442</v>
      </c>
      <c r="G545" s="304">
        <v>425000</v>
      </c>
      <c r="H545" s="394" t="s">
        <v>2084</v>
      </c>
      <c r="I545" s="1194"/>
    </row>
    <row r="546" spans="2:9" ht="14.45" customHeight="1">
      <c r="B546" s="278">
        <v>114</v>
      </c>
      <c r="C546" s="278" t="s">
        <v>462</v>
      </c>
      <c r="D546" s="278" t="s">
        <v>678</v>
      </c>
      <c r="E546" s="278" t="s">
        <v>3424</v>
      </c>
      <c r="F546" s="278" t="s">
        <v>3443</v>
      </c>
      <c r="G546" s="304">
        <v>600000</v>
      </c>
      <c r="H546" s="394" t="s">
        <v>2084</v>
      </c>
      <c r="I546" s="1194"/>
    </row>
    <row r="547" spans="2:9" ht="14.45" customHeight="1">
      <c r="B547" s="278">
        <v>114</v>
      </c>
      <c r="C547" s="278" t="s">
        <v>462</v>
      </c>
      <c r="D547" s="278" t="s">
        <v>678</v>
      </c>
      <c r="E547" s="278" t="s">
        <v>3424</v>
      </c>
      <c r="F547" s="278" t="s">
        <v>3444</v>
      </c>
      <c r="G547" s="304">
        <v>550000</v>
      </c>
      <c r="H547" s="394" t="s">
        <v>2084</v>
      </c>
      <c r="I547" s="1194"/>
    </row>
    <row r="548" spans="2:9" ht="14.45" customHeight="1">
      <c r="B548" s="278">
        <v>114</v>
      </c>
      <c r="C548" s="278" t="s">
        <v>462</v>
      </c>
      <c r="D548" s="278" t="s">
        <v>678</v>
      </c>
      <c r="E548" s="278" t="s">
        <v>3424</v>
      </c>
      <c r="F548" s="278" t="s">
        <v>3445</v>
      </c>
      <c r="G548" s="304">
        <v>550000</v>
      </c>
      <c r="H548" s="394" t="s">
        <v>2084</v>
      </c>
      <c r="I548" s="1194"/>
    </row>
    <row r="549" spans="2:9" ht="14.45" customHeight="1">
      <c r="B549" s="278">
        <v>114</v>
      </c>
      <c r="C549" s="278" t="s">
        <v>462</v>
      </c>
      <c r="D549" s="278" t="s">
        <v>679</v>
      </c>
      <c r="E549" s="278" t="s">
        <v>3446</v>
      </c>
      <c r="F549" s="278" t="s">
        <v>3447</v>
      </c>
      <c r="G549" s="304">
        <v>175000</v>
      </c>
      <c r="H549" s="394" t="s">
        <v>2084</v>
      </c>
      <c r="I549" s="1194"/>
    </row>
    <row r="550" spans="2:9" ht="14.45" customHeight="1">
      <c r="B550" s="278">
        <v>114</v>
      </c>
      <c r="C550" s="278" t="s">
        <v>462</v>
      </c>
      <c r="D550" s="278" t="s">
        <v>679</v>
      </c>
      <c r="E550" s="278" t="s">
        <v>3446</v>
      </c>
      <c r="F550" s="278" t="s">
        <v>3448</v>
      </c>
      <c r="G550" s="304">
        <v>180000</v>
      </c>
      <c r="H550" s="394" t="s">
        <v>2084</v>
      </c>
      <c r="I550" s="1194"/>
    </row>
    <row r="551" spans="2:9" ht="14.45" customHeight="1">
      <c r="B551" s="278">
        <v>114</v>
      </c>
      <c r="C551" s="278" t="s">
        <v>462</v>
      </c>
      <c r="D551" s="278" t="s">
        <v>679</v>
      </c>
      <c r="E551" s="278" t="s">
        <v>3446</v>
      </c>
      <c r="F551" s="278" t="s">
        <v>3449</v>
      </c>
      <c r="G551" s="304">
        <v>220000</v>
      </c>
      <c r="H551" s="394" t="s">
        <v>2084</v>
      </c>
      <c r="I551" s="1194"/>
    </row>
    <row r="552" spans="2:9" ht="14.45" customHeight="1">
      <c r="B552" s="278">
        <v>114</v>
      </c>
      <c r="C552" s="278" t="s">
        <v>462</v>
      </c>
      <c r="D552" s="278" t="s">
        <v>679</v>
      </c>
      <c r="E552" s="278" t="s">
        <v>3446</v>
      </c>
      <c r="F552" s="278" t="s">
        <v>3450</v>
      </c>
      <c r="G552" s="304">
        <v>180000</v>
      </c>
      <c r="H552" s="394" t="s">
        <v>2084</v>
      </c>
      <c r="I552" s="1194"/>
    </row>
    <row r="553" spans="2:9" ht="14.45" customHeight="1">
      <c r="B553" s="278">
        <v>114</v>
      </c>
      <c r="C553" s="278" t="s">
        <v>462</v>
      </c>
      <c r="D553" s="278" t="s">
        <v>679</v>
      </c>
      <c r="E553" s="278" t="s">
        <v>3446</v>
      </c>
      <c r="F553" s="278" t="s">
        <v>3451</v>
      </c>
      <c r="G553" s="304">
        <v>195000</v>
      </c>
      <c r="H553" s="394" t="s">
        <v>2084</v>
      </c>
      <c r="I553" s="1194"/>
    </row>
    <row r="554" spans="2:9" ht="14.45" customHeight="1">
      <c r="B554" s="278">
        <v>114</v>
      </c>
      <c r="C554" s="278" t="s">
        <v>462</v>
      </c>
      <c r="D554" s="278" t="s">
        <v>679</v>
      </c>
      <c r="E554" s="278" t="s">
        <v>3446</v>
      </c>
      <c r="F554" s="278" t="s">
        <v>3452</v>
      </c>
      <c r="G554" s="304">
        <v>250000</v>
      </c>
      <c r="H554" s="394" t="s">
        <v>2084</v>
      </c>
      <c r="I554" s="1194"/>
    </row>
    <row r="555" spans="2:9" ht="14.45" customHeight="1">
      <c r="B555" s="278">
        <v>114</v>
      </c>
      <c r="C555" s="278" t="s">
        <v>462</v>
      </c>
      <c r="D555" s="278" t="s">
        <v>679</v>
      </c>
      <c r="E555" s="278" t="s">
        <v>3446</v>
      </c>
      <c r="F555" s="278" t="s">
        <v>3453</v>
      </c>
      <c r="G555" s="304">
        <v>195000</v>
      </c>
      <c r="H555" s="394" t="s">
        <v>2084</v>
      </c>
      <c r="I555" s="1194"/>
    </row>
    <row r="556" spans="2:9" ht="14.45" customHeight="1">
      <c r="B556" s="278">
        <v>114</v>
      </c>
      <c r="C556" s="278" t="s">
        <v>462</v>
      </c>
      <c r="D556" s="278" t="s">
        <v>679</v>
      </c>
      <c r="E556" s="278" t="s">
        <v>3446</v>
      </c>
      <c r="F556" s="278" t="s">
        <v>3454</v>
      </c>
      <c r="G556" s="304">
        <v>135000</v>
      </c>
      <c r="H556" s="394" t="s">
        <v>2084</v>
      </c>
      <c r="I556" s="1194"/>
    </row>
    <row r="557" spans="2:9" ht="14.45" customHeight="1">
      <c r="B557" s="278">
        <v>114</v>
      </c>
      <c r="C557" s="278" t="s">
        <v>462</v>
      </c>
      <c r="D557" s="278" t="s">
        <v>679</v>
      </c>
      <c r="E557" s="278" t="s">
        <v>3446</v>
      </c>
      <c r="F557" s="278" t="s">
        <v>3455</v>
      </c>
      <c r="G557" s="304">
        <v>150000</v>
      </c>
      <c r="H557" s="394" t="s">
        <v>2084</v>
      </c>
      <c r="I557" s="1194"/>
    </row>
    <row r="558" spans="2:9" ht="14.45" customHeight="1">
      <c r="B558" s="278">
        <v>114</v>
      </c>
      <c r="C558" s="278" t="s">
        <v>462</v>
      </c>
      <c r="D558" s="278" t="s">
        <v>679</v>
      </c>
      <c r="E558" s="278" t="s">
        <v>3446</v>
      </c>
      <c r="F558" s="278" t="s">
        <v>3456</v>
      </c>
      <c r="G558" s="304">
        <v>210000</v>
      </c>
      <c r="H558" s="394" t="s">
        <v>2084</v>
      </c>
      <c r="I558" s="1194"/>
    </row>
    <row r="559" spans="2:9" ht="14.45" customHeight="1">
      <c r="B559" s="278">
        <v>114</v>
      </c>
      <c r="C559" s="278" t="s">
        <v>462</v>
      </c>
      <c r="D559" s="278" t="s">
        <v>679</v>
      </c>
      <c r="E559" s="278" t="s">
        <v>3446</v>
      </c>
      <c r="F559" s="278" t="s">
        <v>3457</v>
      </c>
      <c r="G559" s="304">
        <v>175000</v>
      </c>
      <c r="H559" s="394" t="s">
        <v>2084</v>
      </c>
      <c r="I559" s="1194"/>
    </row>
    <row r="560" spans="2:9" ht="14.45" customHeight="1">
      <c r="B560" s="278">
        <v>114</v>
      </c>
      <c r="C560" s="278" t="s">
        <v>462</v>
      </c>
      <c r="D560" s="278" t="s">
        <v>679</v>
      </c>
      <c r="E560" s="278" t="s">
        <v>3446</v>
      </c>
      <c r="F560" s="278" t="s">
        <v>3458</v>
      </c>
      <c r="G560" s="304">
        <v>220000</v>
      </c>
      <c r="H560" s="394" t="s">
        <v>2084</v>
      </c>
      <c r="I560" s="1194"/>
    </row>
    <row r="561" spans="2:9" ht="14.45" customHeight="1">
      <c r="B561" s="278">
        <v>114</v>
      </c>
      <c r="C561" s="278" t="s">
        <v>462</v>
      </c>
      <c r="D561" s="278" t="s">
        <v>680</v>
      </c>
      <c r="E561" s="278" t="s">
        <v>3459</v>
      </c>
      <c r="F561" s="278" t="s">
        <v>3460</v>
      </c>
      <c r="G561" s="304">
        <v>150000</v>
      </c>
      <c r="H561" s="394" t="s">
        <v>2084</v>
      </c>
      <c r="I561" s="1194"/>
    </row>
    <row r="562" spans="2:9" ht="14.45" customHeight="1">
      <c r="B562" s="278">
        <v>114</v>
      </c>
      <c r="C562" s="278" t="s">
        <v>462</v>
      </c>
      <c r="D562" s="278" t="s">
        <v>680</v>
      </c>
      <c r="E562" s="278" t="s">
        <v>3459</v>
      </c>
      <c r="F562" s="278" t="s">
        <v>3461</v>
      </c>
      <c r="G562" s="304">
        <v>275000</v>
      </c>
      <c r="H562" s="394" t="s">
        <v>2084</v>
      </c>
      <c r="I562" s="1194"/>
    </row>
    <row r="563" spans="2:9" ht="14.45" customHeight="1">
      <c r="B563" s="278">
        <v>114</v>
      </c>
      <c r="C563" s="278" t="s">
        <v>462</v>
      </c>
      <c r="D563" s="278" t="s">
        <v>680</v>
      </c>
      <c r="E563" s="278" t="s">
        <v>3459</v>
      </c>
      <c r="F563" s="278" t="s">
        <v>3462</v>
      </c>
      <c r="G563" s="304">
        <v>500000</v>
      </c>
      <c r="H563" s="394" t="s">
        <v>2084</v>
      </c>
      <c r="I563" s="1194"/>
    </row>
    <row r="564" spans="2:9" ht="14.45" customHeight="1">
      <c r="B564" s="278">
        <v>114</v>
      </c>
      <c r="C564" s="278" t="s">
        <v>462</v>
      </c>
      <c r="D564" s="278" t="s">
        <v>680</v>
      </c>
      <c r="E564" s="278" t="s">
        <v>3459</v>
      </c>
      <c r="F564" s="278" t="s">
        <v>3463</v>
      </c>
      <c r="G564" s="304">
        <v>400000</v>
      </c>
      <c r="H564" s="394" t="s">
        <v>2084</v>
      </c>
      <c r="I564" s="1194"/>
    </row>
    <row r="565" spans="2:9" ht="14.45" customHeight="1">
      <c r="B565" s="278">
        <v>114</v>
      </c>
      <c r="C565" s="278" t="s">
        <v>462</v>
      </c>
      <c r="D565" s="278" t="s">
        <v>680</v>
      </c>
      <c r="E565" s="278" t="s">
        <v>3459</v>
      </c>
      <c r="F565" s="278" t="s">
        <v>3464</v>
      </c>
      <c r="G565" s="304">
        <v>575000</v>
      </c>
      <c r="H565" s="394" t="s">
        <v>2084</v>
      </c>
      <c r="I565" s="1194"/>
    </row>
    <row r="566" spans="2:9" ht="14.45" customHeight="1">
      <c r="B566" s="278">
        <v>114</v>
      </c>
      <c r="C566" s="278" t="s">
        <v>462</v>
      </c>
      <c r="D566" s="278" t="s">
        <v>680</v>
      </c>
      <c r="E566" s="278" t="s">
        <v>3459</v>
      </c>
      <c r="F566" s="278" t="s">
        <v>3465</v>
      </c>
      <c r="G566" s="304">
        <v>450000</v>
      </c>
      <c r="H566" s="394" t="s">
        <v>2084</v>
      </c>
      <c r="I566" s="1194"/>
    </row>
    <row r="567" spans="2:9" ht="14.45" customHeight="1">
      <c r="B567" s="278">
        <v>114</v>
      </c>
      <c r="C567" s="278" t="s">
        <v>462</v>
      </c>
      <c r="D567" s="278" t="s">
        <v>680</v>
      </c>
      <c r="E567" s="278" t="s">
        <v>3459</v>
      </c>
      <c r="F567" s="278" t="s">
        <v>3466</v>
      </c>
      <c r="G567" s="304">
        <v>600000</v>
      </c>
      <c r="H567" s="394" t="s">
        <v>2084</v>
      </c>
      <c r="I567" s="1194"/>
    </row>
    <row r="568" spans="2:9" ht="14.45" customHeight="1">
      <c r="B568" s="278">
        <v>114</v>
      </c>
      <c r="C568" s="278" t="s">
        <v>462</v>
      </c>
      <c r="D568" s="278" t="s">
        <v>680</v>
      </c>
      <c r="E568" s="278" t="s">
        <v>3459</v>
      </c>
      <c r="F568" s="278" t="s">
        <v>3467</v>
      </c>
      <c r="G568" s="304">
        <v>400000</v>
      </c>
      <c r="H568" s="394" t="s">
        <v>2084</v>
      </c>
      <c r="I568" s="1194"/>
    </row>
    <row r="569" spans="2:9" ht="14.45" customHeight="1">
      <c r="B569" s="278">
        <v>114</v>
      </c>
      <c r="C569" s="278" t="s">
        <v>462</v>
      </c>
      <c r="D569" s="278" t="s">
        <v>680</v>
      </c>
      <c r="E569" s="278" t="s">
        <v>3459</v>
      </c>
      <c r="F569" s="278" t="s">
        <v>3468</v>
      </c>
      <c r="G569" s="304">
        <v>425000</v>
      </c>
      <c r="H569" s="394" t="s">
        <v>2084</v>
      </c>
      <c r="I569" s="1194"/>
    </row>
    <row r="570" spans="2:9" ht="14.45" customHeight="1">
      <c r="B570" s="278">
        <v>114</v>
      </c>
      <c r="C570" s="278" t="s">
        <v>462</v>
      </c>
      <c r="D570" s="278" t="s">
        <v>680</v>
      </c>
      <c r="E570" s="278" t="s">
        <v>3459</v>
      </c>
      <c r="F570" s="278" t="s">
        <v>3469</v>
      </c>
      <c r="G570" s="304">
        <v>325000</v>
      </c>
      <c r="H570" s="394" t="s">
        <v>2084</v>
      </c>
      <c r="I570" s="1194"/>
    </row>
    <row r="571" spans="2:9" ht="14.45" customHeight="1">
      <c r="B571" s="278">
        <v>114</v>
      </c>
      <c r="C571" s="278" t="s">
        <v>462</v>
      </c>
      <c r="D571" s="278" t="s">
        <v>680</v>
      </c>
      <c r="E571" s="278" t="s">
        <v>3459</v>
      </c>
      <c r="F571" s="278" t="s">
        <v>3470</v>
      </c>
      <c r="G571" s="304">
        <v>600000</v>
      </c>
      <c r="H571" s="394" t="s">
        <v>2084</v>
      </c>
      <c r="I571" s="1194"/>
    </row>
    <row r="572" spans="2:9" ht="14.45" customHeight="1">
      <c r="B572" s="278">
        <v>114</v>
      </c>
      <c r="C572" s="278" t="s">
        <v>462</v>
      </c>
      <c r="D572" s="278" t="s">
        <v>680</v>
      </c>
      <c r="E572" s="278" t="s">
        <v>3459</v>
      </c>
      <c r="F572" s="278" t="s">
        <v>3471</v>
      </c>
      <c r="G572" s="304">
        <v>150000</v>
      </c>
      <c r="H572" s="394" t="s">
        <v>2084</v>
      </c>
      <c r="I572" s="1194"/>
    </row>
    <row r="573" spans="2:9" ht="14.45" customHeight="1">
      <c r="B573" s="278">
        <v>114</v>
      </c>
      <c r="C573" s="278" t="s">
        <v>462</v>
      </c>
      <c r="D573" s="278" t="s">
        <v>680</v>
      </c>
      <c r="E573" s="278" t="s">
        <v>3459</v>
      </c>
      <c r="F573" s="278" t="s">
        <v>3472</v>
      </c>
      <c r="G573" s="304">
        <v>300000</v>
      </c>
      <c r="H573" s="394" t="s">
        <v>2084</v>
      </c>
      <c r="I573" s="1194"/>
    </row>
    <row r="574" spans="2:9" ht="14.45" customHeight="1">
      <c r="B574" s="278">
        <v>114</v>
      </c>
      <c r="C574" s="278" t="s">
        <v>462</v>
      </c>
      <c r="D574" s="278" t="s">
        <v>680</v>
      </c>
      <c r="E574" s="278" t="s">
        <v>3459</v>
      </c>
      <c r="F574" s="278" t="s">
        <v>3473</v>
      </c>
      <c r="G574" s="304">
        <v>400000</v>
      </c>
      <c r="H574" s="394" t="s">
        <v>2084</v>
      </c>
      <c r="I574" s="1194"/>
    </row>
    <row r="575" spans="2:9" ht="14.45" customHeight="1">
      <c r="B575" s="278">
        <v>114</v>
      </c>
      <c r="C575" s="278" t="s">
        <v>462</v>
      </c>
      <c r="D575" s="278" t="s">
        <v>680</v>
      </c>
      <c r="E575" s="278" t="s">
        <v>3459</v>
      </c>
      <c r="F575" s="278" t="s">
        <v>3474</v>
      </c>
      <c r="G575" s="304">
        <v>290000</v>
      </c>
      <c r="H575" s="394" t="s">
        <v>2084</v>
      </c>
      <c r="I575" s="1194"/>
    </row>
    <row r="576" spans="2:9" ht="14.45" customHeight="1">
      <c r="B576" s="278">
        <v>114</v>
      </c>
      <c r="C576" s="278" t="s">
        <v>462</v>
      </c>
      <c r="D576" s="278" t="s">
        <v>680</v>
      </c>
      <c r="E576" s="278" t="s">
        <v>3459</v>
      </c>
      <c r="F576" s="278" t="s">
        <v>3475</v>
      </c>
      <c r="G576" s="304">
        <v>475000</v>
      </c>
      <c r="H576" s="394" t="s">
        <v>2084</v>
      </c>
      <c r="I576" s="1194"/>
    </row>
    <row r="577" spans="2:9" ht="14.45" customHeight="1">
      <c r="B577" s="278">
        <v>114</v>
      </c>
      <c r="C577" s="278" t="s">
        <v>462</v>
      </c>
      <c r="D577" s="278" t="s">
        <v>680</v>
      </c>
      <c r="E577" s="278" t="s">
        <v>3459</v>
      </c>
      <c r="F577" s="278" t="s">
        <v>3476</v>
      </c>
      <c r="G577" s="304">
        <v>440000</v>
      </c>
      <c r="H577" s="394" t="s">
        <v>2084</v>
      </c>
      <c r="I577" s="1194"/>
    </row>
    <row r="578" spans="2:9" ht="14.45" customHeight="1">
      <c r="B578" s="278">
        <v>114</v>
      </c>
      <c r="C578" s="278" t="s">
        <v>462</v>
      </c>
      <c r="D578" s="278" t="s">
        <v>680</v>
      </c>
      <c r="E578" s="278" t="s">
        <v>3459</v>
      </c>
      <c r="F578" s="278" t="s">
        <v>3477</v>
      </c>
      <c r="G578" s="304">
        <v>525000</v>
      </c>
      <c r="H578" s="394" t="s">
        <v>2084</v>
      </c>
      <c r="I578" s="1194"/>
    </row>
    <row r="579" spans="2:9" ht="14.45" customHeight="1">
      <c r="B579" s="278">
        <v>114</v>
      </c>
      <c r="C579" s="278" t="s">
        <v>462</v>
      </c>
      <c r="D579" s="278" t="s">
        <v>680</v>
      </c>
      <c r="E579" s="278" t="s">
        <v>3459</v>
      </c>
      <c r="F579" s="278" t="s">
        <v>3478</v>
      </c>
      <c r="G579" s="304">
        <v>440000</v>
      </c>
      <c r="H579" s="394" t="s">
        <v>2084</v>
      </c>
      <c r="I579" s="1194"/>
    </row>
    <row r="580" spans="2:9" ht="14.45" customHeight="1">
      <c r="B580" s="278">
        <v>114</v>
      </c>
      <c r="C580" s="278" t="s">
        <v>462</v>
      </c>
      <c r="D580" s="278" t="s">
        <v>680</v>
      </c>
      <c r="E580" s="278" t="s">
        <v>3459</v>
      </c>
      <c r="F580" s="278" t="s">
        <v>3479</v>
      </c>
      <c r="G580" s="304">
        <v>675000</v>
      </c>
      <c r="H580" s="394" t="s">
        <v>2084</v>
      </c>
      <c r="I580" s="1194"/>
    </row>
    <row r="581" spans="2:9" ht="14.45" customHeight="1">
      <c r="B581" s="278">
        <v>114</v>
      </c>
      <c r="C581" s="278" t="s">
        <v>462</v>
      </c>
      <c r="D581" s="278" t="s">
        <v>680</v>
      </c>
      <c r="E581" s="278" t="s">
        <v>3459</v>
      </c>
      <c r="F581" s="278" t="s">
        <v>3480</v>
      </c>
      <c r="G581" s="304">
        <v>525000</v>
      </c>
      <c r="H581" s="394" t="s">
        <v>2084</v>
      </c>
      <c r="I581" s="1194"/>
    </row>
    <row r="582" spans="2:9" ht="14.45" customHeight="1">
      <c r="B582" s="278">
        <v>114</v>
      </c>
      <c r="C582" s="278" t="s">
        <v>462</v>
      </c>
      <c r="D582" s="278" t="s">
        <v>680</v>
      </c>
      <c r="E582" s="278" t="s">
        <v>3459</v>
      </c>
      <c r="F582" s="278" t="s">
        <v>3481</v>
      </c>
      <c r="G582" s="304">
        <v>425000</v>
      </c>
      <c r="H582" s="394" t="s">
        <v>2084</v>
      </c>
      <c r="I582" s="1194"/>
    </row>
    <row r="583" spans="2:9" ht="14.45" customHeight="1">
      <c r="B583" s="278">
        <v>114</v>
      </c>
      <c r="C583" s="278" t="s">
        <v>462</v>
      </c>
      <c r="D583" s="278" t="s">
        <v>680</v>
      </c>
      <c r="E583" s="278" t="s">
        <v>3459</v>
      </c>
      <c r="F583" s="278" t="s">
        <v>3482</v>
      </c>
      <c r="G583" s="304">
        <v>600000</v>
      </c>
      <c r="H583" s="394" t="s">
        <v>2084</v>
      </c>
      <c r="I583" s="1194"/>
    </row>
    <row r="584" spans="2:9" ht="14.45" customHeight="1">
      <c r="B584" s="278">
        <v>114</v>
      </c>
      <c r="C584" s="278" t="s">
        <v>462</v>
      </c>
      <c r="D584" s="278" t="s">
        <v>680</v>
      </c>
      <c r="E584" s="278" t="s">
        <v>3459</v>
      </c>
      <c r="F584" s="278" t="s">
        <v>3483</v>
      </c>
      <c r="G584" s="304">
        <v>550000</v>
      </c>
      <c r="H584" s="394" t="s">
        <v>2084</v>
      </c>
      <c r="I584" s="1194"/>
    </row>
    <row r="585" spans="2:9" ht="14.45" customHeight="1">
      <c r="B585" s="278">
        <v>114</v>
      </c>
      <c r="C585" s="278" t="s">
        <v>462</v>
      </c>
      <c r="D585" s="278" t="s">
        <v>680</v>
      </c>
      <c r="E585" s="278" t="s">
        <v>3459</v>
      </c>
      <c r="F585" s="278" t="s">
        <v>3484</v>
      </c>
      <c r="G585" s="304">
        <v>525000</v>
      </c>
      <c r="H585" s="394" t="s">
        <v>2084</v>
      </c>
      <c r="I585" s="1194"/>
    </row>
    <row r="586" spans="2:9" ht="14.45" customHeight="1">
      <c r="B586" s="278">
        <v>114</v>
      </c>
      <c r="C586" s="278" t="s">
        <v>462</v>
      </c>
      <c r="D586" s="278" t="s">
        <v>680</v>
      </c>
      <c r="E586" s="278" t="s">
        <v>3459</v>
      </c>
      <c r="F586" s="278" t="s">
        <v>3485</v>
      </c>
      <c r="G586" s="304">
        <v>500000</v>
      </c>
      <c r="H586" s="394" t="s">
        <v>2084</v>
      </c>
      <c r="I586" s="1194"/>
    </row>
    <row r="587" spans="2:9" ht="14.45" customHeight="1">
      <c r="B587" s="278">
        <v>114</v>
      </c>
      <c r="C587" s="278" t="s">
        <v>462</v>
      </c>
      <c r="D587" s="278" t="s">
        <v>680</v>
      </c>
      <c r="E587" s="278" t="s">
        <v>3459</v>
      </c>
      <c r="F587" s="278" t="s">
        <v>3486</v>
      </c>
      <c r="G587" s="304">
        <v>550000</v>
      </c>
      <c r="H587" s="394" t="s">
        <v>2084</v>
      </c>
      <c r="I587" s="1194"/>
    </row>
    <row r="588" spans="2:9" ht="14.45" customHeight="1">
      <c r="B588" s="278">
        <v>114</v>
      </c>
      <c r="C588" s="278" t="s">
        <v>462</v>
      </c>
      <c r="D588" s="278" t="s">
        <v>680</v>
      </c>
      <c r="E588" s="278" t="s">
        <v>3459</v>
      </c>
      <c r="F588" s="278" t="s">
        <v>3487</v>
      </c>
      <c r="G588" s="304">
        <v>370000</v>
      </c>
      <c r="H588" s="394" t="s">
        <v>2084</v>
      </c>
      <c r="I588" s="1194"/>
    </row>
    <row r="589" spans="2:9" ht="14.45" customHeight="1">
      <c r="B589" s="278">
        <v>114</v>
      </c>
      <c r="C589" s="278" t="s">
        <v>462</v>
      </c>
      <c r="D589" s="278" t="s">
        <v>680</v>
      </c>
      <c r="E589" s="278" t="s">
        <v>3459</v>
      </c>
      <c r="F589" s="278" t="s">
        <v>3488</v>
      </c>
      <c r="G589" s="304">
        <v>500000</v>
      </c>
      <c r="H589" s="394" t="s">
        <v>2084</v>
      </c>
      <c r="I589" s="1194"/>
    </row>
    <row r="590" spans="2:9" ht="14.45" customHeight="1">
      <c r="B590" s="278">
        <v>114</v>
      </c>
      <c r="C590" s="278" t="s">
        <v>462</v>
      </c>
      <c r="D590" s="278" t="s">
        <v>680</v>
      </c>
      <c r="E590" s="278" t="s">
        <v>3459</v>
      </c>
      <c r="F590" s="278" t="s">
        <v>3489</v>
      </c>
      <c r="G590" s="304">
        <v>600000</v>
      </c>
      <c r="H590" s="394" t="s">
        <v>2084</v>
      </c>
      <c r="I590" s="1194"/>
    </row>
    <row r="591" spans="2:9" ht="14.45" customHeight="1">
      <c r="B591" s="278">
        <v>114</v>
      </c>
      <c r="C591" s="278" t="s">
        <v>462</v>
      </c>
      <c r="D591" s="278" t="s">
        <v>680</v>
      </c>
      <c r="E591" s="278" t="s">
        <v>3459</v>
      </c>
      <c r="F591" s="278" t="s">
        <v>3490</v>
      </c>
      <c r="G591" s="304">
        <v>310000</v>
      </c>
      <c r="H591" s="394" t="s">
        <v>2084</v>
      </c>
      <c r="I591" s="1194"/>
    </row>
    <row r="592" spans="2:9" ht="14.45" customHeight="1">
      <c r="B592" s="278">
        <v>114</v>
      </c>
      <c r="C592" s="278" t="s">
        <v>462</v>
      </c>
      <c r="D592" s="278" t="s">
        <v>680</v>
      </c>
      <c r="E592" s="278" t="s">
        <v>3459</v>
      </c>
      <c r="F592" s="278" t="s">
        <v>3491</v>
      </c>
      <c r="G592" s="304">
        <v>575000</v>
      </c>
      <c r="H592" s="394" t="s">
        <v>2084</v>
      </c>
      <c r="I592" s="1194"/>
    </row>
    <row r="593" spans="2:9" ht="14.45" customHeight="1">
      <c r="B593" s="278">
        <v>114</v>
      </c>
      <c r="C593" s="278" t="s">
        <v>462</v>
      </c>
      <c r="D593" s="278" t="s">
        <v>680</v>
      </c>
      <c r="E593" s="278" t="s">
        <v>3459</v>
      </c>
      <c r="F593" s="278" t="s">
        <v>3492</v>
      </c>
      <c r="G593" s="304">
        <v>525000</v>
      </c>
      <c r="H593" s="394" t="s">
        <v>2084</v>
      </c>
      <c r="I593" s="1194"/>
    </row>
    <row r="594" spans="2:9" ht="14.45" customHeight="1">
      <c r="B594" s="278">
        <v>114</v>
      </c>
      <c r="C594" s="278" t="s">
        <v>462</v>
      </c>
      <c r="D594" s="278" t="s">
        <v>680</v>
      </c>
      <c r="E594" s="278" t="s">
        <v>3459</v>
      </c>
      <c r="F594" s="278" t="s">
        <v>3493</v>
      </c>
      <c r="G594" s="304">
        <v>850000</v>
      </c>
      <c r="H594" s="394" t="s">
        <v>2084</v>
      </c>
      <c r="I594" s="1194"/>
    </row>
    <row r="595" spans="2:9" ht="14.45" customHeight="1">
      <c r="B595" s="278">
        <v>114</v>
      </c>
      <c r="C595" s="278" t="s">
        <v>462</v>
      </c>
      <c r="D595" s="278" t="s">
        <v>680</v>
      </c>
      <c r="E595" s="278" t="s">
        <v>3459</v>
      </c>
      <c r="F595" s="278" t="s">
        <v>3494</v>
      </c>
      <c r="G595" s="304">
        <v>800000</v>
      </c>
      <c r="H595" s="394" t="s">
        <v>2084</v>
      </c>
      <c r="I595" s="1194"/>
    </row>
    <row r="596" spans="2:9" ht="14.45" customHeight="1">
      <c r="B596" s="278">
        <v>114</v>
      </c>
      <c r="C596" s="278" t="s">
        <v>462</v>
      </c>
      <c r="D596" s="278" t="s">
        <v>680</v>
      </c>
      <c r="E596" s="278" t="s">
        <v>3459</v>
      </c>
      <c r="F596" s="278" t="s">
        <v>3495</v>
      </c>
      <c r="G596" s="304">
        <v>395000</v>
      </c>
      <c r="H596" s="394" t="s">
        <v>2084</v>
      </c>
      <c r="I596" s="1194"/>
    </row>
    <row r="597" spans="2:9" ht="14.45" customHeight="1">
      <c r="B597" s="278">
        <v>114</v>
      </c>
      <c r="C597" s="278" t="s">
        <v>462</v>
      </c>
      <c r="D597" s="278" t="s">
        <v>680</v>
      </c>
      <c r="E597" s="278" t="s">
        <v>3459</v>
      </c>
      <c r="F597" s="278" t="s">
        <v>3496</v>
      </c>
      <c r="G597" s="304">
        <v>500000</v>
      </c>
      <c r="H597" s="394" t="s">
        <v>2084</v>
      </c>
      <c r="I597" s="1194"/>
    </row>
    <row r="598" spans="2:9" ht="14.45" customHeight="1">
      <c r="B598" s="278">
        <v>114</v>
      </c>
      <c r="C598" s="278" t="s">
        <v>462</v>
      </c>
      <c r="D598" s="278" t="s">
        <v>680</v>
      </c>
      <c r="E598" s="278" t="s">
        <v>3459</v>
      </c>
      <c r="F598" s="278" t="s">
        <v>3497</v>
      </c>
      <c r="G598" s="304">
        <v>325000</v>
      </c>
      <c r="H598" s="394" t="s">
        <v>2084</v>
      </c>
      <c r="I598" s="1194"/>
    </row>
    <row r="599" spans="2:9" ht="14.45" customHeight="1">
      <c r="B599" s="278">
        <v>114</v>
      </c>
      <c r="C599" s="278" t="s">
        <v>462</v>
      </c>
      <c r="D599" s="278" t="s">
        <v>680</v>
      </c>
      <c r="E599" s="278" t="s">
        <v>3459</v>
      </c>
      <c r="F599" s="278" t="s">
        <v>3498</v>
      </c>
      <c r="G599" s="304">
        <v>400000</v>
      </c>
      <c r="H599" s="394" t="s">
        <v>2084</v>
      </c>
      <c r="I599" s="1194"/>
    </row>
    <row r="600" spans="2:9" ht="14.45" customHeight="1">
      <c r="B600" s="278">
        <v>114</v>
      </c>
      <c r="C600" s="278" t="s">
        <v>462</v>
      </c>
      <c r="D600" s="278" t="s">
        <v>681</v>
      </c>
      <c r="E600" s="278" t="s">
        <v>3499</v>
      </c>
      <c r="F600" s="278" t="s">
        <v>3500</v>
      </c>
      <c r="G600" s="304">
        <v>1450000</v>
      </c>
      <c r="H600" s="394" t="s">
        <v>2084</v>
      </c>
      <c r="I600" s="1194"/>
    </row>
    <row r="601" spans="2:9" ht="14.45" customHeight="1">
      <c r="B601" s="278">
        <v>114</v>
      </c>
      <c r="C601" s="278" t="s">
        <v>462</v>
      </c>
      <c r="D601" s="278" t="s">
        <v>681</v>
      </c>
      <c r="E601" s="278" t="s">
        <v>3499</v>
      </c>
      <c r="F601" s="278" t="s">
        <v>3501</v>
      </c>
      <c r="G601" s="304">
        <v>1450000</v>
      </c>
      <c r="H601" s="394" t="s">
        <v>2084</v>
      </c>
      <c r="I601" s="1194"/>
    </row>
    <row r="602" spans="2:9" ht="14.45" customHeight="1">
      <c r="B602" s="278">
        <v>114</v>
      </c>
      <c r="C602" s="278" t="s">
        <v>462</v>
      </c>
      <c r="D602" s="278" t="s">
        <v>681</v>
      </c>
      <c r="E602" s="278" t="s">
        <v>3499</v>
      </c>
      <c r="F602" s="278" t="s">
        <v>3502</v>
      </c>
      <c r="G602" s="304">
        <v>1100000</v>
      </c>
      <c r="H602" s="394" t="s">
        <v>2084</v>
      </c>
      <c r="I602" s="1194"/>
    </row>
    <row r="603" spans="2:9" ht="14.45" customHeight="1">
      <c r="B603" s="278">
        <v>114</v>
      </c>
      <c r="C603" s="278" t="s">
        <v>462</v>
      </c>
      <c r="D603" s="278" t="s">
        <v>681</v>
      </c>
      <c r="E603" s="278" t="s">
        <v>3499</v>
      </c>
      <c r="F603" s="278" t="s">
        <v>3503</v>
      </c>
      <c r="G603" s="304">
        <v>900000</v>
      </c>
      <c r="H603" s="394" t="s">
        <v>2084</v>
      </c>
      <c r="I603" s="1194"/>
    </row>
    <row r="604" spans="2:9" ht="14.45" customHeight="1">
      <c r="B604" s="278">
        <v>114</v>
      </c>
      <c r="C604" s="278" t="s">
        <v>462</v>
      </c>
      <c r="D604" s="278" t="s">
        <v>681</v>
      </c>
      <c r="E604" s="278" t="s">
        <v>3499</v>
      </c>
      <c r="F604" s="278" t="s">
        <v>3504</v>
      </c>
      <c r="G604" s="304">
        <v>1700000</v>
      </c>
      <c r="H604" s="394" t="s">
        <v>2084</v>
      </c>
      <c r="I604" s="1194"/>
    </row>
    <row r="605" spans="2:9" ht="14.45" customHeight="1">
      <c r="B605" s="278">
        <v>114</v>
      </c>
      <c r="C605" s="278" t="s">
        <v>462</v>
      </c>
      <c r="D605" s="278" t="s">
        <v>681</v>
      </c>
      <c r="E605" s="278" t="s">
        <v>3499</v>
      </c>
      <c r="F605" s="278" t="s">
        <v>3505</v>
      </c>
      <c r="G605" s="304">
        <v>1900000</v>
      </c>
      <c r="H605" s="394" t="s">
        <v>2084</v>
      </c>
      <c r="I605" s="1194"/>
    </row>
    <row r="606" spans="2:9" ht="14.45" customHeight="1">
      <c r="B606" s="278">
        <v>114</v>
      </c>
      <c r="C606" s="278" t="s">
        <v>462</v>
      </c>
      <c r="D606" s="278" t="s">
        <v>681</v>
      </c>
      <c r="E606" s="278" t="s">
        <v>3499</v>
      </c>
      <c r="F606" s="278" t="s">
        <v>3506</v>
      </c>
      <c r="G606" s="304">
        <v>1750000</v>
      </c>
      <c r="H606" s="394" t="s">
        <v>2084</v>
      </c>
      <c r="I606" s="1194"/>
    </row>
    <row r="607" spans="2:9" ht="14.45" customHeight="1">
      <c r="B607" s="278">
        <v>114</v>
      </c>
      <c r="C607" s="278" t="s">
        <v>462</v>
      </c>
      <c r="D607" s="278" t="s">
        <v>681</v>
      </c>
      <c r="E607" s="278" t="s">
        <v>3499</v>
      </c>
      <c r="F607" s="278" t="s">
        <v>3507</v>
      </c>
      <c r="G607" s="304">
        <v>1000000</v>
      </c>
      <c r="H607" s="394" t="s">
        <v>2084</v>
      </c>
      <c r="I607" s="1194"/>
    </row>
    <row r="608" spans="2:9" ht="14.45" customHeight="1">
      <c r="B608" s="278">
        <v>114</v>
      </c>
      <c r="C608" s="278" t="s">
        <v>462</v>
      </c>
      <c r="D608" s="278" t="s">
        <v>681</v>
      </c>
      <c r="E608" s="278" t="s">
        <v>3499</v>
      </c>
      <c r="F608" s="278" t="s">
        <v>3508</v>
      </c>
      <c r="G608" s="304">
        <v>1250000</v>
      </c>
      <c r="H608" s="394" t="s">
        <v>2084</v>
      </c>
      <c r="I608" s="1194"/>
    </row>
    <row r="609" spans="2:9" ht="14.45" customHeight="1">
      <c r="B609" s="278">
        <v>114</v>
      </c>
      <c r="C609" s="278" t="s">
        <v>462</v>
      </c>
      <c r="D609" s="278" t="s">
        <v>681</v>
      </c>
      <c r="E609" s="278" t="s">
        <v>3499</v>
      </c>
      <c r="F609" s="278" t="s">
        <v>3509</v>
      </c>
      <c r="G609" s="304">
        <v>1550000</v>
      </c>
      <c r="H609" s="394" t="s">
        <v>2084</v>
      </c>
      <c r="I609" s="1194"/>
    </row>
    <row r="610" spans="2:9" ht="14.45" customHeight="1">
      <c r="B610" s="278">
        <v>114</v>
      </c>
      <c r="C610" s="278" t="s">
        <v>462</v>
      </c>
      <c r="D610" s="278" t="s">
        <v>681</v>
      </c>
      <c r="E610" s="278" t="s">
        <v>3499</v>
      </c>
      <c r="F610" s="278" t="s">
        <v>3510</v>
      </c>
      <c r="G610" s="304">
        <v>925000</v>
      </c>
      <c r="H610" s="394" t="s">
        <v>2084</v>
      </c>
      <c r="I610" s="1194"/>
    </row>
    <row r="611" spans="2:9" ht="14.45" customHeight="1">
      <c r="B611" s="278">
        <v>114</v>
      </c>
      <c r="C611" s="278" t="s">
        <v>462</v>
      </c>
      <c r="D611" s="278" t="s">
        <v>681</v>
      </c>
      <c r="E611" s="278" t="s">
        <v>3499</v>
      </c>
      <c r="F611" s="278" t="s">
        <v>3511</v>
      </c>
      <c r="G611" s="304">
        <v>2300000</v>
      </c>
      <c r="H611" s="394" t="s">
        <v>2084</v>
      </c>
      <c r="I611" s="1194"/>
    </row>
    <row r="612" spans="2:9" ht="14.45" customHeight="1">
      <c r="B612" s="278">
        <v>114</v>
      </c>
      <c r="C612" s="278" t="s">
        <v>462</v>
      </c>
      <c r="D612" s="278" t="s">
        <v>681</v>
      </c>
      <c r="E612" s="278" t="s">
        <v>3499</v>
      </c>
      <c r="F612" s="278" t="s">
        <v>3512</v>
      </c>
      <c r="G612" s="304">
        <v>2000000</v>
      </c>
      <c r="H612" s="394" t="s">
        <v>2084</v>
      </c>
      <c r="I612" s="1194"/>
    </row>
    <row r="613" spans="2:9" ht="14.45" customHeight="1">
      <c r="B613" s="278">
        <v>114</v>
      </c>
      <c r="C613" s="278" t="s">
        <v>462</v>
      </c>
      <c r="D613" s="278" t="s">
        <v>681</v>
      </c>
      <c r="E613" s="278" t="s">
        <v>3499</v>
      </c>
      <c r="F613" s="278" t="s">
        <v>3513</v>
      </c>
      <c r="G613" s="304">
        <v>500000</v>
      </c>
      <c r="H613" s="394" t="s">
        <v>2084</v>
      </c>
      <c r="I613" s="1194"/>
    </row>
    <row r="614" spans="2:9" ht="14.45" customHeight="1">
      <c r="B614" s="278">
        <v>114</v>
      </c>
      <c r="C614" s="278" t="s">
        <v>462</v>
      </c>
      <c r="D614" s="278" t="s">
        <v>681</v>
      </c>
      <c r="E614" s="278" t="s">
        <v>3499</v>
      </c>
      <c r="F614" s="278" t="s">
        <v>3514</v>
      </c>
      <c r="G614" s="304">
        <v>1450000</v>
      </c>
      <c r="H614" s="394" t="s">
        <v>2084</v>
      </c>
      <c r="I614" s="1194"/>
    </row>
    <row r="615" spans="2:9" ht="14.45" customHeight="1">
      <c r="B615" s="278">
        <v>114</v>
      </c>
      <c r="C615" s="278" t="s">
        <v>462</v>
      </c>
      <c r="D615" s="278" t="s">
        <v>681</v>
      </c>
      <c r="E615" s="278" t="s">
        <v>3499</v>
      </c>
      <c r="F615" s="278" t="s">
        <v>3515</v>
      </c>
      <c r="G615" s="304">
        <v>1200000</v>
      </c>
      <c r="H615" s="394" t="s">
        <v>2084</v>
      </c>
      <c r="I615" s="1194"/>
    </row>
    <row r="616" spans="2:9" ht="14.45" customHeight="1">
      <c r="B616" s="278">
        <v>114</v>
      </c>
      <c r="C616" s="278" t="s">
        <v>462</v>
      </c>
      <c r="D616" s="278" t="s">
        <v>681</v>
      </c>
      <c r="E616" s="278" t="s">
        <v>3499</v>
      </c>
      <c r="F616" s="278" t="s">
        <v>3516</v>
      </c>
      <c r="G616" s="304">
        <v>1400000</v>
      </c>
      <c r="H616" s="394" t="s">
        <v>2084</v>
      </c>
      <c r="I616" s="1194"/>
    </row>
    <row r="617" spans="2:9" ht="14.45" customHeight="1">
      <c r="B617" s="278">
        <v>114</v>
      </c>
      <c r="C617" s="278" t="s">
        <v>462</v>
      </c>
      <c r="D617" s="278" t="s">
        <v>681</v>
      </c>
      <c r="E617" s="278" t="s">
        <v>3499</v>
      </c>
      <c r="F617" s="278" t="s">
        <v>3517</v>
      </c>
      <c r="G617" s="304">
        <v>2700000</v>
      </c>
      <c r="H617" s="394" t="s">
        <v>2084</v>
      </c>
      <c r="I617" s="1194"/>
    </row>
    <row r="618" spans="2:9" ht="14.45" customHeight="1">
      <c r="B618" s="278">
        <v>114</v>
      </c>
      <c r="C618" s="278" t="s">
        <v>462</v>
      </c>
      <c r="D618" s="278" t="s">
        <v>681</v>
      </c>
      <c r="E618" s="278" t="s">
        <v>3499</v>
      </c>
      <c r="F618" s="278" t="s">
        <v>3518</v>
      </c>
      <c r="G618" s="304">
        <v>2350000</v>
      </c>
      <c r="H618" s="394" t="s">
        <v>2084</v>
      </c>
      <c r="I618" s="1194"/>
    </row>
    <row r="619" spans="2:9" ht="14.45" customHeight="1">
      <c r="B619" s="278">
        <v>114</v>
      </c>
      <c r="C619" s="278" t="s">
        <v>462</v>
      </c>
      <c r="D619" s="278" t="s">
        <v>681</v>
      </c>
      <c r="E619" s="278" t="s">
        <v>3499</v>
      </c>
      <c r="F619" s="278" t="s">
        <v>3519</v>
      </c>
      <c r="G619" s="304">
        <v>1200000</v>
      </c>
      <c r="H619" s="394" t="s">
        <v>2084</v>
      </c>
      <c r="I619" s="1194"/>
    </row>
    <row r="620" spans="2:9" ht="14.45" customHeight="1">
      <c r="B620" s="278">
        <v>114</v>
      </c>
      <c r="C620" s="278" t="s">
        <v>462</v>
      </c>
      <c r="D620" s="278" t="s">
        <v>681</v>
      </c>
      <c r="E620" s="278" t="s">
        <v>3499</v>
      </c>
      <c r="F620" s="278" t="s">
        <v>3520</v>
      </c>
      <c r="G620" s="304">
        <v>1000000</v>
      </c>
      <c r="H620" s="394" t="s">
        <v>2084</v>
      </c>
      <c r="I620" s="1194"/>
    </row>
    <row r="621" spans="2:9" ht="14.45" customHeight="1">
      <c r="B621" s="278">
        <v>114</v>
      </c>
      <c r="C621" s="278" t="s">
        <v>462</v>
      </c>
      <c r="D621" s="278" t="s">
        <v>681</v>
      </c>
      <c r="E621" s="278" t="s">
        <v>3499</v>
      </c>
      <c r="F621" s="278" t="s">
        <v>3521</v>
      </c>
      <c r="G621" s="304">
        <v>1650000</v>
      </c>
      <c r="H621" s="394" t="s">
        <v>2084</v>
      </c>
      <c r="I621" s="1194"/>
    </row>
    <row r="622" spans="2:9" ht="14.45" customHeight="1">
      <c r="B622" s="278">
        <v>114</v>
      </c>
      <c r="C622" s="278" t="s">
        <v>462</v>
      </c>
      <c r="D622" s="278" t="s">
        <v>681</v>
      </c>
      <c r="E622" s="278" t="s">
        <v>3499</v>
      </c>
      <c r="F622" s="278" t="s">
        <v>3522</v>
      </c>
      <c r="G622" s="304">
        <v>2300000</v>
      </c>
      <c r="H622" s="394" t="s">
        <v>2084</v>
      </c>
      <c r="I622" s="1194"/>
    </row>
    <row r="623" spans="2:9" ht="14.45" customHeight="1">
      <c r="B623" s="278">
        <v>114</v>
      </c>
      <c r="C623" s="278" t="s">
        <v>462</v>
      </c>
      <c r="D623" s="278" t="s">
        <v>681</v>
      </c>
      <c r="E623" s="278" t="s">
        <v>3499</v>
      </c>
      <c r="F623" s="278" t="s">
        <v>3523</v>
      </c>
      <c r="G623" s="304">
        <v>1400000</v>
      </c>
      <c r="H623" s="394" t="s">
        <v>2084</v>
      </c>
      <c r="I623" s="1194"/>
    </row>
    <row r="624" spans="2:9" ht="14.45" customHeight="1">
      <c r="B624" s="278">
        <v>114</v>
      </c>
      <c r="C624" s="278" t="s">
        <v>462</v>
      </c>
      <c r="D624" s="278" t="s">
        <v>681</v>
      </c>
      <c r="E624" s="278" t="s">
        <v>3499</v>
      </c>
      <c r="F624" s="278" t="s">
        <v>3524</v>
      </c>
      <c r="G624" s="304">
        <v>750000</v>
      </c>
      <c r="H624" s="394" t="s">
        <v>2084</v>
      </c>
      <c r="I624" s="1194"/>
    </row>
    <row r="625" spans="2:9" ht="14.45" customHeight="1">
      <c r="B625" s="278">
        <v>114</v>
      </c>
      <c r="C625" s="278" t="s">
        <v>462</v>
      </c>
      <c r="D625" s="278" t="s">
        <v>681</v>
      </c>
      <c r="E625" s="278" t="s">
        <v>3499</v>
      </c>
      <c r="F625" s="278" t="s">
        <v>3525</v>
      </c>
      <c r="G625" s="304">
        <v>1200000</v>
      </c>
      <c r="H625" s="394" t="s">
        <v>2084</v>
      </c>
      <c r="I625" s="1194"/>
    </row>
    <row r="626" spans="2:9" ht="14.45" customHeight="1">
      <c r="B626" s="278">
        <v>114</v>
      </c>
      <c r="C626" s="278" t="s">
        <v>462</v>
      </c>
      <c r="D626" s="278" t="s">
        <v>681</v>
      </c>
      <c r="E626" s="278" t="s">
        <v>3499</v>
      </c>
      <c r="F626" s="278" t="s">
        <v>3526</v>
      </c>
      <c r="G626" s="304">
        <v>1550000</v>
      </c>
      <c r="H626" s="394" t="s">
        <v>2084</v>
      </c>
      <c r="I626" s="1194"/>
    </row>
    <row r="627" spans="2:9" ht="14.45" customHeight="1">
      <c r="B627" s="278">
        <v>114</v>
      </c>
      <c r="C627" s="278" t="s">
        <v>462</v>
      </c>
      <c r="D627" s="278" t="s">
        <v>681</v>
      </c>
      <c r="E627" s="278" t="s">
        <v>3499</v>
      </c>
      <c r="F627" s="278" t="s">
        <v>3527</v>
      </c>
      <c r="G627" s="304">
        <v>750000</v>
      </c>
      <c r="H627" s="394" t="s">
        <v>2084</v>
      </c>
      <c r="I627" s="1194"/>
    </row>
    <row r="628" spans="2:9" ht="14.45" customHeight="1">
      <c r="B628" s="278">
        <v>114</v>
      </c>
      <c r="C628" s="278" t="s">
        <v>462</v>
      </c>
      <c r="D628" s="278" t="s">
        <v>681</v>
      </c>
      <c r="E628" s="278" t="s">
        <v>3499</v>
      </c>
      <c r="F628" s="278" t="s">
        <v>3528</v>
      </c>
      <c r="G628" s="304">
        <v>1200000</v>
      </c>
      <c r="H628" s="394" t="s">
        <v>2084</v>
      </c>
      <c r="I628" s="1194"/>
    </row>
    <row r="629" spans="2:9" ht="14.45" customHeight="1">
      <c r="B629" s="278">
        <v>114</v>
      </c>
      <c r="C629" s="278" t="s">
        <v>462</v>
      </c>
      <c r="D629" s="278" t="s">
        <v>681</v>
      </c>
      <c r="E629" s="278" t="s">
        <v>3499</v>
      </c>
      <c r="F629" s="278" t="s">
        <v>3529</v>
      </c>
      <c r="G629" s="304">
        <v>1350000</v>
      </c>
      <c r="H629" s="394" t="s">
        <v>2084</v>
      </c>
      <c r="I629" s="1194"/>
    </row>
    <row r="630" spans="2:9" ht="14.45" customHeight="1">
      <c r="B630" s="278">
        <v>114</v>
      </c>
      <c r="C630" s="278" t="s">
        <v>462</v>
      </c>
      <c r="D630" s="278" t="s">
        <v>681</v>
      </c>
      <c r="E630" s="278" t="s">
        <v>3499</v>
      </c>
      <c r="F630" s="278" t="s">
        <v>3530</v>
      </c>
      <c r="G630" s="304">
        <v>1500000</v>
      </c>
      <c r="H630" s="394" t="s">
        <v>2084</v>
      </c>
      <c r="I630" s="1194"/>
    </row>
    <row r="631" spans="2:9" ht="14.45" customHeight="1">
      <c r="B631" s="278">
        <v>114</v>
      </c>
      <c r="C631" s="278" t="s">
        <v>462</v>
      </c>
      <c r="D631" s="278" t="s">
        <v>681</v>
      </c>
      <c r="E631" s="278" t="s">
        <v>3499</v>
      </c>
      <c r="F631" s="278" t="s">
        <v>3531</v>
      </c>
      <c r="G631" s="304">
        <v>1550000</v>
      </c>
      <c r="H631" s="394" t="s">
        <v>2084</v>
      </c>
      <c r="I631" s="1194"/>
    </row>
    <row r="632" spans="2:9" ht="14.45" customHeight="1">
      <c r="B632" s="278">
        <v>114</v>
      </c>
      <c r="C632" s="278" t="s">
        <v>462</v>
      </c>
      <c r="D632" s="278" t="s">
        <v>681</v>
      </c>
      <c r="E632" s="278" t="s">
        <v>3499</v>
      </c>
      <c r="F632" s="278" t="s">
        <v>3532</v>
      </c>
      <c r="G632" s="304">
        <v>1050000</v>
      </c>
      <c r="H632" s="394" t="s">
        <v>2084</v>
      </c>
      <c r="I632" s="1194"/>
    </row>
    <row r="633" spans="2:9" ht="14.45" customHeight="1">
      <c r="B633" s="278">
        <v>114</v>
      </c>
      <c r="C633" s="278" t="s">
        <v>462</v>
      </c>
      <c r="D633" s="278" t="s">
        <v>681</v>
      </c>
      <c r="E633" s="278" t="s">
        <v>3499</v>
      </c>
      <c r="F633" s="278" t="s">
        <v>3533</v>
      </c>
      <c r="G633" s="304">
        <v>2200000</v>
      </c>
      <c r="H633" s="394" t="s">
        <v>2084</v>
      </c>
      <c r="I633" s="1194"/>
    </row>
    <row r="634" spans="2:9" ht="14.45" customHeight="1">
      <c r="B634" s="278">
        <v>114</v>
      </c>
      <c r="C634" s="278" t="s">
        <v>462</v>
      </c>
      <c r="D634" s="278" t="s">
        <v>681</v>
      </c>
      <c r="E634" s="278" t="s">
        <v>3499</v>
      </c>
      <c r="F634" s="278" t="s">
        <v>3534</v>
      </c>
      <c r="G634" s="304">
        <v>1000000</v>
      </c>
      <c r="H634" s="394" t="s">
        <v>2084</v>
      </c>
      <c r="I634" s="1194"/>
    </row>
    <row r="635" spans="2:9" ht="14.45" customHeight="1">
      <c r="B635" s="278">
        <v>114</v>
      </c>
      <c r="C635" s="278" t="s">
        <v>462</v>
      </c>
      <c r="D635" s="278" t="s">
        <v>681</v>
      </c>
      <c r="E635" s="278" t="s">
        <v>3499</v>
      </c>
      <c r="F635" s="278" t="s">
        <v>3535</v>
      </c>
      <c r="G635" s="304">
        <v>2000000</v>
      </c>
      <c r="H635" s="394" t="s">
        <v>2084</v>
      </c>
      <c r="I635" s="1194"/>
    </row>
    <row r="636" spans="2:9" ht="14.45" customHeight="1">
      <c r="B636" s="278">
        <v>114</v>
      </c>
      <c r="C636" s="278" t="s">
        <v>462</v>
      </c>
      <c r="D636" s="278" t="s">
        <v>681</v>
      </c>
      <c r="E636" s="278" t="s">
        <v>3499</v>
      </c>
      <c r="F636" s="278" t="s">
        <v>2410</v>
      </c>
      <c r="G636" s="304">
        <v>1500000</v>
      </c>
      <c r="H636" s="394" t="s">
        <v>2084</v>
      </c>
      <c r="I636" s="1194"/>
    </row>
    <row r="637" spans="2:9" ht="14.45" customHeight="1">
      <c r="B637" s="278">
        <v>114</v>
      </c>
      <c r="C637" s="278" t="s">
        <v>462</v>
      </c>
      <c r="D637" s="278" t="s">
        <v>681</v>
      </c>
      <c r="E637" s="278" t="s">
        <v>3499</v>
      </c>
      <c r="F637" s="278" t="s">
        <v>3536</v>
      </c>
      <c r="G637" s="304">
        <v>2000000</v>
      </c>
      <c r="H637" s="394" t="s">
        <v>2084</v>
      </c>
      <c r="I637" s="1194"/>
    </row>
    <row r="638" spans="2:9" ht="14.45" customHeight="1">
      <c r="B638" s="278">
        <v>114</v>
      </c>
      <c r="C638" s="278" t="s">
        <v>462</v>
      </c>
      <c r="D638" s="278" t="s">
        <v>681</v>
      </c>
      <c r="E638" s="278" t="s">
        <v>3499</v>
      </c>
      <c r="F638" s="278" t="s">
        <v>3537</v>
      </c>
      <c r="G638" s="304">
        <v>2200000</v>
      </c>
      <c r="H638" s="394" t="s">
        <v>2084</v>
      </c>
      <c r="I638" s="1194"/>
    </row>
    <row r="639" spans="2:9" ht="14.45" customHeight="1">
      <c r="B639" s="278">
        <v>114</v>
      </c>
      <c r="C639" s="278" t="s">
        <v>462</v>
      </c>
      <c r="D639" s="278" t="s">
        <v>681</v>
      </c>
      <c r="E639" s="278" t="s">
        <v>3499</v>
      </c>
      <c r="F639" s="278" t="s">
        <v>3538</v>
      </c>
      <c r="G639" s="304">
        <v>1000000</v>
      </c>
      <c r="H639" s="394" t="s">
        <v>2084</v>
      </c>
      <c r="I639" s="1194"/>
    </row>
    <row r="640" spans="2:9" ht="14.45" customHeight="1">
      <c r="B640" s="278">
        <v>114</v>
      </c>
      <c r="C640" s="278" t="s">
        <v>462</v>
      </c>
      <c r="D640" s="278" t="s">
        <v>681</v>
      </c>
      <c r="E640" s="278" t="s">
        <v>3499</v>
      </c>
      <c r="F640" s="278" t="s">
        <v>3539</v>
      </c>
      <c r="G640" s="304">
        <v>2600000</v>
      </c>
      <c r="H640" s="394" t="s">
        <v>2084</v>
      </c>
      <c r="I640" s="1194"/>
    </row>
    <row r="641" spans="2:9" ht="14.45" customHeight="1">
      <c r="B641" s="278">
        <v>114</v>
      </c>
      <c r="C641" s="278" t="s">
        <v>462</v>
      </c>
      <c r="D641" s="278" t="s">
        <v>681</v>
      </c>
      <c r="E641" s="278" t="s">
        <v>3499</v>
      </c>
      <c r="F641" s="278" t="s">
        <v>3540</v>
      </c>
      <c r="G641" s="304">
        <v>1700000</v>
      </c>
      <c r="H641" s="394" t="s">
        <v>2084</v>
      </c>
      <c r="I641" s="1194"/>
    </row>
    <row r="642" spans="2:9" ht="14.45" customHeight="1">
      <c r="B642" s="278">
        <v>114</v>
      </c>
      <c r="C642" s="278" t="s">
        <v>462</v>
      </c>
      <c r="D642" s="278" t="s">
        <v>681</v>
      </c>
      <c r="E642" s="278" t="s">
        <v>3499</v>
      </c>
      <c r="F642" s="278" t="s">
        <v>3541</v>
      </c>
      <c r="G642" s="304">
        <v>1900000</v>
      </c>
      <c r="H642" s="394" t="s">
        <v>2084</v>
      </c>
      <c r="I642" s="1194"/>
    </row>
    <row r="643" spans="2:9" ht="14.45" customHeight="1">
      <c r="B643" s="278">
        <v>114</v>
      </c>
      <c r="C643" s="278" t="s">
        <v>462</v>
      </c>
      <c r="D643" s="278" t="s">
        <v>681</v>
      </c>
      <c r="E643" s="278" t="s">
        <v>3499</v>
      </c>
      <c r="F643" s="278" t="s">
        <v>3542</v>
      </c>
      <c r="G643" s="304">
        <v>850000</v>
      </c>
      <c r="H643" s="394" t="s">
        <v>2084</v>
      </c>
      <c r="I643" s="1194"/>
    </row>
    <row r="644" spans="2:9" ht="14.45" customHeight="1">
      <c r="B644" s="278">
        <v>114</v>
      </c>
      <c r="C644" s="278" t="s">
        <v>462</v>
      </c>
      <c r="D644" s="278" t="s">
        <v>681</v>
      </c>
      <c r="E644" s="278" t="s">
        <v>3499</v>
      </c>
      <c r="F644" s="278" t="s">
        <v>3543</v>
      </c>
      <c r="G644" s="304">
        <v>2250000</v>
      </c>
      <c r="H644" s="394" t="s">
        <v>2084</v>
      </c>
      <c r="I644" s="1194"/>
    </row>
    <row r="645" spans="2:9" ht="14.45" customHeight="1">
      <c r="B645" s="278">
        <v>114</v>
      </c>
      <c r="C645" s="278" t="s">
        <v>462</v>
      </c>
      <c r="D645" s="278" t="s">
        <v>681</v>
      </c>
      <c r="E645" s="278" t="s">
        <v>3499</v>
      </c>
      <c r="F645" s="278" t="s">
        <v>3544</v>
      </c>
      <c r="G645" s="304">
        <v>2500000</v>
      </c>
      <c r="H645" s="394" t="s">
        <v>2084</v>
      </c>
      <c r="I645" s="1194"/>
    </row>
    <row r="646" spans="2:9" ht="14.45" customHeight="1">
      <c r="B646" s="278">
        <v>114</v>
      </c>
      <c r="C646" s="278" t="s">
        <v>462</v>
      </c>
      <c r="D646" s="278" t="s">
        <v>681</v>
      </c>
      <c r="E646" s="278" t="s">
        <v>3499</v>
      </c>
      <c r="F646" s="278" t="s">
        <v>3545</v>
      </c>
      <c r="G646" s="304">
        <v>1250000</v>
      </c>
      <c r="H646" s="394" t="s">
        <v>2084</v>
      </c>
      <c r="I646" s="1194"/>
    </row>
    <row r="647" spans="2:9" ht="14.45" customHeight="1">
      <c r="B647" s="278">
        <v>114</v>
      </c>
      <c r="C647" s="278" t="s">
        <v>462</v>
      </c>
      <c r="D647" s="278" t="s">
        <v>681</v>
      </c>
      <c r="E647" s="278" t="s">
        <v>3499</v>
      </c>
      <c r="F647" s="278" t="s">
        <v>3546</v>
      </c>
      <c r="G647" s="304">
        <v>1500000</v>
      </c>
      <c r="H647" s="394" t="s">
        <v>2084</v>
      </c>
      <c r="I647" s="1194"/>
    </row>
    <row r="648" spans="2:9" ht="14.45" customHeight="1">
      <c r="B648" s="278">
        <v>114</v>
      </c>
      <c r="C648" s="278" t="s">
        <v>462</v>
      </c>
      <c r="D648" s="278" t="s">
        <v>681</v>
      </c>
      <c r="E648" s="278" t="s">
        <v>3499</v>
      </c>
      <c r="F648" s="278" t="s">
        <v>3547</v>
      </c>
      <c r="G648" s="304">
        <v>2700000</v>
      </c>
      <c r="H648" s="394" t="s">
        <v>2084</v>
      </c>
      <c r="I648" s="1194"/>
    </row>
    <row r="649" spans="2:9" ht="14.45" customHeight="1">
      <c r="B649" s="278">
        <v>114</v>
      </c>
      <c r="C649" s="278" t="s">
        <v>462</v>
      </c>
      <c r="D649" s="278" t="s">
        <v>681</v>
      </c>
      <c r="E649" s="278" t="s">
        <v>3499</v>
      </c>
      <c r="F649" s="278" t="s">
        <v>3548</v>
      </c>
      <c r="G649" s="304">
        <v>1900000</v>
      </c>
      <c r="H649" s="394" t="s">
        <v>2084</v>
      </c>
      <c r="I649" s="1194"/>
    </row>
    <row r="650" spans="2:9" ht="14.45" customHeight="1">
      <c r="B650" s="278">
        <v>114</v>
      </c>
      <c r="C650" s="278" t="s">
        <v>462</v>
      </c>
      <c r="D650" s="278" t="s">
        <v>681</v>
      </c>
      <c r="E650" s="278" t="s">
        <v>3499</v>
      </c>
      <c r="F650" s="278" t="s">
        <v>2325</v>
      </c>
      <c r="G650" s="304">
        <v>1100000</v>
      </c>
      <c r="H650" s="394" t="s">
        <v>2084</v>
      </c>
      <c r="I650" s="1194"/>
    </row>
    <row r="651" spans="2:9" ht="14.45" customHeight="1">
      <c r="B651" s="278">
        <v>114</v>
      </c>
      <c r="C651" s="278" t="s">
        <v>462</v>
      </c>
      <c r="D651" s="278" t="s">
        <v>681</v>
      </c>
      <c r="E651" s="278" t="s">
        <v>3499</v>
      </c>
      <c r="F651" s="278" t="s">
        <v>3549</v>
      </c>
      <c r="G651" s="304">
        <v>2000000</v>
      </c>
      <c r="H651" s="394" t="s">
        <v>2084</v>
      </c>
      <c r="I651" s="1194"/>
    </row>
    <row r="652" spans="2:9" ht="14.45" customHeight="1">
      <c r="B652" s="278">
        <v>114</v>
      </c>
      <c r="C652" s="278" t="s">
        <v>462</v>
      </c>
      <c r="D652" s="278" t="s">
        <v>681</v>
      </c>
      <c r="E652" s="278" t="s">
        <v>3499</v>
      </c>
      <c r="F652" s="278" t="s">
        <v>3550</v>
      </c>
      <c r="G652" s="304">
        <v>1100000</v>
      </c>
      <c r="H652" s="394" t="s">
        <v>2084</v>
      </c>
      <c r="I652" s="1194"/>
    </row>
    <row r="653" spans="2:9" ht="14.45" customHeight="1">
      <c r="B653" s="278">
        <v>114</v>
      </c>
      <c r="C653" s="278" t="s">
        <v>462</v>
      </c>
      <c r="D653" s="278" t="s">
        <v>681</v>
      </c>
      <c r="E653" s="278" t="s">
        <v>3499</v>
      </c>
      <c r="F653" s="278" t="s">
        <v>3551</v>
      </c>
      <c r="G653" s="304">
        <v>800000</v>
      </c>
      <c r="H653" s="394" t="s">
        <v>2084</v>
      </c>
      <c r="I653" s="1194"/>
    </row>
    <row r="654" spans="2:9" ht="14.45" customHeight="1">
      <c r="B654" s="278">
        <v>114</v>
      </c>
      <c r="C654" s="278" t="s">
        <v>462</v>
      </c>
      <c r="D654" s="278" t="s">
        <v>681</v>
      </c>
      <c r="E654" s="278" t="s">
        <v>3499</v>
      </c>
      <c r="F654" s="278" t="s">
        <v>3552</v>
      </c>
      <c r="G654" s="304">
        <v>1800000</v>
      </c>
      <c r="H654" s="394" t="s">
        <v>2084</v>
      </c>
      <c r="I654" s="1194"/>
    </row>
    <row r="655" spans="2:9" ht="14.45" customHeight="1">
      <c r="B655" s="278">
        <v>114</v>
      </c>
      <c r="C655" s="278" t="s">
        <v>462</v>
      </c>
      <c r="D655" s="278" t="s">
        <v>681</v>
      </c>
      <c r="E655" s="278" t="s">
        <v>3499</v>
      </c>
      <c r="F655" s="278" t="s">
        <v>3553</v>
      </c>
      <c r="G655" s="304">
        <v>1350000</v>
      </c>
      <c r="H655" s="394" t="s">
        <v>2084</v>
      </c>
      <c r="I655" s="1194"/>
    </row>
    <row r="656" spans="2:9" ht="14.45" customHeight="1">
      <c r="B656" s="278">
        <v>114</v>
      </c>
      <c r="C656" s="278" t="s">
        <v>462</v>
      </c>
      <c r="D656" s="278" t="s">
        <v>681</v>
      </c>
      <c r="E656" s="278" t="s">
        <v>3499</v>
      </c>
      <c r="F656" s="278" t="s">
        <v>3554</v>
      </c>
      <c r="G656" s="304">
        <v>650000</v>
      </c>
      <c r="H656" s="394" t="s">
        <v>2084</v>
      </c>
      <c r="I656" s="1194"/>
    </row>
    <row r="657" spans="2:9" ht="14.45" customHeight="1">
      <c r="B657" s="278">
        <v>114</v>
      </c>
      <c r="C657" s="278" t="s">
        <v>462</v>
      </c>
      <c r="D657" s="278" t="s">
        <v>681</v>
      </c>
      <c r="E657" s="278" t="s">
        <v>3499</v>
      </c>
      <c r="F657" s="278" t="s">
        <v>3555</v>
      </c>
      <c r="G657" s="304">
        <v>1900000</v>
      </c>
      <c r="H657" s="394" t="s">
        <v>2084</v>
      </c>
      <c r="I657" s="1194"/>
    </row>
    <row r="658" spans="2:9" ht="14.45" customHeight="1">
      <c r="B658" s="278">
        <v>114</v>
      </c>
      <c r="C658" s="278" t="s">
        <v>462</v>
      </c>
      <c r="D658" s="278" t="s">
        <v>681</v>
      </c>
      <c r="E658" s="278" t="s">
        <v>3499</v>
      </c>
      <c r="F658" s="278" t="s">
        <v>3556</v>
      </c>
      <c r="G658" s="304">
        <v>1350000</v>
      </c>
      <c r="H658" s="394" t="s">
        <v>2084</v>
      </c>
      <c r="I658" s="1194"/>
    </row>
    <row r="659" spans="2:9" ht="14.45" customHeight="1">
      <c r="B659" s="278">
        <v>114</v>
      </c>
      <c r="C659" s="278" t="s">
        <v>462</v>
      </c>
      <c r="D659" s="278" t="s">
        <v>681</v>
      </c>
      <c r="E659" s="278" t="s">
        <v>3499</v>
      </c>
      <c r="F659" s="278" t="s">
        <v>3557</v>
      </c>
      <c r="G659" s="304">
        <v>1400000</v>
      </c>
      <c r="H659" s="394" t="s">
        <v>2084</v>
      </c>
      <c r="I659" s="1194"/>
    </row>
    <row r="660" spans="2:9" ht="14.45" customHeight="1">
      <c r="B660" s="278">
        <v>114</v>
      </c>
      <c r="C660" s="278" t="s">
        <v>462</v>
      </c>
      <c r="D660" s="278" t="s">
        <v>681</v>
      </c>
      <c r="E660" s="278" t="s">
        <v>3499</v>
      </c>
      <c r="F660" s="278" t="s">
        <v>3558</v>
      </c>
      <c r="G660" s="304">
        <v>1250000</v>
      </c>
      <c r="H660" s="394" t="s">
        <v>2084</v>
      </c>
      <c r="I660" s="1194"/>
    </row>
    <row r="661" spans="2:9" ht="14.45" customHeight="1">
      <c r="B661" s="278">
        <v>114</v>
      </c>
      <c r="C661" s="278" t="s">
        <v>462</v>
      </c>
      <c r="D661" s="278" t="s">
        <v>681</v>
      </c>
      <c r="E661" s="278" t="s">
        <v>3499</v>
      </c>
      <c r="F661" s="278" t="s">
        <v>3559</v>
      </c>
      <c r="G661" s="304">
        <v>1500000</v>
      </c>
      <c r="H661" s="394" t="s">
        <v>2084</v>
      </c>
      <c r="I661" s="1194"/>
    </row>
    <row r="662" spans="2:9" ht="14.45" customHeight="1">
      <c r="B662" s="278">
        <v>114</v>
      </c>
      <c r="C662" s="278" t="s">
        <v>462</v>
      </c>
      <c r="D662" s="278" t="s">
        <v>681</v>
      </c>
      <c r="E662" s="278" t="s">
        <v>3499</v>
      </c>
      <c r="F662" s="278" t="s">
        <v>3560</v>
      </c>
      <c r="G662" s="304">
        <v>2200000</v>
      </c>
      <c r="H662" s="394" t="s">
        <v>2084</v>
      </c>
      <c r="I662" s="1194"/>
    </row>
    <row r="663" spans="2:9" ht="14.45" customHeight="1">
      <c r="B663" s="278">
        <v>114</v>
      </c>
      <c r="C663" s="278" t="s">
        <v>462</v>
      </c>
      <c r="D663" s="278" t="s">
        <v>681</v>
      </c>
      <c r="E663" s="278" t="s">
        <v>3499</v>
      </c>
      <c r="F663" s="278" t="s">
        <v>3561</v>
      </c>
      <c r="G663" s="304">
        <v>2100000</v>
      </c>
      <c r="H663" s="394" t="s">
        <v>2084</v>
      </c>
      <c r="I663" s="1194"/>
    </row>
    <row r="664" spans="2:9" ht="14.45" customHeight="1">
      <c r="B664" s="278">
        <v>114</v>
      </c>
      <c r="C664" s="278" t="s">
        <v>462</v>
      </c>
      <c r="D664" s="278" t="s">
        <v>681</v>
      </c>
      <c r="E664" s="278" t="s">
        <v>3499</v>
      </c>
      <c r="F664" s="278" t="s">
        <v>3562</v>
      </c>
      <c r="G664" s="304">
        <v>1800000</v>
      </c>
      <c r="H664" s="394" t="s">
        <v>2084</v>
      </c>
      <c r="I664" s="1194"/>
    </row>
    <row r="665" spans="2:9" ht="14.45" customHeight="1">
      <c r="B665" s="278">
        <v>114</v>
      </c>
      <c r="C665" s="278" t="s">
        <v>462</v>
      </c>
      <c r="D665" s="278" t="s">
        <v>681</v>
      </c>
      <c r="E665" s="278" t="s">
        <v>3499</v>
      </c>
      <c r="F665" s="278" t="s">
        <v>3563</v>
      </c>
      <c r="G665" s="304">
        <v>1450000</v>
      </c>
      <c r="H665" s="394" t="s">
        <v>2084</v>
      </c>
      <c r="I665" s="1194"/>
    </row>
    <row r="666" spans="2:9" ht="14.45" customHeight="1">
      <c r="B666" s="278">
        <v>114</v>
      </c>
      <c r="C666" s="278" t="s">
        <v>462</v>
      </c>
      <c r="D666" s="278" t="s">
        <v>681</v>
      </c>
      <c r="E666" s="278" t="s">
        <v>3499</v>
      </c>
      <c r="F666" s="278" t="s">
        <v>3564</v>
      </c>
      <c r="G666" s="304">
        <v>2000000</v>
      </c>
      <c r="H666" s="394" t="s">
        <v>2084</v>
      </c>
      <c r="I666" s="1194"/>
    </row>
    <row r="667" spans="2:9" ht="14.45" customHeight="1">
      <c r="B667" s="278">
        <v>114</v>
      </c>
      <c r="C667" s="278" t="s">
        <v>462</v>
      </c>
      <c r="D667" s="278" t="s">
        <v>682</v>
      </c>
      <c r="E667" s="278" t="s">
        <v>3565</v>
      </c>
      <c r="F667" s="278" t="s">
        <v>3566</v>
      </c>
      <c r="G667" s="304">
        <v>1175000</v>
      </c>
      <c r="H667" s="394" t="s">
        <v>2084</v>
      </c>
      <c r="I667" s="1194"/>
    </row>
    <row r="668" spans="2:9" ht="14.45" customHeight="1">
      <c r="B668" s="278">
        <v>114</v>
      </c>
      <c r="C668" s="278" t="s">
        <v>462</v>
      </c>
      <c r="D668" s="278" t="s">
        <v>682</v>
      </c>
      <c r="E668" s="278" t="s">
        <v>3565</v>
      </c>
      <c r="F668" s="278" t="s">
        <v>3567</v>
      </c>
      <c r="G668" s="304">
        <v>1000000</v>
      </c>
      <c r="H668" s="394" t="s">
        <v>2084</v>
      </c>
      <c r="I668" s="1194"/>
    </row>
    <row r="669" spans="2:9" ht="14.45" customHeight="1">
      <c r="B669" s="278">
        <v>114</v>
      </c>
      <c r="C669" s="278" t="s">
        <v>462</v>
      </c>
      <c r="D669" s="278" t="s">
        <v>682</v>
      </c>
      <c r="E669" s="278" t="s">
        <v>3565</v>
      </c>
      <c r="F669" s="278" t="s">
        <v>3568</v>
      </c>
      <c r="G669" s="304">
        <v>1075000</v>
      </c>
      <c r="H669" s="394" t="s">
        <v>2084</v>
      </c>
      <c r="I669" s="1194"/>
    </row>
    <row r="670" spans="2:9" ht="14.45" customHeight="1">
      <c r="B670" s="278">
        <v>114</v>
      </c>
      <c r="C670" s="278" t="s">
        <v>462</v>
      </c>
      <c r="D670" s="278" t="s">
        <v>682</v>
      </c>
      <c r="E670" s="278" t="s">
        <v>3565</v>
      </c>
      <c r="F670" s="278" t="s">
        <v>3569</v>
      </c>
      <c r="G670" s="304">
        <v>1000000</v>
      </c>
      <c r="H670" s="394" t="s">
        <v>2084</v>
      </c>
      <c r="I670" s="1194"/>
    </row>
    <row r="671" spans="2:9" ht="14.45" customHeight="1">
      <c r="B671" s="278">
        <v>114</v>
      </c>
      <c r="C671" s="278" t="s">
        <v>462</v>
      </c>
      <c r="D671" s="278" t="s">
        <v>682</v>
      </c>
      <c r="E671" s="278" t="s">
        <v>3565</v>
      </c>
      <c r="F671" s="278" t="s">
        <v>3570</v>
      </c>
      <c r="G671" s="304">
        <v>825000</v>
      </c>
      <c r="H671" s="394" t="s">
        <v>2084</v>
      </c>
      <c r="I671" s="1194"/>
    </row>
    <row r="672" spans="2:9" ht="14.45" customHeight="1">
      <c r="B672" s="278">
        <v>114</v>
      </c>
      <c r="C672" s="278" t="s">
        <v>462</v>
      </c>
      <c r="D672" s="278" t="s">
        <v>682</v>
      </c>
      <c r="E672" s="278" t="s">
        <v>3565</v>
      </c>
      <c r="F672" s="278" t="s">
        <v>3571</v>
      </c>
      <c r="G672" s="304">
        <v>350000</v>
      </c>
      <c r="H672" s="394" t="s">
        <v>2084</v>
      </c>
      <c r="I672" s="1194"/>
    </row>
    <row r="673" spans="2:9" ht="14.45" customHeight="1">
      <c r="B673" s="278">
        <v>114</v>
      </c>
      <c r="C673" s="278" t="s">
        <v>462</v>
      </c>
      <c r="D673" s="278" t="s">
        <v>682</v>
      </c>
      <c r="E673" s="278" t="s">
        <v>3565</v>
      </c>
      <c r="F673" s="278" t="s">
        <v>3572</v>
      </c>
      <c r="G673" s="304">
        <v>850000</v>
      </c>
      <c r="H673" s="394" t="s">
        <v>2084</v>
      </c>
      <c r="I673" s="1194"/>
    </row>
    <row r="674" spans="2:9" ht="14.45" customHeight="1">
      <c r="B674" s="278">
        <v>114</v>
      </c>
      <c r="C674" s="278" t="s">
        <v>462</v>
      </c>
      <c r="D674" s="278" t="s">
        <v>682</v>
      </c>
      <c r="E674" s="278" t="s">
        <v>3565</v>
      </c>
      <c r="F674" s="278" t="s">
        <v>3573</v>
      </c>
      <c r="G674" s="304">
        <v>425000</v>
      </c>
      <c r="H674" s="394" t="s">
        <v>2084</v>
      </c>
      <c r="I674" s="1194"/>
    </row>
    <row r="675" spans="2:9" ht="14.45" customHeight="1">
      <c r="B675" s="278">
        <v>114</v>
      </c>
      <c r="C675" s="278" t="s">
        <v>462</v>
      </c>
      <c r="D675" s="278" t="s">
        <v>682</v>
      </c>
      <c r="E675" s="278" t="s">
        <v>3565</v>
      </c>
      <c r="F675" s="278" t="s">
        <v>3574</v>
      </c>
      <c r="G675" s="304">
        <v>600000</v>
      </c>
      <c r="H675" s="394" t="s">
        <v>2084</v>
      </c>
      <c r="I675" s="1194"/>
    </row>
    <row r="676" spans="2:9" ht="14.45" customHeight="1">
      <c r="B676" s="278">
        <v>114</v>
      </c>
      <c r="C676" s="278" t="s">
        <v>462</v>
      </c>
      <c r="D676" s="278" t="s">
        <v>682</v>
      </c>
      <c r="E676" s="278" t="s">
        <v>3565</v>
      </c>
      <c r="F676" s="278" t="s">
        <v>3575</v>
      </c>
      <c r="G676" s="304">
        <v>900000</v>
      </c>
      <c r="H676" s="394" t="s">
        <v>2084</v>
      </c>
      <c r="I676" s="1194"/>
    </row>
    <row r="677" spans="2:9" ht="14.45" customHeight="1">
      <c r="B677" s="278">
        <v>114</v>
      </c>
      <c r="C677" s="278" t="s">
        <v>462</v>
      </c>
      <c r="D677" s="278" t="s">
        <v>682</v>
      </c>
      <c r="E677" s="278" t="s">
        <v>3565</v>
      </c>
      <c r="F677" s="278" t="s">
        <v>3576</v>
      </c>
      <c r="G677" s="304">
        <v>250000</v>
      </c>
      <c r="H677" s="394" t="s">
        <v>2084</v>
      </c>
      <c r="I677" s="1194"/>
    </row>
    <row r="678" spans="2:9" ht="14.45" customHeight="1">
      <c r="B678" s="278">
        <v>114</v>
      </c>
      <c r="C678" s="278" t="s">
        <v>462</v>
      </c>
      <c r="D678" s="278" t="s">
        <v>682</v>
      </c>
      <c r="E678" s="278" t="s">
        <v>3565</v>
      </c>
      <c r="F678" s="278" t="s">
        <v>3577</v>
      </c>
      <c r="G678" s="304">
        <v>900000</v>
      </c>
      <c r="H678" s="394" t="s">
        <v>2084</v>
      </c>
      <c r="I678" s="1194"/>
    </row>
    <row r="679" spans="2:9" ht="14.45" customHeight="1">
      <c r="B679" s="278">
        <v>114</v>
      </c>
      <c r="C679" s="278" t="s">
        <v>462</v>
      </c>
      <c r="D679" s="278" t="s">
        <v>682</v>
      </c>
      <c r="E679" s="278" t="s">
        <v>3565</v>
      </c>
      <c r="F679" s="278" t="s">
        <v>3578</v>
      </c>
      <c r="G679" s="304">
        <v>370000</v>
      </c>
      <c r="H679" s="394" t="s">
        <v>2084</v>
      </c>
      <c r="I679" s="1194"/>
    </row>
    <row r="680" spans="2:9" ht="14.45" customHeight="1">
      <c r="B680" s="278">
        <v>114</v>
      </c>
      <c r="C680" s="278" t="s">
        <v>462</v>
      </c>
      <c r="D680" s="278" t="s">
        <v>682</v>
      </c>
      <c r="E680" s="278" t="s">
        <v>3565</v>
      </c>
      <c r="F680" s="278" t="s">
        <v>3579</v>
      </c>
      <c r="G680" s="304">
        <v>450000</v>
      </c>
      <c r="H680" s="394" t="s">
        <v>2084</v>
      </c>
      <c r="I680" s="1194"/>
    </row>
    <row r="681" spans="2:9" ht="14.45" customHeight="1">
      <c r="B681" s="278">
        <v>114</v>
      </c>
      <c r="C681" s="278" t="s">
        <v>462</v>
      </c>
      <c r="D681" s="278" t="s">
        <v>682</v>
      </c>
      <c r="E681" s="278" t="s">
        <v>3565</v>
      </c>
      <c r="F681" s="278" t="s">
        <v>3580</v>
      </c>
      <c r="G681" s="304">
        <v>425000</v>
      </c>
      <c r="H681" s="394" t="s">
        <v>2084</v>
      </c>
      <c r="I681" s="1194"/>
    </row>
    <row r="682" spans="2:9" ht="14.45" customHeight="1">
      <c r="B682" s="278">
        <v>114</v>
      </c>
      <c r="C682" s="278" t="s">
        <v>462</v>
      </c>
      <c r="D682" s="278" t="s">
        <v>682</v>
      </c>
      <c r="E682" s="278" t="s">
        <v>3565</v>
      </c>
      <c r="F682" s="278" t="s">
        <v>3581</v>
      </c>
      <c r="G682" s="304">
        <v>400000</v>
      </c>
      <c r="H682" s="394" t="s">
        <v>2084</v>
      </c>
      <c r="I682" s="1194"/>
    </row>
    <row r="683" spans="2:9" ht="14.45" customHeight="1">
      <c r="B683" s="278">
        <v>114</v>
      </c>
      <c r="C683" s="278" t="s">
        <v>462</v>
      </c>
      <c r="D683" s="278" t="s">
        <v>682</v>
      </c>
      <c r="E683" s="278" t="s">
        <v>3565</v>
      </c>
      <c r="F683" s="278" t="s">
        <v>3582</v>
      </c>
      <c r="G683" s="304">
        <v>600000</v>
      </c>
      <c r="H683" s="394" t="s">
        <v>2084</v>
      </c>
      <c r="I683" s="1194"/>
    </row>
    <row r="684" spans="2:9" ht="14.45" customHeight="1">
      <c r="B684" s="278">
        <v>114</v>
      </c>
      <c r="C684" s="278" t="s">
        <v>462</v>
      </c>
      <c r="D684" s="278" t="s">
        <v>682</v>
      </c>
      <c r="E684" s="278" t="s">
        <v>3565</v>
      </c>
      <c r="F684" s="278" t="s">
        <v>3583</v>
      </c>
      <c r="G684" s="304">
        <v>725000</v>
      </c>
      <c r="H684" s="394" t="s">
        <v>2084</v>
      </c>
      <c r="I684" s="1194"/>
    </row>
    <row r="685" spans="2:9" ht="14.45" customHeight="1">
      <c r="B685" s="278">
        <v>114</v>
      </c>
      <c r="C685" s="278" t="s">
        <v>462</v>
      </c>
      <c r="D685" s="278" t="s">
        <v>682</v>
      </c>
      <c r="E685" s="278" t="s">
        <v>3565</v>
      </c>
      <c r="F685" s="278" t="s">
        <v>2548</v>
      </c>
      <c r="G685" s="304">
        <v>400000</v>
      </c>
      <c r="H685" s="394" t="s">
        <v>2084</v>
      </c>
      <c r="I685" s="1194"/>
    </row>
    <row r="686" spans="2:9" ht="14.45" customHeight="1">
      <c r="B686" s="278">
        <v>114</v>
      </c>
      <c r="C686" s="278" t="s">
        <v>462</v>
      </c>
      <c r="D686" s="278" t="s">
        <v>682</v>
      </c>
      <c r="E686" s="278" t="s">
        <v>3565</v>
      </c>
      <c r="F686" s="278" t="s">
        <v>2153</v>
      </c>
      <c r="G686" s="304">
        <v>1000000</v>
      </c>
      <c r="H686" s="394" t="s">
        <v>2084</v>
      </c>
      <c r="I686" s="1194"/>
    </row>
    <row r="687" spans="2:9" ht="14.45" customHeight="1">
      <c r="B687" s="278">
        <v>114</v>
      </c>
      <c r="C687" s="278" t="s">
        <v>462</v>
      </c>
      <c r="D687" s="278" t="s">
        <v>682</v>
      </c>
      <c r="E687" s="278" t="s">
        <v>3565</v>
      </c>
      <c r="F687" s="278" t="s">
        <v>3584</v>
      </c>
      <c r="G687" s="304">
        <v>750000</v>
      </c>
      <c r="H687" s="394" t="s">
        <v>2084</v>
      </c>
      <c r="I687" s="1194"/>
    </row>
    <row r="688" spans="2:9" ht="14.45" customHeight="1">
      <c r="B688" s="278">
        <v>114</v>
      </c>
      <c r="C688" s="278" t="s">
        <v>462</v>
      </c>
      <c r="D688" s="278" t="s">
        <v>682</v>
      </c>
      <c r="E688" s="278" t="s">
        <v>3565</v>
      </c>
      <c r="F688" s="278" t="s">
        <v>3585</v>
      </c>
      <c r="G688" s="304">
        <v>780000</v>
      </c>
      <c r="H688" s="394" t="s">
        <v>2084</v>
      </c>
      <c r="I688" s="1194"/>
    </row>
    <row r="689" spans="2:9" ht="14.45" customHeight="1">
      <c r="B689" s="278">
        <v>114</v>
      </c>
      <c r="C689" s="278" t="s">
        <v>462</v>
      </c>
      <c r="D689" s="278" t="s">
        <v>682</v>
      </c>
      <c r="E689" s="278" t="s">
        <v>3565</v>
      </c>
      <c r="F689" s="278" t="s">
        <v>3586</v>
      </c>
      <c r="G689" s="304">
        <v>1075000</v>
      </c>
      <c r="H689" s="394" t="s">
        <v>2084</v>
      </c>
      <c r="I689" s="1194"/>
    </row>
    <row r="690" spans="2:9" ht="14.45" customHeight="1">
      <c r="B690" s="278">
        <v>114</v>
      </c>
      <c r="C690" s="278" t="s">
        <v>462</v>
      </c>
      <c r="D690" s="278" t="s">
        <v>682</v>
      </c>
      <c r="E690" s="278" t="s">
        <v>3565</v>
      </c>
      <c r="F690" s="278" t="s">
        <v>3587</v>
      </c>
      <c r="G690" s="304">
        <v>400000</v>
      </c>
      <c r="H690" s="394" t="s">
        <v>2084</v>
      </c>
      <c r="I690" s="1194"/>
    </row>
    <row r="691" spans="2:9" ht="14.45" customHeight="1">
      <c r="B691" s="278">
        <v>114</v>
      </c>
      <c r="C691" s="278" t="s">
        <v>462</v>
      </c>
      <c r="D691" s="278" t="s">
        <v>682</v>
      </c>
      <c r="E691" s="278" t="s">
        <v>3565</v>
      </c>
      <c r="F691" s="278" t="s">
        <v>3588</v>
      </c>
      <c r="G691" s="304">
        <v>900000</v>
      </c>
      <c r="H691" s="394" t="s">
        <v>2084</v>
      </c>
      <c r="I691" s="1194"/>
    </row>
    <row r="692" spans="2:9" ht="14.45" customHeight="1">
      <c r="B692" s="278">
        <v>114</v>
      </c>
      <c r="C692" s="278" t="s">
        <v>462</v>
      </c>
      <c r="D692" s="278" t="s">
        <v>682</v>
      </c>
      <c r="E692" s="278" t="s">
        <v>3565</v>
      </c>
      <c r="F692" s="278" t="s">
        <v>3589</v>
      </c>
      <c r="G692" s="304">
        <v>915000</v>
      </c>
      <c r="H692" s="394" t="s">
        <v>2084</v>
      </c>
      <c r="I692" s="1194"/>
    </row>
    <row r="693" spans="2:9" ht="14.45" customHeight="1">
      <c r="B693" s="278">
        <v>114</v>
      </c>
      <c r="C693" s="278" t="s">
        <v>462</v>
      </c>
      <c r="D693" s="278" t="s">
        <v>682</v>
      </c>
      <c r="E693" s="278" t="s">
        <v>3565</v>
      </c>
      <c r="F693" s="278" t="s">
        <v>3590</v>
      </c>
      <c r="G693" s="304">
        <v>850000</v>
      </c>
      <c r="H693" s="394" t="s">
        <v>2084</v>
      </c>
      <c r="I693" s="1194"/>
    </row>
    <row r="694" spans="2:9" ht="14.45" customHeight="1">
      <c r="B694" s="278">
        <v>114</v>
      </c>
      <c r="C694" s="278" t="s">
        <v>462</v>
      </c>
      <c r="D694" s="278" t="s">
        <v>682</v>
      </c>
      <c r="E694" s="278" t="s">
        <v>3565</v>
      </c>
      <c r="F694" s="278" t="s">
        <v>3591</v>
      </c>
      <c r="G694" s="304">
        <v>975000</v>
      </c>
      <c r="H694" s="394" t="s">
        <v>2084</v>
      </c>
      <c r="I694" s="1194"/>
    </row>
    <row r="695" spans="2:9" ht="14.45" customHeight="1">
      <c r="B695" s="278">
        <v>114</v>
      </c>
      <c r="C695" s="278" t="s">
        <v>462</v>
      </c>
      <c r="D695" s="278" t="s">
        <v>682</v>
      </c>
      <c r="E695" s="278" t="s">
        <v>3565</v>
      </c>
      <c r="F695" s="278" t="s">
        <v>3592</v>
      </c>
      <c r="G695" s="304">
        <v>400000</v>
      </c>
      <c r="H695" s="394" t="s">
        <v>2084</v>
      </c>
      <c r="I695" s="1194"/>
    </row>
    <row r="696" spans="2:9" ht="14.45" customHeight="1">
      <c r="B696" s="278">
        <v>114</v>
      </c>
      <c r="C696" s="278" t="s">
        <v>462</v>
      </c>
      <c r="D696" s="278" t="s">
        <v>682</v>
      </c>
      <c r="E696" s="278" t="s">
        <v>3565</v>
      </c>
      <c r="F696" s="278" t="s">
        <v>3593</v>
      </c>
      <c r="G696" s="304">
        <v>975000</v>
      </c>
      <c r="H696" s="394" t="s">
        <v>2084</v>
      </c>
      <c r="I696" s="1194"/>
    </row>
    <row r="697" spans="2:9" ht="14.45" customHeight="1">
      <c r="B697" s="278">
        <v>114</v>
      </c>
      <c r="C697" s="278" t="s">
        <v>462</v>
      </c>
      <c r="D697" s="278" t="s">
        <v>682</v>
      </c>
      <c r="E697" s="278" t="s">
        <v>3565</v>
      </c>
      <c r="F697" s="278" t="s">
        <v>3594</v>
      </c>
      <c r="G697" s="304">
        <v>400000</v>
      </c>
      <c r="H697" s="394" t="s">
        <v>2084</v>
      </c>
      <c r="I697" s="1194"/>
    </row>
    <row r="698" spans="2:9" ht="14.45" customHeight="1">
      <c r="B698" s="278">
        <v>114</v>
      </c>
      <c r="C698" s="278" t="s">
        <v>462</v>
      </c>
      <c r="D698" s="278" t="s">
        <v>682</v>
      </c>
      <c r="E698" s="278" t="s">
        <v>3565</v>
      </c>
      <c r="F698" s="278" t="s">
        <v>3595</v>
      </c>
      <c r="G698" s="304">
        <v>375000</v>
      </c>
      <c r="H698" s="394" t="s">
        <v>2084</v>
      </c>
      <c r="I698" s="1194"/>
    </row>
    <row r="699" spans="2:9" ht="14.45" customHeight="1">
      <c r="B699" s="278">
        <v>114</v>
      </c>
      <c r="C699" s="278" t="s">
        <v>462</v>
      </c>
      <c r="D699" s="278" t="s">
        <v>682</v>
      </c>
      <c r="E699" s="278" t="s">
        <v>3565</v>
      </c>
      <c r="F699" s="278" t="s">
        <v>3596</v>
      </c>
      <c r="G699" s="304">
        <v>375000</v>
      </c>
      <c r="H699" s="394" t="s">
        <v>2084</v>
      </c>
      <c r="I699" s="1194"/>
    </row>
    <row r="700" spans="2:9" ht="14.45" customHeight="1">
      <c r="B700" s="278">
        <v>114</v>
      </c>
      <c r="C700" s="278" t="s">
        <v>462</v>
      </c>
      <c r="D700" s="278" t="s">
        <v>682</v>
      </c>
      <c r="E700" s="278" t="s">
        <v>3565</v>
      </c>
      <c r="F700" s="278" t="s">
        <v>3597</v>
      </c>
      <c r="G700" s="304">
        <v>600000</v>
      </c>
      <c r="H700" s="394" t="s">
        <v>2084</v>
      </c>
      <c r="I700" s="1194"/>
    </row>
    <row r="701" spans="2:9" ht="14.45" customHeight="1">
      <c r="B701" s="278">
        <v>114</v>
      </c>
      <c r="C701" s="278" t="s">
        <v>462</v>
      </c>
      <c r="D701" s="278" t="s">
        <v>682</v>
      </c>
      <c r="E701" s="278" t="s">
        <v>3565</v>
      </c>
      <c r="F701" s="278" t="s">
        <v>3598</v>
      </c>
      <c r="G701" s="304">
        <v>400000</v>
      </c>
      <c r="H701" s="394" t="s">
        <v>2084</v>
      </c>
      <c r="I701" s="1194"/>
    </row>
    <row r="702" spans="2:9" ht="14.45" customHeight="1">
      <c r="B702" s="278">
        <v>114</v>
      </c>
      <c r="C702" s="278" t="s">
        <v>462</v>
      </c>
      <c r="D702" s="278" t="s">
        <v>682</v>
      </c>
      <c r="E702" s="278" t="s">
        <v>3565</v>
      </c>
      <c r="F702" s="278" t="s">
        <v>3599</v>
      </c>
      <c r="G702" s="304">
        <v>750000</v>
      </c>
      <c r="H702" s="394" t="s">
        <v>2084</v>
      </c>
      <c r="I702" s="1194"/>
    </row>
    <row r="703" spans="2:9" ht="14.45" customHeight="1">
      <c r="B703" s="278">
        <v>114</v>
      </c>
      <c r="C703" s="278" t="s">
        <v>462</v>
      </c>
      <c r="D703" s="278" t="s">
        <v>682</v>
      </c>
      <c r="E703" s="278" t="s">
        <v>3565</v>
      </c>
      <c r="F703" s="278" t="s">
        <v>3600</v>
      </c>
      <c r="G703" s="304">
        <v>775000</v>
      </c>
      <c r="H703" s="394" t="s">
        <v>2084</v>
      </c>
      <c r="I703" s="1194"/>
    </row>
    <row r="704" spans="2:9" ht="14.45" customHeight="1">
      <c r="B704" s="278">
        <v>114</v>
      </c>
      <c r="C704" s="278" t="s">
        <v>462</v>
      </c>
      <c r="D704" s="278" t="s">
        <v>683</v>
      </c>
      <c r="E704" s="278" t="s">
        <v>2963</v>
      </c>
      <c r="F704" s="278" t="s">
        <v>3601</v>
      </c>
      <c r="G704" s="304">
        <v>4500000</v>
      </c>
      <c r="H704" s="394" t="s">
        <v>2084</v>
      </c>
      <c r="I704" s="1194"/>
    </row>
    <row r="705" spans="2:9" ht="14.45" customHeight="1">
      <c r="B705" s="278">
        <v>114</v>
      </c>
      <c r="C705" s="278" t="s">
        <v>462</v>
      </c>
      <c r="D705" s="278" t="s">
        <v>683</v>
      </c>
      <c r="E705" s="278" t="s">
        <v>2963</v>
      </c>
      <c r="F705" s="278" t="s">
        <v>3602</v>
      </c>
      <c r="G705" s="304">
        <v>6000000</v>
      </c>
      <c r="H705" s="394" t="s">
        <v>2084</v>
      </c>
      <c r="I705" s="1194"/>
    </row>
    <row r="706" spans="2:9" ht="14.45" customHeight="1">
      <c r="B706" s="278">
        <v>114</v>
      </c>
      <c r="C706" s="278" t="s">
        <v>462</v>
      </c>
      <c r="D706" s="278" t="s">
        <v>683</v>
      </c>
      <c r="E706" s="278" t="s">
        <v>2963</v>
      </c>
      <c r="F706" s="278" t="s">
        <v>3603</v>
      </c>
      <c r="G706" s="304">
        <v>4250000</v>
      </c>
      <c r="H706" s="394" t="s">
        <v>2084</v>
      </c>
      <c r="I706" s="1194"/>
    </row>
    <row r="707" spans="2:9" ht="14.45" customHeight="1">
      <c r="B707" s="278">
        <v>114</v>
      </c>
      <c r="C707" s="278" t="s">
        <v>462</v>
      </c>
      <c r="D707" s="278" t="s">
        <v>683</v>
      </c>
      <c r="E707" s="278" t="s">
        <v>2963</v>
      </c>
      <c r="F707" s="278" t="s">
        <v>3604</v>
      </c>
      <c r="G707" s="304">
        <v>6000000</v>
      </c>
      <c r="H707" s="394" t="s">
        <v>2084</v>
      </c>
      <c r="I707" s="1194"/>
    </row>
    <row r="708" spans="2:9" ht="14.45" customHeight="1">
      <c r="B708" s="278">
        <v>114</v>
      </c>
      <c r="C708" s="278" t="s">
        <v>462</v>
      </c>
      <c r="D708" s="278" t="s">
        <v>683</v>
      </c>
      <c r="E708" s="278" t="s">
        <v>2963</v>
      </c>
      <c r="F708" s="278" t="s">
        <v>3605</v>
      </c>
      <c r="G708" s="304">
        <v>4250000</v>
      </c>
      <c r="H708" s="394" t="s">
        <v>2084</v>
      </c>
      <c r="I708" s="1194"/>
    </row>
    <row r="709" spans="2:9" ht="14.45" customHeight="1">
      <c r="B709" s="278">
        <v>114</v>
      </c>
      <c r="C709" s="278" t="s">
        <v>462</v>
      </c>
      <c r="D709" s="278" t="s">
        <v>683</v>
      </c>
      <c r="E709" s="278" t="s">
        <v>2963</v>
      </c>
      <c r="F709" s="278" t="s">
        <v>3606</v>
      </c>
      <c r="G709" s="304">
        <v>6000000</v>
      </c>
      <c r="H709" s="394" t="s">
        <v>2084</v>
      </c>
      <c r="I709" s="1194"/>
    </row>
    <row r="710" spans="2:9" ht="14.45" customHeight="1">
      <c r="B710" s="278">
        <v>114</v>
      </c>
      <c r="C710" s="278" t="s">
        <v>462</v>
      </c>
      <c r="D710" s="278" t="s">
        <v>683</v>
      </c>
      <c r="E710" s="278" t="s">
        <v>2963</v>
      </c>
      <c r="F710" s="278" t="s">
        <v>3607</v>
      </c>
      <c r="G710" s="304">
        <v>6000000</v>
      </c>
      <c r="H710" s="394" t="s">
        <v>2084</v>
      </c>
      <c r="I710" s="1194"/>
    </row>
    <row r="711" spans="2:9" ht="14.45" customHeight="1">
      <c r="B711" s="278">
        <v>114</v>
      </c>
      <c r="C711" s="278" t="s">
        <v>462</v>
      </c>
      <c r="D711" s="278" t="s">
        <v>683</v>
      </c>
      <c r="E711" s="278" t="s">
        <v>2963</v>
      </c>
      <c r="F711" s="278" t="s">
        <v>3608</v>
      </c>
      <c r="G711" s="304">
        <v>4250000</v>
      </c>
      <c r="H711" s="394" t="s">
        <v>2084</v>
      </c>
      <c r="I711" s="1194"/>
    </row>
    <row r="712" spans="2:9" ht="14.45" customHeight="1">
      <c r="B712" s="278">
        <v>114</v>
      </c>
      <c r="C712" s="278" t="s">
        <v>462</v>
      </c>
      <c r="D712" s="278" t="s">
        <v>683</v>
      </c>
      <c r="E712" s="278" t="s">
        <v>2963</v>
      </c>
      <c r="F712" s="278" t="s">
        <v>3609</v>
      </c>
      <c r="G712" s="304">
        <v>6000000</v>
      </c>
      <c r="H712" s="394" t="s">
        <v>2084</v>
      </c>
      <c r="I712" s="1194"/>
    </row>
    <row r="713" spans="2:9" ht="14.45" customHeight="1">
      <c r="B713" s="278">
        <v>114</v>
      </c>
      <c r="C713" s="278" t="s">
        <v>462</v>
      </c>
      <c r="D713" s="278" t="s">
        <v>683</v>
      </c>
      <c r="E713" s="278" t="s">
        <v>2963</v>
      </c>
      <c r="F713" s="278" t="s">
        <v>3610</v>
      </c>
      <c r="G713" s="304">
        <v>4500000</v>
      </c>
      <c r="H713" s="394" t="s">
        <v>2084</v>
      </c>
      <c r="I713" s="1194"/>
    </row>
    <row r="714" spans="2:9" ht="14.45" customHeight="1">
      <c r="B714" s="278">
        <v>114</v>
      </c>
      <c r="C714" s="278" t="s">
        <v>462</v>
      </c>
      <c r="D714" s="278" t="s">
        <v>683</v>
      </c>
      <c r="E714" s="278" t="s">
        <v>2963</v>
      </c>
      <c r="F714" s="278" t="s">
        <v>3611</v>
      </c>
      <c r="G714" s="304">
        <v>4250000</v>
      </c>
      <c r="H714" s="394" t="s">
        <v>2084</v>
      </c>
      <c r="I714" s="1194"/>
    </row>
    <row r="715" spans="2:9" ht="14.45" customHeight="1">
      <c r="B715" s="278">
        <v>114</v>
      </c>
      <c r="C715" s="278" t="s">
        <v>462</v>
      </c>
      <c r="D715" s="278" t="s">
        <v>683</v>
      </c>
      <c r="E715" s="278" t="s">
        <v>2963</v>
      </c>
      <c r="F715" s="278" t="s">
        <v>3612</v>
      </c>
      <c r="G715" s="304">
        <v>4500000</v>
      </c>
      <c r="H715" s="394" t="s">
        <v>2084</v>
      </c>
      <c r="I715" s="1194"/>
    </row>
    <row r="716" spans="2:9" ht="14.45" customHeight="1">
      <c r="B716" s="278">
        <v>114</v>
      </c>
      <c r="C716" s="278" t="s">
        <v>462</v>
      </c>
      <c r="D716" s="278" t="s">
        <v>683</v>
      </c>
      <c r="E716" s="278" t="s">
        <v>2963</v>
      </c>
      <c r="F716" s="278" t="s">
        <v>3613</v>
      </c>
      <c r="G716" s="304">
        <v>6000000</v>
      </c>
      <c r="H716" s="394" t="s">
        <v>2084</v>
      </c>
      <c r="I716" s="1194"/>
    </row>
    <row r="717" spans="2:9" ht="14.45" customHeight="1">
      <c r="B717" s="278">
        <v>114</v>
      </c>
      <c r="C717" s="278" t="s">
        <v>462</v>
      </c>
      <c r="D717" s="278" t="s">
        <v>683</v>
      </c>
      <c r="E717" s="278" t="s">
        <v>2963</v>
      </c>
      <c r="F717" s="278" t="s">
        <v>3614</v>
      </c>
      <c r="G717" s="304">
        <v>4500000</v>
      </c>
      <c r="H717" s="394" t="s">
        <v>2084</v>
      </c>
      <c r="I717" s="1194"/>
    </row>
    <row r="718" spans="2:9" ht="14.45" customHeight="1">
      <c r="B718" s="278">
        <v>114</v>
      </c>
      <c r="C718" s="278" t="s">
        <v>462</v>
      </c>
      <c r="D718" s="278" t="s">
        <v>683</v>
      </c>
      <c r="E718" s="278" t="s">
        <v>2963</v>
      </c>
      <c r="F718" s="278" t="s">
        <v>3615</v>
      </c>
      <c r="G718" s="304">
        <v>6000000</v>
      </c>
      <c r="H718" s="394" t="s">
        <v>2084</v>
      </c>
      <c r="I718" s="1194"/>
    </row>
    <row r="719" spans="2:9" ht="14.45" customHeight="1">
      <c r="B719" s="278">
        <v>114</v>
      </c>
      <c r="C719" s="278" t="s">
        <v>462</v>
      </c>
      <c r="D719" s="278" t="s">
        <v>683</v>
      </c>
      <c r="E719" s="278" t="s">
        <v>2963</v>
      </c>
      <c r="F719" s="278" t="s">
        <v>3616</v>
      </c>
      <c r="G719" s="304">
        <v>4500000</v>
      </c>
      <c r="H719" s="394" t="s">
        <v>2084</v>
      </c>
      <c r="I719" s="1194"/>
    </row>
    <row r="720" spans="2:9" ht="14.45" customHeight="1">
      <c r="B720" s="278">
        <v>114</v>
      </c>
      <c r="C720" s="278" t="s">
        <v>462</v>
      </c>
      <c r="D720" s="278" t="s">
        <v>683</v>
      </c>
      <c r="E720" s="278" t="s">
        <v>2963</v>
      </c>
      <c r="F720" s="278" t="s">
        <v>3617</v>
      </c>
      <c r="G720" s="304">
        <v>6000000</v>
      </c>
      <c r="H720" s="394" t="s">
        <v>2084</v>
      </c>
      <c r="I720" s="1194"/>
    </row>
    <row r="721" spans="2:9" ht="14.45" customHeight="1">
      <c r="B721" s="278">
        <v>114</v>
      </c>
      <c r="C721" s="278" t="s">
        <v>462</v>
      </c>
      <c r="D721" s="278" t="s">
        <v>683</v>
      </c>
      <c r="E721" s="278" t="s">
        <v>2963</v>
      </c>
      <c r="F721" s="278" t="s">
        <v>3618</v>
      </c>
      <c r="G721" s="304">
        <v>6000000</v>
      </c>
      <c r="H721" s="394" t="s">
        <v>2084</v>
      </c>
      <c r="I721" s="1194"/>
    </row>
    <row r="722" spans="2:9" ht="14.45" customHeight="1">
      <c r="B722" s="278">
        <v>114</v>
      </c>
      <c r="C722" s="278" t="s">
        <v>462</v>
      </c>
      <c r="D722" s="278" t="s">
        <v>683</v>
      </c>
      <c r="E722" s="278" t="s">
        <v>2963</v>
      </c>
      <c r="F722" s="278" t="s">
        <v>3619</v>
      </c>
      <c r="G722" s="304">
        <v>6000000</v>
      </c>
      <c r="H722" s="394" t="s">
        <v>2084</v>
      </c>
      <c r="I722" s="1194"/>
    </row>
    <row r="723" spans="2:9" ht="14.45" customHeight="1">
      <c r="B723" s="278">
        <v>114</v>
      </c>
      <c r="C723" s="278" t="s">
        <v>462</v>
      </c>
      <c r="D723" s="278" t="s">
        <v>683</v>
      </c>
      <c r="E723" s="278" t="s">
        <v>2963</v>
      </c>
      <c r="F723" s="278" t="s">
        <v>3620</v>
      </c>
      <c r="G723" s="304">
        <v>6000000</v>
      </c>
      <c r="H723" s="394" t="s">
        <v>2084</v>
      </c>
      <c r="I723" s="1194"/>
    </row>
    <row r="724" spans="2:9" ht="14.45" customHeight="1">
      <c r="B724" s="278">
        <v>114</v>
      </c>
      <c r="C724" s="278" t="s">
        <v>462</v>
      </c>
      <c r="D724" s="278" t="s">
        <v>683</v>
      </c>
      <c r="E724" s="278" t="s">
        <v>2963</v>
      </c>
      <c r="F724" s="278" t="s">
        <v>3621</v>
      </c>
      <c r="G724" s="304">
        <v>4000000</v>
      </c>
      <c r="H724" s="394" t="s">
        <v>2084</v>
      </c>
      <c r="I724" s="1194"/>
    </row>
    <row r="725" spans="2:9" ht="14.45" customHeight="1">
      <c r="B725" s="278">
        <v>114</v>
      </c>
      <c r="C725" s="278" t="s">
        <v>462</v>
      </c>
      <c r="D725" s="278" t="s">
        <v>683</v>
      </c>
      <c r="E725" s="278" t="s">
        <v>2963</v>
      </c>
      <c r="F725" s="278" t="s">
        <v>3622</v>
      </c>
      <c r="G725" s="304">
        <v>6000000</v>
      </c>
      <c r="H725" s="394" t="s">
        <v>2084</v>
      </c>
      <c r="I725" s="1194"/>
    </row>
    <row r="726" spans="2:9" ht="14.45" customHeight="1">
      <c r="B726" s="278">
        <v>114</v>
      </c>
      <c r="C726" s="278" t="s">
        <v>462</v>
      </c>
      <c r="D726" s="278" t="s">
        <v>683</v>
      </c>
      <c r="E726" s="278" t="s">
        <v>2963</v>
      </c>
      <c r="F726" s="278" t="s">
        <v>3623</v>
      </c>
      <c r="G726" s="304">
        <v>4250000</v>
      </c>
      <c r="H726" s="394" t="s">
        <v>2084</v>
      </c>
      <c r="I726" s="1194"/>
    </row>
    <row r="727" spans="2:9" ht="14.45" customHeight="1">
      <c r="B727" s="278">
        <v>114</v>
      </c>
      <c r="C727" s="278" t="s">
        <v>462</v>
      </c>
      <c r="D727" s="278" t="s">
        <v>683</v>
      </c>
      <c r="E727" s="278" t="s">
        <v>2963</v>
      </c>
      <c r="F727" s="278" t="s">
        <v>3624</v>
      </c>
      <c r="G727" s="304">
        <v>4000000</v>
      </c>
      <c r="H727" s="394" t="s">
        <v>2084</v>
      </c>
      <c r="I727" s="1194"/>
    </row>
    <row r="728" spans="2:9" ht="14.45" customHeight="1">
      <c r="B728" s="278">
        <v>114</v>
      </c>
      <c r="C728" s="278" t="s">
        <v>462</v>
      </c>
      <c r="D728" s="278" t="s">
        <v>683</v>
      </c>
      <c r="E728" s="278" t="s">
        <v>2963</v>
      </c>
      <c r="F728" s="278" t="s">
        <v>3625</v>
      </c>
      <c r="G728" s="304">
        <v>4500000</v>
      </c>
      <c r="H728" s="394" t="s">
        <v>2084</v>
      </c>
      <c r="I728" s="1194"/>
    </row>
    <row r="729" spans="2:9" ht="14.45" customHeight="1">
      <c r="B729" s="278">
        <v>114</v>
      </c>
      <c r="C729" s="278" t="s">
        <v>462</v>
      </c>
      <c r="D729" s="278" t="s">
        <v>683</v>
      </c>
      <c r="E729" s="278" t="s">
        <v>2963</v>
      </c>
      <c r="F729" s="278" t="s">
        <v>3626</v>
      </c>
      <c r="G729" s="304">
        <v>4500000</v>
      </c>
      <c r="H729" s="394" t="s">
        <v>2084</v>
      </c>
      <c r="I729" s="1194"/>
    </row>
    <row r="730" spans="2:9" ht="14.45" customHeight="1">
      <c r="B730" s="278">
        <v>114</v>
      </c>
      <c r="C730" s="278" t="s">
        <v>462</v>
      </c>
      <c r="D730" s="278" t="s">
        <v>683</v>
      </c>
      <c r="E730" s="278" t="s">
        <v>2963</v>
      </c>
      <c r="F730" s="278" t="s">
        <v>3627</v>
      </c>
      <c r="G730" s="304">
        <v>4000000</v>
      </c>
      <c r="H730" s="394" t="s">
        <v>2084</v>
      </c>
      <c r="I730" s="1194"/>
    </row>
    <row r="731" spans="2:9" ht="14.45" customHeight="1">
      <c r="B731" s="278">
        <v>114</v>
      </c>
      <c r="C731" s="278" t="s">
        <v>462</v>
      </c>
      <c r="D731" s="278" t="s">
        <v>683</v>
      </c>
      <c r="E731" s="278" t="s">
        <v>2963</v>
      </c>
      <c r="F731" s="278" t="s">
        <v>3628</v>
      </c>
      <c r="G731" s="304">
        <v>6000000</v>
      </c>
      <c r="H731" s="394" t="s">
        <v>2084</v>
      </c>
      <c r="I731" s="1194"/>
    </row>
    <row r="732" spans="2:9" ht="14.45" customHeight="1">
      <c r="B732" s="278">
        <v>114</v>
      </c>
      <c r="C732" s="278" t="s">
        <v>462</v>
      </c>
      <c r="D732" s="278" t="s">
        <v>683</v>
      </c>
      <c r="E732" s="278" t="s">
        <v>2963</v>
      </c>
      <c r="F732" s="278" t="s">
        <v>3629</v>
      </c>
      <c r="G732" s="304">
        <v>4000000</v>
      </c>
      <c r="H732" s="394" t="s">
        <v>2084</v>
      </c>
      <c r="I732" s="1194"/>
    </row>
    <row r="733" spans="2:9" ht="14.45" customHeight="1">
      <c r="B733" s="278">
        <v>114</v>
      </c>
      <c r="C733" s="278" t="s">
        <v>462</v>
      </c>
      <c r="D733" s="278" t="s">
        <v>683</v>
      </c>
      <c r="E733" s="278" t="s">
        <v>2963</v>
      </c>
      <c r="F733" s="278" t="s">
        <v>3630</v>
      </c>
      <c r="G733" s="304">
        <v>4500000</v>
      </c>
      <c r="H733" s="394" t="s">
        <v>2084</v>
      </c>
      <c r="I733" s="1194"/>
    </row>
    <row r="734" spans="2:9" ht="14.45" customHeight="1">
      <c r="B734" s="278">
        <v>114</v>
      </c>
      <c r="C734" s="278" t="s">
        <v>462</v>
      </c>
      <c r="D734" s="278" t="s">
        <v>683</v>
      </c>
      <c r="E734" s="278" t="s">
        <v>2963</v>
      </c>
      <c r="F734" s="278" t="s">
        <v>3631</v>
      </c>
      <c r="G734" s="304">
        <v>4500000</v>
      </c>
      <c r="H734" s="394" t="s">
        <v>2084</v>
      </c>
      <c r="I734" s="1194"/>
    </row>
    <row r="735" spans="2:9" ht="14.45" customHeight="1">
      <c r="B735" s="278">
        <v>114</v>
      </c>
      <c r="C735" s="278" t="s">
        <v>462</v>
      </c>
      <c r="D735" s="278" t="s">
        <v>683</v>
      </c>
      <c r="E735" s="278" t="s">
        <v>2963</v>
      </c>
      <c r="F735" s="278" t="s">
        <v>3632</v>
      </c>
      <c r="G735" s="304">
        <v>6000000</v>
      </c>
      <c r="H735" s="394" t="s">
        <v>2084</v>
      </c>
      <c r="I735" s="1194"/>
    </row>
    <row r="736" spans="2:9" ht="14.45" customHeight="1">
      <c r="B736" s="278">
        <v>114</v>
      </c>
      <c r="C736" s="278" t="s">
        <v>462</v>
      </c>
      <c r="D736" s="278" t="s">
        <v>683</v>
      </c>
      <c r="E736" s="278" t="s">
        <v>2963</v>
      </c>
      <c r="F736" s="278" t="s">
        <v>3633</v>
      </c>
      <c r="G736" s="304">
        <v>6000000</v>
      </c>
      <c r="H736" s="394" t="s">
        <v>2084</v>
      </c>
      <c r="I736" s="1194"/>
    </row>
    <row r="738" spans="1:23" s="802" customFormat="1">
      <c r="A738" s="725"/>
      <c r="B738" s="726" t="s">
        <v>936</v>
      </c>
      <c r="C738" s="725"/>
      <c r="D738" s="725"/>
      <c r="E738" s="725"/>
      <c r="F738" s="725"/>
      <c r="G738" s="725"/>
      <c r="H738" s="725"/>
      <c r="I738" s="2"/>
      <c r="J738" s="2"/>
      <c r="K738" s="2"/>
      <c r="L738" s="2"/>
      <c r="M738" s="2"/>
      <c r="N738" s="2"/>
      <c r="O738" s="2"/>
      <c r="P738" s="2"/>
      <c r="Q738" s="2"/>
      <c r="R738" s="2"/>
      <c r="S738" s="2"/>
      <c r="T738" s="2"/>
      <c r="U738" s="2"/>
      <c r="V738" s="2"/>
      <c r="W738" s="2"/>
    </row>
    <row r="739" spans="1:23">
      <c r="B739" s="298" t="s">
        <v>1016</v>
      </c>
      <c r="C739" s="298" t="s">
        <v>3634</v>
      </c>
      <c r="D739" s="298" t="s">
        <v>226</v>
      </c>
      <c r="E739" s="1159" t="s">
        <v>1420</v>
      </c>
      <c r="F739" s="1160"/>
      <c r="G739" s="1161"/>
    </row>
    <row r="740" spans="1:23">
      <c r="B740" s="334" t="s">
        <v>675</v>
      </c>
      <c r="C740" s="335">
        <f>AVERAGE(G411:G447)</f>
        <v>494864.86486486485</v>
      </c>
      <c r="D740" s="394" t="s">
        <v>2084</v>
      </c>
      <c r="E740" s="1240" t="s">
        <v>3635</v>
      </c>
      <c r="F740" s="1181"/>
      <c r="G740" s="1182"/>
    </row>
    <row r="741" spans="1:23">
      <c r="B741" s="334" t="s">
        <v>676</v>
      </c>
      <c r="C741" s="335">
        <f>AVERAGE(G448:G477)</f>
        <v>631833.33333333337</v>
      </c>
      <c r="D741" s="394" t="s">
        <v>2084</v>
      </c>
      <c r="E741" s="1241"/>
      <c r="F741" s="1013"/>
      <c r="G741" s="1242"/>
    </row>
    <row r="742" spans="1:23">
      <c r="B742" s="334" t="s">
        <v>677</v>
      </c>
      <c r="C742" s="335">
        <f>AVERAGE(G478:G527)</f>
        <v>845700</v>
      </c>
      <c r="D742" s="394" t="s">
        <v>2084</v>
      </c>
      <c r="E742" s="1241"/>
      <c r="F742" s="1013"/>
      <c r="G742" s="1242"/>
    </row>
    <row r="743" spans="1:23">
      <c r="B743" s="334" t="s">
        <v>678</v>
      </c>
      <c r="C743" s="335">
        <f>AVERAGE(G528:G548)</f>
        <v>488809.52380952379</v>
      </c>
      <c r="D743" s="394" t="s">
        <v>2084</v>
      </c>
      <c r="E743" s="1241"/>
      <c r="F743" s="1013"/>
      <c r="G743" s="1242"/>
    </row>
    <row r="744" spans="1:23">
      <c r="B744" s="334" t="s">
        <v>679</v>
      </c>
      <c r="C744" s="335">
        <f>AVERAGE(G549:G560)</f>
        <v>190416.66666666666</v>
      </c>
      <c r="D744" s="394" t="s">
        <v>2084</v>
      </c>
      <c r="E744" s="1241"/>
      <c r="F744" s="1013"/>
      <c r="G744" s="1242"/>
    </row>
    <row r="745" spans="1:23">
      <c r="B745" s="334" t="s">
        <v>680</v>
      </c>
      <c r="C745" s="335">
        <f>AVERAGE(G561:G599)</f>
        <v>467179.48717948719</v>
      </c>
      <c r="D745" s="394" t="s">
        <v>2084</v>
      </c>
      <c r="E745" s="1241"/>
      <c r="F745" s="1013"/>
      <c r="G745" s="1242"/>
    </row>
    <row r="746" spans="1:23">
      <c r="B746" s="334" t="s">
        <v>681</v>
      </c>
      <c r="C746" s="335">
        <f>AVERAGE(G600:G666)</f>
        <v>1554104.4776119404</v>
      </c>
      <c r="D746" s="394" t="s">
        <v>2084</v>
      </c>
      <c r="E746" s="1241"/>
      <c r="F746" s="1013"/>
      <c r="G746" s="1242"/>
    </row>
    <row r="747" spans="1:23">
      <c r="B747" s="334" t="s">
        <v>682</v>
      </c>
      <c r="C747" s="335">
        <f>AVERAGE(G667:G703)</f>
        <v>686891.89189189184</v>
      </c>
      <c r="D747" s="394" t="s">
        <v>2084</v>
      </c>
      <c r="E747" s="1241"/>
      <c r="F747" s="1013"/>
      <c r="G747" s="1242"/>
    </row>
    <row r="748" spans="1:23">
      <c r="B748" s="334" t="s">
        <v>683</v>
      </c>
      <c r="C748" s="335">
        <f>AVERAGE(G704:G736)</f>
        <v>5083333.333333333</v>
      </c>
      <c r="D748" s="394" t="s">
        <v>2084</v>
      </c>
      <c r="E748" s="1183"/>
      <c r="F748" s="1184"/>
      <c r="G748" s="1185"/>
    </row>
    <row r="750" spans="1:23">
      <c r="A750" s="727"/>
      <c r="B750" s="728" t="s">
        <v>901</v>
      </c>
      <c r="C750" s="727"/>
      <c r="D750" s="727"/>
      <c r="E750" s="727"/>
      <c r="F750" s="727"/>
      <c r="G750" s="727"/>
      <c r="H750" s="727"/>
    </row>
    <row r="751" spans="1:23" ht="29.1">
      <c r="B751" s="719" t="s">
        <v>902</v>
      </c>
      <c r="C751" s="719" t="s">
        <v>898</v>
      </c>
      <c r="D751" s="719" t="s">
        <v>899</v>
      </c>
      <c r="E751" s="719" t="s">
        <v>903</v>
      </c>
      <c r="F751" s="719" t="s">
        <v>904</v>
      </c>
      <c r="G751" s="719" t="s">
        <v>905</v>
      </c>
      <c r="H751" s="719" t="s">
        <v>924</v>
      </c>
      <c r="I751" s="719" t="s">
        <v>956</v>
      </c>
      <c r="J751" s="719" t="s">
        <v>927</v>
      </c>
    </row>
    <row r="752" spans="1:23">
      <c r="B752" s="278" t="s">
        <v>665</v>
      </c>
      <c r="C752" s="278" t="s">
        <v>462</v>
      </c>
      <c r="D752" s="299" t="s">
        <v>3301</v>
      </c>
      <c r="E752" s="299">
        <v>1</v>
      </c>
      <c r="F752" s="278" t="str" cm="1">
        <f t="array" ref="F752">_xlfn.XLOOKUP(1,(D773:D790=B752)*(E773:E790=C752),B773:B790,"Not found",0,1)</f>
        <v>41-01</v>
      </c>
      <c r="G752" s="300">
        <f t="shared" ref="G752:G769" si="0">VLOOKUP(F752,B773:L790,11,FALSE)</f>
        <v>-1461782.2074234125</v>
      </c>
      <c r="H752" s="1120">
        <f>$D$49</f>
        <v>2.5714285714285698</v>
      </c>
      <c r="I752" s="1178" t="s">
        <v>3637</v>
      </c>
      <c r="J752" s="1095" t="s">
        <v>3638</v>
      </c>
    </row>
    <row r="753" spans="2:10">
      <c r="B753" s="278" t="s">
        <v>667</v>
      </c>
      <c r="C753" s="278" t="s">
        <v>462</v>
      </c>
      <c r="D753" s="299" t="s">
        <v>3301</v>
      </c>
      <c r="E753" s="299">
        <v>1</v>
      </c>
      <c r="F753" s="278" t="str" cm="1">
        <f t="array" ref="F753">_xlfn.XLOOKUP(1,(D774:D791=B753)*(E774:E791=C753),B774:B791,"Not found",0,1)</f>
        <v>41-02</v>
      </c>
      <c r="G753" s="300">
        <f t="shared" si="0"/>
        <v>-2353181.7902387585</v>
      </c>
      <c r="H753" s="1121"/>
      <c r="I753" s="1178"/>
      <c r="J753" s="1095"/>
    </row>
    <row r="754" spans="2:10">
      <c r="B754" s="278" t="s">
        <v>668</v>
      </c>
      <c r="C754" s="278" t="s">
        <v>462</v>
      </c>
      <c r="D754" s="299" t="s">
        <v>3301</v>
      </c>
      <c r="E754" s="299">
        <v>1</v>
      </c>
      <c r="F754" s="278" t="str" cm="1">
        <f t="array" ref="F754">_xlfn.XLOOKUP(1,(D775:D792=B754)*(E775:E792=C754),B775:B792,"Not found",0,1)</f>
        <v>41-03</v>
      </c>
      <c r="G754" s="300">
        <f t="shared" si="0"/>
        <v>-4363760.1728858603</v>
      </c>
      <c r="H754" s="1121"/>
      <c r="I754" s="1178"/>
      <c r="J754" s="1095"/>
    </row>
    <row r="755" spans="2:10">
      <c r="B755" s="278" t="s">
        <v>669</v>
      </c>
      <c r="C755" s="278" t="s">
        <v>462</v>
      </c>
      <c r="D755" s="299" t="s">
        <v>3301</v>
      </c>
      <c r="E755" s="299">
        <v>1</v>
      </c>
      <c r="F755" s="278" t="str" cm="1">
        <f t="array" ref="F755">_xlfn.XLOOKUP(1,(D776:D793=B755)*(E776:E793=C755),B776:B793,"Not found",0,1)</f>
        <v>41-04</v>
      </c>
      <c r="G755" s="300">
        <f t="shared" si="0"/>
        <v>-1662125.8682742876</v>
      </c>
      <c r="H755" s="1121"/>
      <c r="I755" s="1178"/>
      <c r="J755" s="1095"/>
    </row>
    <row r="756" spans="2:10">
      <c r="B756" s="278" t="s">
        <v>670</v>
      </c>
      <c r="C756" s="278" t="s">
        <v>462</v>
      </c>
      <c r="D756" s="299" t="s">
        <v>3301</v>
      </c>
      <c r="E756" s="299">
        <v>1</v>
      </c>
      <c r="F756" s="278" t="str" cm="1">
        <f t="array" ref="F756">_xlfn.XLOOKUP(1,(D777:D794=B756)*(E777:E794=C756),B777:B794,"Not found",0,1)</f>
        <v>41-05</v>
      </c>
      <c r="G756" s="300">
        <f t="shared" si="0"/>
        <v>-780748.79375542828</v>
      </c>
      <c r="H756" s="1121"/>
      <c r="I756" s="1178"/>
      <c r="J756" s="1095"/>
    </row>
    <row r="757" spans="2:10">
      <c r="B757" s="278" t="s">
        <v>671</v>
      </c>
      <c r="C757" s="278" t="s">
        <v>462</v>
      </c>
      <c r="D757" s="299" t="s">
        <v>3301</v>
      </c>
      <c r="E757" s="299">
        <v>1</v>
      </c>
      <c r="F757" s="278" t="str" cm="1">
        <f t="array" ref="F757">_xlfn.XLOOKUP(1,(D778:D795=B757)*(E778:E795=C757),B778:B795,"Not found",0,1)</f>
        <v>41-06</v>
      </c>
      <c r="G757" s="300">
        <f t="shared" si="0"/>
        <v>-1517330.9938984814</v>
      </c>
      <c r="H757" s="1121"/>
      <c r="I757" s="1178"/>
      <c r="J757" s="1095"/>
    </row>
    <row r="758" spans="2:10">
      <c r="B758" s="278" t="s">
        <v>672</v>
      </c>
      <c r="C758" s="278" t="s">
        <v>462</v>
      </c>
      <c r="D758" s="299" t="s">
        <v>3301</v>
      </c>
      <c r="E758" s="299">
        <v>1</v>
      </c>
      <c r="F758" s="278" t="str" cm="1">
        <f t="array" ref="F758">_xlfn.XLOOKUP(1,(D779:D796=B758)*(E779:E796=C758),B779:B796,"Not found",0,1)</f>
        <v>41-07</v>
      </c>
      <c r="G758" s="300">
        <f t="shared" si="0"/>
        <v>-5610716.1679179119</v>
      </c>
      <c r="H758" s="1121"/>
      <c r="I758" s="1178"/>
      <c r="J758" s="1095"/>
    </row>
    <row r="759" spans="2:10">
      <c r="B759" s="278" t="s">
        <v>673</v>
      </c>
      <c r="C759" s="278" t="s">
        <v>462</v>
      </c>
      <c r="D759" s="299" t="s">
        <v>3301</v>
      </c>
      <c r="E759" s="299">
        <v>1</v>
      </c>
      <c r="F759" s="278" t="str" cm="1">
        <f t="array" ref="F759">_xlfn.XLOOKUP(1,(D780:D797=B759)*(E780:E797=C759),B780:B797,"Not found",0,1)</f>
        <v>41-08</v>
      </c>
      <c r="G759" s="300">
        <f t="shared" si="0"/>
        <v>-2932351.0838531954</v>
      </c>
      <c r="H759" s="1121"/>
      <c r="I759" s="1178"/>
      <c r="J759" s="1095"/>
    </row>
    <row r="760" spans="2:10">
      <c r="B760" s="278" t="s">
        <v>674</v>
      </c>
      <c r="C760" s="278" t="s">
        <v>462</v>
      </c>
      <c r="D760" s="299" t="s">
        <v>3301</v>
      </c>
      <c r="E760" s="299">
        <v>1</v>
      </c>
      <c r="F760" s="278" t="str" cm="1">
        <f t="array" ref="F760">_xlfn.XLOOKUP(1,(D781:D798=B760)*(E781:E798=C760),B781:B798,"Not found",0,1)</f>
        <v>41-09</v>
      </c>
      <c r="G760" s="300">
        <f t="shared" si="0"/>
        <v>-42029048.745163165</v>
      </c>
      <c r="H760" s="1122"/>
      <c r="I760" s="1178"/>
      <c r="J760" s="1095"/>
    </row>
    <row r="761" spans="2:10">
      <c r="B761" s="278" t="s">
        <v>675</v>
      </c>
      <c r="C761" s="278" t="s">
        <v>462</v>
      </c>
      <c r="D761" s="299" t="s">
        <v>3301</v>
      </c>
      <c r="E761" s="299">
        <v>2</v>
      </c>
      <c r="F761" s="278" t="str" cm="1">
        <f t="array" ref="F761">_xlfn.XLOOKUP(1,(D782:D799=B761)*(E782:E799=C761),B782:B799,"Not found",0,1)</f>
        <v>41-10</v>
      </c>
      <c r="G761" s="300">
        <f t="shared" si="0"/>
        <v>-585032.39820596029</v>
      </c>
      <c r="H761" s="1120">
        <f>$D$406</f>
        <v>2.5714285714285698</v>
      </c>
      <c r="I761" s="1178" t="s">
        <v>3637</v>
      </c>
      <c r="J761" s="1095" t="s">
        <v>3638</v>
      </c>
    </row>
    <row r="762" spans="2:10">
      <c r="B762" s="278" t="s">
        <v>676</v>
      </c>
      <c r="C762" s="278" t="s">
        <v>462</v>
      </c>
      <c r="D762" s="299" t="s">
        <v>3301</v>
      </c>
      <c r="E762" s="299">
        <v>2</v>
      </c>
      <c r="F762" s="278" t="str" cm="1">
        <f t="array" ref="F762">_xlfn.XLOOKUP(1,(D783:D800=B762)*(E783:E800=C762),B783:B800,"Not found",0,1)</f>
        <v>41-11</v>
      </c>
      <c r="G762" s="300">
        <f t="shared" si="0"/>
        <v>-746957.39485850581</v>
      </c>
      <c r="H762" s="1121"/>
      <c r="I762" s="1178"/>
      <c r="J762" s="1095"/>
    </row>
    <row r="763" spans="2:10">
      <c r="B763" s="278" t="s">
        <v>677</v>
      </c>
      <c r="C763" s="278" t="s">
        <v>462</v>
      </c>
      <c r="D763" s="299" t="s">
        <v>3301</v>
      </c>
      <c r="E763" s="299">
        <v>2</v>
      </c>
      <c r="F763" s="278" t="str" cm="1">
        <f t="array" ref="F763">_xlfn.XLOOKUP(1,(D784:D801=B763)*(E784:E801=C763),B784:B801,"Not found",0,1)</f>
        <v>41-12</v>
      </c>
      <c r="G763" s="300">
        <f t="shared" si="0"/>
        <v>-999791.93167792924</v>
      </c>
      <c r="H763" s="1121"/>
      <c r="I763" s="1178"/>
      <c r="J763" s="1095"/>
    </row>
    <row r="764" spans="2:10">
      <c r="B764" s="278" t="s">
        <v>678</v>
      </c>
      <c r="C764" s="278" t="s">
        <v>462</v>
      </c>
      <c r="D764" s="299" t="s">
        <v>3301</v>
      </c>
      <c r="E764" s="299">
        <v>2</v>
      </c>
      <c r="F764" s="278" t="str" cm="1">
        <f t="array" ref="F764">_xlfn.XLOOKUP(1,(D785:D802=B764)*(E785:E802=C764),B785:B802,"Not found",0,1)</f>
        <v>41-13</v>
      </c>
      <c r="G764" s="300">
        <f t="shared" si="0"/>
        <v>-577873.73540509935</v>
      </c>
      <c r="H764" s="1121"/>
      <c r="I764" s="1178"/>
      <c r="J764" s="1095"/>
    </row>
    <row r="765" spans="2:10">
      <c r="B765" s="278" t="s">
        <v>679</v>
      </c>
      <c r="C765" s="278" t="s">
        <v>462</v>
      </c>
      <c r="D765" s="299" t="s">
        <v>3301</v>
      </c>
      <c r="E765" s="299">
        <v>2</v>
      </c>
      <c r="F765" s="278" t="str" cm="1">
        <f t="array" ref="F765">_xlfn.XLOOKUP(1,(D786:D803=B765)*(E786:E803=C765),B786:B803,"Not found",0,1)</f>
        <v>41-14</v>
      </c>
      <c r="G765" s="300">
        <f t="shared" si="0"/>
        <v>-225111.79731623392</v>
      </c>
      <c r="H765" s="1121"/>
      <c r="I765" s="1178"/>
      <c r="J765" s="1095"/>
    </row>
    <row r="766" spans="2:10">
      <c r="B766" s="278" t="s">
        <v>680</v>
      </c>
      <c r="C766" s="278" t="s">
        <v>462</v>
      </c>
      <c r="D766" s="299" t="s">
        <v>3301</v>
      </c>
      <c r="E766" s="299">
        <v>2</v>
      </c>
      <c r="F766" s="278" t="str" cm="1">
        <f t="array" ref="F766">_xlfn.XLOOKUP(1,(D787:D804=B766)*(E787:E804=C766),B787:B804,"Not found",0,1)</f>
        <v>41-15</v>
      </c>
      <c r="G766" s="300">
        <f t="shared" si="0"/>
        <v>-552302.56820087961</v>
      </c>
      <c r="H766" s="1121"/>
      <c r="I766" s="1178"/>
      <c r="J766" s="1095"/>
    </row>
    <row r="767" spans="2:10">
      <c r="B767" s="278" t="s">
        <v>681</v>
      </c>
      <c r="C767" s="278" t="s">
        <v>462</v>
      </c>
      <c r="D767" s="299" t="s">
        <v>3301</v>
      </c>
      <c r="E767" s="299">
        <v>2</v>
      </c>
      <c r="F767" s="278" t="str" cm="1">
        <f t="array" ref="F767">_xlfn.XLOOKUP(1,(D788:D805=B767)*(E788:E805=C767),B788:B805,"Not found",0,1)</f>
        <v>41-16</v>
      </c>
      <c r="G767" s="300">
        <f t="shared" si="0"/>
        <v>-1837272.221474472</v>
      </c>
      <c r="H767" s="1121"/>
      <c r="I767" s="1178"/>
      <c r="J767" s="1095"/>
    </row>
    <row r="768" spans="2:10">
      <c r="B768" s="278" t="s">
        <v>682</v>
      </c>
      <c r="C768" s="278" t="s">
        <v>462</v>
      </c>
      <c r="D768" s="299" t="s">
        <v>3301</v>
      </c>
      <c r="E768" s="299">
        <v>2</v>
      </c>
      <c r="F768" s="278" t="str" cm="1">
        <f t="array" ref="F768">_xlfn.XLOOKUP(1,(D789:D806=B768)*(E789:E806=C768),B789:B806,"Not found",0,1)</f>
        <v>41-17</v>
      </c>
      <c r="G768" s="300">
        <f t="shared" si="0"/>
        <v>-812047.97380690777</v>
      </c>
      <c r="H768" s="1121"/>
      <c r="I768" s="1178"/>
      <c r="J768" s="1095"/>
    </row>
    <row r="769" spans="1:23">
      <c r="B769" s="278" t="s">
        <v>683</v>
      </c>
      <c r="C769" s="278" t="s">
        <v>462</v>
      </c>
      <c r="D769" s="299" t="s">
        <v>3301</v>
      </c>
      <c r="E769" s="299">
        <v>2</v>
      </c>
      <c r="F769" s="278" t="str" cm="1">
        <f t="array" ref="F769">_xlfn.XLOOKUP(1,(D790:D807=B769)*(E790:E807=C769),B790:B807,"Not found",0,1)</f>
        <v>41-18</v>
      </c>
      <c r="G769" s="300">
        <f t="shared" si="0"/>
        <v>-6009549.0749629186</v>
      </c>
      <c r="H769" s="1122"/>
      <c r="I769" s="1178"/>
      <c r="J769" s="1095"/>
    </row>
    <row r="770" spans="1:23">
      <c r="B770" s="18"/>
    </row>
    <row r="771" spans="1:23">
      <c r="A771" s="725"/>
      <c r="B771" s="726" t="s">
        <v>962</v>
      </c>
      <c r="C771" s="725"/>
      <c r="D771" s="725"/>
      <c r="E771" s="725"/>
      <c r="F771" s="725"/>
      <c r="G771" s="725"/>
      <c r="H771" s="725"/>
    </row>
    <row r="772" spans="1:23">
      <c r="B772" s="277" t="s">
        <v>904</v>
      </c>
      <c r="C772" s="277" t="s">
        <v>62</v>
      </c>
      <c r="D772" s="277" t="s">
        <v>902</v>
      </c>
      <c r="E772" s="277" t="s">
        <v>898</v>
      </c>
      <c r="F772" s="277" t="s">
        <v>916</v>
      </c>
      <c r="G772" s="277" t="s">
        <v>963</v>
      </c>
      <c r="H772" s="277" t="s">
        <v>964</v>
      </c>
      <c r="I772" s="277" t="s">
        <v>965</v>
      </c>
      <c r="J772" s="277" t="s">
        <v>966</v>
      </c>
      <c r="K772" s="277" t="s">
        <v>967</v>
      </c>
      <c r="L772" s="277" t="s">
        <v>968</v>
      </c>
      <c r="M772" s="277" t="s">
        <v>956</v>
      </c>
      <c r="N772" s="277" t="s">
        <v>969</v>
      </c>
      <c r="O772" s="277" t="s">
        <v>970</v>
      </c>
      <c r="P772" s="277" t="s">
        <v>927</v>
      </c>
      <c r="Q772" s="277" t="s">
        <v>913</v>
      </c>
      <c r="R772" s="277" t="s">
        <v>914</v>
      </c>
      <c r="S772" s="277" t="s">
        <v>915</v>
      </c>
      <c r="T772" s="277" t="s">
        <v>916</v>
      </c>
      <c r="U772" s="277" t="s">
        <v>917</v>
      </c>
      <c r="V772" s="277" t="s">
        <v>918</v>
      </c>
      <c r="W772" s="277" t="s">
        <v>919</v>
      </c>
    </row>
    <row r="773" spans="1:23">
      <c r="B773" s="302" t="s">
        <v>3639</v>
      </c>
      <c r="C773" s="279" t="s">
        <v>435</v>
      </c>
      <c r="D773" s="278" t="s">
        <v>665</v>
      </c>
      <c r="E773" s="278" t="s">
        <v>462</v>
      </c>
      <c r="F773" s="299">
        <f>E39</f>
        <v>2020</v>
      </c>
      <c r="G773" s="299">
        <v>2019</v>
      </c>
      <c r="H773" s="278">
        <f>'COMPANY INPUT'!$C$16</f>
        <v>2023</v>
      </c>
      <c r="I773" s="278">
        <f>VLOOKUP(G773,'GDP Deflators'!$H$13:$I$86,2,FALSE)</f>
        <v>84.587599999999995</v>
      </c>
      <c r="J773" s="278">
        <f>VLOOKUP(H773,'GDP Deflators'!$H$13:$I$86,2,FALSE)</f>
        <v>100</v>
      </c>
      <c r="K773" s="385">
        <f t="shared" ref="K773:K781" si="1">-C383</f>
        <v>-1236486.4864864864</v>
      </c>
      <c r="L773" s="746">
        <f t="shared" ref="L773:L790" si="2">K773*(J773/I773)</f>
        <v>-1461782.2074234125</v>
      </c>
      <c r="M773" s="278" t="str">
        <f t="shared" ref="M773:M781" si="3">$I$752</f>
        <v>Uplift</v>
      </c>
      <c r="N773" s="326">
        <f t="shared" ref="N773:N781" si="4">$H$752</f>
        <v>2.5714285714285698</v>
      </c>
      <c r="O773" s="278" t="s">
        <v>718</v>
      </c>
      <c r="P773" s="278" t="str">
        <f t="shared" ref="P773:P781" si="5">$J$752</f>
        <v>UK government guidance and data with accompanying high confidence score</v>
      </c>
      <c r="Q773" s="299">
        <f t="shared" ref="Q773:Q781" si="6">$B$39</f>
        <v>114</v>
      </c>
      <c r="R773" s="278" t="str">
        <f t="shared" ref="R773:R781" si="7">$C$39</f>
        <v>ONS (2020) Land value estimates for policy appraisal 2019</v>
      </c>
      <c r="S773" s="278" t="str">
        <f t="shared" ref="S773:S781" si="8">$D$39</f>
        <v>NA</v>
      </c>
      <c r="T773" s="278">
        <f t="shared" ref="T773:T781" si="9">$E$39</f>
        <v>2020</v>
      </c>
      <c r="U773" s="278" t="str">
        <f t="shared" ref="U773:U781" si="10">$F$39</f>
        <v xml:space="preserve">England </v>
      </c>
      <c r="V773" s="278" t="str">
        <f t="shared" ref="V773:V781" si="11">$G$39</f>
        <v xml:space="preserve">England </v>
      </c>
      <c r="W773" s="278" t="str">
        <f t="shared" ref="W773:W781" si="12">$H$39</f>
        <v>NA</v>
      </c>
    </row>
    <row r="774" spans="1:23">
      <c r="B774" s="302" t="s">
        <v>3640</v>
      </c>
      <c r="C774" s="279" t="s">
        <v>435</v>
      </c>
      <c r="D774" s="299" t="s">
        <v>667</v>
      </c>
      <c r="E774" s="278" t="s">
        <v>462</v>
      </c>
      <c r="F774" s="299">
        <f>E39</f>
        <v>2020</v>
      </c>
      <c r="G774" s="299">
        <v>2019</v>
      </c>
      <c r="H774" s="278">
        <f>'COMPANY INPUT'!$C$16</f>
        <v>2023</v>
      </c>
      <c r="I774" s="278">
        <f>VLOOKUP(G774,'GDP Deflators'!$H$13:$I$86,2,FALSE)</f>
        <v>84.587599999999995</v>
      </c>
      <c r="J774" s="278">
        <f>VLOOKUP(H774,'GDP Deflators'!$H$13:$I$86,2,FALSE)</f>
        <v>100</v>
      </c>
      <c r="K774" s="385">
        <f t="shared" si="1"/>
        <v>-1990500</v>
      </c>
      <c r="L774" s="746">
        <f t="shared" si="2"/>
        <v>-2353181.7902387585</v>
      </c>
      <c r="M774" s="278" t="str">
        <f t="shared" si="3"/>
        <v>Uplift</v>
      </c>
      <c r="N774" s="326">
        <f t="shared" si="4"/>
        <v>2.5714285714285698</v>
      </c>
      <c r="O774" s="278" t="s">
        <v>718</v>
      </c>
      <c r="P774" s="278" t="str">
        <f t="shared" si="5"/>
        <v>UK government guidance and data with accompanying high confidence score</v>
      </c>
      <c r="Q774" s="299">
        <f t="shared" si="6"/>
        <v>114</v>
      </c>
      <c r="R774" s="278" t="str">
        <f t="shared" si="7"/>
        <v>ONS (2020) Land value estimates for policy appraisal 2019</v>
      </c>
      <c r="S774" s="278" t="str">
        <f t="shared" si="8"/>
        <v>NA</v>
      </c>
      <c r="T774" s="278">
        <f t="shared" si="9"/>
        <v>2020</v>
      </c>
      <c r="U774" s="278" t="str">
        <f t="shared" si="10"/>
        <v xml:space="preserve">England </v>
      </c>
      <c r="V774" s="278" t="str">
        <f t="shared" si="11"/>
        <v xml:space="preserve">England </v>
      </c>
      <c r="W774" s="278" t="str">
        <f t="shared" si="12"/>
        <v>NA</v>
      </c>
    </row>
    <row r="775" spans="1:23">
      <c r="B775" s="302" t="s">
        <v>3641</v>
      </c>
      <c r="C775" s="279" t="s">
        <v>435</v>
      </c>
      <c r="D775" s="278" t="s">
        <v>668</v>
      </c>
      <c r="E775" s="278" t="s">
        <v>462</v>
      </c>
      <c r="F775" s="299">
        <f>E39</f>
        <v>2020</v>
      </c>
      <c r="G775" s="299">
        <v>2019</v>
      </c>
      <c r="H775" s="278">
        <f>'COMPANY INPUT'!$C$16</f>
        <v>2023</v>
      </c>
      <c r="I775" s="278">
        <f>VLOOKUP(G775,'GDP Deflators'!$H$13:$I$86,2,FALSE)</f>
        <v>84.587599999999995</v>
      </c>
      <c r="J775" s="278">
        <f>VLOOKUP(H775,'GDP Deflators'!$H$13:$I$86,2,FALSE)</f>
        <v>100</v>
      </c>
      <c r="K775" s="385">
        <f t="shared" si="1"/>
        <v>-3691200</v>
      </c>
      <c r="L775" s="746">
        <f t="shared" si="2"/>
        <v>-4363760.1728858603</v>
      </c>
      <c r="M775" s="278" t="str">
        <f t="shared" si="3"/>
        <v>Uplift</v>
      </c>
      <c r="N775" s="326">
        <f t="shared" si="4"/>
        <v>2.5714285714285698</v>
      </c>
      <c r="O775" s="278" t="s">
        <v>718</v>
      </c>
      <c r="P775" s="278" t="str">
        <f t="shared" si="5"/>
        <v>UK government guidance and data with accompanying high confidence score</v>
      </c>
      <c r="Q775" s="299">
        <f t="shared" si="6"/>
        <v>114</v>
      </c>
      <c r="R775" s="278" t="str">
        <f t="shared" si="7"/>
        <v>ONS (2020) Land value estimates for policy appraisal 2019</v>
      </c>
      <c r="S775" s="278" t="str">
        <f t="shared" si="8"/>
        <v>NA</v>
      </c>
      <c r="T775" s="278">
        <f t="shared" si="9"/>
        <v>2020</v>
      </c>
      <c r="U775" s="278" t="str">
        <f t="shared" si="10"/>
        <v xml:space="preserve">England </v>
      </c>
      <c r="V775" s="278" t="str">
        <f t="shared" si="11"/>
        <v xml:space="preserve">England </v>
      </c>
      <c r="W775" s="278" t="str">
        <f t="shared" si="12"/>
        <v>NA</v>
      </c>
    </row>
    <row r="776" spans="1:23">
      <c r="B776" s="302" t="s">
        <v>3642</v>
      </c>
      <c r="C776" s="279" t="s">
        <v>435</v>
      </c>
      <c r="D776" s="299" t="s">
        <v>669</v>
      </c>
      <c r="E776" s="278" t="s">
        <v>462</v>
      </c>
      <c r="F776" s="299">
        <f>E39</f>
        <v>2020</v>
      </c>
      <c r="G776" s="299">
        <v>2019</v>
      </c>
      <c r="H776" s="278">
        <f>'COMPANY INPUT'!$C$16</f>
        <v>2023</v>
      </c>
      <c r="I776" s="278">
        <f>VLOOKUP(G776,'GDP Deflators'!$H$13:$I$86,2,FALSE)</f>
        <v>84.587599999999995</v>
      </c>
      <c r="J776" s="278">
        <f>VLOOKUP(H776,'GDP Deflators'!$H$13:$I$86,2,FALSE)</f>
        <v>100</v>
      </c>
      <c r="K776" s="385">
        <f t="shared" si="1"/>
        <v>-1405952.3809523811</v>
      </c>
      <c r="L776" s="746">
        <f t="shared" si="2"/>
        <v>-1662125.8682742876</v>
      </c>
      <c r="M776" s="278" t="str">
        <f t="shared" si="3"/>
        <v>Uplift</v>
      </c>
      <c r="N776" s="326">
        <f t="shared" si="4"/>
        <v>2.5714285714285698</v>
      </c>
      <c r="O776" s="278" t="s">
        <v>718</v>
      </c>
      <c r="P776" s="278" t="str">
        <f t="shared" si="5"/>
        <v>UK government guidance and data with accompanying high confidence score</v>
      </c>
      <c r="Q776" s="299">
        <f t="shared" si="6"/>
        <v>114</v>
      </c>
      <c r="R776" s="278" t="str">
        <f t="shared" si="7"/>
        <v>ONS (2020) Land value estimates for policy appraisal 2019</v>
      </c>
      <c r="S776" s="278" t="str">
        <f t="shared" si="8"/>
        <v>NA</v>
      </c>
      <c r="T776" s="278">
        <f t="shared" si="9"/>
        <v>2020</v>
      </c>
      <c r="U776" s="278" t="str">
        <f t="shared" si="10"/>
        <v xml:space="preserve">England </v>
      </c>
      <c r="V776" s="278" t="str">
        <f t="shared" si="11"/>
        <v xml:space="preserve">England </v>
      </c>
      <c r="W776" s="278" t="str">
        <f t="shared" si="12"/>
        <v>NA</v>
      </c>
    </row>
    <row r="777" spans="1:23">
      <c r="B777" s="302" t="s">
        <v>3643</v>
      </c>
      <c r="C777" s="279" t="s">
        <v>435</v>
      </c>
      <c r="D777" s="278" t="s">
        <v>670</v>
      </c>
      <c r="E777" s="278" t="s">
        <v>462</v>
      </c>
      <c r="F777" s="299">
        <f>E39</f>
        <v>2020</v>
      </c>
      <c r="G777" s="299">
        <v>2019</v>
      </c>
      <c r="H777" s="278">
        <f>'COMPANY INPUT'!$C$16</f>
        <v>2023</v>
      </c>
      <c r="I777" s="278">
        <f>VLOOKUP(G777,'GDP Deflators'!$H$13:$I$86,2,FALSE)</f>
        <v>84.587599999999995</v>
      </c>
      <c r="J777" s="278">
        <f>VLOOKUP(H777,'GDP Deflators'!$H$13:$I$86,2,FALSE)</f>
        <v>100</v>
      </c>
      <c r="K777" s="385">
        <f t="shared" si="1"/>
        <v>-660416.66666666663</v>
      </c>
      <c r="L777" s="746">
        <f t="shared" si="2"/>
        <v>-780748.79375542828</v>
      </c>
      <c r="M777" s="278" t="str">
        <f t="shared" si="3"/>
        <v>Uplift</v>
      </c>
      <c r="N777" s="326">
        <f t="shared" si="4"/>
        <v>2.5714285714285698</v>
      </c>
      <c r="O777" s="278" t="s">
        <v>718</v>
      </c>
      <c r="P777" s="278" t="str">
        <f t="shared" si="5"/>
        <v>UK government guidance and data with accompanying high confidence score</v>
      </c>
      <c r="Q777" s="299">
        <f t="shared" si="6"/>
        <v>114</v>
      </c>
      <c r="R777" s="278" t="str">
        <f t="shared" si="7"/>
        <v>ONS (2020) Land value estimates for policy appraisal 2019</v>
      </c>
      <c r="S777" s="278" t="str">
        <f t="shared" si="8"/>
        <v>NA</v>
      </c>
      <c r="T777" s="278">
        <f t="shared" si="9"/>
        <v>2020</v>
      </c>
      <c r="U777" s="278" t="str">
        <f t="shared" si="10"/>
        <v xml:space="preserve">England </v>
      </c>
      <c r="V777" s="278" t="str">
        <f t="shared" si="11"/>
        <v xml:space="preserve">England </v>
      </c>
      <c r="W777" s="278" t="str">
        <f t="shared" si="12"/>
        <v>NA</v>
      </c>
    </row>
    <row r="778" spans="1:23">
      <c r="B778" s="302" t="s">
        <v>3644</v>
      </c>
      <c r="C778" s="279" t="s">
        <v>435</v>
      </c>
      <c r="D778" s="299" t="s">
        <v>671</v>
      </c>
      <c r="E778" s="278" t="s">
        <v>462</v>
      </c>
      <c r="F778" s="299">
        <f>E39</f>
        <v>2020</v>
      </c>
      <c r="G778" s="299">
        <v>2019</v>
      </c>
      <c r="H778" s="278">
        <f>'COMPANY INPUT'!$C$16</f>
        <v>2023</v>
      </c>
      <c r="I778" s="278">
        <f>VLOOKUP(G778,'GDP Deflators'!$H$13:$I$86,2,FALSE)</f>
        <v>84.587599999999995</v>
      </c>
      <c r="J778" s="278">
        <f>VLOOKUP(H778,'GDP Deflators'!$H$13:$I$86,2,FALSE)</f>
        <v>100</v>
      </c>
      <c r="K778" s="385">
        <f t="shared" si="1"/>
        <v>-1283473.8717948718</v>
      </c>
      <c r="L778" s="746">
        <f t="shared" si="2"/>
        <v>-1517330.9938984814</v>
      </c>
      <c r="M778" s="278" t="str">
        <f t="shared" si="3"/>
        <v>Uplift</v>
      </c>
      <c r="N778" s="326">
        <f t="shared" si="4"/>
        <v>2.5714285714285698</v>
      </c>
      <c r="O778" s="278" t="s">
        <v>718</v>
      </c>
      <c r="P778" s="278" t="str">
        <f t="shared" si="5"/>
        <v>UK government guidance and data with accompanying high confidence score</v>
      </c>
      <c r="Q778" s="299">
        <f t="shared" si="6"/>
        <v>114</v>
      </c>
      <c r="R778" s="278" t="str">
        <f t="shared" si="7"/>
        <v>ONS (2020) Land value estimates for policy appraisal 2019</v>
      </c>
      <c r="S778" s="278" t="str">
        <f t="shared" si="8"/>
        <v>NA</v>
      </c>
      <c r="T778" s="278">
        <f t="shared" si="9"/>
        <v>2020</v>
      </c>
      <c r="U778" s="278" t="str">
        <f t="shared" si="10"/>
        <v xml:space="preserve">England </v>
      </c>
      <c r="V778" s="278" t="str">
        <f t="shared" si="11"/>
        <v xml:space="preserve">England </v>
      </c>
      <c r="W778" s="278" t="str">
        <f t="shared" si="12"/>
        <v>NA</v>
      </c>
    </row>
    <row r="779" spans="1:23">
      <c r="B779" s="302" t="s">
        <v>3645</v>
      </c>
      <c r="C779" s="279" t="s">
        <v>435</v>
      </c>
      <c r="D779" s="278" t="s">
        <v>672</v>
      </c>
      <c r="E779" s="278" t="s">
        <v>462</v>
      </c>
      <c r="F779" s="299">
        <f>E39</f>
        <v>2020</v>
      </c>
      <c r="G779" s="299">
        <v>2019</v>
      </c>
      <c r="H779" s="278">
        <f>'COMPANY INPUT'!$C$16</f>
        <v>2023</v>
      </c>
      <c r="I779" s="278">
        <f>VLOOKUP(G779,'GDP Deflators'!$H$13:$I$86,2,FALSE)</f>
        <v>84.587599999999995</v>
      </c>
      <c r="J779" s="278">
        <f>VLOOKUP(H779,'GDP Deflators'!$H$13:$I$86,2,FALSE)</f>
        <v>100</v>
      </c>
      <c r="K779" s="385">
        <f t="shared" si="1"/>
        <v>-4745970.1492537316</v>
      </c>
      <c r="L779" s="746">
        <f t="shared" si="2"/>
        <v>-5610716.1679179119</v>
      </c>
      <c r="M779" s="278" t="str">
        <f t="shared" si="3"/>
        <v>Uplift</v>
      </c>
      <c r="N779" s="326">
        <f t="shared" si="4"/>
        <v>2.5714285714285698</v>
      </c>
      <c r="O779" s="278" t="s">
        <v>718</v>
      </c>
      <c r="P779" s="278" t="str">
        <f t="shared" si="5"/>
        <v>UK government guidance and data with accompanying high confidence score</v>
      </c>
      <c r="Q779" s="299">
        <f t="shared" si="6"/>
        <v>114</v>
      </c>
      <c r="R779" s="278" t="str">
        <f t="shared" si="7"/>
        <v>ONS (2020) Land value estimates for policy appraisal 2019</v>
      </c>
      <c r="S779" s="278" t="str">
        <f t="shared" si="8"/>
        <v>NA</v>
      </c>
      <c r="T779" s="278">
        <f t="shared" si="9"/>
        <v>2020</v>
      </c>
      <c r="U779" s="278" t="str">
        <f t="shared" si="10"/>
        <v xml:space="preserve">England </v>
      </c>
      <c r="V779" s="278" t="str">
        <f t="shared" si="11"/>
        <v xml:space="preserve">England </v>
      </c>
      <c r="W779" s="278" t="str">
        <f t="shared" si="12"/>
        <v>NA</v>
      </c>
    </row>
    <row r="780" spans="1:23">
      <c r="B780" s="302" t="s">
        <v>3646</v>
      </c>
      <c r="C780" s="279" t="s">
        <v>435</v>
      </c>
      <c r="D780" s="299" t="s">
        <v>673</v>
      </c>
      <c r="E780" s="278" t="s">
        <v>462</v>
      </c>
      <c r="F780" s="299">
        <f>E39</f>
        <v>2020</v>
      </c>
      <c r="G780" s="299">
        <v>2019</v>
      </c>
      <c r="H780" s="278">
        <f>'COMPANY INPUT'!$C$16</f>
        <v>2023</v>
      </c>
      <c r="I780" s="278">
        <f>VLOOKUP(G780,'GDP Deflators'!$H$13:$I$86,2,FALSE)</f>
        <v>84.587599999999995</v>
      </c>
      <c r="J780" s="278">
        <f>VLOOKUP(H780,'GDP Deflators'!$H$13:$I$86,2,FALSE)</f>
        <v>100</v>
      </c>
      <c r="K780" s="385">
        <f t="shared" si="1"/>
        <v>-2480405.4054054054</v>
      </c>
      <c r="L780" s="746">
        <f t="shared" si="2"/>
        <v>-2932351.0838531954</v>
      </c>
      <c r="M780" s="278" t="str">
        <f t="shared" si="3"/>
        <v>Uplift</v>
      </c>
      <c r="N780" s="326">
        <f t="shared" si="4"/>
        <v>2.5714285714285698</v>
      </c>
      <c r="O780" s="278" t="s">
        <v>718</v>
      </c>
      <c r="P780" s="278" t="str">
        <f t="shared" si="5"/>
        <v>UK government guidance and data with accompanying high confidence score</v>
      </c>
      <c r="Q780" s="299">
        <f t="shared" si="6"/>
        <v>114</v>
      </c>
      <c r="R780" s="278" t="str">
        <f t="shared" si="7"/>
        <v>ONS (2020) Land value estimates for policy appraisal 2019</v>
      </c>
      <c r="S780" s="278" t="str">
        <f t="shared" si="8"/>
        <v>NA</v>
      </c>
      <c r="T780" s="278">
        <f t="shared" si="9"/>
        <v>2020</v>
      </c>
      <c r="U780" s="278" t="str">
        <f t="shared" si="10"/>
        <v xml:space="preserve">England </v>
      </c>
      <c r="V780" s="278" t="str">
        <f t="shared" si="11"/>
        <v xml:space="preserve">England </v>
      </c>
      <c r="W780" s="278" t="str">
        <f t="shared" si="12"/>
        <v>NA</v>
      </c>
    </row>
    <row r="781" spans="1:23">
      <c r="B781" s="302" t="s">
        <v>3647</v>
      </c>
      <c r="C781" s="279" t="s">
        <v>435</v>
      </c>
      <c r="D781" s="278" t="s">
        <v>674</v>
      </c>
      <c r="E781" s="278" t="s">
        <v>462</v>
      </c>
      <c r="F781" s="299">
        <f>E39</f>
        <v>2020</v>
      </c>
      <c r="G781" s="299">
        <v>2019</v>
      </c>
      <c r="H781" s="278">
        <f>'COMPANY INPUT'!$C$16</f>
        <v>2023</v>
      </c>
      <c r="I781" s="278">
        <f>VLOOKUP(G781,'GDP Deflators'!$H$13:$I$86,2,FALSE)</f>
        <v>84.587599999999995</v>
      </c>
      <c r="J781" s="278">
        <f>VLOOKUP(H781,'GDP Deflators'!$H$13:$I$86,2,FALSE)</f>
        <v>100</v>
      </c>
      <c r="K781" s="385">
        <f t="shared" si="1"/>
        <v>-35551363.636363633</v>
      </c>
      <c r="L781" s="746">
        <f t="shared" si="2"/>
        <v>-42029048.745163165</v>
      </c>
      <c r="M781" s="278" t="str">
        <f t="shared" si="3"/>
        <v>Uplift</v>
      </c>
      <c r="N781" s="326">
        <f t="shared" si="4"/>
        <v>2.5714285714285698</v>
      </c>
      <c r="O781" s="278" t="s">
        <v>718</v>
      </c>
      <c r="P781" s="278" t="str">
        <f t="shared" si="5"/>
        <v>UK government guidance and data with accompanying high confidence score</v>
      </c>
      <c r="Q781" s="299">
        <f t="shared" si="6"/>
        <v>114</v>
      </c>
      <c r="R781" s="278" t="str">
        <f t="shared" si="7"/>
        <v>ONS (2020) Land value estimates for policy appraisal 2019</v>
      </c>
      <c r="S781" s="278" t="str">
        <f t="shared" si="8"/>
        <v>NA</v>
      </c>
      <c r="T781" s="278">
        <f t="shared" si="9"/>
        <v>2020</v>
      </c>
      <c r="U781" s="278" t="str">
        <f t="shared" si="10"/>
        <v xml:space="preserve">England </v>
      </c>
      <c r="V781" s="278" t="str">
        <f t="shared" si="11"/>
        <v xml:space="preserve">England </v>
      </c>
      <c r="W781" s="278" t="str">
        <f t="shared" si="12"/>
        <v>NA</v>
      </c>
    </row>
    <row r="782" spans="1:23">
      <c r="B782" s="302" t="s">
        <v>3648</v>
      </c>
      <c r="C782" s="279" t="s">
        <v>435</v>
      </c>
      <c r="D782" s="299" t="s">
        <v>675</v>
      </c>
      <c r="E782" s="278" t="s">
        <v>462</v>
      </c>
      <c r="F782" s="299">
        <f>E39</f>
        <v>2020</v>
      </c>
      <c r="G782" s="299">
        <v>2019</v>
      </c>
      <c r="H782" s="278">
        <f>'COMPANY INPUT'!$C$16</f>
        <v>2023</v>
      </c>
      <c r="I782" s="278">
        <f>VLOOKUP(G782,'GDP Deflators'!$H$13:$I$86,2,FALSE)</f>
        <v>84.587599999999995</v>
      </c>
      <c r="J782" s="278">
        <f>VLOOKUP(H782,'GDP Deflators'!$H$13:$I$86,2,FALSE)</f>
        <v>100</v>
      </c>
      <c r="K782" s="385">
        <f t="shared" ref="K782:K790" si="13">-C740</f>
        <v>-494864.86486486485</v>
      </c>
      <c r="L782" s="746">
        <f t="shared" si="2"/>
        <v>-585032.39820596029</v>
      </c>
      <c r="M782" s="278" t="str">
        <f t="shared" ref="M782:M790" si="14">$I$761</f>
        <v>Uplift</v>
      </c>
      <c r="N782" s="326">
        <f t="shared" ref="N782:N790" si="15">$H$761</f>
        <v>2.5714285714285698</v>
      </c>
      <c r="O782" s="278" t="s">
        <v>718</v>
      </c>
      <c r="P782" s="278" t="str">
        <f t="shared" ref="P782:P790" si="16">$J$761</f>
        <v>UK government guidance and data with accompanying high confidence score</v>
      </c>
      <c r="Q782" s="299">
        <f t="shared" ref="Q782:Q790" si="17">$B$396</f>
        <v>114</v>
      </c>
      <c r="R782" s="299" t="str">
        <f t="shared" ref="R782:R790" si="18">$C$396</f>
        <v>ONS (2020) Land value estimates for policy appraisal 2019</v>
      </c>
      <c r="S782" s="299" t="str">
        <f t="shared" ref="S782:S790" si="19">$D$396</f>
        <v xml:space="preserve"> </v>
      </c>
      <c r="T782" s="299">
        <f t="shared" ref="T782:T790" si="20">$E$396</f>
        <v>2020</v>
      </c>
      <c r="U782" s="299" t="str">
        <f t="shared" ref="U782:U790" si="21">$F$396</f>
        <v xml:space="preserve">England </v>
      </c>
      <c r="V782" s="299" t="str">
        <f t="shared" ref="V782:V790" si="22">$G$396</f>
        <v xml:space="preserve">England </v>
      </c>
      <c r="W782" s="299">
        <f t="shared" ref="W782:W790" si="23">$H$396</f>
        <v>0</v>
      </c>
    </row>
    <row r="783" spans="1:23">
      <c r="B783" s="302" t="s">
        <v>3649</v>
      </c>
      <c r="C783" s="279" t="s">
        <v>435</v>
      </c>
      <c r="D783" s="278" t="s">
        <v>676</v>
      </c>
      <c r="E783" s="278" t="s">
        <v>462</v>
      </c>
      <c r="F783" s="299">
        <f>E39</f>
        <v>2020</v>
      </c>
      <c r="G783" s="299">
        <v>2019</v>
      </c>
      <c r="H783" s="278">
        <f>'COMPANY INPUT'!$C$16</f>
        <v>2023</v>
      </c>
      <c r="I783" s="278">
        <f>VLOOKUP(G783,'GDP Deflators'!$H$13:$I$86,2,FALSE)</f>
        <v>84.587599999999995</v>
      </c>
      <c r="J783" s="278">
        <f>VLOOKUP(H783,'GDP Deflators'!$H$13:$I$86,2,FALSE)</f>
        <v>100</v>
      </c>
      <c r="K783" s="385">
        <f t="shared" si="13"/>
        <v>-631833.33333333337</v>
      </c>
      <c r="L783" s="746">
        <f t="shared" si="2"/>
        <v>-746957.39485850581</v>
      </c>
      <c r="M783" s="278" t="str">
        <f t="shared" si="14"/>
        <v>Uplift</v>
      </c>
      <c r="N783" s="326">
        <f t="shared" si="15"/>
        <v>2.5714285714285698</v>
      </c>
      <c r="O783" s="278" t="s">
        <v>718</v>
      </c>
      <c r="P783" s="278" t="str">
        <f t="shared" si="16"/>
        <v>UK government guidance and data with accompanying high confidence score</v>
      </c>
      <c r="Q783" s="299">
        <f t="shared" si="17"/>
        <v>114</v>
      </c>
      <c r="R783" s="299" t="str">
        <f t="shared" si="18"/>
        <v>ONS (2020) Land value estimates for policy appraisal 2019</v>
      </c>
      <c r="S783" s="299" t="str">
        <f t="shared" si="19"/>
        <v xml:space="preserve"> </v>
      </c>
      <c r="T783" s="299">
        <f t="shared" si="20"/>
        <v>2020</v>
      </c>
      <c r="U783" s="299" t="str">
        <f t="shared" si="21"/>
        <v xml:space="preserve">England </v>
      </c>
      <c r="V783" s="299" t="str">
        <f t="shared" si="22"/>
        <v xml:space="preserve">England </v>
      </c>
      <c r="W783" s="299">
        <f t="shared" si="23"/>
        <v>0</v>
      </c>
    </row>
    <row r="784" spans="1:23">
      <c r="B784" s="302" t="s">
        <v>3650</v>
      </c>
      <c r="C784" s="279" t="s">
        <v>435</v>
      </c>
      <c r="D784" s="299" t="s">
        <v>677</v>
      </c>
      <c r="E784" s="278" t="s">
        <v>462</v>
      </c>
      <c r="F784" s="299">
        <f>E39</f>
        <v>2020</v>
      </c>
      <c r="G784" s="299">
        <v>2019</v>
      </c>
      <c r="H784" s="278">
        <f>'COMPANY INPUT'!$C$16</f>
        <v>2023</v>
      </c>
      <c r="I784" s="278">
        <f>VLOOKUP(G784,'GDP Deflators'!$H$13:$I$86,2,FALSE)</f>
        <v>84.587599999999995</v>
      </c>
      <c r="J784" s="278">
        <f>VLOOKUP(H784,'GDP Deflators'!$H$13:$I$86,2,FALSE)</f>
        <v>100</v>
      </c>
      <c r="K784" s="385">
        <f t="shared" si="13"/>
        <v>-845700</v>
      </c>
      <c r="L784" s="746">
        <f t="shared" si="2"/>
        <v>-999791.93167792924</v>
      </c>
      <c r="M784" s="278" t="str">
        <f t="shared" si="14"/>
        <v>Uplift</v>
      </c>
      <c r="N784" s="326">
        <f t="shared" si="15"/>
        <v>2.5714285714285698</v>
      </c>
      <c r="O784" s="278" t="s">
        <v>718</v>
      </c>
      <c r="P784" s="278" t="str">
        <f t="shared" si="16"/>
        <v>UK government guidance and data with accompanying high confidence score</v>
      </c>
      <c r="Q784" s="299">
        <f t="shared" si="17"/>
        <v>114</v>
      </c>
      <c r="R784" s="299" t="str">
        <f t="shared" si="18"/>
        <v>ONS (2020) Land value estimates for policy appraisal 2019</v>
      </c>
      <c r="S784" s="299" t="str">
        <f t="shared" si="19"/>
        <v xml:space="preserve"> </v>
      </c>
      <c r="T784" s="299">
        <f t="shared" si="20"/>
        <v>2020</v>
      </c>
      <c r="U784" s="299" t="str">
        <f t="shared" si="21"/>
        <v xml:space="preserve">England </v>
      </c>
      <c r="V784" s="299" t="str">
        <f t="shared" si="22"/>
        <v xml:space="preserve">England </v>
      </c>
      <c r="W784" s="299">
        <f t="shared" si="23"/>
        <v>0</v>
      </c>
    </row>
    <row r="785" spans="2:23">
      <c r="B785" s="302" t="s">
        <v>3651</v>
      </c>
      <c r="C785" s="279" t="s">
        <v>435</v>
      </c>
      <c r="D785" s="278" t="s">
        <v>678</v>
      </c>
      <c r="E785" s="278" t="s">
        <v>462</v>
      </c>
      <c r="F785" s="299">
        <f>E39</f>
        <v>2020</v>
      </c>
      <c r="G785" s="299">
        <v>2019</v>
      </c>
      <c r="H785" s="278">
        <f>'COMPANY INPUT'!$C$16</f>
        <v>2023</v>
      </c>
      <c r="I785" s="278">
        <f>VLOOKUP(G785,'GDP Deflators'!$H$13:$I$86,2,FALSE)</f>
        <v>84.587599999999995</v>
      </c>
      <c r="J785" s="278">
        <f>VLOOKUP(H785,'GDP Deflators'!$H$13:$I$86,2,FALSE)</f>
        <v>100</v>
      </c>
      <c r="K785" s="385">
        <f t="shared" si="13"/>
        <v>-488809.52380952379</v>
      </c>
      <c r="L785" s="746">
        <f t="shared" si="2"/>
        <v>-577873.73540509935</v>
      </c>
      <c r="M785" s="278" t="str">
        <f t="shared" si="14"/>
        <v>Uplift</v>
      </c>
      <c r="N785" s="326">
        <f t="shared" si="15"/>
        <v>2.5714285714285698</v>
      </c>
      <c r="O785" s="278" t="s">
        <v>718</v>
      </c>
      <c r="P785" s="278" t="str">
        <f t="shared" si="16"/>
        <v>UK government guidance and data with accompanying high confidence score</v>
      </c>
      <c r="Q785" s="299">
        <f t="shared" si="17"/>
        <v>114</v>
      </c>
      <c r="R785" s="299" t="str">
        <f t="shared" si="18"/>
        <v>ONS (2020) Land value estimates for policy appraisal 2019</v>
      </c>
      <c r="S785" s="299" t="str">
        <f t="shared" si="19"/>
        <v xml:space="preserve"> </v>
      </c>
      <c r="T785" s="299">
        <f t="shared" si="20"/>
        <v>2020</v>
      </c>
      <c r="U785" s="299" t="str">
        <f t="shared" si="21"/>
        <v xml:space="preserve">England </v>
      </c>
      <c r="V785" s="299" t="str">
        <f t="shared" si="22"/>
        <v xml:space="preserve">England </v>
      </c>
      <c r="W785" s="299">
        <f t="shared" si="23"/>
        <v>0</v>
      </c>
    </row>
    <row r="786" spans="2:23">
      <c r="B786" s="302" t="s">
        <v>3652</v>
      </c>
      <c r="C786" s="279" t="s">
        <v>435</v>
      </c>
      <c r="D786" s="299" t="s">
        <v>679</v>
      </c>
      <c r="E786" s="278" t="s">
        <v>462</v>
      </c>
      <c r="F786" s="299">
        <f>E39</f>
        <v>2020</v>
      </c>
      <c r="G786" s="299">
        <v>2019</v>
      </c>
      <c r="H786" s="278">
        <f>'COMPANY INPUT'!$C$16</f>
        <v>2023</v>
      </c>
      <c r="I786" s="278">
        <f>VLOOKUP(G786,'GDP Deflators'!$H$13:$I$86,2,FALSE)</f>
        <v>84.587599999999995</v>
      </c>
      <c r="J786" s="278">
        <f>VLOOKUP(H786,'GDP Deflators'!$H$13:$I$86,2,FALSE)</f>
        <v>100</v>
      </c>
      <c r="K786" s="385">
        <f t="shared" si="13"/>
        <v>-190416.66666666666</v>
      </c>
      <c r="L786" s="746">
        <f t="shared" si="2"/>
        <v>-225111.79731623392</v>
      </c>
      <c r="M786" s="278" t="str">
        <f t="shared" si="14"/>
        <v>Uplift</v>
      </c>
      <c r="N786" s="326">
        <f t="shared" si="15"/>
        <v>2.5714285714285698</v>
      </c>
      <c r="O786" s="278" t="s">
        <v>718</v>
      </c>
      <c r="P786" s="278" t="str">
        <f t="shared" si="16"/>
        <v>UK government guidance and data with accompanying high confidence score</v>
      </c>
      <c r="Q786" s="299">
        <f t="shared" si="17"/>
        <v>114</v>
      </c>
      <c r="R786" s="299" t="str">
        <f t="shared" si="18"/>
        <v>ONS (2020) Land value estimates for policy appraisal 2019</v>
      </c>
      <c r="S786" s="299" t="str">
        <f t="shared" si="19"/>
        <v xml:space="preserve"> </v>
      </c>
      <c r="T786" s="299">
        <f t="shared" si="20"/>
        <v>2020</v>
      </c>
      <c r="U786" s="299" t="str">
        <f t="shared" si="21"/>
        <v xml:space="preserve">England </v>
      </c>
      <c r="V786" s="299" t="str">
        <f t="shared" si="22"/>
        <v xml:space="preserve">England </v>
      </c>
      <c r="W786" s="299">
        <f t="shared" si="23"/>
        <v>0</v>
      </c>
    </row>
    <row r="787" spans="2:23">
      <c r="B787" s="302" t="s">
        <v>3653</v>
      </c>
      <c r="C787" s="279" t="s">
        <v>435</v>
      </c>
      <c r="D787" s="278" t="s">
        <v>680</v>
      </c>
      <c r="E787" s="278" t="s">
        <v>462</v>
      </c>
      <c r="F787" s="299">
        <f>E39</f>
        <v>2020</v>
      </c>
      <c r="G787" s="299">
        <v>2019</v>
      </c>
      <c r="H787" s="278">
        <f>'COMPANY INPUT'!$C$16</f>
        <v>2023</v>
      </c>
      <c r="I787" s="278">
        <f>VLOOKUP(G787,'GDP Deflators'!$H$13:$I$86,2,FALSE)</f>
        <v>84.587599999999995</v>
      </c>
      <c r="J787" s="278">
        <f>VLOOKUP(H787,'GDP Deflators'!$H$13:$I$86,2,FALSE)</f>
        <v>100</v>
      </c>
      <c r="K787" s="385">
        <f t="shared" si="13"/>
        <v>-467179.48717948719</v>
      </c>
      <c r="L787" s="746">
        <f t="shared" si="2"/>
        <v>-552302.56820087961</v>
      </c>
      <c r="M787" s="278" t="str">
        <f t="shared" si="14"/>
        <v>Uplift</v>
      </c>
      <c r="N787" s="326">
        <f t="shared" si="15"/>
        <v>2.5714285714285698</v>
      </c>
      <c r="O787" s="278" t="s">
        <v>718</v>
      </c>
      <c r="P787" s="278" t="str">
        <f t="shared" si="16"/>
        <v>UK government guidance and data with accompanying high confidence score</v>
      </c>
      <c r="Q787" s="299">
        <f t="shared" si="17"/>
        <v>114</v>
      </c>
      <c r="R787" s="299" t="str">
        <f t="shared" si="18"/>
        <v>ONS (2020) Land value estimates for policy appraisal 2019</v>
      </c>
      <c r="S787" s="299" t="str">
        <f t="shared" si="19"/>
        <v xml:space="preserve"> </v>
      </c>
      <c r="T787" s="299">
        <f t="shared" si="20"/>
        <v>2020</v>
      </c>
      <c r="U787" s="299" t="str">
        <f t="shared" si="21"/>
        <v xml:space="preserve">England </v>
      </c>
      <c r="V787" s="299" t="str">
        <f t="shared" si="22"/>
        <v xml:space="preserve">England </v>
      </c>
      <c r="W787" s="299">
        <f t="shared" si="23"/>
        <v>0</v>
      </c>
    </row>
    <row r="788" spans="2:23">
      <c r="B788" s="302" t="s">
        <v>3654</v>
      </c>
      <c r="C788" s="279" t="s">
        <v>435</v>
      </c>
      <c r="D788" s="299" t="s">
        <v>681</v>
      </c>
      <c r="E788" s="278" t="s">
        <v>462</v>
      </c>
      <c r="F788" s="299">
        <f>E39</f>
        <v>2020</v>
      </c>
      <c r="G788" s="299">
        <v>2019</v>
      </c>
      <c r="H788" s="278">
        <f>'COMPANY INPUT'!$C$16</f>
        <v>2023</v>
      </c>
      <c r="I788" s="278">
        <f>VLOOKUP(G788,'GDP Deflators'!$H$13:$I$86,2,FALSE)</f>
        <v>84.587599999999995</v>
      </c>
      <c r="J788" s="278">
        <f>VLOOKUP(H788,'GDP Deflators'!$H$13:$I$86,2,FALSE)</f>
        <v>100</v>
      </c>
      <c r="K788" s="385">
        <f t="shared" si="13"/>
        <v>-1554104.4776119404</v>
      </c>
      <c r="L788" s="746">
        <f t="shared" si="2"/>
        <v>-1837272.221474472</v>
      </c>
      <c r="M788" s="278" t="str">
        <f t="shared" si="14"/>
        <v>Uplift</v>
      </c>
      <c r="N788" s="326">
        <f t="shared" si="15"/>
        <v>2.5714285714285698</v>
      </c>
      <c r="O788" s="278" t="s">
        <v>718</v>
      </c>
      <c r="P788" s="278" t="str">
        <f t="shared" si="16"/>
        <v>UK government guidance and data with accompanying high confidence score</v>
      </c>
      <c r="Q788" s="299">
        <f t="shared" si="17"/>
        <v>114</v>
      </c>
      <c r="R788" s="299" t="str">
        <f t="shared" si="18"/>
        <v>ONS (2020) Land value estimates for policy appraisal 2019</v>
      </c>
      <c r="S788" s="299" t="str">
        <f t="shared" si="19"/>
        <v xml:space="preserve"> </v>
      </c>
      <c r="T788" s="299">
        <f t="shared" si="20"/>
        <v>2020</v>
      </c>
      <c r="U788" s="299" t="str">
        <f t="shared" si="21"/>
        <v xml:space="preserve">England </v>
      </c>
      <c r="V788" s="299" t="str">
        <f t="shared" si="22"/>
        <v xml:space="preserve">England </v>
      </c>
      <c r="W788" s="299">
        <f t="shared" si="23"/>
        <v>0</v>
      </c>
    </row>
    <row r="789" spans="2:23">
      <c r="B789" s="302" t="s">
        <v>3655</v>
      </c>
      <c r="C789" s="279" t="s">
        <v>435</v>
      </c>
      <c r="D789" s="299" t="s">
        <v>682</v>
      </c>
      <c r="E789" s="278" t="s">
        <v>462</v>
      </c>
      <c r="F789" s="299">
        <f>E39</f>
        <v>2020</v>
      </c>
      <c r="G789" s="299">
        <v>2019</v>
      </c>
      <c r="H789" s="278">
        <f>'COMPANY INPUT'!$C$16</f>
        <v>2023</v>
      </c>
      <c r="I789" s="278">
        <f>VLOOKUP(G789,'GDP Deflators'!$H$13:$I$86,2,FALSE)</f>
        <v>84.587599999999995</v>
      </c>
      <c r="J789" s="278">
        <f>VLOOKUP(H789,'GDP Deflators'!$H$13:$I$86,2,FALSE)</f>
        <v>100</v>
      </c>
      <c r="K789" s="385">
        <f t="shared" si="13"/>
        <v>-686891.89189189184</v>
      </c>
      <c r="L789" s="746">
        <f t="shared" si="2"/>
        <v>-812047.97380690777</v>
      </c>
      <c r="M789" s="278" t="str">
        <f t="shared" si="14"/>
        <v>Uplift</v>
      </c>
      <c r="N789" s="326">
        <f t="shared" si="15"/>
        <v>2.5714285714285698</v>
      </c>
      <c r="O789" s="278" t="s">
        <v>718</v>
      </c>
      <c r="P789" s="278" t="str">
        <f t="shared" si="16"/>
        <v>UK government guidance and data with accompanying high confidence score</v>
      </c>
      <c r="Q789" s="299">
        <f t="shared" si="17"/>
        <v>114</v>
      </c>
      <c r="R789" s="299" t="str">
        <f t="shared" si="18"/>
        <v>ONS (2020) Land value estimates for policy appraisal 2019</v>
      </c>
      <c r="S789" s="299" t="str">
        <f t="shared" si="19"/>
        <v xml:space="preserve"> </v>
      </c>
      <c r="T789" s="299">
        <f t="shared" si="20"/>
        <v>2020</v>
      </c>
      <c r="U789" s="299" t="str">
        <f t="shared" si="21"/>
        <v xml:space="preserve">England </v>
      </c>
      <c r="V789" s="299" t="str">
        <f t="shared" si="22"/>
        <v xml:space="preserve">England </v>
      </c>
      <c r="W789" s="299">
        <f t="shared" si="23"/>
        <v>0</v>
      </c>
    </row>
    <row r="790" spans="2:23">
      <c r="B790" s="302" t="s">
        <v>3656</v>
      </c>
      <c r="C790" s="279" t="s">
        <v>435</v>
      </c>
      <c r="D790" s="299" t="s">
        <v>683</v>
      </c>
      <c r="E790" s="278" t="s">
        <v>462</v>
      </c>
      <c r="F790" s="299">
        <f>E39</f>
        <v>2020</v>
      </c>
      <c r="G790" s="299">
        <v>2019</v>
      </c>
      <c r="H790" s="278">
        <f>'COMPANY INPUT'!$C$16</f>
        <v>2023</v>
      </c>
      <c r="I790" s="278">
        <f>VLOOKUP(G790,'GDP Deflators'!$H$13:$I$86,2,FALSE)</f>
        <v>84.587599999999995</v>
      </c>
      <c r="J790" s="278">
        <f>VLOOKUP(H790,'GDP Deflators'!$H$13:$I$86,2,FALSE)</f>
        <v>100</v>
      </c>
      <c r="K790" s="385">
        <f t="shared" si="13"/>
        <v>-5083333.333333333</v>
      </c>
      <c r="L790" s="746">
        <f t="shared" si="2"/>
        <v>-6009549.0749629186</v>
      </c>
      <c r="M790" s="278" t="str">
        <f t="shared" si="14"/>
        <v>Uplift</v>
      </c>
      <c r="N790" s="326">
        <f t="shared" si="15"/>
        <v>2.5714285714285698</v>
      </c>
      <c r="O790" s="278" t="s">
        <v>718</v>
      </c>
      <c r="P790" s="278" t="str">
        <f t="shared" si="16"/>
        <v>UK government guidance and data with accompanying high confidence score</v>
      </c>
      <c r="Q790" s="299">
        <f t="shared" si="17"/>
        <v>114</v>
      </c>
      <c r="R790" s="299" t="str">
        <f t="shared" si="18"/>
        <v>ONS (2020) Land value estimates for policy appraisal 2019</v>
      </c>
      <c r="S790" s="299" t="str">
        <f t="shared" si="19"/>
        <v xml:space="preserve"> </v>
      </c>
      <c r="T790" s="299">
        <f t="shared" si="20"/>
        <v>2020</v>
      </c>
      <c r="U790" s="299" t="str">
        <f t="shared" si="21"/>
        <v xml:space="preserve">England </v>
      </c>
      <c r="V790" s="299" t="str">
        <f t="shared" si="22"/>
        <v xml:space="preserve">England </v>
      </c>
      <c r="W790" s="299">
        <f t="shared" si="23"/>
        <v>0</v>
      </c>
    </row>
  </sheetData>
  <sheetProtection algorithmName="SHA-512" hashValue="KWHjN0IrpuzIuP+55VeHN6iim0GbWJxI2ZPgC/z7olwfihWQqPI6j2ZtEh+9seZNTTlNArQVEsijGXUtkQEZ4Q==" saltValue="vUJexZdrcWZ4rubNHCb+Ag==" spinCount="100000" sheet="1" objects="1" scenarios="1"/>
  <dataConsolidate/>
  <mergeCells count="27">
    <mergeCell ref="I54:I379"/>
    <mergeCell ref="E399:H399"/>
    <mergeCell ref="E405:H405"/>
    <mergeCell ref="I411:I736"/>
    <mergeCell ref="E400:H400"/>
    <mergeCell ref="E401:H401"/>
    <mergeCell ref="E402:H402"/>
    <mergeCell ref="E403:H403"/>
    <mergeCell ref="E404:H404"/>
    <mergeCell ref="H752:H760"/>
    <mergeCell ref="H761:H769"/>
    <mergeCell ref="J761:J769"/>
    <mergeCell ref="J752:J760"/>
    <mergeCell ref="I761:I769"/>
    <mergeCell ref="I752:I760"/>
    <mergeCell ref="E740:G748"/>
    <mergeCell ref="E382:G382"/>
    <mergeCell ref="E383:G391"/>
    <mergeCell ref="E739:G739"/>
    <mergeCell ref="B5:H5"/>
    <mergeCell ref="E42:H42"/>
    <mergeCell ref="E43:H43"/>
    <mergeCell ref="E44:H44"/>
    <mergeCell ref="E45:H45"/>
    <mergeCell ref="E46:H46"/>
    <mergeCell ref="E47:H47"/>
    <mergeCell ref="E48:H48"/>
  </mergeCells>
  <conditionalFormatting sqref="D11:D28">
    <cfRule type="notContainsBlanks" dxfId="137" priority="1">
      <formula>LEN(TRIM(D11))&gt;0</formula>
    </cfRule>
  </conditionalFormatting>
  <conditionalFormatting sqref="D49:E49">
    <cfRule type="cellIs" dxfId="136" priority="11" operator="lessThanOrEqual">
      <formula>2.14285714285714</formula>
    </cfRule>
    <cfRule type="cellIs" dxfId="135" priority="12" operator="lessThanOrEqual">
      <formula>2.57142857142857</formula>
    </cfRule>
    <cfRule type="cellIs" dxfId="134" priority="13" operator="lessThanOrEqual">
      <formula>3</formula>
    </cfRule>
  </conditionalFormatting>
  <conditionalFormatting sqref="D406:E406">
    <cfRule type="cellIs" dxfId="133" priority="5" operator="lessThanOrEqual">
      <formula>2.14285714285714</formula>
    </cfRule>
    <cfRule type="cellIs" dxfId="132" priority="6" operator="lessThanOrEqual">
      <formula>2.57142857142857</formula>
    </cfRule>
    <cfRule type="cellIs" dxfId="131" priority="7" operator="lessThanOrEqual">
      <formula>3</formula>
    </cfRule>
  </conditionalFormatting>
  <conditionalFormatting sqref="E49">
    <cfRule type="containsText" dxfId="130" priority="8" operator="containsText" text="Green">
      <formula>NOT(ISERROR(SEARCH("Green",E49)))</formula>
    </cfRule>
    <cfRule type="containsText" dxfId="129" priority="9" operator="containsText" text="Amber">
      <formula>NOT(ISERROR(SEARCH("Amber",E49)))</formula>
    </cfRule>
    <cfRule type="containsText" dxfId="128" priority="10" operator="containsText" text="Red">
      <formula>NOT(ISERROR(SEARCH("Red",E49)))</formula>
    </cfRule>
  </conditionalFormatting>
  <conditionalFormatting sqref="E406">
    <cfRule type="containsText" dxfId="127" priority="2" operator="containsText" text="Green">
      <formula>NOT(ISERROR(SEARCH("Green",E406)))</formula>
    </cfRule>
    <cfRule type="containsText" dxfId="126" priority="3" operator="containsText" text="Amber">
      <formula>NOT(ISERROR(SEARCH("Amber",E406)))</formula>
    </cfRule>
    <cfRule type="containsText" dxfId="125" priority="4" operator="containsText" text="Red">
      <formula>NOT(ISERROR(SEARCH("Red",E406)))</formula>
    </cfRule>
  </conditionalFormatting>
  <conditionalFormatting sqref="H752">
    <cfRule type="cellIs" dxfId="124" priority="17" operator="lessThanOrEqual">
      <formula>2.14285714285714</formula>
    </cfRule>
    <cfRule type="cellIs" dxfId="123" priority="18" operator="lessThanOrEqual">
      <formula>2.57142857142857</formula>
    </cfRule>
    <cfRule type="cellIs" dxfId="122" priority="19" operator="lessThanOrEqual">
      <formula>3</formula>
    </cfRule>
  </conditionalFormatting>
  <conditionalFormatting sqref="H761">
    <cfRule type="cellIs" dxfId="121" priority="14" operator="lessThanOrEqual">
      <formula>2.14285714285714</formula>
    </cfRule>
    <cfRule type="cellIs" dxfId="120" priority="15" operator="lessThanOrEqual">
      <formula>2.57142857142857</formula>
    </cfRule>
    <cfRule type="cellIs" dxfId="119" priority="16" operator="lessThanOrEqual">
      <formula>3</formula>
    </cfRule>
  </conditionalFormatting>
  <conditionalFormatting sqref="N773:N790">
    <cfRule type="cellIs" dxfId="118" priority="20" operator="lessThanOrEqual">
      <formula>2.14285714285714</formula>
    </cfRule>
    <cfRule type="cellIs" dxfId="117" priority="21" operator="lessThanOrEqual">
      <formula>2.57142857142857</formula>
    </cfRule>
    <cfRule type="cellIs" dxfId="116" priority="22" operator="lessThanOrEqual">
      <formula>3</formula>
    </cfRule>
  </conditionalFormatting>
  <dataValidations disablePrompts="1" count="1">
    <dataValidation type="list" allowBlank="1" showInputMessage="1" showErrorMessage="1" sqref="C400:C405 C50 C43:C48 C407" xr:uid="{70EB5F38-398A-4FCB-8D7C-4183FE81B63A}">
      <formula1>"High, Medium, Low"</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BD87A-F6C5-481C-B7E8-7175066E59AB}">
  <sheetPr codeName="Sheet47">
    <tabColor theme="5" tint="0.59999389629810485"/>
  </sheetPr>
  <dimension ref="A1:W445"/>
  <sheetViews>
    <sheetView workbookViewId="0"/>
  </sheetViews>
  <sheetFormatPr defaultColWidth="9" defaultRowHeight="14.45"/>
  <cols>
    <col min="1" max="1" width="3.5" style="2" customWidth="1"/>
    <col min="2" max="3" width="40.625" style="2" customWidth="1"/>
    <col min="4" max="16" width="15.625" style="2" customWidth="1"/>
    <col min="17" max="17" width="9" style="2" bestFit="1"/>
    <col min="18" max="18" width="16.625" style="2" customWidth="1"/>
    <col min="19" max="19" width="18.5" style="2" customWidth="1"/>
    <col min="20" max="16384" width="9" style="2"/>
  </cols>
  <sheetData>
    <row r="1" spans="1:8" ht="15" thickBot="1"/>
    <row r="2" spans="1:8" s="710" customFormat="1" ht="18.95" thickBot="1">
      <c r="A2" s="707"/>
      <c r="B2" s="749" t="s">
        <v>437</v>
      </c>
      <c r="C2" s="711"/>
      <c r="D2" s="711"/>
    </row>
    <row r="4" spans="1:8" s="714" customFormat="1" ht="18.600000000000001">
      <c r="A4" s="715"/>
      <c r="B4" s="713" t="s">
        <v>893</v>
      </c>
      <c r="C4" s="715"/>
      <c r="D4" s="715"/>
      <c r="E4" s="715"/>
      <c r="F4" s="715"/>
      <c r="G4" s="715"/>
      <c r="H4" s="715"/>
    </row>
    <row r="5" spans="1:8" s="7" customFormat="1" ht="81" customHeight="1">
      <c r="A5" s="737"/>
      <c r="B5" s="1152" t="s">
        <v>3657</v>
      </c>
      <c r="C5" s="1152"/>
      <c r="D5" s="1152"/>
      <c r="E5" s="1152"/>
      <c r="F5" s="1152"/>
      <c r="G5" s="1152"/>
      <c r="H5" s="1152"/>
    </row>
    <row r="6" spans="1:8" s="7" customFormat="1"/>
    <row r="7" spans="1:8" s="718" customFormat="1" ht="18.600000000000001">
      <c r="A7" s="724"/>
      <c r="B7" s="724" t="s">
        <v>895</v>
      </c>
      <c r="C7" s="724"/>
      <c r="D7" s="724"/>
      <c r="E7" s="724"/>
      <c r="F7" s="724"/>
      <c r="G7" s="724"/>
      <c r="H7" s="724"/>
    </row>
    <row r="9" spans="1:8">
      <c r="D9" s="1128" t="s">
        <v>479</v>
      </c>
      <c r="E9" s="1128"/>
      <c r="F9" s="1128"/>
      <c r="G9" s="1134"/>
    </row>
    <row r="10" spans="1:8">
      <c r="B10" s="277" t="s">
        <v>104</v>
      </c>
      <c r="C10" s="332" t="s">
        <v>226</v>
      </c>
      <c r="D10" s="356" t="s">
        <v>455</v>
      </c>
      <c r="E10" s="356" t="s">
        <v>456</v>
      </c>
      <c r="F10" s="356" t="s">
        <v>460</v>
      </c>
      <c r="G10" s="356" t="s">
        <v>462</v>
      </c>
    </row>
    <row r="11" spans="1:8">
      <c r="B11" s="278" t="s">
        <v>685</v>
      </c>
      <c r="C11" s="330" t="s">
        <v>438</v>
      </c>
      <c r="D11" s="793" cm="1">
        <f t="array" ref="D11">_xlfn.XLOOKUP(1,($B11=$B$360:$B$363)*(D$10=$C$360:$C$363),$G$360:$G$363,"Not found",0,1)</f>
        <v>12.229990249312651</v>
      </c>
      <c r="E11" s="793" cm="1">
        <f t="array" aca="1" ref="E11" ca="1">_xlfn.XLOOKUP(1,($B11=$B$423:$B$426)*(E$10=$C$423:$C$426),$G$423:$G$426,"Not found",0,1)</f>
        <v>216.87335918719054</v>
      </c>
      <c r="F11" s="793" t="str">
        <f>G441</f>
        <v>LG(M)</v>
      </c>
      <c r="G11" s="793" cm="1">
        <f t="array" ref="G11">_xlfn.XLOOKUP(1,($B11=$B$281:$B$284)*(G$10=$C$281:$C$284),$G$281:$G$284,"Not found",0,1)</f>
        <v>2605.0637116031949</v>
      </c>
    </row>
    <row r="12" spans="1:8">
      <c r="B12" s="278" t="s">
        <v>686</v>
      </c>
      <c r="C12" s="330" t="s">
        <v>438</v>
      </c>
      <c r="D12" s="793" cm="1">
        <f t="array" ref="D12">_xlfn.XLOOKUP(1,($B12=$B$360:$B$363)*(D$10=$C$360:$C$363),$G$360:$G$363,"Not found",0,1)</f>
        <v>107.91645363677685</v>
      </c>
      <c r="E12" s="793" cm="1">
        <f t="array" aca="1" ref="E12" ca="1">_xlfn.XLOOKUP(1,($B12=$B$423:$B$426)*(E$10=$C$423:$C$426),$G$423:$G$426,"Not found",0,1)</f>
        <v>1913.6731374820072</v>
      </c>
      <c r="F12" s="793" t="str">
        <f>G442</f>
        <v>LG(M)</v>
      </c>
      <c r="G12" s="793" cm="1">
        <f t="array" ref="G12">_xlfn.XLOOKUP(1,($B12=$B$281:$B$284)*(G$10=$C$281:$C$284),$G$281:$G$284,"Not found",0,1)</f>
        <v>16196.790527674139</v>
      </c>
    </row>
    <row r="13" spans="1:8">
      <c r="B13" s="278" t="s">
        <v>687</v>
      </c>
      <c r="C13" s="330" t="s">
        <v>438</v>
      </c>
      <c r="D13" s="793" cm="1">
        <f t="array" ref="D13">_xlfn.XLOOKUP(1,($B13=$B$360:$B$363)*(D$10=$C$360:$C$363),$G$360:$G$363,"Not found",0,1)</f>
        <v>844.75569389047257</v>
      </c>
      <c r="E13" s="793" cm="1">
        <f t="array" aca="1" ref="E13" ca="1">_xlfn.XLOOKUP(1,($B13=$B$423:$B$426)*(E$10=$C$423:$C$426),$G$423:$G$426,"Not found",0,1)</f>
        <v>14979.979647721249</v>
      </c>
      <c r="F13" s="793" t="str">
        <f>G443</f>
        <v>LG(M)</v>
      </c>
      <c r="G13" s="793" cm="1">
        <f t="array" ref="G13">_xlfn.XLOOKUP(1,($B13=$B$281:$B$284)*(G$10=$C$281:$C$284),$G$281:$G$284,"Not found",0,1)</f>
        <v>70125.866289319587</v>
      </c>
    </row>
    <row r="14" spans="1:8">
      <c r="B14" s="278" t="s">
        <v>688</v>
      </c>
      <c r="C14" s="330" t="s">
        <v>438</v>
      </c>
      <c r="D14" s="793" t="str" cm="1">
        <f t="array" ref="D14">_xlfn.XLOOKUP(1,($B14=$B$360:$B$363)*(D$10=$C$360:$C$363),$G$360:$G$363,"Not found",0,1)</f>
        <v>LG(M)</v>
      </c>
      <c r="E14" s="793" t="str" cm="1">
        <f t="array" ref="E14">_xlfn.XLOOKUP(1,($B14=$B$423:$B$426)*(E$10=$C$423:$C$426),$G$423:$G$426,"Not found",0,1)</f>
        <v>LG(M)</v>
      </c>
      <c r="F14" s="793" t="str">
        <f>G444</f>
        <v>LG(M)</v>
      </c>
      <c r="G14" s="793" t="str" cm="1">
        <f t="array" ref="G14">_xlfn.XLOOKUP(1,($B14=$B$281:$B$284)*(G$10=$C$281:$C$284),$G$281:$G$284,"Not found",0,1)</f>
        <v>LG(M)</v>
      </c>
    </row>
    <row r="15" spans="1:8">
      <c r="B15" s="800" t="s">
        <v>896</v>
      </c>
    </row>
    <row r="16" spans="1:8">
      <c r="B16" s="800"/>
    </row>
    <row r="17" spans="1:8">
      <c r="A17" s="721"/>
      <c r="B17" s="722" t="s">
        <v>462</v>
      </c>
      <c r="C17" s="721"/>
      <c r="D17" s="721"/>
      <c r="E17" s="721"/>
      <c r="F17" s="721"/>
      <c r="G17" s="721"/>
      <c r="H17" s="721"/>
    </row>
    <row r="18" spans="1:8">
      <c r="A18" s="727"/>
      <c r="B18" s="729" t="s">
        <v>897</v>
      </c>
      <c r="C18" s="727"/>
      <c r="D18" s="727"/>
      <c r="E18" s="727"/>
      <c r="F18" s="727"/>
      <c r="G18" s="727"/>
      <c r="H18" s="727"/>
    </row>
    <row r="19" spans="1:8">
      <c r="B19" s="277" t="s">
        <v>898</v>
      </c>
      <c r="C19" s="277" t="s">
        <v>899</v>
      </c>
    </row>
    <row r="20" spans="1:8">
      <c r="B20" s="278" t="s">
        <v>462</v>
      </c>
      <c r="C20" s="278" t="s">
        <v>3658</v>
      </c>
    </row>
    <row r="21" spans="1:8">
      <c r="B21" s="16"/>
    </row>
    <row r="22" spans="1:8">
      <c r="A22" s="727"/>
      <c r="B22" s="728" t="s">
        <v>911</v>
      </c>
      <c r="C22" s="727"/>
      <c r="D22" s="727"/>
      <c r="E22" s="727"/>
      <c r="F22" s="727"/>
      <c r="G22" s="727"/>
      <c r="H22" s="727"/>
    </row>
    <row r="23" spans="1:8">
      <c r="A23" s="725"/>
      <c r="B23" s="726" t="s">
        <v>912</v>
      </c>
      <c r="C23" s="725"/>
      <c r="D23" s="725"/>
      <c r="E23" s="725"/>
      <c r="F23" s="725"/>
      <c r="G23" s="725"/>
      <c r="H23" s="725"/>
    </row>
    <row r="24" spans="1:8" ht="29.1">
      <c r="B24" s="719" t="s">
        <v>913</v>
      </c>
      <c r="C24" s="719" t="s">
        <v>914</v>
      </c>
      <c r="D24" s="719" t="s">
        <v>915</v>
      </c>
      <c r="E24" s="719" t="s">
        <v>916</v>
      </c>
      <c r="F24" s="719" t="s">
        <v>917</v>
      </c>
      <c r="G24" s="719" t="s">
        <v>918</v>
      </c>
      <c r="H24" s="719" t="s">
        <v>919</v>
      </c>
    </row>
    <row r="25" spans="1:8">
      <c r="B25" s="278">
        <v>85</v>
      </c>
      <c r="C25" s="278" t="s">
        <v>3659</v>
      </c>
      <c r="D25" s="278" t="s">
        <v>3660</v>
      </c>
      <c r="E25" s="278">
        <v>2024</v>
      </c>
      <c r="F25" s="278" t="s">
        <v>1047</v>
      </c>
      <c r="G25" s="278" t="s">
        <v>1047</v>
      </c>
      <c r="H25" s="279" t="s">
        <v>907</v>
      </c>
    </row>
    <row r="26" spans="1:8">
      <c r="B26" s="16"/>
    </row>
    <row r="27" spans="1:8">
      <c r="A27" s="725"/>
      <c r="B27" s="726" t="s">
        <v>924</v>
      </c>
      <c r="C27" s="725"/>
      <c r="D27" s="725"/>
      <c r="E27" s="725"/>
      <c r="F27" s="725"/>
      <c r="G27" s="725"/>
      <c r="H27" s="725"/>
    </row>
    <row r="28" spans="1:8">
      <c r="B28" s="277" t="s">
        <v>165</v>
      </c>
      <c r="C28" s="277" t="s">
        <v>925</v>
      </c>
      <c r="D28" s="277" t="s">
        <v>926</v>
      </c>
      <c r="E28" s="1134" t="s">
        <v>927</v>
      </c>
      <c r="F28" s="1134"/>
      <c r="G28" s="1134"/>
      <c r="H28" s="1134"/>
    </row>
    <row r="29" spans="1:8">
      <c r="B29" s="278" t="s">
        <v>169</v>
      </c>
      <c r="C29" s="278" t="s">
        <v>166</v>
      </c>
      <c r="D29" s="278">
        <f>VLOOKUP(C29,METHODOLOGY!$C$175:$D$177,2,FALSE)</f>
        <v>3</v>
      </c>
      <c r="E29" s="1087" t="str">
        <f>_xlfn.XLOOKUP(C29,METHODOLOGY!$E$150:$O$150,METHODOLOGY!$E$151:$O$151,"",0,1)</f>
        <v>Monetary values have been peer reviewed or are recommended / referenced in other, well recognised and accepted guidance / tools relevant to the water sector.</v>
      </c>
      <c r="F29" s="1087"/>
      <c r="G29" s="1087"/>
      <c r="H29" s="1087"/>
    </row>
    <row r="30" spans="1:8">
      <c r="B30" s="278" t="s">
        <v>173</v>
      </c>
      <c r="C30" s="278" t="s">
        <v>166</v>
      </c>
      <c r="D30" s="278">
        <f>VLOOKUP(C30,METHODOLOGY!$C$175:$D$177,2,FALSE)</f>
        <v>3</v>
      </c>
      <c r="E30" s="1087" t="str">
        <f>_xlfn.XLOOKUP(C30,METHODOLOGY!$E$150:$O$150,METHODOLOGY!$E$155:$O$155,"",0,1)</f>
        <v>Study has few limitations and is considered robust.</v>
      </c>
      <c r="F30" s="1087"/>
      <c r="G30" s="1087"/>
      <c r="H30" s="1087"/>
    </row>
    <row r="31" spans="1:8">
      <c r="B31" s="278" t="s">
        <v>177</v>
      </c>
      <c r="C31" s="278" t="s">
        <v>166</v>
      </c>
      <c r="D31" s="278">
        <f>VLOOKUP(C31,METHODOLOGY!$C$175:$D$177,2,FALSE)</f>
        <v>3</v>
      </c>
      <c r="E31" s="1087" t="str">
        <f>_xlfn.XLOOKUP(C31,METHODOLOGY!$E$150:$O$150,METHODOLOGY!$E$158:$O$158,"",0,1)</f>
        <v>0 – 5 years</v>
      </c>
      <c r="F31" s="1087"/>
      <c r="G31" s="1087"/>
      <c r="H31" s="1087"/>
    </row>
    <row r="32" spans="1:8">
      <c r="B32" s="278" t="s">
        <v>181</v>
      </c>
      <c r="C32" s="278" t="s">
        <v>166</v>
      </c>
      <c r="D32" s="278">
        <f>VLOOKUP(C32,METHODOLOGY!$C$175:$D$177,2,FALSE)</f>
        <v>3</v>
      </c>
      <c r="E32" s="1087" t="str">
        <f>_xlfn.XLOOKUP(C32,METHODOLOGY!$E$150:$O$150,METHODOLOGY!$E$160:$O$160,"",0,1)</f>
        <v>Geographically relevant to UK</v>
      </c>
      <c r="F32" s="1087"/>
      <c r="G32" s="1087"/>
      <c r="H32" s="1087"/>
    </row>
    <row r="33" spans="1:10">
      <c r="B33" s="278" t="s">
        <v>928</v>
      </c>
      <c r="C33" s="278" t="s">
        <v>166</v>
      </c>
      <c r="D33" s="278">
        <f>VLOOKUP(C33,METHODOLOGY!$C$175:$D$177,2,FALSE)</f>
        <v>3</v>
      </c>
      <c r="E33" s="1087" t="str">
        <f>_xlfn.XLOOKUP(C33,METHODOLOGY!$E$150:$O$150,METHODOLOGY!$E$162:$O$162,"",0,1)</f>
        <v>Clear understanding of the valuation method and how the value should be applied.</v>
      </c>
      <c r="F33" s="1087"/>
      <c r="G33" s="1087"/>
      <c r="H33" s="1087"/>
    </row>
    <row r="34" spans="1:10">
      <c r="B34" s="278" t="s">
        <v>189</v>
      </c>
      <c r="C34" s="278" t="s">
        <v>168</v>
      </c>
      <c r="D34" s="278">
        <f>VLOOKUP(C34,METHODOLOGY!$C$175:$D$177,2,FALSE)</f>
        <v>1</v>
      </c>
      <c r="E34" s="1087" t="str">
        <f>_xlfn.XLOOKUP(C34,METHODOLOGY!$E$150:$O$150,METHODOLOGY!$E$164:$O$164,"",0,1)</f>
        <v xml:space="preserve">The original valuation can be used with significant modification e.g. several additional data inputs are required to use the original source. The calculation is complex or introduces significant uncertainty. </v>
      </c>
      <c r="F34" s="1087"/>
      <c r="G34" s="1087"/>
      <c r="H34" s="1087"/>
    </row>
    <row r="35" spans="1:10">
      <c r="C35" s="282" t="s">
        <v>924</v>
      </c>
      <c r="D35" s="326">
        <f>IF(AND(D34=1,AVERAGE(D29:D34)&gt;2.14285714285714),2.14285714285714,IF(AND(D34=2,AVERAGE(D29:D34)&gt;2.57142857142857),2.57142857142857,AVERAGE(D29:D34)))</f>
        <v>2.1428571428571401</v>
      </c>
      <c r="E35" s="270" t="str">
        <f>IF(D35&lt;=2.14285714285714,"Red",IF(D35&lt;=2.57142857142857,"Amber",IF(D35&lt;=3,"Green")))</f>
        <v>Red</v>
      </c>
    </row>
    <row r="38" spans="1:10">
      <c r="A38" s="725"/>
      <c r="B38" s="726" t="s">
        <v>929</v>
      </c>
      <c r="C38" s="725"/>
      <c r="D38" s="725"/>
      <c r="E38" s="725"/>
      <c r="F38" s="725"/>
      <c r="G38" s="725"/>
      <c r="H38" s="725"/>
    </row>
    <row r="39" spans="1:10">
      <c r="B39" s="233" t="s">
        <v>898</v>
      </c>
      <c r="C39" s="233" t="s">
        <v>902</v>
      </c>
      <c r="D39" s="277" t="s">
        <v>3661</v>
      </c>
      <c r="E39" s="277" t="s">
        <v>3662</v>
      </c>
      <c r="F39" s="277" t="s">
        <v>3663</v>
      </c>
      <c r="G39" s="1128" t="s">
        <v>930</v>
      </c>
      <c r="H39" s="1128"/>
      <c r="I39" s="1128"/>
      <c r="J39" s="277" t="s">
        <v>913</v>
      </c>
    </row>
    <row r="40" spans="1:10" ht="15" customHeight="1">
      <c r="B40" s="1087" t="s">
        <v>462</v>
      </c>
      <c r="C40" s="1095" t="s">
        <v>685</v>
      </c>
      <c r="D40" s="278" t="s">
        <v>3664</v>
      </c>
      <c r="E40" s="278">
        <v>51</v>
      </c>
      <c r="F40" s="364">
        <v>40</v>
      </c>
      <c r="G40" s="1158" t="s">
        <v>3665</v>
      </c>
      <c r="H40" s="1158"/>
      <c r="I40" s="1158"/>
      <c r="J40" s="1307">
        <v>86</v>
      </c>
    </row>
    <row r="41" spans="1:10" ht="15" customHeight="1">
      <c r="B41" s="1087"/>
      <c r="C41" s="1095"/>
      <c r="D41" s="278" t="s">
        <v>3666</v>
      </c>
      <c r="E41" s="278">
        <v>62</v>
      </c>
      <c r="F41" s="364">
        <v>40</v>
      </c>
      <c r="G41" s="1158"/>
      <c r="H41" s="1158"/>
      <c r="I41" s="1158"/>
      <c r="J41" s="1307"/>
    </row>
    <row r="42" spans="1:10" ht="15" customHeight="1">
      <c r="B42" s="1087"/>
      <c r="C42" s="1095"/>
      <c r="D42" s="278" t="s">
        <v>3667</v>
      </c>
      <c r="E42" s="278">
        <v>73</v>
      </c>
      <c r="F42" s="364">
        <v>40</v>
      </c>
      <c r="G42" s="1158"/>
      <c r="H42" s="1158"/>
      <c r="I42" s="1158"/>
      <c r="J42" s="1307"/>
    </row>
    <row r="43" spans="1:10" ht="15" customHeight="1">
      <c r="B43" s="1087"/>
      <c r="C43" s="1095"/>
      <c r="D43" s="278" t="s">
        <v>3668</v>
      </c>
      <c r="E43" s="278">
        <v>104</v>
      </c>
      <c r="F43" s="364">
        <v>40</v>
      </c>
      <c r="G43" s="1158"/>
      <c r="H43" s="1158"/>
      <c r="I43" s="1158"/>
      <c r="J43" s="1307"/>
    </row>
    <row r="44" spans="1:10" ht="15" customHeight="1">
      <c r="B44" s="1087"/>
      <c r="C44" s="1095"/>
      <c r="D44" s="278" t="s">
        <v>3669</v>
      </c>
      <c r="E44" s="278">
        <v>368</v>
      </c>
      <c r="F44" s="364">
        <v>40</v>
      </c>
      <c r="G44" s="1158"/>
      <c r="H44" s="1158"/>
      <c r="I44" s="1158"/>
      <c r="J44" s="1307"/>
    </row>
    <row r="45" spans="1:10" ht="15" customHeight="1">
      <c r="B45" s="1087"/>
      <c r="C45" s="1095" t="s">
        <v>686</v>
      </c>
      <c r="D45" s="278" t="s">
        <v>3664</v>
      </c>
      <c r="E45" s="278">
        <v>51</v>
      </c>
      <c r="F45" s="364">
        <v>40</v>
      </c>
      <c r="G45" s="1095" t="s">
        <v>3670</v>
      </c>
      <c r="H45" s="1095"/>
      <c r="I45" s="1095"/>
      <c r="J45" s="1307">
        <v>86</v>
      </c>
    </row>
    <row r="46" spans="1:10" ht="15" customHeight="1">
      <c r="B46" s="1087"/>
      <c r="C46" s="1095"/>
      <c r="D46" s="278" t="s">
        <v>3666</v>
      </c>
      <c r="E46" s="278">
        <v>62</v>
      </c>
      <c r="F46" s="364">
        <v>40</v>
      </c>
      <c r="G46" s="1095"/>
      <c r="H46" s="1095"/>
      <c r="I46" s="1095"/>
      <c r="J46" s="1307"/>
    </row>
    <row r="47" spans="1:10" ht="15" customHeight="1">
      <c r="B47" s="1087"/>
      <c r="C47" s="1095"/>
      <c r="D47" s="278" t="s">
        <v>3667</v>
      </c>
      <c r="E47" s="278">
        <v>79</v>
      </c>
      <c r="F47" s="364">
        <v>40</v>
      </c>
      <c r="G47" s="1095"/>
      <c r="H47" s="1095"/>
      <c r="I47" s="1095"/>
      <c r="J47" s="1307"/>
    </row>
    <row r="48" spans="1:10" ht="15" customHeight="1">
      <c r="B48" s="1087"/>
      <c r="C48" s="1095"/>
      <c r="D48" s="278" t="s">
        <v>3668</v>
      </c>
      <c r="E48" s="278">
        <v>104</v>
      </c>
      <c r="F48" s="364">
        <v>40</v>
      </c>
      <c r="G48" s="1095"/>
      <c r="H48" s="1095"/>
      <c r="I48" s="1095"/>
      <c r="J48" s="1307"/>
    </row>
    <row r="49" spans="2:10" ht="15" customHeight="1">
      <c r="B49" s="1087"/>
      <c r="C49" s="1095"/>
      <c r="D49" s="278" t="s">
        <v>3669</v>
      </c>
      <c r="E49" s="278">
        <v>368</v>
      </c>
      <c r="F49" s="364">
        <v>40</v>
      </c>
      <c r="G49" s="1095"/>
      <c r="H49" s="1095"/>
      <c r="I49" s="1095"/>
      <c r="J49" s="1307"/>
    </row>
    <row r="50" spans="2:10" ht="15" customHeight="1">
      <c r="B50" s="1087"/>
      <c r="C50" s="1095" t="s">
        <v>687</v>
      </c>
      <c r="D50" s="278" t="s">
        <v>3664</v>
      </c>
      <c r="E50" s="278">
        <f>AVERAGE(26,29)</f>
        <v>27.5</v>
      </c>
      <c r="F50" s="364">
        <v>90</v>
      </c>
      <c r="G50" s="1095" t="s">
        <v>3671</v>
      </c>
      <c r="H50" s="1095"/>
      <c r="I50" s="1095"/>
      <c r="J50" s="1307">
        <v>87</v>
      </c>
    </row>
    <row r="51" spans="2:10" ht="15" customHeight="1">
      <c r="B51" s="1087"/>
      <c r="C51" s="1095"/>
      <c r="D51" s="278" t="s">
        <v>3666</v>
      </c>
      <c r="E51" s="278">
        <f>AVERAGE(40,38)</f>
        <v>39</v>
      </c>
      <c r="F51" s="364">
        <v>90</v>
      </c>
      <c r="G51" s="1095"/>
      <c r="H51" s="1095"/>
      <c r="I51" s="1095"/>
      <c r="J51" s="1307"/>
    </row>
    <row r="52" spans="2:10" ht="15" customHeight="1">
      <c r="B52" s="1087"/>
      <c r="C52" s="1095"/>
      <c r="D52" s="278" t="s">
        <v>3667</v>
      </c>
      <c r="E52" s="278">
        <f>48</f>
        <v>48</v>
      </c>
      <c r="F52" s="364">
        <v>80</v>
      </c>
      <c r="G52" s="1095" t="s">
        <v>3672</v>
      </c>
      <c r="H52" s="1095"/>
      <c r="I52" s="1095"/>
      <c r="J52" s="1307"/>
    </row>
    <row r="53" spans="2:10" ht="15" customHeight="1">
      <c r="B53" s="1087"/>
      <c r="C53" s="1095"/>
      <c r="D53" s="278" t="s">
        <v>3668</v>
      </c>
      <c r="E53" s="278">
        <f>72</f>
        <v>72</v>
      </c>
      <c r="F53" s="364">
        <v>80</v>
      </c>
      <c r="G53" s="1095"/>
      <c r="H53" s="1095"/>
      <c r="I53" s="1095"/>
      <c r="J53" s="1307"/>
    </row>
    <row r="54" spans="2:10" ht="30" customHeight="1">
      <c r="B54" s="1087"/>
      <c r="C54" s="1095"/>
      <c r="D54" s="278" t="s">
        <v>3669</v>
      </c>
      <c r="E54" s="278">
        <v>306</v>
      </c>
      <c r="F54" s="364">
        <v>50</v>
      </c>
      <c r="G54" s="1095" t="s">
        <v>3673</v>
      </c>
      <c r="H54" s="1095"/>
      <c r="I54" s="1095"/>
      <c r="J54" s="1307"/>
    </row>
    <row r="56" spans="2:10">
      <c r="E56" s="8"/>
    </row>
    <row r="68" spans="2:11">
      <c r="B68" s="3"/>
      <c r="C68" s="24"/>
      <c r="F68" s="241"/>
      <c r="G68" s="241"/>
      <c r="H68" s="241"/>
      <c r="I68" s="106"/>
    </row>
    <row r="69" spans="2:11" ht="72.599999999999994">
      <c r="B69" s="361" t="s">
        <v>3674</v>
      </c>
      <c r="C69" s="442" t="s">
        <v>3675</v>
      </c>
      <c r="D69" s="442" t="s">
        <v>3676</v>
      </c>
      <c r="E69" s="1249" t="s">
        <v>930</v>
      </c>
      <c r="F69" s="1249"/>
      <c r="G69" s="442" t="s">
        <v>913</v>
      </c>
      <c r="H69" s="241"/>
      <c r="I69" s="241"/>
      <c r="J69" s="241"/>
      <c r="K69" s="106"/>
    </row>
    <row r="70" spans="2:11">
      <c r="B70" s="578" t="s">
        <v>3677</v>
      </c>
      <c r="C70" s="579">
        <v>82.2</v>
      </c>
      <c r="D70" s="278">
        <f>C70*1000</f>
        <v>82200</v>
      </c>
      <c r="E70" s="1219" t="s">
        <v>3678</v>
      </c>
      <c r="F70" s="1219"/>
      <c r="G70" s="1470">
        <v>90</v>
      </c>
      <c r="H70" s="241"/>
      <c r="I70" s="241"/>
      <c r="J70" s="241"/>
      <c r="K70" s="106"/>
    </row>
    <row r="71" spans="2:11">
      <c r="B71" s="578" t="s">
        <v>3679</v>
      </c>
      <c r="C71" s="579">
        <v>13.5</v>
      </c>
      <c r="D71" s="278">
        <f t="shared" ref="D71:D72" si="0">C71*1000</f>
        <v>13500</v>
      </c>
      <c r="E71" s="1219" t="s">
        <v>3680</v>
      </c>
      <c r="F71" s="1219"/>
      <c r="G71" s="1470"/>
      <c r="H71" s="241"/>
      <c r="I71" s="241"/>
      <c r="J71" s="241"/>
      <c r="K71" s="106"/>
    </row>
    <row r="72" spans="2:11">
      <c r="B72" s="578" t="s">
        <v>3681</v>
      </c>
      <c r="C72" s="579">
        <v>1.5</v>
      </c>
      <c r="D72" s="278">
        <f t="shared" si="0"/>
        <v>1500</v>
      </c>
      <c r="E72" s="1219" t="s">
        <v>3682</v>
      </c>
      <c r="F72" s="1219"/>
      <c r="G72" s="1470"/>
      <c r="H72" s="241"/>
      <c r="I72" s="241"/>
      <c r="J72" s="241"/>
      <c r="K72" s="106"/>
    </row>
    <row r="73" spans="2:11">
      <c r="B73" s="580"/>
      <c r="C73" s="24"/>
      <c r="F73" s="241"/>
      <c r="G73" s="241"/>
      <c r="H73" s="241"/>
      <c r="I73" s="106"/>
    </row>
    <row r="74" spans="2:11" s="7" customFormat="1" ht="29.1">
      <c r="B74" s="581" t="s">
        <v>3683</v>
      </c>
      <c r="C74" s="581" t="s">
        <v>3684</v>
      </c>
      <c r="D74" s="581" t="s">
        <v>3685</v>
      </c>
      <c r="E74" s="581" t="s">
        <v>3686</v>
      </c>
      <c r="F74" s="581" t="s">
        <v>930</v>
      </c>
      <c r="G74" s="581" t="s">
        <v>711</v>
      </c>
      <c r="H74" s="581" t="s">
        <v>3687</v>
      </c>
      <c r="I74" s="581" t="s">
        <v>913</v>
      </c>
    </row>
    <row r="75" spans="2:11" s="7" customFormat="1">
      <c r="B75" s="582" t="s">
        <v>3688</v>
      </c>
      <c r="C75" s="582" t="s">
        <v>3689</v>
      </c>
      <c r="D75" s="582" t="s">
        <v>3689</v>
      </c>
      <c r="E75" s="582" t="s">
        <v>3690</v>
      </c>
      <c r="F75" s="582" t="s">
        <v>3691</v>
      </c>
      <c r="G75" s="582" t="s">
        <v>3692</v>
      </c>
      <c r="H75" s="583">
        <v>48.5</v>
      </c>
      <c r="I75" s="1467">
        <v>91</v>
      </c>
    </row>
    <row r="76" spans="2:11" s="7" customFormat="1">
      <c r="B76" s="582" t="s">
        <v>3688</v>
      </c>
      <c r="C76" s="582" t="s">
        <v>3689</v>
      </c>
      <c r="D76" s="582" t="s">
        <v>3689</v>
      </c>
      <c r="E76" s="582" t="s">
        <v>3693</v>
      </c>
      <c r="F76" s="582" t="s">
        <v>3694</v>
      </c>
      <c r="G76" s="582" t="s">
        <v>3692</v>
      </c>
      <c r="H76" s="583">
        <v>13</v>
      </c>
      <c r="I76" s="1467"/>
    </row>
    <row r="77" spans="2:11" s="7" customFormat="1">
      <c r="B77" s="582" t="s">
        <v>3688</v>
      </c>
      <c r="C77" s="582" t="s">
        <v>3689</v>
      </c>
      <c r="D77" s="582" t="s">
        <v>3689</v>
      </c>
      <c r="E77" s="582" t="s">
        <v>3695</v>
      </c>
      <c r="F77" s="582" t="s">
        <v>3696</v>
      </c>
      <c r="G77" s="582" t="s">
        <v>3692</v>
      </c>
      <c r="H77" s="583">
        <v>8.1</v>
      </c>
      <c r="I77" s="1467"/>
    </row>
    <row r="78" spans="2:11" s="7" customFormat="1">
      <c r="B78" s="582" t="s">
        <v>3688</v>
      </c>
      <c r="C78" s="582" t="s">
        <v>3689</v>
      </c>
      <c r="D78" s="582" t="s">
        <v>3689</v>
      </c>
      <c r="E78" s="582" t="s">
        <v>3697</v>
      </c>
      <c r="F78" s="582" t="s">
        <v>3691</v>
      </c>
      <c r="G78" s="582" t="s">
        <v>3692</v>
      </c>
      <c r="H78" s="583">
        <v>0.2</v>
      </c>
      <c r="I78" s="1467"/>
    </row>
    <row r="79" spans="2:11" s="7" customFormat="1">
      <c r="B79" s="582" t="s">
        <v>3688</v>
      </c>
      <c r="C79" s="582" t="s">
        <v>3689</v>
      </c>
      <c r="D79" s="582" t="s">
        <v>3689</v>
      </c>
      <c r="E79" s="582" t="s">
        <v>3698</v>
      </c>
      <c r="F79" s="582" t="s">
        <v>3691</v>
      </c>
      <c r="G79" s="582" t="s">
        <v>3692</v>
      </c>
      <c r="H79" s="583">
        <v>0.2</v>
      </c>
      <c r="I79" s="1467"/>
    </row>
    <row r="80" spans="2:11" s="7" customFormat="1">
      <c r="B80" s="582" t="s">
        <v>3688</v>
      </c>
      <c r="C80" s="582" t="s">
        <v>3689</v>
      </c>
      <c r="D80" s="582" t="s">
        <v>3689</v>
      </c>
      <c r="E80" s="582" t="s">
        <v>3699</v>
      </c>
      <c r="F80" s="582" t="s">
        <v>3691</v>
      </c>
      <c r="G80" s="582" t="s">
        <v>3692</v>
      </c>
      <c r="H80" s="583">
        <v>69.900000000000006</v>
      </c>
      <c r="I80" s="1467"/>
    </row>
    <row r="81" spans="2:9" s="7" customFormat="1">
      <c r="B81" s="584" t="s">
        <v>3700</v>
      </c>
      <c r="C81" s="584" t="s">
        <v>3701</v>
      </c>
      <c r="D81" s="584" t="s">
        <v>3702</v>
      </c>
      <c r="E81" s="584" t="s">
        <v>3690</v>
      </c>
      <c r="F81" s="584" t="s">
        <v>3703</v>
      </c>
      <c r="G81" s="584" t="s">
        <v>3692</v>
      </c>
      <c r="H81" s="585">
        <v>29.7</v>
      </c>
      <c r="I81" s="1467"/>
    </row>
    <row r="82" spans="2:9" s="7" customFormat="1">
      <c r="B82" s="584" t="s">
        <v>3700</v>
      </c>
      <c r="C82" s="584" t="s">
        <v>3701</v>
      </c>
      <c r="D82" s="584" t="s">
        <v>3702</v>
      </c>
      <c r="E82" s="584" t="s">
        <v>3693</v>
      </c>
      <c r="F82" s="584" t="s">
        <v>3704</v>
      </c>
      <c r="G82" s="584" t="s">
        <v>3692</v>
      </c>
      <c r="H82" s="585">
        <v>7.5</v>
      </c>
      <c r="I82" s="1467"/>
    </row>
    <row r="83" spans="2:9" s="7" customFormat="1">
      <c r="B83" s="584" t="s">
        <v>3700</v>
      </c>
      <c r="C83" s="584" t="s">
        <v>3701</v>
      </c>
      <c r="D83" s="584" t="s">
        <v>3702</v>
      </c>
      <c r="E83" s="584" t="s">
        <v>3695</v>
      </c>
      <c r="F83" s="584" t="s">
        <v>3705</v>
      </c>
      <c r="G83" s="584" t="s">
        <v>3692</v>
      </c>
      <c r="H83" s="585">
        <v>3.5</v>
      </c>
      <c r="I83" s="1467"/>
    </row>
    <row r="84" spans="2:9" s="7" customFormat="1">
      <c r="B84" s="584" t="s">
        <v>3700</v>
      </c>
      <c r="C84" s="584" t="s">
        <v>3701</v>
      </c>
      <c r="D84" s="584" t="s">
        <v>3702</v>
      </c>
      <c r="E84" s="584" t="s">
        <v>3697</v>
      </c>
      <c r="F84" s="584" t="s">
        <v>3703</v>
      </c>
      <c r="G84" s="584" t="s">
        <v>3692</v>
      </c>
      <c r="H84" s="585">
        <v>0.2</v>
      </c>
      <c r="I84" s="1467"/>
    </row>
    <row r="85" spans="2:9" s="7" customFormat="1">
      <c r="B85" s="584" t="s">
        <v>3700</v>
      </c>
      <c r="C85" s="584" t="s">
        <v>3701</v>
      </c>
      <c r="D85" s="584" t="s">
        <v>3702</v>
      </c>
      <c r="E85" s="584" t="s">
        <v>3698</v>
      </c>
      <c r="F85" s="584" t="s">
        <v>3703</v>
      </c>
      <c r="G85" s="584" t="s">
        <v>3692</v>
      </c>
      <c r="H85" s="585">
        <v>0.1</v>
      </c>
      <c r="I85" s="1467"/>
    </row>
    <row r="86" spans="2:9" s="7" customFormat="1">
      <c r="B86" s="584" t="s">
        <v>3700</v>
      </c>
      <c r="C86" s="584" t="s">
        <v>3701</v>
      </c>
      <c r="D86" s="584" t="s">
        <v>3702</v>
      </c>
      <c r="E86" s="584" t="s">
        <v>3699</v>
      </c>
      <c r="F86" s="584" t="s">
        <v>3703</v>
      </c>
      <c r="G86" s="584" t="s">
        <v>3692</v>
      </c>
      <c r="H86" s="585">
        <v>41.1</v>
      </c>
      <c r="I86" s="1467"/>
    </row>
    <row r="87" spans="2:9" s="7" customFormat="1">
      <c r="B87" s="582" t="s">
        <v>3700</v>
      </c>
      <c r="C87" s="582" t="s">
        <v>3706</v>
      </c>
      <c r="D87" s="582" t="s">
        <v>3702</v>
      </c>
      <c r="E87" s="582" t="s">
        <v>3690</v>
      </c>
      <c r="F87" s="582" t="s">
        <v>3707</v>
      </c>
      <c r="G87" s="582" t="s">
        <v>3692</v>
      </c>
      <c r="H87" s="583">
        <v>44.3</v>
      </c>
      <c r="I87" s="1467"/>
    </row>
    <row r="88" spans="2:9" s="7" customFormat="1">
      <c r="B88" s="582" t="s">
        <v>3700</v>
      </c>
      <c r="C88" s="582" t="s">
        <v>3706</v>
      </c>
      <c r="D88" s="582" t="s">
        <v>3702</v>
      </c>
      <c r="E88" s="582" t="s">
        <v>3693</v>
      </c>
      <c r="F88" s="582" t="s">
        <v>3708</v>
      </c>
      <c r="G88" s="582" t="s">
        <v>3692</v>
      </c>
      <c r="H88" s="583">
        <v>9.8000000000000007</v>
      </c>
      <c r="I88" s="1467"/>
    </row>
    <row r="89" spans="2:9" s="7" customFormat="1">
      <c r="B89" s="582" t="s">
        <v>3700</v>
      </c>
      <c r="C89" s="582" t="s">
        <v>3706</v>
      </c>
      <c r="D89" s="582" t="s">
        <v>3702</v>
      </c>
      <c r="E89" s="582" t="s">
        <v>3695</v>
      </c>
      <c r="F89" s="582" t="s">
        <v>3709</v>
      </c>
      <c r="G89" s="582" t="s">
        <v>3692</v>
      </c>
      <c r="H89" s="583">
        <v>2.6</v>
      </c>
      <c r="I89" s="1467"/>
    </row>
    <row r="90" spans="2:9" s="7" customFormat="1">
      <c r="B90" s="582" t="s">
        <v>3700</v>
      </c>
      <c r="C90" s="582" t="s">
        <v>3706</v>
      </c>
      <c r="D90" s="582" t="s">
        <v>3702</v>
      </c>
      <c r="E90" s="582" t="s">
        <v>3697</v>
      </c>
      <c r="F90" s="582" t="s">
        <v>3707</v>
      </c>
      <c r="G90" s="582" t="s">
        <v>3692</v>
      </c>
      <c r="H90" s="583">
        <v>0.4</v>
      </c>
      <c r="I90" s="1467"/>
    </row>
    <row r="91" spans="2:9" s="7" customFormat="1">
      <c r="B91" s="582" t="s">
        <v>3700</v>
      </c>
      <c r="C91" s="582" t="s">
        <v>3706</v>
      </c>
      <c r="D91" s="582" t="s">
        <v>3702</v>
      </c>
      <c r="E91" s="582" t="s">
        <v>3698</v>
      </c>
      <c r="F91" s="582" t="s">
        <v>3707</v>
      </c>
      <c r="G91" s="582" t="s">
        <v>3692</v>
      </c>
      <c r="H91" s="583">
        <v>0.3</v>
      </c>
      <c r="I91" s="1467"/>
    </row>
    <row r="92" spans="2:9" s="7" customFormat="1">
      <c r="B92" s="582" t="s">
        <v>3700</v>
      </c>
      <c r="C92" s="582" t="s">
        <v>3706</v>
      </c>
      <c r="D92" s="582" t="s">
        <v>3702</v>
      </c>
      <c r="E92" s="582" t="s">
        <v>3699</v>
      </c>
      <c r="F92" s="582" t="s">
        <v>3707</v>
      </c>
      <c r="G92" s="582" t="s">
        <v>3692</v>
      </c>
      <c r="H92" s="583">
        <v>57.4</v>
      </c>
      <c r="I92" s="1467"/>
    </row>
    <row r="93" spans="2:9" s="7" customFormat="1">
      <c r="B93" s="584" t="s">
        <v>3700</v>
      </c>
      <c r="C93" s="584" t="s">
        <v>3701</v>
      </c>
      <c r="D93" s="584" t="s">
        <v>2671</v>
      </c>
      <c r="E93" s="584" t="s">
        <v>3690</v>
      </c>
      <c r="F93" s="584" t="s">
        <v>3703</v>
      </c>
      <c r="G93" s="584" t="s">
        <v>3692</v>
      </c>
      <c r="H93" s="585">
        <v>3.4</v>
      </c>
      <c r="I93" s="1467"/>
    </row>
    <row r="94" spans="2:9" s="7" customFormat="1">
      <c r="B94" s="584" t="s">
        <v>3700</v>
      </c>
      <c r="C94" s="584" t="s">
        <v>3701</v>
      </c>
      <c r="D94" s="584" t="s">
        <v>2671</v>
      </c>
      <c r="E94" s="584" t="s">
        <v>3693</v>
      </c>
      <c r="F94" s="584" t="s">
        <v>3704</v>
      </c>
      <c r="G94" s="584" t="s">
        <v>3692</v>
      </c>
      <c r="H94" s="585">
        <v>0.8</v>
      </c>
      <c r="I94" s="1467"/>
    </row>
    <row r="95" spans="2:9" s="7" customFormat="1">
      <c r="B95" s="584" t="s">
        <v>3700</v>
      </c>
      <c r="C95" s="584" t="s">
        <v>3701</v>
      </c>
      <c r="D95" s="584" t="s">
        <v>2671</v>
      </c>
      <c r="E95" s="584" t="s">
        <v>3695</v>
      </c>
      <c r="F95" s="584" t="s">
        <v>3705</v>
      </c>
      <c r="G95" s="584" t="s">
        <v>3692</v>
      </c>
      <c r="H95" s="585">
        <v>0.3</v>
      </c>
      <c r="I95" s="1467"/>
    </row>
    <row r="96" spans="2:9" s="7" customFormat="1">
      <c r="B96" s="584" t="s">
        <v>3700</v>
      </c>
      <c r="C96" s="584" t="s">
        <v>3701</v>
      </c>
      <c r="D96" s="584" t="s">
        <v>2671</v>
      </c>
      <c r="E96" s="584" t="s">
        <v>3697</v>
      </c>
      <c r="F96" s="584" t="s">
        <v>3703</v>
      </c>
      <c r="G96" s="584" t="s">
        <v>3692</v>
      </c>
      <c r="H96" s="585">
        <v>0</v>
      </c>
      <c r="I96" s="1467"/>
    </row>
    <row r="97" spans="2:9" s="7" customFormat="1">
      <c r="B97" s="584" t="s">
        <v>3700</v>
      </c>
      <c r="C97" s="584" t="s">
        <v>3701</v>
      </c>
      <c r="D97" s="584" t="s">
        <v>2671</v>
      </c>
      <c r="E97" s="584" t="s">
        <v>3698</v>
      </c>
      <c r="F97" s="584" t="s">
        <v>3703</v>
      </c>
      <c r="G97" s="584" t="s">
        <v>3692</v>
      </c>
      <c r="H97" s="585">
        <v>0</v>
      </c>
      <c r="I97" s="1467"/>
    </row>
    <row r="98" spans="2:9" s="7" customFormat="1">
      <c r="B98" s="584" t="s">
        <v>3700</v>
      </c>
      <c r="C98" s="584" t="s">
        <v>3701</v>
      </c>
      <c r="D98" s="584" t="s">
        <v>2671</v>
      </c>
      <c r="E98" s="584" t="s">
        <v>3699</v>
      </c>
      <c r="F98" s="584" t="s">
        <v>3703</v>
      </c>
      <c r="G98" s="584" t="s">
        <v>3692</v>
      </c>
      <c r="H98" s="585">
        <v>4.5</v>
      </c>
      <c r="I98" s="1467"/>
    </row>
    <row r="99" spans="2:9" s="7" customFormat="1">
      <c r="B99" s="582" t="s">
        <v>3700</v>
      </c>
      <c r="C99" s="582" t="s">
        <v>3706</v>
      </c>
      <c r="D99" s="582" t="s">
        <v>2671</v>
      </c>
      <c r="E99" s="582" t="s">
        <v>3690</v>
      </c>
      <c r="F99" s="582" t="s">
        <v>3707</v>
      </c>
      <c r="G99" s="582" t="s">
        <v>3692</v>
      </c>
      <c r="H99" s="583">
        <v>34.200000000000003</v>
      </c>
      <c r="I99" s="1467"/>
    </row>
    <row r="100" spans="2:9" s="7" customFormat="1">
      <c r="B100" s="582" t="s">
        <v>3700</v>
      </c>
      <c r="C100" s="582" t="s">
        <v>3706</v>
      </c>
      <c r="D100" s="582" t="s">
        <v>2671</v>
      </c>
      <c r="E100" s="582" t="s">
        <v>3693</v>
      </c>
      <c r="F100" s="582" t="s">
        <v>3708</v>
      </c>
      <c r="G100" s="582" t="s">
        <v>3692</v>
      </c>
      <c r="H100" s="583">
        <v>6.3</v>
      </c>
      <c r="I100" s="1467"/>
    </row>
    <row r="101" spans="2:9" s="7" customFormat="1">
      <c r="B101" s="582" t="s">
        <v>3700</v>
      </c>
      <c r="C101" s="582" t="s">
        <v>3706</v>
      </c>
      <c r="D101" s="582" t="s">
        <v>2671</v>
      </c>
      <c r="E101" s="582" t="s">
        <v>3695</v>
      </c>
      <c r="F101" s="582" t="s">
        <v>3709</v>
      </c>
      <c r="G101" s="582" t="s">
        <v>3692</v>
      </c>
      <c r="H101" s="583">
        <v>1.2</v>
      </c>
      <c r="I101" s="1467"/>
    </row>
    <row r="102" spans="2:9" s="7" customFormat="1">
      <c r="B102" s="582" t="s">
        <v>3700</v>
      </c>
      <c r="C102" s="582" t="s">
        <v>3706</v>
      </c>
      <c r="D102" s="582" t="s">
        <v>2671</v>
      </c>
      <c r="E102" s="582" t="s">
        <v>3697</v>
      </c>
      <c r="F102" s="582" t="s">
        <v>3707</v>
      </c>
      <c r="G102" s="582" t="s">
        <v>3692</v>
      </c>
      <c r="H102" s="583">
        <v>0.5</v>
      </c>
      <c r="I102" s="1467"/>
    </row>
    <row r="103" spans="2:9" s="7" customFormat="1">
      <c r="B103" s="582" t="s">
        <v>3700</v>
      </c>
      <c r="C103" s="582" t="s">
        <v>3706</v>
      </c>
      <c r="D103" s="582" t="s">
        <v>2671</v>
      </c>
      <c r="E103" s="582" t="s">
        <v>3698</v>
      </c>
      <c r="F103" s="582" t="s">
        <v>3707</v>
      </c>
      <c r="G103" s="582" t="s">
        <v>3692</v>
      </c>
      <c r="H103" s="583">
        <v>0.5</v>
      </c>
      <c r="I103" s="1467"/>
    </row>
    <row r="104" spans="2:9" s="7" customFormat="1">
      <c r="B104" s="582" t="s">
        <v>3700</v>
      </c>
      <c r="C104" s="582" t="s">
        <v>3706</v>
      </c>
      <c r="D104" s="582" t="s">
        <v>2671</v>
      </c>
      <c r="E104" s="582" t="s">
        <v>3699</v>
      </c>
      <c r="F104" s="582" t="s">
        <v>3707</v>
      </c>
      <c r="G104" s="582" t="s">
        <v>3692</v>
      </c>
      <c r="H104" s="583">
        <v>42.6</v>
      </c>
      <c r="I104" s="1467"/>
    </row>
    <row r="105" spans="2:9" s="7" customFormat="1">
      <c r="B105" s="584" t="s">
        <v>3710</v>
      </c>
      <c r="C105" s="584" t="s">
        <v>3689</v>
      </c>
      <c r="D105" s="584" t="s">
        <v>3702</v>
      </c>
      <c r="E105" s="584" t="s">
        <v>3690</v>
      </c>
      <c r="F105" s="584" t="s">
        <v>3711</v>
      </c>
      <c r="G105" s="584" t="s">
        <v>3692</v>
      </c>
      <c r="H105" s="585">
        <v>36.9</v>
      </c>
      <c r="I105" s="1467"/>
    </row>
    <row r="106" spans="2:9" s="7" customFormat="1">
      <c r="B106" s="584" t="s">
        <v>3710</v>
      </c>
      <c r="C106" s="584" t="s">
        <v>3689</v>
      </c>
      <c r="D106" s="584" t="s">
        <v>3702</v>
      </c>
      <c r="E106" s="584" t="s">
        <v>3693</v>
      </c>
      <c r="F106" s="584" t="s">
        <v>3712</v>
      </c>
      <c r="G106" s="584" t="s">
        <v>3692</v>
      </c>
      <c r="H106" s="585">
        <v>10.6</v>
      </c>
      <c r="I106" s="1467"/>
    </row>
    <row r="107" spans="2:9" s="7" customFormat="1">
      <c r="B107" s="584" t="s">
        <v>3710</v>
      </c>
      <c r="C107" s="584" t="s">
        <v>3689</v>
      </c>
      <c r="D107" s="584" t="s">
        <v>3702</v>
      </c>
      <c r="E107" s="584" t="s">
        <v>3695</v>
      </c>
      <c r="F107" s="584" t="s">
        <v>3713</v>
      </c>
      <c r="G107" s="584" t="s">
        <v>3692</v>
      </c>
      <c r="H107" s="585">
        <v>0.7</v>
      </c>
      <c r="I107" s="1467"/>
    </row>
    <row r="108" spans="2:9" s="7" customFormat="1">
      <c r="B108" s="584" t="s">
        <v>3710</v>
      </c>
      <c r="C108" s="584" t="s">
        <v>3689</v>
      </c>
      <c r="D108" s="584" t="s">
        <v>3702</v>
      </c>
      <c r="E108" s="584" t="s">
        <v>3697</v>
      </c>
      <c r="F108" s="584" t="s">
        <v>3711</v>
      </c>
      <c r="G108" s="584" t="s">
        <v>3692</v>
      </c>
      <c r="H108" s="585">
        <v>0.4</v>
      </c>
      <c r="I108" s="1467"/>
    </row>
    <row r="109" spans="2:9" s="7" customFormat="1">
      <c r="B109" s="584" t="s">
        <v>3710</v>
      </c>
      <c r="C109" s="584" t="s">
        <v>3689</v>
      </c>
      <c r="D109" s="584" t="s">
        <v>3702</v>
      </c>
      <c r="E109" s="584" t="s">
        <v>3698</v>
      </c>
      <c r="F109" s="584" t="s">
        <v>3711</v>
      </c>
      <c r="G109" s="584" t="s">
        <v>3692</v>
      </c>
      <c r="H109" s="585">
        <v>0.3</v>
      </c>
      <c r="I109" s="1467"/>
    </row>
    <row r="110" spans="2:9" s="7" customFormat="1">
      <c r="B110" s="584" t="s">
        <v>3710</v>
      </c>
      <c r="C110" s="584" t="s">
        <v>3689</v>
      </c>
      <c r="D110" s="584" t="s">
        <v>3702</v>
      </c>
      <c r="E110" s="584" t="s">
        <v>3699</v>
      </c>
      <c r="F110" s="584" t="s">
        <v>3711</v>
      </c>
      <c r="G110" s="584" t="s">
        <v>3692</v>
      </c>
      <c r="H110" s="585">
        <v>48.9</v>
      </c>
      <c r="I110" s="1467"/>
    </row>
    <row r="111" spans="2:9" s="7" customFormat="1">
      <c r="B111" s="582" t="s">
        <v>3710</v>
      </c>
      <c r="C111" s="582" t="s">
        <v>3689</v>
      </c>
      <c r="D111" s="582" t="s">
        <v>2671</v>
      </c>
      <c r="E111" s="582" t="s">
        <v>3690</v>
      </c>
      <c r="F111" s="582" t="s">
        <v>3711</v>
      </c>
      <c r="G111" s="582" t="s">
        <v>3692</v>
      </c>
      <c r="H111" s="583">
        <v>54.3</v>
      </c>
      <c r="I111" s="1467"/>
    </row>
    <row r="112" spans="2:9" s="7" customFormat="1">
      <c r="B112" s="582" t="s">
        <v>3710</v>
      </c>
      <c r="C112" s="582" t="s">
        <v>3689</v>
      </c>
      <c r="D112" s="582" t="s">
        <v>2671</v>
      </c>
      <c r="E112" s="582" t="s">
        <v>3693</v>
      </c>
      <c r="F112" s="582" t="s">
        <v>3712</v>
      </c>
      <c r="G112" s="582" t="s">
        <v>3692</v>
      </c>
      <c r="H112" s="583">
        <v>9.8000000000000007</v>
      </c>
      <c r="I112" s="1467"/>
    </row>
    <row r="113" spans="2:11" s="7" customFormat="1">
      <c r="B113" s="582" t="s">
        <v>3710</v>
      </c>
      <c r="C113" s="582" t="s">
        <v>3689</v>
      </c>
      <c r="D113" s="582" t="s">
        <v>2671</v>
      </c>
      <c r="E113" s="582" t="s">
        <v>3695</v>
      </c>
      <c r="F113" s="582" t="s">
        <v>3713</v>
      </c>
      <c r="G113" s="582" t="s">
        <v>3692</v>
      </c>
      <c r="H113" s="583">
        <v>0.6</v>
      </c>
      <c r="I113" s="1467"/>
    </row>
    <row r="114" spans="2:11" s="7" customFormat="1">
      <c r="B114" s="582" t="s">
        <v>3710</v>
      </c>
      <c r="C114" s="582" t="s">
        <v>3689</v>
      </c>
      <c r="D114" s="582" t="s">
        <v>2671</v>
      </c>
      <c r="E114" s="582" t="s">
        <v>3697</v>
      </c>
      <c r="F114" s="582" t="s">
        <v>3711</v>
      </c>
      <c r="G114" s="582" t="s">
        <v>3692</v>
      </c>
      <c r="H114" s="583">
        <v>1.1000000000000001</v>
      </c>
      <c r="I114" s="1467"/>
    </row>
    <row r="115" spans="2:11" s="7" customFormat="1">
      <c r="B115" s="582" t="s">
        <v>3710</v>
      </c>
      <c r="C115" s="582" t="s">
        <v>3689</v>
      </c>
      <c r="D115" s="582" t="s">
        <v>2671</v>
      </c>
      <c r="E115" s="582" t="s">
        <v>3698</v>
      </c>
      <c r="F115" s="582" t="s">
        <v>3711</v>
      </c>
      <c r="G115" s="582" t="s">
        <v>3692</v>
      </c>
      <c r="H115" s="583">
        <v>0.6</v>
      </c>
      <c r="I115" s="1467"/>
    </row>
    <row r="116" spans="2:11" s="7" customFormat="1">
      <c r="B116" s="582" t="s">
        <v>3710</v>
      </c>
      <c r="C116" s="582" t="s">
        <v>3689</v>
      </c>
      <c r="D116" s="582" t="s">
        <v>2671</v>
      </c>
      <c r="E116" s="582" t="s">
        <v>3699</v>
      </c>
      <c r="F116" s="582" t="s">
        <v>3711</v>
      </c>
      <c r="G116" s="582" t="s">
        <v>3692</v>
      </c>
      <c r="H116" s="583">
        <v>66.400000000000006</v>
      </c>
      <c r="I116" s="1467"/>
    </row>
    <row r="117" spans="2:11" s="7" customFormat="1">
      <c r="B117" s="584" t="s">
        <v>3714</v>
      </c>
      <c r="C117" s="584" t="s">
        <v>3689</v>
      </c>
      <c r="D117" s="584" t="s">
        <v>3689</v>
      </c>
      <c r="E117" s="584" t="s">
        <v>3690</v>
      </c>
      <c r="F117" s="584" t="s">
        <v>3715</v>
      </c>
      <c r="G117" s="584" t="s">
        <v>3692</v>
      </c>
      <c r="H117" s="585">
        <v>251.3</v>
      </c>
      <c r="I117" s="1467"/>
    </row>
    <row r="118" spans="2:11" s="7" customFormat="1">
      <c r="B118" s="584" t="s">
        <v>3714</v>
      </c>
      <c r="C118" s="584" t="s">
        <v>3689</v>
      </c>
      <c r="D118" s="584" t="s">
        <v>3689</v>
      </c>
      <c r="E118" s="584" t="s">
        <v>3693</v>
      </c>
      <c r="F118" s="584" t="s">
        <v>3716</v>
      </c>
      <c r="G118" s="584" t="s">
        <v>3692</v>
      </c>
      <c r="H118" s="585">
        <v>57.8</v>
      </c>
      <c r="I118" s="1467"/>
    </row>
    <row r="119" spans="2:11" s="7" customFormat="1">
      <c r="B119" s="584" t="s">
        <v>3714</v>
      </c>
      <c r="C119" s="584" t="s">
        <v>3689</v>
      </c>
      <c r="D119" s="584" t="s">
        <v>3689</v>
      </c>
      <c r="E119" s="584" t="s">
        <v>3695</v>
      </c>
      <c r="F119" s="584" t="s">
        <v>3717</v>
      </c>
      <c r="G119" s="584" t="s">
        <v>3692</v>
      </c>
      <c r="H119" s="585">
        <v>16.899999999999999</v>
      </c>
      <c r="I119" s="1467"/>
    </row>
    <row r="120" spans="2:11" s="7" customFormat="1">
      <c r="B120" s="584" t="s">
        <v>3714</v>
      </c>
      <c r="C120" s="584" t="s">
        <v>3689</v>
      </c>
      <c r="D120" s="584" t="s">
        <v>3689</v>
      </c>
      <c r="E120" s="584" t="s">
        <v>3697</v>
      </c>
      <c r="F120" s="584" t="s">
        <v>3715</v>
      </c>
      <c r="G120" s="584" t="s">
        <v>3692</v>
      </c>
      <c r="H120" s="585">
        <v>2.9</v>
      </c>
      <c r="I120" s="1467"/>
    </row>
    <row r="121" spans="2:11" s="7" customFormat="1">
      <c r="B121" s="584" t="s">
        <v>3714</v>
      </c>
      <c r="C121" s="584" t="s">
        <v>3689</v>
      </c>
      <c r="D121" s="584" t="s">
        <v>3689</v>
      </c>
      <c r="E121" s="584" t="s">
        <v>3698</v>
      </c>
      <c r="F121" s="584" t="s">
        <v>3715</v>
      </c>
      <c r="G121" s="584" t="s">
        <v>3692</v>
      </c>
      <c r="H121" s="585">
        <v>1.9</v>
      </c>
      <c r="I121" s="1467"/>
    </row>
    <row r="122" spans="2:11" s="7" customFormat="1">
      <c r="B122" s="584" t="s">
        <v>3714</v>
      </c>
      <c r="C122" s="584" t="s">
        <v>3689</v>
      </c>
      <c r="D122" s="584" t="s">
        <v>3689</v>
      </c>
      <c r="E122" s="584" t="s">
        <v>3699</v>
      </c>
      <c r="F122" s="584" t="s">
        <v>3715</v>
      </c>
      <c r="G122" s="584" t="s">
        <v>3692</v>
      </c>
      <c r="H122" s="585">
        <v>330.8</v>
      </c>
      <c r="I122" s="1468"/>
    </row>
    <row r="123" spans="2:11">
      <c r="B123" s="586"/>
      <c r="C123" s="24"/>
      <c r="F123" s="241"/>
      <c r="G123" s="241"/>
      <c r="H123" s="241"/>
      <c r="I123" s="106"/>
    </row>
    <row r="124" spans="2:11">
      <c r="B124" s="587" t="s">
        <v>1899</v>
      </c>
      <c r="C124" s="296" t="s">
        <v>3718</v>
      </c>
      <c r="D124" s="472" t="s">
        <v>3719</v>
      </c>
      <c r="E124" s="546"/>
      <c r="F124" s="327" t="s">
        <v>913</v>
      </c>
      <c r="H124" s="241"/>
      <c r="I124" s="241"/>
      <c r="J124" s="241"/>
      <c r="K124" s="106"/>
    </row>
    <row r="125" spans="2:11" ht="24.95" customHeight="1">
      <c r="B125" s="1469" t="s">
        <v>3720</v>
      </c>
      <c r="C125" s="578" t="s">
        <v>3721</v>
      </c>
      <c r="D125" s="295">
        <v>15.3</v>
      </c>
      <c r="E125" s="1095" t="s">
        <v>3722</v>
      </c>
      <c r="F125" s="1246">
        <v>96</v>
      </c>
      <c r="H125" s="241"/>
      <c r="I125" s="241"/>
      <c r="J125" s="241"/>
      <c r="K125" s="106"/>
    </row>
    <row r="126" spans="2:11" ht="24.95" customHeight="1">
      <c r="B126" s="1469"/>
      <c r="C126" s="578" t="s">
        <v>3723</v>
      </c>
      <c r="D126" s="295">
        <v>30.1</v>
      </c>
      <c r="E126" s="1095"/>
      <c r="F126" s="1246"/>
      <c r="H126" s="241"/>
      <c r="I126" s="241"/>
      <c r="J126" s="241"/>
      <c r="K126" s="106"/>
    </row>
    <row r="127" spans="2:11" ht="24.95" customHeight="1">
      <c r="B127" s="1469" t="s">
        <v>3664</v>
      </c>
      <c r="C127" s="578" t="s">
        <v>3721</v>
      </c>
      <c r="D127" s="295">
        <v>9.5</v>
      </c>
      <c r="E127" s="1095"/>
      <c r="F127" s="1246"/>
      <c r="H127" s="241"/>
      <c r="I127" s="241"/>
      <c r="J127" s="241"/>
      <c r="K127" s="106"/>
    </row>
    <row r="128" spans="2:11" ht="24.95" customHeight="1">
      <c r="B128" s="1469"/>
      <c r="C128" s="578" t="s">
        <v>3723</v>
      </c>
      <c r="D128" s="295">
        <v>14</v>
      </c>
      <c r="E128" s="1095"/>
      <c r="F128" s="1246"/>
      <c r="H128" s="241"/>
      <c r="I128" s="241"/>
      <c r="J128" s="241"/>
      <c r="K128" s="106"/>
    </row>
    <row r="129" spans="1:10">
      <c r="B129" s="586"/>
      <c r="C129" s="586"/>
      <c r="D129" s="24"/>
      <c r="G129" s="241"/>
      <c r="H129" s="241"/>
      <c r="I129" s="241"/>
      <c r="J129" s="106"/>
    </row>
    <row r="130" spans="1:10" ht="29.1">
      <c r="B130" s="588" t="s">
        <v>3674</v>
      </c>
      <c r="C130" s="588" t="s">
        <v>3724</v>
      </c>
      <c r="D130" s="361" t="s">
        <v>913</v>
      </c>
      <c r="G130" s="241"/>
      <c r="H130" s="241"/>
      <c r="I130" s="241"/>
      <c r="J130" s="106"/>
    </row>
    <row r="131" spans="1:10">
      <c r="B131" s="578" t="s">
        <v>3725</v>
      </c>
      <c r="C131" s="589">
        <v>11.7</v>
      </c>
      <c r="D131" s="278">
        <v>100</v>
      </c>
      <c r="G131" s="241"/>
      <c r="H131" s="241"/>
      <c r="I131" s="241"/>
      <c r="J131" s="106"/>
    </row>
    <row r="132" spans="1:10">
      <c r="B132" s="578" t="s">
        <v>3726</v>
      </c>
      <c r="C132" s="589">
        <v>48.3</v>
      </c>
      <c r="D132" s="278">
        <v>101</v>
      </c>
      <c r="G132" s="241"/>
      <c r="H132" s="241"/>
      <c r="I132" s="241"/>
      <c r="J132" s="106"/>
    </row>
    <row r="133" spans="1:10">
      <c r="B133" s="586"/>
      <c r="D133" s="24"/>
      <c r="G133" s="241"/>
      <c r="H133" s="241"/>
      <c r="I133" s="241"/>
      <c r="J133" s="106"/>
    </row>
    <row r="134" spans="1:10">
      <c r="B134" s="586"/>
      <c r="C134" s="24"/>
      <c r="F134" s="241"/>
      <c r="G134" s="241"/>
      <c r="H134" s="241"/>
      <c r="I134" s="106"/>
    </row>
    <row r="135" spans="1:10">
      <c r="A135" s="725"/>
      <c r="B135" s="726" t="s">
        <v>936</v>
      </c>
      <c r="C135" s="725"/>
      <c r="D135" s="725"/>
      <c r="E135" s="725"/>
      <c r="F135" s="725"/>
      <c r="G135" s="725"/>
      <c r="H135" s="725"/>
    </row>
    <row r="136" spans="1:10" ht="45" customHeight="1">
      <c r="B136" s="1014" t="s">
        <v>3727</v>
      </c>
      <c r="C136" s="1014"/>
      <c r="D136" s="1014"/>
      <c r="E136" s="1014"/>
      <c r="F136" s="1014"/>
      <c r="G136" s="1014"/>
      <c r="H136" s="547"/>
    </row>
    <row r="137" spans="1:10">
      <c r="B137" s="16"/>
    </row>
    <row r="138" spans="1:10" ht="30" customHeight="1">
      <c r="B138" s="1095" t="s">
        <v>3728</v>
      </c>
      <c r="C138" s="1095"/>
      <c r="D138" s="1095"/>
      <c r="E138" s="1095"/>
      <c r="F138" s="1095"/>
      <c r="G138" s="1095"/>
      <c r="H138" s="1095"/>
    </row>
    <row r="139" spans="1:10" ht="72.599999999999994">
      <c r="B139" s="285" t="s">
        <v>3674</v>
      </c>
      <c r="C139" s="285" t="s">
        <v>3661</v>
      </c>
      <c r="D139" s="294" t="s">
        <v>3692</v>
      </c>
      <c r="E139" s="294" t="s">
        <v>3729</v>
      </c>
      <c r="F139" s="294" t="s">
        <v>3676</v>
      </c>
      <c r="G139" s="294" t="s">
        <v>3730</v>
      </c>
      <c r="H139" s="294" t="s">
        <v>913</v>
      </c>
    </row>
    <row r="140" spans="1:10">
      <c r="B140" s="52" t="s">
        <v>3688</v>
      </c>
      <c r="C140" s="590" t="s">
        <v>3690</v>
      </c>
      <c r="D140" s="283">
        <f>'42'!$H75</f>
        <v>48.5</v>
      </c>
      <c r="E140" s="349">
        <f>D140/$D$145</f>
        <v>0.69285714285714284</v>
      </c>
      <c r="F140" s="278">
        <f>D$70</f>
        <v>82200</v>
      </c>
      <c r="G140" s="305">
        <f>F140*E140</f>
        <v>56952.857142857138</v>
      </c>
      <c r="H140" s="1246" t="s">
        <v>3731</v>
      </c>
    </row>
    <row r="141" spans="1:10">
      <c r="B141" s="269"/>
      <c r="C141" s="590" t="s">
        <v>3693</v>
      </c>
      <c r="D141" s="283">
        <f>'42'!$H76</f>
        <v>13</v>
      </c>
      <c r="E141" s="349">
        <f t="shared" ref="E141:E145" si="1">D141/$D$145</f>
        <v>0.18571428571428572</v>
      </c>
      <c r="F141" s="278">
        <f t="shared" ref="F141:F145" si="2">D$70</f>
        <v>82200</v>
      </c>
      <c r="G141" s="305">
        <f t="shared" ref="G141:G156" si="3">F141*E141</f>
        <v>15265.714285714286</v>
      </c>
      <c r="H141" s="1246"/>
    </row>
    <row r="142" spans="1:10">
      <c r="B142" s="269"/>
      <c r="C142" s="590" t="s">
        <v>3695</v>
      </c>
      <c r="D142" s="283">
        <f>'42'!$H77</f>
        <v>8.1</v>
      </c>
      <c r="E142" s="349">
        <f t="shared" si="1"/>
        <v>0.11571428571428571</v>
      </c>
      <c r="F142" s="278">
        <f t="shared" si="2"/>
        <v>82200</v>
      </c>
      <c r="G142" s="305">
        <f t="shared" si="3"/>
        <v>9511.7142857142862</v>
      </c>
      <c r="H142" s="1246"/>
    </row>
    <row r="143" spans="1:10">
      <c r="B143" s="269"/>
      <c r="C143" s="590" t="s">
        <v>3697</v>
      </c>
      <c r="D143" s="283">
        <f>'42'!$H78</f>
        <v>0.2</v>
      </c>
      <c r="E143" s="349">
        <f t="shared" si="1"/>
        <v>2.8571428571428571E-3</v>
      </c>
      <c r="F143" s="278">
        <f t="shared" si="2"/>
        <v>82200</v>
      </c>
      <c r="G143" s="305">
        <f t="shared" si="3"/>
        <v>234.85714285714286</v>
      </c>
      <c r="H143" s="1246"/>
    </row>
    <row r="144" spans="1:10">
      <c r="B144" s="269"/>
      <c r="C144" s="590" t="s">
        <v>3698</v>
      </c>
      <c r="D144" s="283">
        <f>'42'!$H79</f>
        <v>0.2</v>
      </c>
      <c r="E144" s="349">
        <f t="shared" si="1"/>
        <v>2.8571428571428571E-3</v>
      </c>
      <c r="F144" s="278">
        <f t="shared" si="2"/>
        <v>82200</v>
      </c>
      <c r="G144" s="305">
        <f>F144*E144</f>
        <v>234.85714285714286</v>
      </c>
      <c r="H144" s="1246"/>
    </row>
    <row r="145" spans="2:13">
      <c r="B145" s="270"/>
      <c r="C145" s="591" t="s">
        <v>3699</v>
      </c>
      <c r="D145" s="548">
        <f>SUM(D140:D144)</f>
        <v>70</v>
      </c>
      <c r="E145" s="350">
        <f t="shared" si="1"/>
        <v>1</v>
      </c>
      <c r="F145" s="280">
        <f t="shared" si="2"/>
        <v>82200</v>
      </c>
      <c r="G145" s="549"/>
      <c r="H145" s="1246"/>
    </row>
    <row r="146" spans="2:13">
      <c r="B146" s="52" t="s">
        <v>3732</v>
      </c>
      <c r="C146" s="590" t="s">
        <v>3690</v>
      </c>
      <c r="D146" s="283">
        <f>SUM(H81,H87,H93,H99)</f>
        <v>111.60000000000001</v>
      </c>
      <c r="E146" s="349">
        <f t="shared" ref="E146:E151" si="4">D146/$D$151</f>
        <v>0.76648351648351654</v>
      </c>
      <c r="F146" s="278">
        <f t="shared" ref="F146:F151" si="5">D$71</f>
        <v>13500</v>
      </c>
      <c r="G146" s="305">
        <f t="shared" si="3"/>
        <v>10347.527472527474</v>
      </c>
      <c r="H146" s="1246"/>
    </row>
    <row r="147" spans="2:13">
      <c r="B147" s="269"/>
      <c r="C147" s="590" t="s">
        <v>3693</v>
      </c>
      <c r="D147" s="283">
        <f>SUM(H82,H88,H94,H100)</f>
        <v>24.400000000000002</v>
      </c>
      <c r="E147" s="349">
        <f t="shared" si="4"/>
        <v>0.1675824175824176</v>
      </c>
      <c r="F147" s="278">
        <f t="shared" si="5"/>
        <v>13500</v>
      </c>
      <c r="G147" s="305">
        <f t="shared" si="3"/>
        <v>2262.3626373626375</v>
      </c>
      <c r="H147" s="1246"/>
    </row>
    <row r="148" spans="2:13">
      <c r="B148" s="269"/>
      <c r="C148" s="590" t="s">
        <v>3695</v>
      </c>
      <c r="D148" s="283">
        <f>SUM(H83,H89,H95,H101)</f>
        <v>7.6</v>
      </c>
      <c r="E148" s="349">
        <f t="shared" si="4"/>
        <v>5.21978021978022E-2</v>
      </c>
      <c r="F148" s="278">
        <f t="shared" si="5"/>
        <v>13500</v>
      </c>
      <c r="G148" s="305">
        <f t="shared" si="3"/>
        <v>704.67032967032969</v>
      </c>
      <c r="H148" s="1246"/>
    </row>
    <row r="149" spans="2:13">
      <c r="B149" s="269"/>
      <c r="C149" s="590" t="s">
        <v>3697</v>
      </c>
      <c r="D149" s="283">
        <f>SUM(H84,H90,H96,H102)</f>
        <v>1.1000000000000001</v>
      </c>
      <c r="E149" s="349">
        <f t="shared" si="4"/>
        <v>7.5549450549450559E-3</v>
      </c>
      <c r="F149" s="278">
        <f t="shared" si="5"/>
        <v>13500</v>
      </c>
      <c r="G149" s="305">
        <f t="shared" si="3"/>
        <v>101.99175824175825</v>
      </c>
      <c r="H149" s="1246"/>
    </row>
    <row r="150" spans="2:13">
      <c r="B150" s="269"/>
      <c r="C150" s="590" t="s">
        <v>3698</v>
      </c>
      <c r="D150" s="283">
        <f>SUM(H85,H91,H97,H103)</f>
        <v>0.9</v>
      </c>
      <c r="E150" s="349">
        <f t="shared" si="4"/>
        <v>6.1813186813186819E-3</v>
      </c>
      <c r="F150" s="278">
        <f t="shared" si="5"/>
        <v>13500</v>
      </c>
      <c r="G150" s="305">
        <f t="shared" si="3"/>
        <v>83.447802197802204</v>
      </c>
      <c r="H150" s="1246"/>
    </row>
    <row r="151" spans="2:13">
      <c r="B151" s="270"/>
      <c r="C151" s="591" t="s">
        <v>3699</v>
      </c>
      <c r="D151" s="548">
        <f>SUM(D146:D150)</f>
        <v>145.6</v>
      </c>
      <c r="E151" s="350">
        <f t="shared" si="4"/>
        <v>1</v>
      </c>
      <c r="F151" s="280">
        <f t="shared" si="5"/>
        <v>13500</v>
      </c>
      <c r="G151" s="549"/>
      <c r="H151" s="1246"/>
    </row>
    <row r="152" spans="2:13">
      <c r="B152" s="52" t="s">
        <v>3733</v>
      </c>
      <c r="C152" s="590" t="s">
        <v>3690</v>
      </c>
      <c r="D152" s="283">
        <f>SUM(H105,H111)</f>
        <v>91.199999999999989</v>
      </c>
      <c r="E152" s="349">
        <f t="shared" ref="E152:E157" si="6">D152/$D$157</f>
        <v>0.79098005203816124</v>
      </c>
      <c r="F152" s="278">
        <f t="shared" ref="F152:F157" si="7">D$72</f>
        <v>1500</v>
      </c>
      <c r="G152" s="305">
        <f t="shared" si="3"/>
        <v>1186.4700780572418</v>
      </c>
      <c r="H152" s="1246"/>
    </row>
    <row r="153" spans="2:13">
      <c r="B153" s="269"/>
      <c r="C153" s="590" t="s">
        <v>3693</v>
      </c>
      <c r="D153" s="283">
        <f>SUM(H106,H112)</f>
        <v>20.399999999999999</v>
      </c>
      <c r="E153" s="349">
        <f t="shared" si="6"/>
        <v>0.17692974848222029</v>
      </c>
      <c r="F153" s="278">
        <f t="shared" si="7"/>
        <v>1500</v>
      </c>
      <c r="G153" s="305">
        <f t="shared" si="3"/>
        <v>265.39462272333043</v>
      </c>
      <c r="H153" s="1246"/>
    </row>
    <row r="154" spans="2:13">
      <c r="B154" s="269"/>
      <c r="C154" s="590" t="s">
        <v>3695</v>
      </c>
      <c r="D154" s="283">
        <f>SUM(H107,H113)</f>
        <v>1.2999999999999998</v>
      </c>
      <c r="E154" s="349">
        <f t="shared" si="6"/>
        <v>1.1274934952298352E-2</v>
      </c>
      <c r="F154" s="278">
        <f t="shared" si="7"/>
        <v>1500</v>
      </c>
      <c r="G154" s="305">
        <f t="shared" si="3"/>
        <v>16.912402428447528</v>
      </c>
      <c r="H154" s="1246"/>
    </row>
    <row r="155" spans="2:13">
      <c r="B155" s="269"/>
      <c r="C155" s="590" t="s">
        <v>3697</v>
      </c>
      <c r="D155" s="283">
        <f>SUM(H108,H114)</f>
        <v>1.5</v>
      </c>
      <c r="E155" s="349">
        <f t="shared" si="6"/>
        <v>1.3009540329575022E-2</v>
      </c>
      <c r="F155" s="278">
        <f t="shared" si="7"/>
        <v>1500</v>
      </c>
      <c r="G155" s="305">
        <f t="shared" si="3"/>
        <v>19.514310494362533</v>
      </c>
      <c r="H155" s="1246"/>
    </row>
    <row r="156" spans="2:13">
      <c r="B156" s="269"/>
      <c r="C156" s="590" t="s">
        <v>3698</v>
      </c>
      <c r="D156" s="283">
        <f>SUM(H109,H115)</f>
        <v>0.89999999999999991</v>
      </c>
      <c r="E156" s="349">
        <f t="shared" si="6"/>
        <v>7.8057241977450122E-3</v>
      </c>
      <c r="F156" s="278">
        <f t="shared" si="7"/>
        <v>1500</v>
      </c>
      <c r="G156" s="305">
        <f t="shared" si="3"/>
        <v>11.708586296617518</v>
      </c>
      <c r="H156" s="1246"/>
    </row>
    <row r="157" spans="2:13">
      <c r="B157" s="270"/>
      <c r="C157" s="591" t="s">
        <v>3699</v>
      </c>
      <c r="D157" s="548">
        <f>SUM(D152:D156)</f>
        <v>115.3</v>
      </c>
      <c r="E157" s="350">
        <f t="shared" si="6"/>
        <v>1</v>
      </c>
      <c r="F157" s="280">
        <f t="shared" si="7"/>
        <v>1500</v>
      </c>
      <c r="G157" s="549"/>
      <c r="H157" s="1246"/>
      <c r="K157" s="284"/>
      <c r="L157" s="284"/>
    </row>
    <row r="158" spans="2:13">
      <c r="K158" s="284"/>
      <c r="L158" s="284"/>
    </row>
    <row r="159" spans="2:13" ht="30" customHeight="1">
      <c r="B159" s="1095" t="s">
        <v>3734</v>
      </c>
      <c r="C159" s="1095"/>
      <c r="D159" s="1095"/>
      <c r="E159" s="1095"/>
      <c r="F159" s="1095"/>
      <c r="G159" s="1095"/>
      <c r="H159" s="1095"/>
      <c r="I159" s="1095"/>
      <c r="J159" s="1095"/>
      <c r="K159" s="1095"/>
      <c r="L159" s="1095"/>
      <c r="M159" s="1095"/>
    </row>
    <row r="160" spans="2:13" ht="57.95">
      <c r="B160" s="592" t="s">
        <v>3674</v>
      </c>
      <c r="C160" s="308" t="s">
        <v>3686</v>
      </c>
      <c r="D160" s="309" t="s">
        <v>3735</v>
      </c>
      <c r="E160" s="308" t="s">
        <v>3736</v>
      </c>
      <c r="F160" s="308" t="s">
        <v>3737</v>
      </c>
      <c r="G160" s="309" t="s">
        <v>3738</v>
      </c>
      <c r="H160" s="309" t="s">
        <v>3739</v>
      </c>
      <c r="I160" s="309" t="s">
        <v>3740</v>
      </c>
      <c r="J160" s="309" t="s">
        <v>3741</v>
      </c>
      <c r="K160" s="309" t="s">
        <v>3742</v>
      </c>
      <c r="L160" s="309" t="s">
        <v>1562</v>
      </c>
      <c r="M160" s="309" t="s">
        <v>3743</v>
      </c>
    </row>
    <row r="161" spans="2:13" ht="15.95" customHeight="1">
      <c r="B161" s="1469" t="s">
        <v>685</v>
      </c>
      <c r="C161" s="278" t="s">
        <v>3664</v>
      </c>
      <c r="D161" s="295">
        <f>D128</f>
        <v>14</v>
      </c>
      <c r="E161" s="305">
        <f>G152</f>
        <v>1186.4700780572418</v>
      </c>
      <c r="F161" s="1465">
        <f>SUM(E161:E162)</f>
        <v>1198.1786643538594</v>
      </c>
      <c r="G161" s="305">
        <f>F40</f>
        <v>40</v>
      </c>
      <c r="H161" s="307">
        <f>G161/60*D161</f>
        <v>9.3333333333333321</v>
      </c>
      <c r="I161" s="307">
        <f>H161*0.621371</f>
        <v>5.799462666666666</v>
      </c>
      <c r="J161" s="307">
        <f>C132</f>
        <v>48.3</v>
      </c>
      <c r="K161" s="307">
        <f>J161*I161/60</f>
        <v>4.6685674466666658</v>
      </c>
      <c r="L161" s="307">
        <f>K161*(E161/$F$161)</f>
        <v>4.6229462664060792</v>
      </c>
      <c r="M161" s="1463">
        <f>SUM(L161:L162)</f>
        <v>4.7210318039663397</v>
      </c>
    </row>
    <row r="162" spans="2:13" ht="15.95" customHeight="1">
      <c r="B162" s="1469"/>
      <c r="C162" s="278" t="s">
        <v>3669</v>
      </c>
      <c r="D162" s="295">
        <f>D126</f>
        <v>30.1</v>
      </c>
      <c r="E162" s="303">
        <f>G156</f>
        <v>11.708586296617518</v>
      </c>
      <c r="F162" s="1465"/>
      <c r="G162" s="305">
        <f>F44</f>
        <v>40</v>
      </c>
      <c r="H162" s="307">
        <f t="shared" ref="H162:H166" si="8">G162/60*D162</f>
        <v>20.066666666666666</v>
      </c>
      <c r="I162" s="307">
        <f t="shared" ref="I162:I166" si="9">H162*0.621371</f>
        <v>12.468844733333333</v>
      </c>
      <c r="J162" s="307">
        <f>C132</f>
        <v>48.3</v>
      </c>
      <c r="K162" s="307">
        <f t="shared" ref="K162:K166" si="10">J162*I162/60</f>
        <v>10.037420010333332</v>
      </c>
      <c r="L162" s="307">
        <f>K162*(E162/$F$161)</f>
        <v>9.8085537560260561E-2</v>
      </c>
      <c r="M162" s="1463"/>
    </row>
    <row r="163" spans="2:13" ht="15.95" customHeight="1">
      <c r="B163" s="1469" t="s">
        <v>686</v>
      </c>
      <c r="C163" s="278" t="s">
        <v>3664</v>
      </c>
      <c r="D163" s="295">
        <f>D127</f>
        <v>9.5</v>
      </c>
      <c r="E163" s="305">
        <f>G146</f>
        <v>10347.527472527474</v>
      </c>
      <c r="F163" s="1465">
        <f>SUM(E163:E164)</f>
        <v>10430.975274725277</v>
      </c>
      <c r="G163" s="278">
        <f>F45</f>
        <v>40</v>
      </c>
      <c r="H163" s="307">
        <f t="shared" si="8"/>
        <v>6.333333333333333</v>
      </c>
      <c r="I163" s="307">
        <f t="shared" si="9"/>
        <v>3.9353496666666667</v>
      </c>
      <c r="J163" s="307">
        <f>C132</f>
        <v>48.3</v>
      </c>
      <c r="K163" s="307">
        <f t="shared" si="10"/>
        <v>3.1679564816666663</v>
      </c>
      <c r="L163" s="307">
        <f>K163*(E163/$F$163)</f>
        <v>3.1426128298133325</v>
      </c>
      <c r="M163" s="1463">
        <f>SUM(L163:L164)</f>
        <v>3.1834294480613323</v>
      </c>
    </row>
    <row r="164" spans="2:13" ht="15.95" customHeight="1">
      <c r="B164" s="1469"/>
      <c r="C164" s="278" t="s">
        <v>3669</v>
      </c>
      <c r="D164" s="295">
        <f>D125</f>
        <v>15.3</v>
      </c>
      <c r="E164" s="305">
        <f>G150</f>
        <v>83.447802197802204</v>
      </c>
      <c r="F164" s="1465"/>
      <c r="G164" s="278">
        <f>F49</f>
        <v>40</v>
      </c>
      <c r="H164" s="307">
        <f t="shared" si="8"/>
        <v>10.199999999999999</v>
      </c>
      <c r="I164" s="307">
        <f t="shared" si="9"/>
        <v>6.3379841999999993</v>
      </c>
      <c r="J164" s="307">
        <f>C132</f>
        <v>48.3</v>
      </c>
      <c r="K164" s="307">
        <f t="shared" si="10"/>
        <v>5.1020772809999988</v>
      </c>
      <c r="L164" s="307">
        <f>K164*(E164/$F$163)</f>
        <v>4.0816618247999981E-2</v>
      </c>
      <c r="M164" s="1463"/>
    </row>
    <row r="165" spans="2:13" ht="15.95" customHeight="1">
      <c r="B165" s="1469" t="s">
        <v>687</v>
      </c>
      <c r="C165" s="278" t="s">
        <v>3664</v>
      </c>
      <c r="D165" s="295">
        <f>D127</f>
        <v>9.5</v>
      </c>
      <c r="E165" s="305">
        <f>G140</f>
        <v>56952.857142857138</v>
      </c>
      <c r="F165" s="1465">
        <f>SUM(E165:E166)</f>
        <v>57187.714285714283</v>
      </c>
      <c r="G165" s="278">
        <f>F50</f>
        <v>90</v>
      </c>
      <c r="H165" s="307">
        <f t="shared" si="8"/>
        <v>14.25</v>
      </c>
      <c r="I165" s="307">
        <f t="shared" si="9"/>
        <v>8.8545367499999994</v>
      </c>
      <c r="J165" s="307">
        <f>C131</f>
        <v>11.7</v>
      </c>
      <c r="K165" s="307">
        <f t="shared" si="10"/>
        <v>1.7266346662499998</v>
      </c>
      <c r="L165" s="307">
        <f>K165*(E165/$F$165)</f>
        <v>1.7195437641298765</v>
      </c>
      <c r="M165" s="1463">
        <f>SUM(L165:L166)</f>
        <v>1.7258882555005131</v>
      </c>
    </row>
    <row r="166" spans="2:13" ht="15.95" customHeight="1">
      <c r="B166" s="1469"/>
      <c r="C166" s="278" t="s">
        <v>3669</v>
      </c>
      <c r="D166" s="295">
        <f>D125</f>
        <v>15.3</v>
      </c>
      <c r="E166" s="305">
        <f>G144</f>
        <v>234.85714285714286</v>
      </c>
      <c r="F166" s="1465"/>
      <c r="G166" s="278">
        <f>F54</f>
        <v>50</v>
      </c>
      <c r="H166" s="307">
        <f t="shared" si="8"/>
        <v>12.750000000000002</v>
      </c>
      <c r="I166" s="307">
        <f t="shared" si="9"/>
        <v>7.9224802500000013</v>
      </c>
      <c r="J166" s="307">
        <f>C131</f>
        <v>11.7</v>
      </c>
      <c r="K166" s="307">
        <f t="shared" si="10"/>
        <v>1.5448836487500002</v>
      </c>
      <c r="L166" s="307">
        <f>K166*(E166/$F$165)</f>
        <v>6.3444913706365517E-3</v>
      </c>
      <c r="M166" s="1463"/>
    </row>
    <row r="167" spans="2:13">
      <c r="B167" s="586"/>
      <c r="D167" s="24"/>
      <c r="G167" s="241"/>
      <c r="H167" s="241"/>
      <c r="I167" s="241"/>
      <c r="J167" s="106"/>
    </row>
    <row r="168" spans="2:13">
      <c r="B168" s="1466" t="s">
        <v>3744</v>
      </c>
      <c r="C168" s="1466"/>
      <c r="D168" s="1466"/>
      <c r="E168" s="1466"/>
      <c r="F168" s="1466"/>
      <c r="G168" s="1466"/>
      <c r="H168" s="1466"/>
      <c r="I168" s="1466"/>
    </row>
    <row r="169" spans="2:13" ht="45" customHeight="1">
      <c r="B169" s="277" t="s">
        <v>898</v>
      </c>
      <c r="C169" s="277" t="s">
        <v>902</v>
      </c>
      <c r="D169" s="277" t="s">
        <v>3661</v>
      </c>
      <c r="E169" s="298" t="s">
        <v>3745</v>
      </c>
      <c r="F169" s="298" t="s">
        <v>3746</v>
      </c>
      <c r="G169" s="298" t="s">
        <v>3747</v>
      </c>
      <c r="H169" s="298" t="s">
        <v>3748</v>
      </c>
      <c r="I169" s="294" t="s">
        <v>3749</v>
      </c>
      <c r="J169" s="106"/>
    </row>
    <row r="170" spans="2:13" ht="15" customHeight="1">
      <c r="B170" s="1087" t="s">
        <v>462</v>
      </c>
      <c r="C170" s="1095" t="s">
        <v>685</v>
      </c>
      <c r="D170" s="278" t="s">
        <v>3664</v>
      </c>
      <c r="E170" s="278">
        <f t="shared" ref="E170:E184" si="11">F40</f>
        <v>40</v>
      </c>
      <c r="F170" s="278">
        <f t="shared" ref="F170:F184" si="12">E40</f>
        <v>51</v>
      </c>
      <c r="G170" s="337">
        <f t="shared" ref="G170:G184" si="13">E170*F170</f>
        <v>2040</v>
      </c>
      <c r="H170" s="366">
        <f t="shared" ref="H170:H184" si="14">G170/100</f>
        <v>20.399999999999999</v>
      </c>
      <c r="I170" s="300">
        <f>$M$161/60*H170</f>
        <v>1.6051508133485552</v>
      </c>
    </row>
    <row r="171" spans="2:13" ht="15" customHeight="1">
      <c r="B171" s="1087"/>
      <c r="C171" s="1095"/>
      <c r="D171" s="278" t="s">
        <v>3666</v>
      </c>
      <c r="E171" s="364">
        <f t="shared" si="11"/>
        <v>40</v>
      </c>
      <c r="F171" s="278">
        <f t="shared" si="12"/>
        <v>62</v>
      </c>
      <c r="G171" s="337">
        <f t="shared" si="13"/>
        <v>2480</v>
      </c>
      <c r="H171" s="366">
        <f t="shared" si="14"/>
        <v>24.8</v>
      </c>
      <c r="I171" s="300">
        <f>$M$161/60*H171</f>
        <v>1.9513598123060869</v>
      </c>
    </row>
    <row r="172" spans="2:13" ht="15" customHeight="1">
      <c r="B172" s="1087"/>
      <c r="C172" s="1095"/>
      <c r="D172" s="278" t="s">
        <v>3667</v>
      </c>
      <c r="E172" s="364">
        <f t="shared" si="11"/>
        <v>40</v>
      </c>
      <c r="F172" s="278">
        <f t="shared" si="12"/>
        <v>73</v>
      </c>
      <c r="G172" s="337">
        <f t="shared" si="13"/>
        <v>2920</v>
      </c>
      <c r="H172" s="366">
        <f t="shared" si="14"/>
        <v>29.2</v>
      </c>
      <c r="I172" s="300">
        <f>$M$161/60*H172</f>
        <v>2.2975688112636186</v>
      </c>
    </row>
    <row r="173" spans="2:13" ht="15" customHeight="1">
      <c r="B173" s="1087"/>
      <c r="C173" s="1095"/>
      <c r="D173" s="278" t="s">
        <v>3668</v>
      </c>
      <c r="E173" s="364">
        <f t="shared" si="11"/>
        <v>40</v>
      </c>
      <c r="F173" s="278">
        <f t="shared" si="12"/>
        <v>104</v>
      </c>
      <c r="G173" s="337">
        <f t="shared" si="13"/>
        <v>4160</v>
      </c>
      <c r="H173" s="366">
        <f t="shared" si="14"/>
        <v>41.6</v>
      </c>
      <c r="I173" s="300">
        <f>$M$161/60*H173</f>
        <v>3.2732487174166622</v>
      </c>
    </row>
    <row r="174" spans="2:13" ht="15" customHeight="1">
      <c r="B174" s="1087"/>
      <c r="C174" s="1095"/>
      <c r="D174" s="278" t="s">
        <v>3669</v>
      </c>
      <c r="E174" s="364">
        <f t="shared" si="11"/>
        <v>40</v>
      </c>
      <c r="F174" s="278">
        <f t="shared" si="12"/>
        <v>368</v>
      </c>
      <c r="G174" s="337">
        <f t="shared" si="13"/>
        <v>14720</v>
      </c>
      <c r="H174" s="366">
        <f t="shared" si="14"/>
        <v>147.19999999999999</v>
      </c>
      <c r="I174" s="300">
        <f>$M$161/60*H174</f>
        <v>11.582264692397418</v>
      </c>
    </row>
    <row r="175" spans="2:13" ht="15" customHeight="1">
      <c r="B175" s="1087"/>
      <c r="C175" s="1464" t="s">
        <v>686</v>
      </c>
      <c r="D175" s="367" t="s">
        <v>3664</v>
      </c>
      <c r="E175" s="368">
        <f t="shared" si="11"/>
        <v>40</v>
      </c>
      <c r="F175" s="367">
        <f t="shared" si="12"/>
        <v>51</v>
      </c>
      <c r="G175" s="369">
        <f t="shared" si="13"/>
        <v>2040</v>
      </c>
      <c r="H175" s="370">
        <f t="shared" si="14"/>
        <v>20.399999999999999</v>
      </c>
      <c r="I175" s="371">
        <f>$M$163/60*H175</f>
        <v>1.0823660123408529</v>
      </c>
    </row>
    <row r="176" spans="2:13" ht="15" customHeight="1">
      <c r="B176" s="1087"/>
      <c r="C176" s="1464"/>
      <c r="D176" s="367" t="s">
        <v>3666</v>
      </c>
      <c r="E176" s="368">
        <f t="shared" si="11"/>
        <v>40</v>
      </c>
      <c r="F176" s="367">
        <f t="shared" si="12"/>
        <v>62</v>
      </c>
      <c r="G176" s="369">
        <f t="shared" si="13"/>
        <v>2480</v>
      </c>
      <c r="H176" s="370">
        <f t="shared" si="14"/>
        <v>24.8</v>
      </c>
      <c r="I176" s="371">
        <f>$M$163/60*H176</f>
        <v>1.315817505198684</v>
      </c>
    </row>
    <row r="177" spans="2:12" ht="15" customHeight="1">
      <c r="B177" s="1087"/>
      <c r="C177" s="1464"/>
      <c r="D177" s="367" t="s">
        <v>3667</v>
      </c>
      <c r="E177" s="368">
        <f t="shared" si="11"/>
        <v>40</v>
      </c>
      <c r="F177" s="367">
        <f t="shared" si="12"/>
        <v>79</v>
      </c>
      <c r="G177" s="369">
        <f t="shared" si="13"/>
        <v>3160</v>
      </c>
      <c r="H177" s="370">
        <f t="shared" si="14"/>
        <v>31.6</v>
      </c>
      <c r="I177" s="371">
        <f>$M$163/60*H177</f>
        <v>1.6766061759789685</v>
      </c>
    </row>
    <row r="178" spans="2:12" ht="15" customHeight="1">
      <c r="B178" s="1087"/>
      <c r="C178" s="1464"/>
      <c r="D178" s="367" t="s">
        <v>3668</v>
      </c>
      <c r="E178" s="368">
        <f t="shared" si="11"/>
        <v>40</v>
      </c>
      <c r="F178" s="367">
        <f t="shared" si="12"/>
        <v>104</v>
      </c>
      <c r="G178" s="369">
        <f t="shared" si="13"/>
        <v>4160</v>
      </c>
      <c r="H178" s="370">
        <f t="shared" si="14"/>
        <v>41.6</v>
      </c>
      <c r="I178" s="371">
        <f>$M$163/60*H178</f>
        <v>2.2071777506558572</v>
      </c>
    </row>
    <row r="179" spans="2:12" ht="15" customHeight="1">
      <c r="B179" s="1087"/>
      <c r="C179" s="1464"/>
      <c r="D179" s="367" t="s">
        <v>3669</v>
      </c>
      <c r="E179" s="368">
        <f t="shared" si="11"/>
        <v>40</v>
      </c>
      <c r="F179" s="367">
        <f t="shared" si="12"/>
        <v>368</v>
      </c>
      <c r="G179" s="369">
        <f t="shared" si="13"/>
        <v>14720</v>
      </c>
      <c r="H179" s="370">
        <f t="shared" si="14"/>
        <v>147.19999999999999</v>
      </c>
      <c r="I179" s="371">
        <f>$M$163/60*H179</f>
        <v>7.8100135792438019</v>
      </c>
    </row>
    <row r="180" spans="2:12" ht="15" customHeight="1">
      <c r="B180" s="1087"/>
      <c r="C180" s="1095" t="s">
        <v>687</v>
      </c>
      <c r="D180" s="278" t="s">
        <v>3664</v>
      </c>
      <c r="E180" s="364">
        <f t="shared" si="11"/>
        <v>90</v>
      </c>
      <c r="F180" s="278">
        <f t="shared" si="12"/>
        <v>27.5</v>
      </c>
      <c r="G180" s="337">
        <f t="shared" si="13"/>
        <v>2475</v>
      </c>
      <c r="H180" s="366">
        <f t="shared" si="14"/>
        <v>24.75</v>
      </c>
      <c r="I180" s="300">
        <f>$M$165/60*H180</f>
        <v>0.71192890539396159</v>
      </c>
    </row>
    <row r="181" spans="2:12" ht="15" customHeight="1">
      <c r="B181" s="1087"/>
      <c r="C181" s="1095"/>
      <c r="D181" s="278" t="s">
        <v>3666</v>
      </c>
      <c r="E181" s="364">
        <f t="shared" si="11"/>
        <v>90</v>
      </c>
      <c r="F181" s="278">
        <f t="shared" si="12"/>
        <v>39</v>
      </c>
      <c r="G181" s="337">
        <f t="shared" si="13"/>
        <v>3510</v>
      </c>
      <c r="H181" s="366">
        <f t="shared" si="14"/>
        <v>35.1</v>
      </c>
      <c r="I181" s="300">
        <f>$M$165/60*H181</f>
        <v>1.0096446294678001</v>
      </c>
    </row>
    <row r="182" spans="2:12" ht="15" customHeight="1">
      <c r="B182" s="1087"/>
      <c r="C182" s="1095"/>
      <c r="D182" s="278" t="s">
        <v>3667</v>
      </c>
      <c r="E182" s="364">
        <f t="shared" si="11"/>
        <v>80</v>
      </c>
      <c r="F182" s="278">
        <f t="shared" si="12"/>
        <v>48</v>
      </c>
      <c r="G182" s="337">
        <f t="shared" si="13"/>
        <v>3840</v>
      </c>
      <c r="H182" s="366">
        <f t="shared" si="14"/>
        <v>38.4</v>
      </c>
      <c r="I182" s="300">
        <f>$M$165/60*H182</f>
        <v>1.1045684835203282</v>
      </c>
      <c r="K182" s="284"/>
      <c r="L182" s="284"/>
    </row>
    <row r="183" spans="2:12" ht="15" customHeight="1">
      <c r="B183" s="1087"/>
      <c r="C183" s="1095"/>
      <c r="D183" s="278" t="s">
        <v>3668</v>
      </c>
      <c r="E183" s="364">
        <f t="shared" si="11"/>
        <v>80</v>
      </c>
      <c r="F183" s="278">
        <f t="shared" si="12"/>
        <v>72</v>
      </c>
      <c r="G183" s="337">
        <f t="shared" si="13"/>
        <v>5760</v>
      </c>
      <c r="H183" s="366">
        <f t="shared" si="14"/>
        <v>57.6</v>
      </c>
      <c r="I183" s="300">
        <f>$M$165/60*H183</f>
        <v>1.6568527252804925</v>
      </c>
      <c r="K183" s="284"/>
      <c r="L183" s="284"/>
    </row>
    <row r="184" spans="2:12" ht="15" customHeight="1">
      <c r="B184" s="1087"/>
      <c r="C184" s="1095"/>
      <c r="D184" s="278" t="s">
        <v>3669</v>
      </c>
      <c r="E184" s="364">
        <f t="shared" si="11"/>
        <v>50</v>
      </c>
      <c r="F184" s="278">
        <f t="shared" si="12"/>
        <v>306</v>
      </c>
      <c r="G184" s="337">
        <f t="shared" si="13"/>
        <v>15300</v>
      </c>
      <c r="H184" s="366">
        <f t="shared" si="14"/>
        <v>153</v>
      </c>
      <c r="I184" s="300">
        <f>$M$165/60*H184</f>
        <v>4.4010150515263087</v>
      </c>
      <c r="K184" s="284"/>
      <c r="L184" s="284"/>
    </row>
    <row r="185" spans="2:12" ht="15" customHeight="1">
      <c r="B185" s="3"/>
      <c r="C185" s="24"/>
      <c r="F185" s="271"/>
      <c r="G185" s="24"/>
      <c r="H185" s="24"/>
      <c r="I185" s="24"/>
      <c r="J185" s="106"/>
      <c r="K185" s="284"/>
      <c r="L185" s="284"/>
    </row>
    <row r="186" spans="2:12" ht="15" customHeight="1">
      <c r="B186" s="1474" t="s">
        <v>3750</v>
      </c>
      <c r="C186" s="1475"/>
      <c r="D186" s="1475"/>
      <c r="E186" s="1475"/>
      <c r="F186" s="1475"/>
      <c r="G186" s="1476"/>
      <c r="H186" s="24"/>
      <c r="I186" s="1"/>
      <c r="J186" s="106"/>
      <c r="K186" s="284"/>
      <c r="L186" s="284"/>
    </row>
    <row r="187" spans="2:12" ht="57.95">
      <c r="B187" s="315" t="s">
        <v>902</v>
      </c>
      <c r="C187" s="316" t="s">
        <v>3661</v>
      </c>
      <c r="D187" s="316" t="s">
        <v>3751</v>
      </c>
      <c r="E187" s="328" t="s">
        <v>3752</v>
      </c>
      <c r="F187" s="310" t="s">
        <v>3753</v>
      </c>
      <c r="G187" s="331" t="s">
        <v>3754</v>
      </c>
      <c r="H187" s="24"/>
      <c r="I187" s="1"/>
      <c r="J187" s="106"/>
      <c r="K187" s="284"/>
      <c r="L187" s="284"/>
    </row>
    <row r="188" spans="2:12" ht="15" customHeight="1">
      <c r="B188" s="286" t="s">
        <v>685</v>
      </c>
      <c r="C188" s="428" t="s">
        <v>3664</v>
      </c>
      <c r="D188" s="300">
        <f>I170</f>
        <v>1.6051508133485552</v>
      </c>
      <c r="E188" s="329">
        <f>G152</f>
        <v>1186.4700780572418</v>
      </c>
      <c r="F188" s="311">
        <f>E188*D188</f>
        <v>1904.4634108073055</v>
      </c>
      <c r="G188" s="287">
        <f>SUM(F188:F191)</f>
        <v>2605.0637116031949</v>
      </c>
      <c r="H188" s="24"/>
      <c r="I188" s="1"/>
      <c r="J188" s="106"/>
      <c r="K188" s="284"/>
      <c r="L188" s="284"/>
    </row>
    <row r="189" spans="2:12" ht="15" customHeight="1">
      <c r="B189" s="272"/>
      <c r="C189" s="428" t="s">
        <v>3666</v>
      </c>
      <c r="D189" s="300">
        <f>I171</f>
        <v>1.9513598123060869</v>
      </c>
      <c r="E189" s="329">
        <f>G153</f>
        <v>265.39462272333043</v>
      </c>
      <c r="F189" s="311">
        <f>E189*D189</f>
        <v>517.8804011844428</v>
      </c>
      <c r="G189" s="273"/>
      <c r="H189" s="24"/>
      <c r="I189" s="1"/>
      <c r="J189" s="106"/>
      <c r="K189" s="284"/>
      <c r="L189" s="284"/>
    </row>
    <row r="190" spans="2:12" ht="15" customHeight="1">
      <c r="B190" s="272"/>
      <c r="C190" s="428" t="s">
        <v>3755</v>
      </c>
      <c r="D190" s="300">
        <f>AVERAGE(I172:I173)</f>
        <v>2.7854087643401404</v>
      </c>
      <c r="E190" s="329">
        <f>G154</f>
        <v>16.912402428447528</v>
      </c>
      <c r="F190" s="311">
        <f>E190*D190</f>
        <v>47.107953950245218</v>
      </c>
      <c r="G190" s="273"/>
      <c r="H190" s="24"/>
      <c r="I190" s="1"/>
      <c r="J190" s="106"/>
      <c r="K190" s="284"/>
      <c r="L190" s="284"/>
    </row>
    <row r="191" spans="2:12" ht="15" customHeight="1">
      <c r="B191" s="288"/>
      <c r="C191" s="428" t="s">
        <v>3669</v>
      </c>
      <c r="D191" s="300">
        <f>I174</f>
        <v>11.582264692397418</v>
      </c>
      <c r="E191" s="329">
        <f>G156</f>
        <v>11.708586296617518</v>
      </c>
      <c r="F191" s="311">
        <f>E191*D191</f>
        <v>135.61194566120133</v>
      </c>
      <c r="G191" s="289"/>
      <c r="H191" s="24"/>
      <c r="I191" s="1"/>
      <c r="J191" s="106"/>
      <c r="K191" s="284"/>
      <c r="L191" s="284"/>
    </row>
    <row r="192" spans="2:12" ht="15" customHeight="1">
      <c r="B192" s="286" t="s">
        <v>3756</v>
      </c>
      <c r="C192" s="428" t="s">
        <v>3664</v>
      </c>
      <c r="D192" s="300">
        <f>I175</f>
        <v>1.0823660123408529</v>
      </c>
      <c r="E192" s="329">
        <f>G146</f>
        <v>10347.527472527474</v>
      </c>
      <c r="F192" s="311">
        <f t="shared" ref="F192:F199" si="15">E192*D192</f>
        <v>11199.812048026986</v>
      </c>
      <c r="G192" s="287">
        <f>SUM(F192:F195)</f>
        <v>16196.790527674139</v>
      </c>
      <c r="H192" s="24"/>
      <c r="I192" s="1"/>
      <c r="J192" s="106"/>
      <c r="K192" s="284"/>
      <c r="L192" s="284"/>
    </row>
    <row r="193" spans="1:15" ht="15" customHeight="1">
      <c r="B193" s="272"/>
      <c r="C193" s="428" t="s">
        <v>3666</v>
      </c>
      <c r="D193" s="300">
        <f>I176</f>
        <v>1.315817505198684</v>
      </c>
      <c r="E193" s="329">
        <f>G147</f>
        <v>2262.3626373626375</v>
      </c>
      <c r="F193" s="311">
        <f t="shared" si="15"/>
        <v>2976.8563613492206</v>
      </c>
      <c r="G193" s="273"/>
      <c r="H193" s="24"/>
      <c r="I193" s="1"/>
      <c r="K193" s="284"/>
      <c r="L193" s="284"/>
      <c r="O193" s="593"/>
    </row>
    <row r="194" spans="1:15" ht="15" customHeight="1">
      <c r="B194" s="272"/>
      <c r="C194" s="428" t="s">
        <v>3755</v>
      </c>
      <c r="D194" s="300">
        <f>AVERAGE(I177:I178)</f>
        <v>1.941891963317413</v>
      </c>
      <c r="E194" s="329">
        <f>G148</f>
        <v>704.67032967032969</v>
      </c>
      <c r="F194" s="311">
        <f t="shared" si="15"/>
        <v>1368.3936499750453</v>
      </c>
      <c r="G194" s="273"/>
      <c r="H194" s="24"/>
      <c r="I194" s="1"/>
      <c r="J194" s="106"/>
      <c r="K194" s="284"/>
      <c r="L194" s="284"/>
    </row>
    <row r="195" spans="1:15" ht="15" customHeight="1">
      <c r="B195" s="288"/>
      <c r="C195" s="428" t="s">
        <v>3669</v>
      </c>
      <c r="D195" s="300">
        <f>I179</f>
        <v>7.8100135792438019</v>
      </c>
      <c r="E195" s="329">
        <f>G150</f>
        <v>83.447802197802204</v>
      </c>
      <c r="F195" s="311">
        <f t="shared" si="15"/>
        <v>651.72846832288599</v>
      </c>
      <c r="G195" s="289"/>
      <c r="H195" s="24"/>
      <c r="I195" s="1"/>
      <c r="J195" s="106"/>
      <c r="K195" s="284"/>
      <c r="L195" s="284"/>
    </row>
    <row r="196" spans="1:15" ht="15" customHeight="1">
      <c r="B196" s="596" t="s">
        <v>687</v>
      </c>
      <c r="C196" s="288" t="s">
        <v>3664</v>
      </c>
      <c r="D196" s="250">
        <f>I180</f>
        <v>0.71192890539396159</v>
      </c>
      <c r="E196" s="597">
        <f>G140</f>
        <v>56952.857142857138</v>
      </c>
      <c r="F196" s="598">
        <f t="shared" si="15"/>
        <v>40546.385244772951</v>
      </c>
      <c r="G196" s="287">
        <f>SUM(F196:F199)</f>
        <v>70125.866289319587</v>
      </c>
      <c r="H196" s="24"/>
      <c r="I196" s="1"/>
      <c r="J196" s="275"/>
      <c r="K196" s="284"/>
      <c r="L196" s="284"/>
    </row>
    <row r="197" spans="1:15" ht="15" customHeight="1">
      <c r="B197" s="272"/>
      <c r="C197" s="428" t="s">
        <v>3666</v>
      </c>
      <c r="D197" s="300">
        <f>I181</f>
        <v>1.0096446294678001</v>
      </c>
      <c r="E197" s="329">
        <f>G141</f>
        <v>15265.714285714286</v>
      </c>
      <c r="F197" s="311">
        <f t="shared" si="15"/>
        <v>15412.946443561303</v>
      </c>
      <c r="G197" s="273"/>
      <c r="H197" s="24"/>
      <c r="I197" s="594"/>
      <c r="J197" s="106"/>
      <c r="K197" s="284"/>
      <c r="L197" s="284"/>
    </row>
    <row r="198" spans="1:15" ht="15" customHeight="1">
      <c r="B198" s="272"/>
      <c r="C198" s="428" t="s">
        <v>3755</v>
      </c>
      <c r="D198" s="300">
        <f>AVERAGE(I182:I183)</f>
        <v>1.3807106044004103</v>
      </c>
      <c r="E198" s="329">
        <f>G142</f>
        <v>9511.7142857142862</v>
      </c>
      <c r="F198" s="311">
        <f t="shared" si="15"/>
        <v>13132.924780312589</v>
      </c>
      <c r="G198" s="273"/>
      <c r="H198" s="24"/>
      <c r="I198" s="1"/>
      <c r="J198" s="106"/>
      <c r="K198" s="284"/>
      <c r="L198" s="284"/>
    </row>
    <row r="199" spans="1:15" ht="15" customHeight="1">
      <c r="B199" s="288"/>
      <c r="C199" s="428" t="s">
        <v>3669</v>
      </c>
      <c r="D199" s="300">
        <f>I184</f>
        <v>4.4010150515263087</v>
      </c>
      <c r="E199" s="329">
        <f>G144</f>
        <v>234.85714285714286</v>
      </c>
      <c r="F199" s="311">
        <f t="shared" si="15"/>
        <v>1033.6098206727502</v>
      </c>
      <c r="G199" s="289"/>
      <c r="L199" s="284"/>
    </row>
    <row r="200" spans="1:15" ht="15" customHeight="1">
      <c r="B200" s="3"/>
      <c r="C200" s="24"/>
      <c r="F200" s="271"/>
      <c r="G200" s="24"/>
      <c r="H200" s="24"/>
      <c r="I200" s="24"/>
      <c r="J200" s="106"/>
      <c r="K200" s="284"/>
      <c r="L200" s="284"/>
    </row>
    <row r="201" spans="1:15" ht="15" customHeight="1">
      <c r="B201" s="312" t="s">
        <v>3757</v>
      </c>
      <c r="C201" s="24"/>
      <c r="F201" s="271"/>
      <c r="G201" s="24"/>
      <c r="H201" s="24"/>
      <c r="J201" s="106"/>
      <c r="K201" s="284"/>
      <c r="L201" s="284"/>
    </row>
    <row r="202" spans="1:15" s="274" customFormat="1">
      <c r="A202" s="2"/>
      <c r="B202" s="277" t="s">
        <v>104</v>
      </c>
      <c r="C202" s="442" t="s">
        <v>462</v>
      </c>
      <c r="D202" s="2"/>
      <c r="E202" s="2"/>
      <c r="F202" s="271"/>
      <c r="G202" s="24"/>
      <c r="J202" s="106"/>
    </row>
    <row r="203" spans="1:15">
      <c r="B203" s="278" t="s">
        <v>685</v>
      </c>
      <c r="C203" s="501">
        <f>G188</f>
        <v>2605.0637116031949</v>
      </c>
      <c r="D203" s="23"/>
      <c r="F203" s="271"/>
      <c r="G203" s="24"/>
      <c r="I203" s="23"/>
      <c r="J203" s="106"/>
      <c r="K203" s="206"/>
    </row>
    <row r="204" spans="1:15">
      <c r="B204" s="278" t="s">
        <v>686</v>
      </c>
      <c r="C204" s="501">
        <f>G192</f>
        <v>16196.790527674139</v>
      </c>
      <c r="D204" s="23"/>
      <c r="F204" s="271"/>
      <c r="G204" s="24"/>
      <c r="J204" s="106"/>
    </row>
    <row r="205" spans="1:15">
      <c r="B205" s="278" t="s">
        <v>687</v>
      </c>
      <c r="C205" s="501">
        <f>G196</f>
        <v>70125.866289319587</v>
      </c>
      <c r="D205" s="23"/>
      <c r="F205" s="271"/>
      <c r="G205" s="24"/>
      <c r="I205" s="595"/>
      <c r="J205" s="106"/>
    </row>
    <row r="206" spans="1:15">
      <c r="B206" s="278" t="s">
        <v>688</v>
      </c>
      <c r="C206" s="550" t="s">
        <v>907</v>
      </c>
      <c r="E206" s="595"/>
      <c r="F206" s="271"/>
      <c r="G206" s="24"/>
      <c r="J206" s="106"/>
    </row>
    <row r="207" spans="1:15">
      <c r="G207" s="24"/>
    </row>
    <row r="208" spans="1:15">
      <c r="A208" s="727"/>
      <c r="B208" s="728" t="s">
        <v>943</v>
      </c>
      <c r="C208" s="727"/>
      <c r="D208" s="727"/>
      <c r="E208" s="727"/>
      <c r="F208" s="727"/>
      <c r="G208" s="727"/>
      <c r="H208" s="727"/>
    </row>
    <row r="209" spans="1:8">
      <c r="A209" s="725"/>
      <c r="B209" s="726" t="s">
        <v>912</v>
      </c>
      <c r="C209" s="725"/>
      <c r="D209" s="725"/>
      <c r="E209" s="725"/>
      <c r="F209" s="725"/>
      <c r="G209" s="725"/>
      <c r="H209" s="725"/>
    </row>
    <row r="210" spans="1:8" ht="29.1">
      <c r="B210" s="719" t="s">
        <v>913</v>
      </c>
      <c r="C210" s="719" t="s">
        <v>914</v>
      </c>
      <c r="D210" s="719" t="s">
        <v>915</v>
      </c>
      <c r="E210" s="719" t="s">
        <v>916</v>
      </c>
      <c r="F210" s="719" t="s">
        <v>917</v>
      </c>
      <c r="G210" s="719" t="s">
        <v>918</v>
      </c>
      <c r="H210" s="719" t="s">
        <v>919</v>
      </c>
    </row>
    <row r="211" spans="1:8">
      <c r="B211" s="278">
        <v>92</v>
      </c>
      <c r="C211" s="278" t="s">
        <v>3758</v>
      </c>
      <c r="D211" s="279" t="s">
        <v>907</v>
      </c>
      <c r="E211" s="278">
        <v>2024</v>
      </c>
      <c r="F211" s="278" t="s">
        <v>1047</v>
      </c>
      <c r="G211" s="278" t="s">
        <v>1047</v>
      </c>
      <c r="H211" s="279" t="s">
        <v>907</v>
      </c>
    </row>
    <row r="212" spans="1:8">
      <c r="B212" s="16"/>
    </row>
    <row r="213" spans="1:8">
      <c r="A213" s="725"/>
      <c r="B213" s="726" t="s">
        <v>924</v>
      </c>
      <c r="C213" s="725"/>
      <c r="D213" s="725"/>
      <c r="E213" s="725"/>
      <c r="F213" s="725"/>
      <c r="G213" s="725"/>
      <c r="H213" s="725"/>
    </row>
    <row r="214" spans="1:8">
      <c r="B214" s="277" t="s">
        <v>165</v>
      </c>
      <c r="C214" s="277" t="s">
        <v>925</v>
      </c>
      <c r="D214" s="277" t="s">
        <v>926</v>
      </c>
      <c r="E214" s="1134" t="s">
        <v>927</v>
      </c>
      <c r="F214" s="1134"/>
      <c r="G214" s="1134"/>
      <c r="H214" s="1134"/>
    </row>
    <row r="215" spans="1:8">
      <c r="B215" s="278" t="s">
        <v>169</v>
      </c>
      <c r="C215" s="278" t="s">
        <v>166</v>
      </c>
      <c r="D215" s="278">
        <f>VLOOKUP(C215,METHODOLOGY!$C$175:$D$177,2,FALSE)</f>
        <v>3</v>
      </c>
      <c r="E215" s="1087" t="str">
        <f>_xlfn.XLOOKUP(C215,METHODOLOGY!$E$150:$O$150,METHODOLOGY!$E$151:$O$151,"",0,1)</f>
        <v>Monetary values have been peer reviewed or are recommended / referenced in other, well recognised and accepted guidance / tools relevant to the water sector.</v>
      </c>
      <c r="F215" s="1087"/>
      <c r="G215" s="1087"/>
      <c r="H215" s="1087"/>
    </row>
    <row r="216" spans="1:8">
      <c r="B216" s="278" t="s">
        <v>173</v>
      </c>
      <c r="C216" s="278" t="s">
        <v>166</v>
      </c>
      <c r="D216" s="278">
        <f>VLOOKUP(C216,METHODOLOGY!$C$175:$D$177,2,FALSE)</f>
        <v>3</v>
      </c>
      <c r="E216" s="1087" t="str">
        <f>_xlfn.XLOOKUP(C216,METHODOLOGY!$E$150:$O$150,METHODOLOGY!$E$155:$O$155,"",0,1)</f>
        <v>Study has few limitations and is considered robust.</v>
      </c>
      <c r="F216" s="1087"/>
      <c r="G216" s="1087"/>
      <c r="H216" s="1087"/>
    </row>
    <row r="217" spans="1:8">
      <c r="B217" s="278" t="s">
        <v>177</v>
      </c>
      <c r="C217" s="278" t="s">
        <v>166</v>
      </c>
      <c r="D217" s="278">
        <f>VLOOKUP(C217,METHODOLOGY!$C$175:$D$177,2,FALSE)</f>
        <v>3</v>
      </c>
      <c r="E217" s="1087" t="str">
        <f>_xlfn.XLOOKUP(C217,METHODOLOGY!$E$150:$O$150,METHODOLOGY!$E$158:$O$158,"",0,1)</f>
        <v>0 – 5 years</v>
      </c>
      <c r="F217" s="1087"/>
      <c r="G217" s="1087"/>
      <c r="H217" s="1087"/>
    </row>
    <row r="218" spans="1:8">
      <c r="B218" s="278" t="s">
        <v>181</v>
      </c>
      <c r="C218" s="278" t="s">
        <v>166</v>
      </c>
      <c r="D218" s="278">
        <f>VLOOKUP(C218,METHODOLOGY!$C$175:$D$177,2,FALSE)</f>
        <v>3</v>
      </c>
      <c r="E218" s="1087" t="str">
        <f>_xlfn.XLOOKUP(C218,METHODOLOGY!$E$150:$O$150,METHODOLOGY!$E$160:$O$160,"",0,1)</f>
        <v>Geographically relevant to UK</v>
      </c>
      <c r="F218" s="1087"/>
      <c r="G218" s="1087"/>
      <c r="H218" s="1087"/>
    </row>
    <row r="219" spans="1:8">
      <c r="B219" s="278" t="s">
        <v>928</v>
      </c>
      <c r="C219" s="278" t="s">
        <v>166</v>
      </c>
      <c r="D219" s="278">
        <f>VLOOKUP(C219,METHODOLOGY!$C$175:$D$177,2,FALSE)</f>
        <v>3</v>
      </c>
      <c r="E219" s="1087" t="str">
        <f>_xlfn.XLOOKUP(C219,METHODOLOGY!$E$150:$O$150,METHODOLOGY!$E$162:$O$162,"",0,1)</f>
        <v>Clear understanding of the valuation method and how the value should be applied.</v>
      </c>
      <c r="F219" s="1087"/>
      <c r="G219" s="1087"/>
      <c r="H219" s="1087"/>
    </row>
    <row r="220" spans="1:8">
      <c r="B220" s="278" t="s">
        <v>189</v>
      </c>
      <c r="C220" s="278" t="s">
        <v>168</v>
      </c>
      <c r="D220" s="278">
        <f>VLOOKUP(C220,METHODOLOGY!$C$175:$D$177,2,FALSE)</f>
        <v>1</v>
      </c>
      <c r="E220" s="1087" t="str">
        <f>_xlfn.XLOOKUP(C220,METHODOLOGY!$E$150:$O$150,METHODOLOGY!$E$164:$O$164,"",0,1)</f>
        <v xml:space="preserve">The original valuation can be used with significant modification e.g. several additional data inputs are required to use the original source. The calculation is complex or introduces significant uncertainty. </v>
      </c>
      <c r="F220" s="1087"/>
      <c r="G220" s="1087"/>
      <c r="H220" s="1087"/>
    </row>
    <row r="221" spans="1:8">
      <c r="C221" s="282" t="s">
        <v>924</v>
      </c>
      <c r="D221" s="326">
        <f>IF(AND(D220=1,AVERAGE(D215:D220)&gt;2.14285714285714),2.14285714285714,IF(AND(D220=2,AVERAGE(D215:D220)&gt;2.57142857142857),2.57142857142857,AVERAGE(D215:D220)))</f>
        <v>2.1428571428571401</v>
      </c>
      <c r="E221" s="270" t="str">
        <f>IF(D221&lt;=2.14285714285714,"Red",IF(D221&lt;=2.57142857142857,"Amber",IF(D221&lt;=3,"Green")))</f>
        <v>Red</v>
      </c>
    </row>
    <row r="224" spans="1:8">
      <c r="A224" s="725"/>
      <c r="B224" s="726" t="s">
        <v>929</v>
      </c>
      <c r="C224" s="725"/>
      <c r="D224" s="725"/>
      <c r="E224" s="725"/>
      <c r="F224" s="725"/>
      <c r="G224" s="725"/>
      <c r="H224" s="725"/>
    </row>
    <row r="225" spans="2:7" s="7" customFormat="1" ht="35.25" customHeight="1">
      <c r="B225" s="1472" t="s">
        <v>3759</v>
      </c>
      <c r="C225" s="1472"/>
      <c r="D225" s="1472"/>
      <c r="E225" s="1472"/>
      <c r="F225" s="599" t="s">
        <v>913</v>
      </c>
      <c r="G225" s="600" t="s">
        <v>930</v>
      </c>
    </row>
    <row r="226" spans="2:7" s="7" customFormat="1">
      <c r="B226" s="1473" t="s">
        <v>3760</v>
      </c>
      <c r="C226" s="1473"/>
      <c r="D226" s="1473"/>
      <c r="E226" s="1473"/>
      <c r="F226" s="1477">
        <v>92</v>
      </c>
      <c r="G226" s="1095" t="s">
        <v>3761</v>
      </c>
    </row>
    <row r="227" spans="2:7" s="7" customFormat="1">
      <c r="B227" s="551" t="s">
        <v>3762</v>
      </c>
      <c r="C227" s="551"/>
      <c r="D227" s="551"/>
      <c r="E227" s="317"/>
      <c r="F227" s="1477"/>
      <c r="G227" s="1095"/>
    </row>
    <row r="228" spans="2:7" s="7" customFormat="1">
      <c r="B228" s="552" t="s">
        <v>1899</v>
      </c>
      <c r="C228" s="552" t="s">
        <v>3763</v>
      </c>
      <c r="D228" s="552" t="s">
        <v>3764</v>
      </c>
      <c r="E228" s="318" t="s">
        <v>3016</v>
      </c>
      <c r="F228" s="1477"/>
      <c r="G228" s="1095"/>
    </row>
    <row r="229" spans="2:7" s="7" customFormat="1">
      <c r="B229" s="276" t="s">
        <v>3765</v>
      </c>
      <c r="C229" s="528">
        <v>14.864388217189035</v>
      </c>
      <c r="D229" s="528">
        <v>14.864388217189035</v>
      </c>
      <c r="E229" s="319">
        <v>17.68862197845495</v>
      </c>
      <c r="F229" s="1477"/>
      <c r="G229" s="1095"/>
    </row>
    <row r="230" spans="2:7" s="7" customFormat="1">
      <c r="B230" s="276" t="s">
        <v>3766</v>
      </c>
      <c r="C230" s="528">
        <v>14.864388217189035</v>
      </c>
      <c r="D230" s="528">
        <v>14.864388217189035</v>
      </c>
      <c r="E230" s="319">
        <v>17.68862197845495</v>
      </c>
      <c r="F230" s="1477"/>
      <c r="G230" s="1095"/>
    </row>
    <row r="231" spans="2:7" s="7" customFormat="1">
      <c r="B231" s="276" t="s">
        <v>3767</v>
      </c>
      <c r="C231" s="528">
        <v>10.821229357592891</v>
      </c>
      <c r="D231" s="528">
        <v>10.821229357592891</v>
      </c>
      <c r="E231" s="319">
        <v>12.877262935535537</v>
      </c>
      <c r="F231" s="1477"/>
      <c r="G231" s="1095"/>
    </row>
    <row r="232" spans="2:7" s="7" customFormat="1">
      <c r="B232" s="276" t="s">
        <v>3768</v>
      </c>
      <c r="C232" s="528">
        <v>13.054173663876286</v>
      </c>
      <c r="D232" s="528">
        <v>13.054173663876286</v>
      </c>
      <c r="E232" s="319">
        <v>15.534466660012779</v>
      </c>
      <c r="F232" s="1477"/>
      <c r="G232" s="1095"/>
    </row>
    <row r="233" spans="2:7" s="7" customFormat="1">
      <c r="B233" s="276" t="s">
        <v>3769</v>
      </c>
      <c r="C233" s="528">
        <v>12.215670284519797</v>
      </c>
      <c r="D233" s="528">
        <v>12.215670284519797</v>
      </c>
      <c r="E233" s="319">
        <v>14.536647638578556</v>
      </c>
      <c r="F233" s="1477"/>
      <c r="G233" s="1095"/>
    </row>
    <row r="234" spans="2:7" s="7" customFormat="1">
      <c r="B234" s="276" t="s">
        <v>3770</v>
      </c>
      <c r="C234" s="528">
        <v>8.4234376207507076</v>
      </c>
      <c r="D234" s="528">
        <v>8.4234376207507076</v>
      </c>
      <c r="E234" s="319">
        <v>10.023890768693342</v>
      </c>
      <c r="F234" s="1477"/>
      <c r="G234" s="1095"/>
    </row>
    <row r="235" spans="2:7" s="7" customFormat="1">
      <c r="B235" s="276" t="s">
        <v>3771</v>
      </c>
      <c r="C235" s="528">
        <v>10.291525687680698</v>
      </c>
      <c r="D235" s="528">
        <v>10.291525687680698</v>
      </c>
      <c r="E235" s="319">
        <v>12.246915568340031</v>
      </c>
      <c r="F235" s="1477"/>
      <c r="G235" s="1095"/>
    </row>
    <row r="236" spans="2:7" s="7" customFormat="1">
      <c r="B236" s="276" t="s">
        <v>3772</v>
      </c>
      <c r="C236" s="528">
        <v>14.864388217189035</v>
      </c>
      <c r="D236" s="528">
        <v>14.864388217189035</v>
      </c>
      <c r="E236" s="319">
        <v>17.68862197845495</v>
      </c>
      <c r="F236" s="1477"/>
      <c r="G236" s="1095"/>
    </row>
    <row r="237" spans="2:7" s="7" customFormat="1">
      <c r="B237" s="276" t="s">
        <v>3773</v>
      </c>
      <c r="C237" s="528">
        <v>24.518992476633144</v>
      </c>
      <c r="D237" s="528">
        <v>24.518992476633144</v>
      </c>
      <c r="E237" s="319">
        <v>29.177601047193445</v>
      </c>
      <c r="F237" s="1477"/>
      <c r="G237" s="1095"/>
    </row>
    <row r="238" spans="2:7" s="7" customFormat="1">
      <c r="B238" s="276" t="s">
        <v>3774</v>
      </c>
      <c r="C238" s="528">
        <v>8.4234376207507076</v>
      </c>
      <c r="D238" s="528">
        <v>8.4234376207507076</v>
      </c>
      <c r="E238" s="319">
        <v>10.023890768693342</v>
      </c>
      <c r="F238" s="1477"/>
      <c r="G238" s="1095"/>
    </row>
    <row r="239" spans="2:7" s="7" customFormat="1">
      <c r="B239" s="276" t="s">
        <v>3775</v>
      </c>
      <c r="C239" s="528">
        <v>8.4234376207507076</v>
      </c>
      <c r="D239" s="528">
        <v>8.4234376207507076</v>
      </c>
      <c r="E239" s="319">
        <v>10.023890768693342</v>
      </c>
      <c r="F239" s="1477"/>
      <c r="G239" s="1095"/>
    </row>
    <row r="240" spans="2:7" s="7" customFormat="1">
      <c r="B240" s="276" t="s">
        <v>3776</v>
      </c>
      <c r="C240" s="528">
        <v>8.4234376207507076</v>
      </c>
      <c r="D240" s="528">
        <v>8.4234376207507076</v>
      </c>
      <c r="E240" s="319">
        <v>10.023890768693342</v>
      </c>
      <c r="F240" s="1477"/>
      <c r="G240" s="1095"/>
    </row>
    <row r="241" spans="2:7" s="7" customFormat="1">
      <c r="B241" s="276" t="s">
        <v>3777</v>
      </c>
      <c r="C241" s="528">
        <v>14.864388217189035</v>
      </c>
      <c r="D241" s="528">
        <v>14.864388217189035</v>
      </c>
      <c r="E241" s="319">
        <v>17.68862197845495</v>
      </c>
      <c r="F241" s="1477"/>
      <c r="G241" s="1095"/>
    </row>
    <row r="242" spans="2:7" s="7" customFormat="1">
      <c r="B242" s="276" t="s">
        <v>3778</v>
      </c>
      <c r="C242" s="528">
        <v>16.190710672670583</v>
      </c>
      <c r="D242" s="528">
        <v>16.190710672670583</v>
      </c>
      <c r="E242" s="319">
        <v>19.266945700477994</v>
      </c>
      <c r="F242" s="1477"/>
      <c r="G242" s="1095"/>
    </row>
    <row r="243" spans="2:7" s="7" customFormat="1">
      <c r="B243" s="551" t="s">
        <v>3779</v>
      </c>
      <c r="C243" s="551"/>
      <c r="D243" s="551"/>
      <c r="E243" s="317"/>
      <c r="F243" s="1477"/>
      <c r="G243" s="1095"/>
    </row>
    <row r="244" spans="2:7" s="7" customFormat="1">
      <c r="B244" s="551" t="s">
        <v>3762</v>
      </c>
      <c r="C244" s="551"/>
      <c r="D244" s="551"/>
      <c r="E244" s="317"/>
      <c r="F244" s="1477"/>
      <c r="G244" s="1095"/>
    </row>
    <row r="245" spans="2:7" s="7" customFormat="1">
      <c r="B245" s="552" t="s">
        <v>3780</v>
      </c>
      <c r="C245" s="552" t="s">
        <v>3763</v>
      </c>
      <c r="D245" s="552" t="s">
        <v>3764</v>
      </c>
      <c r="E245" s="318" t="s">
        <v>3016</v>
      </c>
      <c r="F245" s="1477"/>
      <c r="G245" s="1095"/>
    </row>
    <row r="246" spans="2:7" s="7" customFormat="1">
      <c r="B246" s="276" t="s">
        <v>3781</v>
      </c>
      <c r="C246" s="528">
        <v>8.3638237971226079</v>
      </c>
      <c r="D246" s="528">
        <v>9.952950318575903</v>
      </c>
      <c r="E246" s="319">
        <v>9.952950318575903</v>
      </c>
      <c r="F246" s="1477"/>
      <c r="G246" s="1095"/>
    </row>
    <row r="247" spans="2:7" s="7" customFormat="1">
      <c r="B247" s="276" t="s">
        <v>3782</v>
      </c>
      <c r="C247" s="528">
        <v>3.8175001803746342</v>
      </c>
      <c r="D247" s="528">
        <v>4.5428252146458146</v>
      </c>
      <c r="E247" s="319">
        <v>4.5428252146458146</v>
      </c>
      <c r="F247" s="1477"/>
      <c r="G247" s="1095"/>
    </row>
    <row r="248" spans="2:7" s="7" customFormat="1">
      <c r="B248" s="551" t="s">
        <v>3783</v>
      </c>
      <c r="C248" s="551"/>
      <c r="D248" s="551"/>
      <c r="E248" s="551"/>
      <c r="F248" s="1477"/>
      <c r="G248" s="1095"/>
    </row>
    <row r="249" spans="2:7" s="7" customFormat="1">
      <c r="B249" s="552" t="s">
        <v>1899</v>
      </c>
      <c r="C249" s="552" t="s">
        <v>3784</v>
      </c>
      <c r="D249" s="552" t="s">
        <v>3785</v>
      </c>
      <c r="E249" s="552"/>
      <c r="F249" s="1477"/>
      <c r="G249" s="1095"/>
    </row>
    <row r="250" spans="2:7" s="7" customFormat="1">
      <c r="B250" s="1131" t="s">
        <v>3664</v>
      </c>
      <c r="C250" s="276" t="s">
        <v>3786</v>
      </c>
      <c r="D250" s="528">
        <v>12.059245195845831</v>
      </c>
      <c r="E250" s="528"/>
      <c r="F250" s="1477"/>
      <c r="G250" s="1095"/>
    </row>
    <row r="251" spans="2:7" s="7" customFormat="1">
      <c r="B251" s="1131"/>
      <c r="C251" s="276" t="s">
        <v>3787</v>
      </c>
      <c r="D251" s="528">
        <v>25.488591248387817</v>
      </c>
      <c r="E251" s="528"/>
      <c r="F251" s="1477"/>
      <c r="G251" s="1095"/>
    </row>
    <row r="252" spans="2:7" s="7" customFormat="1">
      <c r="B252" s="1178"/>
      <c r="C252" s="276" t="s">
        <v>3788</v>
      </c>
      <c r="D252" s="528">
        <v>62.452163555766383</v>
      </c>
      <c r="E252" s="528"/>
      <c r="F252" s="1477"/>
      <c r="G252" s="1095"/>
    </row>
    <row r="253" spans="2:7">
      <c r="C253" s="24"/>
      <c r="F253" s="271"/>
      <c r="G253" s="24"/>
    </row>
    <row r="254" spans="2:7">
      <c r="B254" s="285" t="s">
        <v>3674</v>
      </c>
      <c r="C254" s="442" t="s">
        <v>3789</v>
      </c>
      <c r="D254" s="285" t="s">
        <v>913</v>
      </c>
      <c r="F254" s="271"/>
      <c r="G254" s="24"/>
    </row>
    <row r="255" spans="2:7">
      <c r="B255" s="278" t="s">
        <v>685</v>
      </c>
      <c r="C255" s="457">
        <v>1500</v>
      </c>
      <c r="D255" s="214">
        <v>90</v>
      </c>
      <c r="F255" s="271"/>
      <c r="G255" s="24"/>
    </row>
    <row r="256" spans="2:7">
      <c r="B256" s="278" t="s">
        <v>686</v>
      </c>
      <c r="C256" s="457">
        <v>13500</v>
      </c>
      <c r="D256" s="272"/>
      <c r="F256" s="271"/>
      <c r="G256" s="24"/>
    </row>
    <row r="257" spans="1:17">
      <c r="B257" s="278" t="s">
        <v>687</v>
      </c>
      <c r="C257" s="457">
        <v>82200</v>
      </c>
      <c r="D257" s="354"/>
      <c r="F257" s="271"/>
      <c r="G257" s="24"/>
    </row>
    <row r="258" spans="1:17">
      <c r="C258" s="24"/>
      <c r="F258" s="271"/>
      <c r="G258" s="24"/>
    </row>
    <row r="259" spans="1:17">
      <c r="A259" s="725"/>
      <c r="B259" s="726" t="s">
        <v>936</v>
      </c>
      <c r="C259" s="803"/>
      <c r="D259" s="725"/>
      <c r="E259" s="725"/>
      <c r="F259" s="804"/>
      <c r="G259" s="803"/>
      <c r="H259" s="725"/>
    </row>
    <row r="260" spans="1:17" ht="91.5" customHeight="1">
      <c r="B260" s="285" t="s">
        <v>3674</v>
      </c>
      <c r="C260" s="442" t="s">
        <v>3789</v>
      </c>
      <c r="D260" s="442" t="s">
        <v>3790</v>
      </c>
      <c r="E260" s="294" t="s">
        <v>3791</v>
      </c>
      <c r="F260" s="285" t="s">
        <v>913</v>
      </c>
      <c r="H260" s="553"/>
      <c r="I260" s="24"/>
    </row>
    <row r="261" spans="1:17">
      <c r="B261" s="278" t="s">
        <v>685</v>
      </c>
      <c r="C261" s="457">
        <v>1500</v>
      </c>
      <c r="D261" s="457">
        <f>M161</f>
        <v>4.7210318039663397</v>
      </c>
      <c r="E261" s="462">
        <f>D261*C261/60</f>
        <v>118.0257950991585</v>
      </c>
      <c r="F261" s="214">
        <v>90</v>
      </c>
      <c r="H261" s="553"/>
      <c r="I261" s="24"/>
    </row>
    <row r="262" spans="1:17">
      <c r="B262" s="278" t="s">
        <v>686</v>
      </c>
      <c r="C262" s="457">
        <v>13500</v>
      </c>
      <c r="D262" s="457">
        <f>M163</f>
        <v>3.1834294480613323</v>
      </c>
      <c r="E262" s="462">
        <f>D262*C262/60</f>
        <v>716.27162581379969</v>
      </c>
      <c r="F262" s="272"/>
      <c r="H262" s="553"/>
      <c r="I262" s="24"/>
    </row>
    <row r="263" spans="1:17">
      <c r="B263" s="278" t="s">
        <v>687</v>
      </c>
      <c r="C263" s="457">
        <v>82200</v>
      </c>
      <c r="D263" s="457">
        <f>M165</f>
        <v>1.7258882555005131</v>
      </c>
      <c r="E263" s="462">
        <f>D263*C263/60</f>
        <v>2364.4669100357032</v>
      </c>
      <c r="F263" s="212"/>
      <c r="H263" s="553"/>
      <c r="I263" s="24"/>
    </row>
    <row r="264" spans="1:17">
      <c r="C264" s="24"/>
      <c r="F264" s="271"/>
      <c r="G264" s="24"/>
    </row>
    <row r="265" spans="1:17" s="7" customFormat="1" ht="38.25" customHeight="1">
      <c r="B265" s="1095" t="s">
        <v>3792</v>
      </c>
      <c r="C265" s="1095"/>
      <c r="D265" s="1095"/>
      <c r="E265" s="1095"/>
    </row>
    <row r="266" spans="1:17" s="32" customFormat="1" ht="29.1">
      <c r="B266" s="313" t="s">
        <v>1899</v>
      </c>
      <c r="C266" s="310" t="s">
        <v>3793</v>
      </c>
      <c r="D266" s="313" t="s">
        <v>226</v>
      </c>
      <c r="E266" s="310" t="s">
        <v>3794</v>
      </c>
      <c r="J266" s="7"/>
      <c r="K266" s="7"/>
      <c r="L266" s="7"/>
      <c r="M266" s="7"/>
      <c r="N266" s="7"/>
      <c r="O266" s="7"/>
      <c r="P266" s="7"/>
      <c r="Q266" s="7"/>
    </row>
    <row r="267" spans="1:17" s="7" customFormat="1">
      <c r="B267" s="276" t="s">
        <v>3778</v>
      </c>
      <c r="C267" s="314">
        <f>E242</f>
        <v>19.266945700477994</v>
      </c>
      <c r="D267" s="276" t="s">
        <v>3235</v>
      </c>
      <c r="E267" s="314">
        <f>D250</f>
        <v>12.059245195845831</v>
      </c>
    </row>
    <row r="268" spans="1:17" s="7" customFormat="1">
      <c r="B268" s="276" t="s">
        <v>3781</v>
      </c>
      <c r="C268" s="314">
        <f>E246</f>
        <v>9.952950318575903</v>
      </c>
      <c r="D268" s="276" t="s">
        <v>3235</v>
      </c>
      <c r="E268" s="314">
        <f>D251</f>
        <v>25.488591248387817</v>
      </c>
    </row>
    <row r="269" spans="1:17" s="7" customFormat="1">
      <c r="B269" s="276" t="s">
        <v>3782</v>
      </c>
      <c r="C269" s="314">
        <f>E247</f>
        <v>4.5428252146458146</v>
      </c>
      <c r="D269" s="276" t="s">
        <v>3235</v>
      </c>
      <c r="E269" s="314">
        <f>D252</f>
        <v>62.452163555766383</v>
      </c>
    </row>
    <row r="270" spans="1:17" s="7" customFormat="1">
      <c r="B270" s="375" t="s">
        <v>3795</v>
      </c>
      <c r="C270" s="554">
        <f>(C267*E267+C268*E268+C269*E269)/100</f>
        <v>7.6974076807312422</v>
      </c>
      <c r="D270" s="276" t="s">
        <v>3235</v>
      </c>
    </row>
    <row r="271" spans="1:17" s="7" customFormat="1"/>
    <row r="272" spans="1:17" s="7" customFormat="1">
      <c r="B272" s="1471" t="s">
        <v>3796</v>
      </c>
      <c r="C272" s="1471"/>
      <c r="D272" s="1471"/>
      <c r="E272" s="290"/>
      <c r="F272" s="290"/>
      <c r="G272" s="290"/>
      <c r="H272" s="290"/>
      <c r="I272" s="290"/>
      <c r="J272" s="290"/>
      <c r="M272" s="291"/>
    </row>
    <row r="273" spans="1:23" s="7" customFormat="1">
      <c r="B273" s="308" t="s">
        <v>3797</v>
      </c>
      <c r="C273" s="309" t="s">
        <v>3798</v>
      </c>
      <c r="D273" s="308" t="s">
        <v>226</v>
      </c>
      <c r="F273" s="290"/>
      <c r="G273" s="290"/>
      <c r="H273" s="290"/>
      <c r="I273" s="290"/>
      <c r="J273" s="290"/>
      <c r="M273" s="291"/>
    </row>
    <row r="274" spans="1:23" s="7" customFormat="1" ht="29.1">
      <c r="B274" s="357" t="s">
        <v>685</v>
      </c>
      <c r="C274" s="555">
        <f>$C$270*E261</f>
        <v>908.49266172067439</v>
      </c>
      <c r="D274" s="488" t="s">
        <v>3799</v>
      </c>
      <c r="F274" s="2"/>
      <c r="G274" s="2"/>
      <c r="H274" s="2"/>
      <c r="I274" s="2"/>
      <c r="J274" s="2"/>
      <c r="K274" s="2"/>
      <c r="L274" s="2"/>
      <c r="M274" s="2"/>
    </row>
    <row r="275" spans="1:23" s="7" customFormat="1" ht="29.1">
      <c r="B275" s="357" t="s">
        <v>686</v>
      </c>
      <c r="C275" s="555">
        <f>$C$270*E262</f>
        <v>5513.4347140289956</v>
      </c>
      <c r="D275" s="488" t="s">
        <v>3799</v>
      </c>
      <c r="F275" s="290"/>
      <c r="G275" s="290"/>
      <c r="H275" s="290"/>
      <c r="I275" s="290"/>
      <c r="J275" s="290"/>
      <c r="M275" s="291"/>
    </row>
    <row r="276" spans="1:23" s="7" customFormat="1" ht="29.1">
      <c r="B276" s="357" t="s">
        <v>687</v>
      </c>
      <c r="C276" s="555">
        <f>$C$270*E263</f>
        <v>18200.265754143689</v>
      </c>
      <c r="D276" s="488" t="s">
        <v>3799</v>
      </c>
      <c r="F276" s="292"/>
      <c r="G276" s="290"/>
      <c r="H276" s="290"/>
      <c r="I276" s="290"/>
      <c r="J276" s="290"/>
      <c r="M276" s="291"/>
    </row>
    <row r="277" spans="1:23" s="7" customFormat="1">
      <c r="B277" s="357" t="s">
        <v>688</v>
      </c>
      <c r="C277" s="556" t="s">
        <v>907</v>
      </c>
      <c r="D277" s="488"/>
      <c r="F277" s="290"/>
      <c r="G277" s="290"/>
      <c r="H277" s="290"/>
      <c r="I277" s="290"/>
      <c r="J277" s="290"/>
      <c r="M277" s="291"/>
    </row>
    <row r="278" spans="1:23">
      <c r="C278" s="24"/>
      <c r="F278" s="271"/>
      <c r="G278" s="24"/>
    </row>
    <row r="279" spans="1:23">
      <c r="A279" s="727"/>
      <c r="B279" s="728" t="s">
        <v>901</v>
      </c>
      <c r="C279" s="727"/>
      <c r="D279" s="727"/>
      <c r="E279" s="727"/>
      <c r="F279" s="727"/>
      <c r="G279" s="727"/>
      <c r="H279" s="727"/>
    </row>
    <row r="280" spans="1:23" ht="29.1">
      <c r="B280" s="719" t="s">
        <v>902</v>
      </c>
      <c r="C280" s="719" t="s">
        <v>898</v>
      </c>
      <c r="D280" s="719" t="s">
        <v>899</v>
      </c>
      <c r="E280" s="719" t="s">
        <v>903</v>
      </c>
      <c r="F280" s="719" t="s">
        <v>904</v>
      </c>
      <c r="G280" s="719" t="s">
        <v>905</v>
      </c>
      <c r="H280" s="719" t="s">
        <v>924</v>
      </c>
      <c r="I280" s="719" t="s">
        <v>956</v>
      </c>
      <c r="J280" s="719" t="s">
        <v>927</v>
      </c>
    </row>
    <row r="281" spans="1:23">
      <c r="B281" s="278" t="s">
        <v>685</v>
      </c>
      <c r="C281" s="278" t="s">
        <v>462</v>
      </c>
      <c r="D281" s="299" t="s">
        <v>3658</v>
      </c>
      <c r="E281" s="299" t="s">
        <v>957</v>
      </c>
      <c r="F281" s="392" t="str" cm="1">
        <f t="array" ref="F281">_xlfn.XLOOKUP(1,($D$288:$D$290=B281)*($E$288:$E$290=C281),$B$288:$B$290,"Not found",0,1)</f>
        <v>42-6</v>
      </c>
      <c r="G281" s="641">
        <f>VLOOKUP(F281,$B$288:$L$291,11,FALSE)</f>
        <v>2605.0637116031949</v>
      </c>
      <c r="H281" s="1120">
        <f>$D$35</f>
        <v>2.1428571428571401</v>
      </c>
      <c r="I281" s="1149" t="s">
        <v>3800</v>
      </c>
      <c r="J281" s="1149" t="s">
        <v>3801</v>
      </c>
    </row>
    <row r="282" spans="1:23">
      <c r="B282" s="278" t="s">
        <v>686</v>
      </c>
      <c r="C282" s="278" t="s">
        <v>462</v>
      </c>
      <c r="D282" s="299" t="s">
        <v>3658</v>
      </c>
      <c r="E282" s="299" t="s">
        <v>957</v>
      </c>
      <c r="F282" s="392" t="str" cm="1">
        <f t="array" ref="F282">_xlfn.XLOOKUP(1,($D$288:$D$290=B282)*($E$288:$E$290=C282),$B$288:$B$290,"Not found",0,1)</f>
        <v>42-7</v>
      </c>
      <c r="G282" s="641">
        <f>VLOOKUP(F282,$B$288:$L$291,11,FALSE)</f>
        <v>16196.790527674139</v>
      </c>
      <c r="H282" s="1121"/>
      <c r="I282" s="1149"/>
      <c r="J282" s="1149"/>
    </row>
    <row r="283" spans="1:23">
      <c r="B283" s="278" t="s">
        <v>687</v>
      </c>
      <c r="C283" s="278" t="s">
        <v>462</v>
      </c>
      <c r="D283" s="299" t="s">
        <v>3658</v>
      </c>
      <c r="E283" s="299" t="s">
        <v>957</v>
      </c>
      <c r="F283" s="392" t="str" cm="1">
        <f t="array" ref="F283">_xlfn.XLOOKUP(1,($D$288:$D$290=B283)*($E$288:$E$290=C283),$B$288:$B$290,"Not found",0,1)</f>
        <v>42-8</v>
      </c>
      <c r="G283" s="641">
        <f>VLOOKUP(F283,$B$288:$L$291,11,FALSE)</f>
        <v>70125.866289319587</v>
      </c>
      <c r="H283" s="1122"/>
      <c r="I283" s="1149"/>
      <c r="J283" s="1149"/>
    </row>
    <row r="284" spans="1:23">
      <c r="B284" s="278" t="s">
        <v>688</v>
      </c>
      <c r="C284" s="278" t="s">
        <v>462</v>
      </c>
      <c r="D284" s="299" t="s">
        <v>3658</v>
      </c>
      <c r="E284" s="299" t="s">
        <v>906</v>
      </c>
      <c r="F284" s="601" t="s">
        <v>907</v>
      </c>
      <c r="G284" s="306" t="s">
        <v>990</v>
      </c>
      <c r="H284" s="646" t="s">
        <v>907</v>
      </c>
      <c r="I284" s="646" t="s">
        <v>907</v>
      </c>
      <c r="J284" s="646" t="s">
        <v>907</v>
      </c>
    </row>
    <row r="285" spans="1:23">
      <c r="B285" s="18"/>
    </row>
    <row r="286" spans="1:23">
      <c r="A286" s="725"/>
      <c r="B286" s="726" t="s">
        <v>962</v>
      </c>
      <c r="C286" s="725"/>
      <c r="D286" s="725"/>
      <c r="E286" s="725"/>
      <c r="F286" s="725"/>
      <c r="G286" s="725"/>
      <c r="H286" s="725"/>
    </row>
    <row r="287" spans="1:23">
      <c r="B287" s="277" t="s">
        <v>904</v>
      </c>
      <c r="C287" s="277" t="s">
        <v>62</v>
      </c>
      <c r="D287" s="277" t="s">
        <v>902</v>
      </c>
      <c r="E287" s="277" t="s">
        <v>898</v>
      </c>
      <c r="F287" s="277" t="s">
        <v>916</v>
      </c>
      <c r="G287" s="277" t="s">
        <v>963</v>
      </c>
      <c r="H287" s="277" t="s">
        <v>964</v>
      </c>
      <c r="I287" s="277" t="s">
        <v>965</v>
      </c>
      <c r="J287" s="277" t="s">
        <v>966</v>
      </c>
      <c r="K287" s="277" t="s">
        <v>967</v>
      </c>
      <c r="L287" s="277" t="s">
        <v>968</v>
      </c>
      <c r="M287" s="277" t="s">
        <v>956</v>
      </c>
      <c r="N287" s="277" t="s">
        <v>969</v>
      </c>
      <c r="O287" s="277" t="s">
        <v>970</v>
      </c>
      <c r="P287" s="277" t="s">
        <v>927</v>
      </c>
      <c r="Q287" s="277" t="s">
        <v>913</v>
      </c>
      <c r="R287" s="277" t="s">
        <v>914</v>
      </c>
      <c r="S287" s="277" t="s">
        <v>915</v>
      </c>
      <c r="T287" s="277" t="s">
        <v>916</v>
      </c>
      <c r="U287" s="277" t="s">
        <v>917</v>
      </c>
      <c r="V287" s="277" t="s">
        <v>918</v>
      </c>
      <c r="W287" s="277" t="s">
        <v>919</v>
      </c>
    </row>
    <row r="288" spans="1:23">
      <c r="B288" s="302" t="s">
        <v>3802</v>
      </c>
      <c r="C288" s="278" t="s">
        <v>684</v>
      </c>
      <c r="D288" s="278" t="s">
        <v>685</v>
      </c>
      <c r="E288" s="278" t="s">
        <v>462</v>
      </c>
      <c r="F288" s="299">
        <f>$E$25</f>
        <v>2024</v>
      </c>
      <c r="G288" s="278">
        <v>2023</v>
      </c>
      <c r="H288" s="278">
        <f>'COMPANY INPUT'!$C$16</f>
        <v>2023</v>
      </c>
      <c r="I288" s="278">
        <f>VLOOKUP(G288,'GDP Deflators'!$H$13:$I$86,2,FALSE)</f>
        <v>100</v>
      </c>
      <c r="J288" s="278">
        <f>VLOOKUP(H288,'GDP Deflators'!$H$13:$I$86,2,FALSE)</f>
        <v>100</v>
      </c>
      <c r="K288" s="300">
        <f>C203</f>
        <v>2605.0637116031949</v>
      </c>
      <c r="L288" s="746">
        <f>K288*(J288/I288)</f>
        <v>2605.0637116031949</v>
      </c>
      <c r="M288" s="278" t="str">
        <f>$I$281</f>
        <v>Resource cost</v>
      </c>
      <c r="N288" s="326">
        <f>$H$281</f>
        <v>2.1428571428571401</v>
      </c>
      <c r="O288" s="278" t="s">
        <v>718</v>
      </c>
      <c r="P288" s="278" t="str">
        <f>$J$281</f>
        <v>Value option 1 covers more of the costs associated with disruption that option 2</v>
      </c>
      <c r="Q288" s="299">
        <f t="shared" ref="Q288:W290" si="16">B$25</f>
        <v>85</v>
      </c>
      <c r="R288" s="299" t="str">
        <f t="shared" si="16"/>
        <v>MCM (2024) Multicoloured Manual - Chapter 6 Other losses - Tables and Figures</v>
      </c>
      <c r="S288" s="299" t="str">
        <f t="shared" si="16"/>
        <v>Multicoloured Manual</v>
      </c>
      <c r="T288" s="299">
        <f t="shared" si="16"/>
        <v>2024</v>
      </c>
      <c r="U288" s="299" t="str">
        <f t="shared" si="16"/>
        <v>UK</v>
      </c>
      <c r="V288" s="299" t="str">
        <f t="shared" si="16"/>
        <v>UK</v>
      </c>
      <c r="W288" s="299" t="str">
        <f t="shared" si="16"/>
        <v>/</v>
      </c>
    </row>
    <row r="289" spans="1:23">
      <c r="B289" s="302" t="s">
        <v>3803</v>
      </c>
      <c r="C289" s="278" t="s">
        <v>684</v>
      </c>
      <c r="D289" s="278" t="s">
        <v>686</v>
      </c>
      <c r="E289" s="278" t="s">
        <v>462</v>
      </c>
      <c r="F289" s="299">
        <f>$E$25</f>
        <v>2024</v>
      </c>
      <c r="G289" s="278">
        <v>2023</v>
      </c>
      <c r="H289" s="278">
        <f>'COMPANY INPUT'!$C$16</f>
        <v>2023</v>
      </c>
      <c r="I289" s="278">
        <f>VLOOKUP(G289,'GDP Deflators'!$H$13:$I$86,2,FALSE)</f>
        <v>100</v>
      </c>
      <c r="J289" s="278">
        <f>VLOOKUP(H289,'GDP Deflators'!$H$13:$I$86,2,FALSE)</f>
        <v>100</v>
      </c>
      <c r="K289" s="300">
        <f>C204</f>
        <v>16196.790527674139</v>
      </c>
      <c r="L289" s="746">
        <f>K289*(J289/I289)</f>
        <v>16196.790527674139</v>
      </c>
      <c r="M289" s="278" t="str">
        <f>$I$281</f>
        <v>Resource cost</v>
      </c>
      <c r="N289" s="326">
        <f>$H$281</f>
        <v>2.1428571428571401</v>
      </c>
      <c r="O289" s="278" t="s">
        <v>718</v>
      </c>
      <c r="P289" s="278" t="str">
        <f>$J$281</f>
        <v>Value option 1 covers more of the costs associated with disruption that option 2</v>
      </c>
      <c r="Q289" s="299">
        <f t="shared" si="16"/>
        <v>85</v>
      </c>
      <c r="R289" s="299" t="str">
        <f t="shared" si="16"/>
        <v>MCM (2024) Multicoloured Manual - Chapter 6 Other losses - Tables and Figures</v>
      </c>
      <c r="S289" s="299" t="str">
        <f t="shared" si="16"/>
        <v>Multicoloured Manual</v>
      </c>
      <c r="T289" s="299">
        <f t="shared" si="16"/>
        <v>2024</v>
      </c>
      <c r="U289" s="299" t="str">
        <f t="shared" si="16"/>
        <v>UK</v>
      </c>
      <c r="V289" s="299" t="str">
        <f t="shared" si="16"/>
        <v>UK</v>
      </c>
      <c r="W289" s="299" t="str">
        <f t="shared" si="16"/>
        <v>/</v>
      </c>
    </row>
    <row r="290" spans="1:23">
      <c r="B290" s="302" t="s">
        <v>3804</v>
      </c>
      <c r="C290" s="278" t="s">
        <v>684</v>
      </c>
      <c r="D290" s="299" t="s">
        <v>687</v>
      </c>
      <c r="E290" s="278" t="s">
        <v>462</v>
      </c>
      <c r="F290" s="299">
        <f>$E$25</f>
        <v>2024</v>
      </c>
      <c r="G290" s="278">
        <v>2023</v>
      </c>
      <c r="H290" s="278">
        <f>'COMPANY INPUT'!$C$16</f>
        <v>2023</v>
      </c>
      <c r="I290" s="278">
        <f>VLOOKUP(G290,'GDP Deflators'!$H$13:$I$86,2,FALSE)</f>
        <v>100</v>
      </c>
      <c r="J290" s="278">
        <f>VLOOKUP(H290,'GDP Deflators'!$H$13:$I$86,2,FALSE)</f>
        <v>100</v>
      </c>
      <c r="K290" s="300">
        <f>C205</f>
        <v>70125.866289319587</v>
      </c>
      <c r="L290" s="746">
        <f>K290*(J290/I290)</f>
        <v>70125.866289319587</v>
      </c>
      <c r="M290" s="278" t="str">
        <f>$I$281</f>
        <v>Resource cost</v>
      </c>
      <c r="N290" s="326">
        <f>$H$281</f>
        <v>2.1428571428571401</v>
      </c>
      <c r="O290" s="278" t="s">
        <v>718</v>
      </c>
      <c r="P290" s="278" t="str">
        <f>$J$281</f>
        <v>Value option 1 covers more of the costs associated with disruption that option 2</v>
      </c>
      <c r="Q290" s="299">
        <f t="shared" si="16"/>
        <v>85</v>
      </c>
      <c r="R290" s="299" t="str">
        <f t="shared" si="16"/>
        <v>MCM (2024) Multicoloured Manual - Chapter 6 Other losses - Tables and Figures</v>
      </c>
      <c r="S290" s="299" t="str">
        <f t="shared" si="16"/>
        <v>Multicoloured Manual</v>
      </c>
      <c r="T290" s="299">
        <f t="shared" si="16"/>
        <v>2024</v>
      </c>
      <c r="U290" s="299" t="str">
        <f t="shared" si="16"/>
        <v>UK</v>
      </c>
      <c r="V290" s="299" t="str">
        <f t="shared" si="16"/>
        <v>UK</v>
      </c>
      <c r="W290" s="299" t="str">
        <f t="shared" si="16"/>
        <v>/</v>
      </c>
    </row>
    <row r="292" spans="1:23">
      <c r="A292" s="721"/>
      <c r="B292" s="722" t="s">
        <v>455</v>
      </c>
      <c r="C292" s="721"/>
      <c r="D292" s="721"/>
      <c r="E292" s="721"/>
      <c r="F292" s="721"/>
      <c r="G292" s="721"/>
      <c r="H292" s="721"/>
    </row>
    <row r="293" spans="1:23">
      <c r="A293" s="727"/>
      <c r="B293" s="729" t="s">
        <v>897</v>
      </c>
      <c r="C293" s="727"/>
      <c r="D293" s="727"/>
      <c r="E293" s="727"/>
      <c r="F293" s="727"/>
      <c r="G293" s="727"/>
      <c r="H293" s="727"/>
    </row>
    <row r="294" spans="1:23">
      <c r="B294" s="277" t="s">
        <v>898</v>
      </c>
      <c r="C294" s="277" t="s">
        <v>899</v>
      </c>
    </row>
    <row r="295" spans="1:23">
      <c r="B295" s="278" t="s">
        <v>455</v>
      </c>
      <c r="C295" s="278" t="s">
        <v>3805</v>
      </c>
    </row>
    <row r="296" spans="1:23">
      <c r="B296" s="16"/>
    </row>
    <row r="297" spans="1:23">
      <c r="A297" s="727"/>
      <c r="B297" s="728" t="s">
        <v>1028</v>
      </c>
      <c r="C297" s="727"/>
      <c r="D297" s="727"/>
      <c r="E297" s="727"/>
      <c r="F297" s="727"/>
      <c r="G297" s="727"/>
      <c r="H297" s="727"/>
    </row>
    <row r="298" spans="1:23">
      <c r="A298" s="725"/>
      <c r="B298" s="726" t="s">
        <v>912</v>
      </c>
      <c r="C298" s="725"/>
      <c r="D298" s="725"/>
      <c r="E298" s="725"/>
      <c r="F298" s="725"/>
      <c r="G298" s="725"/>
      <c r="H298" s="725"/>
    </row>
    <row r="299" spans="1:23" ht="29.1">
      <c r="B299" s="719" t="s">
        <v>913</v>
      </c>
      <c r="C299" s="719" t="s">
        <v>914</v>
      </c>
      <c r="D299" s="719" t="s">
        <v>915</v>
      </c>
      <c r="E299" s="719" t="s">
        <v>916</v>
      </c>
      <c r="F299" s="719" t="s">
        <v>917</v>
      </c>
      <c r="G299" s="719" t="s">
        <v>918</v>
      </c>
      <c r="H299" s="719" t="s">
        <v>919</v>
      </c>
    </row>
    <row r="300" spans="1:23">
      <c r="B300" s="278">
        <v>93</v>
      </c>
      <c r="C300" s="278" t="s">
        <v>3806</v>
      </c>
      <c r="D300" s="279" t="s">
        <v>907</v>
      </c>
      <c r="E300" s="278">
        <v>2023</v>
      </c>
      <c r="F300" s="278" t="s">
        <v>1047</v>
      </c>
      <c r="G300" s="278" t="s">
        <v>1047</v>
      </c>
      <c r="H300" s="279" t="s">
        <v>907</v>
      </c>
    </row>
    <row r="301" spans="1:23">
      <c r="B301" s="16"/>
    </row>
    <row r="302" spans="1:23">
      <c r="A302" s="725"/>
      <c r="B302" s="726" t="s">
        <v>924</v>
      </c>
      <c r="C302" s="725"/>
      <c r="D302" s="725"/>
      <c r="E302" s="725"/>
      <c r="F302" s="725"/>
      <c r="G302" s="725"/>
      <c r="H302" s="725"/>
    </row>
    <row r="303" spans="1:23">
      <c r="B303" s="277" t="s">
        <v>165</v>
      </c>
      <c r="C303" s="277" t="s">
        <v>925</v>
      </c>
      <c r="D303" s="277" t="s">
        <v>926</v>
      </c>
      <c r="E303" s="1134" t="s">
        <v>927</v>
      </c>
      <c r="F303" s="1134"/>
      <c r="G303" s="1134"/>
      <c r="H303" s="1134"/>
    </row>
    <row r="304" spans="1:23">
      <c r="B304" s="278" t="s">
        <v>169</v>
      </c>
      <c r="C304" s="278" t="s">
        <v>166</v>
      </c>
      <c r="D304" s="278">
        <f>VLOOKUP(C304,METHODOLOGY!$C$175:$D$177,2,FALSE)</f>
        <v>3</v>
      </c>
      <c r="E304" s="1087" t="str">
        <f>_xlfn.XLOOKUP(C304,METHODOLOGY!$E$150:$O$150,METHODOLOGY!$E$151:$O$151,"",0,1)</f>
        <v>Monetary values have been peer reviewed or are recommended / referenced in other, well recognised and accepted guidance / tools relevant to the water sector.</v>
      </c>
      <c r="F304" s="1087"/>
      <c r="G304" s="1087"/>
      <c r="H304" s="1087"/>
    </row>
    <row r="305" spans="1:9">
      <c r="B305" s="278" t="s">
        <v>173</v>
      </c>
      <c r="C305" s="278" t="s">
        <v>166</v>
      </c>
      <c r="D305" s="278">
        <f>VLOOKUP(C305,METHODOLOGY!$C$175:$D$177,2,FALSE)</f>
        <v>3</v>
      </c>
      <c r="E305" s="1087" t="str">
        <f>_xlfn.XLOOKUP(C305,METHODOLOGY!$E$150:$O$150,METHODOLOGY!$E$155:$O$155,"",0,1)</f>
        <v>Study has few limitations and is considered robust.</v>
      </c>
      <c r="F305" s="1087"/>
      <c r="G305" s="1087"/>
      <c r="H305" s="1087"/>
    </row>
    <row r="306" spans="1:9">
      <c r="B306" s="278" t="s">
        <v>177</v>
      </c>
      <c r="C306" s="278" t="s">
        <v>166</v>
      </c>
      <c r="D306" s="278">
        <f>VLOOKUP(C306,METHODOLOGY!$C$175:$D$177,2,FALSE)</f>
        <v>3</v>
      </c>
      <c r="E306" s="1087" t="str">
        <f>_xlfn.XLOOKUP(C306,METHODOLOGY!$E$150:$O$150,METHODOLOGY!$E$158:$O$158,"",0,1)</f>
        <v>0 – 5 years</v>
      </c>
      <c r="F306" s="1087"/>
      <c r="G306" s="1087"/>
      <c r="H306" s="1087"/>
    </row>
    <row r="307" spans="1:9">
      <c r="B307" s="278" t="s">
        <v>181</v>
      </c>
      <c r="C307" s="278" t="s">
        <v>166</v>
      </c>
      <c r="D307" s="278">
        <f>VLOOKUP(C307,METHODOLOGY!$C$175:$D$177,2,FALSE)</f>
        <v>3</v>
      </c>
      <c r="E307" s="1087" t="str">
        <f>_xlfn.XLOOKUP(C307,METHODOLOGY!$E$150:$O$150,METHODOLOGY!$E$160:$O$160,"",0,1)</f>
        <v>Geographically relevant to UK</v>
      </c>
      <c r="F307" s="1087"/>
      <c r="G307" s="1087"/>
      <c r="H307" s="1087"/>
    </row>
    <row r="308" spans="1:9">
      <c r="B308" s="278" t="s">
        <v>928</v>
      </c>
      <c r="C308" s="278" t="s">
        <v>166</v>
      </c>
      <c r="D308" s="278">
        <f>VLOOKUP(C308,METHODOLOGY!$C$175:$D$177,2,FALSE)</f>
        <v>3</v>
      </c>
      <c r="E308" s="1087" t="str">
        <f>_xlfn.XLOOKUP(C308,METHODOLOGY!$E$150:$O$150,METHODOLOGY!$E$162:$O$162,"",0,1)</f>
        <v>Clear understanding of the valuation method and how the value should be applied.</v>
      </c>
      <c r="F308" s="1087"/>
      <c r="G308" s="1087"/>
      <c r="H308" s="1087"/>
    </row>
    <row r="309" spans="1:9">
      <c r="B309" s="278" t="s">
        <v>189</v>
      </c>
      <c r="C309" s="278" t="s">
        <v>168</v>
      </c>
      <c r="D309" s="278">
        <f>VLOOKUP(C309,METHODOLOGY!$C$175:$D$177,2,FALSE)</f>
        <v>1</v>
      </c>
      <c r="E309" s="1087" t="str">
        <f>_xlfn.XLOOKUP(C309,METHODOLOGY!$E$150:$O$150,METHODOLOGY!$E$164:$O$164,"",0,1)</f>
        <v xml:space="preserve">The original valuation can be used with significant modification e.g. several additional data inputs are required to use the original source. The calculation is complex or introduces significant uncertainty. </v>
      </c>
      <c r="F309" s="1087"/>
      <c r="G309" s="1087"/>
      <c r="H309" s="1087"/>
    </row>
    <row r="310" spans="1:9">
      <c r="C310" s="282" t="s">
        <v>924</v>
      </c>
      <c r="D310" s="326">
        <f>IF(AND(D309=1,AVERAGE(D304:D309)&gt;2.14285714285714),2.14285714285714,IF(AND(D309=2,AVERAGE(D304:D309)&gt;2.57142857142857),2.57142857142857,AVERAGE(D304:D309)))</f>
        <v>2.1428571428571401</v>
      </c>
      <c r="E310" s="270" t="str">
        <f>IF(D310&lt;=2.14285714285714,"Red",IF(D310&lt;=2.57142857142857,"Amber",IF(D310&lt;=3,"Green")))</f>
        <v>Red</v>
      </c>
    </row>
    <row r="313" spans="1:9">
      <c r="A313" s="725"/>
      <c r="B313" s="726" t="s">
        <v>929</v>
      </c>
      <c r="C313" s="725"/>
      <c r="D313" s="725"/>
      <c r="E313" s="725"/>
      <c r="F313" s="725"/>
      <c r="G313" s="725"/>
      <c r="H313" s="725"/>
    </row>
    <row r="314" spans="1:9">
      <c r="B314" s="16"/>
      <c r="C314" s="1446" t="s">
        <v>3807</v>
      </c>
      <c r="D314" s="1446"/>
      <c r="E314" s="1446"/>
      <c r="F314" s="1446"/>
      <c r="G314" s="1446"/>
      <c r="H314" s="1446"/>
    </row>
    <row r="315" spans="1:9" s="91" customFormat="1">
      <c r="B315" s="293" t="s">
        <v>1339</v>
      </c>
      <c r="C315" s="293" t="s">
        <v>3808</v>
      </c>
      <c r="D315" s="293" t="s">
        <v>3809</v>
      </c>
      <c r="E315" s="293" t="s">
        <v>3810</v>
      </c>
      <c r="F315" s="293" t="s">
        <v>3811</v>
      </c>
      <c r="G315" s="293" t="s">
        <v>3812</v>
      </c>
      <c r="H315" s="293" t="s">
        <v>3813</v>
      </c>
      <c r="I315" s="293" t="s">
        <v>913</v>
      </c>
    </row>
    <row r="316" spans="1:9" s="91" customFormat="1">
      <c r="B316" s="276" t="s">
        <v>3814</v>
      </c>
      <c r="C316" s="326">
        <v>1.5768001146147439</v>
      </c>
      <c r="D316" s="326">
        <v>13.024123065411743</v>
      </c>
      <c r="E316" s="326">
        <v>1.2750085605386341</v>
      </c>
      <c r="F316" s="326">
        <v>17.14626795263505</v>
      </c>
      <c r="G316" s="326">
        <v>6.3530901520152137</v>
      </c>
      <c r="H316" s="326">
        <v>2.221641026244884</v>
      </c>
      <c r="I316" s="276">
        <v>93</v>
      </c>
    </row>
    <row r="318" spans="1:9">
      <c r="B318" s="285" t="s">
        <v>3674</v>
      </c>
      <c r="C318" s="285" t="s">
        <v>3815</v>
      </c>
      <c r="D318" s="285" t="s">
        <v>3745</v>
      </c>
      <c r="E318" s="285" t="s">
        <v>930</v>
      </c>
      <c r="F318" s="285" t="s">
        <v>169</v>
      </c>
    </row>
    <row r="319" spans="1:9">
      <c r="B319" s="278" t="s">
        <v>685</v>
      </c>
      <c r="C319" s="278">
        <v>16.3</v>
      </c>
      <c r="D319" s="278">
        <f>C319*1.6</f>
        <v>26.080000000000002</v>
      </c>
      <c r="E319" s="278" t="s">
        <v>3816</v>
      </c>
      <c r="F319" s="278">
        <v>86</v>
      </c>
    </row>
    <row r="320" spans="1:9">
      <c r="B320" s="278" t="s">
        <v>686</v>
      </c>
      <c r="C320" s="278">
        <v>23.7</v>
      </c>
      <c r="D320" s="278">
        <f>C320*1.6</f>
        <v>37.92</v>
      </c>
      <c r="E320" s="278" t="s">
        <v>3817</v>
      </c>
      <c r="F320" s="278">
        <v>86</v>
      </c>
    </row>
    <row r="321" spans="2:6">
      <c r="B321" s="278" t="s">
        <v>687</v>
      </c>
      <c r="C321" s="278">
        <v>56.2</v>
      </c>
      <c r="D321" s="278">
        <f>C321*1.6</f>
        <v>89.920000000000016</v>
      </c>
      <c r="E321" s="278" t="s">
        <v>3818</v>
      </c>
      <c r="F321" s="278">
        <v>87</v>
      </c>
    </row>
    <row r="323" spans="2:6">
      <c r="B323" s="285" t="s">
        <v>3674</v>
      </c>
      <c r="C323" s="285" t="s">
        <v>3819</v>
      </c>
      <c r="D323" s="285" t="s">
        <v>169</v>
      </c>
    </row>
    <row r="324" spans="2:6">
      <c r="B324" s="278" t="s">
        <v>685</v>
      </c>
      <c r="C324" s="278">
        <v>1500</v>
      </c>
      <c r="D324" s="1387">
        <v>90</v>
      </c>
    </row>
    <row r="325" spans="2:6">
      <c r="B325" s="278" t="s">
        <v>686</v>
      </c>
      <c r="C325" s="278">
        <v>13500</v>
      </c>
      <c r="D325" s="1387"/>
    </row>
    <row r="326" spans="2:6">
      <c r="B326" s="278" t="s">
        <v>687</v>
      </c>
      <c r="C326" s="278">
        <v>82200</v>
      </c>
      <c r="D326" s="1246"/>
    </row>
    <row r="328" spans="2:6">
      <c r="B328" s="285" t="s">
        <v>3661</v>
      </c>
      <c r="C328" s="294" t="s">
        <v>3820</v>
      </c>
      <c r="D328" s="234" t="s">
        <v>169</v>
      </c>
    </row>
    <row r="329" spans="2:6">
      <c r="B329" s="278" t="s">
        <v>3821</v>
      </c>
      <c r="C329" s="303">
        <v>5.4</v>
      </c>
      <c r="D329" s="1246">
        <v>94</v>
      </c>
    </row>
    <row r="330" spans="2:6">
      <c r="B330" s="278" t="s">
        <v>3822</v>
      </c>
      <c r="C330" s="303">
        <v>5</v>
      </c>
      <c r="D330" s="1246"/>
    </row>
    <row r="331" spans="2:6">
      <c r="B331" s="278" t="s">
        <v>3823</v>
      </c>
      <c r="C331" s="303">
        <v>4.5999999999999996</v>
      </c>
      <c r="D331" s="1246"/>
    </row>
    <row r="332" spans="2:6">
      <c r="B332" s="278" t="s">
        <v>3824</v>
      </c>
      <c r="C332" s="303">
        <v>6.4</v>
      </c>
      <c r="D332" s="1246"/>
    </row>
    <row r="333" spans="2:6">
      <c r="B333" s="278" t="s">
        <v>3825</v>
      </c>
      <c r="C333" s="303">
        <v>5.35</v>
      </c>
      <c r="D333" s="1246"/>
    </row>
    <row r="334" spans="2:6">
      <c r="D334" s="218"/>
    </row>
    <row r="335" spans="2:6">
      <c r="B335" s="285" t="s">
        <v>3674</v>
      </c>
      <c r="C335" s="285" t="s">
        <v>3826</v>
      </c>
      <c r="D335" s="698" t="s">
        <v>930</v>
      </c>
    </row>
    <row r="336" spans="2:6">
      <c r="B336" s="278" t="s">
        <v>685</v>
      </c>
      <c r="C336" s="303">
        <f>$M$161</f>
        <v>4.7210318039663397</v>
      </c>
      <c r="D336" s="1095" t="s">
        <v>3827</v>
      </c>
    </row>
    <row r="337" spans="1:8">
      <c r="B337" s="278" t="s">
        <v>686</v>
      </c>
      <c r="C337" s="303">
        <f>$M$163</f>
        <v>3.1834294480613323</v>
      </c>
      <c r="D337" s="1095"/>
    </row>
    <row r="338" spans="1:8">
      <c r="B338" s="278" t="s">
        <v>687</v>
      </c>
      <c r="C338" s="303">
        <f>$M$165</f>
        <v>1.7258882555005131</v>
      </c>
      <c r="D338" s="1095"/>
    </row>
    <row r="340" spans="1:8">
      <c r="A340" s="725"/>
      <c r="B340" s="805" t="s">
        <v>936</v>
      </c>
      <c r="C340" s="725"/>
      <c r="D340" s="725"/>
      <c r="E340" s="725"/>
      <c r="F340" s="725"/>
      <c r="G340" s="725"/>
      <c r="H340" s="725"/>
    </row>
    <row r="341" spans="1:8">
      <c r="B341" s="285" t="s">
        <v>3674</v>
      </c>
      <c r="C341" s="294" t="s">
        <v>3828</v>
      </c>
      <c r="D341" s="285" t="s">
        <v>226</v>
      </c>
      <c r="E341" s="1429" t="s">
        <v>930</v>
      </c>
      <c r="F341" s="1429"/>
      <c r="G341" s="1429"/>
    </row>
    <row r="342" spans="1:8">
      <c r="B342" s="278" t="s">
        <v>685</v>
      </c>
      <c r="C342" s="304">
        <f>D319*(C336/60)*C324</f>
        <v>3078.1127361860531</v>
      </c>
      <c r="D342" s="278" t="s">
        <v>3829</v>
      </c>
      <c r="E342" s="1095" t="s">
        <v>3830</v>
      </c>
      <c r="F342" s="1095"/>
      <c r="G342" s="1095"/>
    </row>
    <row r="343" spans="1:8">
      <c r="B343" s="278" t="s">
        <v>686</v>
      </c>
      <c r="C343" s="304">
        <f>D320*(C337/60)*C325</f>
        <v>27161.02005085929</v>
      </c>
      <c r="D343" s="278" t="s">
        <v>3829</v>
      </c>
      <c r="E343" s="1095"/>
      <c r="F343" s="1095"/>
      <c r="G343" s="1095"/>
    </row>
    <row r="344" spans="1:8">
      <c r="B344" s="278" t="s">
        <v>687</v>
      </c>
      <c r="C344" s="304">
        <f>D321*(C338/60)*C326</f>
        <v>212612.86455041042</v>
      </c>
      <c r="D344" s="278" t="s">
        <v>3829</v>
      </c>
      <c r="E344" s="1095"/>
      <c r="F344" s="1095"/>
      <c r="G344" s="1095"/>
    </row>
    <row r="346" spans="1:8">
      <c r="B346" s="285" t="s">
        <v>3674</v>
      </c>
      <c r="C346" s="294" t="s">
        <v>3831</v>
      </c>
      <c r="D346" s="285" t="s">
        <v>226</v>
      </c>
      <c r="E346" s="1429" t="s">
        <v>930</v>
      </c>
      <c r="F346" s="1429"/>
      <c r="G346" s="1429"/>
    </row>
    <row r="347" spans="1:8">
      <c r="B347" s="278" t="s">
        <v>685</v>
      </c>
      <c r="C347" s="304">
        <f>C342/100*$C$333</f>
        <v>164.67903138595383</v>
      </c>
      <c r="D347" s="278" t="s">
        <v>3829</v>
      </c>
      <c r="E347" s="1095" t="s">
        <v>3832</v>
      </c>
      <c r="F347" s="1095"/>
      <c r="G347" s="1095"/>
    </row>
    <row r="348" spans="1:8">
      <c r="B348" s="278" t="s">
        <v>686</v>
      </c>
      <c r="C348" s="304">
        <f>C343/100*$C$333</f>
        <v>1453.1145727209721</v>
      </c>
      <c r="D348" s="278" t="s">
        <v>3829</v>
      </c>
      <c r="E348" s="1095"/>
      <c r="F348" s="1095"/>
      <c r="G348" s="1095"/>
    </row>
    <row r="349" spans="1:8">
      <c r="B349" s="278" t="s">
        <v>687</v>
      </c>
      <c r="C349" s="304">
        <f>C344/100*$C$333</f>
        <v>11374.788253446955</v>
      </c>
      <c r="D349" s="278" t="s">
        <v>3829</v>
      </c>
      <c r="E349" s="1095"/>
      <c r="F349" s="1095"/>
      <c r="G349" s="1095"/>
    </row>
    <row r="351" spans="1:8" ht="29.1">
      <c r="B351" s="294" t="s">
        <v>3833</v>
      </c>
      <c r="C351" s="278">
        <f>AVERAGE(C316:H316)</f>
        <v>6.9328218119100447</v>
      </c>
    </row>
    <row r="353" spans="1:23">
      <c r="B353" s="285" t="s">
        <v>3797</v>
      </c>
      <c r="C353" s="294" t="s">
        <v>3834</v>
      </c>
    </row>
    <row r="354" spans="1:23">
      <c r="B354" s="278" t="s">
        <v>685</v>
      </c>
      <c r="C354" s="297">
        <f>C347*$C$351/100</f>
        <v>11.416903807567596</v>
      </c>
    </row>
    <row r="355" spans="1:23">
      <c r="B355" s="278" t="s">
        <v>686</v>
      </c>
      <c r="C355" s="297">
        <f>C348*$C$351/100</f>
        <v>100.74184404964301</v>
      </c>
    </row>
    <row r="356" spans="1:23">
      <c r="B356" s="278" t="s">
        <v>687</v>
      </c>
      <c r="C356" s="297">
        <f>C349*$C$351/100</f>
        <v>788.5938010935522</v>
      </c>
    </row>
    <row r="358" spans="1:23">
      <c r="A358" s="727"/>
      <c r="B358" s="728" t="s">
        <v>901</v>
      </c>
      <c r="C358" s="727"/>
      <c r="D358" s="727"/>
      <c r="E358" s="727"/>
      <c r="F358" s="727"/>
      <c r="G358" s="727"/>
      <c r="H358" s="727"/>
    </row>
    <row r="359" spans="1:23" ht="29.1">
      <c r="B359" s="719" t="s">
        <v>902</v>
      </c>
      <c r="C359" s="719" t="s">
        <v>898</v>
      </c>
      <c r="D359" s="719" t="s">
        <v>899</v>
      </c>
      <c r="E359" s="719" t="s">
        <v>903</v>
      </c>
      <c r="F359" s="719" t="s">
        <v>904</v>
      </c>
      <c r="G359" s="719" t="s">
        <v>905</v>
      </c>
      <c r="H359" s="719" t="s">
        <v>924</v>
      </c>
      <c r="I359" s="719" t="s">
        <v>956</v>
      </c>
      <c r="J359" s="719" t="s">
        <v>927</v>
      </c>
    </row>
    <row r="360" spans="1:23">
      <c r="B360" s="278" t="s">
        <v>685</v>
      </c>
      <c r="C360" s="278" t="s">
        <v>455</v>
      </c>
      <c r="D360" s="299" t="str">
        <f>$C$295</f>
        <v xml:space="preserve">Reduced air quality </v>
      </c>
      <c r="E360" s="299" t="s">
        <v>1202</v>
      </c>
      <c r="F360" s="392" t="str" cm="1">
        <f t="array" ref="F360">_xlfn.XLOOKUP(1,(D$367:D$369=B360)*(E$367:E$369=C360),B$367:B$369,"Not found",0,1)</f>
        <v>42-1</v>
      </c>
      <c r="G360" s="641">
        <f>VLOOKUP(F360,B$366:L$369,11,FALSE)</f>
        <v>12.229990249312651</v>
      </c>
      <c r="H360" s="1120">
        <f>$D$310</f>
        <v>2.1428571428571401</v>
      </c>
      <c r="I360" s="1149" t="s">
        <v>3835</v>
      </c>
      <c r="J360" s="1149" t="s">
        <v>3836</v>
      </c>
    </row>
    <row r="361" spans="1:23">
      <c r="B361" s="214" t="s">
        <v>686</v>
      </c>
      <c r="C361" s="214" t="s">
        <v>455</v>
      </c>
      <c r="D361" s="299" t="str">
        <f>$C$295</f>
        <v xml:space="preserve">Reduced air quality </v>
      </c>
      <c r="E361" s="299" t="s">
        <v>1202</v>
      </c>
      <c r="F361" s="392" t="str" cm="1">
        <f t="array" ref="F361">_xlfn.XLOOKUP(1,(D$367:D$369=B361)*(E$367:E$369=C361),B$367:B$369,"Not found",0,1)</f>
        <v>42-2</v>
      </c>
      <c r="G361" s="641">
        <f>VLOOKUP(F361,B$366:L$369,11,FALSE)</f>
        <v>107.91645363677685</v>
      </c>
      <c r="H361" s="1121"/>
      <c r="I361" s="1149"/>
      <c r="J361" s="1149"/>
    </row>
    <row r="362" spans="1:23">
      <c r="B362" s="278" t="s">
        <v>687</v>
      </c>
      <c r="C362" s="299" t="s">
        <v>455</v>
      </c>
      <c r="D362" s="299" t="str">
        <f>$C$295</f>
        <v xml:space="preserve">Reduced air quality </v>
      </c>
      <c r="E362" s="299" t="s">
        <v>1202</v>
      </c>
      <c r="F362" s="392" t="str" cm="1">
        <f t="array" ref="F362">_xlfn.XLOOKUP(1,(D$367:D$369=B362)*(E$367:E$369=C362),B$367:B$369,"Not found",0,1)</f>
        <v>42-3</v>
      </c>
      <c r="G362" s="641">
        <f>VLOOKUP(F362,B$366:L$369,11,FALSE)</f>
        <v>844.75569389047257</v>
      </c>
      <c r="H362" s="1122"/>
      <c r="I362" s="1149"/>
      <c r="J362" s="1149"/>
    </row>
    <row r="363" spans="1:23">
      <c r="B363" s="278" t="s">
        <v>688</v>
      </c>
      <c r="C363" s="278" t="s">
        <v>455</v>
      </c>
      <c r="D363" s="299" t="str">
        <f>$C$295</f>
        <v xml:space="preserve">Reduced air quality </v>
      </c>
      <c r="E363" s="299" t="s">
        <v>1202</v>
      </c>
      <c r="F363" s="601" t="s">
        <v>907</v>
      </c>
      <c r="G363" s="306" t="s">
        <v>990</v>
      </c>
      <c r="H363" s="645" t="s">
        <v>907</v>
      </c>
      <c r="I363" s="645" t="s">
        <v>907</v>
      </c>
      <c r="J363" s="645" t="s">
        <v>907</v>
      </c>
    </row>
    <row r="364" spans="1:23">
      <c r="B364" s="18"/>
    </row>
    <row r="365" spans="1:23">
      <c r="A365" s="725"/>
      <c r="B365" s="726" t="s">
        <v>962</v>
      </c>
      <c r="C365" s="725"/>
      <c r="D365" s="725"/>
      <c r="E365" s="725"/>
      <c r="F365" s="725"/>
      <c r="G365" s="725"/>
      <c r="H365" s="725"/>
    </row>
    <row r="366" spans="1:23">
      <c r="B366" s="277" t="s">
        <v>904</v>
      </c>
      <c r="C366" s="277" t="s">
        <v>62</v>
      </c>
      <c r="D366" s="277" t="s">
        <v>902</v>
      </c>
      <c r="E366" s="277" t="s">
        <v>898</v>
      </c>
      <c r="F366" s="277" t="s">
        <v>916</v>
      </c>
      <c r="G366" s="277" t="s">
        <v>963</v>
      </c>
      <c r="H366" s="277" t="s">
        <v>964</v>
      </c>
      <c r="I366" s="277" t="s">
        <v>965</v>
      </c>
      <c r="J366" s="277" t="s">
        <v>966</v>
      </c>
      <c r="K366" s="277" t="s">
        <v>967</v>
      </c>
      <c r="L366" s="277" t="s">
        <v>968</v>
      </c>
      <c r="M366" s="277" t="s">
        <v>956</v>
      </c>
      <c r="N366" s="277" t="s">
        <v>969</v>
      </c>
      <c r="O366" s="277" t="s">
        <v>970</v>
      </c>
      <c r="P366" s="277" t="s">
        <v>927</v>
      </c>
      <c r="Q366" s="277" t="s">
        <v>913</v>
      </c>
      <c r="R366" s="277" t="s">
        <v>914</v>
      </c>
      <c r="S366" s="277" t="s">
        <v>915</v>
      </c>
      <c r="T366" s="277" t="s">
        <v>916</v>
      </c>
      <c r="U366" s="277" t="s">
        <v>917</v>
      </c>
      <c r="V366" s="277" t="s">
        <v>918</v>
      </c>
      <c r="W366" s="277" t="s">
        <v>919</v>
      </c>
    </row>
    <row r="367" spans="1:23">
      <c r="B367" s="302" t="s">
        <v>3837</v>
      </c>
      <c r="C367" s="278" t="s">
        <v>684</v>
      </c>
      <c r="D367" s="278" t="s">
        <v>685</v>
      </c>
      <c r="E367" s="278" t="s">
        <v>455</v>
      </c>
      <c r="F367" s="299">
        <f>$E$300</f>
        <v>2023</v>
      </c>
      <c r="G367" s="278">
        <v>2022</v>
      </c>
      <c r="H367" s="278">
        <f>'COMPANY INPUT'!$C$16</f>
        <v>2023</v>
      </c>
      <c r="I367" s="278">
        <f>VLOOKUP(G367,'GDP Deflators'!$H$13:$I$86,2,FALSE)</f>
        <v>93.351699999999994</v>
      </c>
      <c r="J367" s="278">
        <f>VLOOKUP(H367,'GDP Deflators'!$H$13:$I$86,2,FALSE)</f>
        <v>100</v>
      </c>
      <c r="K367" s="297">
        <f>C354</f>
        <v>11.416903807567596</v>
      </c>
      <c r="L367" s="746">
        <f>K367*(J367/I367)</f>
        <v>12.229990249312651</v>
      </c>
      <c r="M367" s="278" t="str">
        <f>$I$360</f>
        <v>Activity costs</v>
      </c>
      <c r="N367" s="326">
        <f>$H$360</f>
        <v>2.1428571428571401</v>
      </c>
      <c r="O367" s="278" t="s">
        <v>718</v>
      </c>
      <c r="P367" s="278" t="str">
        <f>$J$360</f>
        <v>Based on UK-specific data and costs</v>
      </c>
      <c r="Q367" s="299">
        <f t="shared" ref="Q367:W369" si="17">B$300</f>
        <v>93</v>
      </c>
      <c r="R367" s="299" t="str">
        <f t="shared" si="17"/>
        <v>DESNZ (2023) Green Book supplementary guidance: valuation of energy use and greenhouse gas emissions for appraisal</v>
      </c>
      <c r="S367" s="299" t="str">
        <f t="shared" si="17"/>
        <v>/</v>
      </c>
      <c r="T367" s="299">
        <f t="shared" si="17"/>
        <v>2023</v>
      </c>
      <c r="U367" s="299" t="str">
        <f t="shared" si="17"/>
        <v>UK</v>
      </c>
      <c r="V367" s="299" t="str">
        <f t="shared" si="17"/>
        <v>UK</v>
      </c>
      <c r="W367" s="299" t="str">
        <f t="shared" si="17"/>
        <v>/</v>
      </c>
    </row>
    <row r="368" spans="1:23">
      <c r="B368" s="302" t="s">
        <v>3838</v>
      </c>
      <c r="C368" s="278" t="s">
        <v>684</v>
      </c>
      <c r="D368" s="278" t="s">
        <v>686</v>
      </c>
      <c r="E368" s="278" t="s">
        <v>455</v>
      </c>
      <c r="F368" s="299">
        <f>$E$300</f>
        <v>2023</v>
      </c>
      <c r="G368" s="278">
        <v>2022</v>
      </c>
      <c r="H368" s="278">
        <f>'COMPANY INPUT'!$C$16</f>
        <v>2023</v>
      </c>
      <c r="I368" s="278">
        <f>VLOOKUP(G368,'GDP Deflators'!$H$13:$I$86,2,FALSE)</f>
        <v>93.351699999999994</v>
      </c>
      <c r="J368" s="278">
        <f>VLOOKUP(H368,'GDP Deflators'!$H$13:$I$86,2,FALSE)</f>
        <v>100</v>
      </c>
      <c r="K368" s="297">
        <f>C355</f>
        <v>100.74184404964301</v>
      </c>
      <c r="L368" s="746">
        <f>K368*(J368/I368)</f>
        <v>107.91645363677685</v>
      </c>
      <c r="M368" s="278" t="str">
        <f>$I$360</f>
        <v>Activity costs</v>
      </c>
      <c r="N368" s="326">
        <f>$H$360</f>
        <v>2.1428571428571401</v>
      </c>
      <c r="O368" s="278" t="s">
        <v>718</v>
      </c>
      <c r="P368" s="278" t="str">
        <f>$J$360</f>
        <v>Based on UK-specific data and costs</v>
      </c>
      <c r="Q368" s="299">
        <f t="shared" si="17"/>
        <v>93</v>
      </c>
      <c r="R368" s="299" t="str">
        <f t="shared" si="17"/>
        <v>DESNZ (2023) Green Book supplementary guidance: valuation of energy use and greenhouse gas emissions for appraisal</v>
      </c>
      <c r="S368" s="299" t="str">
        <f t="shared" si="17"/>
        <v>/</v>
      </c>
      <c r="T368" s="299">
        <f t="shared" si="17"/>
        <v>2023</v>
      </c>
      <c r="U368" s="299" t="str">
        <f t="shared" si="17"/>
        <v>UK</v>
      </c>
      <c r="V368" s="299" t="str">
        <f t="shared" si="17"/>
        <v>UK</v>
      </c>
      <c r="W368" s="299" t="str">
        <f t="shared" si="17"/>
        <v>/</v>
      </c>
    </row>
    <row r="369" spans="1:23">
      <c r="B369" s="302" t="s">
        <v>3839</v>
      </c>
      <c r="C369" s="278" t="s">
        <v>684</v>
      </c>
      <c r="D369" s="278" t="s">
        <v>687</v>
      </c>
      <c r="E369" s="299" t="s">
        <v>455</v>
      </c>
      <c r="F369" s="299">
        <f>$E$300</f>
        <v>2023</v>
      </c>
      <c r="G369" s="278">
        <v>2022</v>
      </c>
      <c r="H369" s="278">
        <f>'COMPANY INPUT'!$C$16</f>
        <v>2023</v>
      </c>
      <c r="I369" s="278">
        <f>VLOOKUP(G369,'GDP Deflators'!$H$13:$I$86,2,FALSE)</f>
        <v>93.351699999999994</v>
      </c>
      <c r="J369" s="278">
        <f>VLOOKUP(H369,'GDP Deflators'!$H$13:$I$86,2,FALSE)</f>
        <v>100</v>
      </c>
      <c r="K369" s="297">
        <f>C356</f>
        <v>788.5938010935522</v>
      </c>
      <c r="L369" s="746">
        <f>K369*(J369/I369)</f>
        <v>844.75569389047257</v>
      </c>
      <c r="M369" s="278" t="str">
        <f>$I$360</f>
        <v>Activity costs</v>
      </c>
      <c r="N369" s="326">
        <f>$H$360</f>
        <v>2.1428571428571401</v>
      </c>
      <c r="O369" s="278" t="s">
        <v>718</v>
      </c>
      <c r="P369" s="278" t="str">
        <f>$J$360</f>
        <v>Based on UK-specific data and costs</v>
      </c>
      <c r="Q369" s="299">
        <f t="shared" si="17"/>
        <v>93</v>
      </c>
      <c r="R369" s="299" t="str">
        <f t="shared" si="17"/>
        <v>DESNZ (2023) Green Book supplementary guidance: valuation of energy use and greenhouse gas emissions for appraisal</v>
      </c>
      <c r="S369" s="299" t="str">
        <f t="shared" si="17"/>
        <v>/</v>
      </c>
      <c r="T369" s="299">
        <f t="shared" si="17"/>
        <v>2023</v>
      </c>
      <c r="U369" s="299" t="str">
        <f t="shared" si="17"/>
        <v>UK</v>
      </c>
      <c r="V369" s="299" t="str">
        <f t="shared" si="17"/>
        <v>UK</v>
      </c>
      <c r="W369" s="299" t="str">
        <f t="shared" si="17"/>
        <v>/</v>
      </c>
    </row>
    <row r="371" spans="1:23">
      <c r="A371" s="721"/>
      <c r="B371" s="722" t="s">
        <v>456</v>
      </c>
      <c r="C371" s="721"/>
      <c r="D371" s="721"/>
      <c r="E371" s="721"/>
      <c r="F371" s="721"/>
      <c r="G371" s="721"/>
      <c r="H371" s="721"/>
    </row>
    <row r="372" spans="1:23">
      <c r="A372" s="727"/>
      <c r="B372" s="729" t="s">
        <v>897</v>
      </c>
      <c r="C372" s="727"/>
      <c r="D372" s="727"/>
      <c r="E372" s="727"/>
      <c r="F372" s="727"/>
      <c r="G372" s="727"/>
      <c r="H372" s="727"/>
    </row>
    <row r="373" spans="1:23">
      <c r="B373" s="277" t="s">
        <v>898</v>
      </c>
      <c r="C373" s="277" t="s">
        <v>899</v>
      </c>
    </row>
    <row r="374" spans="1:23">
      <c r="B374" s="278" t="s">
        <v>456</v>
      </c>
      <c r="C374" s="278" t="s">
        <v>1679</v>
      </c>
    </row>
    <row r="375" spans="1:23">
      <c r="B375" s="16"/>
    </row>
    <row r="376" spans="1:23">
      <c r="A376" s="727"/>
      <c r="B376" s="728" t="s">
        <v>1039</v>
      </c>
      <c r="C376" s="727"/>
      <c r="D376" s="727"/>
      <c r="E376" s="727"/>
      <c r="F376" s="727"/>
      <c r="G376" s="727"/>
      <c r="H376" s="727"/>
    </row>
    <row r="377" spans="1:23">
      <c r="A377" s="725"/>
      <c r="B377" s="726" t="s">
        <v>912</v>
      </c>
      <c r="C377" s="725"/>
      <c r="D377" s="725"/>
      <c r="E377" s="725"/>
      <c r="F377" s="725"/>
      <c r="G377" s="725"/>
      <c r="H377" s="725"/>
    </row>
    <row r="378" spans="1:23" ht="29.1">
      <c r="B378" s="719" t="s">
        <v>913</v>
      </c>
      <c r="C378" s="719" t="s">
        <v>914</v>
      </c>
      <c r="D378" s="719" t="s">
        <v>915</v>
      </c>
      <c r="E378" s="719" t="s">
        <v>916</v>
      </c>
      <c r="F378" s="719" t="s">
        <v>917</v>
      </c>
      <c r="G378" s="719" t="s">
        <v>918</v>
      </c>
      <c r="H378" s="719" t="s">
        <v>919</v>
      </c>
    </row>
    <row r="379" spans="1:23">
      <c r="B379" s="278">
        <v>40</v>
      </c>
      <c r="C379" s="279" t="s">
        <v>1190</v>
      </c>
      <c r="D379" s="278" t="s">
        <v>1182</v>
      </c>
      <c r="E379" s="278">
        <v>2021</v>
      </c>
      <c r="F379" s="278" t="s">
        <v>1047</v>
      </c>
      <c r="G379" s="278" t="s">
        <v>1047</v>
      </c>
      <c r="H379" s="279" t="s">
        <v>907</v>
      </c>
    </row>
    <row r="380" spans="1:23">
      <c r="C380" s="19"/>
      <c r="H380" s="19"/>
    </row>
    <row r="381" spans="1:23">
      <c r="A381" s="725"/>
      <c r="B381" s="726" t="s">
        <v>924</v>
      </c>
      <c r="C381" s="725"/>
      <c r="D381" s="725"/>
      <c r="E381" s="725"/>
      <c r="F381" s="725"/>
      <c r="G381" s="725"/>
      <c r="H381" s="725"/>
    </row>
    <row r="382" spans="1:23">
      <c r="B382" s="277" t="s">
        <v>165</v>
      </c>
      <c r="C382" s="277" t="s">
        <v>925</v>
      </c>
      <c r="D382" s="277" t="s">
        <v>926</v>
      </c>
      <c r="E382" s="1134" t="s">
        <v>927</v>
      </c>
      <c r="F382" s="1134"/>
      <c r="G382" s="1134"/>
      <c r="H382" s="1134"/>
    </row>
    <row r="383" spans="1:23">
      <c r="B383" s="278" t="s">
        <v>169</v>
      </c>
      <c r="C383" s="278" t="s">
        <v>166</v>
      </c>
      <c r="D383" s="278">
        <f>VLOOKUP(C383,METHODOLOGY!$C$175:$D$177,2,FALSE)</f>
        <v>3</v>
      </c>
      <c r="E383" s="1087" t="str">
        <f>_xlfn.XLOOKUP(C383,METHODOLOGY!$E$150:$O$150,METHODOLOGY!$E$151:$O$151,"",0,1)</f>
        <v>Monetary values have been peer reviewed or are recommended / referenced in other, well recognised and accepted guidance / tools relevant to the water sector.</v>
      </c>
      <c r="F383" s="1087"/>
      <c r="G383" s="1087"/>
      <c r="H383" s="1087"/>
    </row>
    <row r="384" spans="1:23">
      <c r="B384" s="278" t="s">
        <v>173</v>
      </c>
      <c r="C384" s="278" t="s">
        <v>166</v>
      </c>
      <c r="D384" s="278">
        <f>VLOOKUP(C384,METHODOLOGY!$C$175:$D$177,2,FALSE)</f>
        <v>3</v>
      </c>
      <c r="E384" s="1087" t="str">
        <f>_xlfn.XLOOKUP(C384,METHODOLOGY!$E$150:$O$150,METHODOLOGY!$E$155:$O$155,"",0,1)</f>
        <v>Study has few limitations and is considered robust.</v>
      </c>
      <c r="F384" s="1087"/>
      <c r="G384" s="1087"/>
      <c r="H384" s="1087"/>
    </row>
    <row r="385" spans="1:9">
      <c r="B385" s="278" t="s">
        <v>177</v>
      </c>
      <c r="C385" s="278" t="s">
        <v>166</v>
      </c>
      <c r="D385" s="278">
        <f>VLOOKUP(C385,METHODOLOGY!$C$175:$D$177,2,FALSE)</f>
        <v>3</v>
      </c>
      <c r="E385" s="1087" t="str">
        <f>_xlfn.XLOOKUP(C385,METHODOLOGY!$E$150:$O$150,METHODOLOGY!$E$158:$O$158,"",0,1)</f>
        <v>0 – 5 years</v>
      </c>
      <c r="F385" s="1087"/>
      <c r="G385" s="1087"/>
      <c r="H385" s="1087"/>
    </row>
    <row r="386" spans="1:9">
      <c r="B386" s="278" t="s">
        <v>181</v>
      </c>
      <c r="C386" s="278" t="s">
        <v>166</v>
      </c>
      <c r="D386" s="278">
        <f>VLOOKUP(C386,METHODOLOGY!$C$175:$D$177,2,FALSE)</f>
        <v>3</v>
      </c>
      <c r="E386" s="1087" t="str">
        <f>_xlfn.XLOOKUP(C386,METHODOLOGY!$E$150:$O$150,METHODOLOGY!$E$160:$O$160,"",0,1)</f>
        <v>Geographically relevant to UK</v>
      </c>
      <c r="F386" s="1087"/>
      <c r="G386" s="1087"/>
      <c r="H386" s="1087"/>
    </row>
    <row r="387" spans="1:9">
      <c r="B387" s="278" t="s">
        <v>928</v>
      </c>
      <c r="C387" s="278" t="s">
        <v>166</v>
      </c>
      <c r="D387" s="278">
        <f>VLOOKUP(C387,METHODOLOGY!$C$175:$D$177,2,FALSE)</f>
        <v>3</v>
      </c>
      <c r="E387" s="1087" t="str">
        <f>_xlfn.XLOOKUP(C387,METHODOLOGY!$E$150:$O$150,METHODOLOGY!$E$162:$O$162,"",0,1)</f>
        <v>Clear understanding of the valuation method and how the value should be applied.</v>
      </c>
      <c r="F387" s="1087"/>
      <c r="G387" s="1087"/>
      <c r="H387" s="1087"/>
    </row>
    <row r="388" spans="1:9">
      <c r="B388" s="278" t="s">
        <v>189</v>
      </c>
      <c r="C388" s="278" t="s">
        <v>168</v>
      </c>
      <c r="D388" s="278">
        <f>VLOOKUP(C388,METHODOLOGY!$C$175:$D$177,2,FALSE)</f>
        <v>1</v>
      </c>
      <c r="E388" s="1087" t="str">
        <f>_xlfn.XLOOKUP(C388,METHODOLOGY!$E$150:$O$150,METHODOLOGY!$E$164:$O$164,"",0,1)</f>
        <v xml:space="preserve">The original valuation can be used with significant modification e.g. several additional data inputs are required to use the original source. The calculation is complex or introduces significant uncertainty. </v>
      </c>
      <c r="F388" s="1087"/>
      <c r="G388" s="1087"/>
      <c r="H388" s="1087"/>
    </row>
    <row r="389" spans="1:9">
      <c r="C389" s="282" t="s">
        <v>924</v>
      </c>
      <c r="D389" s="326">
        <f>IF(AND(D388=1,AVERAGE(D383:D388)&gt;2.14285714285714),2.14285714285714,IF(AND(D388=2,AVERAGE(D383:D388)&gt;2.57142857142857),2.57142857142857,AVERAGE(D383:D388)))</f>
        <v>2.1428571428571401</v>
      </c>
      <c r="E389" s="270" t="str">
        <f>IF(D389&lt;=2.14285714285714,"Red",IF(D389&lt;=2.57142857142857,"Amber",IF(D389&lt;=3,"Green")))</f>
        <v>Red</v>
      </c>
    </row>
    <row r="391" spans="1:9">
      <c r="A391" s="725"/>
      <c r="B391" s="726" t="s">
        <v>929</v>
      </c>
      <c r="C391" s="725"/>
      <c r="D391" s="725"/>
      <c r="E391" s="725"/>
      <c r="F391" s="725"/>
      <c r="G391" s="725"/>
      <c r="H391" s="725"/>
    </row>
    <row r="392" spans="1:9" s="91" customFormat="1">
      <c r="B392" s="293" t="s">
        <v>3840</v>
      </c>
      <c r="C392" s="293" t="s">
        <v>3841</v>
      </c>
      <c r="D392" s="293" t="s">
        <v>169</v>
      </c>
      <c r="E392" s="2"/>
      <c r="F392" s="2"/>
      <c r="G392" s="2"/>
      <c r="H392" s="2"/>
      <c r="I392" s="2"/>
    </row>
    <row r="393" spans="1:9" s="91" customFormat="1">
      <c r="B393" s="276" t="s">
        <v>3842</v>
      </c>
      <c r="C393" s="276">
        <v>0.16691</v>
      </c>
      <c r="D393" s="276">
        <v>95</v>
      </c>
      <c r="E393" s="2"/>
      <c r="F393" s="2"/>
      <c r="G393" s="2"/>
      <c r="H393" s="2"/>
      <c r="I393" s="2"/>
    </row>
    <row r="395" spans="1:9">
      <c r="B395" s="285" t="s">
        <v>3674</v>
      </c>
      <c r="C395" s="285" t="s">
        <v>3815</v>
      </c>
      <c r="D395" s="285" t="s">
        <v>3745</v>
      </c>
      <c r="E395" s="1443" t="s">
        <v>930</v>
      </c>
      <c r="F395" s="1443"/>
      <c r="G395" s="285" t="s">
        <v>169</v>
      </c>
    </row>
    <row r="396" spans="1:9" ht="45" customHeight="1">
      <c r="B396" s="278" t="s">
        <v>685</v>
      </c>
      <c r="C396" s="278">
        <v>16.3</v>
      </c>
      <c r="D396" s="278">
        <f>C396*1.6</f>
        <v>26.080000000000002</v>
      </c>
      <c r="E396" s="1118" t="s">
        <v>3816</v>
      </c>
      <c r="F396" s="1118"/>
      <c r="G396" s="278">
        <v>86</v>
      </c>
    </row>
    <row r="397" spans="1:9" ht="45" customHeight="1">
      <c r="B397" s="278" t="s">
        <v>686</v>
      </c>
      <c r="C397" s="278">
        <v>23.7</v>
      </c>
      <c r="D397" s="278">
        <f>C397*1.6</f>
        <v>37.92</v>
      </c>
      <c r="E397" s="1118" t="s">
        <v>3817</v>
      </c>
      <c r="F397" s="1118"/>
      <c r="G397" s="278">
        <v>86</v>
      </c>
    </row>
    <row r="398" spans="1:9" ht="45" customHeight="1">
      <c r="B398" s="278" t="s">
        <v>687</v>
      </c>
      <c r="C398" s="278">
        <v>56.2</v>
      </c>
      <c r="D398" s="278">
        <f>C398*1.6</f>
        <v>89.920000000000016</v>
      </c>
      <c r="E398" s="1118" t="s">
        <v>3818</v>
      </c>
      <c r="F398" s="1118"/>
      <c r="G398" s="278">
        <v>87</v>
      </c>
    </row>
    <row r="400" spans="1:9">
      <c r="B400" s="285" t="s">
        <v>3674</v>
      </c>
      <c r="C400" s="294" t="s">
        <v>3819</v>
      </c>
      <c r="D400" s="1443" t="s">
        <v>930</v>
      </c>
      <c r="E400" s="1443"/>
      <c r="F400" s="234" t="s">
        <v>169</v>
      </c>
    </row>
    <row r="401" spans="1:8">
      <c r="B401" s="278" t="s">
        <v>685</v>
      </c>
      <c r="C401" s="278">
        <v>1500</v>
      </c>
      <c r="D401" s="1095" t="s">
        <v>3843</v>
      </c>
      <c r="E401" s="1095"/>
      <c r="F401" s="1246">
        <v>90</v>
      </c>
    </row>
    <row r="402" spans="1:8">
      <c r="B402" s="278" t="s">
        <v>686</v>
      </c>
      <c r="C402" s="278">
        <v>13500</v>
      </c>
      <c r="D402" s="1095"/>
      <c r="E402" s="1095"/>
      <c r="F402" s="1246"/>
    </row>
    <row r="403" spans="1:8">
      <c r="B403" s="278" t="s">
        <v>687</v>
      </c>
      <c r="C403" s="278">
        <v>82200</v>
      </c>
      <c r="D403" s="1095"/>
      <c r="E403" s="1095"/>
      <c r="F403" s="1246"/>
    </row>
    <row r="404" spans="1:8">
      <c r="B404" s="16"/>
    </row>
    <row r="405" spans="1:8">
      <c r="B405" s="285" t="s">
        <v>3674</v>
      </c>
      <c r="C405" s="285" t="s">
        <v>3826</v>
      </c>
      <c r="D405" s="698" t="s">
        <v>930</v>
      </c>
    </row>
    <row r="406" spans="1:8">
      <c r="B406" s="278" t="s">
        <v>685</v>
      </c>
      <c r="C406" s="303">
        <f>$M$161</f>
        <v>4.7210318039663397</v>
      </c>
      <c r="D406" s="1095" t="s">
        <v>3827</v>
      </c>
    </row>
    <row r="407" spans="1:8">
      <c r="B407" s="278" t="s">
        <v>686</v>
      </c>
      <c r="C407" s="303">
        <f>$M$163</f>
        <v>3.1834294480613323</v>
      </c>
      <c r="D407" s="1095"/>
    </row>
    <row r="408" spans="1:8">
      <c r="B408" s="278" t="s">
        <v>687</v>
      </c>
      <c r="C408" s="303">
        <f>$M$165</f>
        <v>1.7258882555005131</v>
      </c>
      <c r="D408" s="1095"/>
    </row>
    <row r="410" spans="1:8">
      <c r="A410" s="725"/>
      <c r="B410" s="726" t="s">
        <v>936</v>
      </c>
      <c r="C410" s="725"/>
      <c r="D410" s="725"/>
      <c r="E410" s="725"/>
      <c r="F410" s="725"/>
      <c r="G410" s="725"/>
      <c r="H410" s="725"/>
    </row>
    <row r="411" spans="1:8">
      <c r="B411" s="285" t="s">
        <v>3674</v>
      </c>
      <c r="C411" s="294" t="s">
        <v>3828</v>
      </c>
      <c r="D411" s="285" t="s">
        <v>226</v>
      </c>
      <c r="E411" s="1429" t="s">
        <v>930</v>
      </c>
      <c r="F411" s="1429"/>
      <c r="G411" s="1429"/>
    </row>
    <row r="412" spans="1:8">
      <c r="B412" s="278" t="s">
        <v>685</v>
      </c>
      <c r="C412" s="304">
        <f>D396/(60/C406)*C401</f>
        <v>3078.112736186054</v>
      </c>
      <c r="D412" s="278" t="s">
        <v>3829</v>
      </c>
      <c r="E412" s="1095" t="s">
        <v>3830</v>
      </c>
      <c r="F412" s="1095"/>
      <c r="G412" s="1095"/>
    </row>
    <row r="413" spans="1:8">
      <c r="B413" s="278" t="s">
        <v>686</v>
      </c>
      <c r="C413" s="304">
        <f>D397/(60/C407)*C402</f>
        <v>27161.02005085929</v>
      </c>
      <c r="D413" s="278" t="s">
        <v>3829</v>
      </c>
      <c r="E413" s="1095"/>
      <c r="F413" s="1095"/>
      <c r="G413" s="1095"/>
    </row>
    <row r="414" spans="1:8">
      <c r="B414" s="278" t="s">
        <v>687</v>
      </c>
      <c r="C414" s="304">
        <f>D398/(60/C408)*C403</f>
        <v>212612.86455041042</v>
      </c>
      <c r="D414" s="278" t="s">
        <v>3829</v>
      </c>
      <c r="E414" s="1095"/>
      <c r="F414" s="1095"/>
      <c r="G414" s="1095"/>
    </row>
    <row r="415" spans="1:8">
      <c r="B415" s="16"/>
    </row>
    <row r="416" spans="1:8">
      <c r="B416" s="294" t="s">
        <v>3674</v>
      </c>
      <c r="C416" s="294" t="s">
        <v>3844</v>
      </c>
      <c r="D416" s="294" t="s">
        <v>255</v>
      </c>
      <c r="E416" s="294" t="s">
        <v>3845</v>
      </c>
    </row>
    <row r="417" spans="1:23">
      <c r="B417" s="278" t="s">
        <v>685</v>
      </c>
      <c r="C417" s="305">
        <f>C412*$C$393/1000</f>
        <v>0.51376779679681428</v>
      </c>
      <c r="D417" s="300">
        <f ca="1">'Carbon values'!$H$16</f>
        <v>376</v>
      </c>
      <c r="E417" s="297">
        <f ca="1">C417*D417</f>
        <v>193.17669159560216</v>
      </c>
    </row>
    <row r="418" spans="1:23">
      <c r="B418" s="278" t="s">
        <v>686</v>
      </c>
      <c r="C418" s="305">
        <f>C413*$C$393/1000</f>
        <v>4.5334458566889246</v>
      </c>
      <c r="D418" s="300">
        <f ca="1">'Carbon values'!$H$16</f>
        <v>376</v>
      </c>
      <c r="E418" s="297">
        <f ca="1">C418*D418</f>
        <v>1704.5756421150356</v>
      </c>
    </row>
    <row r="419" spans="1:23">
      <c r="B419" s="278" t="s">
        <v>687</v>
      </c>
      <c r="C419" s="305">
        <f>C414*$C$393/1000</f>
        <v>35.487213222109006</v>
      </c>
      <c r="D419" s="300">
        <f ca="1">'Carbon values'!$H$16</f>
        <v>376</v>
      </c>
      <c r="E419" s="297">
        <f ca="1">C419*D419</f>
        <v>13343.192171512987</v>
      </c>
    </row>
    <row r="420" spans="1:23">
      <c r="B420" s="16"/>
    </row>
    <row r="421" spans="1:23">
      <c r="A421" s="727"/>
      <c r="B421" s="728" t="s">
        <v>901</v>
      </c>
      <c r="C421" s="727"/>
      <c r="D421" s="727"/>
      <c r="E421" s="727"/>
      <c r="F421" s="727"/>
      <c r="G421" s="727"/>
      <c r="H421" s="727"/>
    </row>
    <row r="422" spans="1:23" ht="29.1">
      <c r="B422" s="719" t="s">
        <v>902</v>
      </c>
      <c r="C422" s="719" t="s">
        <v>898</v>
      </c>
      <c r="D422" s="719" t="s">
        <v>899</v>
      </c>
      <c r="E422" s="719" t="s">
        <v>903</v>
      </c>
      <c r="F422" s="719" t="s">
        <v>904</v>
      </c>
      <c r="G422" s="719" t="s">
        <v>905</v>
      </c>
      <c r="H422" s="719" t="s">
        <v>924</v>
      </c>
      <c r="I422" s="752" t="s">
        <v>956</v>
      </c>
      <c r="J422" s="719" t="s">
        <v>927</v>
      </c>
    </row>
    <row r="423" spans="1:23">
      <c r="B423" s="278" t="s">
        <v>685</v>
      </c>
      <c r="C423" s="278" t="s">
        <v>456</v>
      </c>
      <c r="D423" s="299" t="str">
        <f>$C$374</f>
        <v>Increased GHG emissions</v>
      </c>
      <c r="E423" s="299" t="s">
        <v>1427</v>
      </c>
      <c r="F423" s="392" t="str" cm="1">
        <f t="array" ref="F423">_xlfn.XLOOKUP(1,(D$430:D$432=B423)*(E$430:E$432=C423),B$430:B$432,"Not found",0,1)</f>
        <v>42-4</v>
      </c>
      <c r="G423" s="306">
        <f ca="1">VLOOKUP(F423,B$430:L$432,11,FALSE)</f>
        <v>216.87335918719054</v>
      </c>
      <c r="H423" s="1120">
        <f>$D$389</f>
        <v>2.1428571428571401</v>
      </c>
      <c r="I423" s="1149" t="s">
        <v>3846</v>
      </c>
      <c r="J423" s="1149" t="s">
        <v>3836</v>
      </c>
    </row>
    <row r="424" spans="1:23">
      <c r="B424" s="278" t="s">
        <v>686</v>
      </c>
      <c r="C424" s="278" t="s">
        <v>456</v>
      </c>
      <c r="D424" s="299" t="str">
        <f>$C$374</f>
        <v>Increased GHG emissions</v>
      </c>
      <c r="E424" s="299" t="s">
        <v>1427</v>
      </c>
      <c r="F424" s="392" t="str" cm="1">
        <f t="array" ref="F424">_xlfn.XLOOKUP(1,(D$430:D$432=B424)*(E$430:E$432=C424),B$430:B$432,"Not found",0,1)</f>
        <v>42-5</v>
      </c>
      <c r="G424" s="306">
        <f ca="1">VLOOKUP(F424,B$430:L$432,11,FALSE)</f>
        <v>1913.6731374820072</v>
      </c>
      <c r="H424" s="1121"/>
      <c r="I424" s="1149"/>
      <c r="J424" s="1149"/>
    </row>
    <row r="425" spans="1:23">
      <c r="B425" s="278" t="s">
        <v>687</v>
      </c>
      <c r="C425" s="278" t="s">
        <v>456</v>
      </c>
      <c r="D425" s="299" t="str">
        <f>$C$374</f>
        <v>Increased GHG emissions</v>
      </c>
      <c r="E425" s="299" t="s">
        <v>1427</v>
      </c>
      <c r="F425" s="392" t="str" cm="1">
        <f t="array" ref="F425">_xlfn.XLOOKUP(1,(D$430:D$432=B425)*(E$430:E$432=C425),B$430:B$432,"Not found",0,1)</f>
        <v>42-6</v>
      </c>
      <c r="G425" s="306">
        <f ca="1">VLOOKUP(F425,B$430:L$432,11,FALSE)</f>
        <v>14979.979647721249</v>
      </c>
      <c r="H425" s="1122"/>
      <c r="I425" s="1149"/>
      <c r="J425" s="1149"/>
    </row>
    <row r="426" spans="1:23">
      <c r="B426" s="278" t="s">
        <v>688</v>
      </c>
      <c r="C426" s="278" t="s">
        <v>456</v>
      </c>
      <c r="D426" s="299" t="str">
        <f>$C$374</f>
        <v>Increased GHG emissions</v>
      </c>
      <c r="E426" s="299" t="s">
        <v>1427</v>
      </c>
      <c r="F426" s="601" t="s">
        <v>907</v>
      </c>
      <c r="G426" s="306" t="s">
        <v>990</v>
      </c>
      <c r="H426" s="644" t="s">
        <v>907</v>
      </c>
      <c r="I426" s="644" t="s">
        <v>907</v>
      </c>
      <c r="J426" s="644" t="s">
        <v>907</v>
      </c>
    </row>
    <row r="427" spans="1:23">
      <c r="B427" s="18"/>
    </row>
    <row r="428" spans="1:23">
      <c r="A428" s="725"/>
      <c r="B428" s="726" t="s">
        <v>962</v>
      </c>
      <c r="C428" s="725"/>
      <c r="D428" s="725"/>
      <c r="E428" s="725"/>
      <c r="F428" s="725"/>
      <c r="G428" s="725"/>
      <c r="H428" s="725"/>
    </row>
    <row r="429" spans="1:23">
      <c r="B429" s="277" t="s">
        <v>904</v>
      </c>
      <c r="C429" s="277" t="s">
        <v>62</v>
      </c>
      <c r="D429" s="277" t="s">
        <v>902</v>
      </c>
      <c r="E429" s="277" t="s">
        <v>898</v>
      </c>
      <c r="F429" s="277" t="s">
        <v>916</v>
      </c>
      <c r="G429" s="277" t="s">
        <v>963</v>
      </c>
      <c r="H429" s="277" t="s">
        <v>964</v>
      </c>
      <c r="I429" s="277" t="s">
        <v>965</v>
      </c>
      <c r="J429" s="277" t="s">
        <v>966</v>
      </c>
      <c r="K429" s="277" t="s">
        <v>967</v>
      </c>
      <c r="L429" s="277" t="s">
        <v>968</v>
      </c>
      <c r="M429" s="277" t="s">
        <v>956</v>
      </c>
      <c r="N429" s="277" t="s">
        <v>969</v>
      </c>
      <c r="O429" s="277" t="s">
        <v>970</v>
      </c>
      <c r="P429" s="277" t="s">
        <v>927</v>
      </c>
      <c r="Q429" s="277" t="s">
        <v>913</v>
      </c>
      <c r="R429" s="277" t="s">
        <v>914</v>
      </c>
      <c r="S429" s="277" t="s">
        <v>915</v>
      </c>
      <c r="T429" s="277" t="s">
        <v>916</v>
      </c>
      <c r="U429" s="277" t="s">
        <v>917</v>
      </c>
      <c r="V429" s="277" t="s">
        <v>918</v>
      </c>
      <c r="W429" s="277" t="s">
        <v>919</v>
      </c>
    </row>
    <row r="430" spans="1:23">
      <c r="B430" s="302" t="s">
        <v>3847</v>
      </c>
      <c r="C430" s="278" t="s">
        <v>684</v>
      </c>
      <c r="D430" s="278" t="s">
        <v>685</v>
      </c>
      <c r="E430" s="278" t="s">
        <v>456</v>
      </c>
      <c r="F430" s="299">
        <f>$E$379</f>
        <v>2021</v>
      </c>
      <c r="G430" s="278">
        <v>2020</v>
      </c>
      <c r="H430" s="278">
        <f>'COMPANY INPUT'!$C$16</f>
        <v>2023</v>
      </c>
      <c r="I430" s="278">
        <f>VLOOKUP(G430,'GDP Deflators'!$H$13:$I$86,2,FALSE)</f>
        <v>89.073499999999996</v>
      </c>
      <c r="J430" s="278">
        <f>VLOOKUP(H430,'GDP Deflators'!$H$13:$I$86,2,FALSE)</f>
        <v>100</v>
      </c>
      <c r="K430" s="297">
        <f ca="1">E417</f>
        <v>193.17669159560216</v>
      </c>
      <c r="L430" s="746">
        <f ca="1">K430*(J430/I430)</f>
        <v>216.87335918719054</v>
      </c>
      <c r="M430" s="278" t="s">
        <v>3846</v>
      </c>
      <c r="N430" s="326">
        <f>$D$389</f>
        <v>2.1428571428571401</v>
      </c>
      <c r="O430" s="278" t="s">
        <v>718</v>
      </c>
      <c r="P430" s="278" t="s">
        <v>3836</v>
      </c>
      <c r="Q430" s="299">
        <v>40</v>
      </c>
      <c r="R430" s="299" t="str">
        <f t="shared" ref="R430:W432" si="18">C$379</f>
        <v>BEIS (2021) Valuing greenhouse gas emissions in policy appraisal.</v>
      </c>
      <c r="S430" s="299" t="str">
        <f t="shared" si="18"/>
        <v>ENCA</v>
      </c>
      <c r="T430" s="299">
        <f t="shared" si="18"/>
        <v>2021</v>
      </c>
      <c r="U430" s="299" t="str">
        <f t="shared" si="18"/>
        <v>UK</v>
      </c>
      <c r="V430" s="299" t="str">
        <f t="shared" si="18"/>
        <v>UK</v>
      </c>
      <c r="W430" s="299" t="str">
        <f t="shared" si="18"/>
        <v>/</v>
      </c>
    </row>
    <row r="431" spans="1:23">
      <c r="B431" s="302" t="s">
        <v>3848</v>
      </c>
      <c r="C431" s="278" t="s">
        <v>684</v>
      </c>
      <c r="D431" s="278" t="s">
        <v>686</v>
      </c>
      <c r="E431" s="278" t="s">
        <v>456</v>
      </c>
      <c r="F431" s="299">
        <f>$E$379</f>
        <v>2021</v>
      </c>
      <c r="G431" s="278">
        <v>2020</v>
      </c>
      <c r="H431" s="278">
        <f>'COMPANY INPUT'!$C$16</f>
        <v>2023</v>
      </c>
      <c r="I431" s="278">
        <f>VLOOKUP(G431,'GDP Deflators'!$H$13:$I$86,2,FALSE)</f>
        <v>89.073499999999996</v>
      </c>
      <c r="J431" s="278">
        <f>VLOOKUP(H431,'GDP Deflators'!$H$13:$I$86,2,FALSE)</f>
        <v>100</v>
      </c>
      <c r="K431" s="297">
        <f ca="1">E418</f>
        <v>1704.5756421150356</v>
      </c>
      <c r="L431" s="746">
        <f ca="1">K431*(J431/I431)</f>
        <v>1913.6731374820072</v>
      </c>
      <c r="M431" s="278" t="s">
        <v>3846</v>
      </c>
      <c r="N431" s="326">
        <f>$D$389</f>
        <v>2.1428571428571401</v>
      </c>
      <c r="O431" s="278" t="s">
        <v>718</v>
      </c>
      <c r="P431" s="278" t="s">
        <v>3836</v>
      </c>
      <c r="Q431" s="299">
        <v>40</v>
      </c>
      <c r="R431" s="299" t="str">
        <f t="shared" si="18"/>
        <v>BEIS (2021) Valuing greenhouse gas emissions in policy appraisal.</v>
      </c>
      <c r="S431" s="299" t="str">
        <f t="shared" si="18"/>
        <v>ENCA</v>
      </c>
      <c r="T431" s="299">
        <f t="shared" si="18"/>
        <v>2021</v>
      </c>
      <c r="U431" s="299" t="str">
        <f t="shared" si="18"/>
        <v>UK</v>
      </c>
      <c r="V431" s="299" t="str">
        <f t="shared" si="18"/>
        <v>UK</v>
      </c>
      <c r="W431" s="299" t="str">
        <f t="shared" si="18"/>
        <v>/</v>
      </c>
    </row>
    <row r="432" spans="1:23">
      <c r="B432" s="302" t="s">
        <v>3802</v>
      </c>
      <c r="C432" s="278" t="s">
        <v>684</v>
      </c>
      <c r="D432" s="278" t="s">
        <v>687</v>
      </c>
      <c r="E432" s="278" t="s">
        <v>456</v>
      </c>
      <c r="F432" s="299">
        <f>$E$379</f>
        <v>2021</v>
      </c>
      <c r="G432" s="278">
        <v>2020</v>
      </c>
      <c r="H432" s="278">
        <f>'COMPANY INPUT'!$C$16</f>
        <v>2023</v>
      </c>
      <c r="I432" s="278">
        <f>VLOOKUP(G432,'GDP Deflators'!$H$13:$I$86,2,FALSE)</f>
        <v>89.073499999999996</v>
      </c>
      <c r="J432" s="278">
        <f>VLOOKUP(H432,'GDP Deflators'!$H$13:$I$86,2,FALSE)</f>
        <v>100</v>
      </c>
      <c r="K432" s="297">
        <f ca="1">E419</f>
        <v>13343.192171512987</v>
      </c>
      <c r="L432" s="746">
        <f ca="1">K432*(J432/I432)</f>
        <v>14979.979647721249</v>
      </c>
      <c r="M432" s="278" t="s">
        <v>3846</v>
      </c>
      <c r="N432" s="326">
        <f>$D$389</f>
        <v>2.1428571428571401</v>
      </c>
      <c r="O432" s="278" t="s">
        <v>718</v>
      </c>
      <c r="P432" s="278" t="s">
        <v>3836</v>
      </c>
      <c r="Q432" s="299">
        <v>40</v>
      </c>
      <c r="R432" s="299" t="str">
        <f t="shared" si="18"/>
        <v>BEIS (2021) Valuing greenhouse gas emissions in policy appraisal.</v>
      </c>
      <c r="S432" s="299" t="str">
        <f t="shared" si="18"/>
        <v>ENCA</v>
      </c>
      <c r="T432" s="299">
        <f t="shared" si="18"/>
        <v>2021</v>
      </c>
      <c r="U432" s="299" t="str">
        <f t="shared" si="18"/>
        <v>UK</v>
      </c>
      <c r="V432" s="299" t="str">
        <f t="shared" si="18"/>
        <v>UK</v>
      </c>
      <c r="W432" s="299" t="str">
        <f t="shared" si="18"/>
        <v>/</v>
      </c>
    </row>
    <row r="433" spans="1:10">
      <c r="B433" s="16"/>
    </row>
    <row r="434" spans="1:10">
      <c r="A434" s="721"/>
      <c r="B434" s="722" t="s">
        <v>460</v>
      </c>
      <c r="C434" s="721"/>
      <c r="D434" s="721"/>
      <c r="E434" s="721"/>
      <c r="F434" s="721"/>
      <c r="G434" s="721"/>
      <c r="H434" s="721"/>
    </row>
    <row r="435" spans="1:10">
      <c r="A435" s="727"/>
      <c r="B435" s="729" t="s">
        <v>897</v>
      </c>
      <c r="C435" s="727"/>
      <c r="D435" s="727"/>
      <c r="E435" s="727"/>
      <c r="F435" s="727"/>
      <c r="G435" s="727"/>
      <c r="H435" s="727"/>
    </row>
    <row r="436" spans="1:10">
      <c r="B436" s="277" t="s">
        <v>898</v>
      </c>
      <c r="C436" s="277" t="s">
        <v>899</v>
      </c>
    </row>
    <row r="437" spans="1:10">
      <c r="B437" s="278" t="s">
        <v>460</v>
      </c>
      <c r="C437" s="278" t="s">
        <v>3849</v>
      </c>
    </row>
    <row r="438" spans="1:10">
      <c r="B438" s="16"/>
    </row>
    <row r="439" spans="1:10">
      <c r="A439" s="727"/>
      <c r="B439" s="728" t="s">
        <v>901</v>
      </c>
      <c r="C439" s="727"/>
      <c r="D439" s="727"/>
      <c r="E439" s="727"/>
      <c r="F439" s="727"/>
      <c r="G439" s="727"/>
      <c r="H439" s="727"/>
    </row>
    <row r="440" spans="1:10" ht="29.1">
      <c r="B440" s="719" t="s">
        <v>902</v>
      </c>
      <c r="C440" s="719" t="s">
        <v>898</v>
      </c>
      <c r="D440" s="719" t="s">
        <v>899</v>
      </c>
      <c r="E440" s="719" t="s">
        <v>903</v>
      </c>
      <c r="F440" s="719" t="s">
        <v>904</v>
      </c>
      <c r="G440" s="719" t="s">
        <v>905</v>
      </c>
      <c r="H440" s="719" t="s">
        <v>924</v>
      </c>
      <c r="I440" s="719" t="s">
        <v>956</v>
      </c>
      <c r="J440" s="719" t="s">
        <v>927</v>
      </c>
    </row>
    <row r="441" spans="1:10">
      <c r="B441" s="278" t="s">
        <v>685</v>
      </c>
      <c r="C441" s="299" t="s">
        <v>460</v>
      </c>
      <c r="D441" s="278" t="str">
        <f>C$437</f>
        <v>Reduced customer trust in water company</v>
      </c>
      <c r="E441" s="299" t="s">
        <v>906</v>
      </c>
      <c r="F441" s="279" t="s">
        <v>907</v>
      </c>
      <c r="G441" s="300" t="s">
        <v>990</v>
      </c>
      <c r="H441" s="644" t="s">
        <v>907</v>
      </c>
      <c r="I441" s="644" t="s">
        <v>907</v>
      </c>
      <c r="J441" s="644" t="s">
        <v>907</v>
      </c>
    </row>
    <row r="442" spans="1:10">
      <c r="B442" s="278" t="s">
        <v>686</v>
      </c>
      <c r="C442" s="299" t="s">
        <v>460</v>
      </c>
      <c r="D442" s="278" t="str">
        <f>C$437</f>
        <v>Reduced customer trust in water company</v>
      </c>
      <c r="E442" s="299" t="s">
        <v>906</v>
      </c>
      <c r="F442" s="279" t="s">
        <v>907</v>
      </c>
      <c r="G442" s="300" t="s">
        <v>990</v>
      </c>
      <c r="H442" s="644" t="s">
        <v>907</v>
      </c>
      <c r="I442" s="644" t="s">
        <v>907</v>
      </c>
      <c r="J442" s="644" t="s">
        <v>907</v>
      </c>
    </row>
    <row r="443" spans="1:10">
      <c r="B443" s="278" t="s">
        <v>687</v>
      </c>
      <c r="C443" s="299" t="s">
        <v>460</v>
      </c>
      <c r="D443" s="278" t="str">
        <f>C$437</f>
        <v>Reduced customer trust in water company</v>
      </c>
      <c r="E443" s="299" t="s">
        <v>906</v>
      </c>
      <c r="F443" s="279" t="s">
        <v>907</v>
      </c>
      <c r="G443" s="300" t="s">
        <v>990</v>
      </c>
      <c r="H443" s="644" t="s">
        <v>907</v>
      </c>
      <c r="I443" s="644" t="s">
        <v>907</v>
      </c>
      <c r="J443" s="644" t="s">
        <v>907</v>
      </c>
    </row>
    <row r="444" spans="1:10">
      <c r="B444" s="278" t="s">
        <v>688</v>
      </c>
      <c r="C444" s="299" t="s">
        <v>460</v>
      </c>
      <c r="D444" s="278" t="str">
        <f>C$437</f>
        <v>Reduced customer trust in water company</v>
      </c>
      <c r="E444" s="299" t="s">
        <v>906</v>
      </c>
      <c r="F444" s="279" t="s">
        <v>907</v>
      </c>
      <c r="G444" s="300" t="s">
        <v>990</v>
      </c>
      <c r="H444" s="644" t="s">
        <v>907</v>
      </c>
      <c r="I444" s="644" t="s">
        <v>907</v>
      </c>
      <c r="J444" s="644" t="s">
        <v>907</v>
      </c>
    </row>
    <row r="445" spans="1:10">
      <c r="C445" s="4"/>
      <c r="E445" s="4"/>
      <c r="F445" s="19"/>
      <c r="G445" s="23"/>
      <c r="H445" s="23"/>
    </row>
  </sheetData>
  <sheetProtection algorithmName="SHA-512" hashValue="8zmcrqO6wg++mJElu74VXR6/41ZO0jPq6aX7yxkk2YuVVshhAF8bHm7aVQhZXx+E3wGjc2Ku9NUBCdpuRKrQHA==" saltValue="/MzAGyF+MAgUyVQc7vItOA==" spinCount="100000" sheet="1" objects="1" scenarios="1"/>
  <dataConsolidate/>
  <mergeCells count="106">
    <mergeCell ref="H423:H425"/>
    <mergeCell ref="I423:I425"/>
    <mergeCell ref="J423:J425"/>
    <mergeCell ref="J281:J283"/>
    <mergeCell ref="I281:I283"/>
    <mergeCell ref="H281:H283"/>
    <mergeCell ref="J360:J362"/>
    <mergeCell ref="I360:I362"/>
    <mergeCell ref="H360:H362"/>
    <mergeCell ref="E305:H305"/>
    <mergeCell ref="E306:H306"/>
    <mergeCell ref="E307:H307"/>
    <mergeCell ref="E308:H308"/>
    <mergeCell ref="E309:H309"/>
    <mergeCell ref="E382:H382"/>
    <mergeCell ref="E383:H383"/>
    <mergeCell ref="E411:G411"/>
    <mergeCell ref="E412:G414"/>
    <mergeCell ref="E342:G344"/>
    <mergeCell ref="E341:G341"/>
    <mergeCell ref="E346:G346"/>
    <mergeCell ref="J40:J44"/>
    <mergeCell ref="B225:E225"/>
    <mergeCell ref="B226:E226"/>
    <mergeCell ref="B250:B252"/>
    <mergeCell ref="B265:E265"/>
    <mergeCell ref="E125:E128"/>
    <mergeCell ref="G226:G252"/>
    <mergeCell ref="B40:B54"/>
    <mergeCell ref="C50:C54"/>
    <mergeCell ref="C45:C49"/>
    <mergeCell ref="C40:C44"/>
    <mergeCell ref="G52:I53"/>
    <mergeCell ref="G54:I54"/>
    <mergeCell ref="G50:I51"/>
    <mergeCell ref="B165:B166"/>
    <mergeCell ref="B163:B164"/>
    <mergeCell ref="B136:G136"/>
    <mergeCell ref="J50:J54"/>
    <mergeCell ref="J45:J49"/>
    <mergeCell ref="B186:G186"/>
    <mergeCell ref="F226:F252"/>
    <mergeCell ref="E214:H214"/>
    <mergeCell ref="E215:H215"/>
    <mergeCell ref="E216:H216"/>
    <mergeCell ref="D406:D408"/>
    <mergeCell ref="B161:B162"/>
    <mergeCell ref="F161:F162"/>
    <mergeCell ref="F163:F164"/>
    <mergeCell ref="C314:H314"/>
    <mergeCell ref="G45:I49"/>
    <mergeCell ref="D329:D333"/>
    <mergeCell ref="D324:D326"/>
    <mergeCell ref="D336:D338"/>
    <mergeCell ref="D400:E400"/>
    <mergeCell ref="B272:D272"/>
    <mergeCell ref="E347:G349"/>
    <mergeCell ref="F401:F403"/>
    <mergeCell ref="D401:E403"/>
    <mergeCell ref="E398:F398"/>
    <mergeCell ref="E397:F397"/>
    <mergeCell ref="E396:F396"/>
    <mergeCell ref="G39:I39"/>
    <mergeCell ref="G40:I44"/>
    <mergeCell ref="E395:F395"/>
    <mergeCell ref="E217:H217"/>
    <mergeCell ref="E218:H218"/>
    <mergeCell ref="E219:H219"/>
    <mergeCell ref="E220:H220"/>
    <mergeCell ref="E303:H303"/>
    <mergeCell ref="E304:H304"/>
    <mergeCell ref="E384:H384"/>
    <mergeCell ref="E385:H385"/>
    <mergeCell ref="E386:H386"/>
    <mergeCell ref="E387:H387"/>
    <mergeCell ref="E388:H388"/>
    <mergeCell ref="B138:H138"/>
    <mergeCell ref="E69:F69"/>
    <mergeCell ref="E72:F72"/>
    <mergeCell ref="E71:F71"/>
    <mergeCell ref="E70:F70"/>
    <mergeCell ref="G70:G72"/>
    <mergeCell ref="H140:H157"/>
    <mergeCell ref="B159:M159"/>
    <mergeCell ref="M161:M162"/>
    <mergeCell ref="M163:M164"/>
    <mergeCell ref="M165:M166"/>
    <mergeCell ref="B170:B184"/>
    <mergeCell ref="C170:C174"/>
    <mergeCell ref="C175:C179"/>
    <mergeCell ref="C180:C184"/>
    <mergeCell ref="F165:F166"/>
    <mergeCell ref="B168:I168"/>
    <mergeCell ref="I75:I122"/>
    <mergeCell ref="B127:B128"/>
    <mergeCell ref="B125:B126"/>
    <mergeCell ref="F125:F128"/>
    <mergeCell ref="B5:H5"/>
    <mergeCell ref="E28:H28"/>
    <mergeCell ref="E29:H29"/>
    <mergeCell ref="E30:H30"/>
    <mergeCell ref="E31:H31"/>
    <mergeCell ref="E32:H32"/>
    <mergeCell ref="E33:H33"/>
    <mergeCell ref="E34:H34"/>
    <mergeCell ref="D9:G9"/>
  </mergeCells>
  <conditionalFormatting sqref="B273:D277">
    <cfRule type="containsText" dxfId="115" priority="151" operator="containsText" text="TBI">
      <formula>NOT(ISERROR(SEARCH("TBI",B273)))</formula>
    </cfRule>
  </conditionalFormatting>
  <conditionalFormatting sqref="D35:E35">
    <cfRule type="cellIs" dxfId="114" priority="25" operator="lessThanOrEqual">
      <formula>3</formula>
    </cfRule>
    <cfRule type="cellIs" dxfId="113" priority="24" operator="lessThanOrEqual">
      <formula>2.57142857142857</formula>
    </cfRule>
    <cfRule type="cellIs" dxfId="112" priority="23" operator="lessThanOrEqual">
      <formula>2.14285714285714</formula>
    </cfRule>
  </conditionalFormatting>
  <conditionalFormatting sqref="D221:E221">
    <cfRule type="cellIs" dxfId="111" priority="19" operator="lessThanOrEqual">
      <formula>3</formula>
    </cfRule>
    <cfRule type="cellIs" dxfId="110" priority="18" operator="lessThanOrEqual">
      <formula>2.57142857142857</formula>
    </cfRule>
    <cfRule type="cellIs" dxfId="109" priority="17" operator="lessThanOrEqual">
      <formula>2.14285714285714</formula>
    </cfRule>
  </conditionalFormatting>
  <conditionalFormatting sqref="D310:E310">
    <cfRule type="cellIs" dxfId="108" priority="11" operator="lessThanOrEqual">
      <formula>2.14285714285714</formula>
    </cfRule>
    <cfRule type="cellIs" dxfId="107" priority="12" operator="lessThanOrEqual">
      <formula>2.57142857142857</formula>
    </cfRule>
    <cfRule type="cellIs" dxfId="106" priority="13" operator="lessThanOrEqual">
      <formula>3</formula>
    </cfRule>
  </conditionalFormatting>
  <conditionalFormatting sqref="D389:E389">
    <cfRule type="cellIs" dxfId="105" priority="5" operator="lessThanOrEqual">
      <formula>2.14285714285714</formula>
    </cfRule>
    <cfRule type="cellIs" dxfId="104" priority="7" operator="lessThanOrEqual">
      <formula>3</formula>
    </cfRule>
    <cfRule type="cellIs" dxfId="103" priority="6" operator="lessThanOrEqual">
      <formula>2.57142857142857</formula>
    </cfRule>
  </conditionalFormatting>
  <conditionalFormatting sqref="D11:G14">
    <cfRule type="notContainsBlanks" dxfId="102" priority="1">
      <formula>LEN(TRIM(D11))&gt;0</formula>
    </cfRule>
  </conditionalFormatting>
  <conditionalFormatting sqref="E35">
    <cfRule type="containsText" dxfId="101" priority="22" operator="containsText" text="Red">
      <formula>NOT(ISERROR(SEARCH("Red",E35)))</formula>
    </cfRule>
    <cfRule type="containsText" dxfId="100" priority="21" operator="containsText" text="Amber">
      <formula>NOT(ISERROR(SEARCH("Amber",E35)))</formula>
    </cfRule>
    <cfRule type="containsText" dxfId="99" priority="20" operator="containsText" text="Green">
      <formula>NOT(ISERROR(SEARCH("Green",E35)))</formula>
    </cfRule>
  </conditionalFormatting>
  <conditionalFormatting sqref="E221">
    <cfRule type="containsText" dxfId="98" priority="14" operator="containsText" text="Green">
      <formula>NOT(ISERROR(SEARCH("Green",E221)))</formula>
    </cfRule>
    <cfRule type="containsText" dxfId="97" priority="15" operator="containsText" text="Amber">
      <formula>NOT(ISERROR(SEARCH("Amber",E221)))</formula>
    </cfRule>
    <cfRule type="containsText" dxfId="96" priority="16" operator="containsText" text="Red">
      <formula>NOT(ISERROR(SEARCH("Red",E221)))</formula>
    </cfRule>
  </conditionalFormatting>
  <conditionalFormatting sqref="E310">
    <cfRule type="containsText" dxfId="95" priority="8" operator="containsText" text="Green">
      <formula>NOT(ISERROR(SEARCH("Green",E310)))</formula>
    </cfRule>
    <cfRule type="containsText" dxfId="94" priority="9" operator="containsText" text="Amber">
      <formula>NOT(ISERROR(SEARCH("Amber",E310)))</formula>
    </cfRule>
    <cfRule type="containsText" dxfId="93" priority="10" operator="containsText" text="Red">
      <formula>NOT(ISERROR(SEARCH("Red",E310)))</formula>
    </cfRule>
  </conditionalFormatting>
  <conditionalFormatting sqref="E389">
    <cfRule type="containsText" dxfId="92" priority="2" operator="containsText" text="Green">
      <formula>NOT(ISERROR(SEARCH("Green",E389)))</formula>
    </cfRule>
    <cfRule type="containsText" dxfId="91" priority="3" operator="containsText" text="Amber">
      <formula>NOT(ISERROR(SEARCH("Amber",E389)))</formula>
    </cfRule>
    <cfRule type="containsText" dxfId="90" priority="4" operator="containsText" text="Red">
      <formula>NOT(ISERROR(SEARCH("Red",E389)))</formula>
    </cfRule>
  </conditionalFormatting>
  <conditionalFormatting sqref="F274:J274">
    <cfRule type="containsText" dxfId="89" priority="152" operator="containsText" text="TBI">
      <formula>NOT(ISERROR(SEARCH("TBI",F274)))</formula>
    </cfRule>
  </conditionalFormatting>
  <conditionalFormatting sqref="H281">
    <cfRule type="cellIs" dxfId="88" priority="50" operator="lessThanOrEqual">
      <formula>2.14285714285714</formula>
    </cfRule>
    <cfRule type="cellIs" dxfId="87" priority="51" operator="lessThanOrEqual">
      <formula>2.57142857142857</formula>
    </cfRule>
    <cfRule type="cellIs" dxfId="86" priority="52" operator="lessThanOrEqual">
      <formula>3</formula>
    </cfRule>
  </conditionalFormatting>
  <conditionalFormatting sqref="H360">
    <cfRule type="cellIs" dxfId="85" priority="38" operator="lessThanOrEqual">
      <formula>2.14285714285714</formula>
    </cfRule>
    <cfRule type="cellIs" dxfId="84" priority="39" operator="lessThanOrEqual">
      <formula>2.57142857142857</formula>
    </cfRule>
    <cfRule type="cellIs" dxfId="83" priority="40" operator="lessThanOrEqual">
      <formula>3</formula>
    </cfRule>
  </conditionalFormatting>
  <conditionalFormatting sqref="H423">
    <cfRule type="cellIs" dxfId="82" priority="26" operator="lessThanOrEqual">
      <formula>2.14285714285714</formula>
    </cfRule>
    <cfRule type="cellIs" dxfId="81" priority="27" operator="lessThanOrEqual">
      <formula>2.57142857142857</formula>
    </cfRule>
    <cfRule type="cellIs" dxfId="80" priority="28" operator="lessThanOrEqual">
      <formula>3</formula>
    </cfRule>
  </conditionalFormatting>
  <conditionalFormatting sqref="N288:N290">
    <cfRule type="cellIs" dxfId="79" priority="53" operator="lessThanOrEqual">
      <formula>2.14285714285714</formula>
    </cfRule>
    <cfRule type="cellIs" dxfId="78" priority="54" operator="lessThanOrEqual">
      <formula>2.57142857142857</formula>
    </cfRule>
    <cfRule type="cellIs" dxfId="77" priority="55" operator="lessThanOrEqual">
      <formula>3</formula>
    </cfRule>
  </conditionalFormatting>
  <conditionalFormatting sqref="N367:N369">
    <cfRule type="cellIs" dxfId="76" priority="42" operator="lessThanOrEqual">
      <formula>2.57142857142857</formula>
    </cfRule>
    <cfRule type="cellIs" dxfId="75" priority="43" operator="lessThanOrEqual">
      <formula>3</formula>
    </cfRule>
    <cfRule type="cellIs" dxfId="74" priority="41" operator="lessThanOrEqual">
      <formula>2.14285714285714</formula>
    </cfRule>
  </conditionalFormatting>
  <conditionalFormatting sqref="N430:N432">
    <cfRule type="cellIs" dxfId="73" priority="29" operator="lessThanOrEqual">
      <formula>2.14285714285714</formula>
    </cfRule>
    <cfRule type="cellIs" dxfId="72" priority="30" operator="lessThanOrEqual">
      <formula>2.57142857142857</formula>
    </cfRule>
    <cfRule type="cellIs" dxfId="71" priority="31" operator="lessThanOrEqual">
      <formula>3</formula>
    </cfRule>
  </conditionalFormatting>
  <dataValidations disablePrompts="1" count="1">
    <dataValidation type="list" allowBlank="1" showInputMessage="1" showErrorMessage="1" sqref="C291 C36 C29:C34 C222 C215:C220 C311 C304:C309 C390 C383:C388" xr:uid="{B279D842-AB40-499A-BB3A-7F4581C46F3E}">
      <formula1>"High, Medium, Low"</formula1>
    </dataValidation>
  </dataValidation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BCED7-4B0A-416D-8F73-4D586EECCCC6}">
  <sheetPr codeName="Sheet48">
    <tabColor theme="5" tint="0.59999389629810485"/>
  </sheetPr>
  <dimension ref="A1:W135"/>
  <sheetViews>
    <sheetView workbookViewId="0">
      <selection activeCell="C101" sqref="C101"/>
    </sheetView>
  </sheetViews>
  <sheetFormatPr defaultColWidth="9" defaultRowHeight="14.45"/>
  <cols>
    <col min="1" max="1" width="3.5" style="7" customWidth="1"/>
    <col min="2" max="3" width="40.625" style="7" customWidth="1"/>
    <col min="4" max="15" width="15.625" style="7" customWidth="1"/>
    <col min="16" max="16" width="9" style="7" bestFit="1"/>
    <col min="17" max="17" width="16.625" style="7" customWidth="1"/>
    <col min="18" max="18" width="18.5" style="7" customWidth="1"/>
    <col min="19" max="16384" width="9" style="7"/>
  </cols>
  <sheetData>
    <row r="1" spans="1:8" ht="15" thickBot="1"/>
    <row r="2" spans="1:8" s="732" customFormat="1" ht="18.95" thickBot="1">
      <c r="A2" s="730"/>
      <c r="B2" s="733" t="s">
        <v>439</v>
      </c>
      <c r="C2" s="733"/>
      <c r="D2" s="733"/>
    </row>
    <row r="4" spans="1:8" s="734" customFormat="1" ht="18.600000000000001">
      <c r="A4" s="735"/>
      <c r="B4" s="713" t="s">
        <v>893</v>
      </c>
      <c r="C4" s="735"/>
      <c r="D4" s="735"/>
      <c r="E4" s="735"/>
      <c r="F4" s="735"/>
      <c r="G4" s="735"/>
      <c r="H4" s="735"/>
    </row>
    <row r="5" spans="1:8" ht="48" customHeight="1">
      <c r="A5" s="737"/>
      <c r="B5" s="1152" t="s">
        <v>3850</v>
      </c>
      <c r="C5" s="1152"/>
      <c r="D5" s="1152"/>
      <c r="E5" s="1152"/>
      <c r="F5" s="1152"/>
      <c r="G5" s="1152"/>
      <c r="H5" s="1152"/>
    </row>
    <row r="7" spans="1:8" s="754" customFormat="1" ht="18.600000000000001">
      <c r="A7" s="755"/>
      <c r="B7" s="755" t="s">
        <v>895</v>
      </c>
      <c r="C7" s="755"/>
      <c r="D7" s="755"/>
      <c r="E7" s="755"/>
      <c r="F7" s="755"/>
      <c r="G7" s="755"/>
      <c r="H7" s="755"/>
    </row>
    <row r="9" spans="1:8">
      <c r="D9" s="397" t="s">
        <v>479</v>
      </c>
      <c r="E9" s="397"/>
    </row>
    <row r="10" spans="1:8" ht="29.1">
      <c r="B10" s="399" t="s">
        <v>104</v>
      </c>
      <c r="C10" s="399" t="s">
        <v>711</v>
      </c>
      <c r="D10" s="719" t="s">
        <v>269</v>
      </c>
      <c r="E10" s="719" t="s">
        <v>465</v>
      </c>
    </row>
    <row r="11" spans="1:8">
      <c r="B11" s="276" t="s">
        <v>689</v>
      </c>
      <c r="C11" s="276" t="s">
        <v>690</v>
      </c>
      <c r="D11" s="793" t="str" cm="1">
        <f t="array" ref="D11">_xlfn.XLOOKUP(1,($B11=$B$22:$B$23)*(D$10=$C$22:$C$23),$G$22:$G$23,"Not found",0,1)</f>
        <v>&lt;/&gt;</v>
      </c>
      <c r="E11" s="793" cm="1">
        <f t="array" ref="E11">_xlfn.XLOOKUP(1,($B11=$B$112:$B$113)*(E$10=$C$112:$C$113),$G$112:$G$113,"Not found",0,1)</f>
        <v>-7.8021075138428122</v>
      </c>
    </row>
    <row r="12" spans="1:8">
      <c r="B12" s="276" t="s">
        <v>691</v>
      </c>
      <c r="C12" s="276" t="s">
        <v>690</v>
      </c>
      <c r="D12" s="793" t="str" cm="1">
        <f t="array" ref="D12">_xlfn.XLOOKUP(1,($B12=$B$22:$B$23)*(D$10=$C$22:$C$23),$G$22:$G$23,"Not found",0,1)</f>
        <v>&lt;/&gt;</v>
      </c>
      <c r="E12" s="793" cm="1">
        <f t="array" ref="E12">_xlfn.XLOOKUP(1,($B12=$B$112:$B$113)*(E$10=$C$112:$C$113),$G$112:$G$113,"Not found",0,1)</f>
        <v>-6.390670978675268</v>
      </c>
    </row>
    <row r="13" spans="1:8">
      <c r="B13" s="800" t="s">
        <v>896</v>
      </c>
    </row>
    <row r="15" spans="1:8">
      <c r="A15" s="739"/>
      <c r="B15" s="806" t="s">
        <v>269</v>
      </c>
      <c r="C15" s="739"/>
      <c r="D15" s="739"/>
      <c r="E15" s="739"/>
      <c r="F15" s="739"/>
      <c r="G15" s="739"/>
      <c r="H15" s="739"/>
    </row>
    <row r="16" spans="1:8">
      <c r="A16" s="741"/>
      <c r="B16" s="742" t="s">
        <v>897</v>
      </c>
      <c r="C16" s="741"/>
      <c r="D16" s="741"/>
      <c r="E16" s="741"/>
      <c r="F16" s="741"/>
      <c r="G16" s="741"/>
      <c r="H16" s="741"/>
    </row>
    <row r="17" spans="1:10">
      <c r="B17" s="398" t="s">
        <v>898</v>
      </c>
      <c r="C17" s="398" t="s">
        <v>899</v>
      </c>
    </row>
    <row r="18" spans="1:10">
      <c r="B18" s="276" t="s">
        <v>269</v>
      </c>
      <c r="C18" s="276" t="s">
        <v>3851</v>
      </c>
    </row>
    <row r="19" spans="1:10">
      <c r="B19" s="29"/>
    </row>
    <row r="20" spans="1:10">
      <c r="A20" s="741"/>
      <c r="B20" s="743" t="s">
        <v>901</v>
      </c>
      <c r="C20" s="741"/>
      <c r="D20" s="741"/>
      <c r="E20" s="741"/>
      <c r="F20" s="741"/>
      <c r="G20" s="741"/>
      <c r="H20" s="741"/>
    </row>
    <row r="21" spans="1:10" ht="29.1">
      <c r="B21" s="719" t="s">
        <v>902</v>
      </c>
      <c r="C21" s="719" t="s">
        <v>898</v>
      </c>
      <c r="D21" s="719" t="s">
        <v>899</v>
      </c>
      <c r="E21" s="719" t="s">
        <v>903</v>
      </c>
      <c r="F21" s="719" t="s">
        <v>904</v>
      </c>
      <c r="G21" s="719" t="s">
        <v>905</v>
      </c>
      <c r="H21" s="719" t="s">
        <v>924</v>
      </c>
      <c r="I21" s="719" t="s">
        <v>956</v>
      </c>
      <c r="J21" s="719" t="s">
        <v>927</v>
      </c>
    </row>
    <row r="22" spans="1:10">
      <c r="B22" s="276" t="s">
        <v>689</v>
      </c>
      <c r="C22" s="373" t="s">
        <v>269</v>
      </c>
      <c r="D22" s="276" t="s">
        <v>3851</v>
      </c>
      <c r="E22" s="373" t="s">
        <v>906</v>
      </c>
      <c r="F22" s="340" t="s">
        <v>907</v>
      </c>
      <c r="G22" s="343" t="s">
        <v>473</v>
      </c>
      <c r="H22" s="340" t="s">
        <v>907</v>
      </c>
      <c r="I22" s="340" t="s">
        <v>907</v>
      </c>
      <c r="J22" s="340" t="s">
        <v>907</v>
      </c>
    </row>
    <row r="23" spans="1:10">
      <c r="B23" s="276" t="s">
        <v>691</v>
      </c>
      <c r="C23" s="373" t="s">
        <v>269</v>
      </c>
      <c r="D23" s="276" t="s">
        <v>3851</v>
      </c>
      <c r="E23" s="373" t="s">
        <v>906</v>
      </c>
      <c r="F23" s="340" t="s">
        <v>907</v>
      </c>
      <c r="G23" s="343" t="s">
        <v>473</v>
      </c>
      <c r="H23" s="340" t="s">
        <v>907</v>
      </c>
      <c r="I23" s="340" t="s">
        <v>907</v>
      </c>
      <c r="J23" s="340" t="s">
        <v>907</v>
      </c>
    </row>
    <row r="24" spans="1:10">
      <c r="B24" s="94"/>
    </row>
    <row r="25" spans="1:10">
      <c r="A25" s="739"/>
      <c r="B25" s="740" t="s">
        <v>465</v>
      </c>
      <c r="C25" s="739"/>
      <c r="D25" s="739"/>
      <c r="E25" s="739"/>
      <c r="F25" s="739"/>
      <c r="G25" s="739"/>
      <c r="H25" s="739"/>
    </row>
    <row r="26" spans="1:10">
      <c r="A26" s="741"/>
      <c r="B26" s="742" t="s">
        <v>897</v>
      </c>
      <c r="C26" s="741"/>
      <c r="D26" s="741"/>
      <c r="E26" s="741"/>
      <c r="F26" s="741"/>
      <c r="G26" s="741"/>
      <c r="H26" s="741"/>
    </row>
    <row r="27" spans="1:10">
      <c r="B27" s="398" t="s">
        <v>898</v>
      </c>
      <c r="C27" s="398" t="s">
        <v>899</v>
      </c>
    </row>
    <row r="28" spans="1:10">
      <c r="B28" s="276" t="s">
        <v>465</v>
      </c>
      <c r="C28" s="276" t="s">
        <v>3852</v>
      </c>
    </row>
    <row r="30" spans="1:10">
      <c r="A30" s="741"/>
      <c r="B30" s="743" t="s">
        <v>911</v>
      </c>
      <c r="C30" s="741"/>
      <c r="D30" s="741"/>
      <c r="E30" s="741"/>
      <c r="F30" s="741"/>
      <c r="G30" s="741"/>
      <c r="H30" s="741"/>
    </row>
    <row r="31" spans="1:10">
      <c r="A31" s="744"/>
      <c r="B31" s="745" t="s">
        <v>912</v>
      </c>
      <c r="C31" s="744"/>
      <c r="D31" s="744"/>
      <c r="E31" s="744"/>
      <c r="F31" s="744"/>
      <c r="G31" s="744"/>
      <c r="H31" s="744"/>
    </row>
    <row r="32" spans="1:10" ht="29.1">
      <c r="B32" s="719" t="s">
        <v>913</v>
      </c>
      <c r="C32" s="719" t="s">
        <v>914</v>
      </c>
      <c r="D32" s="719" t="s">
        <v>915</v>
      </c>
      <c r="E32" s="719" t="s">
        <v>916</v>
      </c>
      <c r="F32" s="719" t="s">
        <v>917</v>
      </c>
      <c r="G32" s="719" t="s">
        <v>918</v>
      </c>
      <c r="H32" s="719" t="s">
        <v>919</v>
      </c>
    </row>
    <row r="33" spans="1:8">
      <c r="B33" s="276">
        <v>66</v>
      </c>
      <c r="C33" s="276" t="s">
        <v>3853</v>
      </c>
      <c r="D33" s="276" t="s">
        <v>1261</v>
      </c>
      <c r="E33" s="276">
        <v>2024</v>
      </c>
      <c r="F33" s="276" t="s">
        <v>1047</v>
      </c>
      <c r="G33" s="276" t="s">
        <v>1047</v>
      </c>
      <c r="H33" s="340" t="s">
        <v>907</v>
      </c>
    </row>
    <row r="34" spans="1:8">
      <c r="B34" s="276">
        <v>67</v>
      </c>
      <c r="C34" s="276" t="s">
        <v>3854</v>
      </c>
      <c r="D34" s="276" t="s">
        <v>1261</v>
      </c>
      <c r="E34" s="276">
        <v>2024</v>
      </c>
      <c r="F34" s="276" t="s">
        <v>1047</v>
      </c>
      <c r="G34" s="276" t="s">
        <v>1047</v>
      </c>
      <c r="H34" s="340" t="s">
        <v>907</v>
      </c>
    </row>
    <row r="35" spans="1:8">
      <c r="B35" s="29"/>
    </row>
    <row r="36" spans="1:8">
      <c r="A36" s="744"/>
      <c r="B36" s="745" t="s">
        <v>924</v>
      </c>
      <c r="C36" s="744"/>
      <c r="D36" s="744"/>
      <c r="E36" s="744"/>
      <c r="F36" s="744"/>
      <c r="G36" s="744"/>
      <c r="H36" s="744"/>
    </row>
    <row r="37" spans="1:8">
      <c r="B37" s="398" t="s">
        <v>165</v>
      </c>
      <c r="C37" s="398" t="s">
        <v>925</v>
      </c>
      <c r="D37" s="398" t="s">
        <v>926</v>
      </c>
      <c r="E37" s="1139" t="s">
        <v>927</v>
      </c>
      <c r="F37" s="1139"/>
      <c r="G37" s="1139"/>
      <c r="H37" s="1139"/>
    </row>
    <row r="38" spans="1:8">
      <c r="B38" s="276" t="s">
        <v>169</v>
      </c>
      <c r="C38" s="276" t="s">
        <v>167</v>
      </c>
      <c r="D38" s="278">
        <f>VLOOKUP(C38,METHODOLOGY!$C$175:$D$177,2,FALSE)</f>
        <v>2</v>
      </c>
      <c r="E38" s="1087" t="str">
        <f>_xlfn.XLOOKUP(C38,METHODOLOGY!$E$150:$O$150,METHODOLOGY!$E$151:$O$151,"",0,1)</f>
        <v>The monetary values are recommended / referenced in other, well recognised and accepted guidance / tools relevant to another sector.</v>
      </c>
      <c r="F38" s="1087"/>
      <c r="G38" s="1087"/>
      <c r="H38" s="1087"/>
    </row>
    <row r="39" spans="1:8">
      <c r="B39" s="276" t="s">
        <v>173</v>
      </c>
      <c r="C39" s="276" t="s">
        <v>167</v>
      </c>
      <c r="D39" s="278">
        <f>VLOOKUP(C39,METHODOLOGY!$C$175:$D$177,2,FALSE)</f>
        <v>2</v>
      </c>
      <c r="E39" s="1087" t="str">
        <f>_xlfn.XLOOKUP(C39,METHODOLOGY!$E$150:$O$150,METHODOLOGY!$E$155:$O$155,"",0,1)</f>
        <v>Study has some limitations which may impact on the robustness of the value.</v>
      </c>
      <c r="F39" s="1087"/>
      <c r="G39" s="1087"/>
      <c r="H39" s="1087"/>
    </row>
    <row r="40" spans="1:8">
      <c r="B40" s="276" t="s">
        <v>177</v>
      </c>
      <c r="C40" s="276" t="s">
        <v>166</v>
      </c>
      <c r="D40" s="278">
        <f>VLOOKUP(C40,METHODOLOGY!$C$175:$D$177,2,FALSE)</f>
        <v>3</v>
      </c>
      <c r="E40" s="1087" t="str">
        <f>_xlfn.XLOOKUP(C40,METHODOLOGY!$E$150:$O$150,METHODOLOGY!$E$158:$O$158,"",0,1)</f>
        <v>0 – 5 years</v>
      </c>
      <c r="F40" s="1087"/>
      <c r="G40" s="1087"/>
      <c r="H40" s="1087"/>
    </row>
    <row r="41" spans="1:8">
      <c r="B41" s="276" t="s">
        <v>181</v>
      </c>
      <c r="C41" s="276" t="s">
        <v>167</v>
      </c>
      <c r="D41" s="278">
        <f>VLOOKUP(C41,METHODOLOGY!$C$175:$D$177,2,FALSE)</f>
        <v>2</v>
      </c>
      <c r="E41" s="1087" t="str">
        <f>_xlfn.XLOOKUP(C41,METHODOLOGY!$E$150:$O$150,METHODOLOGY!$E$160:$O$160,"",0,1)</f>
        <v>Less geographically relevant e.g. Europe or relevant to a specific UK region</v>
      </c>
      <c r="F41" s="1087"/>
      <c r="G41" s="1087"/>
      <c r="H41" s="1087"/>
    </row>
    <row r="42" spans="1:8">
      <c r="B42" s="276" t="s">
        <v>928</v>
      </c>
      <c r="C42" s="276" t="s">
        <v>167</v>
      </c>
      <c r="D42" s="278">
        <f>VLOOKUP(C42,METHODOLOGY!$C$175:$D$177,2,FALSE)</f>
        <v>2</v>
      </c>
      <c r="E42" s="1087" t="str">
        <f>_xlfn.XLOOKUP(C42,METHODOLOGY!$E$150:$O$150,METHODOLOGY!$E$162:$O$162,"",0,1)</f>
        <v>Meta-analysis or limited understanding of what the value represents.</v>
      </c>
      <c r="F42" s="1087"/>
      <c r="G42" s="1087"/>
      <c r="H42" s="1087"/>
    </row>
    <row r="43" spans="1:8">
      <c r="B43" s="276" t="s">
        <v>189</v>
      </c>
      <c r="C43" s="276" t="s">
        <v>168</v>
      </c>
      <c r="D43" s="278">
        <f>VLOOKUP(C43,METHODOLOGY!$C$175:$D$177,2,FALSE)</f>
        <v>1</v>
      </c>
      <c r="E43" s="1087" t="str">
        <f>_xlfn.XLOOKUP(C43,METHODOLOGY!$E$150:$O$150,METHODOLOGY!$E$164:$O$164,"",0,1)</f>
        <v xml:space="preserve">The original valuation can be used with significant modification e.g. several additional data inputs are required to use the original source. The calculation is complex or introduces significant uncertainty. </v>
      </c>
      <c r="F43" s="1087"/>
      <c r="G43" s="1087"/>
      <c r="H43" s="1087"/>
    </row>
    <row r="44" spans="1:8">
      <c r="C44" s="282" t="s">
        <v>924</v>
      </c>
      <c r="D44" s="326">
        <f>IF(AND(D43=1,AVERAGE(D38:D43)&gt;2.14285714285714),2.14285714285714,IF(AND(D43=2,AVERAGE(D38:D43)&gt;2.57142857142857),2.57142857142857,AVERAGE(D38:D43)))</f>
        <v>2</v>
      </c>
      <c r="E44" s="270" t="str">
        <f>IF(D44&lt;=2.14285714285714,"Red",IF(D44&lt;=2.57142857142857,"Amber",IF(D44&lt;=3,"Green")))</f>
        <v>Red</v>
      </c>
    </row>
    <row r="46" spans="1:8">
      <c r="A46" s="744"/>
      <c r="B46" s="745" t="s">
        <v>929</v>
      </c>
      <c r="C46" s="744"/>
      <c r="D46" s="744"/>
      <c r="E46" s="744"/>
      <c r="F46" s="744"/>
      <c r="G46" s="744"/>
      <c r="H46" s="744"/>
    </row>
    <row r="47" spans="1:8">
      <c r="B47" s="29" t="s">
        <v>3855</v>
      </c>
    </row>
    <row r="48" spans="1:8">
      <c r="B48" s="29" t="s">
        <v>3856</v>
      </c>
    </row>
    <row r="49" spans="2:4">
      <c r="B49" s="29" t="s">
        <v>3857</v>
      </c>
    </row>
    <row r="50" spans="2:4">
      <c r="B50" s="29"/>
    </row>
    <row r="51" spans="2:4">
      <c r="B51" s="557" t="s">
        <v>3858</v>
      </c>
      <c r="C51" s="558"/>
      <c r="D51" s="559"/>
    </row>
    <row r="52" spans="2:4">
      <c r="B52" s="282" t="s">
        <v>1215</v>
      </c>
      <c r="C52" s="282" t="s">
        <v>3859</v>
      </c>
      <c r="D52" s="282" t="s">
        <v>930</v>
      </c>
    </row>
    <row r="53" spans="2:4">
      <c r="B53" s="276" t="s">
        <v>3860</v>
      </c>
      <c r="C53" s="276" t="s">
        <v>3861</v>
      </c>
      <c r="D53" s="276"/>
    </row>
    <row r="54" spans="2:4">
      <c r="B54" s="276" t="s">
        <v>3862</v>
      </c>
      <c r="C54" s="276" t="s">
        <v>3858</v>
      </c>
      <c r="D54" s="276"/>
    </row>
    <row r="55" spans="2:4">
      <c r="B55" s="276" t="s">
        <v>3863</v>
      </c>
      <c r="C55" s="276" t="s">
        <v>3864</v>
      </c>
      <c r="D55" s="276"/>
    </row>
    <row r="56" spans="2:4">
      <c r="B56" s="276" t="s">
        <v>3863</v>
      </c>
      <c r="C56" s="276" t="s">
        <v>3865</v>
      </c>
      <c r="D56" s="276"/>
    </row>
    <row r="57" spans="2:4">
      <c r="B57" s="276" t="s">
        <v>3866</v>
      </c>
      <c r="C57" s="276" t="s">
        <v>3867</v>
      </c>
      <c r="D57" s="276"/>
    </row>
    <row r="58" spans="2:4">
      <c r="B58" s="276" t="s">
        <v>3868</v>
      </c>
      <c r="C58" s="276">
        <v>2024</v>
      </c>
      <c r="D58" s="276"/>
    </row>
    <row r="59" spans="2:4">
      <c r="B59" s="276" t="s">
        <v>3869</v>
      </c>
      <c r="C59" s="276">
        <v>1</v>
      </c>
      <c r="D59" s="276"/>
    </row>
    <row r="60" spans="2:4">
      <c r="B60" s="276" t="s">
        <v>3870</v>
      </c>
      <c r="C60" s="276" t="s">
        <v>3871</v>
      </c>
      <c r="D60" s="276"/>
    </row>
    <row r="61" spans="2:4">
      <c r="B61" s="276" t="s">
        <v>3872</v>
      </c>
      <c r="C61" s="276" t="s">
        <v>3873</v>
      </c>
      <c r="D61" s="276"/>
    </row>
    <row r="62" spans="2:4">
      <c r="B62" s="276" t="s">
        <v>3874</v>
      </c>
      <c r="C62" s="276" t="s">
        <v>3875</v>
      </c>
      <c r="D62" s="276"/>
    </row>
    <row r="63" spans="2:4">
      <c r="B63" s="276" t="s">
        <v>3876</v>
      </c>
      <c r="C63" s="276">
        <f>150/365</f>
        <v>0.41095890410958902</v>
      </c>
      <c r="D63" s="276" t="s">
        <v>3877</v>
      </c>
    </row>
    <row r="64" spans="2:4">
      <c r="B64" s="276" t="s">
        <v>3878</v>
      </c>
      <c r="C64" s="276" t="s">
        <v>3879</v>
      </c>
      <c r="D64" s="276"/>
    </row>
    <row r="65" spans="2:4">
      <c r="B65" s="276" t="s">
        <v>3880</v>
      </c>
      <c r="C65" s="276" t="s">
        <v>3881</v>
      </c>
      <c r="D65" s="276"/>
    </row>
    <row r="66" spans="2:4">
      <c r="B66" s="276" t="s">
        <v>3882</v>
      </c>
      <c r="C66" s="276">
        <v>1</v>
      </c>
      <c r="D66" s="276"/>
    </row>
    <row r="67" spans="2:4">
      <c r="B67" s="276" t="s">
        <v>3883</v>
      </c>
      <c r="C67" s="276">
        <v>100</v>
      </c>
      <c r="D67" s="276"/>
    </row>
    <row r="68" spans="2:4">
      <c r="B68" s="276" t="s">
        <v>3884</v>
      </c>
      <c r="C68" s="276">
        <v>1</v>
      </c>
      <c r="D68" s="276"/>
    </row>
    <row r="69" spans="2:4">
      <c r="B69" s="276" t="s">
        <v>3885</v>
      </c>
      <c r="C69" s="276">
        <v>408</v>
      </c>
      <c r="D69" s="276" t="s">
        <v>3886</v>
      </c>
    </row>
    <row r="70" spans="2:4">
      <c r="B70" s="276" t="s">
        <v>3887</v>
      </c>
      <c r="C70" s="276" t="s">
        <v>3888</v>
      </c>
      <c r="D70" s="276"/>
    </row>
    <row r="71" spans="2:4">
      <c r="B71" s="276" t="s">
        <v>3889</v>
      </c>
      <c r="C71" s="560">
        <v>3035000</v>
      </c>
      <c r="D71" s="276" t="s">
        <v>3890</v>
      </c>
    </row>
    <row r="72" spans="2:4">
      <c r="B72" s="276" t="s">
        <v>3891</v>
      </c>
      <c r="C72" s="276">
        <v>5.3</v>
      </c>
      <c r="D72" s="276" t="s">
        <v>3890</v>
      </c>
    </row>
    <row r="73" spans="2:4">
      <c r="B73" s="276" t="s">
        <v>3892</v>
      </c>
      <c r="C73" s="406">
        <v>19.899999999999999</v>
      </c>
      <c r="D73" s="276" t="s">
        <v>3893</v>
      </c>
    </row>
    <row r="75" spans="2:4">
      <c r="B75" s="557" t="s">
        <v>3894</v>
      </c>
      <c r="C75" s="558"/>
      <c r="D75" s="559"/>
    </row>
    <row r="76" spans="2:4">
      <c r="B76" s="282" t="s">
        <v>1215</v>
      </c>
      <c r="C76" s="282" t="s">
        <v>3859</v>
      </c>
      <c r="D76" s="282" t="s">
        <v>930</v>
      </c>
    </row>
    <row r="77" spans="2:4">
      <c r="B77" s="276" t="s">
        <v>3860</v>
      </c>
      <c r="C77" s="276" t="s">
        <v>3861</v>
      </c>
      <c r="D77" s="276"/>
    </row>
    <row r="78" spans="2:4">
      <c r="B78" s="276" t="s">
        <v>3862</v>
      </c>
      <c r="C78" s="276" t="s">
        <v>3894</v>
      </c>
      <c r="D78" s="276"/>
    </row>
    <row r="79" spans="2:4">
      <c r="B79" s="276" t="s">
        <v>3863</v>
      </c>
      <c r="C79" s="276" t="s">
        <v>3864</v>
      </c>
      <c r="D79" s="276"/>
    </row>
    <row r="80" spans="2:4">
      <c r="B80" s="276" t="s">
        <v>3863</v>
      </c>
      <c r="C80" s="276" t="s">
        <v>3865</v>
      </c>
      <c r="D80" s="276"/>
    </row>
    <row r="81" spans="2:4">
      <c r="B81" s="276" t="s">
        <v>3866</v>
      </c>
      <c r="C81" s="276" t="s">
        <v>3867</v>
      </c>
      <c r="D81" s="276"/>
    </row>
    <row r="82" spans="2:4">
      <c r="B82" s="276" t="s">
        <v>3868</v>
      </c>
      <c r="C82" s="276">
        <v>2024</v>
      </c>
      <c r="D82" s="276"/>
    </row>
    <row r="83" spans="2:4">
      <c r="B83" s="276" t="s">
        <v>3869</v>
      </c>
      <c r="C83" s="276">
        <v>1</v>
      </c>
      <c r="D83" s="276"/>
    </row>
    <row r="84" spans="2:4">
      <c r="B84" s="276" t="s">
        <v>3870</v>
      </c>
      <c r="C84" s="276" t="s">
        <v>3871</v>
      </c>
      <c r="D84" s="276"/>
    </row>
    <row r="85" spans="2:4">
      <c r="B85" s="276" t="s">
        <v>3872</v>
      </c>
      <c r="C85" s="276" t="s">
        <v>3873</v>
      </c>
      <c r="D85" s="276"/>
    </row>
    <row r="86" spans="2:4">
      <c r="B86" s="276" t="s">
        <v>3874</v>
      </c>
      <c r="C86" s="276" t="s">
        <v>3875</v>
      </c>
      <c r="D86" s="276"/>
    </row>
    <row r="87" spans="2:4">
      <c r="B87" s="276" t="s">
        <v>3876</v>
      </c>
      <c r="C87" s="276">
        <f>150/365</f>
        <v>0.41095890410958902</v>
      </c>
      <c r="D87" s="276" t="s">
        <v>3877</v>
      </c>
    </row>
    <row r="88" spans="2:4">
      <c r="B88" s="276" t="s">
        <v>3878</v>
      </c>
      <c r="C88" s="276" t="s">
        <v>3879</v>
      </c>
      <c r="D88" s="276"/>
    </row>
    <row r="89" spans="2:4">
      <c r="B89" s="276" t="s">
        <v>3880</v>
      </c>
      <c r="C89" s="276" t="s">
        <v>3881</v>
      </c>
      <c r="D89" s="276"/>
    </row>
    <row r="90" spans="2:4">
      <c r="B90" s="276" t="s">
        <v>3882</v>
      </c>
      <c r="C90" s="276">
        <v>1</v>
      </c>
      <c r="D90" s="276"/>
    </row>
    <row r="91" spans="2:4">
      <c r="B91" s="276" t="s">
        <v>3883</v>
      </c>
      <c r="C91" s="276">
        <v>100</v>
      </c>
      <c r="D91" s="276"/>
    </row>
    <row r="92" spans="2:4">
      <c r="B92" s="276" t="s">
        <v>3884</v>
      </c>
      <c r="C92" s="276">
        <v>1</v>
      </c>
      <c r="D92" s="276"/>
    </row>
    <row r="93" spans="2:4">
      <c r="B93" s="276" t="s">
        <v>3885</v>
      </c>
      <c r="C93" s="276">
        <v>223</v>
      </c>
      <c r="D93" s="276" t="s">
        <v>3886</v>
      </c>
    </row>
    <row r="94" spans="2:4">
      <c r="B94" s="276" t="s">
        <v>3887</v>
      </c>
      <c r="C94" s="276" t="s">
        <v>3888</v>
      </c>
      <c r="D94" s="276"/>
    </row>
    <row r="95" spans="2:4">
      <c r="B95" s="276" t="s">
        <v>3889</v>
      </c>
      <c r="C95" s="560">
        <v>3035000</v>
      </c>
      <c r="D95" s="276" t="s">
        <v>3890</v>
      </c>
    </row>
    <row r="96" spans="2:4">
      <c r="B96" s="276" t="s">
        <v>3891</v>
      </c>
      <c r="C96" s="276">
        <v>14</v>
      </c>
      <c r="D96" s="276" t="s">
        <v>3890</v>
      </c>
    </row>
    <row r="97" spans="1:10">
      <c r="B97" s="276" t="s">
        <v>3892</v>
      </c>
      <c r="C97" s="406">
        <v>16.3</v>
      </c>
      <c r="D97" s="276" t="s">
        <v>3893</v>
      </c>
    </row>
    <row r="99" spans="1:10">
      <c r="B99" s="282" t="s">
        <v>1339</v>
      </c>
      <c r="C99" s="282" t="s">
        <v>331</v>
      </c>
      <c r="D99" s="282" t="s">
        <v>913</v>
      </c>
      <c r="E99" s="282" t="s">
        <v>169</v>
      </c>
    </row>
    <row r="100" spans="1:10">
      <c r="B100" s="276" t="s">
        <v>3895</v>
      </c>
      <c r="C100" s="349">
        <v>0.63400000000000001</v>
      </c>
      <c r="D100" s="276">
        <v>68</v>
      </c>
      <c r="E100" s="276" t="s">
        <v>3896</v>
      </c>
    </row>
    <row r="101" spans="1:10">
      <c r="B101" s="276" t="s">
        <v>3897</v>
      </c>
      <c r="C101" s="561">
        <f>1-C100</f>
        <v>0.36599999999999999</v>
      </c>
      <c r="D101" s="276">
        <v>68</v>
      </c>
      <c r="E101" s="276" t="s">
        <v>3896</v>
      </c>
    </row>
    <row r="103" spans="1:10">
      <c r="A103" s="744"/>
      <c r="B103" s="745" t="s">
        <v>936</v>
      </c>
      <c r="C103" s="744"/>
      <c r="D103" s="744"/>
      <c r="E103" s="744"/>
      <c r="F103" s="744"/>
      <c r="G103" s="744"/>
      <c r="H103" s="744"/>
    </row>
    <row r="104" spans="1:10">
      <c r="B104" s="293" t="s">
        <v>953</v>
      </c>
      <c r="C104" s="293" t="s">
        <v>3898</v>
      </c>
    </row>
    <row r="105" spans="1:10">
      <c r="B105" s="276" t="s">
        <v>3899</v>
      </c>
      <c r="C105" s="406">
        <f>C73</f>
        <v>19.899999999999999</v>
      </c>
    </row>
    <row r="106" spans="1:10">
      <c r="B106" s="276" t="s">
        <v>3900</v>
      </c>
      <c r="C106" s="406">
        <f>C97</f>
        <v>16.3</v>
      </c>
    </row>
    <row r="107" spans="1:10">
      <c r="B107" s="276" t="s">
        <v>3901</v>
      </c>
      <c r="C107" s="351">
        <f>C105*$C$101</f>
        <v>7.2833999999999994</v>
      </c>
    </row>
    <row r="108" spans="1:10">
      <c r="B108" s="276" t="s">
        <v>3902</v>
      </c>
      <c r="C108" s="351">
        <f>C106*$C$101</f>
        <v>5.9657999999999998</v>
      </c>
    </row>
    <row r="110" spans="1:10">
      <c r="A110" s="741"/>
      <c r="B110" s="743" t="s">
        <v>901</v>
      </c>
      <c r="C110" s="741"/>
      <c r="D110" s="741"/>
      <c r="E110" s="741"/>
      <c r="F110" s="741"/>
      <c r="G110" s="741"/>
      <c r="H110" s="741"/>
    </row>
    <row r="111" spans="1:10" ht="29.1">
      <c r="B111" s="719" t="s">
        <v>902</v>
      </c>
      <c r="C111" s="719" t="s">
        <v>898</v>
      </c>
      <c r="D111" s="719" t="s">
        <v>899</v>
      </c>
      <c r="E111" s="719" t="s">
        <v>903</v>
      </c>
      <c r="F111" s="719" t="s">
        <v>904</v>
      </c>
      <c r="G111" s="719" t="s">
        <v>905</v>
      </c>
      <c r="H111" s="752" t="s">
        <v>924</v>
      </c>
      <c r="I111" s="752" t="s">
        <v>956</v>
      </c>
      <c r="J111" s="752" t="s">
        <v>927</v>
      </c>
    </row>
    <row r="112" spans="1:10">
      <c r="B112" s="276" t="s">
        <v>689</v>
      </c>
      <c r="C112" s="276" t="s">
        <v>465</v>
      </c>
      <c r="D112" s="276" t="s">
        <v>3852</v>
      </c>
      <c r="E112" s="542" t="s">
        <v>957</v>
      </c>
      <c r="F112" s="276" t="str" cm="1">
        <f t="array" ref="F112">_xlfn.XLOOKUP(1,(D117:D117=B112)*(E117:E117=C112),B117:B117,"Not found",0,1)</f>
        <v>43-1</v>
      </c>
      <c r="G112" s="633">
        <f>VLOOKUP(F112,B117:L118,11,FALSE)</f>
        <v>-7.8021075138428122</v>
      </c>
      <c r="H112" s="1120">
        <f>D44</f>
        <v>2</v>
      </c>
      <c r="I112" s="1478" t="s">
        <v>3903</v>
      </c>
      <c r="J112" s="1478" t="s">
        <v>3904</v>
      </c>
    </row>
    <row r="113" spans="1:23">
      <c r="B113" s="276" t="s">
        <v>691</v>
      </c>
      <c r="C113" s="276" t="s">
        <v>465</v>
      </c>
      <c r="D113" s="276" t="s">
        <v>3852</v>
      </c>
      <c r="E113" s="542" t="s">
        <v>957</v>
      </c>
      <c r="F113" s="276" t="str" cm="1">
        <f t="array" ref="F113">_xlfn.XLOOKUP(1,(D118:D118=B113)*(E118:E118=C113),B118:B118,"Not found",0,1)</f>
        <v>43-2</v>
      </c>
      <c r="G113" s="633">
        <f>VLOOKUP(F113,B118:L119,11,FALSE)</f>
        <v>-6.390670978675268</v>
      </c>
      <c r="H113" s="1122"/>
      <c r="I113" s="1479"/>
      <c r="J113" s="1479"/>
    </row>
    <row r="114" spans="1:23">
      <c r="B114" s="30"/>
    </row>
    <row r="115" spans="1:23">
      <c r="A115" s="744"/>
      <c r="B115" s="745" t="s">
        <v>962</v>
      </c>
      <c r="C115" s="744"/>
      <c r="D115" s="744"/>
      <c r="E115" s="744"/>
      <c r="F115" s="744"/>
      <c r="G115" s="744"/>
      <c r="H115" s="744"/>
    </row>
    <row r="116" spans="1:23">
      <c r="B116" s="398" t="s">
        <v>904</v>
      </c>
      <c r="C116" s="398" t="s">
        <v>62</v>
      </c>
      <c r="D116" s="398" t="s">
        <v>902</v>
      </c>
      <c r="E116" s="398" t="s">
        <v>898</v>
      </c>
      <c r="F116" s="398" t="s">
        <v>916</v>
      </c>
      <c r="G116" s="398" t="s">
        <v>963</v>
      </c>
      <c r="H116" s="398" t="s">
        <v>964</v>
      </c>
      <c r="I116" s="398" t="s">
        <v>965</v>
      </c>
      <c r="J116" s="398" t="s">
        <v>966</v>
      </c>
      <c r="K116" s="398" t="s">
        <v>967</v>
      </c>
      <c r="L116" s="398" t="s">
        <v>968</v>
      </c>
      <c r="M116" s="398" t="s">
        <v>956</v>
      </c>
      <c r="N116" s="398" t="s">
        <v>969</v>
      </c>
      <c r="O116" s="398" t="s">
        <v>970</v>
      </c>
      <c r="P116" s="398" t="s">
        <v>927</v>
      </c>
      <c r="Q116" s="398" t="s">
        <v>913</v>
      </c>
      <c r="R116" s="398" t="s">
        <v>914</v>
      </c>
      <c r="S116" s="398" t="s">
        <v>915</v>
      </c>
      <c r="T116" s="398" t="s">
        <v>916</v>
      </c>
      <c r="U116" s="398" t="s">
        <v>917</v>
      </c>
      <c r="V116" s="398" t="s">
        <v>918</v>
      </c>
      <c r="W116" s="398" t="s">
        <v>919</v>
      </c>
    </row>
    <row r="117" spans="1:23">
      <c r="B117" s="372" t="s">
        <v>3905</v>
      </c>
      <c r="C117" s="276" t="s">
        <v>3906</v>
      </c>
      <c r="D117" s="276" t="str">
        <f>B112</f>
        <v>Cycling trips on newly created route</v>
      </c>
      <c r="E117" s="276" t="str">
        <f>C112</f>
        <v>Health and wellbeing</v>
      </c>
      <c r="F117" s="373">
        <f>E33</f>
        <v>2024</v>
      </c>
      <c r="G117" s="276">
        <v>2022</v>
      </c>
      <c r="H117" s="276">
        <f>'COMPANY INPUT'!$C$16</f>
        <v>2023</v>
      </c>
      <c r="I117" s="276">
        <f>VLOOKUP(G117,'GDP Deflators'!$H$13:$I$86,2,FALSE)</f>
        <v>93.351699999999994</v>
      </c>
      <c r="J117" s="276">
        <f>_xlfn.XLOOKUP(H117,'GDP Deflators'!$H$13:$H$86,'GDP Deflators'!$I$13:$I$86)</f>
        <v>100</v>
      </c>
      <c r="K117" s="406">
        <f>-C107</f>
        <v>-7.2833999999999994</v>
      </c>
      <c r="L117" s="747">
        <f>K117*(J117/I117)</f>
        <v>-7.8021075138428122</v>
      </c>
      <c r="M117" s="276" t="str">
        <f>$I$112</f>
        <v>Value of statistical life (WTP)</v>
      </c>
      <c r="N117" s="326">
        <f>$H$112</f>
        <v>2</v>
      </c>
      <c r="O117" s="276" t="s">
        <v>718</v>
      </c>
      <c r="P117" s="276" t="str">
        <f>$J$112</f>
        <v>Referenced in B£ST and applicable to SM</v>
      </c>
      <c r="Q117" s="373">
        <f t="shared" ref="Q117:W117" si="0">B33</f>
        <v>66</v>
      </c>
      <c r="R117" s="373" t="str">
        <f t="shared" si="0"/>
        <v>World Health Organisation (2024) HEAT v5.3.0.</v>
      </c>
      <c r="S117" s="373" t="str">
        <f t="shared" si="0"/>
        <v>B£ST</v>
      </c>
      <c r="T117" s="373">
        <f t="shared" si="0"/>
        <v>2024</v>
      </c>
      <c r="U117" s="373" t="str">
        <f t="shared" si="0"/>
        <v>UK</v>
      </c>
      <c r="V117" s="373" t="str">
        <f t="shared" si="0"/>
        <v>UK</v>
      </c>
      <c r="W117" s="373" t="str">
        <f t="shared" si="0"/>
        <v>/</v>
      </c>
    </row>
    <row r="118" spans="1:23">
      <c r="B118" s="372" t="s">
        <v>3907</v>
      </c>
      <c r="C118" s="276" t="s">
        <v>3906</v>
      </c>
      <c r="D118" s="276" t="str">
        <f>B113</f>
        <v>Walking trips on newly created route</v>
      </c>
      <c r="E118" s="276" t="str">
        <f>C113</f>
        <v>Health and wellbeing</v>
      </c>
      <c r="F118" s="373">
        <f>E33</f>
        <v>2024</v>
      </c>
      <c r="G118" s="276">
        <v>2022</v>
      </c>
      <c r="H118" s="276">
        <f>'COMPANY INPUT'!$C$16</f>
        <v>2023</v>
      </c>
      <c r="I118" s="276">
        <f>VLOOKUP(G118,'GDP Deflators'!$H$13:$I$86,2,FALSE)</f>
        <v>93.351699999999994</v>
      </c>
      <c r="J118" s="276">
        <f>VLOOKUP(H118,'GDP Deflators'!$H$13:$I$86,2,FALSE)</f>
        <v>100</v>
      </c>
      <c r="K118" s="406">
        <f>-C108</f>
        <v>-5.9657999999999998</v>
      </c>
      <c r="L118" s="747">
        <f>K118*(J118/I118)</f>
        <v>-6.390670978675268</v>
      </c>
      <c r="M118" s="276" t="str">
        <f>$I$112</f>
        <v>Value of statistical life (WTP)</v>
      </c>
      <c r="N118" s="326">
        <f>$H$112</f>
        <v>2</v>
      </c>
      <c r="O118" s="276" t="s">
        <v>718</v>
      </c>
      <c r="P118" s="276" t="str">
        <f>$J$112</f>
        <v>Referenced in B£ST and applicable to SM</v>
      </c>
      <c r="Q118" s="373">
        <f t="shared" ref="Q118:W118" si="1">B33</f>
        <v>66</v>
      </c>
      <c r="R118" s="373" t="str">
        <f t="shared" si="1"/>
        <v>World Health Organisation (2024) HEAT v5.3.0.</v>
      </c>
      <c r="S118" s="373" t="str">
        <f t="shared" si="1"/>
        <v>B£ST</v>
      </c>
      <c r="T118" s="373">
        <f t="shared" si="1"/>
        <v>2024</v>
      </c>
      <c r="U118" s="373" t="str">
        <f t="shared" si="1"/>
        <v>UK</v>
      </c>
      <c r="V118" s="373" t="str">
        <f t="shared" si="1"/>
        <v>UK</v>
      </c>
      <c r="W118" s="373" t="str">
        <f t="shared" si="1"/>
        <v>/</v>
      </c>
    </row>
    <row r="119" spans="1:23">
      <c r="B119" s="94"/>
    </row>
    <row r="120" spans="1:23">
      <c r="B120" s="94"/>
    </row>
    <row r="121" spans="1:23">
      <c r="B121" s="94"/>
    </row>
    <row r="122" spans="1:23">
      <c r="B122" s="94"/>
    </row>
    <row r="123" spans="1:23">
      <c r="B123" s="94"/>
    </row>
    <row r="124" spans="1:23">
      <c r="B124" s="94"/>
    </row>
    <row r="125" spans="1:23">
      <c r="B125" s="94"/>
    </row>
    <row r="126" spans="1:23">
      <c r="B126" s="94"/>
    </row>
    <row r="127" spans="1:23">
      <c r="G127" s="95"/>
    </row>
    <row r="132" spans="2:8">
      <c r="H132" s="29"/>
    </row>
    <row r="135" spans="2:8">
      <c r="B135" s="7" t="s">
        <v>3908</v>
      </c>
    </row>
  </sheetData>
  <sheetProtection algorithmName="SHA-512" hashValue="6H4kSiCwl5bHFME07FALUEykPOc1gkIthh0uFq/3mq8Z23v8SrsLTMsO+aUdMi/oezhN+ZyREVFN52PQEECrCQ==" saltValue="cIQk7hKaud+9MpHdfflQzw==" spinCount="100000" sheet="1" objects="1" scenarios="1"/>
  <dataConsolidate/>
  <mergeCells count="11">
    <mergeCell ref="H112:H113"/>
    <mergeCell ref="I112:I113"/>
    <mergeCell ref="J112:J113"/>
    <mergeCell ref="B5:H5"/>
    <mergeCell ref="E37:H37"/>
    <mergeCell ref="E38:H38"/>
    <mergeCell ref="E39:H39"/>
    <mergeCell ref="E40:H40"/>
    <mergeCell ref="E41:H41"/>
    <mergeCell ref="E42:H42"/>
    <mergeCell ref="E43:H43"/>
  </mergeCells>
  <phoneticPr fontId="16" type="noConversion"/>
  <conditionalFormatting sqref="D11:E12">
    <cfRule type="notContainsBlanks" dxfId="70" priority="1">
      <formula>LEN(TRIM(D11))&gt;0</formula>
    </cfRule>
  </conditionalFormatting>
  <conditionalFormatting sqref="D44:E44">
    <cfRule type="cellIs" dxfId="69" priority="5" operator="lessThanOrEqual">
      <formula>2.14285714285714</formula>
    </cfRule>
    <cfRule type="cellIs" dxfId="68" priority="6" operator="lessThanOrEqual">
      <formula>2.57142857142857</formula>
    </cfRule>
    <cfRule type="cellIs" dxfId="67" priority="7" operator="lessThanOrEqual">
      <formula>3</formula>
    </cfRule>
  </conditionalFormatting>
  <conditionalFormatting sqref="E44">
    <cfRule type="containsText" dxfId="66" priority="2" operator="containsText" text="Green">
      <formula>NOT(ISERROR(SEARCH("Green",E44)))</formula>
    </cfRule>
    <cfRule type="containsText" dxfId="65" priority="3" operator="containsText" text="Amber">
      <formula>NOT(ISERROR(SEARCH("Amber",E44)))</formula>
    </cfRule>
    <cfRule type="containsText" dxfId="64" priority="4" operator="containsText" text="Red">
      <formula>NOT(ISERROR(SEARCH("Red",E44)))</formula>
    </cfRule>
  </conditionalFormatting>
  <conditionalFormatting sqref="H112">
    <cfRule type="cellIs" dxfId="63" priority="8" operator="lessThanOrEqual">
      <formula>2.14285714285714</formula>
    </cfRule>
    <cfRule type="cellIs" dxfId="62" priority="9" operator="lessThanOrEqual">
      <formula>2.57142857142857</formula>
    </cfRule>
    <cfRule type="cellIs" dxfId="61" priority="10" operator="lessThanOrEqual">
      <formula>3</formula>
    </cfRule>
  </conditionalFormatting>
  <conditionalFormatting sqref="N117:N118">
    <cfRule type="cellIs" dxfId="60" priority="11" operator="lessThanOrEqual">
      <formula>2.14285714285714</formula>
    </cfRule>
    <cfRule type="cellIs" dxfId="59" priority="12" operator="lessThanOrEqual">
      <formula>2.57142857142857</formula>
    </cfRule>
    <cfRule type="cellIs" dxfId="58" priority="13" operator="lessThanOrEqual">
      <formula>3</formula>
    </cfRule>
  </conditionalFormatting>
  <dataValidations disablePrompts="1" count="1">
    <dataValidation type="list" allowBlank="1" showInputMessage="1" showErrorMessage="1" sqref="C45 C38:C43" xr:uid="{6BF5E369-DD4D-49DA-BCFF-A167BBECBCC8}">
      <formula1>"High, Medium, Low"</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89B66-4816-4113-B5EB-4BB221773074}">
  <sheetPr codeName="Sheet5">
    <tabColor theme="5"/>
  </sheetPr>
  <dimension ref="A1:D20"/>
  <sheetViews>
    <sheetView workbookViewId="0">
      <selection activeCell="E18" sqref="E18"/>
    </sheetView>
  </sheetViews>
  <sheetFormatPr defaultColWidth="8.625" defaultRowHeight="18.600000000000001"/>
  <cols>
    <col min="1" max="1" width="16.875" style="1003" customWidth="1"/>
    <col min="2" max="2" width="79.5" style="7" customWidth="1"/>
    <col min="3" max="3" width="22.5" style="7" customWidth="1"/>
    <col min="4" max="4" width="8.625" style="7"/>
    <col min="5" max="16384" width="8.625" style="1"/>
  </cols>
  <sheetData>
    <row r="1" spans="1:4" ht="31.5" thickBot="1">
      <c r="A1" s="1004" t="s">
        <v>327</v>
      </c>
      <c r="B1" s="675" t="s">
        <v>328</v>
      </c>
    </row>
    <row r="2" spans="1:4" ht="21.6" thickBot="1">
      <c r="B2" s="673" t="s">
        <v>329</v>
      </c>
    </row>
    <row r="4" spans="1:4" ht="21">
      <c r="B4" s="627" t="s">
        <v>330</v>
      </c>
      <c r="C4" s="628" t="s">
        <v>331</v>
      </c>
    </row>
    <row r="5" spans="1:4" s="997" customFormat="1">
      <c r="A5" s="1003"/>
      <c r="B5" s="832" t="s">
        <v>332</v>
      </c>
      <c r="C5" s="996">
        <f>VLOOKUP($B$2,'Company data'!$B$3:$C$25,2,FALSE)</f>
        <v>1165610</v>
      </c>
      <c r="D5" s="886"/>
    </row>
    <row r="6" spans="1:4" s="997" customFormat="1">
      <c r="A6" s="1003"/>
      <c r="B6" s="832" t="s">
        <v>333</v>
      </c>
      <c r="C6" s="996">
        <f>VLOOKUP($B$2,'Company data'!$B$29:$C$45,2,FALSE)</f>
        <v>2676565</v>
      </c>
      <c r="D6" s="886"/>
    </row>
    <row r="7" spans="1:4" s="997" customFormat="1">
      <c r="A7" s="1003"/>
      <c r="B7" s="832" t="s">
        <v>334</v>
      </c>
      <c r="C7" s="998">
        <f>VLOOKUP($B$2,'Company data'!$C$49:$E$65,2,FALSE)</f>
        <v>248</v>
      </c>
      <c r="D7" s="886"/>
    </row>
    <row r="8" spans="1:4" s="997" customFormat="1">
      <c r="A8" s="1003"/>
      <c r="B8" s="832" t="s">
        <v>335</v>
      </c>
      <c r="C8" s="998">
        <f>VLOOKUP($B$2,'Company data'!$C$49:$E$65,3,FALSE)</f>
        <v>320</v>
      </c>
      <c r="D8" s="886"/>
    </row>
    <row r="9" spans="1:4" s="997" customFormat="1">
      <c r="A9" s="1003"/>
      <c r="B9" s="832" t="s">
        <v>336</v>
      </c>
      <c r="C9" s="998">
        <f>1000*VLOOKUP($B$2,'Company data'!$B$69:$D$79,2,FALSE)</f>
        <v>1904857</v>
      </c>
      <c r="D9" s="886"/>
    </row>
    <row r="10" spans="1:4" s="997" customFormat="1">
      <c r="A10" s="1003"/>
      <c r="B10" s="832" t="s">
        <v>337</v>
      </c>
      <c r="C10" s="998">
        <f>1000*VLOOKUP($B$2,'Company data'!$B$69:$D$79,3,FALSE)</f>
        <v>75242</v>
      </c>
      <c r="D10" s="886"/>
    </row>
    <row r="11" spans="1:4" s="997" customFormat="1">
      <c r="A11" s="1003"/>
      <c r="B11" s="832"/>
      <c r="C11" s="998"/>
      <c r="D11" s="886"/>
    </row>
    <row r="12" spans="1:4" s="997" customFormat="1">
      <c r="A12" s="1003"/>
      <c r="B12" s="999" t="s">
        <v>338</v>
      </c>
      <c r="C12" s="1000"/>
      <c r="D12" s="886"/>
    </row>
    <row r="13" spans="1:4" s="997" customFormat="1">
      <c r="A13" s="1003"/>
      <c r="B13" s="886"/>
      <c r="C13" s="886"/>
      <c r="D13" s="886"/>
    </row>
    <row r="14" spans="1:4" ht="30.95">
      <c r="A14" s="1004" t="s">
        <v>339</v>
      </c>
      <c r="B14" s="675" t="s">
        <v>340</v>
      </c>
    </row>
    <row r="15" spans="1:4" s="997" customFormat="1" ht="18.95" thickBot="1">
      <c r="A15" s="1003"/>
      <c r="B15" s="886"/>
      <c r="C15" s="1001" t="s">
        <v>331</v>
      </c>
      <c r="D15" s="886"/>
    </row>
    <row r="16" spans="1:4" s="997" customFormat="1" ht="18.95" thickBot="1">
      <c r="A16" s="1003"/>
      <c r="B16" s="832" t="s">
        <v>341</v>
      </c>
      <c r="C16" s="1005">
        <v>2023</v>
      </c>
      <c r="D16" s="886"/>
    </row>
    <row r="17" spans="1:4" s="997" customFormat="1" ht="18.95" thickBot="1">
      <c r="A17" s="1003"/>
      <c r="B17" s="832" t="s">
        <v>342</v>
      </c>
      <c r="C17" s="1006">
        <v>2073</v>
      </c>
      <c r="D17" s="886"/>
    </row>
    <row r="18" spans="1:4" s="997" customFormat="1">
      <c r="A18" s="1003"/>
      <c r="B18" s="832" t="s">
        <v>343</v>
      </c>
      <c r="C18" s="886">
        <f>C17+1-C16</f>
        <v>51</v>
      </c>
      <c r="D18" s="886"/>
    </row>
    <row r="19" spans="1:4" s="997" customFormat="1">
      <c r="A19" s="1003"/>
      <c r="B19" s="1002" t="s">
        <v>344</v>
      </c>
      <c r="C19" s="886"/>
      <c r="D19" s="886"/>
    </row>
    <row r="20" spans="1:4" s="997" customFormat="1">
      <c r="A20" s="1003"/>
      <c r="B20" s="886"/>
      <c r="C20" s="886"/>
      <c r="D20" s="886"/>
    </row>
  </sheetData>
  <sheetProtection algorithmName="SHA-512" hashValue="FLrZxeEv3qOdx/+PfYIb6+v8mnjX0W6sDMQQthLZLvHOfP+hJnCD55+nmkgRevFF0iUket0EV4+R6Y8O++i+pA==" saltValue="EIJ8iD9bwQUJOdGyWryJ4g==" spinCount="100000" sheet="1" objects="1" scenarios="1"/>
  <protectedRanges>
    <protectedRange sqref="C16:C17" name="Range2"/>
    <protectedRange sqref="B2" name="Range1"/>
  </protectedRange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B4212A3-5C19-4D5D-9734-D74D38A9818F}">
          <x14:formula1>
            <xm:f>'Company data'!$B$5:$B$25</xm:f>
          </x14:formula1>
          <xm:sqref>B2</xm:sqref>
        </x14:dataValidation>
        <x14:dataValidation type="list" allowBlank="1" showInputMessage="1" showErrorMessage="1" xr:uid="{E0316509-69A4-4964-B637-19F747DF90BE}">
          <x14:formula1>
            <xm:f>'Carbon values'!$B$10:$B$115</xm:f>
          </x14:formula1>
          <xm:sqref>C16:C17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1CA9F-1648-4DDC-A27F-B629E1475BF9}">
  <sheetPr codeName="Sheet49">
    <tabColor theme="5" tint="0.59999389629810485"/>
  </sheetPr>
  <dimension ref="A1:W134"/>
  <sheetViews>
    <sheetView topLeftCell="A5" workbookViewId="0"/>
  </sheetViews>
  <sheetFormatPr defaultColWidth="9" defaultRowHeight="14.45"/>
  <cols>
    <col min="1" max="1" width="3.5" style="2" customWidth="1"/>
    <col min="2" max="3" width="40.625" style="2" customWidth="1"/>
    <col min="4" max="13" width="15.625" style="2" customWidth="1"/>
    <col min="14" max="16" width="16.125" style="2" customWidth="1"/>
    <col min="17" max="17" width="9" style="2"/>
    <col min="18" max="18" width="16.625" style="2" customWidth="1"/>
    <col min="19" max="19" width="18.5" style="2" customWidth="1"/>
    <col min="20" max="16384" width="9" style="2"/>
  </cols>
  <sheetData>
    <row r="1" spans="1:9" ht="15" thickBot="1"/>
    <row r="2" spans="1:9" s="750" customFormat="1" ht="18.95" thickBot="1">
      <c r="A2" s="748"/>
      <c r="B2" s="708" t="s">
        <v>440</v>
      </c>
      <c r="C2" s="749"/>
      <c r="D2" s="749"/>
    </row>
    <row r="4" spans="1:9" s="714" customFormat="1" ht="18.600000000000001">
      <c r="A4" s="715"/>
      <c r="B4" s="713" t="s">
        <v>893</v>
      </c>
      <c r="C4" s="715"/>
      <c r="D4" s="715"/>
      <c r="E4" s="715"/>
      <c r="F4" s="715"/>
      <c r="G4" s="715"/>
      <c r="H4" s="715"/>
    </row>
    <row r="5" spans="1:9" ht="145.5" customHeight="1">
      <c r="A5" s="716"/>
      <c r="B5" s="1152" t="s">
        <v>3909</v>
      </c>
      <c r="C5" s="1152"/>
      <c r="D5" s="1152"/>
      <c r="E5" s="1152"/>
      <c r="F5" s="1152"/>
      <c r="G5" s="1152"/>
      <c r="H5" s="1152"/>
    </row>
    <row r="7" spans="1:9" s="718" customFormat="1" ht="18.600000000000001">
      <c r="A7" s="724"/>
      <c r="B7" s="724" t="s">
        <v>895</v>
      </c>
      <c r="C7" s="724"/>
      <c r="D7" s="724"/>
      <c r="E7" s="724"/>
      <c r="F7" s="724"/>
      <c r="G7" s="724"/>
      <c r="H7" s="724"/>
    </row>
    <row r="9" spans="1:9">
      <c r="D9" s="414" t="s">
        <v>479</v>
      </c>
      <c r="E9" s="414"/>
      <c r="F9" s="414"/>
      <c r="G9" s="414"/>
      <c r="H9" s="414"/>
      <c r="I9" s="213"/>
    </row>
    <row r="10" spans="1:9" ht="29.1">
      <c r="B10" s="399" t="s">
        <v>104</v>
      </c>
      <c r="C10" s="798" t="s">
        <v>711</v>
      </c>
      <c r="D10" s="774" t="s">
        <v>448</v>
      </c>
      <c r="E10" s="774" t="s">
        <v>460</v>
      </c>
      <c r="F10" s="774" t="s">
        <v>462</v>
      </c>
      <c r="G10" s="774" t="s">
        <v>465</v>
      </c>
      <c r="H10" s="719" t="s">
        <v>466</v>
      </c>
      <c r="I10" s="205"/>
    </row>
    <row r="11" spans="1:9">
      <c r="B11" s="278" t="s">
        <v>692</v>
      </c>
      <c r="C11" s="390" t="s">
        <v>693</v>
      </c>
      <c r="D11" s="793" t="str" cm="1">
        <f t="array" ref="D11">_xlfn.XLOOKUP(1,($B11=$B$70:$B$94)*(D$10=$C$70:$C$94),$G$70:$G$94,"Not found",0,1)</f>
        <v>LG(M)</v>
      </c>
      <c r="E11" s="793" t="str" cm="1">
        <f t="array" ref="E11">_xlfn.XLOOKUP(1,($B11=$B$126:$B$150)*(E$10=$C$126:$C$150),$G$126:$G$150,"Not found",0,1)</f>
        <v>LG(H)</v>
      </c>
      <c r="F11" s="793"/>
      <c r="G11" s="793"/>
      <c r="H11" s="793"/>
      <c r="I11" s="206"/>
    </row>
    <row r="12" spans="1:9">
      <c r="B12" s="278" t="s">
        <v>694</v>
      </c>
      <c r="C12" s="390" t="s">
        <v>441</v>
      </c>
      <c r="D12" s="793" cm="1">
        <f t="array" ref="D12">_xlfn.XLOOKUP(1,($B12=$B$70:$B$94)*(D$10=$C$70:$C$94),$G$70:$G$94,"Not found",0,1)</f>
        <v>119200</v>
      </c>
      <c r="E12" s="793" t="str" cm="1">
        <f t="array" ref="E12">_xlfn.XLOOKUP(1,($B12=$B$126:$B$150)*(E$10=$C$126:$C$150),$G$126:$G$150,"Not found",0,1)</f>
        <v>LG(H)</v>
      </c>
      <c r="F12" s="793" cm="1">
        <f t="array" ref="F12">_xlfn.XLOOKUP(1,($B12=$B$70:$B$94)*(F$10=$C$70:$C$94),$G$70:$G$94,"Not found",0,1)</f>
        <v>139000</v>
      </c>
      <c r="G12" s="793" t="s">
        <v>473</v>
      </c>
      <c r="H12" s="793" cm="1">
        <f t="array" ref="H12">_xlfn.XLOOKUP(1,($B12=$B$70:$B$94)*(H$10=$C$70:$C$94),$G$70:$G$94,"Not found",0,1)</f>
        <v>1881000</v>
      </c>
      <c r="I12" s="206"/>
    </row>
    <row r="13" spans="1:9">
      <c r="B13" s="278" t="s">
        <v>695</v>
      </c>
      <c r="C13" s="390" t="s">
        <v>441</v>
      </c>
      <c r="D13" s="793" cm="1">
        <f t="array" ref="D13">_xlfn.XLOOKUP(1,($B13=$B$70:$B$94)*(D$10=$C$70:$C$94),$G$70:$G$94,"Not found",0,1)</f>
        <v>1900</v>
      </c>
      <c r="E13" s="793" t="str" cm="1">
        <f t="array" ref="E13">_xlfn.XLOOKUP(1,($B13=$B$126:$B$150)*(E$10=$C$126:$C$150),$G$126:$G$150,"Not found",0,1)</f>
        <v>LG(H)</v>
      </c>
      <c r="F13" s="793" cm="1">
        <f t="array" ref="F13">_xlfn.XLOOKUP(1,($B13=$B$70:$B$94)*(F$10=$C$70:$C$94),$G$70:$G$94,"Not found",0,1)</f>
        <v>2800</v>
      </c>
      <c r="G13" s="793" t="s">
        <v>473</v>
      </c>
      <c r="H13" s="793" cm="1">
        <f t="array" ref="H13">_xlfn.XLOOKUP(1,($B13=$B$70:$B$94)*(H$10=$C$70:$C$94),$G$70:$G$94,"Not found",0,1)</f>
        <v>7000</v>
      </c>
      <c r="I13" s="206"/>
    </row>
    <row r="14" spans="1:9">
      <c r="B14" s="278" t="s">
        <v>696</v>
      </c>
      <c r="C14" s="390" t="s">
        <v>441</v>
      </c>
      <c r="D14" s="793" cm="1">
        <f t="array" ref="D14">_xlfn.XLOOKUP(1,($B14=$B$70:$B$94)*(D$10=$C$70:$C$94),$G$70:$G$94,"Not found",0,1)</f>
        <v>7800</v>
      </c>
      <c r="E14" s="793" t="str" cm="1">
        <f t="array" ref="E14">_xlfn.XLOOKUP(1,($B14=$B$126:$B$150)*(E$10=$C$126:$C$150),$G$126:$G$150,"Not found",0,1)</f>
        <v>LG(H)</v>
      </c>
      <c r="F14" s="793" cm="1">
        <f t="array" ref="F14">_xlfn.XLOOKUP(1,($B14=$B$70:$B$94)*(F$10=$C$70:$C$94),$G$70:$G$94,"Not found",0,1)</f>
        <v>10000</v>
      </c>
      <c r="G14" s="793" t="s">
        <v>473</v>
      </c>
      <c r="H14" s="793" cm="1">
        <f t="array" ref="H14">_xlfn.XLOOKUP(1,($B14=$B$70:$B$94)*(H$10=$C$70:$C$94),$G$70:$G$94,"Not found",0,1)</f>
        <v>28200</v>
      </c>
      <c r="I14" s="206"/>
    </row>
    <row r="15" spans="1:9">
      <c r="B15" s="278" t="s">
        <v>697</v>
      </c>
      <c r="C15" s="390" t="s">
        <v>441</v>
      </c>
      <c r="D15" s="793" cm="1">
        <f t="array" ref="D15">_xlfn.XLOOKUP(1,($B15=$B$70:$B$94)*(D$10=$C$70:$C$94),$G$70:$G$94,"Not found",0,1)</f>
        <v>120</v>
      </c>
      <c r="E15" s="793" t="str" cm="1">
        <f t="array" ref="E15">_xlfn.XLOOKUP(1,($B15=$B$126:$B$150)*(E$10=$C$126:$C$150),$G$126:$G$150,"Not found",0,1)</f>
        <v>LG(H)</v>
      </c>
      <c r="F15" s="793" cm="1">
        <f t="array" ref="F15">_xlfn.XLOOKUP(1,($B15=$B$70:$B$94)*(F$10=$C$70:$C$94),$G$70:$G$94,"Not found",0,1)</f>
        <v>520</v>
      </c>
      <c r="G15" s="793" t="s">
        <v>473</v>
      </c>
      <c r="H15" s="793" cm="1">
        <f t="array" ref="H15">_xlfn.XLOOKUP(1,($B15=$B$70:$B$94)*(H$10=$C$70:$C$94),$G$70:$G$94,"Not found",0,1)</f>
        <v>470</v>
      </c>
      <c r="I15" s="206"/>
    </row>
    <row r="16" spans="1:9">
      <c r="B16" s="278" t="s">
        <v>698</v>
      </c>
      <c r="C16" s="390" t="s">
        <v>441</v>
      </c>
      <c r="D16" s="793" cm="1">
        <f t="array" ref="D16">_xlfn.XLOOKUP(1,($B16=$B$70:$B$94)*(D$10=$C$70:$C$94),$G$70:$G$94,"Not found",0,1)</f>
        <v>4400</v>
      </c>
      <c r="E16" s="793" t="str" cm="1">
        <f t="array" ref="E16">_xlfn.XLOOKUP(1,($B16=$B$126:$B$150)*(E$10=$C$126:$C$150),$G$126:$G$150,"Not found",0,1)</f>
        <v>LG(H)</v>
      </c>
      <c r="F16" s="793" cm="1">
        <f t="array" ref="F16">_xlfn.XLOOKUP(1,($B16=$B$70:$B$94)*(F$10=$C$70:$C$94),$G$70:$G$94,"Not found",0,1)</f>
        <v>4800</v>
      </c>
      <c r="G16" s="793" t="s">
        <v>473</v>
      </c>
      <c r="H16" s="793" cm="1">
        <f t="array" ref="H16">_xlfn.XLOOKUP(1,($B16=$B$70:$B$94)*(H$10=$C$70:$C$94),$G$70:$G$94,"Not found",0,1)</f>
        <v>12300</v>
      </c>
      <c r="I16" s="206"/>
    </row>
    <row r="17" spans="1:9">
      <c r="B17" s="278" t="s">
        <v>699</v>
      </c>
      <c r="C17" s="390" t="s">
        <v>441</v>
      </c>
      <c r="D17" s="793" cm="1">
        <f t="array" ref="D17">_xlfn.XLOOKUP(1,($B17=$B$70:$B$94)*(D$10=$C$70:$C$94),$G$70:$G$94,"Not found",0,1)</f>
        <v>9200</v>
      </c>
      <c r="E17" s="793" t="str" cm="1">
        <f t="array" ref="E17">_xlfn.XLOOKUP(1,($B17=$B$126:$B$150)*(E$10=$C$126:$C$150),$G$126:$G$150,"Not found",0,1)</f>
        <v>LG(H)</v>
      </c>
      <c r="F17" s="793" cm="1">
        <f t="array" ref="F17">_xlfn.XLOOKUP(1,($B17=$B$70:$B$94)*(F$10=$C$70:$C$94),$G$70:$G$94,"Not found",0,1)</f>
        <v>9800</v>
      </c>
      <c r="G17" s="793" t="s">
        <v>473</v>
      </c>
      <c r="H17" s="793" cm="1">
        <f t="array" ref="H17">_xlfn.XLOOKUP(1,($B17=$B$70:$B$94)*(H$10=$C$70:$C$94),$G$70:$G$94,"Not found",0,1)</f>
        <v>25700</v>
      </c>
      <c r="I17" s="206"/>
    </row>
    <row r="18" spans="1:9">
      <c r="B18" s="278" t="s">
        <v>700</v>
      </c>
      <c r="C18" s="390" t="s">
        <v>441</v>
      </c>
      <c r="D18" s="793" cm="1">
        <f t="array" ref="D18">_xlfn.XLOOKUP(1,($B18=$B$70:$B$94)*(D$10=$C$70:$C$94),$G$70:$G$94,"Not found",0,1)</f>
        <v>170</v>
      </c>
      <c r="E18" s="793" t="str" cm="1">
        <f t="array" ref="E18">_xlfn.XLOOKUP(1,($B18=$B$126:$B$150)*(E$10=$C$126:$C$150),$G$126:$G$150,"Not found",0,1)</f>
        <v>LG(H)</v>
      </c>
      <c r="F18" s="793" cm="1">
        <f t="array" ref="F18">_xlfn.XLOOKUP(1,($B18=$B$70:$B$94)*(F$10=$C$70:$C$94),$G$70:$G$94,"Not found",0,1)</f>
        <v>490</v>
      </c>
      <c r="G18" s="793" t="s">
        <v>473</v>
      </c>
      <c r="H18" s="793" cm="1">
        <f t="array" ref="H18">_xlfn.XLOOKUP(1,($B18=$B$70:$B$94)*(H$10=$C$70:$C$94),$G$70:$G$94,"Not found",0,1)</f>
        <v>570</v>
      </c>
      <c r="I18" s="206"/>
    </row>
    <row r="19" spans="1:9">
      <c r="B19" s="278" t="s">
        <v>701</v>
      </c>
      <c r="C19" s="390" t="s">
        <v>393</v>
      </c>
      <c r="D19" s="793" t="str" cm="1">
        <f t="array" ref="D19">_xlfn.XLOOKUP(1,($B19=$B$70:$B$94)*(D$10=$C$70:$C$94),$G$70:$G$94,"Not found",0,1)</f>
        <v>LG(M)</v>
      </c>
      <c r="E19" s="793" t="str" cm="1">
        <f t="array" ref="E19">_xlfn.XLOOKUP(1,($B19=$B$126:$B$150)*(E$10=$C$126:$C$150),$G$126:$G$150,"Not found",0,1)</f>
        <v>LG(H)</v>
      </c>
      <c r="F19" s="793"/>
      <c r="G19" s="793"/>
      <c r="H19" s="793"/>
      <c r="I19" s="206"/>
    </row>
    <row r="20" spans="1:9">
      <c r="B20" s="800" t="s">
        <v>896</v>
      </c>
      <c r="D20" s="808"/>
      <c r="E20" s="808"/>
      <c r="F20" s="808"/>
      <c r="G20" s="808"/>
      <c r="H20" s="808"/>
      <c r="I20" s="206"/>
    </row>
    <row r="22" spans="1:9">
      <c r="A22" s="721"/>
      <c r="B22" s="722" t="s">
        <v>3910</v>
      </c>
      <c r="C22" s="721"/>
      <c r="D22" s="721"/>
      <c r="E22" s="721"/>
      <c r="F22" s="721"/>
      <c r="G22" s="721"/>
      <c r="H22" s="721"/>
    </row>
    <row r="23" spans="1:9">
      <c r="A23" s="727"/>
      <c r="B23" s="729" t="s">
        <v>897</v>
      </c>
      <c r="C23" s="727"/>
      <c r="D23" s="727"/>
      <c r="E23" s="727"/>
      <c r="F23" s="727"/>
      <c r="G23" s="727"/>
      <c r="H23" s="727"/>
    </row>
    <row r="24" spans="1:9">
      <c r="B24" s="277" t="s">
        <v>898</v>
      </c>
      <c r="C24" s="277" t="s">
        <v>899</v>
      </c>
    </row>
    <row r="25" spans="1:9">
      <c r="B25" s="281" t="s">
        <v>448</v>
      </c>
      <c r="C25" s="281" t="s">
        <v>3911</v>
      </c>
    </row>
    <row r="26" spans="1:9">
      <c r="B26" s="281" t="s">
        <v>462</v>
      </c>
      <c r="C26" s="281" t="s">
        <v>3912</v>
      </c>
    </row>
    <row r="27" spans="1:9">
      <c r="B27" s="278" t="s">
        <v>466</v>
      </c>
      <c r="C27" s="278" t="s">
        <v>3913</v>
      </c>
    </row>
    <row r="28" spans="1:9">
      <c r="B28" s="16"/>
    </row>
    <row r="29" spans="1:9">
      <c r="A29" s="727"/>
      <c r="B29" s="728" t="s">
        <v>911</v>
      </c>
      <c r="C29" s="727"/>
      <c r="D29" s="727"/>
      <c r="E29" s="727"/>
      <c r="F29" s="727"/>
      <c r="G29" s="727"/>
      <c r="H29" s="727"/>
    </row>
    <row r="30" spans="1:9">
      <c r="A30" s="725"/>
      <c r="B30" s="726" t="s">
        <v>912</v>
      </c>
      <c r="C30" s="725"/>
      <c r="D30" s="725"/>
      <c r="E30" s="725"/>
      <c r="F30" s="725"/>
      <c r="G30" s="725"/>
      <c r="H30" s="725"/>
    </row>
    <row r="31" spans="1:9" ht="29.1">
      <c r="B31" s="719" t="s">
        <v>913</v>
      </c>
      <c r="C31" s="719" t="s">
        <v>914</v>
      </c>
      <c r="D31" s="719" t="s">
        <v>915</v>
      </c>
      <c r="E31" s="719" t="s">
        <v>916</v>
      </c>
      <c r="F31" s="719" t="s">
        <v>917</v>
      </c>
      <c r="G31" s="719" t="s">
        <v>918</v>
      </c>
      <c r="H31" s="719" t="s">
        <v>919</v>
      </c>
    </row>
    <row r="32" spans="1:9">
      <c r="B32" s="278">
        <v>21</v>
      </c>
      <c r="C32" s="278" t="s">
        <v>3914</v>
      </c>
      <c r="D32" s="278" t="s">
        <v>1261</v>
      </c>
      <c r="E32" s="278">
        <v>2023</v>
      </c>
      <c r="F32" s="278" t="s">
        <v>3915</v>
      </c>
      <c r="G32" s="278" t="s">
        <v>1672</v>
      </c>
      <c r="H32" s="439">
        <v>581132</v>
      </c>
    </row>
    <row r="33" spans="1:8">
      <c r="B33" s="16"/>
    </row>
    <row r="34" spans="1:8">
      <c r="A34" s="725"/>
      <c r="B34" s="726" t="s">
        <v>924</v>
      </c>
      <c r="C34" s="725"/>
      <c r="D34" s="725"/>
      <c r="E34" s="725"/>
      <c r="F34" s="725"/>
      <c r="G34" s="725"/>
      <c r="H34" s="725"/>
    </row>
    <row r="35" spans="1:8">
      <c r="B35" s="277" t="s">
        <v>165</v>
      </c>
      <c r="C35" s="277" t="s">
        <v>925</v>
      </c>
      <c r="D35" s="277" t="s">
        <v>926</v>
      </c>
      <c r="E35" s="1134" t="s">
        <v>927</v>
      </c>
      <c r="F35" s="1134"/>
      <c r="G35" s="1134"/>
      <c r="H35" s="1134"/>
    </row>
    <row r="36" spans="1:8">
      <c r="B36" s="278" t="s">
        <v>169</v>
      </c>
      <c r="C36" s="278" t="s">
        <v>166</v>
      </c>
      <c r="D36" s="278">
        <f>VLOOKUP(C36,METHODOLOGY!$C$175:$D$177,2,FALSE)</f>
        <v>3</v>
      </c>
      <c r="E36" s="1087" t="str">
        <f>_xlfn.XLOOKUP(C36,METHODOLOGY!$E$150:$O$150,METHODOLOGY!$E$151:$O$151,"",0,1)</f>
        <v>Monetary values have been peer reviewed or are recommended / referenced in other, well recognised and accepted guidance / tools relevant to the water sector.</v>
      </c>
      <c r="F36" s="1087"/>
      <c r="G36" s="1087"/>
      <c r="H36" s="1087"/>
    </row>
    <row r="37" spans="1:8">
      <c r="B37" s="278" t="s">
        <v>173</v>
      </c>
      <c r="C37" s="278" t="s">
        <v>166</v>
      </c>
      <c r="D37" s="278">
        <f>VLOOKUP(C37,METHODOLOGY!$C$175:$D$177,2,FALSE)</f>
        <v>3</v>
      </c>
      <c r="E37" s="1087" t="str">
        <f>_xlfn.XLOOKUP(C37,METHODOLOGY!$E$150:$O$150,METHODOLOGY!$E$155:$O$155,"",0,1)</f>
        <v>Study has few limitations and is considered robust.</v>
      </c>
      <c r="F37" s="1087"/>
      <c r="G37" s="1087"/>
      <c r="H37" s="1087"/>
    </row>
    <row r="38" spans="1:8">
      <c r="B38" s="278" t="s">
        <v>177</v>
      </c>
      <c r="C38" s="278" t="s">
        <v>166</v>
      </c>
      <c r="D38" s="278">
        <f>VLOOKUP(C38,METHODOLOGY!$C$175:$D$177,2,FALSE)</f>
        <v>3</v>
      </c>
      <c r="E38" s="1087" t="str">
        <f>_xlfn.XLOOKUP(C38,METHODOLOGY!$E$150:$O$150,METHODOLOGY!$E$158:$O$158,"",0,1)</f>
        <v>0 – 5 years</v>
      </c>
      <c r="F38" s="1087"/>
      <c r="G38" s="1087"/>
      <c r="H38" s="1087"/>
    </row>
    <row r="39" spans="1:8">
      <c r="B39" s="278" t="s">
        <v>181</v>
      </c>
      <c r="C39" s="278" t="s">
        <v>166</v>
      </c>
      <c r="D39" s="278">
        <f>VLOOKUP(C39,METHODOLOGY!$C$175:$D$177,2,FALSE)</f>
        <v>3</v>
      </c>
      <c r="E39" s="1087" t="str">
        <f>_xlfn.XLOOKUP(C39,METHODOLOGY!$E$150:$O$150,METHODOLOGY!$E$160:$O$160,"",0,1)</f>
        <v>Geographically relevant to UK</v>
      </c>
      <c r="F39" s="1087"/>
      <c r="G39" s="1087"/>
      <c r="H39" s="1087"/>
    </row>
    <row r="40" spans="1:8">
      <c r="B40" s="278" t="s">
        <v>928</v>
      </c>
      <c r="C40" s="278" t="s">
        <v>166</v>
      </c>
      <c r="D40" s="278">
        <f>VLOOKUP(C40,METHODOLOGY!$C$175:$D$177,2,FALSE)</f>
        <v>3</v>
      </c>
      <c r="E40" s="1087" t="str">
        <f>_xlfn.XLOOKUP(C40,METHODOLOGY!$E$150:$O$150,METHODOLOGY!$E$162:$O$162,"",0,1)</f>
        <v>Clear understanding of the valuation method and how the value should be applied.</v>
      </c>
      <c r="F40" s="1087"/>
      <c r="G40" s="1087"/>
      <c r="H40" s="1087"/>
    </row>
    <row r="41" spans="1:8">
      <c r="B41" s="278" t="s">
        <v>189</v>
      </c>
      <c r="C41" s="278" t="s">
        <v>166</v>
      </c>
      <c r="D41" s="278">
        <f>VLOOKUP(C41,METHODOLOGY!$C$175:$D$177,2,FALSE)</f>
        <v>3</v>
      </c>
      <c r="E41" s="1087" t="str">
        <f>_xlfn.XLOOKUP(C41,METHODOLOGY!$E$150:$O$150,METHODOLOGY!$E$164:$O$164,"",0,1)</f>
        <v xml:space="preserve">The original valuation can be used with no or very simple modification e.g. change units from ha to km2, applying inflation. </v>
      </c>
      <c r="F41" s="1087"/>
      <c r="G41" s="1087"/>
      <c r="H41" s="1087"/>
    </row>
    <row r="42" spans="1:8">
      <c r="C42" s="282" t="s">
        <v>924</v>
      </c>
      <c r="D42" s="326">
        <f>IF(AND(D41=1,AVERAGE(D36:D41)&gt;2.14285714285714),2.14285714285714,IF(AND(D41=2,AVERAGE(D36:D41)&gt;2.57142857142857),2.57142857142857,AVERAGE(D36:D41)))</f>
        <v>3</v>
      </c>
      <c r="E42" s="270" t="str">
        <f>IF(D42&lt;=2.14285714285714,"Red",IF(D42&lt;=2.57142857142857,"Amber",IF(D42&lt;=3,"Green")))</f>
        <v>Green</v>
      </c>
    </row>
    <row r="44" spans="1:8">
      <c r="A44" s="725"/>
      <c r="B44" s="726" t="s">
        <v>929</v>
      </c>
      <c r="C44" s="725"/>
      <c r="D44" s="725"/>
      <c r="E44" s="725"/>
      <c r="F44" s="725"/>
      <c r="G44" s="725"/>
      <c r="H44" s="725"/>
    </row>
    <row r="45" spans="1:8">
      <c r="B45" s="277" t="s">
        <v>913</v>
      </c>
      <c r="C45" s="277" t="s">
        <v>1089</v>
      </c>
      <c r="D45" s="277" t="s">
        <v>902</v>
      </c>
      <c r="E45" s="277" t="s">
        <v>331</v>
      </c>
      <c r="F45" s="277" t="s">
        <v>226</v>
      </c>
      <c r="G45" s="277" t="s">
        <v>930</v>
      </c>
    </row>
    <row r="46" spans="1:8">
      <c r="B46" s="278">
        <v>21</v>
      </c>
      <c r="C46" s="278" t="s">
        <v>448</v>
      </c>
      <c r="D46" s="278" t="s">
        <v>694</v>
      </c>
      <c r="E46" s="415">
        <v>119200</v>
      </c>
      <c r="F46" s="562" t="s">
        <v>3916</v>
      </c>
      <c r="G46" s="1480" t="s">
        <v>3917</v>
      </c>
    </row>
    <row r="47" spans="1:8">
      <c r="B47" s="278">
        <v>21</v>
      </c>
      <c r="C47" s="278" t="s">
        <v>448</v>
      </c>
      <c r="D47" s="278" t="s">
        <v>695</v>
      </c>
      <c r="E47" s="415">
        <v>1900</v>
      </c>
      <c r="F47" s="562" t="s">
        <v>3916</v>
      </c>
      <c r="G47" s="1481"/>
    </row>
    <row r="48" spans="1:8">
      <c r="B48" s="278">
        <v>21</v>
      </c>
      <c r="C48" s="278" t="s">
        <v>448</v>
      </c>
      <c r="D48" s="278" t="s">
        <v>696</v>
      </c>
      <c r="E48" s="415">
        <v>7800</v>
      </c>
      <c r="F48" s="562" t="s">
        <v>3916</v>
      </c>
      <c r="G48" s="1481"/>
    </row>
    <row r="49" spans="2:7">
      <c r="B49" s="278">
        <v>21</v>
      </c>
      <c r="C49" s="278" t="s">
        <v>448</v>
      </c>
      <c r="D49" s="278" t="s">
        <v>697</v>
      </c>
      <c r="E49" s="278">
        <v>120</v>
      </c>
      <c r="F49" s="562" t="s">
        <v>3916</v>
      </c>
      <c r="G49" s="1481"/>
    </row>
    <row r="50" spans="2:7">
      <c r="B50" s="278">
        <v>21</v>
      </c>
      <c r="C50" s="278" t="s">
        <v>448</v>
      </c>
      <c r="D50" s="278" t="s">
        <v>698</v>
      </c>
      <c r="E50" s="415">
        <v>4400</v>
      </c>
      <c r="F50" s="562" t="s">
        <v>3916</v>
      </c>
      <c r="G50" s="1481"/>
    </row>
    <row r="51" spans="2:7">
      <c r="B51" s="278">
        <v>21</v>
      </c>
      <c r="C51" s="278" t="s">
        <v>448</v>
      </c>
      <c r="D51" s="278" t="s">
        <v>699</v>
      </c>
      <c r="E51" s="415">
        <v>9200</v>
      </c>
      <c r="F51" s="562" t="s">
        <v>3916</v>
      </c>
      <c r="G51" s="1481"/>
    </row>
    <row r="52" spans="2:7">
      <c r="B52" s="278">
        <v>21</v>
      </c>
      <c r="C52" s="278" t="s">
        <v>448</v>
      </c>
      <c r="D52" s="278" t="s">
        <v>700</v>
      </c>
      <c r="E52" s="278">
        <v>170</v>
      </c>
      <c r="F52" s="562" t="s">
        <v>3916</v>
      </c>
      <c r="G52" s="1482"/>
    </row>
    <row r="53" spans="2:7" ht="15" customHeight="1">
      <c r="B53" s="278">
        <v>21</v>
      </c>
      <c r="C53" s="278" t="s">
        <v>462</v>
      </c>
      <c r="D53" s="278" t="s">
        <v>694</v>
      </c>
      <c r="E53" s="415">
        <v>139000</v>
      </c>
      <c r="F53" s="562" t="s">
        <v>3916</v>
      </c>
      <c r="G53" s="1480" t="s">
        <v>3918</v>
      </c>
    </row>
    <row r="54" spans="2:7">
      <c r="B54" s="278">
        <v>21</v>
      </c>
      <c r="C54" s="278" t="s">
        <v>462</v>
      </c>
      <c r="D54" s="278" t="s">
        <v>695</v>
      </c>
      <c r="E54" s="415">
        <v>2800</v>
      </c>
      <c r="F54" s="562" t="s">
        <v>3916</v>
      </c>
      <c r="G54" s="1481"/>
    </row>
    <row r="55" spans="2:7">
      <c r="B55" s="278">
        <v>21</v>
      </c>
      <c r="C55" s="278" t="s">
        <v>462</v>
      </c>
      <c r="D55" s="278" t="s">
        <v>696</v>
      </c>
      <c r="E55" s="415">
        <v>10000</v>
      </c>
      <c r="F55" s="562" t="s">
        <v>3916</v>
      </c>
      <c r="G55" s="1481"/>
    </row>
    <row r="56" spans="2:7">
      <c r="B56" s="278">
        <v>21</v>
      </c>
      <c r="C56" s="278" t="s">
        <v>462</v>
      </c>
      <c r="D56" s="278" t="s">
        <v>697</v>
      </c>
      <c r="E56" s="415">
        <v>520</v>
      </c>
      <c r="F56" s="562" t="s">
        <v>3916</v>
      </c>
      <c r="G56" s="1481"/>
    </row>
    <row r="57" spans="2:7">
      <c r="B57" s="278">
        <v>21</v>
      </c>
      <c r="C57" s="278" t="s">
        <v>462</v>
      </c>
      <c r="D57" s="278" t="s">
        <v>698</v>
      </c>
      <c r="E57" s="415">
        <v>4800</v>
      </c>
      <c r="F57" s="562" t="s">
        <v>3916</v>
      </c>
      <c r="G57" s="1481"/>
    </row>
    <row r="58" spans="2:7">
      <c r="B58" s="278">
        <v>21</v>
      </c>
      <c r="C58" s="278" t="s">
        <v>462</v>
      </c>
      <c r="D58" s="278" t="s">
        <v>699</v>
      </c>
      <c r="E58" s="415">
        <v>9800</v>
      </c>
      <c r="F58" s="562" t="s">
        <v>3916</v>
      </c>
      <c r="G58" s="1481"/>
    </row>
    <row r="59" spans="2:7">
      <c r="B59" s="278">
        <v>21</v>
      </c>
      <c r="C59" s="278" t="s">
        <v>462</v>
      </c>
      <c r="D59" s="278" t="s">
        <v>700</v>
      </c>
      <c r="E59" s="415">
        <v>490</v>
      </c>
      <c r="F59" s="562" t="s">
        <v>3916</v>
      </c>
      <c r="G59" s="1482"/>
    </row>
    <row r="60" spans="2:7" ht="15" customHeight="1">
      <c r="B60" s="278">
        <v>21</v>
      </c>
      <c r="C60" s="278" t="s">
        <v>466</v>
      </c>
      <c r="D60" s="278" t="s">
        <v>694</v>
      </c>
      <c r="E60" s="415">
        <v>1881000</v>
      </c>
      <c r="F60" s="562" t="s">
        <v>3916</v>
      </c>
      <c r="G60" s="1480" t="s">
        <v>3919</v>
      </c>
    </row>
    <row r="61" spans="2:7">
      <c r="B61" s="278">
        <v>21</v>
      </c>
      <c r="C61" s="278" t="s">
        <v>466</v>
      </c>
      <c r="D61" s="278" t="s">
        <v>695</v>
      </c>
      <c r="E61" s="415">
        <v>7000</v>
      </c>
      <c r="F61" s="562" t="s">
        <v>3916</v>
      </c>
      <c r="G61" s="1481"/>
    </row>
    <row r="62" spans="2:7">
      <c r="B62" s="278">
        <v>21</v>
      </c>
      <c r="C62" s="278" t="s">
        <v>466</v>
      </c>
      <c r="D62" s="278" t="s">
        <v>696</v>
      </c>
      <c r="E62" s="415">
        <v>28200</v>
      </c>
      <c r="F62" s="562" t="s">
        <v>3916</v>
      </c>
      <c r="G62" s="1481"/>
    </row>
    <row r="63" spans="2:7" ht="15" customHeight="1">
      <c r="B63" s="278">
        <v>21</v>
      </c>
      <c r="C63" s="278" t="s">
        <v>466</v>
      </c>
      <c r="D63" s="278" t="s">
        <v>697</v>
      </c>
      <c r="E63" s="415">
        <v>470</v>
      </c>
      <c r="F63" s="562" t="s">
        <v>3916</v>
      </c>
      <c r="G63" s="1481"/>
    </row>
    <row r="64" spans="2:7">
      <c r="B64" s="278">
        <v>21</v>
      </c>
      <c r="C64" s="278" t="s">
        <v>466</v>
      </c>
      <c r="D64" s="278" t="s">
        <v>698</v>
      </c>
      <c r="E64" s="415">
        <v>12300</v>
      </c>
      <c r="F64" s="562" t="s">
        <v>3916</v>
      </c>
      <c r="G64" s="1481"/>
    </row>
    <row r="65" spans="1:10">
      <c r="B65" s="278">
        <v>21</v>
      </c>
      <c r="C65" s="278" t="s">
        <v>466</v>
      </c>
      <c r="D65" s="278" t="s">
        <v>699</v>
      </c>
      <c r="E65" s="415">
        <v>25700</v>
      </c>
      <c r="F65" s="562" t="s">
        <v>3916</v>
      </c>
      <c r="G65" s="1481"/>
    </row>
    <row r="66" spans="1:10">
      <c r="B66" s="278">
        <v>21</v>
      </c>
      <c r="C66" s="278" t="s">
        <v>466</v>
      </c>
      <c r="D66" s="278" t="s">
        <v>700</v>
      </c>
      <c r="E66" s="415">
        <v>570</v>
      </c>
      <c r="F66" s="562" t="s">
        <v>3916</v>
      </c>
      <c r="G66" s="1482"/>
    </row>
    <row r="68" spans="1:10">
      <c r="A68" s="727"/>
      <c r="B68" s="728" t="s">
        <v>901</v>
      </c>
      <c r="C68" s="727"/>
      <c r="D68" s="727"/>
      <c r="E68" s="727"/>
      <c r="F68" s="727"/>
      <c r="G68" s="727"/>
      <c r="H68" s="727"/>
    </row>
    <row r="69" spans="1:10" ht="29.1">
      <c r="B69" s="277" t="s">
        <v>902</v>
      </c>
      <c r="C69" s="277" t="s">
        <v>898</v>
      </c>
      <c r="D69" s="277" t="s">
        <v>899</v>
      </c>
      <c r="E69" s="298" t="s">
        <v>903</v>
      </c>
      <c r="F69" s="277" t="s">
        <v>904</v>
      </c>
      <c r="G69" s="277" t="s">
        <v>905</v>
      </c>
      <c r="H69" s="277" t="s">
        <v>924</v>
      </c>
      <c r="I69" s="233" t="s">
        <v>956</v>
      </c>
      <c r="J69" s="233" t="s">
        <v>927</v>
      </c>
    </row>
    <row r="70" spans="1:10">
      <c r="B70" s="281" t="s">
        <v>692</v>
      </c>
      <c r="C70" s="278" t="s">
        <v>448</v>
      </c>
      <c r="D70" s="299" t="str">
        <f>$C$25</f>
        <v>Cost to employer/water company as a result of reduced productivity</v>
      </c>
      <c r="E70" s="299" t="s">
        <v>906</v>
      </c>
      <c r="F70" s="279" t="s">
        <v>907</v>
      </c>
      <c r="G70" s="300" t="s">
        <v>990</v>
      </c>
      <c r="H70" s="1120">
        <f>$D$42</f>
        <v>3</v>
      </c>
      <c r="I70" s="1191" t="s">
        <v>1343</v>
      </c>
      <c r="J70" s="1109" t="s">
        <v>3920</v>
      </c>
    </row>
    <row r="71" spans="1:10">
      <c r="B71" s="281" t="s">
        <v>701</v>
      </c>
      <c r="C71" s="278" t="s">
        <v>448</v>
      </c>
      <c r="D71" s="299" t="str">
        <f t="shared" ref="D71:D78" si="0">$C$25</f>
        <v>Cost to employer/water company as a result of reduced productivity</v>
      </c>
      <c r="E71" s="299" t="s">
        <v>906</v>
      </c>
      <c r="F71" s="279" t="s">
        <v>907</v>
      </c>
      <c r="G71" s="300" t="s">
        <v>990</v>
      </c>
      <c r="H71" s="1121"/>
      <c r="I71" s="1192"/>
      <c r="J71" s="1110"/>
    </row>
    <row r="72" spans="1:10">
      <c r="B72" s="278" t="s">
        <v>694</v>
      </c>
      <c r="C72" s="278" t="s">
        <v>448</v>
      </c>
      <c r="D72" s="299" t="str">
        <f t="shared" si="0"/>
        <v>Cost to employer/water company as a result of reduced productivity</v>
      </c>
      <c r="E72" s="299" t="str">
        <f t="shared" ref="E72:E92" si="1">$B$29</f>
        <v>Value Option 1</v>
      </c>
      <c r="F72" s="278" t="str" cm="1">
        <f t="array" ref="F72">_xlfn.XLOOKUP(1,(D96:D116=B72)*(E96:E116=C72),B96:B116,"Not found",0,1)</f>
        <v>44-1</v>
      </c>
      <c r="G72" s="300">
        <f>VLOOKUP(F72,B96:L117,11,FALSE)</f>
        <v>119200</v>
      </c>
      <c r="H72" s="1121"/>
      <c r="I72" s="1192"/>
      <c r="J72" s="1110"/>
    </row>
    <row r="73" spans="1:10">
      <c r="B73" s="278" t="s">
        <v>695</v>
      </c>
      <c r="C73" s="278" t="s">
        <v>448</v>
      </c>
      <c r="D73" s="299" t="str">
        <f t="shared" si="0"/>
        <v>Cost to employer/water company as a result of reduced productivity</v>
      </c>
      <c r="E73" s="299" t="str">
        <f t="shared" si="1"/>
        <v>Value Option 1</v>
      </c>
      <c r="F73" s="278" t="str" cm="1">
        <f t="array" ref="F73">_xlfn.XLOOKUP(1,(D96:D117=B73)*(E96:E117=C73),B96:B117,"Not found",0,1)</f>
        <v>44-2</v>
      </c>
      <c r="G73" s="300">
        <f>VLOOKUP(F73,B96:L118,11,FALSE)</f>
        <v>1900</v>
      </c>
      <c r="H73" s="1121"/>
      <c r="I73" s="1192"/>
      <c r="J73" s="1110"/>
    </row>
    <row r="74" spans="1:10">
      <c r="B74" s="278" t="s">
        <v>696</v>
      </c>
      <c r="C74" s="278" t="s">
        <v>448</v>
      </c>
      <c r="D74" s="299" t="str">
        <f t="shared" si="0"/>
        <v>Cost to employer/water company as a result of reduced productivity</v>
      </c>
      <c r="E74" s="299" t="str">
        <f t="shared" si="1"/>
        <v>Value Option 1</v>
      </c>
      <c r="F74" s="278" t="str" cm="1">
        <f t="array" ref="F74">_xlfn.XLOOKUP(1,(D97:D118=B74)*(E97:E118=C74),B97:B118,"Not found",0,1)</f>
        <v>44-3</v>
      </c>
      <c r="G74" s="300">
        <f>VLOOKUP(F74,B97:L135,11,FALSE)</f>
        <v>7800</v>
      </c>
      <c r="H74" s="1121"/>
      <c r="I74" s="1192"/>
      <c r="J74" s="1110"/>
    </row>
    <row r="75" spans="1:10">
      <c r="B75" s="278" t="s">
        <v>697</v>
      </c>
      <c r="C75" s="278" t="s">
        <v>448</v>
      </c>
      <c r="D75" s="299" t="str">
        <f t="shared" si="0"/>
        <v>Cost to employer/water company as a result of reduced productivity</v>
      </c>
      <c r="E75" s="299" t="str">
        <f t="shared" si="1"/>
        <v>Value Option 1</v>
      </c>
      <c r="F75" s="278" t="str" cm="1">
        <f t="array" ref="F75">_xlfn.XLOOKUP(1,(D98:D135=B75)*(E98:E135=C75),B98:B135,"Not found",0,1)</f>
        <v>44-4</v>
      </c>
      <c r="G75" s="300">
        <f>VLOOKUP(F75,B98:L136,11,FALSE)</f>
        <v>120</v>
      </c>
      <c r="H75" s="1121"/>
      <c r="I75" s="1192"/>
      <c r="J75" s="1110"/>
    </row>
    <row r="76" spans="1:10">
      <c r="B76" s="278" t="s">
        <v>698</v>
      </c>
      <c r="C76" s="278" t="s">
        <v>448</v>
      </c>
      <c r="D76" s="299" t="str">
        <f t="shared" si="0"/>
        <v>Cost to employer/water company as a result of reduced productivity</v>
      </c>
      <c r="E76" s="299" t="str">
        <f t="shared" si="1"/>
        <v>Value Option 1</v>
      </c>
      <c r="F76" s="278" t="str" cm="1">
        <f t="array" ref="F76">_xlfn.XLOOKUP(1,(D99:D136=B76)*(E99:E136=C76),B99:B136,"Not found",0,1)</f>
        <v>44-5</v>
      </c>
      <c r="G76" s="300">
        <f>VLOOKUP(F76,B99:L137,11,FALSE)</f>
        <v>4400</v>
      </c>
      <c r="H76" s="1121"/>
      <c r="I76" s="1192"/>
      <c r="J76" s="1110"/>
    </row>
    <row r="77" spans="1:10">
      <c r="B77" s="278" t="s">
        <v>699</v>
      </c>
      <c r="C77" s="278" t="s">
        <v>448</v>
      </c>
      <c r="D77" s="299" t="str">
        <f t="shared" si="0"/>
        <v>Cost to employer/water company as a result of reduced productivity</v>
      </c>
      <c r="E77" s="299" t="str">
        <f t="shared" si="1"/>
        <v>Value Option 1</v>
      </c>
      <c r="F77" s="278" t="str" cm="1">
        <f t="array" ref="F77">_xlfn.XLOOKUP(1,(D100:D137=B77)*(E100:E137=C77),B100:B137,"Not found",0,1)</f>
        <v>44-6</v>
      </c>
      <c r="G77" s="300">
        <f>VLOOKUP(F77,B100:L138,11,FALSE)</f>
        <v>9200</v>
      </c>
      <c r="H77" s="1121"/>
      <c r="I77" s="1192"/>
      <c r="J77" s="1110"/>
    </row>
    <row r="78" spans="1:10">
      <c r="B78" s="278" t="s">
        <v>700</v>
      </c>
      <c r="C78" s="278" t="s">
        <v>448</v>
      </c>
      <c r="D78" s="299" t="str">
        <f t="shared" si="0"/>
        <v>Cost to employer/water company as a result of reduced productivity</v>
      </c>
      <c r="E78" s="299" t="str">
        <f t="shared" si="1"/>
        <v>Value Option 1</v>
      </c>
      <c r="F78" s="278" t="str" cm="1">
        <f t="array" ref="F78">_xlfn.XLOOKUP(1,(D101:D138=B78)*(E101:E138=C78),B101:B138,"Not found",0,1)</f>
        <v>44-7</v>
      </c>
      <c r="G78" s="300">
        <f>VLOOKUP(F78,B101:L139,11,FALSE)</f>
        <v>170</v>
      </c>
      <c r="H78" s="1121"/>
      <c r="I78" s="1192"/>
      <c r="J78" s="1110"/>
    </row>
    <row r="79" spans="1:10">
      <c r="B79" s="278" t="s">
        <v>694</v>
      </c>
      <c r="C79" s="278" t="s">
        <v>462</v>
      </c>
      <c r="D79" s="299" t="str">
        <f>$C$26</f>
        <v>Cost to government as a result of increased health and social care costs</v>
      </c>
      <c r="E79" s="299" t="str">
        <f t="shared" si="1"/>
        <v>Value Option 1</v>
      </c>
      <c r="F79" s="278" t="str" cm="1">
        <f t="array" ref="F79">_xlfn.XLOOKUP(1,(D103:D140=B79)*(E103:E140=C79),B103:B140,"Not found",0,1)</f>
        <v>44-8</v>
      </c>
      <c r="G79" s="300">
        <f>VLOOKUP(F79,B103:L141,11,FALSE)</f>
        <v>139000</v>
      </c>
      <c r="H79" s="1121"/>
      <c r="I79" s="1192"/>
      <c r="J79" s="1110"/>
    </row>
    <row r="80" spans="1:10">
      <c r="B80" s="278" t="s">
        <v>695</v>
      </c>
      <c r="C80" s="278" t="s">
        <v>462</v>
      </c>
      <c r="D80" s="299" t="str">
        <f t="shared" ref="D80:D85" si="2">$C$26</f>
        <v>Cost to government as a result of increased health and social care costs</v>
      </c>
      <c r="E80" s="299" t="str">
        <f t="shared" si="1"/>
        <v>Value Option 1</v>
      </c>
      <c r="F80" s="278" t="str" cm="1">
        <f t="array" ref="F80">_xlfn.XLOOKUP(1,(D103:D141=B80)*(E103:E141=C80),B103:B141,"Not found",0,1)</f>
        <v>44-9</v>
      </c>
      <c r="G80" s="300">
        <f t="shared" ref="G80:G92" si="3">VLOOKUP(F80,B103:L142,11,FALSE)</f>
        <v>2800</v>
      </c>
      <c r="H80" s="1121"/>
      <c r="I80" s="1192"/>
      <c r="J80" s="1110"/>
    </row>
    <row r="81" spans="1:23">
      <c r="B81" s="278" t="s">
        <v>696</v>
      </c>
      <c r="C81" s="278" t="s">
        <v>462</v>
      </c>
      <c r="D81" s="299" t="str">
        <f t="shared" si="2"/>
        <v>Cost to government as a result of increased health and social care costs</v>
      </c>
      <c r="E81" s="299" t="str">
        <f t="shared" si="1"/>
        <v>Value Option 1</v>
      </c>
      <c r="F81" s="278" t="str" cm="1">
        <f t="array" ref="F81">_xlfn.XLOOKUP(1,(D104:D142=B81)*(E104:E142=C81),B104:B142,"Not found",0,1)</f>
        <v>44-10</v>
      </c>
      <c r="G81" s="300">
        <f t="shared" si="3"/>
        <v>10000</v>
      </c>
      <c r="H81" s="1121"/>
      <c r="I81" s="1192"/>
      <c r="J81" s="1110"/>
    </row>
    <row r="82" spans="1:23">
      <c r="B82" s="278" t="s">
        <v>697</v>
      </c>
      <c r="C82" s="278" t="s">
        <v>462</v>
      </c>
      <c r="D82" s="299" t="str">
        <f t="shared" si="2"/>
        <v>Cost to government as a result of increased health and social care costs</v>
      </c>
      <c r="E82" s="299" t="str">
        <f t="shared" si="1"/>
        <v>Value Option 1</v>
      </c>
      <c r="F82" s="278" t="str" cm="1">
        <f t="array" ref="F82">_xlfn.XLOOKUP(1,(D105:D143=B82)*(E105:E143=C82),B105:B143,"Not found",0,1)</f>
        <v>44-11</v>
      </c>
      <c r="G82" s="300">
        <f t="shared" si="3"/>
        <v>520</v>
      </c>
      <c r="H82" s="1121"/>
      <c r="I82" s="1192"/>
      <c r="J82" s="1110"/>
    </row>
    <row r="83" spans="1:23">
      <c r="B83" s="278" t="s">
        <v>698</v>
      </c>
      <c r="C83" s="278" t="s">
        <v>462</v>
      </c>
      <c r="D83" s="299" t="str">
        <f t="shared" si="2"/>
        <v>Cost to government as a result of increased health and social care costs</v>
      </c>
      <c r="E83" s="299" t="str">
        <f t="shared" si="1"/>
        <v>Value Option 1</v>
      </c>
      <c r="F83" s="278" t="str" cm="1">
        <f t="array" ref="F83">_xlfn.XLOOKUP(1,(D106:D144=B83)*(E106:E144=C83),B106:B144,"Not found",0,1)</f>
        <v>44-12</v>
      </c>
      <c r="G83" s="300">
        <f t="shared" si="3"/>
        <v>4800</v>
      </c>
      <c r="H83" s="1121"/>
      <c r="I83" s="1192"/>
      <c r="J83" s="1110"/>
    </row>
    <row r="84" spans="1:23">
      <c r="B84" s="278" t="s">
        <v>699</v>
      </c>
      <c r="C84" s="278" t="s">
        <v>462</v>
      </c>
      <c r="D84" s="299" t="str">
        <f t="shared" si="2"/>
        <v>Cost to government as a result of increased health and social care costs</v>
      </c>
      <c r="E84" s="299" t="str">
        <f t="shared" si="1"/>
        <v>Value Option 1</v>
      </c>
      <c r="F84" s="278" t="str" cm="1">
        <f t="array" ref="F84">_xlfn.XLOOKUP(1,(D107:D145=B84)*(E107:E145=C84),B107:B145,"Not found",0,1)</f>
        <v>44-13</v>
      </c>
      <c r="G84" s="300">
        <f t="shared" si="3"/>
        <v>9800</v>
      </c>
      <c r="H84" s="1121"/>
      <c r="I84" s="1192"/>
      <c r="J84" s="1110"/>
    </row>
    <row r="85" spans="1:23">
      <c r="B85" s="278" t="s">
        <v>700</v>
      </c>
      <c r="C85" s="278" t="s">
        <v>462</v>
      </c>
      <c r="D85" s="299" t="str">
        <f t="shared" si="2"/>
        <v>Cost to government as a result of increased health and social care costs</v>
      </c>
      <c r="E85" s="299" t="str">
        <f t="shared" si="1"/>
        <v>Value Option 1</v>
      </c>
      <c r="F85" s="278" t="str" cm="1">
        <f t="array" ref="F85">_xlfn.XLOOKUP(1,(D108:D146=B85)*(E108:E146=C85),B108:B146,"Not found",0,1)</f>
        <v>44-14</v>
      </c>
      <c r="G85" s="300">
        <f t="shared" si="3"/>
        <v>490</v>
      </c>
      <c r="H85" s="1121"/>
      <c r="I85" s="1192"/>
      <c r="J85" s="1110"/>
    </row>
    <row r="86" spans="1:23">
      <c r="B86" s="278" t="s">
        <v>694</v>
      </c>
      <c r="C86" s="278" t="s">
        <v>466</v>
      </c>
      <c r="D86" s="299" t="str">
        <f>$C$27</f>
        <v>Costs to the individual to represent the loss of life or quality of life</v>
      </c>
      <c r="E86" s="299" t="str">
        <f t="shared" si="1"/>
        <v>Value Option 1</v>
      </c>
      <c r="F86" s="278" t="str" cm="1">
        <f t="array" ref="F86">_xlfn.XLOOKUP(1,(D109:D147=B86)*(E109:E147=C86),B109:B147,"Not found",0,1)</f>
        <v>44-15</v>
      </c>
      <c r="G86" s="300">
        <f t="shared" si="3"/>
        <v>1881000</v>
      </c>
      <c r="H86" s="1121"/>
      <c r="I86" s="1192"/>
      <c r="J86" s="1110"/>
    </row>
    <row r="87" spans="1:23">
      <c r="B87" s="278" t="s">
        <v>695</v>
      </c>
      <c r="C87" s="278" t="s">
        <v>466</v>
      </c>
      <c r="D87" s="299" t="str">
        <f t="shared" ref="D87:D92" si="4">$C$27</f>
        <v>Costs to the individual to represent the loss of life or quality of life</v>
      </c>
      <c r="E87" s="299" t="str">
        <f t="shared" si="1"/>
        <v>Value Option 1</v>
      </c>
      <c r="F87" s="278" t="str" cm="1">
        <f t="array" ref="F87">_xlfn.XLOOKUP(1,(D110:D148=B87)*(E110:E148=C87),B110:B148,"Not found",0,1)</f>
        <v>44-16</v>
      </c>
      <c r="G87" s="300">
        <f t="shared" si="3"/>
        <v>7000</v>
      </c>
      <c r="H87" s="1121"/>
      <c r="I87" s="1192"/>
      <c r="J87" s="1110"/>
    </row>
    <row r="88" spans="1:23">
      <c r="B88" s="278" t="s">
        <v>696</v>
      </c>
      <c r="C88" s="278" t="s">
        <v>466</v>
      </c>
      <c r="D88" s="299" t="str">
        <f t="shared" si="4"/>
        <v>Costs to the individual to represent the loss of life or quality of life</v>
      </c>
      <c r="E88" s="299" t="str">
        <f t="shared" si="1"/>
        <v>Value Option 1</v>
      </c>
      <c r="F88" s="278" t="str" cm="1">
        <f t="array" ref="F88">_xlfn.XLOOKUP(1,(D111:D149=B88)*(E111:E149=C88),B111:B149,"Not found",0,1)</f>
        <v>44-17</v>
      </c>
      <c r="G88" s="300">
        <f t="shared" si="3"/>
        <v>28200</v>
      </c>
      <c r="H88" s="1121"/>
      <c r="I88" s="1192"/>
      <c r="J88" s="1110"/>
    </row>
    <row r="89" spans="1:23">
      <c r="B89" s="278" t="s">
        <v>697</v>
      </c>
      <c r="C89" s="278" t="s">
        <v>466</v>
      </c>
      <c r="D89" s="299" t="str">
        <f t="shared" si="4"/>
        <v>Costs to the individual to represent the loss of life or quality of life</v>
      </c>
      <c r="E89" s="299" t="str">
        <f t="shared" si="1"/>
        <v>Value Option 1</v>
      </c>
      <c r="F89" s="278" t="str" cm="1">
        <f t="array" ref="F89">_xlfn.XLOOKUP(1,(D112:D150=B89)*(E112:E150=C89),B112:B150,"Not found",0,1)</f>
        <v>44-18</v>
      </c>
      <c r="G89" s="300">
        <f t="shared" si="3"/>
        <v>470</v>
      </c>
      <c r="H89" s="1121"/>
      <c r="I89" s="1192"/>
      <c r="J89" s="1110"/>
    </row>
    <row r="90" spans="1:23">
      <c r="B90" s="278" t="s">
        <v>698</v>
      </c>
      <c r="C90" s="278" t="s">
        <v>466</v>
      </c>
      <c r="D90" s="299" t="str">
        <f t="shared" si="4"/>
        <v>Costs to the individual to represent the loss of life or quality of life</v>
      </c>
      <c r="E90" s="299" t="str">
        <f t="shared" si="1"/>
        <v>Value Option 1</v>
      </c>
      <c r="F90" s="278" t="str" cm="1">
        <f t="array" ref="F90">_xlfn.XLOOKUP(1,(D113:D151=B90)*(E113:E151=C90),B113:B151,"Not found",0,1)</f>
        <v>44-19</v>
      </c>
      <c r="G90" s="300">
        <f t="shared" si="3"/>
        <v>12300</v>
      </c>
      <c r="H90" s="1121"/>
      <c r="I90" s="1192"/>
      <c r="J90" s="1110"/>
    </row>
    <row r="91" spans="1:23">
      <c r="B91" s="278" t="s">
        <v>699</v>
      </c>
      <c r="C91" s="278" t="s">
        <v>466</v>
      </c>
      <c r="D91" s="299" t="str">
        <f t="shared" si="4"/>
        <v>Costs to the individual to represent the loss of life or quality of life</v>
      </c>
      <c r="E91" s="299" t="str">
        <f t="shared" si="1"/>
        <v>Value Option 1</v>
      </c>
      <c r="F91" s="278" t="str" cm="1">
        <f t="array" ref="F91">_xlfn.XLOOKUP(1,(D114:D152=B91)*(E114:E152=C91),B114:B152,"Not found",0,1)</f>
        <v>44-20</v>
      </c>
      <c r="G91" s="300">
        <f t="shared" si="3"/>
        <v>25700</v>
      </c>
      <c r="H91" s="1121"/>
      <c r="I91" s="1192"/>
      <c r="J91" s="1110"/>
    </row>
    <row r="92" spans="1:23">
      <c r="B92" s="278" t="s">
        <v>700</v>
      </c>
      <c r="C92" s="278" t="s">
        <v>466</v>
      </c>
      <c r="D92" s="299" t="str">
        <f t="shared" si="4"/>
        <v>Costs to the individual to represent the loss of life or quality of life</v>
      </c>
      <c r="E92" s="299" t="str">
        <f t="shared" si="1"/>
        <v>Value Option 1</v>
      </c>
      <c r="F92" s="278" t="str" cm="1">
        <f t="array" ref="F92">_xlfn.XLOOKUP(1,(D115:D153=B92)*(E115:E153=C92),B115:B153,"Not found",0,1)</f>
        <v>44-21</v>
      </c>
      <c r="G92" s="300">
        <f t="shared" si="3"/>
        <v>570</v>
      </c>
      <c r="H92" s="1122"/>
      <c r="I92" s="1193"/>
      <c r="J92" s="1111"/>
    </row>
    <row r="93" spans="1:23">
      <c r="B93" s="18"/>
    </row>
    <row r="94" spans="1:23">
      <c r="A94" s="725"/>
      <c r="B94" s="726" t="s">
        <v>962</v>
      </c>
      <c r="C94" s="725"/>
      <c r="D94" s="725"/>
      <c r="E94" s="725"/>
      <c r="F94" s="725"/>
      <c r="G94" s="725"/>
      <c r="H94" s="725"/>
    </row>
    <row r="95" spans="1:23">
      <c r="B95" s="277" t="s">
        <v>904</v>
      </c>
      <c r="C95" s="277" t="s">
        <v>62</v>
      </c>
      <c r="D95" s="277" t="s">
        <v>902</v>
      </c>
      <c r="E95" s="277" t="s">
        <v>898</v>
      </c>
      <c r="F95" s="277" t="s">
        <v>916</v>
      </c>
      <c r="G95" s="277" t="s">
        <v>963</v>
      </c>
      <c r="H95" s="277" t="s">
        <v>964</v>
      </c>
      <c r="I95" s="277" t="s">
        <v>965</v>
      </c>
      <c r="J95" s="277" t="s">
        <v>966</v>
      </c>
      <c r="K95" s="277" t="s">
        <v>967</v>
      </c>
      <c r="L95" s="277" t="s">
        <v>968</v>
      </c>
      <c r="M95" s="277" t="s">
        <v>956</v>
      </c>
      <c r="N95" s="277" t="s">
        <v>969</v>
      </c>
      <c r="O95" s="277" t="s">
        <v>970</v>
      </c>
      <c r="P95" s="277" t="s">
        <v>927</v>
      </c>
      <c r="Q95" s="277" t="s">
        <v>913</v>
      </c>
      <c r="R95" s="277" t="s">
        <v>914</v>
      </c>
      <c r="S95" s="277" t="s">
        <v>915</v>
      </c>
      <c r="T95" s="277" t="s">
        <v>916</v>
      </c>
      <c r="U95" s="277" t="s">
        <v>917</v>
      </c>
      <c r="V95" s="277" t="s">
        <v>918</v>
      </c>
      <c r="W95" s="277" t="s">
        <v>919</v>
      </c>
    </row>
    <row r="96" spans="1:23">
      <c r="B96" s="302" t="s">
        <v>3921</v>
      </c>
      <c r="C96" s="279" t="s">
        <v>806</v>
      </c>
      <c r="D96" s="278" t="s">
        <v>694</v>
      </c>
      <c r="E96" s="278" t="s">
        <v>448</v>
      </c>
      <c r="F96" s="299">
        <f t="shared" ref="F96:F116" si="5">$E$32</f>
        <v>2023</v>
      </c>
      <c r="G96" s="278">
        <v>2023</v>
      </c>
      <c r="H96" s="278">
        <f>'COMPANY INPUT'!$C$16</f>
        <v>2023</v>
      </c>
      <c r="I96" s="278">
        <f>VLOOKUP(G96,'GDP Deflators'!$H$13:$I$86,2,FALSE)</f>
        <v>100</v>
      </c>
      <c r="J96" s="278">
        <f>VLOOKUP(H96,'GDP Deflators'!$H$13:$I$86,2,FALSE)</f>
        <v>100</v>
      </c>
      <c r="K96" s="385">
        <f t="shared" ref="K96:K103" si="6">E46</f>
        <v>119200</v>
      </c>
      <c r="L96" s="807">
        <f t="shared" ref="L96:L102" si="7">K96*(J96/I96)</f>
        <v>119200</v>
      </c>
      <c r="M96" s="278" t="str">
        <f t="shared" ref="M96:M116" si="8">$I$70</f>
        <v>Avoided cost</v>
      </c>
      <c r="N96" s="326">
        <f t="shared" ref="N96:N116" si="9">$D$42</f>
        <v>3</v>
      </c>
      <c r="O96" s="278" t="s">
        <v>718</v>
      </c>
      <c r="P96" s="278" t="str">
        <f t="shared" ref="P96:P116" si="10">$J$70</f>
        <v>Reputable source and UK context</v>
      </c>
      <c r="Q96" s="299">
        <f t="shared" ref="Q96:Q116" si="11">$B$32</f>
        <v>21</v>
      </c>
      <c r="R96" s="278" t="str">
        <f t="shared" ref="R96:R116" si="12">$C$32</f>
        <v>HSE (2023) Appraisal values or 'unit costs'</v>
      </c>
      <c r="S96" s="278" t="str">
        <f t="shared" ref="S96:S116" si="13">$D$32</f>
        <v>B£ST</v>
      </c>
      <c r="T96" s="278">
        <f t="shared" ref="T96:T116" si="14">$E$32</f>
        <v>2023</v>
      </c>
      <c r="U96" s="278" t="str">
        <f t="shared" ref="U96:U116" si="15">$F$32</f>
        <v>Britain</v>
      </c>
      <c r="V96" s="278" t="str">
        <f t="shared" ref="V96:V116" si="16">$G$32</f>
        <v>UK average</v>
      </c>
      <c r="W96" s="415">
        <f t="shared" ref="W96:W116" si="17">$H$32</f>
        <v>581132</v>
      </c>
    </row>
    <row r="97" spans="2:23">
      <c r="B97" s="302" t="s">
        <v>3922</v>
      </c>
      <c r="C97" s="279" t="s">
        <v>806</v>
      </c>
      <c r="D97" s="278" t="s">
        <v>695</v>
      </c>
      <c r="E97" s="278" t="s">
        <v>448</v>
      </c>
      <c r="F97" s="299">
        <f t="shared" si="5"/>
        <v>2023</v>
      </c>
      <c r="G97" s="278">
        <v>2023</v>
      </c>
      <c r="H97" s="278">
        <f>'COMPANY INPUT'!$C$16</f>
        <v>2023</v>
      </c>
      <c r="I97" s="278">
        <f>VLOOKUP(G97,'GDP Deflators'!$H$13:$I$86,2,FALSE)</f>
        <v>100</v>
      </c>
      <c r="J97" s="278">
        <f>VLOOKUP(H97,'GDP Deflators'!$H$13:$I$86,2,FALSE)</f>
        <v>100</v>
      </c>
      <c r="K97" s="385">
        <f t="shared" si="6"/>
        <v>1900</v>
      </c>
      <c r="L97" s="807">
        <f t="shared" si="7"/>
        <v>1900</v>
      </c>
      <c r="M97" s="278" t="str">
        <f t="shared" si="8"/>
        <v>Avoided cost</v>
      </c>
      <c r="N97" s="326">
        <f t="shared" si="9"/>
        <v>3</v>
      </c>
      <c r="O97" s="278" t="s">
        <v>718</v>
      </c>
      <c r="P97" s="278" t="str">
        <f t="shared" si="10"/>
        <v>Reputable source and UK context</v>
      </c>
      <c r="Q97" s="299">
        <f t="shared" si="11"/>
        <v>21</v>
      </c>
      <c r="R97" s="278" t="str">
        <f t="shared" si="12"/>
        <v>HSE (2023) Appraisal values or 'unit costs'</v>
      </c>
      <c r="S97" s="278" t="str">
        <f t="shared" si="13"/>
        <v>B£ST</v>
      </c>
      <c r="T97" s="278">
        <f t="shared" si="14"/>
        <v>2023</v>
      </c>
      <c r="U97" s="278" t="str">
        <f t="shared" si="15"/>
        <v>Britain</v>
      </c>
      <c r="V97" s="278" t="str">
        <f t="shared" si="16"/>
        <v>UK average</v>
      </c>
      <c r="W97" s="415">
        <f t="shared" si="17"/>
        <v>581132</v>
      </c>
    </row>
    <row r="98" spans="2:23">
      <c r="B98" s="302" t="s">
        <v>3923</v>
      </c>
      <c r="C98" s="279" t="s">
        <v>806</v>
      </c>
      <c r="D98" s="278" t="s">
        <v>696</v>
      </c>
      <c r="E98" s="278" t="s">
        <v>448</v>
      </c>
      <c r="F98" s="299">
        <f t="shared" si="5"/>
        <v>2023</v>
      </c>
      <c r="G98" s="278">
        <v>2023</v>
      </c>
      <c r="H98" s="278">
        <f>'COMPANY INPUT'!$C$16</f>
        <v>2023</v>
      </c>
      <c r="I98" s="278">
        <f>VLOOKUP(G98,'GDP Deflators'!$H$13:$I$86,2,FALSE)</f>
        <v>100</v>
      </c>
      <c r="J98" s="278">
        <f>VLOOKUP(H98,'GDP Deflators'!$H$13:$I$86,2,FALSE)</f>
        <v>100</v>
      </c>
      <c r="K98" s="385">
        <f t="shared" si="6"/>
        <v>7800</v>
      </c>
      <c r="L98" s="807">
        <f t="shared" si="7"/>
        <v>7800</v>
      </c>
      <c r="M98" s="278" t="str">
        <f t="shared" si="8"/>
        <v>Avoided cost</v>
      </c>
      <c r="N98" s="326">
        <f t="shared" si="9"/>
        <v>3</v>
      </c>
      <c r="O98" s="278" t="s">
        <v>718</v>
      </c>
      <c r="P98" s="278" t="str">
        <f t="shared" si="10"/>
        <v>Reputable source and UK context</v>
      </c>
      <c r="Q98" s="299">
        <f t="shared" si="11"/>
        <v>21</v>
      </c>
      <c r="R98" s="278" t="str">
        <f t="shared" si="12"/>
        <v>HSE (2023) Appraisal values or 'unit costs'</v>
      </c>
      <c r="S98" s="278" t="str">
        <f t="shared" si="13"/>
        <v>B£ST</v>
      </c>
      <c r="T98" s="278">
        <f t="shared" si="14"/>
        <v>2023</v>
      </c>
      <c r="U98" s="278" t="str">
        <f t="shared" si="15"/>
        <v>Britain</v>
      </c>
      <c r="V98" s="278" t="str">
        <f t="shared" si="16"/>
        <v>UK average</v>
      </c>
      <c r="W98" s="415">
        <f t="shared" si="17"/>
        <v>581132</v>
      </c>
    </row>
    <row r="99" spans="2:23">
      <c r="B99" s="302" t="s">
        <v>3924</v>
      </c>
      <c r="C99" s="279" t="s">
        <v>806</v>
      </c>
      <c r="D99" s="278" t="s">
        <v>697</v>
      </c>
      <c r="E99" s="278" t="s">
        <v>448</v>
      </c>
      <c r="F99" s="299">
        <f t="shared" si="5"/>
        <v>2023</v>
      </c>
      <c r="G99" s="278">
        <v>2023</v>
      </c>
      <c r="H99" s="278">
        <f>'COMPANY INPUT'!$C$16</f>
        <v>2023</v>
      </c>
      <c r="I99" s="278">
        <f>VLOOKUP(G99,'GDP Deflators'!$H$13:$I$86,2,FALSE)</f>
        <v>100</v>
      </c>
      <c r="J99" s="278">
        <f>VLOOKUP(H99,'GDP Deflators'!$H$13:$I$86,2,FALSE)</f>
        <v>100</v>
      </c>
      <c r="K99" s="385">
        <f t="shared" si="6"/>
        <v>120</v>
      </c>
      <c r="L99" s="807">
        <f t="shared" si="7"/>
        <v>120</v>
      </c>
      <c r="M99" s="278" t="str">
        <f t="shared" si="8"/>
        <v>Avoided cost</v>
      </c>
      <c r="N99" s="326">
        <f t="shared" si="9"/>
        <v>3</v>
      </c>
      <c r="O99" s="278" t="s">
        <v>718</v>
      </c>
      <c r="P99" s="278" t="str">
        <f t="shared" si="10"/>
        <v>Reputable source and UK context</v>
      </c>
      <c r="Q99" s="299">
        <f t="shared" si="11"/>
        <v>21</v>
      </c>
      <c r="R99" s="278" t="str">
        <f t="shared" si="12"/>
        <v>HSE (2023) Appraisal values or 'unit costs'</v>
      </c>
      <c r="S99" s="278" t="str">
        <f t="shared" si="13"/>
        <v>B£ST</v>
      </c>
      <c r="T99" s="278">
        <f t="shared" si="14"/>
        <v>2023</v>
      </c>
      <c r="U99" s="278" t="str">
        <f t="shared" si="15"/>
        <v>Britain</v>
      </c>
      <c r="V99" s="278" t="str">
        <f t="shared" si="16"/>
        <v>UK average</v>
      </c>
      <c r="W99" s="415">
        <f t="shared" si="17"/>
        <v>581132</v>
      </c>
    </row>
    <row r="100" spans="2:23">
      <c r="B100" s="302" t="s">
        <v>3925</v>
      </c>
      <c r="C100" s="279" t="s">
        <v>806</v>
      </c>
      <c r="D100" s="278" t="s">
        <v>698</v>
      </c>
      <c r="E100" s="278" t="s">
        <v>448</v>
      </c>
      <c r="F100" s="299">
        <f t="shared" si="5"/>
        <v>2023</v>
      </c>
      <c r="G100" s="278">
        <v>2023</v>
      </c>
      <c r="H100" s="278">
        <f>'COMPANY INPUT'!$C$16</f>
        <v>2023</v>
      </c>
      <c r="I100" s="278">
        <f>VLOOKUP(G100,'GDP Deflators'!$H$13:$I$86,2,FALSE)</f>
        <v>100</v>
      </c>
      <c r="J100" s="278">
        <f>VLOOKUP(H100,'GDP Deflators'!$H$13:$I$86,2,FALSE)</f>
        <v>100</v>
      </c>
      <c r="K100" s="385">
        <f t="shared" si="6"/>
        <v>4400</v>
      </c>
      <c r="L100" s="807">
        <f t="shared" si="7"/>
        <v>4400</v>
      </c>
      <c r="M100" s="278" t="str">
        <f t="shared" si="8"/>
        <v>Avoided cost</v>
      </c>
      <c r="N100" s="326">
        <f t="shared" si="9"/>
        <v>3</v>
      </c>
      <c r="O100" s="278" t="s">
        <v>718</v>
      </c>
      <c r="P100" s="278" t="str">
        <f t="shared" si="10"/>
        <v>Reputable source and UK context</v>
      </c>
      <c r="Q100" s="299">
        <f t="shared" si="11"/>
        <v>21</v>
      </c>
      <c r="R100" s="278" t="str">
        <f t="shared" si="12"/>
        <v>HSE (2023) Appraisal values or 'unit costs'</v>
      </c>
      <c r="S100" s="278" t="str">
        <f t="shared" si="13"/>
        <v>B£ST</v>
      </c>
      <c r="T100" s="278">
        <f t="shared" si="14"/>
        <v>2023</v>
      </c>
      <c r="U100" s="278" t="str">
        <f t="shared" si="15"/>
        <v>Britain</v>
      </c>
      <c r="V100" s="278" t="str">
        <f t="shared" si="16"/>
        <v>UK average</v>
      </c>
      <c r="W100" s="415">
        <f t="shared" si="17"/>
        <v>581132</v>
      </c>
    </row>
    <row r="101" spans="2:23">
      <c r="B101" s="302" t="s">
        <v>3926</v>
      </c>
      <c r="C101" s="279" t="s">
        <v>806</v>
      </c>
      <c r="D101" s="278" t="s">
        <v>699</v>
      </c>
      <c r="E101" s="278" t="s">
        <v>448</v>
      </c>
      <c r="F101" s="299">
        <f t="shared" si="5"/>
        <v>2023</v>
      </c>
      <c r="G101" s="278">
        <v>2023</v>
      </c>
      <c r="H101" s="278">
        <f>'COMPANY INPUT'!$C$16</f>
        <v>2023</v>
      </c>
      <c r="I101" s="278">
        <f>VLOOKUP(G101,'GDP Deflators'!$H$13:$I$86,2,FALSE)</f>
        <v>100</v>
      </c>
      <c r="J101" s="278">
        <f>VLOOKUP(H101,'GDP Deflators'!$H$13:$I$86,2,FALSE)</f>
        <v>100</v>
      </c>
      <c r="K101" s="385">
        <f t="shared" si="6"/>
        <v>9200</v>
      </c>
      <c r="L101" s="807">
        <f t="shared" si="7"/>
        <v>9200</v>
      </c>
      <c r="M101" s="278" t="str">
        <f t="shared" si="8"/>
        <v>Avoided cost</v>
      </c>
      <c r="N101" s="326">
        <f t="shared" si="9"/>
        <v>3</v>
      </c>
      <c r="O101" s="278" t="s">
        <v>718</v>
      </c>
      <c r="P101" s="278" t="str">
        <f t="shared" si="10"/>
        <v>Reputable source and UK context</v>
      </c>
      <c r="Q101" s="299">
        <f t="shared" si="11"/>
        <v>21</v>
      </c>
      <c r="R101" s="278" t="str">
        <f t="shared" si="12"/>
        <v>HSE (2023) Appraisal values or 'unit costs'</v>
      </c>
      <c r="S101" s="278" t="str">
        <f t="shared" si="13"/>
        <v>B£ST</v>
      </c>
      <c r="T101" s="278">
        <f t="shared" si="14"/>
        <v>2023</v>
      </c>
      <c r="U101" s="278" t="str">
        <f t="shared" si="15"/>
        <v>Britain</v>
      </c>
      <c r="V101" s="278" t="str">
        <f t="shared" si="16"/>
        <v>UK average</v>
      </c>
      <c r="W101" s="415">
        <f t="shared" si="17"/>
        <v>581132</v>
      </c>
    </row>
    <row r="102" spans="2:23">
      <c r="B102" s="302" t="s">
        <v>3927</v>
      </c>
      <c r="C102" s="279" t="s">
        <v>806</v>
      </c>
      <c r="D102" s="278" t="s">
        <v>700</v>
      </c>
      <c r="E102" s="278" t="s">
        <v>448</v>
      </c>
      <c r="F102" s="299">
        <f t="shared" si="5"/>
        <v>2023</v>
      </c>
      <c r="G102" s="278">
        <v>2023</v>
      </c>
      <c r="H102" s="278">
        <f>'COMPANY INPUT'!$C$16</f>
        <v>2023</v>
      </c>
      <c r="I102" s="278">
        <f>VLOOKUP(G102,'GDP Deflators'!$H$13:$I$86,2,FALSE)</f>
        <v>100</v>
      </c>
      <c r="J102" s="278">
        <f>VLOOKUP(H102,'GDP Deflators'!$H$13:$I$86,2,FALSE)</f>
        <v>100</v>
      </c>
      <c r="K102" s="385">
        <f t="shared" si="6"/>
        <v>170</v>
      </c>
      <c r="L102" s="807">
        <f t="shared" si="7"/>
        <v>170</v>
      </c>
      <c r="M102" s="278" t="str">
        <f t="shared" si="8"/>
        <v>Avoided cost</v>
      </c>
      <c r="N102" s="326">
        <f t="shared" si="9"/>
        <v>3</v>
      </c>
      <c r="O102" s="278" t="s">
        <v>718</v>
      </c>
      <c r="P102" s="278" t="str">
        <f t="shared" si="10"/>
        <v>Reputable source and UK context</v>
      </c>
      <c r="Q102" s="299">
        <f t="shared" si="11"/>
        <v>21</v>
      </c>
      <c r="R102" s="278" t="str">
        <f t="shared" si="12"/>
        <v>HSE (2023) Appraisal values or 'unit costs'</v>
      </c>
      <c r="S102" s="278" t="str">
        <f t="shared" si="13"/>
        <v>B£ST</v>
      </c>
      <c r="T102" s="278">
        <f t="shared" si="14"/>
        <v>2023</v>
      </c>
      <c r="U102" s="278" t="str">
        <f t="shared" si="15"/>
        <v>Britain</v>
      </c>
      <c r="V102" s="278" t="str">
        <f t="shared" si="16"/>
        <v>UK average</v>
      </c>
      <c r="W102" s="415">
        <f t="shared" si="17"/>
        <v>581132</v>
      </c>
    </row>
    <row r="103" spans="2:23">
      <c r="B103" s="302" t="s">
        <v>3928</v>
      </c>
      <c r="C103" s="279" t="s">
        <v>806</v>
      </c>
      <c r="D103" s="278" t="s">
        <v>694</v>
      </c>
      <c r="E103" s="278" t="s">
        <v>462</v>
      </c>
      <c r="F103" s="299">
        <f t="shared" si="5"/>
        <v>2023</v>
      </c>
      <c r="G103" s="278">
        <v>2023</v>
      </c>
      <c r="H103" s="278">
        <f>'COMPANY INPUT'!$C$16</f>
        <v>2023</v>
      </c>
      <c r="I103" s="278">
        <f>VLOOKUP(G103,'GDP Deflators'!$H$13:$I$86,2,FALSE)</f>
        <v>100</v>
      </c>
      <c r="J103" s="278">
        <f>VLOOKUP(H103,'GDP Deflators'!$H$13:$I$86,2,FALSE)</f>
        <v>100</v>
      </c>
      <c r="K103" s="385">
        <f t="shared" si="6"/>
        <v>139000</v>
      </c>
      <c r="L103" s="807">
        <f t="shared" ref="L103:L116" si="18">K103*(J103/I103)</f>
        <v>139000</v>
      </c>
      <c r="M103" s="278" t="str">
        <f t="shared" si="8"/>
        <v>Avoided cost</v>
      </c>
      <c r="N103" s="326">
        <f t="shared" si="9"/>
        <v>3</v>
      </c>
      <c r="O103" s="278" t="s">
        <v>718</v>
      </c>
      <c r="P103" s="278" t="str">
        <f t="shared" si="10"/>
        <v>Reputable source and UK context</v>
      </c>
      <c r="Q103" s="299">
        <f t="shared" si="11"/>
        <v>21</v>
      </c>
      <c r="R103" s="278" t="str">
        <f t="shared" si="12"/>
        <v>HSE (2023) Appraisal values or 'unit costs'</v>
      </c>
      <c r="S103" s="278" t="str">
        <f t="shared" si="13"/>
        <v>B£ST</v>
      </c>
      <c r="T103" s="278">
        <f t="shared" si="14"/>
        <v>2023</v>
      </c>
      <c r="U103" s="278" t="str">
        <f t="shared" si="15"/>
        <v>Britain</v>
      </c>
      <c r="V103" s="278" t="str">
        <f t="shared" si="16"/>
        <v>UK average</v>
      </c>
      <c r="W103" s="415">
        <f t="shared" si="17"/>
        <v>581132</v>
      </c>
    </row>
    <row r="104" spans="2:23">
      <c r="B104" s="302" t="s">
        <v>3929</v>
      </c>
      <c r="C104" s="279" t="s">
        <v>806</v>
      </c>
      <c r="D104" s="278" t="s">
        <v>695</v>
      </c>
      <c r="E104" s="278" t="s">
        <v>462</v>
      </c>
      <c r="F104" s="299">
        <f t="shared" si="5"/>
        <v>2023</v>
      </c>
      <c r="G104" s="278">
        <v>2023</v>
      </c>
      <c r="H104" s="278">
        <f>'COMPANY INPUT'!$C$16</f>
        <v>2023</v>
      </c>
      <c r="I104" s="278">
        <f>VLOOKUP(G104,'GDP Deflators'!$H$13:$I$86,2,FALSE)</f>
        <v>100</v>
      </c>
      <c r="J104" s="278">
        <f>VLOOKUP(H104,'GDP Deflators'!$H$13:$I$86,2,FALSE)</f>
        <v>100</v>
      </c>
      <c r="K104" s="385">
        <f t="shared" ref="K104:K116" si="19">E54</f>
        <v>2800</v>
      </c>
      <c r="L104" s="807">
        <f t="shared" si="18"/>
        <v>2800</v>
      </c>
      <c r="M104" s="278" t="str">
        <f t="shared" si="8"/>
        <v>Avoided cost</v>
      </c>
      <c r="N104" s="326">
        <f t="shared" si="9"/>
        <v>3</v>
      </c>
      <c r="O104" s="278" t="s">
        <v>718</v>
      </c>
      <c r="P104" s="278" t="str">
        <f t="shared" si="10"/>
        <v>Reputable source and UK context</v>
      </c>
      <c r="Q104" s="299">
        <f t="shared" si="11"/>
        <v>21</v>
      </c>
      <c r="R104" s="278" t="str">
        <f t="shared" si="12"/>
        <v>HSE (2023) Appraisal values or 'unit costs'</v>
      </c>
      <c r="S104" s="278" t="str">
        <f t="shared" si="13"/>
        <v>B£ST</v>
      </c>
      <c r="T104" s="278">
        <f t="shared" si="14"/>
        <v>2023</v>
      </c>
      <c r="U104" s="278" t="str">
        <f t="shared" si="15"/>
        <v>Britain</v>
      </c>
      <c r="V104" s="278" t="str">
        <f t="shared" si="16"/>
        <v>UK average</v>
      </c>
      <c r="W104" s="415">
        <f t="shared" si="17"/>
        <v>581132</v>
      </c>
    </row>
    <row r="105" spans="2:23">
      <c r="B105" s="302" t="s">
        <v>3930</v>
      </c>
      <c r="C105" s="279" t="s">
        <v>806</v>
      </c>
      <c r="D105" s="278" t="s">
        <v>696</v>
      </c>
      <c r="E105" s="278" t="s">
        <v>462</v>
      </c>
      <c r="F105" s="299">
        <f t="shared" si="5"/>
        <v>2023</v>
      </c>
      <c r="G105" s="278">
        <v>2023</v>
      </c>
      <c r="H105" s="278">
        <f>'COMPANY INPUT'!$C$16</f>
        <v>2023</v>
      </c>
      <c r="I105" s="278">
        <f>VLOOKUP(G105,'GDP Deflators'!$H$13:$I$86,2,FALSE)</f>
        <v>100</v>
      </c>
      <c r="J105" s="278">
        <f>VLOOKUP(H105,'GDP Deflators'!$H$13:$I$86,2,FALSE)</f>
        <v>100</v>
      </c>
      <c r="K105" s="385">
        <f t="shared" si="19"/>
        <v>10000</v>
      </c>
      <c r="L105" s="807">
        <f t="shared" si="18"/>
        <v>10000</v>
      </c>
      <c r="M105" s="278" t="str">
        <f t="shared" si="8"/>
        <v>Avoided cost</v>
      </c>
      <c r="N105" s="326">
        <f t="shared" si="9"/>
        <v>3</v>
      </c>
      <c r="O105" s="278" t="s">
        <v>718</v>
      </c>
      <c r="P105" s="278" t="str">
        <f t="shared" si="10"/>
        <v>Reputable source and UK context</v>
      </c>
      <c r="Q105" s="299">
        <f t="shared" si="11"/>
        <v>21</v>
      </c>
      <c r="R105" s="278" t="str">
        <f t="shared" si="12"/>
        <v>HSE (2023) Appraisal values or 'unit costs'</v>
      </c>
      <c r="S105" s="278" t="str">
        <f t="shared" si="13"/>
        <v>B£ST</v>
      </c>
      <c r="T105" s="278">
        <f t="shared" si="14"/>
        <v>2023</v>
      </c>
      <c r="U105" s="278" t="str">
        <f t="shared" si="15"/>
        <v>Britain</v>
      </c>
      <c r="V105" s="278" t="str">
        <f t="shared" si="16"/>
        <v>UK average</v>
      </c>
      <c r="W105" s="415">
        <f t="shared" si="17"/>
        <v>581132</v>
      </c>
    </row>
    <row r="106" spans="2:23">
      <c r="B106" s="302" t="s">
        <v>3931</v>
      </c>
      <c r="C106" s="279" t="s">
        <v>806</v>
      </c>
      <c r="D106" s="278" t="s">
        <v>697</v>
      </c>
      <c r="E106" s="278" t="s">
        <v>462</v>
      </c>
      <c r="F106" s="299">
        <f t="shared" si="5"/>
        <v>2023</v>
      </c>
      <c r="G106" s="278">
        <v>2023</v>
      </c>
      <c r="H106" s="278">
        <f>'COMPANY INPUT'!$C$16</f>
        <v>2023</v>
      </c>
      <c r="I106" s="278">
        <f>VLOOKUP(G106,'GDP Deflators'!$H$13:$I$86,2,FALSE)</f>
        <v>100</v>
      </c>
      <c r="J106" s="278">
        <f>VLOOKUP(H106,'GDP Deflators'!$H$13:$I$86,2,FALSE)</f>
        <v>100</v>
      </c>
      <c r="K106" s="385">
        <f t="shared" si="19"/>
        <v>520</v>
      </c>
      <c r="L106" s="807">
        <f t="shared" si="18"/>
        <v>520</v>
      </c>
      <c r="M106" s="278" t="str">
        <f t="shared" si="8"/>
        <v>Avoided cost</v>
      </c>
      <c r="N106" s="326">
        <f t="shared" si="9"/>
        <v>3</v>
      </c>
      <c r="O106" s="278" t="s">
        <v>718</v>
      </c>
      <c r="P106" s="278" t="str">
        <f t="shared" si="10"/>
        <v>Reputable source and UK context</v>
      </c>
      <c r="Q106" s="299">
        <f t="shared" si="11"/>
        <v>21</v>
      </c>
      <c r="R106" s="278" t="str">
        <f t="shared" si="12"/>
        <v>HSE (2023) Appraisal values or 'unit costs'</v>
      </c>
      <c r="S106" s="278" t="str">
        <f t="shared" si="13"/>
        <v>B£ST</v>
      </c>
      <c r="T106" s="278">
        <f t="shared" si="14"/>
        <v>2023</v>
      </c>
      <c r="U106" s="278" t="str">
        <f t="shared" si="15"/>
        <v>Britain</v>
      </c>
      <c r="V106" s="278" t="str">
        <f t="shared" si="16"/>
        <v>UK average</v>
      </c>
      <c r="W106" s="415">
        <f t="shared" si="17"/>
        <v>581132</v>
      </c>
    </row>
    <row r="107" spans="2:23">
      <c r="B107" s="302" t="s">
        <v>3932</v>
      </c>
      <c r="C107" s="279" t="s">
        <v>806</v>
      </c>
      <c r="D107" s="278" t="s">
        <v>698</v>
      </c>
      <c r="E107" s="278" t="s">
        <v>462</v>
      </c>
      <c r="F107" s="299">
        <f t="shared" si="5"/>
        <v>2023</v>
      </c>
      <c r="G107" s="278">
        <v>2023</v>
      </c>
      <c r="H107" s="278">
        <f>'COMPANY INPUT'!$C$16</f>
        <v>2023</v>
      </c>
      <c r="I107" s="278">
        <f>VLOOKUP(G107,'GDP Deflators'!$H$13:$I$86,2,FALSE)</f>
        <v>100</v>
      </c>
      <c r="J107" s="278">
        <f>VLOOKUP(H107,'GDP Deflators'!$H$13:$I$86,2,FALSE)</f>
        <v>100</v>
      </c>
      <c r="K107" s="385">
        <f t="shared" si="19"/>
        <v>4800</v>
      </c>
      <c r="L107" s="807">
        <f t="shared" si="18"/>
        <v>4800</v>
      </c>
      <c r="M107" s="278" t="str">
        <f t="shared" si="8"/>
        <v>Avoided cost</v>
      </c>
      <c r="N107" s="326">
        <f t="shared" si="9"/>
        <v>3</v>
      </c>
      <c r="O107" s="278" t="s">
        <v>718</v>
      </c>
      <c r="P107" s="278" t="str">
        <f t="shared" si="10"/>
        <v>Reputable source and UK context</v>
      </c>
      <c r="Q107" s="299">
        <f t="shared" si="11"/>
        <v>21</v>
      </c>
      <c r="R107" s="278" t="str">
        <f t="shared" si="12"/>
        <v>HSE (2023) Appraisal values or 'unit costs'</v>
      </c>
      <c r="S107" s="278" t="str">
        <f t="shared" si="13"/>
        <v>B£ST</v>
      </c>
      <c r="T107" s="278">
        <f t="shared" si="14"/>
        <v>2023</v>
      </c>
      <c r="U107" s="278" t="str">
        <f t="shared" si="15"/>
        <v>Britain</v>
      </c>
      <c r="V107" s="278" t="str">
        <f t="shared" si="16"/>
        <v>UK average</v>
      </c>
      <c r="W107" s="415">
        <f t="shared" si="17"/>
        <v>581132</v>
      </c>
    </row>
    <row r="108" spans="2:23">
      <c r="B108" s="302" t="s">
        <v>3933</v>
      </c>
      <c r="C108" s="279" t="s">
        <v>806</v>
      </c>
      <c r="D108" s="278" t="s">
        <v>699</v>
      </c>
      <c r="E108" s="278" t="s">
        <v>462</v>
      </c>
      <c r="F108" s="299">
        <f t="shared" si="5"/>
        <v>2023</v>
      </c>
      <c r="G108" s="278">
        <v>2023</v>
      </c>
      <c r="H108" s="278">
        <f>'COMPANY INPUT'!$C$16</f>
        <v>2023</v>
      </c>
      <c r="I108" s="278">
        <f>VLOOKUP(G108,'GDP Deflators'!$H$13:$I$86,2,FALSE)</f>
        <v>100</v>
      </c>
      <c r="J108" s="278">
        <f>VLOOKUP(H108,'GDP Deflators'!$H$13:$I$86,2,FALSE)</f>
        <v>100</v>
      </c>
      <c r="K108" s="385">
        <f t="shared" si="19"/>
        <v>9800</v>
      </c>
      <c r="L108" s="807">
        <f t="shared" si="18"/>
        <v>9800</v>
      </c>
      <c r="M108" s="278" t="str">
        <f t="shared" si="8"/>
        <v>Avoided cost</v>
      </c>
      <c r="N108" s="326">
        <f t="shared" si="9"/>
        <v>3</v>
      </c>
      <c r="O108" s="278" t="s">
        <v>718</v>
      </c>
      <c r="P108" s="278" t="str">
        <f t="shared" si="10"/>
        <v>Reputable source and UK context</v>
      </c>
      <c r="Q108" s="299">
        <f t="shared" si="11"/>
        <v>21</v>
      </c>
      <c r="R108" s="278" t="str">
        <f t="shared" si="12"/>
        <v>HSE (2023) Appraisal values or 'unit costs'</v>
      </c>
      <c r="S108" s="278" t="str">
        <f t="shared" si="13"/>
        <v>B£ST</v>
      </c>
      <c r="T108" s="278">
        <f t="shared" si="14"/>
        <v>2023</v>
      </c>
      <c r="U108" s="278" t="str">
        <f t="shared" si="15"/>
        <v>Britain</v>
      </c>
      <c r="V108" s="278" t="str">
        <f t="shared" si="16"/>
        <v>UK average</v>
      </c>
      <c r="W108" s="415">
        <f t="shared" si="17"/>
        <v>581132</v>
      </c>
    </row>
    <row r="109" spans="2:23">
      <c r="B109" s="302" t="s">
        <v>3934</v>
      </c>
      <c r="C109" s="279" t="s">
        <v>806</v>
      </c>
      <c r="D109" s="278" t="s">
        <v>700</v>
      </c>
      <c r="E109" s="278" t="s">
        <v>462</v>
      </c>
      <c r="F109" s="299">
        <f t="shared" si="5"/>
        <v>2023</v>
      </c>
      <c r="G109" s="278">
        <v>2023</v>
      </c>
      <c r="H109" s="278">
        <f>'COMPANY INPUT'!$C$16</f>
        <v>2023</v>
      </c>
      <c r="I109" s="278">
        <f>VLOOKUP(G109,'GDP Deflators'!$H$13:$I$86,2,FALSE)</f>
        <v>100</v>
      </c>
      <c r="J109" s="278">
        <f>VLOOKUP(H109,'GDP Deflators'!$H$13:$I$86,2,FALSE)</f>
        <v>100</v>
      </c>
      <c r="K109" s="385">
        <f t="shared" si="19"/>
        <v>490</v>
      </c>
      <c r="L109" s="807">
        <f t="shared" si="18"/>
        <v>490</v>
      </c>
      <c r="M109" s="278" t="str">
        <f t="shared" si="8"/>
        <v>Avoided cost</v>
      </c>
      <c r="N109" s="326">
        <f t="shared" si="9"/>
        <v>3</v>
      </c>
      <c r="O109" s="278" t="s">
        <v>718</v>
      </c>
      <c r="P109" s="278" t="str">
        <f t="shared" si="10"/>
        <v>Reputable source and UK context</v>
      </c>
      <c r="Q109" s="299">
        <f t="shared" si="11"/>
        <v>21</v>
      </c>
      <c r="R109" s="278" t="str">
        <f t="shared" si="12"/>
        <v>HSE (2023) Appraisal values or 'unit costs'</v>
      </c>
      <c r="S109" s="278" t="str">
        <f t="shared" si="13"/>
        <v>B£ST</v>
      </c>
      <c r="T109" s="278">
        <f t="shared" si="14"/>
        <v>2023</v>
      </c>
      <c r="U109" s="278" t="str">
        <f t="shared" si="15"/>
        <v>Britain</v>
      </c>
      <c r="V109" s="278" t="str">
        <f t="shared" si="16"/>
        <v>UK average</v>
      </c>
      <c r="W109" s="415">
        <f t="shared" si="17"/>
        <v>581132</v>
      </c>
    </row>
    <row r="110" spans="2:23">
      <c r="B110" s="302" t="s">
        <v>3935</v>
      </c>
      <c r="C110" s="279" t="s">
        <v>806</v>
      </c>
      <c r="D110" s="278" t="s">
        <v>694</v>
      </c>
      <c r="E110" s="278" t="s">
        <v>466</v>
      </c>
      <c r="F110" s="299">
        <f t="shared" si="5"/>
        <v>2023</v>
      </c>
      <c r="G110" s="278">
        <v>2023</v>
      </c>
      <c r="H110" s="278">
        <f>'COMPANY INPUT'!$C$16</f>
        <v>2023</v>
      </c>
      <c r="I110" s="278">
        <f>VLOOKUP(G110,'GDP Deflators'!$H$13:$I$86,2,FALSE)</f>
        <v>100</v>
      </c>
      <c r="J110" s="278">
        <f>VLOOKUP(H110,'GDP Deflators'!$H$13:$I$86,2,FALSE)</f>
        <v>100</v>
      </c>
      <c r="K110" s="385">
        <f t="shared" si="19"/>
        <v>1881000</v>
      </c>
      <c r="L110" s="807">
        <f t="shared" si="18"/>
        <v>1881000</v>
      </c>
      <c r="M110" s="278" t="str">
        <f t="shared" si="8"/>
        <v>Avoided cost</v>
      </c>
      <c r="N110" s="326">
        <f t="shared" si="9"/>
        <v>3</v>
      </c>
      <c r="O110" s="278" t="s">
        <v>718</v>
      </c>
      <c r="P110" s="278" t="str">
        <f t="shared" si="10"/>
        <v>Reputable source and UK context</v>
      </c>
      <c r="Q110" s="299">
        <f t="shared" si="11"/>
        <v>21</v>
      </c>
      <c r="R110" s="278" t="str">
        <f t="shared" si="12"/>
        <v>HSE (2023) Appraisal values or 'unit costs'</v>
      </c>
      <c r="S110" s="278" t="str">
        <f t="shared" si="13"/>
        <v>B£ST</v>
      </c>
      <c r="T110" s="278">
        <f t="shared" si="14"/>
        <v>2023</v>
      </c>
      <c r="U110" s="278" t="str">
        <f t="shared" si="15"/>
        <v>Britain</v>
      </c>
      <c r="V110" s="278" t="str">
        <f t="shared" si="16"/>
        <v>UK average</v>
      </c>
      <c r="W110" s="415">
        <f t="shared" si="17"/>
        <v>581132</v>
      </c>
    </row>
    <row r="111" spans="2:23">
      <c r="B111" s="302" t="s">
        <v>3936</v>
      </c>
      <c r="C111" s="279" t="s">
        <v>806</v>
      </c>
      <c r="D111" s="278" t="s">
        <v>695</v>
      </c>
      <c r="E111" s="278" t="s">
        <v>466</v>
      </c>
      <c r="F111" s="299">
        <f t="shared" si="5"/>
        <v>2023</v>
      </c>
      <c r="G111" s="278">
        <v>2023</v>
      </c>
      <c r="H111" s="278">
        <f>'COMPANY INPUT'!$C$16</f>
        <v>2023</v>
      </c>
      <c r="I111" s="278">
        <f>VLOOKUP(G111,'GDP Deflators'!$H$13:$I$86,2,FALSE)</f>
        <v>100</v>
      </c>
      <c r="J111" s="278">
        <f>VLOOKUP(H111,'GDP Deflators'!$H$13:$I$86,2,FALSE)</f>
        <v>100</v>
      </c>
      <c r="K111" s="385">
        <f t="shared" si="19"/>
        <v>7000</v>
      </c>
      <c r="L111" s="807">
        <f t="shared" si="18"/>
        <v>7000</v>
      </c>
      <c r="M111" s="278" t="str">
        <f t="shared" si="8"/>
        <v>Avoided cost</v>
      </c>
      <c r="N111" s="326">
        <f t="shared" si="9"/>
        <v>3</v>
      </c>
      <c r="O111" s="278" t="s">
        <v>718</v>
      </c>
      <c r="P111" s="278" t="str">
        <f t="shared" si="10"/>
        <v>Reputable source and UK context</v>
      </c>
      <c r="Q111" s="299">
        <f t="shared" si="11"/>
        <v>21</v>
      </c>
      <c r="R111" s="278" t="str">
        <f t="shared" si="12"/>
        <v>HSE (2023) Appraisal values or 'unit costs'</v>
      </c>
      <c r="S111" s="278" t="str">
        <f t="shared" si="13"/>
        <v>B£ST</v>
      </c>
      <c r="T111" s="278">
        <f t="shared" si="14"/>
        <v>2023</v>
      </c>
      <c r="U111" s="278" t="str">
        <f t="shared" si="15"/>
        <v>Britain</v>
      </c>
      <c r="V111" s="278" t="str">
        <f t="shared" si="16"/>
        <v>UK average</v>
      </c>
      <c r="W111" s="415">
        <f t="shared" si="17"/>
        <v>581132</v>
      </c>
    </row>
    <row r="112" spans="2:23">
      <c r="B112" s="302" t="s">
        <v>3937</v>
      </c>
      <c r="C112" s="279" t="s">
        <v>806</v>
      </c>
      <c r="D112" s="278" t="s">
        <v>696</v>
      </c>
      <c r="E112" s="278" t="s">
        <v>466</v>
      </c>
      <c r="F112" s="299">
        <f t="shared" si="5"/>
        <v>2023</v>
      </c>
      <c r="G112" s="278">
        <v>2023</v>
      </c>
      <c r="H112" s="278">
        <f>'COMPANY INPUT'!$C$16</f>
        <v>2023</v>
      </c>
      <c r="I112" s="278">
        <f>VLOOKUP(G112,'GDP Deflators'!$H$13:$I$86,2,FALSE)</f>
        <v>100</v>
      </c>
      <c r="J112" s="278">
        <f>VLOOKUP(H112,'GDP Deflators'!$H$13:$I$86,2,FALSE)</f>
        <v>100</v>
      </c>
      <c r="K112" s="385">
        <f t="shared" si="19"/>
        <v>28200</v>
      </c>
      <c r="L112" s="807">
        <f t="shared" si="18"/>
        <v>28200</v>
      </c>
      <c r="M112" s="278" t="str">
        <f t="shared" si="8"/>
        <v>Avoided cost</v>
      </c>
      <c r="N112" s="326">
        <f t="shared" si="9"/>
        <v>3</v>
      </c>
      <c r="O112" s="278" t="s">
        <v>718</v>
      </c>
      <c r="P112" s="278" t="str">
        <f t="shared" si="10"/>
        <v>Reputable source and UK context</v>
      </c>
      <c r="Q112" s="299">
        <f t="shared" si="11"/>
        <v>21</v>
      </c>
      <c r="R112" s="278" t="str">
        <f t="shared" si="12"/>
        <v>HSE (2023) Appraisal values or 'unit costs'</v>
      </c>
      <c r="S112" s="278" t="str">
        <f t="shared" si="13"/>
        <v>B£ST</v>
      </c>
      <c r="T112" s="278">
        <f t="shared" si="14"/>
        <v>2023</v>
      </c>
      <c r="U112" s="278" t="str">
        <f t="shared" si="15"/>
        <v>Britain</v>
      </c>
      <c r="V112" s="278" t="str">
        <f t="shared" si="16"/>
        <v>UK average</v>
      </c>
      <c r="W112" s="415">
        <f t="shared" si="17"/>
        <v>581132</v>
      </c>
    </row>
    <row r="113" spans="1:23">
      <c r="B113" s="302" t="s">
        <v>3938</v>
      </c>
      <c r="C113" s="279" t="s">
        <v>806</v>
      </c>
      <c r="D113" s="278" t="s">
        <v>697</v>
      </c>
      <c r="E113" s="278" t="s">
        <v>466</v>
      </c>
      <c r="F113" s="299">
        <f t="shared" si="5"/>
        <v>2023</v>
      </c>
      <c r="G113" s="278">
        <v>2023</v>
      </c>
      <c r="H113" s="278">
        <f>'COMPANY INPUT'!$C$16</f>
        <v>2023</v>
      </c>
      <c r="I113" s="278">
        <f>VLOOKUP(G113,'GDP Deflators'!$H$13:$I$86,2,FALSE)</f>
        <v>100</v>
      </c>
      <c r="J113" s="278">
        <f>VLOOKUP(H113,'GDP Deflators'!$H$13:$I$86,2,FALSE)</f>
        <v>100</v>
      </c>
      <c r="K113" s="385">
        <f t="shared" si="19"/>
        <v>470</v>
      </c>
      <c r="L113" s="807">
        <f t="shared" si="18"/>
        <v>470</v>
      </c>
      <c r="M113" s="278" t="str">
        <f t="shared" si="8"/>
        <v>Avoided cost</v>
      </c>
      <c r="N113" s="326">
        <f t="shared" si="9"/>
        <v>3</v>
      </c>
      <c r="O113" s="278" t="s">
        <v>718</v>
      </c>
      <c r="P113" s="278" t="str">
        <f t="shared" si="10"/>
        <v>Reputable source and UK context</v>
      </c>
      <c r="Q113" s="299">
        <f t="shared" si="11"/>
        <v>21</v>
      </c>
      <c r="R113" s="278" t="str">
        <f t="shared" si="12"/>
        <v>HSE (2023) Appraisal values or 'unit costs'</v>
      </c>
      <c r="S113" s="278" t="str">
        <f t="shared" si="13"/>
        <v>B£ST</v>
      </c>
      <c r="T113" s="278">
        <f t="shared" si="14"/>
        <v>2023</v>
      </c>
      <c r="U113" s="278" t="str">
        <f t="shared" si="15"/>
        <v>Britain</v>
      </c>
      <c r="V113" s="278" t="str">
        <f t="shared" si="16"/>
        <v>UK average</v>
      </c>
      <c r="W113" s="415">
        <f t="shared" si="17"/>
        <v>581132</v>
      </c>
    </row>
    <row r="114" spans="1:23">
      <c r="B114" s="302" t="s">
        <v>3939</v>
      </c>
      <c r="C114" s="279" t="s">
        <v>806</v>
      </c>
      <c r="D114" s="278" t="s">
        <v>698</v>
      </c>
      <c r="E114" s="278" t="s">
        <v>466</v>
      </c>
      <c r="F114" s="299">
        <f t="shared" si="5"/>
        <v>2023</v>
      </c>
      <c r="G114" s="278">
        <v>2023</v>
      </c>
      <c r="H114" s="278">
        <f>'COMPANY INPUT'!$C$16</f>
        <v>2023</v>
      </c>
      <c r="I114" s="278">
        <f>VLOOKUP(G114,'GDP Deflators'!$H$13:$I$86,2,FALSE)</f>
        <v>100</v>
      </c>
      <c r="J114" s="278">
        <f>VLOOKUP(H114,'GDP Deflators'!$H$13:$I$86,2,FALSE)</f>
        <v>100</v>
      </c>
      <c r="K114" s="385">
        <f t="shared" si="19"/>
        <v>12300</v>
      </c>
      <c r="L114" s="807">
        <f t="shared" si="18"/>
        <v>12300</v>
      </c>
      <c r="M114" s="278" t="str">
        <f t="shared" si="8"/>
        <v>Avoided cost</v>
      </c>
      <c r="N114" s="326">
        <f t="shared" si="9"/>
        <v>3</v>
      </c>
      <c r="O114" s="278" t="s">
        <v>718</v>
      </c>
      <c r="P114" s="278" t="str">
        <f t="shared" si="10"/>
        <v>Reputable source and UK context</v>
      </c>
      <c r="Q114" s="299">
        <f t="shared" si="11"/>
        <v>21</v>
      </c>
      <c r="R114" s="278" t="str">
        <f t="shared" si="12"/>
        <v>HSE (2023) Appraisal values or 'unit costs'</v>
      </c>
      <c r="S114" s="278" t="str">
        <f t="shared" si="13"/>
        <v>B£ST</v>
      </c>
      <c r="T114" s="278">
        <f t="shared" si="14"/>
        <v>2023</v>
      </c>
      <c r="U114" s="278" t="str">
        <f t="shared" si="15"/>
        <v>Britain</v>
      </c>
      <c r="V114" s="278" t="str">
        <f t="shared" si="16"/>
        <v>UK average</v>
      </c>
      <c r="W114" s="415">
        <f t="shared" si="17"/>
        <v>581132</v>
      </c>
    </row>
    <row r="115" spans="1:23">
      <c r="B115" s="302" t="s">
        <v>3940</v>
      </c>
      <c r="C115" s="279" t="s">
        <v>806</v>
      </c>
      <c r="D115" s="278" t="s">
        <v>699</v>
      </c>
      <c r="E115" s="278" t="s">
        <v>466</v>
      </c>
      <c r="F115" s="299">
        <f t="shared" si="5"/>
        <v>2023</v>
      </c>
      <c r="G115" s="278">
        <v>2023</v>
      </c>
      <c r="H115" s="278">
        <f>'COMPANY INPUT'!$C$16</f>
        <v>2023</v>
      </c>
      <c r="I115" s="278">
        <f>VLOOKUP(G115,'GDP Deflators'!$H$13:$I$86,2,FALSE)</f>
        <v>100</v>
      </c>
      <c r="J115" s="278">
        <f>VLOOKUP(H115,'GDP Deflators'!$H$13:$I$86,2,FALSE)</f>
        <v>100</v>
      </c>
      <c r="K115" s="385">
        <f t="shared" si="19"/>
        <v>25700</v>
      </c>
      <c r="L115" s="807">
        <f t="shared" si="18"/>
        <v>25700</v>
      </c>
      <c r="M115" s="278" t="str">
        <f t="shared" si="8"/>
        <v>Avoided cost</v>
      </c>
      <c r="N115" s="326">
        <f t="shared" si="9"/>
        <v>3</v>
      </c>
      <c r="O115" s="278" t="s">
        <v>718</v>
      </c>
      <c r="P115" s="278" t="str">
        <f t="shared" si="10"/>
        <v>Reputable source and UK context</v>
      </c>
      <c r="Q115" s="299">
        <f t="shared" si="11"/>
        <v>21</v>
      </c>
      <c r="R115" s="278" t="str">
        <f t="shared" si="12"/>
        <v>HSE (2023) Appraisal values or 'unit costs'</v>
      </c>
      <c r="S115" s="278" t="str">
        <f t="shared" si="13"/>
        <v>B£ST</v>
      </c>
      <c r="T115" s="278">
        <f t="shared" si="14"/>
        <v>2023</v>
      </c>
      <c r="U115" s="278" t="str">
        <f t="shared" si="15"/>
        <v>Britain</v>
      </c>
      <c r="V115" s="278" t="str">
        <f t="shared" si="16"/>
        <v>UK average</v>
      </c>
      <c r="W115" s="415">
        <f t="shared" si="17"/>
        <v>581132</v>
      </c>
    </row>
    <row r="116" spans="1:23">
      <c r="B116" s="302" t="s">
        <v>3941</v>
      </c>
      <c r="C116" s="279" t="s">
        <v>806</v>
      </c>
      <c r="D116" s="278" t="s">
        <v>700</v>
      </c>
      <c r="E116" s="278" t="s">
        <v>466</v>
      </c>
      <c r="F116" s="299">
        <f t="shared" si="5"/>
        <v>2023</v>
      </c>
      <c r="G116" s="278">
        <v>2023</v>
      </c>
      <c r="H116" s="278">
        <f>'COMPANY INPUT'!$C$16</f>
        <v>2023</v>
      </c>
      <c r="I116" s="278">
        <f>VLOOKUP(G116,'GDP Deflators'!$H$13:$I$86,2,FALSE)</f>
        <v>100</v>
      </c>
      <c r="J116" s="278">
        <f>VLOOKUP(H116,'GDP Deflators'!$H$13:$I$86,2,FALSE)</f>
        <v>100</v>
      </c>
      <c r="K116" s="385">
        <f t="shared" si="19"/>
        <v>570</v>
      </c>
      <c r="L116" s="807">
        <f t="shared" si="18"/>
        <v>570</v>
      </c>
      <c r="M116" s="278" t="str">
        <f t="shared" si="8"/>
        <v>Avoided cost</v>
      </c>
      <c r="N116" s="326">
        <f t="shared" si="9"/>
        <v>3</v>
      </c>
      <c r="O116" s="278" t="s">
        <v>718</v>
      </c>
      <c r="P116" s="278" t="str">
        <f t="shared" si="10"/>
        <v>Reputable source and UK context</v>
      </c>
      <c r="Q116" s="299">
        <f t="shared" si="11"/>
        <v>21</v>
      </c>
      <c r="R116" s="278" t="str">
        <f t="shared" si="12"/>
        <v>HSE (2023) Appraisal values or 'unit costs'</v>
      </c>
      <c r="S116" s="278" t="str">
        <f t="shared" si="13"/>
        <v>B£ST</v>
      </c>
      <c r="T116" s="278">
        <f t="shared" si="14"/>
        <v>2023</v>
      </c>
      <c r="U116" s="278" t="str">
        <f t="shared" si="15"/>
        <v>Britain</v>
      </c>
      <c r="V116" s="278" t="str">
        <f t="shared" si="16"/>
        <v>UK average</v>
      </c>
      <c r="W116" s="415">
        <f t="shared" si="17"/>
        <v>581132</v>
      </c>
    </row>
    <row r="119" spans="1:23">
      <c r="A119" s="721"/>
      <c r="B119" s="722" t="s">
        <v>460</v>
      </c>
      <c r="C119" s="721"/>
      <c r="D119" s="721"/>
      <c r="E119" s="721"/>
      <c r="F119" s="721"/>
      <c r="G119" s="721"/>
      <c r="H119" s="721"/>
    </row>
    <row r="120" spans="1:23">
      <c r="A120" s="727"/>
      <c r="B120" s="729" t="s">
        <v>897</v>
      </c>
      <c r="C120" s="727"/>
      <c r="D120" s="727"/>
      <c r="E120" s="727"/>
      <c r="F120" s="727"/>
      <c r="G120" s="727"/>
      <c r="H120" s="727"/>
    </row>
    <row r="121" spans="1:23">
      <c r="B121" s="277" t="s">
        <v>898</v>
      </c>
      <c r="C121" s="277" t="s">
        <v>899</v>
      </c>
    </row>
    <row r="122" spans="1:23">
      <c r="B122" s="281" t="s">
        <v>460</v>
      </c>
      <c r="C122" s="281" t="s">
        <v>3942</v>
      </c>
    </row>
    <row r="123" spans="1:23">
      <c r="B123" s="16"/>
    </row>
    <row r="124" spans="1:23">
      <c r="A124" s="727"/>
      <c r="B124" s="728" t="s">
        <v>901</v>
      </c>
      <c r="C124" s="727"/>
      <c r="D124" s="727"/>
      <c r="E124" s="727"/>
      <c r="F124" s="727"/>
      <c r="G124" s="727"/>
      <c r="H124" s="727"/>
    </row>
    <row r="125" spans="1:23" ht="29.1">
      <c r="B125" s="719" t="s">
        <v>902</v>
      </c>
      <c r="C125" s="719" t="s">
        <v>898</v>
      </c>
      <c r="D125" s="719" t="s">
        <v>899</v>
      </c>
      <c r="E125" s="719" t="s">
        <v>903</v>
      </c>
      <c r="F125" s="719" t="s">
        <v>904</v>
      </c>
      <c r="G125" s="719" t="s">
        <v>905</v>
      </c>
      <c r="H125" s="719" t="s">
        <v>924</v>
      </c>
      <c r="I125" s="719" t="s">
        <v>956</v>
      </c>
      <c r="J125" s="719" t="s">
        <v>927</v>
      </c>
    </row>
    <row r="126" spans="1:23">
      <c r="B126" s="281" t="s">
        <v>692</v>
      </c>
      <c r="C126" s="278" t="s">
        <v>460</v>
      </c>
      <c r="D126" s="299"/>
      <c r="E126" s="299" t="s">
        <v>3191</v>
      </c>
      <c r="F126" s="299" t="s">
        <v>3191</v>
      </c>
      <c r="G126" s="300" t="s">
        <v>477</v>
      </c>
      <c r="H126" s="640" t="s">
        <v>907</v>
      </c>
      <c r="I126" s="640" t="s">
        <v>907</v>
      </c>
      <c r="J126" s="640" t="s">
        <v>907</v>
      </c>
    </row>
    <row r="127" spans="1:23">
      <c r="B127" s="278" t="s">
        <v>694</v>
      </c>
      <c r="C127" s="278" t="s">
        <v>460</v>
      </c>
      <c r="D127" s="299"/>
      <c r="E127" s="299" t="s">
        <v>3191</v>
      </c>
      <c r="F127" s="299" t="s">
        <v>3191</v>
      </c>
      <c r="G127" s="300" t="s">
        <v>477</v>
      </c>
      <c r="H127" s="640" t="s">
        <v>907</v>
      </c>
      <c r="I127" s="640" t="s">
        <v>907</v>
      </c>
      <c r="J127" s="640" t="s">
        <v>907</v>
      </c>
    </row>
    <row r="128" spans="1:23">
      <c r="B128" s="278" t="s">
        <v>695</v>
      </c>
      <c r="C128" s="278" t="s">
        <v>460</v>
      </c>
      <c r="D128" s="299"/>
      <c r="E128" s="299" t="s">
        <v>3191</v>
      </c>
      <c r="F128" s="299" t="s">
        <v>3191</v>
      </c>
      <c r="G128" s="300" t="s">
        <v>477</v>
      </c>
      <c r="H128" s="640" t="s">
        <v>907</v>
      </c>
      <c r="I128" s="640" t="s">
        <v>907</v>
      </c>
      <c r="J128" s="640" t="s">
        <v>907</v>
      </c>
    </row>
    <row r="129" spans="2:10">
      <c r="B129" s="278" t="s">
        <v>696</v>
      </c>
      <c r="C129" s="278" t="s">
        <v>460</v>
      </c>
      <c r="D129" s="299"/>
      <c r="E129" s="299" t="s">
        <v>3191</v>
      </c>
      <c r="F129" s="299" t="s">
        <v>3191</v>
      </c>
      <c r="G129" s="300" t="s">
        <v>477</v>
      </c>
      <c r="H129" s="640" t="s">
        <v>907</v>
      </c>
      <c r="I129" s="640" t="s">
        <v>907</v>
      </c>
      <c r="J129" s="640" t="s">
        <v>907</v>
      </c>
    </row>
    <row r="130" spans="2:10">
      <c r="B130" s="278" t="s">
        <v>697</v>
      </c>
      <c r="C130" s="278" t="s">
        <v>460</v>
      </c>
      <c r="D130" s="299"/>
      <c r="E130" s="299" t="s">
        <v>3191</v>
      </c>
      <c r="F130" s="299" t="s">
        <v>3191</v>
      </c>
      <c r="G130" s="300" t="s">
        <v>477</v>
      </c>
      <c r="H130" s="640" t="s">
        <v>907</v>
      </c>
      <c r="I130" s="640" t="s">
        <v>907</v>
      </c>
      <c r="J130" s="640" t="s">
        <v>907</v>
      </c>
    </row>
    <row r="131" spans="2:10">
      <c r="B131" s="278" t="s">
        <v>698</v>
      </c>
      <c r="C131" s="278" t="s">
        <v>460</v>
      </c>
      <c r="D131" s="299"/>
      <c r="E131" s="299" t="s">
        <v>3191</v>
      </c>
      <c r="F131" s="299" t="s">
        <v>3191</v>
      </c>
      <c r="G131" s="300" t="s">
        <v>477</v>
      </c>
      <c r="H131" s="640" t="s">
        <v>907</v>
      </c>
      <c r="I131" s="640" t="s">
        <v>907</v>
      </c>
      <c r="J131" s="640" t="s">
        <v>907</v>
      </c>
    </row>
    <row r="132" spans="2:10">
      <c r="B132" s="278" t="s">
        <v>699</v>
      </c>
      <c r="C132" s="278" t="s">
        <v>460</v>
      </c>
      <c r="D132" s="299"/>
      <c r="E132" s="299" t="s">
        <v>3191</v>
      </c>
      <c r="F132" s="299" t="s">
        <v>3191</v>
      </c>
      <c r="G132" s="300" t="s">
        <v>477</v>
      </c>
      <c r="H132" s="640" t="s">
        <v>907</v>
      </c>
      <c r="I132" s="640" t="s">
        <v>907</v>
      </c>
      <c r="J132" s="640" t="s">
        <v>907</v>
      </c>
    </row>
    <row r="133" spans="2:10">
      <c r="B133" s="278" t="s">
        <v>700</v>
      </c>
      <c r="C133" s="278" t="s">
        <v>460</v>
      </c>
      <c r="D133" s="299"/>
      <c r="E133" s="299" t="s">
        <v>3191</v>
      </c>
      <c r="F133" s="299" t="s">
        <v>3191</v>
      </c>
      <c r="G133" s="300" t="s">
        <v>477</v>
      </c>
      <c r="H133" s="640" t="s">
        <v>907</v>
      </c>
      <c r="I133" s="640" t="s">
        <v>907</v>
      </c>
      <c r="J133" s="640" t="s">
        <v>907</v>
      </c>
    </row>
    <row r="134" spans="2:10">
      <c r="B134" s="281" t="s">
        <v>701</v>
      </c>
      <c r="C134" s="278" t="s">
        <v>460</v>
      </c>
      <c r="D134" s="299"/>
      <c r="E134" s="299" t="s">
        <v>3191</v>
      </c>
      <c r="F134" s="299" t="s">
        <v>3191</v>
      </c>
      <c r="G134" s="300" t="s">
        <v>477</v>
      </c>
      <c r="H134" s="640" t="s">
        <v>907</v>
      </c>
      <c r="I134" s="640" t="s">
        <v>907</v>
      </c>
      <c r="J134" s="640" t="s">
        <v>907</v>
      </c>
    </row>
  </sheetData>
  <sheetProtection algorithmName="SHA-512" hashValue="93wVHT2scbYjEOFYIL6eeQZ/n2uQWjbRIL7uU6cvyVgFQnxgSBtRxQgCRj0xLS0iL9foZS4p29hYcNtroiq9eA==" saltValue="f01/jax3+UwPPMPaDrPbrg==" spinCount="100000" sheet="1" objects="1" scenarios="1"/>
  <dataConsolidate/>
  <mergeCells count="14">
    <mergeCell ref="E41:H41"/>
    <mergeCell ref="H70:H92"/>
    <mergeCell ref="I70:I92"/>
    <mergeCell ref="J70:J92"/>
    <mergeCell ref="G46:G52"/>
    <mergeCell ref="G53:G59"/>
    <mergeCell ref="G60:G66"/>
    <mergeCell ref="E39:H39"/>
    <mergeCell ref="E40:H40"/>
    <mergeCell ref="B5:H5"/>
    <mergeCell ref="E35:H35"/>
    <mergeCell ref="E36:H36"/>
    <mergeCell ref="E37:H37"/>
    <mergeCell ref="E38:H38"/>
  </mergeCells>
  <phoneticPr fontId="16" type="noConversion"/>
  <conditionalFormatting sqref="D42:E42">
    <cfRule type="cellIs" dxfId="57" priority="5" operator="lessThanOrEqual">
      <formula>2.14285714285714</formula>
    </cfRule>
    <cfRule type="cellIs" dxfId="56" priority="6" operator="lessThanOrEqual">
      <formula>2.57142857142857</formula>
    </cfRule>
    <cfRule type="cellIs" dxfId="55" priority="7" operator="lessThanOrEqual">
      <formula>3</formula>
    </cfRule>
  </conditionalFormatting>
  <conditionalFormatting sqref="D11:H20">
    <cfRule type="notContainsBlanks" dxfId="54" priority="1">
      <formula>LEN(TRIM(D11))&gt;0</formula>
    </cfRule>
  </conditionalFormatting>
  <conditionalFormatting sqref="E42">
    <cfRule type="containsText" dxfId="53" priority="2" operator="containsText" text="Green">
      <formula>NOT(ISERROR(SEARCH("Green",E42)))</formula>
    </cfRule>
    <cfRule type="containsText" dxfId="52" priority="3" operator="containsText" text="Amber">
      <formula>NOT(ISERROR(SEARCH("Amber",E42)))</formula>
    </cfRule>
    <cfRule type="containsText" dxfId="51" priority="4" operator="containsText" text="Red">
      <formula>NOT(ISERROR(SEARCH("Red",E42)))</formula>
    </cfRule>
  </conditionalFormatting>
  <conditionalFormatting sqref="H70">
    <cfRule type="cellIs" dxfId="50" priority="8" operator="lessThanOrEqual">
      <formula>2.14285714285714</formula>
    </cfRule>
    <cfRule type="cellIs" dxfId="49" priority="9" operator="lessThanOrEqual">
      <formula>2.57142857142857</formula>
    </cfRule>
    <cfRule type="cellIs" dxfId="48" priority="10" operator="lessThanOrEqual">
      <formula>3</formula>
    </cfRule>
  </conditionalFormatting>
  <conditionalFormatting sqref="N96:N116">
    <cfRule type="cellIs" dxfId="47" priority="11" operator="lessThanOrEqual">
      <formula>2.14285714285714</formula>
    </cfRule>
    <cfRule type="cellIs" dxfId="46" priority="12" operator="lessThanOrEqual">
      <formula>2.57142857142857</formula>
    </cfRule>
    <cfRule type="cellIs" dxfId="45" priority="13" operator="lessThanOrEqual">
      <formula>3</formula>
    </cfRule>
  </conditionalFormatting>
  <dataValidations count="1">
    <dataValidation type="list" allowBlank="1" showInputMessage="1" showErrorMessage="1" sqref="C117 C43 C36:C41" xr:uid="{0A07FCA9-534A-458D-A13E-EECA8B94F241}">
      <formula1>"High, Medium, Low"</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F451-7786-452C-85B1-FDEFEB5E45C3}">
  <sheetPr codeName="Sheet50">
    <tabColor theme="5" tint="0.59999389629810485"/>
  </sheetPr>
  <dimension ref="A1:W183"/>
  <sheetViews>
    <sheetView workbookViewId="0"/>
  </sheetViews>
  <sheetFormatPr defaultColWidth="9" defaultRowHeight="14.45"/>
  <cols>
    <col min="1" max="1" width="3.5" style="2" customWidth="1"/>
    <col min="2" max="3" width="40.625" style="2" customWidth="1"/>
    <col min="4" max="16" width="15.625" style="2" customWidth="1"/>
    <col min="17" max="17" width="9" style="2" bestFit="1"/>
    <col min="18" max="18" width="16.625" style="2" customWidth="1"/>
    <col min="19" max="19" width="18.5" style="2" customWidth="1"/>
    <col min="20" max="16384" width="9" style="2"/>
  </cols>
  <sheetData>
    <row r="1" spans="1:10" ht="15" thickBot="1"/>
    <row r="2" spans="1:10" s="750" customFormat="1" ht="18.95" thickBot="1">
      <c r="A2" s="748"/>
      <c r="B2" s="749" t="s">
        <v>3943</v>
      </c>
      <c r="C2" s="749"/>
      <c r="D2" s="749"/>
    </row>
    <row r="4" spans="1:10" s="714" customFormat="1" ht="18.600000000000001">
      <c r="A4" s="715"/>
      <c r="B4" s="713" t="s">
        <v>893</v>
      </c>
      <c r="C4" s="715"/>
      <c r="D4" s="715"/>
      <c r="E4" s="715"/>
      <c r="F4" s="715"/>
      <c r="G4" s="715"/>
      <c r="H4" s="715"/>
    </row>
    <row r="5" spans="1:10" s="7" customFormat="1" ht="111.75" customHeight="1">
      <c r="A5" s="737"/>
      <c r="B5" s="1152" t="s">
        <v>3944</v>
      </c>
      <c r="C5" s="1152"/>
      <c r="D5" s="1152"/>
      <c r="E5" s="1152"/>
      <c r="F5" s="1152"/>
      <c r="G5" s="1152"/>
      <c r="H5" s="1152"/>
    </row>
    <row r="6" spans="1:10" s="7" customFormat="1"/>
    <row r="7" spans="1:10" s="718" customFormat="1" ht="18.600000000000001">
      <c r="A7" s="724"/>
      <c r="B7" s="724" t="s">
        <v>895</v>
      </c>
      <c r="C7" s="724"/>
      <c r="D7" s="724"/>
      <c r="E7" s="724"/>
      <c r="F7" s="724"/>
      <c r="G7" s="724"/>
      <c r="H7" s="724"/>
    </row>
    <row r="9" spans="1:10">
      <c r="D9" s="1134" t="s">
        <v>479</v>
      </c>
      <c r="E9" s="1134"/>
      <c r="F9" s="1134"/>
      <c r="G9" s="1134"/>
      <c r="H9" s="1134"/>
      <c r="I9" s="1134"/>
      <c r="J9" s="1134"/>
    </row>
    <row r="10" spans="1:10" ht="29.1">
      <c r="B10" s="399" t="s">
        <v>104</v>
      </c>
      <c r="C10" s="399" t="s">
        <v>711</v>
      </c>
      <c r="D10" s="719" t="s">
        <v>448</v>
      </c>
      <c r="E10" s="719" t="s">
        <v>460</v>
      </c>
      <c r="F10" s="719" t="s">
        <v>462</v>
      </c>
      <c r="G10" s="719" t="s">
        <v>465</v>
      </c>
      <c r="H10" s="719" t="s">
        <v>466</v>
      </c>
      <c r="I10" s="719" t="s">
        <v>468</v>
      </c>
      <c r="J10" s="719" t="s">
        <v>469</v>
      </c>
    </row>
    <row r="11" spans="1:10">
      <c r="B11" s="278" t="s">
        <v>703</v>
      </c>
      <c r="C11" s="278" t="s">
        <v>443</v>
      </c>
      <c r="D11" s="793" cm="1">
        <f t="array" ref="D11">_xlfn.XLOOKUP(1,($B11=$B$53:$B$58)*(D$10=$C$53:$C$58),$G$53:$G$58,"Not found",0,1)</f>
        <v>6062.3042306325406</v>
      </c>
      <c r="E11" s="793" t="str">
        <f>G176</f>
        <v>LG(H)</v>
      </c>
      <c r="F11" s="793" cm="1">
        <f t="array" ref="F11">_xlfn.XLOOKUP(1,($B11=$B$53:$B$58)*(F$10=$C$53:$C$58),$G$53:$G$58,"Not found",0,1)</f>
        <v>3102.7682314489643</v>
      </c>
      <c r="G11" s="793" cm="1">
        <f t="array" ref="G11">_xlfn.XLOOKUP(1,($B11=$B$53:$B$58)*(G$10=$C$53:$C$58),$G$53:$G$58,"Not found",0,1)</f>
        <v>555.92010148003658</v>
      </c>
      <c r="H11" s="793" cm="1">
        <f t="array" ref="H11">_xlfn.XLOOKUP(1,($B11=$B$53:$B$58)*(H$10=$C$53:$C$58),$G$53:$G$58,"Not found",0,1)</f>
        <v>555.92010148003658</v>
      </c>
      <c r="I11" s="793" cm="1">
        <f t="array" ref="I11">_xlfn.XLOOKUP(1,($B11=$B$53:$B$58)*(I$10=$C$53:$C$58),$G$53:$G$58,"Not found",0,1)</f>
        <v>615.8985987411678</v>
      </c>
      <c r="J11" s="793" t="s">
        <v>473</v>
      </c>
    </row>
    <row r="12" spans="1:10">
      <c r="B12" s="278" t="s">
        <v>704</v>
      </c>
      <c r="C12" s="278" t="s">
        <v>443</v>
      </c>
      <c r="D12" s="793" cm="1">
        <f t="array" ref="D12">_xlfn.XLOOKUP(1,($B12=$B$124:$B$127)*(D$10=$C$124:$C$127),$G$124:$G$127,"Not found",0,1)</f>
        <v>4338.4319728510573</v>
      </c>
      <c r="E12" s="793" t="str">
        <f>G177</f>
        <v>LG(H)</v>
      </c>
      <c r="F12" s="793"/>
      <c r="G12" s="793"/>
      <c r="H12" s="793"/>
      <c r="I12" s="793" cm="1">
        <f t="array" ref="I12">_xlfn.XLOOKUP(1,($B12=$B$124:$B$127)*(I$10=$C$124:$C$127),$G$124:$G$127,"Not found",0,1)</f>
        <v>4059.91535237173</v>
      </c>
      <c r="J12" s="793" t="s">
        <v>473</v>
      </c>
    </row>
    <row r="13" spans="1:10">
      <c r="B13" s="278" t="s">
        <v>705</v>
      </c>
      <c r="C13" s="278" t="s">
        <v>443</v>
      </c>
      <c r="D13" s="793" cm="1">
        <f t="array" ref="D13">_xlfn.XLOOKUP(1,($B13=$B$124:$B$127)*(D$10=$C$124:$C$127),$G$124:$G$127,"Not found",0,1)</f>
        <v>6952.2033342724353</v>
      </c>
      <c r="E13" s="793">
        <f>G178</f>
        <v>488809.47878759808</v>
      </c>
      <c r="F13" s="793"/>
      <c r="G13" s="793"/>
      <c r="H13" s="793"/>
      <c r="I13" s="793" cm="1">
        <f t="array" ref="I13">_xlfn.XLOOKUP(1,($B13=$B$124:$B$127)*(I$10=$C$124:$C$127),$G$124:$G$127,"Not found",0,1)</f>
        <v>6823.6572017435146</v>
      </c>
      <c r="J13" s="793" t="s">
        <v>473</v>
      </c>
    </row>
    <row r="14" spans="1:10">
      <c r="B14" s="278" t="s">
        <v>706</v>
      </c>
      <c r="C14" s="278" t="s">
        <v>707</v>
      </c>
      <c r="D14" s="793"/>
      <c r="E14" s="793" t="s">
        <v>473</v>
      </c>
      <c r="F14" s="793"/>
      <c r="G14" s="793" cm="1">
        <f t="array" ref="G14">_xlfn.XLOOKUP(1,($B14=$B$53:$B$58)*(G$10=$C$53:$C$58),$G$53:$G$58,"Not found",0,1)</f>
        <v>187.99230484832154</v>
      </c>
      <c r="H14" s="793"/>
      <c r="I14" s="793"/>
      <c r="J14" s="793"/>
    </row>
    <row r="15" spans="1:10" s="7" customFormat="1">
      <c r="B15" s="800" t="s">
        <v>896</v>
      </c>
      <c r="C15" s="28"/>
      <c r="D15" s="28"/>
      <c r="E15" s="28"/>
      <c r="F15" s="28"/>
      <c r="G15" s="28"/>
    </row>
    <row r="17" spans="1:8">
      <c r="A17" s="721"/>
      <c r="B17" s="722" t="s">
        <v>3945</v>
      </c>
      <c r="C17" s="721"/>
      <c r="D17" s="721"/>
      <c r="E17" s="721"/>
      <c r="F17" s="721"/>
      <c r="G17" s="721"/>
      <c r="H17" s="721"/>
    </row>
    <row r="18" spans="1:8">
      <c r="A18" s="727"/>
      <c r="B18" s="729" t="s">
        <v>897</v>
      </c>
      <c r="C18" s="727"/>
      <c r="D18" s="727"/>
      <c r="E18" s="727"/>
      <c r="F18" s="727"/>
      <c r="G18" s="727"/>
      <c r="H18" s="727"/>
    </row>
    <row r="19" spans="1:8">
      <c r="B19" s="277" t="s">
        <v>898</v>
      </c>
      <c r="C19" s="277" t="s">
        <v>899</v>
      </c>
    </row>
    <row r="20" spans="1:8">
      <c r="B20" s="278" t="s">
        <v>448</v>
      </c>
      <c r="C20" s="278" t="s">
        <v>3946</v>
      </c>
    </row>
    <row r="21" spans="1:8">
      <c r="B21" s="278" t="s">
        <v>462</v>
      </c>
      <c r="C21" s="278" t="s">
        <v>3947</v>
      </c>
    </row>
    <row r="22" spans="1:8">
      <c r="B22" s="278" t="s">
        <v>465</v>
      </c>
      <c r="C22" s="278" t="s">
        <v>3948</v>
      </c>
    </row>
    <row r="23" spans="1:8">
      <c r="B23" s="278" t="s">
        <v>466</v>
      </c>
      <c r="C23" s="278" t="s">
        <v>3949</v>
      </c>
    </row>
    <row r="24" spans="1:8">
      <c r="B24" s="278" t="s">
        <v>468</v>
      </c>
      <c r="C24" s="278" t="s">
        <v>3950</v>
      </c>
    </row>
    <row r="25" spans="1:8">
      <c r="B25" s="16"/>
    </row>
    <row r="26" spans="1:8">
      <c r="A26" s="727"/>
      <c r="B26" s="728" t="s">
        <v>911</v>
      </c>
      <c r="C26" s="727"/>
      <c r="D26" s="727"/>
      <c r="E26" s="727"/>
      <c r="F26" s="727"/>
      <c r="G26" s="727"/>
      <c r="H26" s="727"/>
    </row>
    <row r="27" spans="1:8">
      <c r="A27" s="725"/>
      <c r="B27" s="726" t="s">
        <v>912</v>
      </c>
      <c r="C27" s="725"/>
      <c r="D27" s="725"/>
      <c r="E27" s="725"/>
      <c r="F27" s="725"/>
      <c r="G27" s="725"/>
      <c r="H27" s="725"/>
    </row>
    <row r="28" spans="1:8" ht="29.1">
      <c r="B28" s="719" t="s">
        <v>913</v>
      </c>
      <c r="C28" s="719" t="s">
        <v>914</v>
      </c>
      <c r="D28" s="719" t="s">
        <v>915</v>
      </c>
      <c r="E28" s="719" t="s">
        <v>916</v>
      </c>
      <c r="F28" s="719" t="s">
        <v>917</v>
      </c>
      <c r="G28" s="719" t="s">
        <v>918</v>
      </c>
      <c r="H28" s="719" t="s">
        <v>919</v>
      </c>
    </row>
    <row r="29" spans="1:8">
      <c r="B29" s="278">
        <v>56</v>
      </c>
      <c r="C29" s="278" t="s">
        <v>3951</v>
      </c>
      <c r="D29" s="278"/>
      <c r="E29" s="278">
        <v>2018</v>
      </c>
      <c r="F29" s="278" t="s">
        <v>1048</v>
      </c>
      <c r="G29" s="278" t="s">
        <v>1048</v>
      </c>
      <c r="H29" s="278"/>
    </row>
    <row r="30" spans="1:8">
      <c r="B30" s="16"/>
    </row>
    <row r="31" spans="1:8">
      <c r="A31" s="725"/>
      <c r="B31" s="726" t="s">
        <v>924</v>
      </c>
      <c r="C31" s="725"/>
      <c r="D31" s="725"/>
      <c r="E31" s="725"/>
      <c r="F31" s="725"/>
      <c r="G31" s="725"/>
      <c r="H31" s="725"/>
    </row>
    <row r="32" spans="1:8">
      <c r="B32" s="277" t="s">
        <v>165</v>
      </c>
      <c r="C32" s="277" t="s">
        <v>925</v>
      </c>
      <c r="D32" s="277" t="s">
        <v>926</v>
      </c>
      <c r="E32" s="1134" t="s">
        <v>927</v>
      </c>
      <c r="F32" s="1134"/>
      <c r="G32" s="1134"/>
      <c r="H32" s="1134"/>
    </row>
    <row r="33" spans="1:12">
      <c r="B33" s="278" t="s">
        <v>169</v>
      </c>
      <c r="C33" s="278" t="s">
        <v>166</v>
      </c>
      <c r="D33" s="278">
        <f>VLOOKUP(C33,METHODOLOGY!$C$175:$D$177,2,FALSE)</f>
        <v>3</v>
      </c>
      <c r="E33" s="1087" t="str">
        <f>_xlfn.XLOOKUP(C33,METHODOLOGY!$E$150:$O$150,METHODOLOGY!$E$151:$O$151,"",0,1)</f>
        <v>Monetary values have been peer reviewed or are recommended / referenced in other, well recognised and accepted guidance / tools relevant to the water sector.</v>
      </c>
      <c r="F33" s="1087"/>
      <c r="G33" s="1087"/>
      <c r="H33" s="1087"/>
    </row>
    <row r="34" spans="1:12">
      <c r="B34" s="278" t="s">
        <v>173</v>
      </c>
      <c r="C34" s="278" t="s">
        <v>166</v>
      </c>
      <c r="D34" s="278">
        <f>VLOOKUP(C34,METHODOLOGY!$C$175:$D$177,2,FALSE)</f>
        <v>3</v>
      </c>
      <c r="E34" s="1087" t="str">
        <f>_xlfn.XLOOKUP(C34,METHODOLOGY!$E$150:$O$150,METHODOLOGY!$E$155:$O$155,"",0,1)</f>
        <v>Study has few limitations and is considered robust.</v>
      </c>
      <c r="F34" s="1087"/>
      <c r="G34" s="1087"/>
      <c r="H34" s="1087"/>
    </row>
    <row r="35" spans="1:12">
      <c r="B35" s="278" t="s">
        <v>177</v>
      </c>
      <c r="C35" s="278" t="s">
        <v>167</v>
      </c>
      <c r="D35" s="278">
        <f>VLOOKUP(C35,METHODOLOGY!$C$175:$D$177,2,FALSE)</f>
        <v>2</v>
      </c>
      <c r="E35" s="1087" t="str">
        <f>_xlfn.XLOOKUP(C35,METHODOLOGY!$E$150:$O$150,METHODOLOGY!$E$158:$O$158,"",0,1)</f>
        <v>6-10 years</v>
      </c>
      <c r="F35" s="1087"/>
      <c r="G35" s="1087"/>
      <c r="H35" s="1087"/>
    </row>
    <row r="36" spans="1:12">
      <c r="B36" s="278" t="s">
        <v>181</v>
      </c>
      <c r="C36" s="278" t="s">
        <v>166</v>
      </c>
      <c r="D36" s="278">
        <f>VLOOKUP(C36,METHODOLOGY!$C$175:$D$177,2,FALSE)</f>
        <v>3</v>
      </c>
      <c r="E36" s="1087" t="str">
        <f>_xlfn.XLOOKUP(C36,METHODOLOGY!$E$150:$O$150,METHODOLOGY!$E$160:$O$160,"",0,1)</f>
        <v>Geographically relevant to UK</v>
      </c>
      <c r="F36" s="1087"/>
      <c r="G36" s="1087"/>
      <c r="H36" s="1087"/>
    </row>
    <row r="37" spans="1:12">
      <c r="B37" s="278" t="s">
        <v>928</v>
      </c>
      <c r="C37" s="278" t="s">
        <v>166</v>
      </c>
      <c r="D37" s="278">
        <f>VLOOKUP(C37,METHODOLOGY!$C$175:$D$177,2,FALSE)</f>
        <v>3</v>
      </c>
      <c r="E37" s="1087" t="str">
        <f>_xlfn.XLOOKUP(C37,METHODOLOGY!$E$150:$O$150,METHODOLOGY!$E$162:$O$162,"",0,1)</f>
        <v>Clear understanding of the valuation method and how the value should be applied.</v>
      </c>
      <c r="F37" s="1087"/>
      <c r="G37" s="1087"/>
      <c r="H37" s="1087"/>
    </row>
    <row r="38" spans="1:12">
      <c r="B38" s="278" t="s">
        <v>189</v>
      </c>
      <c r="C38" s="278" t="s">
        <v>166</v>
      </c>
      <c r="D38" s="278">
        <f>VLOOKUP(C38,METHODOLOGY!$C$175:$D$177,2,FALSE)</f>
        <v>3</v>
      </c>
      <c r="E38" s="1087" t="str">
        <f>_xlfn.XLOOKUP(C38,METHODOLOGY!$E$150:$O$150,METHODOLOGY!$E$164:$O$164,"",0,1)</f>
        <v xml:space="preserve">The original valuation can be used with no or very simple modification e.g. change units from ha to km2, applying inflation. </v>
      </c>
      <c r="F38" s="1087"/>
      <c r="G38" s="1087"/>
      <c r="H38" s="1087"/>
    </row>
    <row r="39" spans="1:12">
      <c r="C39" s="282" t="s">
        <v>924</v>
      </c>
      <c r="D39" s="326">
        <f>IF(AND(D38=1,AVERAGE(D33:D38)&gt;2.14285714285714),2.14285714285714,IF(AND(D38=2,AVERAGE(D33:D38)&gt;2.57142857142857),2.57142857142857,AVERAGE(D33:D38)))</f>
        <v>2.8333333333333335</v>
      </c>
      <c r="E39" s="270" t="str">
        <f>IF(D39&lt;=2.14285714285714,"Red",IF(D39&lt;=2.57142857142857,"Amber",IF(D39&lt;=3,"Green")))</f>
        <v>Green</v>
      </c>
    </row>
    <row r="42" spans="1:12">
      <c r="A42" s="725"/>
      <c r="B42" s="726" t="s">
        <v>929</v>
      </c>
      <c r="C42" s="725"/>
      <c r="D42" s="725"/>
      <c r="E42" s="725"/>
      <c r="F42" s="725"/>
      <c r="G42" s="725"/>
      <c r="H42" s="725"/>
    </row>
    <row r="43" spans="1:12">
      <c r="B43" s="277" t="s">
        <v>913</v>
      </c>
      <c r="C43" s="277" t="s">
        <v>1089</v>
      </c>
      <c r="D43" s="277" t="s">
        <v>902</v>
      </c>
      <c r="E43" s="277" t="s">
        <v>331</v>
      </c>
      <c r="F43" s="277" t="s">
        <v>226</v>
      </c>
      <c r="G43" s="1157" t="s">
        <v>3952</v>
      </c>
      <c r="H43" s="1157"/>
      <c r="I43" s="1157"/>
      <c r="J43" s="1157"/>
      <c r="K43" s="1157"/>
      <c r="L43" s="1157"/>
    </row>
    <row r="44" spans="1:12" ht="29.1">
      <c r="B44" s="278">
        <v>56</v>
      </c>
      <c r="C44" s="278" t="s">
        <v>448</v>
      </c>
      <c r="D44" s="375" t="s">
        <v>703</v>
      </c>
      <c r="E44" s="305">
        <f>AVERAGE(980,3600,510,24800,1280,2230,460)</f>
        <v>4837.1428571428569</v>
      </c>
      <c r="F44" s="459" t="s">
        <v>3953</v>
      </c>
      <c r="G44" s="1491" t="s">
        <v>3954</v>
      </c>
      <c r="H44" s="1491"/>
      <c r="I44" s="1491"/>
      <c r="J44" s="1491"/>
      <c r="K44" s="1491"/>
      <c r="L44" s="1491"/>
    </row>
    <row r="45" spans="1:12" ht="34.5" customHeight="1">
      <c r="B45" s="278">
        <v>56</v>
      </c>
      <c r="C45" s="278" t="s">
        <v>462</v>
      </c>
      <c r="D45" s="375" t="s">
        <v>703</v>
      </c>
      <c r="E45" s="305">
        <f>AVERAGE(SUM(600,20,1010,3670),SUM(160,0,530,1140),SUM(0,0,0,40,200),SUM(10,0,2030,1870),SUM(0,0,80,100),SUM(340,10,1080,3900),SUM(40,0,150,350))</f>
        <v>2475.7142857142858</v>
      </c>
      <c r="F45" s="459" t="s">
        <v>3953</v>
      </c>
      <c r="G45" s="1494" t="s">
        <v>3955</v>
      </c>
      <c r="H45" s="1494"/>
      <c r="I45" s="1494"/>
      <c r="J45" s="1494"/>
      <c r="K45" s="1494"/>
      <c r="L45" s="1494"/>
    </row>
    <row r="46" spans="1:12" ht="33" customHeight="1">
      <c r="B46" s="278">
        <v>56</v>
      </c>
      <c r="C46" s="278" t="s">
        <v>465</v>
      </c>
      <c r="D46" s="375" t="s">
        <v>703</v>
      </c>
      <c r="E46" s="305">
        <f>AVERAGE(4170,510,0,360,100,1010,60)/2</f>
        <v>443.57142857142856</v>
      </c>
      <c r="F46" s="459" t="s">
        <v>3953</v>
      </c>
      <c r="G46" s="1492" t="s">
        <v>3956</v>
      </c>
      <c r="H46" s="1492"/>
      <c r="I46" s="1492"/>
      <c r="J46" s="1492"/>
      <c r="K46" s="1492"/>
      <c r="L46" s="1492"/>
    </row>
    <row r="47" spans="1:12" ht="57.95">
      <c r="B47" s="278">
        <v>56</v>
      </c>
      <c r="C47" s="278" t="s">
        <v>465</v>
      </c>
      <c r="D47" s="375" t="s">
        <v>706</v>
      </c>
      <c r="E47" s="305">
        <v>150</v>
      </c>
      <c r="F47" s="483" t="s">
        <v>3957</v>
      </c>
      <c r="G47" s="1493" t="s">
        <v>3958</v>
      </c>
      <c r="H47" s="1493"/>
      <c r="I47" s="1493"/>
      <c r="J47" s="1493"/>
      <c r="K47" s="1493"/>
      <c r="L47" s="1493"/>
    </row>
    <row r="48" spans="1:12" ht="29.1">
      <c r="B48" s="278">
        <v>56</v>
      </c>
      <c r="C48" s="278" t="s">
        <v>466</v>
      </c>
      <c r="D48" s="375" t="s">
        <v>703</v>
      </c>
      <c r="E48" s="305">
        <f>AVERAGE(4170,510,0,360,100,1010,60)/2</f>
        <v>443.57142857142856</v>
      </c>
      <c r="F48" s="459" t="s">
        <v>3953</v>
      </c>
      <c r="G48" s="1490" t="s">
        <v>3956</v>
      </c>
      <c r="H48" s="1490"/>
      <c r="I48" s="1490"/>
      <c r="J48" s="1490"/>
      <c r="K48" s="1490"/>
      <c r="L48" s="1490"/>
    </row>
    <row r="49" spans="1:23" ht="29.1">
      <c r="B49" s="278">
        <v>56</v>
      </c>
      <c r="C49" s="278" t="s">
        <v>468</v>
      </c>
      <c r="D49" s="375" t="s">
        <v>703</v>
      </c>
      <c r="E49" s="305">
        <f>AVERAGE(2250,380,0,190,80,510,30)</f>
        <v>491.42857142857144</v>
      </c>
      <c r="F49" s="459" t="s">
        <v>3953</v>
      </c>
      <c r="G49" s="1489" t="s">
        <v>3959</v>
      </c>
      <c r="H49" s="1489"/>
      <c r="I49" s="1489"/>
      <c r="J49" s="1489"/>
      <c r="K49" s="1489"/>
      <c r="L49" s="1489"/>
    </row>
    <row r="51" spans="1:23">
      <c r="A51" s="727"/>
      <c r="B51" s="728" t="s">
        <v>901</v>
      </c>
      <c r="C51" s="727"/>
      <c r="D51" s="727"/>
      <c r="E51" s="727"/>
      <c r="F51" s="727"/>
      <c r="G51" s="727"/>
      <c r="H51" s="727"/>
    </row>
    <row r="52" spans="1:23" ht="29.1">
      <c r="B52" s="719" t="s">
        <v>902</v>
      </c>
      <c r="C52" s="719" t="s">
        <v>898</v>
      </c>
      <c r="D52" s="719" t="s">
        <v>899</v>
      </c>
      <c r="E52" s="719" t="s">
        <v>903</v>
      </c>
      <c r="F52" s="719" t="s">
        <v>904</v>
      </c>
      <c r="G52" s="719" t="s">
        <v>905</v>
      </c>
      <c r="H52" s="752" t="s">
        <v>924</v>
      </c>
      <c r="I52" s="752" t="s">
        <v>956</v>
      </c>
      <c r="J52" s="752" t="s">
        <v>927</v>
      </c>
    </row>
    <row r="53" spans="1:23">
      <c r="B53" s="278" t="s">
        <v>703</v>
      </c>
      <c r="C53" s="278" t="s">
        <v>448</v>
      </c>
      <c r="D53" s="278" t="s">
        <v>3946</v>
      </c>
      <c r="E53" s="299" t="s">
        <v>3960</v>
      </c>
      <c r="F53" s="278" t="str" cm="1">
        <f t="array" ref="F53">_xlfn.XLOOKUP(1,(D62:D67=B53)*(E62:E67=C53),B62:B67,"Not found",0,1)</f>
        <v>45-1</v>
      </c>
      <c r="G53" s="311">
        <f>VLOOKUP(F53,B62:L74,11,FALSE)</f>
        <v>6062.3042306325406</v>
      </c>
      <c r="H53" s="1120">
        <f>$D$39</f>
        <v>2.8333333333333335</v>
      </c>
      <c r="I53" s="1178" t="s">
        <v>1583</v>
      </c>
      <c r="J53" s="1149" t="s">
        <v>3961</v>
      </c>
    </row>
    <row r="54" spans="1:23">
      <c r="B54" s="278" t="s">
        <v>703</v>
      </c>
      <c r="C54" s="278" t="s">
        <v>462</v>
      </c>
      <c r="D54" s="278" t="s">
        <v>3947</v>
      </c>
      <c r="E54" s="299" t="s">
        <v>3960</v>
      </c>
      <c r="F54" s="278" t="str" cm="1">
        <f t="array" ref="F54">_xlfn.XLOOKUP(1,(D63:D74=B54)*(E63:E74=C54),B63:B74,"Not found",0,1)</f>
        <v>45-2</v>
      </c>
      <c r="G54" s="311">
        <f>VLOOKUP(F54,B63:L135,11,FALSE)</f>
        <v>3102.7682314489643</v>
      </c>
      <c r="H54" s="1121"/>
      <c r="I54" s="1178"/>
      <c r="J54" s="1149"/>
    </row>
    <row r="55" spans="1:23">
      <c r="B55" s="278" t="s">
        <v>703</v>
      </c>
      <c r="C55" s="278" t="s">
        <v>465</v>
      </c>
      <c r="D55" s="278" t="s">
        <v>3948</v>
      </c>
      <c r="E55" s="299" t="s">
        <v>3960</v>
      </c>
      <c r="F55" s="278" t="str" cm="1">
        <f t="array" ref="F55">_xlfn.XLOOKUP(1,(D64:D135=B55)*(E64:E135=C55),B64:B135,"Not found",0,1)</f>
        <v>45-3</v>
      </c>
      <c r="G55" s="311">
        <f>VLOOKUP(F55,B64:L185,11,FALSE)</f>
        <v>555.92010148003658</v>
      </c>
      <c r="H55" s="1121"/>
      <c r="I55" s="1178"/>
      <c r="J55" s="1149"/>
    </row>
    <row r="56" spans="1:23">
      <c r="B56" s="278" t="s">
        <v>706</v>
      </c>
      <c r="C56" s="278" t="s">
        <v>465</v>
      </c>
      <c r="D56" s="278" t="s">
        <v>3948</v>
      </c>
      <c r="E56" s="299" t="s">
        <v>3960</v>
      </c>
      <c r="F56" s="278" t="str" cm="1">
        <f t="array" ref="F56">_xlfn.XLOOKUP(1,(D65:D185=B56)*(E65:E185=C56),B65:B185,"Not found",0,1)</f>
        <v>45-4</v>
      </c>
      <c r="G56" s="311">
        <f>VLOOKUP(F56,B65:L186,11,FALSE)</f>
        <v>187.99230484832154</v>
      </c>
      <c r="H56" s="1121"/>
      <c r="I56" s="1178"/>
      <c r="J56" s="1149"/>
    </row>
    <row r="57" spans="1:23">
      <c r="B57" s="278" t="s">
        <v>703</v>
      </c>
      <c r="C57" s="278" t="s">
        <v>466</v>
      </c>
      <c r="D57" s="278" t="s">
        <v>3949</v>
      </c>
      <c r="E57" s="299" t="s">
        <v>3960</v>
      </c>
      <c r="F57" s="278" t="str" cm="1">
        <f t="array" ref="F57">_xlfn.XLOOKUP(1,(D66:D186=B57)*(E66:E186=C57),B66:B186,"Not found",0,1)</f>
        <v>45-5</v>
      </c>
      <c r="G57" s="311">
        <f>VLOOKUP(F57,B66:L187,11,FALSE)</f>
        <v>555.92010148003658</v>
      </c>
      <c r="H57" s="1121"/>
      <c r="I57" s="1178"/>
      <c r="J57" s="1149"/>
    </row>
    <row r="58" spans="1:23">
      <c r="B58" s="278" t="s">
        <v>703</v>
      </c>
      <c r="C58" s="278" t="s">
        <v>468</v>
      </c>
      <c r="D58" s="278" t="s">
        <v>3950</v>
      </c>
      <c r="E58" s="299" t="s">
        <v>3960</v>
      </c>
      <c r="F58" s="278" t="str" cm="1">
        <f t="array" ref="F58">_xlfn.XLOOKUP(1,(D67:D187=B58)*(E67:E187=C58),B67:B187,"Not found",0,1)</f>
        <v>45-6</v>
      </c>
      <c r="G58" s="311">
        <f>VLOOKUP(F58,B67:L188,11,FALSE)</f>
        <v>615.8985987411678</v>
      </c>
      <c r="H58" s="1122"/>
      <c r="I58" s="1178"/>
      <c r="J58" s="1149"/>
    </row>
    <row r="59" spans="1:23">
      <c r="B59" s="18"/>
    </row>
    <row r="60" spans="1:23">
      <c r="A60" s="725"/>
      <c r="B60" s="726" t="s">
        <v>962</v>
      </c>
      <c r="C60" s="725"/>
      <c r="D60" s="725"/>
      <c r="E60" s="725"/>
      <c r="F60" s="725"/>
      <c r="G60" s="725"/>
      <c r="H60" s="725"/>
    </row>
    <row r="61" spans="1:23">
      <c r="B61" s="277" t="s">
        <v>904</v>
      </c>
      <c r="C61" s="277" t="s">
        <v>62</v>
      </c>
      <c r="D61" s="277" t="s">
        <v>902</v>
      </c>
      <c r="E61" s="277" t="s">
        <v>898</v>
      </c>
      <c r="F61" s="277" t="s">
        <v>916</v>
      </c>
      <c r="G61" s="277" t="s">
        <v>963</v>
      </c>
      <c r="H61" s="277" t="s">
        <v>964</v>
      </c>
      <c r="I61" s="277" t="s">
        <v>965</v>
      </c>
      <c r="J61" s="277" t="s">
        <v>966</v>
      </c>
      <c r="K61" s="277" t="s">
        <v>967</v>
      </c>
      <c r="L61" s="277" t="s">
        <v>968</v>
      </c>
      <c r="M61" s="277" t="s">
        <v>956</v>
      </c>
      <c r="N61" s="277" t="s">
        <v>969</v>
      </c>
      <c r="O61" s="277" t="s">
        <v>970</v>
      </c>
      <c r="P61" s="277" t="s">
        <v>927</v>
      </c>
      <c r="Q61" s="277" t="s">
        <v>913</v>
      </c>
      <c r="R61" s="277" t="s">
        <v>914</v>
      </c>
      <c r="S61" s="277" t="s">
        <v>915</v>
      </c>
      <c r="T61" s="277" t="s">
        <v>916</v>
      </c>
      <c r="U61" s="277" t="s">
        <v>917</v>
      </c>
      <c r="V61" s="277" t="s">
        <v>918</v>
      </c>
      <c r="W61" s="277" t="s">
        <v>919</v>
      </c>
    </row>
    <row r="62" spans="1:23">
      <c r="B62" s="305" t="s">
        <v>3962</v>
      </c>
      <c r="C62" s="278" t="s">
        <v>3943</v>
      </c>
      <c r="D62" s="278" t="s">
        <v>703</v>
      </c>
      <c r="E62" s="278" t="s">
        <v>448</v>
      </c>
      <c r="F62" s="299">
        <f t="shared" ref="F62:F67" si="0">$E$29</f>
        <v>2018</v>
      </c>
      <c r="G62" s="278">
        <v>2016</v>
      </c>
      <c r="H62" s="278">
        <f>'COMPANY INPUT'!$C$16</f>
        <v>2023</v>
      </c>
      <c r="I62" s="278">
        <f>VLOOKUP(G62,'GDP Deflators'!$H$13:$I$86,2,FALSE)</f>
        <v>79.790499999999994</v>
      </c>
      <c r="J62" s="278">
        <f>VLOOKUP(H62,'GDP Deflators'!$H$13:$I$86,2,FALSE)</f>
        <v>100</v>
      </c>
      <c r="K62" s="385">
        <f t="shared" ref="K62:K67" si="1">E44</f>
        <v>4837.1428571428569</v>
      </c>
      <c r="L62" s="746">
        <f t="shared" ref="L62:L67" si="2">K62*(J62/I62)</f>
        <v>6062.3042306325406</v>
      </c>
      <c r="M62" s="278" t="str">
        <f t="shared" ref="M62:M67" si="3">$I$53</f>
        <v>Damage costs</v>
      </c>
      <c r="N62" s="326">
        <f t="shared" ref="N62:N67" si="4">$H$53</f>
        <v>2.8333333333333335</v>
      </c>
      <c r="O62" s="278" t="s">
        <v>718</v>
      </c>
      <c r="P62" s="278" t="str">
        <f t="shared" ref="P62:P67" si="5">$J$53</f>
        <v>Reputable source and based on survey data</v>
      </c>
      <c r="Q62" s="299">
        <f t="shared" ref="Q62:Q67" si="6">$B$29</f>
        <v>56</v>
      </c>
      <c r="R62" s="278" t="str">
        <f t="shared" ref="R62:R67" si="7">$C$29</f>
        <v>Home Office (2018) The economic and social costs of crime second edition.</v>
      </c>
      <c r="S62" s="278">
        <f t="shared" ref="S62:S67" si="8">$D$29</f>
        <v>0</v>
      </c>
      <c r="T62" s="278">
        <f t="shared" ref="T62:T67" si="9">$E$29</f>
        <v>2018</v>
      </c>
      <c r="U62" s="278" t="str">
        <f t="shared" ref="U62:U67" si="10">$F$29</f>
        <v>England and Wales</v>
      </c>
      <c r="V62" s="278" t="str">
        <f t="shared" ref="V62:V67" si="11">$G$29</f>
        <v>England and Wales</v>
      </c>
      <c r="W62" s="278">
        <f t="shared" ref="W62:W67" si="12">$H$29</f>
        <v>0</v>
      </c>
    </row>
    <row r="63" spans="1:23">
      <c r="B63" s="305" t="s">
        <v>3963</v>
      </c>
      <c r="C63" s="278" t="s">
        <v>3943</v>
      </c>
      <c r="D63" s="278" t="s">
        <v>703</v>
      </c>
      <c r="E63" s="278" t="s">
        <v>462</v>
      </c>
      <c r="F63" s="299">
        <f t="shared" si="0"/>
        <v>2018</v>
      </c>
      <c r="G63" s="278">
        <v>2016</v>
      </c>
      <c r="H63" s="278">
        <f>'COMPANY INPUT'!$C$16</f>
        <v>2023</v>
      </c>
      <c r="I63" s="278">
        <f>VLOOKUP(G63,'GDP Deflators'!$H$13:$I$86,2,FALSE)</f>
        <v>79.790499999999994</v>
      </c>
      <c r="J63" s="278">
        <f>VLOOKUP(H63,'GDP Deflators'!$H$13:$I$86,2,FALSE)</f>
        <v>100</v>
      </c>
      <c r="K63" s="385">
        <f t="shared" si="1"/>
        <v>2475.7142857142858</v>
      </c>
      <c r="L63" s="746">
        <f t="shared" si="2"/>
        <v>3102.7682314489643</v>
      </c>
      <c r="M63" s="278" t="str">
        <f t="shared" si="3"/>
        <v>Damage costs</v>
      </c>
      <c r="N63" s="326">
        <f t="shared" si="4"/>
        <v>2.8333333333333335</v>
      </c>
      <c r="O63" s="278" t="s">
        <v>718</v>
      </c>
      <c r="P63" s="278" t="str">
        <f t="shared" si="5"/>
        <v>Reputable source and based on survey data</v>
      </c>
      <c r="Q63" s="299">
        <f t="shared" si="6"/>
        <v>56</v>
      </c>
      <c r="R63" s="278" t="str">
        <f t="shared" si="7"/>
        <v>Home Office (2018) The economic and social costs of crime second edition.</v>
      </c>
      <c r="S63" s="278">
        <f t="shared" si="8"/>
        <v>0</v>
      </c>
      <c r="T63" s="278">
        <f t="shared" si="9"/>
        <v>2018</v>
      </c>
      <c r="U63" s="278" t="str">
        <f t="shared" si="10"/>
        <v>England and Wales</v>
      </c>
      <c r="V63" s="278" t="str">
        <f t="shared" si="11"/>
        <v>England and Wales</v>
      </c>
      <c r="W63" s="278">
        <f t="shared" si="12"/>
        <v>0</v>
      </c>
    </row>
    <row r="64" spans="1:23">
      <c r="B64" s="305" t="s">
        <v>3964</v>
      </c>
      <c r="C64" s="278" t="s">
        <v>3943</v>
      </c>
      <c r="D64" s="278" t="s">
        <v>703</v>
      </c>
      <c r="E64" s="278" t="s">
        <v>465</v>
      </c>
      <c r="F64" s="299">
        <f t="shared" si="0"/>
        <v>2018</v>
      </c>
      <c r="G64" s="278">
        <v>2016</v>
      </c>
      <c r="H64" s="278">
        <f>'COMPANY INPUT'!$C$16</f>
        <v>2023</v>
      </c>
      <c r="I64" s="278">
        <f>VLOOKUP(G64,'GDP Deflators'!$H$13:$I$86,2,FALSE)</f>
        <v>79.790499999999994</v>
      </c>
      <c r="J64" s="278">
        <f>VLOOKUP(H64,'GDP Deflators'!$H$13:$I$86,2,FALSE)</f>
        <v>100</v>
      </c>
      <c r="K64" s="385">
        <f t="shared" si="1"/>
        <v>443.57142857142856</v>
      </c>
      <c r="L64" s="746">
        <f t="shared" si="2"/>
        <v>555.92010148003658</v>
      </c>
      <c r="M64" s="278" t="str">
        <f t="shared" si="3"/>
        <v>Damage costs</v>
      </c>
      <c r="N64" s="326">
        <f t="shared" si="4"/>
        <v>2.8333333333333335</v>
      </c>
      <c r="O64" s="278" t="s">
        <v>718</v>
      </c>
      <c r="P64" s="278" t="str">
        <f t="shared" si="5"/>
        <v>Reputable source and based on survey data</v>
      </c>
      <c r="Q64" s="299">
        <f t="shared" si="6"/>
        <v>56</v>
      </c>
      <c r="R64" s="278" t="str">
        <f t="shared" si="7"/>
        <v>Home Office (2018) The economic and social costs of crime second edition.</v>
      </c>
      <c r="S64" s="278">
        <f t="shared" si="8"/>
        <v>0</v>
      </c>
      <c r="T64" s="278">
        <f t="shared" si="9"/>
        <v>2018</v>
      </c>
      <c r="U64" s="278" t="str">
        <f t="shared" si="10"/>
        <v>England and Wales</v>
      </c>
      <c r="V64" s="278" t="str">
        <f t="shared" si="11"/>
        <v>England and Wales</v>
      </c>
      <c r="W64" s="278">
        <f t="shared" si="12"/>
        <v>0</v>
      </c>
    </row>
    <row r="65" spans="1:23">
      <c r="B65" s="305" t="s">
        <v>3965</v>
      </c>
      <c r="C65" s="278" t="s">
        <v>3943</v>
      </c>
      <c r="D65" s="278" t="s">
        <v>706</v>
      </c>
      <c r="E65" s="278" t="s">
        <v>465</v>
      </c>
      <c r="F65" s="299">
        <f t="shared" si="0"/>
        <v>2018</v>
      </c>
      <c r="G65" s="278">
        <v>2016</v>
      </c>
      <c r="H65" s="278">
        <f>'COMPANY INPUT'!$C$16</f>
        <v>2023</v>
      </c>
      <c r="I65" s="278">
        <f>VLOOKUP(G65,'GDP Deflators'!$H$13:$I$86,2,FALSE)</f>
        <v>79.790499999999994</v>
      </c>
      <c r="J65" s="278">
        <f>VLOOKUP(H65,'GDP Deflators'!$H$13:$I$86,2,FALSE)</f>
        <v>100</v>
      </c>
      <c r="K65" s="385">
        <f t="shared" si="1"/>
        <v>150</v>
      </c>
      <c r="L65" s="746">
        <f t="shared" si="2"/>
        <v>187.99230484832154</v>
      </c>
      <c r="M65" s="278" t="str">
        <f t="shared" si="3"/>
        <v>Damage costs</v>
      </c>
      <c r="N65" s="326">
        <f t="shared" si="4"/>
        <v>2.8333333333333335</v>
      </c>
      <c r="O65" s="278" t="s">
        <v>718</v>
      </c>
      <c r="P65" s="278" t="str">
        <f t="shared" si="5"/>
        <v>Reputable source and based on survey data</v>
      </c>
      <c r="Q65" s="299">
        <f t="shared" si="6"/>
        <v>56</v>
      </c>
      <c r="R65" s="278" t="str">
        <f t="shared" si="7"/>
        <v>Home Office (2018) The economic and social costs of crime second edition.</v>
      </c>
      <c r="S65" s="278">
        <f t="shared" si="8"/>
        <v>0</v>
      </c>
      <c r="T65" s="278">
        <f t="shared" si="9"/>
        <v>2018</v>
      </c>
      <c r="U65" s="278" t="str">
        <f t="shared" si="10"/>
        <v>England and Wales</v>
      </c>
      <c r="V65" s="278" t="str">
        <f t="shared" si="11"/>
        <v>England and Wales</v>
      </c>
      <c r="W65" s="278">
        <f t="shared" si="12"/>
        <v>0</v>
      </c>
    </row>
    <row r="66" spans="1:23">
      <c r="B66" s="305" t="s">
        <v>3966</v>
      </c>
      <c r="C66" s="278" t="s">
        <v>3943</v>
      </c>
      <c r="D66" s="278" t="s">
        <v>703</v>
      </c>
      <c r="E66" s="278" t="s">
        <v>466</v>
      </c>
      <c r="F66" s="299">
        <f t="shared" si="0"/>
        <v>2018</v>
      </c>
      <c r="G66" s="278">
        <v>2016</v>
      </c>
      <c r="H66" s="278">
        <f>'COMPANY INPUT'!$C$16</f>
        <v>2023</v>
      </c>
      <c r="I66" s="278">
        <f>VLOOKUP(G66,'GDP Deflators'!$H$13:$I$86,2,FALSE)</f>
        <v>79.790499999999994</v>
      </c>
      <c r="J66" s="278">
        <f>VLOOKUP(H66,'GDP Deflators'!$H$13:$I$86,2,FALSE)</f>
        <v>100</v>
      </c>
      <c r="K66" s="385">
        <f t="shared" si="1"/>
        <v>443.57142857142856</v>
      </c>
      <c r="L66" s="746">
        <f t="shared" si="2"/>
        <v>555.92010148003658</v>
      </c>
      <c r="M66" s="278" t="str">
        <f t="shared" si="3"/>
        <v>Damage costs</v>
      </c>
      <c r="N66" s="326">
        <f t="shared" si="4"/>
        <v>2.8333333333333335</v>
      </c>
      <c r="O66" s="278" t="s">
        <v>718</v>
      </c>
      <c r="P66" s="278" t="str">
        <f t="shared" si="5"/>
        <v>Reputable source and based on survey data</v>
      </c>
      <c r="Q66" s="299">
        <f t="shared" si="6"/>
        <v>56</v>
      </c>
      <c r="R66" s="278" t="str">
        <f t="shared" si="7"/>
        <v>Home Office (2018) The economic and social costs of crime second edition.</v>
      </c>
      <c r="S66" s="278">
        <f t="shared" si="8"/>
        <v>0</v>
      </c>
      <c r="T66" s="278">
        <f t="shared" si="9"/>
        <v>2018</v>
      </c>
      <c r="U66" s="278" t="str">
        <f t="shared" si="10"/>
        <v>England and Wales</v>
      </c>
      <c r="V66" s="278" t="str">
        <f t="shared" si="11"/>
        <v>England and Wales</v>
      </c>
      <c r="W66" s="278">
        <f t="shared" si="12"/>
        <v>0</v>
      </c>
    </row>
    <row r="67" spans="1:23">
      <c r="B67" s="305" t="s">
        <v>3967</v>
      </c>
      <c r="C67" s="278" t="s">
        <v>3943</v>
      </c>
      <c r="D67" s="278" t="s">
        <v>703</v>
      </c>
      <c r="E67" s="278" t="s">
        <v>468</v>
      </c>
      <c r="F67" s="299">
        <f t="shared" si="0"/>
        <v>2018</v>
      </c>
      <c r="G67" s="278">
        <v>2016</v>
      </c>
      <c r="H67" s="278">
        <f>'COMPANY INPUT'!$C$16</f>
        <v>2023</v>
      </c>
      <c r="I67" s="278">
        <f>VLOOKUP(G67,'GDP Deflators'!$H$13:$I$86,2,FALSE)</f>
        <v>79.790499999999994</v>
      </c>
      <c r="J67" s="278">
        <f>VLOOKUP(H67,'GDP Deflators'!$H$13:$I$86,2,FALSE)</f>
        <v>100</v>
      </c>
      <c r="K67" s="385">
        <f t="shared" si="1"/>
        <v>491.42857142857144</v>
      </c>
      <c r="L67" s="746">
        <f t="shared" si="2"/>
        <v>615.8985987411678</v>
      </c>
      <c r="M67" s="278" t="str">
        <f t="shared" si="3"/>
        <v>Damage costs</v>
      </c>
      <c r="N67" s="326">
        <f t="shared" si="4"/>
        <v>2.8333333333333335</v>
      </c>
      <c r="O67" s="278" t="s">
        <v>718</v>
      </c>
      <c r="P67" s="278" t="str">
        <f t="shared" si="5"/>
        <v>Reputable source and based on survey data</v>
      </c>
      <c r="Q67" s="299">
        <f t="shared" si="6"/>
        <v>56</v>
      </c>
      <c r="R67" s="278" t="str">
        <f t="shared" si="7"/>
        <v>Home Office (2018) The economic and social costs of crime second edition.</v>
      </c>
      <c r="S67" s="278">
        <f t="shared" si="8"/>
        <v>0</v>
      </c>
      <c r="T67" s="278">
        <f t="shared" si="9"/>
        <v>2018</v>
      </c>
      <c r="U67" s="278" t="str">
        <f t="shared" si="10"/>
        <v>England and Wales</v>
      </c>
      <c r="V67" s="278" t="str">
        <f t="shared" si="11"/>
        <v>England and Wales</v>
      </c>
      <c r="W67" s="278">
        <f t="shared" si="12"/>
        <v>0</v>
      </c>
    </row>
    <row r="68" spans="1:23">
      <c r="B68" s="208"/>
      <c r="F68" s="4"/>
      <c r="K68" s="21"/>
      <c r="L68" s="21"/>
      <c r="R68" s="4"/>
    </row>
    <row r="69" spans="1:23">
      <c r="A69" s="721"/>
      <c r="B69" s="722" t="s">
        <v>3968</v>
      </c>
      <c r="C69" s="721"/>
      <c r="D69" s="721"/>
      <c r="E69" s="721"/>
      <c r="F69" s="721"/>
      <c r="G69" s="721"/>
      <c r="H69" s="721"/>
    </row>
    <row r="70" spans="1:23">
      <c r="A70" s="727"/>
      <c r="B70" s="729" t="s">
        <v>897</v>
      </c>
      <c r="C70" s="727"/>
      <c r="D70" s="727"/>
      <c r="E70" s="727"/>
      <c r="F70" s="727"/>
      <c r="G70" s="727"/>
      <c r="H70" s="727"/>
    </row>
    <row r="71" spans="1:23">
      <c r="B71" s="277" t="s">
        <v>898</v>
      </c>
      <c r="C71" s="277" t="s">
        <v>899</v>
      </c>
    </row>
    <row r="72" spans="1:23">
      <c r="B72" s="278" t="s">
        <v>448</v>
      </c>
      <c r="C72" s="278" t="s">
        <v>3946</v>
      </c>
    </row>
    <row r="73" spans="1:23">
      <c r="B73" s="278" t="s">
        <v>468</v>
      </c>
      <c r="C73" s="278" t="s">
        <v>3950</v>
      </c>
    </row>
    <row r="75" spans="1:23">
      <c r="A75" s="727"/>
      <c r="B75" s="728" t="s">
        <v>943</v>
      </c>
      <c r="C75" s="727"/>
      <c r="D75" s="727"/>
      <c r="E75" s="727"/>
      <c r="F75" s="727"/>
      <c r="G75" s="727"/>
      <c r="H75" s="727"/>
    </row>
    <row r="76" spans="1:23">
      <c r="A76" s="725"/>
      <c r="B76" s="726" t="s">
        <v>912</v>
      </c>
      <c r="C76" s="725"/>
      <c r="D76" s="725"/>
      <c r="E76" s="725"/>
      <c r="F76" s="725"/>
      <c r="G76" s="725"/>
      <c r="H76" s="725"/>
    </row>
    <row r="77" spans="1:23" ht="29.1">
      <c r="B77" s="719" t="s">
        <v>913</v>
      </c>
      <c r="C77" s="719" t="s">
        <v>914</v>
      </c>
      <c r="D77" s="719" t="s">
        <v>915</v>
      </c>
      <c r="E77" s="719" t="s">
        <v>916</v>
      </c>
      <c r="F77" s="719" t="s">
        <v>917</v>
      </c>
      <c r="G77" s="719" t="s">
        <v>918</v>
      </c>
      <c r="H77" s="719" t="s">
        <v>919</v>
      </c>
    </row>
    <row r="78" spans="1:23">
      <c r="B78" s="278">
        <v>62</v>
      </c>
      <c r="C78" s="278" t="s">
        <v>3969</v>
      </c>
      <c r="D78" s="278"/>
      <c r="E78" s="278">
        <v>2022</v>
      </c>
      <c r="F78" s="278" t="s">
        <v>1047</v>
      </c>
      <c r="G78" s="278" t="s">
        <v>1047</v>
      </c>
      <c r="H78" s="278"/>
    </row>
    <row r="79" spans="1:23">
      <c r="B79" s="16"/>
    </row>
    <row r="80" spans="1:23">
      <c r="A80" s="725"/>
      <c r="B80" s="726" t="s">
        <v>924</v>
      </c>
      <c r="C80" s="725"/>
      <c r="D80" s="725"/>
      <c r="E80" s="725"/>
      <c r="F80" s="725"/>
      <c r="G80" s="725"/>
      <c r="H80" s="725"/>
    </row>
    <row r="81" spans="1:12">
      <c r="B81" s="277" t="s">
        <v>165</v>
      </c>
      <c r="C81" s="277" t="s">
        <v>925</v>
      </c>
      <c r="D81" s="277" t="s">
        <v>926</v>
      </c>
      <c r="E81" s="1134" t="s">
        <v>927</v>
      </c>
      <c r="F81" s="1134"/>
      <c r="G81" s="1134"/>
      <c r="H81" s="1134"/>
    </row>
    <row r="82" spans="1:12">
      <c r="B82" s="278" t="s">
        <v>169</v>
      </c>
      <c r="C82" s="278" t="s">
        <v>166</v>
      </c>
      <c r="D82" s="278">
        <f>VLOOKUP(C82,METHODOLOGY!$C$175:$D$177,2,FALSE)</f>
        <v>3</v>
      </c>
      <c r="E82" s="1087" t="str">
        <f>_xlfn.XLOOKUP(C82,METHODOLOGY!$E$150:$O$150,METHODOLOGY!$E$151:$O$151,"",0,1)</f>
        <v>Monetary values have been peer reviewed or are recommended / referenced in other, well recognised and accepted guidance / tools relevant to the water sector.</v>
      </c>
      <c r="F82" s="1087"/>
      <c r="G82" s="1087"/>
      <c r="H82" s="1087"/>
    </row>
    <row r="83" spans="1:12">
      <c r="B83" s="278" t="s">
        <v>173</v>
      </c>
      <c r="C83" s="278" t="s">
        <v>166</v>
      </c>
      <c r="D83" s="278">
        <f>VLOOKUP(C83,METHODOLOGY!$C$175:$D$177,2,FALSE)</f>
        <v>3</v>
      </c>
      <c r="E83" s="1087" t="str">
        <f>_xlfn.XLOOKUP(C83,METHODOLOGY!$E$150:$O$150,METHODOLOGY!$E$155:$O$155,"",0,1)</f>
        <v>Study has few limitations and is considered robust.</v>
      </c>
      <c r="F83" s="1087"/>
      <c r="G83" s="1087"/>
      <c r="H83" s="1087"/>
    </row>
    <row r="84" spans="1:12">
      <c r="B84" s="278" t="s">
        <v>177</v>
      </c>
      <c r="C84" s="278" t="s">
        <v>166</v>
      </c>
      <c r="D84" s="278">
        <f>VLOOKUP(C84,METHODOLOGY!$C$175:$D$177,2,FALSE)</f>
        <v>3</v>
      </c>
      <c r="E84" s="1087" t="str">
        <f>_xlfn.XLOOKUP(C84,METHODOLOGY!$E$150:$O$150,METHODOLOGY!$E$158:$O$158,"",0,1)</f>
        <v>0 – 5 years</v>
      </c>
      <c r="F84" s="1087"/>
      <c r="G84" s="1087"/>
      <c r="H84" s="1087"/>
    </row>
    <row r="85" spans="1:12">
      <c r="B85" s="278" t="s">
        <v>181</v>
      </c>
      <c r="C85" s="278" t="s">
        <v>166</v>
      </c>
      <c r="D85" s="278">
        <f>VLOOKUP(C85,METHODOLOGY!$C$175:$D$177,2,FALSE)</f>
        <v>3</v>
      </c>
      <c r="E85" s="1087" t="str">
        <f>_xlfn.XLOOKUP(C85,METHODOLOGY!$E$150:$O$150,METHODOLOGY!$E$160:$O$160,"",0,1)</f>
        <v>Geographically relevant to UK</v>
      </c>
      <c r="F85" s="1087"/>
      <c r="G85" s="1087"/>
      <c r="H85" s="1087"/>
    </row>
    <row r="86" spans="1:12">
      <c r="B86" s="278" t="s">
        <v>928</v>
      </c>
      <c r="C86" s="278" t="s">
        <v>166</v>
      </c>
      <c r="D86" s="278">
        <f>VLOOKUP(C86,METHODOLOGY!$C$175:$D$177,2,FALSE)</f>
        <v>3</v>
      </c>
      <c r="E86" s="1087" t="str">
        <f>_xlfn.XLOOKUP(C86,METHODOLOGY!$E$150:$O$150,METHODOLOGY!$E$162:$O$162,"",0,1)</f>
        <v>Clear understanding of the valuation method and how the value should be applied.</v>
      </c>
      <c r="F86" s="1087"/>
      <c r="G86" s="1087"/>
      <c r="H86" s="1087"/>
    </row>
    <row r="87" spans="1:12">
      <c r="B87" s="278" t="s">
        <v>189</v>
      </c>
      <c r="C87" s="278" t="s">
        <v>166</v>
      </c>
      <c r="D87" s="278">
        <f>VLOOKUP(C87,METHODOLOGY!$C$175:$D$177,2,FALSE)</f>
        <v>3</v>
      </c>
      <c r="E87" s="1087" t="str">
        <f>_xlfn.XLOOKUP(C87,METHODOLOGY!$E$150:$O$150,METHODOLOGY!$E$164:$O$164,"",0,1)</f>
        <v xml:space="preserve">The original valuation can be used with no or very simple modification e.g. change units from ha to km2, applying inflation. </v>
      </c>
      <c r="F87" s="1087"/>
      <c r="G87" s="1087"/>
      <c r="H87" s="1087"/>
    </row>
    <row r="88" spans="1:12">
      <c r="C88" s="282" t="s">
        <v>924</v>
      </c>
      <c r="D88" s="326">
        <f>IF(AND(D87=1,AVERAGE(D82:D87)&gt;2.14285714285714),2.14285714285714,IF(AND(D87=2,AVERAGE(D82:D87)&gt;2.57142857142857),2.57142857142857,AVERAGE(D82:D87)))</f>
        <v>3</v>
      </c>
      <c r="E88" s="270" t="str">
        <f>IF(D88&lt;=2.14285714285714,"Red",IF(D88&lt;=2.57142857142857,"Amber",IF(D88&lt;=3,"Green")))</f>
        <v>Green</v>
      </c>
    </row>
    <row r="91" spans="1:12">
      <c r="A91" s="725"/>
      <c r="B91" s="726" t="s">
        <v>929</v>
      </c>
      <c r="C91" s="725"/>
      <c r="D91" s="725"/>
      <c r="E91" s="725"/>
      <c r="F91" s="725"/>
      <c r="G91" s="725"/>
      <c r="H91" s="725"/>
    </row>
    <row r="92" spans="1:12">
      <c r="B92" s="277" t="s">
        <v>913</v>
      </c>
      <c r="C92" s="277" t="s">
        <v>1089</v>
      </c>
      <c r="D92" s="277" t="s">
        <v>902</v>
      </c>
      <c r="E92" s="277" t="s">
        <v>331</v>
      </c>
      <c r="F92" s="277" t="s">
        <v>226</v>
      </c>
      <c r="G92" s="1157" t="s">
        <v>930</v>
      </c>
      <c r="H92" s="1157"/>
      <c r="I92" s="1157"/>
      <c r="J92" s="1157"/>
      <c r="K92" s="1157"/>
      <c r="L92" s="1157"/>
    </row>
    <row r="93" spans="1:12" ht="43.5">
      <c r="B93" s="278">
        <v>62</v>
      </c>
      <c r="C93" s="281" t="s">
        <v>448</v>
      </c>
      <c r="D93" s="375" t="s">
        <v>704</v>
      </c>
      <c r="E93" s="281">
        <v>4050</v>
      </c>
      <c r="F93" s="459" t="s">
        <v>3970</v>
      </c>
      <c r="G93" s="1483" t="s">
        <v>3971</v>
      </c>
      <c r="H93" s="1484"/>
      <c r="I93" s="1484"/>
      <c r="J93" s="1484"/>
      <c r="K93" s="1484"/>
      <c r="L93" s="1485"/>
    </row>
    <row r="94" spans="1:12" ht="57.95">
      <c r="B94" s="278">
        <v>62</v>
      </c>
      <c r="C94" s="281" t="s">
        <v>448</v>
      </c>
      <c r="D94" s="375" t="s">
        <v>705</v>
      </c>
      <c r="E94" s="281">
        <v>6490</v>
      </c>
      <c r="F94" s="459" t="s">
        <v>3970</v>
      </c>
      <c r="G94" s="1486"/>
      <c r="H94" s="1487"/>
      <c r="I94" s="1487"/>
      <c r="J94" s="1487"/>
      <c r="K94" s="1487"/>
      <c r="L94" s="1488"/>
    </row>
    <row r="95" spans="1:12" ht="43.5">
      <c r="B95" s="278">
        <v>62</v>
      </c>
      <c r="C95" s="281" t="s">
        <v>468</v>
      </c>
      <c r="D95" s="375" t="s">
        <v>704</v>
      </c>
      <c r="E95" s="281">
        <f>2640+1150</f>
        <v>3790</v>
      </c>
      <c r="F95" s="459" t="s">
        <v>3970</v>
      </c>
      <c r="G95" s="1483" t="s">
        <v>3972</v>
      </c>
      <c r="H95" s="1484"/>
      <c r="I95" s="1484"/>
      <c r="J95" s="1484"/>
      <c r="K95" s="1484"/>
      <c r="L95" s="1485"/>
    </row>
    <row r="96" spans="1:12" ht="57.95">
      <c r="B96" s="278">
        <v>62</v>
      </c>
      <c r="C96" s="281" t="s">
        <v>468</v>
      </c>
      <c r="D96" s="375" t="s">
        <v>705</v>
      </c>
      <c r="E96" s="281">
        <f>2600+3770</f>
        <v>6370</v>
      </c>
      <c r="F96" s="459" t="s">
        <v>3970</v>
      </c>
      <c r="G96" s="1486"/>
      <c r="H96" s="1487"/>
      <c r="I96" s="1487"/>
      <c r="J96" s="1487"/>
      <c r="K96" s="1487"/>
      <c r="L96" s="1488"/>
    </row>
    <row r="122" spans="1:10">
      <c r="A122" s="727"/>
      <c r="B122" s="728" t="s">
        <v>901</v>
      </c>
      <c r="C122" s="727"/>
      <c r="D122" s="727"/>
      <c r="E122" s="727"/>
      <c r="F122" s="727"/>
      <c r="G122" s="727"/>
      <c r="H122" s="727"/>
    </row>
    <row r="123" spans="1:10" ht="29.1">
      <c r="B123" s="719" t="s">
        <v>902</v>
      </c>
      <c r="C123" s="719" t="s">
        <v>898</v>
      </c>
      <c r="D123" s="719" t="s">
        <v>899</v>
      </c>
      <c r="E123" s="719" t="s">
        <v>903</v>
      </c>
      <c r="F123" s="719" t="s">
        <v>904</v>
      </c>
      <c r="G123" s="719" t="s">
        <v>905</v>
      </c>
      <c r="H123" s="752" t="s">
        <v>924</v>
      </c>
      <c r="I123" s="752" t="s">
        <v>956</v>
      </c>
      <c r="J123" s="752" t="s">
        <v>927</v>
      </c>
    </row>
    <row r="124" spans="1:10">
      <c r="B124" s="278" t="s">
        <v>704</v>
      </c>
      <c r="C124" s="281" t="s">
        <v>448</v>
      </c>
      <c r="D124" s="278" t="s">
        <v>3946</v>
      </c>
      <c r="E124" s="299" t="s">
        <v>3973</v>
      </c>
      <c r="F124" s="278" t="str" cm="1">
        <f t="array" ref="F124">_xlfn.XLOOKUP(1,(D131:D134=B124)*(E131:E134=C124),B131:B134,"Not found",0,1)</f>
        <v>45-7</v>
      </c>
      <c r="G124" s="311">
        <f>VLOOKUP(F124,B131:L135,11,FALSE)</f>
        <v>4338.4319728510573</v>
      </c>
      <c r="H124" s="1120">
        <f>D88</f>
        <v>3</v>
      </c>
      <c r="I124" s="1178" t="s">
        <v>1583</v>
      </c>
      <c r="J124" s="1149" t="s">
        <v>3974</v>
      </c>
    </row>
    <row r="125" spans="1:10">
      <c r="B125" s="278" t="s">
        <v>705</v>
      </c>
      <c r="C125" s="281" t="s">
        <v>448</v>
      </c>
      <c r="D125" s="278" t="s">
        <v>3946</v>
      </c>
      <c r="E125" s="299" t="s">
        <v>3973</v>
      </c>
      <c r="F125" s="278" t="str" cm="1">
        <f t="array" ref="F125">_xlfn.XLOOKUP(1,(D132:D135=B125)*(E132:E135=C125),B132:B135,"Not found",0,1)</f>
        <v>45-8</v>
      </c>
      <c r="G125" s="311">
        <f>VLOOKUP(F125,B132:L247,11,FALSE)</f>
        <v>6952.2033342724353</v>
      </c>
      <c r="H125" s="1121"/>
      <c r="I125" s="1178"/>
      <c r="J125" s="1149"/>
    </row>
    <row r="126" spans="1:10">
      <c r="B126" s="278" t="s">
        <v>704</v>
      </c>
      <c r="C126" s="281" t="s">
        <v>468</v>
      </c>
      <c r="D126" s="278" t="s">
        <v>3950</v>
      </c>
      <c r="E126" s="299" t="s">
        <v>3973</v>
      </c>
      <c r="F126" s="278" t="str" cm="1">
        <f t="array" ref="F126">_xlfn.XLOOKUP(1,(D133:D247=B126)*(E133:E247=C126),B133:B247,"Not found",0,1)</f>
        <v>45-9</v>
      </c>
      <c r="G126" s="311">
        <f>VLOOKUP(F126,B133:L248,11,FALSE)</f>
        <v>4059.91535237173</v>
      </c>
      <c r="H126" s="1121"/>
      <c r="I126" s="1178"/>
      <c r="J126" s="1149"/>
    </row>
    <row r="127" spans="1:10">
      <c r="B127" s="278" t="s">
        <v>705</v>
      </c>
      <c r="C127" s="281" t="s">
        <v>468</v>
      </c>
      <c r="D127" s="278" t="s">
        <v>3950</v>
      </c>
      <c r="E127" s="299" t="s">
        <v>3973</v>
      </c>
      <c r="F127" s="278" t="str" cm="1">
        <f t="array" ref="F127">_xlfn.XLOOKUP(1,(D134:D248=B127)*(E134:E248=C127),B134:B248,"Not found",0,1)</f>
        <v>45-10</v>
      </c>
      <c r="G127" s="311">
        <f>VLOOKUP(F127,B134:L249,11,FALSE)</f>
        <v>6823.6572017435146</v>
      </c>
      <c r="H127" s="1122"/>
      <c r="I127" s="1178"/>
      <c r="J127" s="1149"/>
    </row>
    <row r="128" spans="1:10">
      <c r="B128" s="18"/>
    </row>
    <row r="129" spans="1:23">
      <c r="A129" s="725"/>
      <c r="B129" s="726" t="s">
        <v>962</v>
      </c>
      <c r="C129" s="725"/>
      <c r="D129" s="725"/>
      <c r="E129" s="725"/>
      <c r="F129" s="725"/>
      <c r="G129" s="725"/>
      <c r="H129" s="725"/>
    </row>
    <row r="130" spans="1:23">
      <c r="B130" s="277" t="s">
        <v>904</v>
      </c>
      <c r="C130" s="277" t="s">
        <v>62</v>
      </c>
      <c r="D130" s="277" t="s">
        <v>902</v>
      </c>
      <c r="E130" s="277" t="s">
        <v>898</v>
      </c>
      <c r="F130" s="277" t="s">
        <v>916</v>
      </c>
      <c r="G130" s="277" t="s">
        <v>963</v>
      </c>
      <c r="H130" s="277" t="s">
        <v>964</v>
      </c>
      <c r="I130" s="277" t="s">
        <v>965</v>
      </c>
      <c r="J130" s="277" t="s">
        <v>966</v>
      </c>
      <c r="K130" s="277" t="s">
        <v>967</v>
      </c>
      <c r="L130" s="277" t="s">
        <v>968</v>
      </c>
      <c r="M130" s="277" t="s">
        <v>956</v>
      </c>
      <c r="N130" s="277" t="s">
        <v>969</v>
      </c>
      <c r="O130" s="277" t="s">
        <v>970</v>
      </c>
      <c r="P130" s="277" t="s">
        <v>927</v>
      </c>
      <c r="Q130" s="277" t="s">
        <v>913</v>
      </c>
      <c r="R130" s="277" t="s">
        <v>914</v>
      </c>
      <c r="S130" s="277" t="s">
        <v>915</v>
      </c>
      <c r="T130" s="277" t="s">
        <v>916</v>
      </c>
      <c r="U130" s="277" t="s">
        <v>917</v>
      </c>
      <c r="V130" s="277" t="s">
        <v>918</v>
      </c>
      <c r="W130" s="277" t="s">
        <v>919</v>
      </c>
    </row>
    <row r="131" spans="1:23">
      <c r="B131" s="305" t="s">
        <v>3975</v>
      </c>
      <c r="C131" s="278" t="s">
        <v>3943</v>
      </c>
      <c r="D131" s="278" t="s">
        <v>704</v>
      </c>
      <c r="E131" s="281" t="s">
        <v>448</v>
      </c>
      <c r="F131" s="299">
        <f>$E$78</f>
        <v>2022</v>
      </c>
      <c r="G131" s="278">
        <v>2022</v>
      </c>
      <c r="H131" s="278">
        <f>'COMPANY INPUT'!$C$16</f>
        <v>2023</v>
      </c>
      <c r="I131" s="278">
        <f>VLOOKUP(G131,'GDP Deflators'!$H$13:$I$86,2,FALSE)</f>
        <v>93.351699999999994</v>
      </c>
      <c r="J131" s="278">
        <f>VLOOKUP(H131,'GDP Deflators'!$H$13:$I$86,2,FALSE)</f>
        <v>100</v>
      </c>
      <c r="K131" s="385">
        <f>E93</f>
        <v>4050</v>
      </c>
      <c r="L131" s="746">
        <f>K131*(J131/I131)</f>
        <v>4338.4319728510573</v>
      </c>
      <c r="M131" s="278" t="str">
        <f>$I$124</f>
        <v>Damage costs</v>
      </c>
      <c r="N131" s="326">
        <f>$H$124</f>
        <v>3</v>
      </c>
      <c r="O131" s="278" t="s">
        <v>718</v>
      </c>
      <c r="P131" s="278" t="str">
        <f>$J$124</f>
        <v>Data produced by the UK Gov based on latest annual survey</v>
      </c>
      <c r="Q131" s="299">
        <f>$B$78</f>
        <v>62</v>
      </c>
      <c r="R131" s="278" t="str">
        <f>$C$78</f>
        <v>Department for Digital, Culture, Media &amp; Sport (2022) Cyber Security Breaches Survey 2022</v>
      </c>
      <c r="S131" s="278">
        <f>$D$78</f>
        <v>0</v>
      </c>
      <c r="T131" s="278">
        <f>$E$78</f>
        <v>2022</v>
      </c>
      <c r="U131" s="278" t="str">
        <f>$F$78</f>
        <v>UK</v>
      </c>
      <c r="V131" s="278" t="str">
        <f>$G$78</f>
        <v>UK</v>
      </c>
      <c r="W131" s="278">
        <f>$H$78</f>
        <v>0</v>
      </c>
    </row>
    <row r="132" spans="1:23">
      <c r="B132" s="305" t="s">
        <v>3976</v>
      </c>
      <c r="C132" s="278" t="s">
        <v>3943</v>
      </c>
      <c r="D132" s="278" t="s">
        <v>705</v>
      </c>
      <c r="E132" s="281" t="s">
        <v>448</v>
      </c>
      <c r="F132" s="299">
        <f>$E$78</f>
        <v>2022</v>
      </c>
      <c r="G132" s="278">
        <v>2022</v>
      </c>
      <c r="H132" s="278">
        <f>'COMPANY INPUT'!$C$16</f>
        <v>2023</v>
      </c>
      <c r="I132" s="278">
        <f>VLOOKUP(G132,'GDP Deflators'!$H$13:$I$86,2,FALSE)</f>
        <v>93.351699999999994</v>
      </c>
      <c r="J132" s="278">
        <f>VLOOKUP(H132,'GDP Deflators'!$H$13:$I$86,2,FALSE)</f>
        <v>100</v>
      </c>
      <c r="K132" s="385">
        <f>E94</f>
        <v>6490</v>
      </c>
      <c r="L132" s="746">
        <f>K132*(J132/I132)</f>
        <v>6952.2033342724353</v>
      </c>
      <c r="M132" s="278" t="str">
        <f>$I$124</f>
        <v>Damage costs</v>
      </c>
      <c r="N132" s="326">
        <f>$H$124</f>
        <v>3</v>
      </c>
      <c r="O132" s="278" t="s">
        <v>718</v>
      </c>
      <c r="P132" s="278" t="str">
        <f>$J$124</f>
        <v>Data produced by the UK Gov based on latest annual survey</v>
      </c>
      <c r="Q132" s="299">
        <f>$B$78</f>
        <v>62</v>
      </c>
      <c r="R132" s="278" t="str">
        <f>$C$78</f>
        <v>Department for Digital, Culture, Media &amp; Sport (2022) Cyber Security Breaches Survey 2022</v>
      </c>
      <c r="S132" s="278">
        <f>$D$78</f>
        <v>0</v>
      </c>
      <c r="T132" s="278">
        <f>$E$78</f>
        <v>2022</v>
      </c>
      <c r="U132" s="278" t="str">
        <f>$F$78</f>
        <v>UK</v>
      </c>
      <c r="V132" s="278" t="str">
        <f>$G$78</f>
        <v>UK</v>
      </c>
      <c r="W132" s="278">
        <f>$H$78</f>
        <v>0</v>
      </c>
    </row>
    <row r="133" spans="1:23">
      <c r="B133" s="305" t="s">
        <v>3977</v>
      </c>
      <c r="C133" s="278" t="s">
        <v>3943</v>
      </c>
      <c r="D133" s="278" t="s">
        <v>704</v>
      </c>
      <c r="E133" s="281" t="s">
        <v>468</v>
      </c>
      <c r="F133" s="299">
        <f>$E$78</f>
        <v>2022</v>
      </c>
      <c r="G133" s="278">
        <v>2022</v>
      </c>
      <c r="H133" s="278">
        <f>'COMPANY INPUT'!$C$16</f>
        <v>2023</v>
      </c>
      <c r="I133" s="278">
        <f>VLOOKUP(G133,'GDP Deflators'!$H$13:$I$86,2,FALSE)</f>
        <v>93.351699999999994</v>
      </c>
      <c r="J133" s="278">
        <f>VLOOKUP(H133,'GDP Deflators'!$H$13:$I$86,2,FALSE)</f>
        <v>100</v>
      </c>
      <c r="K133" s="385">
        <f>E95</f>
        <v>3790</v>
      </c>
      <c r="L133" s="746">
        <f>K133*(J133/I133)</f>
        <v>4059.91535237173</v>
      </c>
      <c r="M133" s="278" t="str">
        <f>$I$124</f>
        <v>Damage costs</v>
      </c>
      <c r="N133" s="326">
        <f>$H$124</f>
        <v>3</v>
      </c>
      <c r="O133" s="278" t="s">
        <v>718</v>
      </c>
      <c r="P133" s="278" t="str">
        <f>$J$124</f>
        <v>Data produced by the UK Gov based on latest annual survey</v>
      </c>
      <c r="Q133" s="299">
        <f>$B$78</f>
        <v>62</v>
      </c>
      <c r="R133" s="278" t="str">
        <f>$C$78</f>
        <v>Department for Digital, Culture, Media &amp; Sport (2022) Cyber Security Breaches Survey 2022</v>
      </c>
      <c r="S133" s="278">
        <f>$D$78</f>
        <v>0</v>
      </c>
      <c r="T133" s="278">
        <f>$E$78</f>
        <v>2022</v>
      </c>
      <c r="U133" s="278" t="str">
        <f>$F$78</f>
        <v>UK</v>
      </c>
      <c r="V133" s="278" t="str">
        <f>$G$78</f>
        <v>UK</v>
      </c>
      <c r="W133" s="278">
        <f>$H$78</f>
        <v>0</v>
      </c>
    </row>
    <row r="134" spans="1:23">
      <c r="B134" s="305" t="s">
        <v>3978</v>
      </c>
      <c r="C134" s="278" t="s">
        <v>3943</v>
      </c>
      <c r="D134" s="278" t="s">
        <v>705</v>
      </c>
      <c r="E134" s="281" t="s">
        <v>468</v>
      </c>
      <c r="F134" s="299">
        <f>$E$78</f>
        <v>2022</v>
      </c>
      <c r="G134" s="278">
        <v>2022</v>
      </c>
      <c r="H134" s="278">
        <f>'COMPANY INPUT'!$C$16</f>
        <v>2023</v>
      </c>
      <c r="I134" s="278">
        <f>VLOOKUP(G134,'GDP Deflators'!$H$13:$I$86,2,FALSE)</f>
        <v>93.351699999999994</v>
      </c>
      <c r="J134" s="278">
        <f>VLOOKUP(H134,'GDP Deflators'!$H$13:$I$86,2,FALSE)</f>
        <v>100</v>
      </c>
      <c r="K134" s="385">
        <f>E96</f>
        <v>6370</v>
      </c>
      <c r="L134" s="746">
        <f>K134*(J134/I134)</f>
        <v>6823.6572017435146</v>
      </c>
      <c r="M134" s="278" t="str">
        <f>$I$124</f>
        <v>Damage costs</v>
      </c>
      <c r="N134" s="326">
        <f>$H$124</f>
        <v>3</v>
      </c>
      <c r="O134" s="278" t="s">
        <v>718</v>
      </c>
      <c r="P134" s="278" t="str">
        <f>$J$124</f>
        <v>Data produced by the UK Gov based on latest annual survey</v>
      </c>
      <c r="Q134" s="299">
        <f>$B$78</f>
        <v>62</v>
      </c>
      <c r="R134" s="278" t="str">
        <f>$C$78</f>
        <v>Department for Digital, Culture, Media &amp; Sport (2022) Cyber Security Breaches Survey 2022</v>
      </c>
      <c r="S134" s="278">
        <f>$D$78</f>
        <v>0</v>
      </c>
      <c r="T134" s="278">
        <f>$E$78</f>
        <v>2022</v>
      </c>
      <c r="U134" s="278" t="str">
        <f>$F$78</f>
        <v>UK</v>
      </c>
      <c r="V134" s="278" t="str">
        <f>$G$78</f>
        <v>UK</v>
      </c>
      <c r="W134" s="278">
        <f>$H$78</f>
        <v>0</v>
      </c>
    </row>
    <row r="136" spans="1:23">
      <c r="A136" s="721"/>
      <c r="B136" s="722" t="s">
        <v>460</v>
      </c>
      <c r="C136" s="721"/>
      <c r="D136" s="721"/>
      <c r="E136" s="721"/>
      <c r="F136" s="721"/>
      <c r="G136" s="721"/>
      <c r="H136" s="721"/>
    </row>
    <row r="137" spans="1:23">
      <c r="A137" s="727"/>
      <c r="B137" s="729" t="s">
        <v>897</v>
      </c>
      <c r="C137" s="727"/>
      <c r="D137" s="727"/>
      <c r="E137" s="727"/>
      <c r="F137" s="727"/>
      <c r="G137" s="727"/>
      <c r="H137" s="727"/>
    </row>
    <row r="138" spans="1:23">
      <c r="B138" s="277" t="s">
        <v>898</v>
      </c>
      <c r="C138" s="277" t="s">
        <v>899</v>
      </c>
    </row>
    <row r="139" spans="1:23">
      <c r="B139" s="278" t="s">
        <v>460</v>
      </c>
      <c r="C139" s="278" t="s">
        <v>3979</v>
      </c>
    </row>
    <row r="141" spans="1:23">
      <c r="B141" s="16"/>
    </row>
    <row r="142" spans="1:23">
      <c r="A142" s="727"/>
      <c r="B142" s="728" t="s">
        <v>1028</v>
      </c>
      <c r="C142" s="727"/>
      <c r="D142" s="727"/>
      <c r="E142" s="727"/>
      <c r="F142" s="727"/>
      <c r="G142" s="727"/>
      <c r="H142" s="727"/>
    </row>
    <row r="143" spans="1:23">
      <c r="A143" s="725"/>
      <c r="B143" s="726" t="s">
        <v>912</v>
      </c>
      <c r="C143" s="725"/>
      <c r="D143" s="725"/>
      <c r="E143" s="725"/>
      <c r="F143" s="725"/>
      <c r="G143" s="725"/>
      <c r="H143" s="725"/>
    </row>
    <row r="144" spans="1:23" ht="29.1">
      <c r="B144" s="719" t="s">
        <v>913</v>
      </c>
      <c r="C144" s="719" t="s">
        <v>914</v>
      </c>
      <c r="D144" s="719" t="s">
        <v>915</v>
      </c>
      <c r="E144" s="719" t="s">
        <v>916</v>
      </c>
      <c r="F144" s="719" t="s">
        <v>917</v>
      </c>
      <c r="G144" s="719" t="s">
        <v>918</v>
      </c>
      <c r="H144" s="719" t="s">
        <v>919</v>
      </c>
    </row>
    <row r="145" spans="1:12">
      <c r="B145" s="278">
        <v>75</v>
      </c>
      <c r="C145" s="278" t="s">
        <v>3980</v>
      </c>
      <c r="D145" s="278"/>
      <c r="E145" s="278">
        <v>2014</v>
      </c>
      <c r="F145" s="278" t="s">
        <v>1047</v>
      </c>
      <c r="G145" s="278" t="s">
        <v>1047</v>
      </c>
      <c r="H145" s="278"/>
    </row>
    <row r="146" spans="1:12">
      <c r="B146" s="16"/>
    </row>
    <row r="147" spans="1:12">
      <c r="A147" s="725"/>
      <c r="B147" s="726" t="s">
        <v>924</v>
      </c>
      <c r="C147" s="725"/>
      <c r="D147" s="725"/>
      <c r="E147" s="725"/>
      <c r="F147" s="725"/>
      <c r="G147" s="725"/>
      <c r="H147" s="725"/>
    </row>
    <row r="148" spans="1:12">
      <c r="B148" s="277" t="s">
        <v>165</v>
      </c>
      <c r="C148" s="277" t="s">
        <v>925</v>
      </c>
      <c r="D148" s="277" t="s">
        <v>926</v>
      </c>
      <c r="E148" s="1134" t="s">
        <v>927</v>
      </c>
      <c r="F148" s="1134"/>
      <c r="G148" s="1134"/>
      <c r="H148" s="1134"/>
    </row>
    <row r="149" spans="1:12">
      <c r="B149" s="278" t="s">
        <v>169</v>
      </c>
      <c r="C149" s="278" t="s">
        <v>166</v>
      </c>
      <c r="D149" s="278">
        <f>VLOOKUP(C149,METHODOLOGY!$C$175:$D$177,2,FALSE)</f>
        <v>3</v>
      </c>
      <c r="E149" s="1087" t="str">
        <f>_xlfn.XLOOKUP(C149,METHODOLOGY!$E$150:$O$150,METHODOLOGY!$E$151:$O$151,"",0,1)</f>
        <v>Monetary values have been peer reviewed or are recommended / referenced in other, well recognised and accepted guidance / tools relevant to the water sector.</v>
      </c>
      <c r="F149" s="1087"/>
      <c r="G149" s="1087"/>
      <c r="H149" s="1087"/>
    </row>
    <row r="150" spans="1:12">
      <c r="B150" s="278" t="s">
        <v>173</v>
      </c>
      <c r="C150" s="278" t="s">
        <v>166</v>
      </c>
      <c r="D150" s="278">
        <f>VLOOKUP(C150,METHODOLOGY!$C$175:$D$177,2,FALSE)</f>
        <v>3</v>
      </c>
      <c r="E150" s="1087" t="str">
        <f>_xlfn.XLOOKUP(C150,METHODOLOGY!$E$150:$O$150,METHODOLOGY!$E$155:$O$155,"",0,1)</f>
        <v>Study has few limitations and is considered robust.</v>
      </c>
      <c r="F150" s="1087"/>
      <c r="G150" s="1087"/>
      <c r="H150" s="1087"/>
    </row>
    <row r="151" spans="1:12">
      <c r="B151" s="278" t="s">
        <v>177</v>
      </c>
      <c r="C151" s="278" t="s">
        <v>167</v>
      </c>
      <c r="D151" s="278">
        <f>VLOOKUP(C151,METHODOLOGY!$C$175:$D$177,2,FALSE)</f>
        <v>2</v>
      </c>
      <c r="E151" s="1087" t="str">
        <f>_xlfn.XLOOKUP(C151,METHODOLOGY!$E$150:$O$150,METHODOLOGY!$E$158:$O$158,"",0,1)</f>
        <v>6-10 years</v>
      </c>
      <c r="F151" s="1087"/>
      <c r="G151" s="1087"/>
      <c r="H151" s="1087"/>
    </row>
    <row r="152" spans="1:12">
      <c r="B152" s="278" t="s">
        <v>181</v>
      </c>
      <c r="C152" s="278" t="s">
        <v>166</v>
      </c>
      <c r="D152" s="278">
        <f>VLOOKUP(C152,METHODOLOGY!$C$175:$D$177,2,FALSE)</f>
        <v>3</v>
      </c>
      <c r="E152" s="1087" t="str">
        <f>_xlfn.XLOOKUP(C152,METHODOLOGY!$E$150:$O$150,METHODOLOGY!$E$160:$O$160,"",0,1)</f>
        <v>Geographically relevant to UK</v>
      </c>
      <c r="F152" s="1087"/>
      <c r="G152" s="1087"/>
      <c r="H152" s="1087"/>
    </row>
    <row r="153" spans="1:12">
      <c r="B153" s="278" t="s">
        <v>928</v>
      </c>
      <c r="C153" s="278" t="s">
        <v>166</v>
      </c>
      <c r="D153" s="278">
        <f>VLOOKUP(C153,METHODOLOGY!$C$175:$D$177,2,FALSE)</f>
        <v>3</v>
      </c>
      <c r="E153" s="1087" t="str">
        <f>_xlfn.XLOOKUP(C153,METHODOLOGY!$E$150:$O$150,METHODOLOGY!$E$162:$O$162,"",0,1)</f>
        <v>Clear understanding of the valuation method and how the value should be applied.</v>
      </c>
      <c r="F153" s="1087"/>
      <c r="G153" s="1087"/>
      <c r="H153" s="1087"/>
    </row>
    <row r="154" spans="1:12">
      <c r="B154" s="278" t="s">
        <v>189</v>
      </c>
      <c r="C154" s="278" t="s">
        <v>167</v>
      </c>
      <c r="D154" s="278">
        <f>VLOOKUP(C154,METHODOLOGY!$C$175:$D$177,2,FALSE)</f>
        <v>2</v>
      </c>
      <c r="E154" s="1087" t="str">
        <f>_xlfn.XLOOKUP(C154,METHODOLOGY!$E$150:$O$150,METHODOLOGY!$E$164:$O$164,"",0,1)</f>
        <v xml:space="preserve">The original valuation can be used with some modification e.g. applying household numbers. The calculation is simple or introduces low levels of uncertainty. </v>
      </c>
      <c r="F154" s="1087"/>
      <c r="G154" s="1087"/>
      <c r="H154" s="1087"/>
    </row>
    <row r="155" spans="1:12">
      <c r="C155" s="282" t="s">
        <v>924</v>
      </c>
      <c r="D155" s="326">
        <f>IF(AND(D154=1,AVERAGE(D149:D154)&gt;2.14285714285714),2.14285714285714,IF(AND(D154=2,AVERAGE(D149:D154)&gt;2.57142857142857),2.57142857142857,AVERAGE(D149:D154)))</f>
        <v>2.5714285714285698</v>
      </c>
      <c r="E155" s="270" t="str">
        <f>IF(D155&lt;=2.14285714285714,"Red",IF(D155&lt;=2.57142857142857,"Amber",IF(D155&lt;=3,"Green")))</f>
        <v>Amber</v>
      </c>
    </row>
    <row r="156" spans="1:12">
      <c r="K156"/>
    </row>
    <row r="158" spans="1:12">
      <c r="A158" s="725"/>
      <c r="B158" s="726" t="s">
        <v>929</v>
      </c>
      <c r="C158" s="725"/>
      <c r="D158" s="725"/>
      <c r="E158" s="725"/>
      <c r="F158" s="725"/>
      <c r="G158" s="725"/>
      <c r="H158" s="725"/>
    </row>
    <row r="159" spans="1:12">
      <c r="B159" s="277" t="s">
        <v>913</v>
      </c>
      <c r="C159" s="277" t="s">
        <v>1089</v>
      </c>
      <c r="D159" s="277" t="s">
        <v>902</v>
      </c>
      <c r="E159" s="277" t="s">
        <v>331</v>
      </c>
      <c r="F159" s="277" t="s">
        <v>226</v>
      </c>
      <c r="G159" s="1157" t="s">
        <v>3981</v>
      </c>
      <c r="H159" s="1157"/>
      <c r="I159" s="1157"/>
      <c r="J159" s="1157"/>
      <c r="K159" s="1157"/>
      <c r="L159" s="1157"/>
    </row>
    <row r="160" spans="1:12" ht="46.5" customHeight="1">
      <c r="B160" s="281">
        <v>75</v>
      </c>
      <c r="C160" s="281" t="s">
        <v>460</v>
      </c>
      <c r="D160" s="375" t="s">
        <v>705</v>
      </c>
      <c r="E160" s="563">
        <v>3.8</v>
      </c>
      <c r="F160" s="564" t="s">
        <v>3982</v>
      </c>
      <c r="G160" s="1195" t="s">
        <v>3983</v>
      </c>
      <c r="H160" s="1195"/>
      <c r="I160" s="1195"/>
      <c r="J160" s="1195"/>
      <c r="K160" s="1195"/>
      <c r="L160" s="1195"/>
    </row>
    <row r="170" spans="1:10">
      <c r="A170" s="725"/>
      <c r="B170" s="726" t="s">
        <v>936</v>
      </c>
      <c r="C170" s="725"/>
      <c r="D170" s="725"/>
      <c r="E170" s="725"/>
      <c r="F170" s="725"/>
      <c r="G170" s="725"/>
      <c r="H170" s="725"/>
    </row>
    <row r="171" spans="1:10">
      <c r="B171" s="352" t="s">
        <v>1089</v>
      </c>
      <c r="C171" s="347" t="s">
        <v>902</v>
      </c>
      <c r="D171" s="347" t="s">
        <v>331</v>
      </c>
      <c r="E171" s="347" t="s">
        <v>226</v>
      </c>
      <c r="F171" s="347" t="s">
        <v>930</v>
      </c>
      <c r="G171" s="26"/>
    </row>
    <row r="172" spans="1:10">
      <c r="B172" s="278" t="s">
        <v>460</v>
      </c>
      <c r="C172" s="278" t="s">
        <v>705</v>
      </c>
      <c r="D172" s="281">
        <f>E160*100000</f>
        <v>380000</v>
      </c>
      <c r="E172" s="387" t="s">
        <v>3984</v>
      </c>
      <c r="F172" s="281"/>
      <c r="G172" s="26"/>
    </row>
    <row r="173" spans="1:10">
      <c r="D173" s="22"/>
      <c r="E173" s="26"/>
      <c r="F173" s="22"/>
      <c r="G173" s="26"/>
    </row>
    <row r="174" spans="1:10">
      <c r="A174" s="727"/>
      <c r="B174" s="728" t="s">
        <v>901</v>
      </c>
      <c r="C174" s="727"/>
      <c r="D174" s="727"/>
      <c r="E174" s="727"/>
      <c r="F174" s="727"/>
      <c r="G174" s="727"/>
      <c r="H174" s="727"/>
    </row>
    <row r="175" spans="1:10" ht="29.1">
      <c r="B175" s="719" t="s">
        <v>902</v>
      </c>
      <c r="C175" s="719" t="s">
        <v>898</v>
      </c>
      <c r="D175" s="719" t="s">
        <v>899</v>
      </c>
      <c r="E175" s="719" t="s">
        <v>903</v>
      </c>
      <c r="F175" s="719" t="s">
        <v>904</v>
      </c>
      <c r="G175" s="719" t="s">
        <v>905</v>
      </c>
      <c r="H175" s="719" t="s">
        <v>924</v>
      </c>
      <c r="I175" s="719" t="s">
        <v>956</v>
      </c>
      <c r="J175" s="719" t="s">
        <v>927</v>
      </c>
    </row>
    <row r="176" spans="1:10" ht="72.599999999999994">
      <c r="B176" s="278" t="s">
        <v>703</v>
      </c>
      <c r="C176" s="281" t="s">
        <v>460</v>
      </c>
      <c r="D176" s="375" t="s">
        <v>3979</v>
      </c>
      <c r="E176" s="299" t="s">
        <v>3263</v>
      </c>
      <c r="F176" s="278" t="s">
        <v>906</v>
      </c>
      <c r="G176" s="300" t="s">
        <v>477</v>
      </c>
      <c r="H176" s="699" t="s">
        <v>907</v>
      </c>
      <c r="I176" s="699" t="s">
        <v>907</v>
      </c>
      <c r="J176" s="699" t="s">
        <v>907</v>
      </c>
    </row>
    <row r="177" spans="1:23" ht="72.599999999999994">
      <c r="B177" s="278" t="s">
        <v>704</v>
      </c>
      <c r="C177" s="281" t="s">
        <v>460</v>
      </c>
      <c r="D177" s="375" t="s">
        <v>3979</v>
      </c>
      <c r="E177" s="299" t="s">
        <v>3263</v>
      </c>
      <c r="F177" s="278" t="s">
        <v>906</v>
      </c>
      <c r="G177" s="300" t="s">
        <v>477</v>
      </c>
      <c r="H177" s="699" t="s">
        <v>907</v>
      </c>
      <c r="I177" s="699" t="s">
        <v>907</v>
      </c>
      <c r="J177" s="699" t="s">
        <v>907</v>
      </c>
    </row>
    <row r="178" spans="1:23" ht="72.599999999999994">
      <c r="B178" s="278" t="s">
        <v>705</v>
      </c>
      <c r="C178" s="281" t="s">
        <v>460</v>
      </c>
      <c r="D178" s="375" t="s">
        <v>3979</v>
      </c>
      <c r="E178" s="299" t="s">
        <v>3263</v>
      </c>
      <c r="F178" s="305" t="str">
        <f>B182</f>
        <v>45-11</v>
      </c>
      <c r="G178" s="300">
        <f>L182</f>
        <v>488809.47878759808</v>
      </c>
      <c r="H178" s="680">
        <f>$D$155</f>
        <v>2.5714285714285698</v>
      </c>
      <c r="I178" s="338" t="s">
        <v>1583</v>
      </c>
      <c r="J178" s="342" t="s">
        <v>3985</v>
      </c>
    </row>
    <row r="179" spans="1:23">
      <c r="B179" s="18"/>
    </row>
    <row r="180" spans="1:23">
      <c r="A180" s="725"/>
      <c r="B180" s="726" t="s">
        <v>962</v>
      </c>
      <c r="C180" s="725"/>
      <c r="D180" s="725"/>
      <c r="E180" s="725"/>
      <c r="F180" s="725"/>
      <c r="G180" s="725"/>
      <c r="H180" s="725"/>
    </row>
    <row r="181" spans="1:23">
      <c r="B181" s="277" t="s">
        <v>904</v>
      </c>
      <c r="C181" s="277" t="s">
        <v>62</v>
      </c>
      <c r="D181" s="277" t="s">
        <v>902</v>
      </c>
      <c r="E181" s="277" t="s">
        <v>898</v>
      </c>
      <c r="F181" s="277" t="s">
        <v>916</v>
      </c>
      <c r="G181" s="277" t="s">
        <v>963</v>
      </c>
      <c r="H181" s="277" t="s">
        <v>964</v>
      </c>
      <c r="I181" s="277" t="s">
        <v>965</v>
      </c>
      <c r="J181" s="277" t="s">
        <v>966</v>
      </c>
      <c r="K181" s="277" t="s">
        <v>967</v>
      </c>
      <c r="L181" s="277" t="s">
        <v>968</v>
      </c>
      <c r="M181" s="277" t="s">
        <v>956</v>
      </c>
      <c r="N181" s="277" t="s">
        <v>969</v>
      </c>
      <c r="O181" s="277" t="s">
        <v>970</v>
      </c>
      <c r="P181" s="277" t="s">
        <v>927</v>
      </c>
      <c r="Q181" s="277" t="s">
        <v>913</v>
      </c>
      <c r="R181" s="277" t="s">
        <v>914</v>
      </c>
      <c r="S181" s="277" t="s">
        <v>915</v>
      </c>
      <c r="T181" s="277" t="s">
        <v>916</v>
      </c>
      <c r="U181" s="277" t="s">
        <v>917</v>
      </c>
      <c r="V181" s="277" t="s">
        <v>918</v>
      </c>
      <c r="W181" s="277" t="s">
        <v>919</v>
      </c>
    </row>
    <row r="182" spans="1:23" ht="57.95">
      <c r="B182" s="305" t="s">
        <v>3986</v>
      </c>
      <c r="C182" s="278" t="s">
        <v>3943</v>
      </c>
      <c r="D182" s="375" t="s">
        <v>705</v>
      </c>
      <c r="E182" s="281" t="s">
        <v>460</v>
      </c>
      <c r="F182" s="299">
        <f>$E$145</f>
        <v>2014</v>
      </c>
      <c r="G182" s="278">
        <v>2014</v>
      </c>
      <c r="H182" s="278">
        <f>'COMPANY INPUT'!$C$16</f>
        <v>2023</v>
      </c>
      <c r="I182" s="278">
        <f>VLOOKUP(G182,'GDP Deflators'!$H$13:$I$86,2,FALSE)</f>
        <v>77.739900000000006</v>
      </c>
      <c r="J182" s="278">
        <f>VLOOKUP(H182,'GDP Deflators'!$H$13:$I$86,2,FALSE)</f>
        <v>100</v>
      </c>
      <c r="K182" s="385">
        <f>D172</f>
        <v>380000</v>
      </c>
      <c r="L182" s="746">
        <f>K182*(J182/I182)</f>
        <v>488809.47878759808</v>
      </c>
      <c r="M182" s="278" t="str">
        <f>I178</f>
        <v>Damage costs</v>
      </c>
      <c r="N182" s="326">
        <f>H178</f>
        <v>2.5714285714285698</v>
      </c>
      <c r="O182" s="278" t="s">
        <v>718</v>
      </c>
      <c r="P182" s="278" t="str">
        <f>J178</f>
        <v>Based on UK specific cyber attack survey data</v>
      </c>
      <c r="Q182" s="299">
        <f>$B$145</f>
        <v>75</v>
      </c>
      <c r="R182" s="278" t="str">
        <f>$C$145</f>
        <v>Oxford Economics (2014) Cyber-attacks: Effects on UK Companies</v>
      </c>
      <c r="S182" s="278">
        <f>$D$145</f>
        <v>0</v>
      </c>
      <c r="T182" s="278">
        <f>$E$145</f>
        <v>2014</v>
      </c>
      <c r="U182" s="278" t="str">
        <f>$F$145</f>
        <v>UK</v>
      </c>
      <c r="V182" s="278" t="str">
        <f>$G$145</f>
        <v>UK</v>
      </c>
      <c r="W182" s="278">
        <f>$H$145</f>
        <v>0</v>
      </c>
    </row>
    <row r="183" spans="1:23">
      <c r="B183" s="18"/>
    </row>
  </sheetData>
  <sheetProtection algorithmName="SHA-512" hashValue="cdB+7ZDrStDxV3AX7do0UdwlTm50+C8mf+SOyn8oLGzunH26KoWXf3Q0NpGE2IWyF6wYIUmprNPjfuDTFEB8Xg==" saltValue="t2G1JKyQ42bWAV8zUUrJrA==" spinCount="100000" sheet="1" objects="1" scenarios="1"/>
  <dataConsolidate/>
  <mergeCells count="41">
    <mergeCell ref="E153:H153"/>
    <mergeCell ref="E154:H154"/>
    <mergeCell ref="E148:H148"/>
    <mergeCell ref="E149:H149"/>
    <mergeCell ref="E150:H150"/>
    <mergeCell ref="E151:H151"/>
    <mergeCell ref="E152:H152"/>
    <mergeCell ref="E37:H37"/>
    <mergeCell ref="E38:H38"/>
    <mergeCell ref="E81:H81"/>
    <mergeCell ref="E82:H82"/>
    <mergeCell ref="E83:H83"/>
    <mergeCell ref="G48:L48"/>
    <mergeCell ref="G43:L43"/>
    <mergeCell ref="G44:L44"/>
    <mergeCell ref="G46:L46"/>
    <mergeCell ref="G47:L47"/>
    <mergeCell ref="G45:L45"/>
    <mergeCell ref="G159:L159"/>
    <mergeCell ref="G160:L160"/>
    <mergeCell ref="G93:L94"/>
    <mergeCell ref="G95:L96"/>
    <mergeCell ref="G49:L49"/>
    <mergeCell ref="G92:L92"/>
    <mergeCell ref="J53:J58"/>
    <mergeCell ref="I53:I58"/>
    <mergeCell ref="H53:H58"/>
    <mergeCell ref="H124:H127"/>
    <mergeCell ref="J124:J127"/>
    <mergeCell ref="I124:I127"/>
    <mergeCell ref="E84:H84"/>
    <mergeCell ref="E85:H85"/>
    <mergeCell ref="E86:H86"/>
    <mergeCell ref="E87:H87"/>
    <mergeCell ref="E35:H35"/>
    <mergeCell ref="E36:H36"/>
    <mergeCell ref="D9:J9"/>
    <mergeCell ref="B5:H5"/>
    <mergeCell ref="E32:H32"/>
    <mergeCell ref="E33:H33"/>
    <mergeCell ref="E34:H34"/>
  </mergeCells>
  <conditionalFormatting sqref="C15:G15">
    <cfRule type="cellIs" dxfId="44" priority="1" operator="equal">
      <formula>"n/a"</formula>
    </cfRule>
  </conditionalFormatting>
  <conditionalFormatting sqref="D39:E39">
    <cfRule type="cellIs" dxfId="43" priority="20" operator="lessThanOrEqual">
      <formula>3</formula>
    </cfRule>
    <cfRule type="cellIs" dxfId="42" priority="18" operator="lessThanOrEqual">
      <formula>2.14285714285714</formula>
    </cfRule>
    <cfRule type="cellIs" dxfId="41" priority="19" operator="lessThanOrEqual">
      <formula>2.57142857142857</formula>
    </cfRule>
  </conditionalFormatting>
  <conditionalFormatting sqref="D88:E88">
    <cfRule type="cellIs" dxfId="40" priority="12" operator="lessThanOrEqual">
      <formula>2.14285714285714</formula>
    </cfRule>
    <cfRule type="cellIs" dxfId="39" priority="13" operator="lessThanOrEqual">
      <formula>2.57142857142857</formula>
    </cfRule>
    <cfRule type="cellIs" dxfId="38" priority="14" operator="lessThanOrEqual">
      <formula>3</formula>
    </cfRule>
  </conditionalFormatting>
  <conditionalFormatting sqref="D155:E155">
    <cfRule type="cellIs" dxfId="37" priority="6" operator="lessThanOrEqual">
      <formula>2.14285714285714</formula>
    </cfRule>
    <cfRule type="cellIs" dxfId="36" priority="7" operator="lessThanOrEqual">
      <formula>2.57142857142857</formula>
    </cfRule>
    <cfRule type="cellIs" dxfId="35" priority="8" operator="lessThanOrEqual">
      <formula>3</formula>
    </cfRule>
  </conditionalFormatting>
  <conditionalFormatting sqref="D11:J14">
    <cfRule type="notContainsBlanks" dxfId="34" priority="2">
      <formula>LEN(TRIM(D11))&gt;0</formula>
    </cfRule>
  </conditionalFormatting>
  <conditionalFormatting sqref="E39">
    <cfRule type="containsText" dxfId="33" priority="15" operator="containsText" text="Green">
      <formula>NOT(ISERROR(SEARCH("Green",E39)))</formula>
    </cfRule>
    <cfRule type="containsText" dxfId="32" priority="16" operator="containsText" text="Amber">
      <formula>NOT(ISERROR(SEARCH("Amber",E39)))</formula>
    </cfRule>
    <cfRule type="containsText" dxfId="31" priority="17" operator="containsText" text="Red">
      <formula>NOT(ISERROR(SEARCH("Red",E39)))</formula>
    </cfRule>
  </conditionalFormatting>
  <conditionalFormatting sqref="E88">
    <cfRule type="containsText" dxfId="30" priority="9" operator="containsText" text="Green">
      <formula>NOT(ISERROR(SEARCH("Green",E88)))</formula>
    </cfRule>
    <cfRule type="containsText" dxfId="29" priority="10" operator="containsText" text="Amber">
      <formula>NOT(ISERROR(SEARCH("Amber",E88)))</formula>
    </cfRule>
    <cfRule type="containsText" dxfId="28" priority="11" operator="containsText" text="Red">
      <formula>NOT(ISERROR(SEARCH("Red",E88)))</formula>
    </cfRule>
  </conditionalFormatting>
  <conditionalFormatting sqref="E155">
    <cfRule type="containsText" dxfId="27" priority="3" operator="containsText" text="Green">
      <formula>NOT(ISERROR(SEARCH("Green",E155)))</formula>
    </cfRule>
    <cfRule type="containsText" dxfId="26" priority="4" operator="containsText" text="Amber">
      <formula>NOT(ISERROR(SEARCH("Amber",E155)))</formula>
    </cfRule>
    <cfRule type="containsText" dxfId="25" priority="5" operator="containsText" text="Red">
      <formula>NOT(ISERROR(SEARCH("Red",E155)))</formula>
    </cfRule>
  </conditionalFormatting>
  <conditionalFormatting sqref="H53">
    <cfRule type="cellIs" dxfId="24" priority="45" operator="lessThanOrEqual">
      <formula>2.14285714285714</formula>
    </cfRule>
    <cfRule type="cellIs" dxfId="23" priority="46" operator="lessThanOrEqual">
      <formula>2.57142857142857</formula>
    </cfRule>
    <cfRule type="cellIs" dxfId="22" priority="47" operator="lessThanOrEqual">
      <formula>3</formula>
    </cfRule>
  </conditionalFormatting>
  <conditionalFormatting sqref="H124">
    <cfRule type="cellIs" dxfId="21" priority="33" operator="lessThanOrEqual">
      <formula>2.14285714285714</formula>
    </cfRule>
    <cfRule type="cellIs" dxfId="20" priority="34" operator="lessThanOrEqual">
      <formula>2.57142857142857</formula>
    </cfRule>
    <cfRule type="cellIs" dxfId="19" priority="35" operator="lessThanOrEqual">
      <formula>3</formula>
    </cfRule>
  </conditionalFormatting>
  <conditionalFormatting sqref="H178">
    <cfRule type="cellIs" dxfId="18" priority="24" operator="lessThanOrEqual">
      <formula>2.14285714285714</formula>
    </cfRule>
    <cfRule type="cellIs" dxfId="17" priority="25" operator="lessThanOrEqual">
      <formula>2.57142857142857</formula>
    </cfRule>
    <cfRule type="cellIs" dxfId="16" priority="26" operator="lessThanOrEqual">
      <formula>3</formula>
    </cfRule>
  </conditionalFormatting>
  <conditionalFormatting sqref="N62:N67">
    <cfRule type="cellIs" dxfId="15" priority="50" operator="lessThanOrEqual">
      <formula>3</formula>
    </cfRule>
    <cfRule type="cellIs" dxfId="14" priority="48" operator="lessThanOrEqual">
      <formula>2.14285714285714</formula>
    </cfRule>
    <cfRule type="cellIs" dxfId="13" priority="49" operator="lessThanOrEqual">
      <formula>2.57142857142857</formula>
    </cfRule>
  </conditionalFormatting>
  <conditionalFormatting sqref="N131:N134">
    <cfRule type="cellIs" dxfId="12" priority="36" operator="lessThanOrEqual">
      <formula>2.14285714285714</formula>
    </cfRule>
    <cfRule type="cellIs" dxfId="11" priority="37" operator="lessThanOrEqual">
      <formula>2.57142857142857</formula>
    </cfRule>
    <cfRule type="cellIs" dxfId="10" priority="38" operator="lessThanOrEqual">
      <formula>3</formula>
    </cfRule>
  </conditionalFormatting>
  <conditionalFormatting sqref="N182">
    <cfRule type="cellIs" dxfId="9" priority="21" operator="lessThanOrEqual">
      <formula>2.14285714285714</formula>
    </cfRule>
    <cfRule type="cellIs" dxfId="8" priority="23" operator="lessThanOrEqual">
      <formula>3</formula>
    </cfRule>
    <cfRule type="cellIs" dxfId="7" priority="22" operator="lessThanOrEqual">
      <formula>2.57142857142857</formula>
    </cfRule>
  </conditionalFormatting>
  <dataValidations count="1">
    <dataValidation type="list" allowBlank="1" showInputMessage="1" showErrorMessage="1" sqref="C33:C38 C40 C74 C82:C87 C89 C140 C149:C154 C156" xr:uid="{212E7CFA-3F6A-4374-BDCC-58DFDD70E90A}">
      <formula1>"High, Medium, Low"</formula1>
    </dataValidation>
  </dataValidation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22DDA-3B07-44B5-97F5-1221F3DAA088}">
  <sheetPr codeName="Sheet51">
    <tabColor theme="6"/>
  </sheetPr>
  <dimension ref="A1"/>
  <sheetViews>
    <sheetView workbookViewId="0"/>
  </sheetViews>
  <sheetFormatPr defaultColWidth="9" defaultRowHeight="14.45"/>
  <cols>
    <col min="1" max="16384" width="9" style="8"/>
  </cols>
  <sheetData/>
  <sheetProtection algorithmName="SHA-512" hashValue="WWUckXmXF1uiQU4KVQ8ZAuLlwCJLjnBezHxMee5fopV0MI5vOlAbBkWfLW4cg2fLD9mutBzSl36o3pfGrhQc+w==" saltValue="9pQ2/SS+cmXM6/yNtnSJj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01BFD-D928-4510-9B0C-6ED1AEDA4DAF}">
  <sheetPr codeName="Sheet52">
    <tabColor theme="6"/>
  </sheetPr>
  <dimension ref="B2:F140"/>
  <sheetViews>
    <sheetView topLeftCell="A117" workbookViewId="0">
      <selection activeCell="C134" sqref="C134"/>
    </sheetView>
  </sheetViews>
  <sheetFormatPr defaultColWidth="9" defaultRowHeight="14.45"/>
  <cols>
    <col min="1" max="1" width="2.375" style="2" customWidth="1"/>
    <col min="2" max="2" width="12.125" style="2" customWidth="1"/>
    <col min="3" max="3" width="141.75" style="2" customWidth="1"/>
    <col min="4" max="4" width="18.25" style="2" bestFit="1" customWidth="1"/>
    <col min="5" max="5" width="34.25" style="3" bestFit="1" customWidth="1"/>
    <col min="6" max="6" width="18.625" style="2" customWidth="1"/>
    <col min="7" max="7" width="9" style="2"/>
    <col min="8" max="8" width="13.5" style="2" bestFit="1" customWidth="1"/>
    <col min="9" max="9" width="13.375" style="2" customWidth="1"/>
    <col min="10" max="16384" width="9" style="2"/>
  </cols>
  <sheetData>
    <row r="2" spans="2:6" ht="29.1">
      <c r="B2" s="285" t="s">
        <v>913</v>
      </c>
      <c r="C2" s="285" t="s">
        <v>3987</v>
      </c>
      <c r="D2" s="294" t="s">
        <v>3988</v>
      </c>
      <c r="E2" s="442" t="s">
        <v>3989</v>
      </c>
      <c r="F2" s="294" t="s">
        <v>915</v>
      </c>
    </row>
    <row r="3" spans="2:6">
      <c r="B3" s="278">
        <v>1</v>
      </c>
      <c r="C3" s="278" t="s">
        <v>3990</v>
      </c>
      <c r="D3" s="654" t="s">
        <v>3991</v>
      </c>
      <c r="E3" s="437" t="s">
        <v>3992</v>
      </c>
      <c r="F3" s="278" t="s">
        <v>1182</v>
      </c>
    </row>
    <row r="4" spans="2:6">
      <c r="B4" s="278">
        <v>2</v>
      </c>
      <c r="C4" s="278" t="s">
        <v>3993</v>
      </c>
      <c r="D4" s="654" t="s">
        <v>3991</v>
      </c>
      <c r="E4" s="437" t="s">
        <v>3994</v>
      </c>
      <c r="F4" s="279" t="s">
        <v>907</v>
      </c>
    </row>
    <row r="5" spans="2:6">
      <c r="B5" s="278">
        <v>3</v>
      </c>
      <c r="C5" s="278" t="s">
        <v>3995</v>
      </c>
      <c r="D5" s="654" t="s">
        <v>3991</v>
      </c>
      <c r="E5" s="437">
        <v>10</v>
      </c>
      <c r="F5" s="279" t="s">
        <v>907</v>
      </c>
    </row>
    <row r="6" spans="2:6">
      <c r="B6" s="278">
        <v>4</v>
      </c>
      <c r="C6" s="278" t="s">
        <v>3996</v>
      </c>
      <c r="D6" s="654" t="s">
        <v>3991</v>
      </c>
      <c r="E6" s="437" t="s">
        <v>3997</v>
      </c>
      <c r="F6" s="279" t="s">
        <v>907</v>
      </c>
    </row>
    <row r="7" spans="2:6" ht="29.1">
      <c r="B7" s="278">
        <v>5</v>
      </c>
      <c r="C7" s="375" t="s">
        <v>3998</v>
      </c>
      <c r="D7" s="654" t="s">
        <v>3999</v>
      </c>
      <c r="E7" s="437">
        <v>40</v>
      </c>
      <c r="F7" s="278" t="s">
        <v>3250</v>
      </c>
    </row>
    <row r="8" spans="2:6">
      <c r="B8" s="278">
        <v>6</v>
      </c>
      <c r="C8" s="278" t="s">
        <v>3160</v>
      </c>
      <c r="D8" s="654" t="s">
        <v>3991</v>
      </c>
      <c r="E8" s="437" t="s">
        <v>4000</v>
      </c>
      <c r="F8" s="278" t="s">
        <v>3250</v>
      </c>
    </row>
    <row r="9" spans="2:6">
      <c r="B9" s="278">
        <v>7</v>
      </c>
      <c r="C9" s="278" t="s">
        <v>4001</v>
      </c>
      <c r="D9" s="654" t="s">
        <v>3991</v>
      </c>
      <c r="E9" s="437" t="s">
        <v>4002</v>
      </c>
      <c r="F9" s="279" t="s">
        <v>907</v>
      </c>
    </row>
    <row r="10" spans="2:6">
      <c r="B10" s="278">
        <v>8</v>
      </c>
      <c r="C10" s="278" t="s">
        <v>4003</v>
      </c>
      <c r="D10" s="654" t="s">
        <v>3991</v>
      </c>
      <c r="E10" s="437" t="s">
        <v>4004</v>
      </c>
      <c r="F10" s="279" t="s">
        <v>907</v>
      </c>
    </row>
    <row r="11" spans="2:6">
      <c r="B11" s="278">
        <v>9</v>
      </c>
      <c r="C11" s="278" t="s">
        <v>4005</v>
      </c>
      <c r="D11" s="654" t="s">
        <v>3991</v>
      </c>
      <c r="E11" s="437" t="s">
        <v>4002</v>
      </c>
      <c r="F11" s="279" t="s">
        <v>907</v>
      </c>
    </row>
    <row r="12" spans="2:6">
      <c r="B12" s="278">
        <v>10</v>
      </c>
      <c r="C12" s="22" t="s">
        <v>4006</v>
      </c>
      <c r="D12" s="654" t="s">
        <v>3991</v>
      </c>
      <c r="E12" s="437">
        <v>40</v>
      </c>
      <c r="F12" s="279" t="s">
        <v>907</v>
      </c>
    </row>
    <row r="13" spans="2:6">
      <c r="B13" s="278">
        <v>11</v>
      </c>
      <c r="C13" s="278" t="s">
        <v>4007</v>
      </c>
      <c r="D13" s="654" t="s">
        <v>3991</v>
      </c>
      <c r="E13" s="437">
        <v>34</v>
      </c>
      <c r="F13" s="278" t="s">
        <v>1261</v>
      </c>
    </row>
    <row r="14" spans="2:6">
      <c r="B14" s="278">
        <v>12</v>
      </c>
      <c r="C14" s="278" t="s">
        <v>4008</v>
      </c>
      <c r="D14" s="654" t="s">
        <v>3991</v>
      </c>
      <c r="E14" s="437">
        <v>34</v>
      </c>
      <c r="F14" s="279" t="s">
        <v>907</v>
      </c>
    </row>
    <row r="15" spans="2:6">
      <c r="B15" s="278">
        <v>13</v>
      </c>
      <c r="C15" s="278" t="s">
        <v>4009</v>
      </c>
      <c r="D15" s="654" t="s">
        <v>3991</v>
      </c>
      <c r="E15" s="437">
        <v>34</v>
      </c>
      <c r="F15" s="279" t="s">
        <v>907</v>
      </c>
    </row>
    <row r="16" spans="2:6">
      <c r="B16" s="278">
        <v>14</v>
      </c>
      <c r="C16" s="278" t="s">
        <v>4010</v>
      </c>
      <c r="D16" s="654" t="s">
        <v>3991</v>
      </c>
      <c r="E16" s="437" t="s">
        <v>4011</v>
      </c>
      <c r="F16" s="278" t="s">
        <v>1182</v>
      </c>
    </row>
    <row r="17" spans="2:6">
      <c r="B17" s="214">
        <v>15</v>
      </c>
      <c r="C17" s="214" t="s">
        <v>4012</v>
      </c>
      <c r="D17" s="655" t="s">
        <v>3991</v>
      </c>
      <c r="E17" s="664" t="s">
        <v>4013</v>
      </c>
      <c r="F17" s="279" t="s">
        <v>907</v>
      </c>
    </row>
    <row r="18" spans="2:6">
      <c r="B18" s="278">
        <v>16</v>
      </c>
      <c r="C18" s="278" t="s">
        <v>4014</v>
      </c>
      <c r="D18" s="654" t="s">
        <v>3991</v>
      </c>
      <c r="E18" s="437" t="s">
        <v>4015</v>
      </c>
      <c r="F18" s="279" t="s">
        <v>907</v>
      </c>
    </row>
    <row r="19" spans="2:6">
      <c r="B19" s="278">
        <v>17</v>
      </c>
      <c r="C19" s="278" t="s">
        <v>4016</v>
      </c>
      <c r="D19" s="278" t="s">
        <v>4017</v>
      </c>
      <c r="E19" s="437" t="s">
        <v>3997</v>
      </c>
      <c r="F19" s="279" t="s">
        <v>907</v>
      </c>
    </row>
    <row r="20" spans="2:6">
      <c r="B20" s="278">
        <v>18</v>
      </c>
      <c r="C20" s="278" t="s">
        <v>4018</v>
      </c>
      <c r="D20" s="654" t="s">
        <v>3999</v>
      </c>
      <c r="E20" s="437">
        <v>32</v>
      </c>
      <c r="F20" s="278" t="s">
        <v>1182</v>
      </c>
    </row>
    <row r="21" spans="2:6">
      <c r="B21" s="278">
        <v>19</v>
      </c>
      <c r="C21" s="278" t="s">
        <v>4019</v>
      </c>
      <c r="D21" s="565" t="s">
        <v>3999</v>
      </c>
      <c r="E21" s="437" t="s">
        <v>4020</v>
      </c>
      <c r="F21" s="278" t="s">
        <v>1182</v>
      </c>
    </row>
    <row r="22" spans="2:6">
      <c r="B22" s="278">
        <v>20</v>
      </c>
      <c r="C22" s="278" t="s">
        <v>3270</v>
      </c>
      <c r="D22" s="654" t="s">
        <v>3991</v>
      </c>
      <c r="E22" s="437" t="s">
        <v>4021</v>
      </c>
      <c r="F22" s="279" t="s">
        <v>907</v>
      </c>
    </row>
    <row r="23" spans="2:6">
      <c r="B23" s="278">
        <v>21</v>
      </c>
      <c r="C23" s="278" t="s">
        <v>4022</v>
      </c>
      <c r="D23" s="654" t="s">
        <v>3991</v>
      </c>
      <c r="E23" s="437">
        <v>44</v>
      </c>
      <c r="F23" s="278" t="s">
        <v>1261</v>
      </c>
    </row>
    <row r="24" spans="2:6">
      <c r="B24" s="278">
        <v>22</v>
      </c>
      <c r="C24" s="281" t="s">
        <v>4023</v>
      </c>
      <c r="D24" s="980" t="s">
        <v>3991</v>
      </c>
      <c r="E24" s="434" t="s">
        <v>4024</v>
      </c>
      <c r="F24" s="279" t="s">
        <v>352</v>
      </c>
    </row>
    <row r="25" spans="2:6">
      <c r="B25" s="278">
        <v>23</v>
      </c>
      <c r="C25" s="278" t="s">
        <v>4025</v>
      </c>
      <c r="D25" s="654" t="s">
        <v>3991</v>
      </c>
      <c r="E25" s="437">
        <v>34</v>
      </c>
      <c r="F25" s="279" t="s">
        <v>907</v>
      </c>
    </row>
    <row r="26" spans="2:6">
      <c r="B26" s="278">
        <v>24</v>
      </c>
      <c r="C26" s="278" t="s">
        <v>4026</v>
      </c>
      <c r="D26" s="654" t="s">
        <v>3991</v>
      </c>
      <c r="E26" s="437">
        <v>34</v>
      </c>
      <c r="F26" s="279" t="s">
        <v>907</v>
      </c>
    </row>
    <row r="27" spans="2:6">
      <c r="B27" s="278">
        <v>25</v>
      </c>
      <c r="C27" s="278" t="s">
        <v>4027</v>
      </c>
      <c r="D27" s="654" t="s">
        <v>3991</v>
      </c>
      <c r="E27" s="437">
        <v>39</v>
      </c>
      <c r="F27" s="278" t="s">
        <v>1182</v>
      </c>
    </row>
    <row r="28" spans="2:6">
      <c r="B28" s="278">
        <v>26</v>
      </c>
      <c r="C28" s="278" t="s">
        <v>4028</v>
      </c>
      <c r="D28" s="654" t="s">
        <v>3991</v>
      </c>
      <c r="E28" s="437">
        <v>39</v>
      </c>
      <c r="F28" s="279" t="s">
        <v>907</v>
      </c>
    </row>
    <row r="29" spans="2:6">
      <c r="B29" s="278">
        <v>27</v>
      </c>
      <c r="C29" s="281" t="s">
        <v>4029</v>
      </c>
      <c r="D29" s="980" t="s">
        <v>3991</v>
      </c>
      <c r="E29" s="665">
        <v>30</v>
      </c>
      <c r="F29" s="279" t="s">
        <v>352</v>
      </c>
    </row>
    <row r="30" spans="2:6">
      <c r="B30" s="278">
        <v>28</v>
      </c>
      <c r="C30" s="281" t="s">
        <v>4030</v>
      </c>
      <c r="D30" s="279" t="s">
        <v>907</v>
      </c>
      <c r="E30" s="434" t="s">
        <v>907</v>
      </c>
      <c r="F30" s="279" t="s">
        <v>907</v>
      </c>
    </row>
    <row r="31" spans="2:6">
      <c r="B31" s="278">
        <v>29</v>
      </c>
      <c r="C31" s="278" t="s">
        <v>1181</v>
      </c>
      <c r="D31" s="654" t="s">
        <v>3991</v>
      </c>
      <c r="E31" s="437">
        <v>7</v>
      </c>
      <c r="F31" s="279" t="s">
        <v>907</v>
      </c>
    </row>
    <row r="32" spans="2:6">
      <c r="B32" s="278">
        <v>30</v>
      </c>
      <c r="C32" s="278" t="s">
        <v>4031</v>
      </c>
      <c r="D32" s="654" t="s">
        <v>3991</v>
      </c>
      <c r="E32" s="437">
        <v>28</v>
      </c>
      <c r="F32" s="278" t="s">
        <v>4032</v>
      </c>
    </row>
    <row r="33" spans="2:6">
      <c r="B33" s="278">
        <v>31</v>
      </c>
      <c r="C33" s="278" t="s">
        <v>4033</v>
      </c>
      <c r="D33" s="654" t="s">
        <v>3991</v>
      </c>
      <c r="E33" s="437">
        <v>29</v>
      </c>
      <c r="F33" s="278" t="s">
        <v>4034</v>
      </c>
    </row>
    <row r="34" spans="2:6">
      <c r="B34" s="278">
        <v>32</v>
      </c>
      <c r="C34" s="278" t="s">
        <v>4035</v>
      </c>
      <c r="D34" s="654" t="s">
        <v>3991</v>
      </c>
      <c r="E34" s="437">
        <v>29</v>
      </c>
      <c r="F34" s="278" t="s">
        <v>3250</v>
      </c>
    </row>
    <row r="35" spans="2:6">
      <c r="B35" s="278">
        <v>33</v>
      </c>
      <c r="C35" s="278" t="s">
        <v>4036</v>
      </c>
      <c r="D35" s="654" t="s">
        <v>3991</v>
      </c>
      <c r="E35" s="437">
        <v>36</v>
      </c>
      <c r="F35" s="278" t="s">
        <v>1182</v>
      </c>
    </row>
    <row r="36" spans="2:6">
      <c r="B36" s="278">
        <v>34</v>
      </c>
      <c r="C36" s="278" t="s">
        <v>4037</v>
      </c>
      <c r="D36" s="654" t="s">
        <v>3991</v>
      </c>
      <c r="E36" s="437" t="s">
        <v>4038</v>
      </c>
      <c r="F36" s="278" t="s">
        <v>1182</v>
      </c>
    </row>
    <row r="37" spans="2:6" ht="15.95" customHeight="1">
      <c r="B37" s="278">
        <v>35</v>
      </c>
      <c r="C37" s="278" t="s">
        <v>4039</v>
      </c>
      <c r="D37" s="654" t="s">
        <v>3991</v>
      </c>
      <c r="E37" s="437" t="s">
        <v>4040</v>
      </c>
      <c r="F37" s="278" t="s">
        <v>1261</v>
      </c>
    </row>
    <row r="38" spans="2:6">
      <c r="B38" s="278">
        <v>36</v>
      </c>
      <c r="C38" s="278" t="s">
        <v>4041</v>
      </c>
      <c r="D38" s="654" t="s">
        <v>3991</v>
      </c>
      <c r="E38" s="437" t="s">
        <v>4042</v>
      </c>
      <c r="F38" s="279" t="s">
        <v>907</v>
      </c>
    </row>
    <row r="39" spans="2:6">
      <c r="B39" s="278">
        <v>37</v>
      </c>
      <c r="C39" s="281" t="s">
        <v>4030</v>
      </c>
      <c r="D39" s="279" t="s">
        <v>907</v>
      </c>
      <c r="E39" s="434" t="s">
        <v>907</v>
      </c>
      <c r="F39" s="279" t="s">
        <v>907</v>
      </c>
    </row>
    <row r="40" spans="2:6">
      <c r="B40" s="278">
        <v>38</v>
      </c>
      <c r="C40" s="278" t="s">
        <v>4043</v>
      </c>
      <c r="D40" s="654" t="s">
        <v>3991</v>
      </c>
      <c r="E40" s="437" t="s">
        <v>4044</v>
      </c>
      <c r="F40" s="278" t="s">
        <v>3250</v>
      </c>
    </row>
    <row r="41" spans="2:6">
      <c r="B41" s="278">
        <v>39</v>
      </c>
      <c r="C41" s="278" t="s">
        <v>4045</v>
      </c>
      <c r="D41" s="654" t="s">
        <v>3991</v>
      </c>
      <c r="E41" s="437" t="s">
        <v>4044</v>
      </c>
      <c r="F41" s="278" t="s">
        <v>3250</v>
      </c>
    </row>
    <row r="42" spans="2:6">
      <c r="B42" s="278">
        <v>40</v>
      </c>
      <c r="C42" s="278" t="s">
        <v>4046</v>
      </c>
      <c r="D42" s="654" t="s">
        <v>3991</v>
      </c>
      <c r="E42" s="437" t="s">
        <v>4047</v>
      </c>
      <c r="F42" s="278" t="s">
        <v>3250</v>
      </c>
    </row>
    <row r="43" spans="2:6">
      <c r="B43" s="278">
        <v>41</v>
      </c>
      <c r="C43" s="278" t="s">
        <v>4048</v>
      </c>
      <c r="D43" s="654" t="s">
        <v>3991</v>
      </c>
      <c r="E43" s="437">
        <v>29</v>
      </c>
      <c r="F43" s="279" t="s">
        <v>907</v>
      </c>
    </row>
    <row r="44" spans="2:6">
      <c r="B44" s="278">
        <v>42</v>
      </c>
      <c r="C44" s="278" t="s">
        <v>4049</v>
      </c>
      <c r="D44" s="654" t="s">
        <v>3991</v>
      </c>
      <c r="E44" s="437">
        <v>29</v>
      </c>
      <c r="F44" s="279" t="s">
        <v>907</v>
      </c>
    </row>
    <row r="45" spans="2:6">
      <c r="B45" s="278">
        <v>43</v>
      </c>
      <c r="C45" s="278" t="s">
        <v>4050</v>
      </c>
      <c r="D45" s="654" t="s">
        <v>3991</v>
      </c>
      <c r="E45" s="437">
        <v>28</v>
      </c>
      <c r="F45" s="278" t="s">
        <v>4051</v>
      </c>
    </row>
    <row r="46" spans="2:6">
      <c r="B46" s="278">
        <v>44</v>
      </c>
      <c r="C46" s="278" t="s">
        <v>4052</v>
      </c>
      <c r="D46" s="654" t="s">
        <v>3991</v>
      </c>
      <c r="E46" s="665" t="s">
        <v>4053</v>
      </c>
      <c r="F46" s="278" t="s">
        <v>4051</v>
      </c>
    </row>
    <row r="47" spans="2:6">
      <c r="B47" s="278">
        <v>45</v>
      </c>
      <c r="C47" s="278" t="s">
        <v>4030</v>
      </c>
      <c r="D47" s="278" t="s">
        <v>907</v>
      </c>
      <c r="E47" s="437" t="s">
        <v>907</v>
      </c>
      <c r="F47" s="278" t="s">
        <v>907</v>
      </c>
    </row>
    <row r="48" spans="2:6">
      <c r="B48" s="278">
        <v>46</v>
      </c>
      <c r="C48" s="278" t="s">
        <v>4054</v>
      </c>
      <c r="D48" s="654" t="s">
        <v>3991</v>
      </c>
      <c r="E48" s="437">
        <v>10</v>
      </c>
      <c r="F48" s="278" t="s">
        <v>1182</v>
      </c>
    </row>
    <row r="49" spans="2:6">
      <c r="B49" s="278">
        <v>47</v>
      </c>
      <c r="C49" s="278" t="s">
        <v>4055</v>
      </c>
      <c r="D49" s="656" t="s">
        <v>3991</v>
      </c>
      <c r="E49" s="437">
        <v>38</v>
      </c>
      <c r="F49" s="278" t="s">
        <v>1182</v>
      </c>
    </row>
    <row r="50" spans="2:6">
      <c r="B50" s="278">
        <v>48</v>
      </c>
      <c r="C50" s="278" t="s">
        <v>4056</v>
      </c>
      <c r="D50" s="654" t="s">
        <v>3991</v>
      </c>
      <c r="E50" s="665" t="s">
        <v>4057</v>
      </c>
      <c r="F50" s="279" t="s">
        <v>907</v>
      </c>
    </row>
    <row r="51" spans="2:6">
      <c r="B51" s="278">
        <v>49</v>
      </c>
      <c r="C51" s="2" t="s">
        <v>4058</v>
      </c>
      <c r="D51" s="654" t="s">
        <v>3991</v>
      </c>
      <c r="E51" s="437" t="s">
        <v>4059</v>
      </c>
      <c r="F51" s="279" t="s">
        <v>907</v>
      </c>
    </row>
    <row r="52" spans="2:6">
      <c r="B52" s="278">
        <v>50</v>
      </c>
      <c r="C52" s="278" t="s">
        <v>4060</v>
      </c>
      <c r="D52" s="656" t="s">
        <v>3991</v>
      </c>
      <c r="E52" s="666">
        <v>38</v>
      </c>
      <c r="F52" s="278" t="s">
        <v>1182</v>
      </c>
    </row>
    <row r="53" spans="2:6">
      <c r="B53" s="278">
        <v>51</v>
      </c>
      <c r="C53" s="278" t="s">
        <v>4061</v>
      </c>
      <c r="D53" s="657" t="s">
        <v>3991</v>
      </c>
      <c r="E53" s="437">
        <v>38</v>
      </c>
      <c r="F53" s="278" t="s">
        <v>1261</v>
      </c>
    </row>
    <row r="54" spans="2:6">
      <c r="B54" s="278">
        <v>52</v>
      </c>
      <c r="C54" s="278" t="s">
        <v>4062</v>
      </c>
      <c r="D54" s="654" t="s">
        <v>3991</v>
      </c>
      <c r="E54" s="437">
        <v>28</v>
      </c>
      <c r="F54" s="279" t="s">
        <v>907</v>
      </c>
    </row>
    <row r="55" spans="2:6">
      <c r="B55" s="278">
        <v>53</v>
      </c>
      <c r="C55" s="278" t="s">
        <v>4063</v>
      </c>
      <c r="D55" s="654" t="s">
        <v>3991</v>
      </c>
      <c r="E55" s="437">
        <v>28</v>
      </c>
      <c r="F55" s="279" t="s">
        <v>907</v>
      </c>
    </row>
    <row r="56" spans="2:6">
      <c r="B56" s="278">
        <v>54</v>
      </c>
      <c r="C56" s="278" t="s">
        <v>4064</v>
      </c>
      <c r="D56" s="654" t="s">
        <v>3991</v>
      </c>
      <c r="E56" s="437">
        <v>11</v>
      </c>
      <c r="F56" s="278" t="s">
        <v>4065</v>
      </c>
    </row>
    <row r="57" spans="2:6">
      <c r="B57" s="278">
        <v>55</v>
      </c>
      <c r="C57" s="278" t="s">
        <v>4066</v>
      </c>
      <c r="D57" s="654" t="s">
        <v>3991</v>
      </c>
      <c r="E57" s="665" t="s">
        <v>4057</v>
      </c>
      <c r="F57" s="279" t="s">
        <v>907</v>
      </c>
    </row>
    <row r="58" spans="2:6">
      <c r="B58" s="214">
        <v>56</v>
      </c>
      <c r="C58" s="214" t="s">
        <v>4067</v>
      </c>
      <c r="D58" s="657" t="s">
        <v>3991</v>
      </c>
      <c r="E58" s="664">
        <v>45</v>
      </c>
      <c r="F58" s="279" t="s">
        <v>907</v>
      </c>
    </row>
    <row r="59" spans="2:6">
      <c r="B59" s="278">
        <v>57</v>
      </c>
      <c r="C59" s="278" t="s">
        <v>1361</v>
      </c>
      <c r="D59" s="656" t="s">
        <v>3991</v>
      </c>
      <c r="E59" s="437">
        <v>12</v>
      </c>
      <c r="F59" s="278" t="s">
        <v>4068</v>
      </c>
    </row>
    <row r="60" spans="2:6">
      <c r="B60" s="214">
        <v>58</v>
      </c>
      <c r="C60" s="214" t="s">
        <v>4069</v>
      </c>
      <c r="D60" s="655" t="s">
        <v>3991</v>
      </c>
      <c r="E60" s="667" t="s">
        <v>4070</v>
      </c>
      <c r="F60" s="279" t="s">
        <v>907</v>
      </c>
    </row>
    <row r="61" spans="2:6">
      <c r="B61" s="278">
        <v>59</v>
      </c>
      <c r="C61" s="278" t="s">
        <v>4071</v>
      </c>
      <c r="D61" s="654" t="s">
        <v>3991</v>
      </c>
      <c r="E61" s="437" t="s">
        <v>4072</v>
      </c>
      <c r="F61" s="279" t="s">
        <v>907</v>
      </c>
    </row>
    <row r="62" spans="2:6">
      <c r="B62" s="278">
        <v>60</v>
      </c>
      <c r="C62" s="278" t="s">
        <v>4073</v>
      </c>
      <c r="D62" s="654" t="s">
        <v>3991</v>
      </c>
      <c r="E62" s="437" t="s">
        <v>4059</v>
      </c>
      <c r="F62" s="279" t="s">
        <v>907</v>
      </c>
    </row>
    <row r="63" spans="2:6">
      <c r="B63" s="278">
        <v>61</v>
      </c>
      <c r="C63" s="278" t="s">
        <v>4074</v>
      </c>
      <c r="D63" s="654" t="s">
        <v>3991</v>
      </c>
      <c r="E63" s="437" t="s">
        <v>4075</v>
      </c>
      <c r="F63" s="279" t="s">
        <v>907</v>
      </c>
    </row>
    <row r="64" spans="2:6">
      <c r="B64" s="278">
        <v>62</v>
      </c>
      <c r="C64" s="278" t="s">
        <v>4076</v>
      </c>
      <c r="D64" s="656" t="s">
        <v>3991</v>
      </c>
      <c r="E64" s="437">
        <v>45</v>
      </c>
      <c r="F64" s="279" t="s">
        <v>907</v>
      </c>
    </row>
    <row r="65" spans="2:6">
      <c r="B65" s="278">
        <v>63</v>
      </c>
      <c r="C65" s="278" t="s">
        <v>1381</v>
      </c>
      <c r="D65" s="278" t="s">
        <v>4077</v>
      </c>
      <c r="E65" s="437" t="s">
        <v>4078</v>
      </c>
      <c r="F65" s="279" t="s">
        <v>907</v>
      </c>
    </row>
    <row r="66" spans="2:6">
      <c r="B66" s="278">
        <v>64</v>
      </c>
      <c r="C66" s="278" t="s">
        <v>1415</v>
      </c>
      <c r="D66" s="656" t="s">
        <v>3991</v>
      </c>
      <c r="E66" s="437" t="s">
        <v>4079</v>
      </c>
      <c r="F66" s="279" t="s">
        <v>907</v>
      </c>
    </row>
    <row r="67" spans="2:6">
      <c r="B67" s="278">
        <v>65</v>
      </c>
      <c r="C67" s="281" t="s">
        <v>4030</v>
      </c>
      <c r="D67" s="279" t="s">
        <v>907</v>
      </c>
      <c r="E67" s="434" t="s">
        <v>907</v>
      </c>
      <c r="F67" s="279" t="s">
        <v>907</v>
      </c>
    </row>
    <row r="68" spans="2:6">
      <c r="B68" s="278">
        <v>66</v>
      </c>
      <c r="C68" s="278" t="s">
        <v>4080</v>
      </c>
      <c r="D68" s="654" t="s">
        <v>3991</v>
      </c>
      <c r="E68" s="437">
        <v>43</v>
      </c>
      <c r="F68" s="278" t="s">
        <v>1261</v>
      </c>
    </row>
    <row r="69" spans="2:6">
      <c r="B69" s="278">
        <v>67</v>
      </c>
      <c r="C69" s="278" t="s">
        <v>4081</v>
      </c>
      <c r="D69" s="654" t="s">
        <v>3991</v>
      </c>
      <c r="E69" s="437">
        <v>43</v>
      </c>
      <c r="F69" s="278" t="s">
        <v>1261</v>
      </c>
    </row>
    <row r="70" spans="2:6">
      <c r="B70" s="278">
        <v>68</v>
      </c>
      <c r="C70" s="278" t="s">
        <v>4082</v>
      </c>
      <c r="D70" s="654" t="s">
        <v>3991</v>
      </c>
      <c r="E70" s="437">
        <v>43</v>
      </c>
      <c r="F70" s="279" t="s">
        <v>907</v>
      </c>
    </row>
    <row r="71" spans="2:6">
      <c r="B71" s="278">
        <v>69</v>
      </c>
      <c r="C71" s="278" t="s">
        <v>4083</v>
      </c>
      <c r="D71" s="654" t="s">
        <v>3991</v>
      </c>
      <c r="E71" s="437" t="s">
        <v>4044</v>
      </c>
      <c r="F71" s="279" t="s">
        <v>907</v>
      </c>
    </row>
    <row r="72" spans="2:6">
      <c r="B72" s="278">
        <v>70</v>
      </c>
      <c r="C72" s="278" t="s">
        <v>4084</v>
      </c>
      <c r="D72" s="654" t="s">
        <v>3991</v>
      </c>
      <c r="E72" s="437">
        <v>16</v>
      </c>
      <c r="F72" s="279" t="s">
        <v>907</v>
      </c>
    </row>
    <row r="73" spans="2:6">
      <c r="B73" s="278">
        <v>71</v>
      </c>
      <c r="C73" s="278" t="s">
        <v>4085</v>
      </c>
      <c r="D73" s="654" t="s">
        <v>3991</v>
      </c>
      <c r="E73" s="437">
        <v>16</v>
      </c>
      <c r="F73" s="279" t="s">
        <v>907</v>
      </c>
    </row>
    <row r="74" spans="2:6">
      <c r="B74" s="278">
        <v>72</v>
      </c>
      <c r="C74" s="278" t="s">
        <v>4086</v>
      </c>
      <c r="D74" s="654" t="s">
        <v>3991</v>
      </c>
      <c r="E74" s="437">
        <v>28</v>
      </c>
      <c r="F74" s="279" t="s">
        <v>907</v>
      </c>
    </row>
    <row r="75" spans="2:6">
      <c r="B75" s="278">
        <v>73</v>
      </c>
      <c r="C75" s="278" t="s">
        <v>4087</v>
      </c>
      <c r="D75" s="654" t="s">
        <v>3991</v>
      </c>
      <c r="E75" s="437">
        <v>10</v>
      </c>
      <c r="F75" s="279" t="s">
        <v>907</v>
      </c>
    </row>
    <row r="76" spans="2:6">
      <c r="B76" s="278">
        <v>74</v>
      </c>
      <c r="C76" s="278" t="s">
        <v>1347</v>
      </c>
      <c r="D76" s="654" t="s">
        <v>3991</v>
      </c>
      <c r="E76" s="437" t="s">
        <v>4088</v>
      </c>
      <c r="F76" s="279" t="s">
        <v>907</v>
      </c>
    </row>
    <row r="77" spans="2:6">
      <c r="B77" s="278">
        <v>75</v>
      </c>
      <c r="C77" s="278" t="s">
        <v>4089</v>
      </c>
      <c r="D77" s="654" t="s">
        <v>3991</v>
      </c>
      <c r="E77" s="437">
        <v>45</v>
      </c>
      <c r="F77" s="279" t="s">
        <v>907</v>
      </c>
    </row>
    <row r="78" spans="2:6">
      <c r="B78" s="278">
        <v>76</v>
      </c>
      <c r="C78" s="278" t="s">
        <v>4090</v>
      </c>
      <c r="D78" s="654" t="s">
        <v>3991</v>
      </c>
      <c r="E78" s="437">
        <v>3</v>
      </c>
      <c r="F78" s="279" t="s">
        <v>907</v>
      </c>
    </row>
    <row r="79" spans="2:6">
      <c r="B79" s="278">
        <v>77</v>
      </c>
      <c r="C79" s="278" t="s">
        <v>4091</v>
      </c>
      <c r="D79" s="654" t="s">
        <v>3991</v>
      </c>
      <c r="E79" s="437" t="s">
        <v>4092</v>
      </c>
      <c r="F79" s="279" t="s">
        <v>907</v>
      </c>
    </row>
    <row r="80" spans="2:6">
      <c r="B80" s="278">
        <v>78</v>
      </c>
      <c r="C80" s="278" t="s">
        <v>4093</v>
      </c>
      <c r="D80" s="654" t="s">
        <v>3991</v>
      </c>
      <c r="E80" s="437">
        <v>23</v>
      </c>
      <c r="F80" s="278" t="s">
        <v>3250</v>
      </c>
    </row>
    <row r="81" spans="2:6">
      <c r="B81" s="278">
        <v>79</v>
      </c>
      <c r="C81" s="278" t="s">
        <v>4094</v>
      </c>
      <c r="D81" s="654" t="s">
        <v>3991</v>
      </c>
      <c r="E81" s="437">
        <v>23</v>
      </c>
      <c r="F81" s="278" t="s">
        <v>3250</v>
      </c>
    </row>
    <row r="82" spans="2:6">
      <c r="B82" s="278">
        <v>80</v>
      </c>
      <c r="C82" s="278" t="s">
        <v>4095</v>
      </c>
      <c r="D82" s="654" t="s">
        <v>3991</v>
      </c>
      <c r="E82" s="437">
        <v>23</v>
      </c>
      <c r="F82" s="278" t="s">
        <v>3250</v>
      </c>
    </row>
    <row r="83" spans="2:6">
      <c r="B83" s="278">
        <v>81</v>
      </c>
      <c r="C83" s="278" t="s">
        <v>4096</v>
      </c>
      <c r="D83" s="654" t="s">
        <v>3991</v>
      </c>
      <c r="E83" s="437">
        <v>23</v>
      </c>
      <c r="F83" s="278" t="s">
        <v>3250</v>
      </c>
    </row>
    <row r="84" spans="2:6">
      <c r="B84" s="278">
        <v>82</v>
      </c>
      <c r="C84" s="278" t="s">
        <v>4097</v>
      </c>
      <c r="D84" s="654" t="s">
        <v>3991</v>
      </c>
      <c r="E84" s="437">
        <v>29</v>
      </c>
      <c r="F84" s="279" t="s">
        <v>907</v>
      </c>
    </row>
    <row r="85" spans="2:6">
      <c r="B85" s="278">
        <v>83</v>
      </c>
      <c r="C85" s="278" t="s">
        <v>4098</v>
      </c>
      <c r="D85" s="654" t="s">
        <v>3991</v>
      </c>
      <c r="E85" s="437">
        <v>29</v>
      </c>
      <c r="F85" s="279" t="s">
        <v>907</v>
      </c>
    </row>
    <row r="86" spans="2:6">
      <c r="B86" s="278">
        <v>84</v>
      </c>
      <c r="C86" s="278" t="s">
        <v>4099</v>
      </c>
      <c r="D86" s="654" t="s">
        <v>3991</v>
      </c>
      <c r="E86" s="437">
        <v>33</v>
      </c>
      <c r="F86" s="278" t="s">
        <v>1182</v>
      </c>
    </row>
    <row r="87" spans="2:6">
      <c r="B87" s="278">
        <v>85</v>
      </c>
      <c r="C87" s="278" t="s">
        <v>4100</v>
      </c>
      <c r="D87" s="654" t="s">
        <v>3991</v>
      </c>
      <c r="E87" s="437">
        <v>42</v>
      </c>
      <c r="F87" s="278" t="s">
        <v>3660</v>
      </c>
    </row>
    <row r="88" spans="2:6">
      <c r="B88" s="278">
        <v>86</v>
      </c>
      <c r="C88" s="278" t="s">
        <v>4101</v>
      </c>
      <c r="D88" s="654" t="s">
        <v>3991</v>
      </c>
      <c r="E88" s="437">
        <v>42</v>
      </c>
      <c r="F88" s="279" t="s">
        <v>907</v>
      </c>
    </row>
    <row r="89" spans="2:6">
      <c r="B89" s="278">
        <v>87</v>
      </c>
      <c r="C89" s="278" t="s">
        <v>4102</v>
      </c>
      <c r="D89" s="654" t="s">
        <v>3991</v>
      </c>
      <c r="E89" s="437">
        <v>42</v>
      </c>
      <c r="F89" s="279" t="s">
        <v>907</v>
      </c>
    </row>
    <row r="90" spans="2:6">
      <c r="B90" s="278">
        <v>88</v>
      </c>
      <c r="C90" s="278" t="s">
        <v>4103</v>
      </c>
      <c r="D90" s="654" t="s">
        <v>3991</v>
      </c>
      <c r="E90" s="437">
        <v>36</v>
      </c>
      <c r="F90" s="278" t="s">
        <v>1182</v>
      </c>
    </row>
    <row r="91" spans="2:6">
      <c r="B91" s="278">
        <v>89</v>
      </c>
      <c r="C91" s="278" t="s">
        <v>4104</v>
      </c>
      <c r="D91" s="654" t="s">
        <v>3991</v>
      </c>
      <c r="E91" s="437">
        <v>42</v>
      </c>
      <c r="F91" s="279" t="s">
        <v>907</v>
      </c>
    </row>
    <row r="92" spans="2:6">
      <c r="B92" s="278">
        <v>90</v>
      </c>
      <c r="C92" s="278" t="s">
        <v>4105</v>
      </c>
      <c r="D92" s="654" t="s">
        <v>3991</v>
      </c>
      <c r="E92" s="437">
        <v>42</v>
      </c>
      <c r="F92" s="279" t="s">
        <v>907</v>
      </c>
    </row>
    <row r="93" spans="2:6">
      <c r="B93" s="278">
        <v>91</v>
      </c>
      <c r="C93" s="278" t="s">
        <v>4106</v>
      </c>
      <c r="D93" s="654" t="s">
        <v>3991</v>
      </c>
      <c r="E93" s="437">
        <v>42</v>
      </c>
      <c r="F93" s="279" t="s">
        <v>907</v>
      </c>
    </row>
    <row r="94" spans="2:6">
      <c r="B94" s="214">
        <v>92</v>
      </c>
      <c r="C94" s="214" t="s">
        <v>4107</v>
      </c>
      <c r="D94" s="655" t="s">
        <v>3991</v>
      </c>
      <c r="E94" s="664">
        <v>42</v>
      </c>
      <c r="F94" s="279" t="s">
        <v>907</v>
      </c>
    </row>
    <row r="95" spans="2:6">
      <c r="B95" s="278">
        <v>93</v>
      </c>
      <c r="C95" s="278" t="s">
        <v>4108</v>
      </c>
      <c r="D95" s="654" t="s">
        <v>3991</v>
      </c>
      <c r="E95" s="437">
        <v>42</v>
      </c>
      <c r="F95" s="279" t="s">
        <v>907</v>
      </c>
    </row>
    <row r="96" spans="2:6">
      <c r="B96" s="278">
        <v>94</v>
      </c>
      <c r="C96" s="278" t="s">
        <v>4109</v>
      </c>
      <c r="D96" s="654" t="s">
        <v>3991</v>
      </c>
      <c r="E96" s="437">
        <v>42</v>
      </c>
      <c r="F96" s="279" t="s">
        <v>907</v>
      </c>
    </row>
    <row r="97" spans="2:6">
      <c r="B97" s="278">
        <v>95</v>
      </c>
      <c r="C97" s="278" t="s">
        <v>4110</v>
      </c>
      <c r="D97" s="654" t="s">
        <v>3991</v>
      </c>
      <c r="E97" s="437">
        <v>42</v>
      </c>
      <c r="F97" s="279" t="s">
        <v>907</v>
      </c>
    </row>
    <row r="98" spans="2:6">
      <c r="B98" s="278">
        <v>96</v>
      </c>
      <c r="C98" s="278" t="s">
        <v>4111</v>
      </c>
      <c r="D98" s="654" t="s">
        <v>3991</v>
      </c>
      <c r="E98" s="437">
        <v>42</v>
      </c>
      <c r="F98" s="279" t="s">
        <v>907</v>
      </c>
    </row>
    <row r="99" spans="2:6">
      <c r="B99" s="278">
        <v>97</v>
      </c>
      <c r="C99" s="278" t="s">
        <v>4112</v>
      </c>
      <c r="D99" s="654" t="s">
        <v>3991</v>
      </c>
      <c r="E99" s="437">
        <v>42</v>
      </c>
      <c r="F99" s="279" t="s">
        <v>907</v>
      </c>
    </row>
    <row r="100" spans="2:6">
      <c r="B100" s="278">
        <v>98</v>
      </c>
      <c r="C100" s="278" t="s">
        <v>4113</v>
      </c>
      <c r="D100" s="654" t="s">
        <v>3991</v>
      </c>
      <c r="E100" s="437">
        <v>42</v>
      </c>
      <c r="F100" s="279" t="s">
        <v>907</v>
      </c>
    </row>
    <row r="101" spans="2:6">
      <c r="B101" s="278">
        <v>99</v>
      </c>
      <c r="C101" s="278" t="s">
        <v>4114</v>
      </c>
      <c r="D101" s="654" t="s">
        <v>3991</v>
      </c>
      <c r="E101" s="437">
        <v>42</v>
      </c>
      <c r="F101" s="279" t="s">
        <v>907</v>
      </c>
    </row>
    <row r="102" spans="2:6">
      <c r="B102" s="278">
        <v>100</v>
      </c>
      <c r="C102" s="278" t="s">
        <v>4115</v>
      </c>
      <c r="D102" s="654" t="s">
        <v>3991</v>
      </c>
      <c r="E102" s="437">
        <v>42</v>
      </c>
      <c r="F102" s="279" t="s">
        <v>907</v>
      </c>
    </row>
    <row r="103" spans="2:6">
      <c r="B103" s="278">
        <v>101</v>
      </c>
      <c r="C103" s="278" t="s">
        <v>4116</v>
      </c>
      <c r="D103" s="654" t="s">
        <v>3991</v>
      </c>
      <c r="E103" s="437">
        <v>42</v>
      </c>
      <c r="F103" s="279" t="s">
        <v>907</v>
      </c>
    </row>
    <row r="104" spans="2:6">
      <c r="B104" s="278">
        <v>102</v>
      </c>
      <c r="C104" s="278" t="s">
        <v>4117</v>
      </c>
      <c r="D104" s="654" t="s">
        <v>3991</v>
      </c>
      <c r="E104" s="437">
        <v>24</v>
      </c>
      <c r="F104" s="279" t="s">
        <v>907</v>
      </c>
    </row>
    <row r="105" spans="2:6">
      <c r="B105" s="278">
        <v>103</v>
      </c>
      <c r="C105" s="278" t="s">
        <v>4118</v>
      </c>
      <c r="D105" s="654" t="s">
        <v>3991</v>
      </c>
      <c r="E105" s="437">
        <v>24</v>
      </c>
      <c r="F105" s="279" t="s">
        <v>907</v>
      </c>
    </row>
    <row r="106" spans="2:6">
      <c r="B106" s="278">
        <v>104</v>
      </c>
      <c r="C106" s="278" t="s">
        <v>4119</v>
      </c>
      <c r="D106" s="654" t="s">
        <v>3991</v>
      </c>
      <c r="E106" s="437">
        <v>24</v>
      </c>
      <c r="F106" s="279" t="s">
        <v>907</v>
      </c>
    </row>
    <row r="107" spans="2:6">
      <c r="B107" s="278">
        <v>105</v>
      </c>
      <c r="C107" s="278" t="s">
        <v>4120</v>
      </c>
      <c r="D107" s="654" t="s">
        <v>3991</v>
      </c>
      <c r="E107" s="437">
        <v>24</v>
      </c>
      <c r="F107" s="279" t="s">
        <v>907</v>
      </c>
    </row>
    <row r="108" spans="2:6">
      <c r="B108" s="278">
        <v>106</v>
      </c>
      <c r="C108" s="278" t="s">
        <v>4121</v>
      </c>
      <c r="D108" s="654" t="s">
        <v>3991</v>
      </c>
      <c r="E108" s="437">
        <v>24</v>
      </c>
      <c r="F108" s="279" t="s">
        <v>907</v>
      </c>
    </row>
    <row r="109" spans="2:6">
      <c r="B109" s="278">
        <v>107</v>
      </c>
      <c r="C109" s="278" t="s">
        <v>4122</v>
      </c>
      <c r="D109" s="654" t="s">
        <v>3991</v>
      </c>
      <c r="E109" s="437">
        <v>24</v>
      </c>
      <c r="F109" s="279" t="s">
        <v>907</v>
      </c>
    </row>
    <row r="110" spans="2:6">
      <c r="B110" s="278">
        <v>108</v>
      </c>
      <c r="C110" s="278" t="s">
        <v>4123</v>
      </c>
      <c r="D110" s="654" t="s">
        <v>3991</v>
      </c>
      <c r="E110" s="437">
        <v>24</v>
      </c>
      <c r="F110" s="279" t="s">
        <v>907</v>
      </c>
    </row>
    <row r="111" spans="2:6">
      <c r="B111" s="278">
        <v>109</v>
      </c>
      <c r="C111" s="278" t="s">
        <v>4124</v>
      </c>
      <c r="D111" s="654" t="s">
        <v>3991</v>
      </c>
      <c r="E111" s="437">
        <v>24</v>
      </c>
      <c r="F111" s="279" t="s">
        <v>907</v>
      </c>
    </row>
    <row r="112" spans="2:6">
      <c r="B112" s="278">
        <v>110</v>
      </c>
      <c r="C112" s="278" t="s">
        <v>4125</v>
      </c>
      <c r="D112" s="654" t="s">
        <v>3991</v>
      </c>
      <c r="E112" s="437">
        <v>23</v>
      </c>
      <c r="F112" s="279" t="s">
        <v>907</v>
      </c>
    </row>
    <row r="113" spans="2:6">
      <c r="B113" s="278">
        <v>111</v>
      </c>
      <c r="C113" s="278" t="s">
        <v>4126</v>
      </c>
      <c r="D113" s="654" t="s">
        <v>3991</v>
      </c>
      <c r="E113" s="437">
        <v>23</v>
      </c>
      <c r="F113" s="279" t="s">
        <v>907</v>
      </c>
    </row>
    <row r="114" spans="2:6">
      <c r="B114" s="278">
        <v>112</v>
      </c>
      <c r="C114" s="281" t="s">
        <v>4030</v>
      </c>
      <c r="D114" s="279" t="s">
        <v>907</v>
      </c>
      <c r="E114" s="434" t="s">
        <v>907</v>
      </c>
      <c r="F114" s="279" t="s">
        <v>907</v>
      </c>
    </row>
    <row r="115" spans="2:6">
      <c r="B115" s="278">
        <v>113</v>
      </c>
      <c r="C115" s="278" t="s">
        <v>4127</v>
      </c>
      <c r="D115" s="654" t="s">
        <v>3991</v>
      </c>
      <c r="E115" s="437">
        <v>35</v>
      </c>
      <c r="F115" s="279" t="s">
        <v>907</v>
      </c>
    </row>
    <row r="116" spans="2:6">
      <c r="B116" s="278">
        <v>114</v>
      </c>
      <c r="C116" s="278" t="s">
        <v>3302</v>
      </c>
      <c r="D116" s="654" t="s">
        <v>3991</v>
      </c>
      <c r="E116" s="437">
        <v>41</v>
      </c>
      <c r="F116" s="279" t="s">
        <v>907</v>
      </c>
    </row>
    <row r="117" spans="2:6">
      <c r="B117" s="278">
        <v>115</v>
      </c>
      <c r="C117" s="278" t="s">
        <v>4128</v>
      </c>
      <c r="D117" s="654" t="s">
        <v>3991</v>
      </c>
      <c r="E117" s="437">
        <v>2</v>
      </c>
      <c r="F117" s="279" t="s">
        <v>907</v>
      </c>
    </row>
    <row r="118" spans="2:6">
      <c r="B118" s="278">
        <v>116</v>
      </c>
      <c r="C118" s="278" t="s">
        <v>4129</v>
      </c>
      <c r="D118" s="654" t="s">
        <v>3991</v>
      </c>
      <c r="E118" s="437">
        <v>30</v>
      </c>
      <c r="F118" s="279" t="s">
        <v>907</v>
      </c>
    </row>
    <row r="119" spans="2:6">
      <c r="B119" s="278">
        <v>117</v>
      </c>
      <c r="C119" s="278" t="s">
        <v>4130</v>
      </c>
      <c r="D119" s="654" t="s">
        <v>3991</v>
      </c>
      <c r="E119" s="437">
        <v>30</v>
      </c>
      <c r="F119" s="278" t="s">
        <v>1182</v>
      </c>
    </row>
    <row r="120" spans="2:6">
      <c r="B120" s="278">
        <v>118</v>
      </c>
      <c r="C120" s="278" t="s">
        <v>4131</v>
      </c>
      <c r="D120" s="654" t="s">
        <v>3991</v>
      </c>
      <c r="E120" s="437">
        <v>30</v>
      </c>
      <c r="F120" s="278" t="s">
        <v>1182</v>
      </c>
    </row>
    <row r="121" spans="2:6">
      <c r="B121" s="278">
        <v>119</v>
      </c>
      <c r="C121" s="278" t="s">
        <v>4132</v>
      </c>
      <c r="D121" s="654" t="s">
        <v>3991</v>
      </c>
      <c r="E121" s="437">
        <v>30</v>
      </c>
      <c r="F121" s="278" t="s">
        <v>1182</v>
      </c>
    </row>
    <row r="122" spans="2:6">
      <c r="B122" s="278">
        <v>120</v>
      </c>
      <c r="C122" s="278" t="s">
        <v>4133</v>
      </c>
      <c r="D122" s="654" t="s">
        <v>3991</v>
      </c>
      <c r="E122" s="437">
        <v>30</v>
      </c>
      <c r="F122" s="278" t="s">
        <v>1182</v>
      </c>
    </row>
    <row r="123" spans="2:6">
      <c r="B123" s="278">
        <v>121</v>
      </c>
      <c r="C123" s="278" t="s">
        <v>4134</v>
      </c>
      <c r="D123" s="654" t="s">
        <v>3991</v>
      </c>
      <c r="E123" s="437">
        <v>30</v>
      </c>
      <c r="F123" s="278" t="s">
        <v>4135</v>
      </c>
    </row>
    <row r="124" spans="2:6">
      <c r="B124" s="278">
        <v>122</v>
      </c>
      <c r="C124" s="278" t="s">
        <v>4136</v>
      </c>
      <c r="D124" s="654" t="s">
        <v>3991</v>
      </c>
      <c r="E124" s="437">
        <v>30</v>
      </c>
      <c r="F124" s="278" t="s">
        <v>1182</v>
      </c>
    </row>
    <row r="125" spans="2:6">
      <c r="B125" s="278">
        <v>123</v>
      </c>
      <c r="C125" s="278" t="s">
        <v>4137</v>
      </c>
      <c r="D125" s="654" t="s">
        <v>3991</v>
      </c>
      <c r="E125" s="437">
        <v>30</v>
      </c>
      <c r="F125" s="278" t="s">
        <v>1182</v>
      </c>
    </row>
    <row r="126" spans="2:6">
      <c r="B126" s="278">
        <v>124</v>
      </c>
      <c r="C126" s="278" t="s">
        <v>4138</v>
      </c>
      <c r="D126" s="654" t="s">
        <v>3991</v>
      </c>
      <c r="E126" s="437">
        <v>30</v>
      </c>
      <c r="F126" s="278" t="s">
        <v>1182</v>
      </c>
    </row>
    <row r="127" spans="2:6">
      <c r="B127" s="278">
        <v>125</v>
      </c>
      <c r="C127" s="278" t="s">
        <v>4139</v>
      </c>
      <c r="D127" s="654" t="s">
        <v>3991</v>
      </c>
      <c r="E127" s="437">
        <v>30</v>
      </c>
      <c r="F127" s="278" t="s">
        <v>1182</v>
      </c>
    </row>
    <row r="128" spans="2:6">
      <c r="B128" s="278">
        <v>126</v>
      </c>
      <c r="C128" s="278" t="s">
        <v>4140</v>
      </c>
      <c r="D128" s="654" t="s">
        <v>3991</v>
      </c>
      <c r="E128" s="334">
        <v>30</v>
      </c>
      <c r="F128" s="279" t="s">
        <v>907</v>
      </c>
    </row>
    <row r="129" spans="2:6">
      <c r="B129" s="278">
        <v>127</v>
      </c>
      <c r="C129" s="278" t="s">
        <v>4141</v>
      </c>
      <c r="D129" s="654" t="s">
        <v>3991</v>
      </c>
      <c r="E129" s="334">
        <v>30</v>
      </c>
      <c r="F129" s="278" t="s">
        <v>1182</v>
      </c>
    </row>
    <row r="130" spans="2:6">
      <c r="B130" s="278">
        <v>128</v>
      </c>
      <c r="C130" s="278" t="s">
        <v>4142</v>
      </c>
      <c r="D130" s="654" t="s">
        <v>3991</v>
      </c>
      <c r="E130" s="334">
        <v>23</v>
      </c>
      <c r="F130" s="279" t="s">
        <v>907</v>
      </c>
    </row>
    <row r="131" spans="2:6">
      <c r="B131" s="278">
        <v>129</v>
      </c>
      <c r="C131" s="278" t="s">
        <v>4143</v>
      </c>
      <c r="D131" s="654" t="s">
        <v>3991</v>
      </c>
      <c r="E131" s="334">
        <v>23</v>
      </c>
      <c r="F131" s="279" t="s">
        <v>907</v>
      </c>
    </row>
    <row r="132" spans="2:6">
      <c r="B132" s="278">
        <v>130</v>
      </c>
      <c r="C132" s="278" t="s">
        <v>4144</v>
      </c>
      <c r="D132" s="654" t="s">
        <v>3991</v>
      </c>
      <c r="E132" s="334">
        <v>23</v>
      </c>
      <c r="F132" s="279" t="s">
        <v>907</v>
      </c>
    </row>
    <row r="133" spans="2:6">
      <c r="B133" s="278">
        <v>131</v>
      </c>
      <c r="C133" s="278" t="s">
        <v>4145</v>
      </c>
      <c r="D133" s="654" t="s">
        <v>3991</v>
      </c>
      <c r="E133" s="334">
        <v>26</v>
      </c>
      <c r="F133" s="279" t="s">
        <v>907</v>
      </c>
    </row>
    <row r="134" spans="2:6">
      <c r="B134" s="278">
        <v>132</v>
      </c>
      <c r="C134" s="278" t="s">
        <v>4146</v>
      </c>
      <c r="D134" s="668" t="s">
        <v>3991</v>
      </c>
      <c r="E134" s="334">
        <v>30</v>
      </c>
      <c r="F134" s="279" t="s">
        <v>907</v>
      </c>
    </row>
    <row r="135" spans="2:6">
      <c r="B135" s="278">
        <v>133</v>
      </c>
      <c r="C135" s="278" t="s">
        <v>4147</v>
      </c>
      <c r="D135" s="668" t="s">
        <v>3991</v>
      </c>
      <c r="E135" s="334">
        <v>30</v>
      </c>
      <c r="F135" s="279" t="s">
        <v>907</v>
      </c>
    </row>
    <row r="136" spans="2:6">
      <c r="B136" s="278">
        <v>134</v>
      </c>
      <c r="C136" s="278" t="s">
        <v>4148</v>
      </c>
      <c r="D136" s="668" t="s">
        <v>3991</v>
      </c>
      <c r="E136" s="334">
        <v>1</v>
      </c>
      <c r="F136" s="279" t="s">
        <v>907</v>
      </c>
    </row>
    <row r="137" spans="2:6">
      <c r="B137" s="278">
        <v>135</v>
      </c>
      <c r="C137" s="278" t="s">
        <v>4149</v>
      </c>
      <c r="D137" s="668" t="s">
        <v>3991</v>
      </c>
      <c r="E137" s="334">
        <v>26</v>
      </c>
      <c r="F137" s="278"/>
    </row>
    <row r="138" spans="2:6">
      <c r="B138" s="278">
        <v>136</v>
      </c>
      <c r="C138" s="278" t="s">
        <v>4150</v>
      </c>
      <c r="D138" s="668" t="s">
        <v>3991</v>
      </c>
      <c r="E138" s="437" t="s">
        <v>4151</v>
      </c>
      <c r="F138" s="278"/>
    </row>
    <row r="139" spans="2:6">
      <c r="B139" s="278">
        <v>137</v>
      </c>
      <c r="C139" s="278" t="s">
        <v>4152</v>
      </c>
      <c r="D139" s="668" t="s">
        <v>907</v>
      </c>
      <c r="E139" s="437">
        <v>30</v>
      </c>
      <c r="F139" s="278" t="s">
        <v>352</v>
      </c>
    </row>
    <row r="140" spans="2:6">
      <c r="B140" s="278">
        <v>138</v>
      </c>
      <c r="C140" s="278" t="s">
        <v>4153</v>
      </c>
      <c r="D140" s="668" t="s">
        <v>3991</v>
      </c>
      <c r="E140" s="334">
        <v>30</v>
      </c>
      <c r="F140" s="278" t="s">
        <v>352</v>
      </c>
    </row>
  </sheetData>
  <sheetProtection algorithmName="SHA-512" hashValue="mgtEmMSpB9OmKTjKQ1x5rRK5g/JmKMBGLGyw3UrHv32zMAWDSzOVu9WvBNvQIz9Lsip3o4HQGHU2pu6MfpnmVw==" saltValue="zEs0IH2d6p//XeccB4hrUg==" spinCount="100000" sheet="1" objects="1" scenarios="1"/>
  <hyperlinks>
    <hyperlink ref="D3" r:id="rId1" xr:uid="{F7799D72-744E-4736-B556-DB408533C3F0}"/>
    <hyperlink ref="D4" r:id="rId2" xr:uid="{0FB83CDC-8A82-42BC-B896-FC065F0DE5D7}"/>
    <hyperlink ref="D5" r:id="rId3" xr:uid="{A598F572-CC50-4F61-B6E2-5BD3F42F436D}"/>
    <hyperlink ref="D7" r:id="rId4" xr:uid="{02CB89FF-A4F1-4799-BC70-4F557BFD5622}"/>
    <hyperlink ref="D8" r:id="rId5" xr:uid="{590BFBEE-4335-4D9C-BC5F-BDC995B6867C}"/>
    <hyperlink ref="D9" r:id="rId6" location="page=25.45" xr:uid="{8BB06E64-DBF5-43D2-ACDE-3E7B0E3DF19B}"/>
    <hyperlink ref="D10" r:id="rId7" xr:uid="{43521801-5646-45C6-A4C0-FDBA21627DCD}"/>
    <hyperlink ref="D11" r:id="rId8" xr:uid="{3BFDDAD8-9F48-4350-BF97-1704FDE58C29}"/>
    <hyperlink ref="D12" r:id="rId9" xr:uid="{64FBC010-275F-4406-8842-AC5E10670EB5}"/>
    <hyperlink ref="D13" r:id="rId10" xr:uid="{64A43E24-4907-40BF-95FC-8F35B60C2F14}"/>
    <hyperlink ref="D14" r:id="rId11" location=":~:text=7.8%20million%20households%20(31.5%25%20of,million%20(24.6%25)%20in%202011" xr:uid="{41501C25-B01D-4410-B608-00A8793D76F2}"/>
    <hyperlink ref="D15" r:id="rId12" xr:uid="{0828E5D7-8898-42D6-880D-F1A4E02A27DE}"/>
    <hyperlink ref="D16" r:id="rId13" xr:uid="{52F932A2-FE23-4E45-B96F-DD5B6E7AF4AE}"/>
    <hyperlink ref="D17" r:id="rId14" xr:uid="{E1B6E815-F9E5-4E5A-99B5-F8D0FC741973}"/>
    <hyperlink ref="D18" r:id="rId15" xr:uid="{D0D3031B-24E4-42DB-9877-114D2345071C}"/>
    <hyperlink ref="D20" r:id="rId16" xr:uid="{2DB6EDB1-3119-4BF9-BBBF-DB902158D834}"/>
    <hyperlink ref="D21" r:id="rId17" xr:uid="{5D26F0BA-553B-416B-A9D6-89F15463D23F}"/>
    <hyperlink ref="D22" r:id="rId18" location="full-publication-update-history" xr:uid="{A55E97C2-CE8A-4F1A-89AD-065EAA01631A}"/>
    <hyperlink ref="D23" r:id="rId19" xr:uid="{8970CB1A-0857-4B77-A784-5462A113EBA9}"/>
    <hyperlink ref="D25" r:id="rId20" xr:uid="{C18E906C-932B-4169-8BF5-4D9BB6FA5C09}"/>
    <hyperlink ref="D26" r:id="rId21" xr:uid="{4B19BDF2-BAB7-4B38-B35C-A8D9451986DF}"/>
    <hyperlink ref="D27" r:id="rId22" location="time-and-participation-in-formal-volunteering-in-the-uk-between-2000-and-2015" xr:uid="{835CBABB-80B3-49FF-BC1E-0934BAFFF4E5}"/>
    <hyperlink ref="D28" r:id="rId23" xr:uid="{3BB434EE-E254-4213-8807-508C3BB50056}"/>
    <hyperlink ref="D31" r:id="rId24" xr:uid="{F0B4B3F1-0A9C-4535-9106-3FC9D3BCAEEA}"/>
    <hyperlink ref="D32" r:id="rId25" xr:uid="{234C8D4A-37E2-4754-AF90-7D0539528C1B}"/>
    <hyperlink ref="D33" r:id="rId26" xr:uid="{68CF80CA-565F-4C67-8E25-2ADFE261DD9E}"/>
    <hyperlink ref="D34" r:id="rId27" xr:uid="{03468954-BD48-4F4F-A26E-20F216D18659}"/>
    <hyperlink ref="D35" r:id="rId28" xr:uid="{A5A6516E-A1F7-49CB-82F3-1F01430523AE}"/>
    <hyperlink ref="D36" r:id="rId29" location=":~:text=There%20were%20248%2C149%20long%2Dterm,as%20of%2031%20March%202022." xr:uid="{2362421B-1012-4508-A7FD-BB48AB627881}"/>
    <hyperlink ref="D37" r:id="rId30" xr:uid="{F515B7EC-2171-4BAE-89C3-3929E120013E}"/>
    <hyperlink ref="D38" r:id="rId31" xr:uid="{ECADBD5E-4760-49D4-98A1-E404259D42B2}"/>
    <hyperlink ref="D40" r:id="rId32" xr:uid="{255CF8A0-9DD1-46F0-B9EE-725C7EA451C3}"/>
    <hyperlink ref="D41" r:id="rId33" xr:uid="{9B0FBA19-F963-4EEB-93B2-C714F7D85E7F}"/>
    <hyperlink ref="D42" r:id="rId34" xr:uid="{9D7B9865-739B-4BF8-A818-A66ECDFA05E6}"/>
    <hyperlink ref="D43" r:id="rId35" xr:uid="{BE6BB86D-0AA6-4478-A022-DDA89435239F}"/>
    <hyperlink ref="D44" r:id="rId36" xr:uid="{969C25B2-6163-4B07-94D6-0B579EC973B0}"/>
    <hyperlink ref="D45" r:id="rId37" xr:uid="{73B92A9F-E9B8-4112-93FD-8FFDD79B568F}"/>
    <hyperlink ref="D46" r:id="rId38" xr:uid="{BA553D8E-9AE9-4740-A025-B78250B4E5CA}"/>
    <hyperlink ref="D48" r:id="rId39" location="data-sources-and-quality" xr:uid="{73287AB7-BA92-44BE-9912-C029303CADF9}"/>
    <hyperlink ref="D50" r:id="rId40" xr:uid="{FDD53DBD-A006-4D27-884D-9D708B2F1433}"/>
    <hyperlink ref="D51" r:id="rId41" xr:uid="{85DBF916-7C1E-44B7-A9EE-034C349F4827}"/>
    <hyperlink ref="D52" r:id="rId42" xr:uid="{98FBA703-D560-47DC-A481-77AD8FF1BC97}"/>
    <hyperlink ref="D49" r:id="rId43" xr:uid="{F9021F51-1271-48A7-B9AC-953B6016F683}"/>
    <hyperlink ref="D53" r:id="rId44" xr:uid="{0EF66CE2-68BA-4E94-853E-CD4088CAE096}"/>
    <hyperlink ref="D54" r:id="rId45" xr:uid="{EE1BE71E-6BC3-4790-B846-4AE2E6A65845}"/>
    <hyperlink ref="D55" r:id="rId46" xr:uid="{8D413294-1E0E-4DEB-BC40-585729DDF152}"/>
    <hyperlink ref="D56" r:id="rId47" xr:uid="{6616B9FA-D0AB-442C-B100-EBA1139CCCD5}"/>
    <hyperlink ref="D57" r:id="rId48" xr:uid="{BC066063-B00F-45CF-A85C-90E8EC6B8376}"/>
    <hyperlink ref="D58" r:id="rId49" xr:uid="{ED00C1D9-686B-46BE-8002-E769F1CAFB54}"/>
    <hyperlink ref="D59" r:id="rId50" xr:uid="{FDE4DEB2-2EA1-4E9E-808A-EB511C3E6639}"/>
    <hyperlink ref="D60" r:id="rId51" xr:uid="{D72B7C2E-1060-4F26-9E3B-17FE2AB3B048}"/>
    <hyperlink ref="D61" r:id="rId52" xr:uid="{77A2F49B-05AB-4265-A5EF-D9BC04B00782}"/>
    <hyperlink ref="D62" r:id="rId53" xr:uid="{E7710BE6-67CB-4BCE-82A4-B855ED6DB51E}"/>
    <hyperlink ref="D63" r:id="rId54" xr:uid="{EABAD14A-52A0-4993-8AC0-2B96749AE66A}"/>
    <hyperlink ref="D64" r:id="rId55" location="annex-a-guide-to-statistical-reliability" xr:uid="{C0B87E7E-354E-45B1-8B5C-3CBC0A0E776E}"/>
    <hyperlink ref="D66" r:id="rId56" xr:uid="{6BA8A12E-48FD-48D9-8319-BE9BD6498E25}"/>
    <hyperlink ref="D68" r:id="rId57" location="homepage" xr:uid="{98B65D00-8564-40FB-94C9-7EAE8A97B95F}"/>
    <hyperlink ref="D69" r:id="rId58" xr:uid="{8A4D1B0F-90BB-4D65-A179-8E8948AC57F5}"/>
    <hyperlink ref="D70" r:id="rId59" xr:uid="{0F7DDC5F-9EA3-4AD1-A513-A76A8A2CE743}"/>
    <hyperlink ref="D71" r:id="rId60" xr:uid="{BD8CEEF9-ED18-430B-903C-39F65F71F1C1}"/>
    <hyperlink ref="D72:D73" r:id="rId61" display="Link" xr:uid="{DBC1A48F-D2B4-45D5-BBF9-D21CC87B690E}"/>
    <hyperlink ref="D74" r:id="rId62" xr:uid="{B968EC64-A863-410A-B167-36FBC25A7367}"/>
    <hyperlink ref="D75" r:id="rId63" xr:uid="{AF85462B-F6E2-4FAC-A9FC-734BFC65AEBD}"/>
    <hyperlink ref="D76" r:id="rId64" xr:uid="{19E36516-117C-4C87-9A18-0CF4FCCAA244}"/>
    <hyperlink ref="D77" r:id="rId65" xr:uid="{A86538D1-EC67-4F2A-872F-A183FD0408A2}"/>
    <hyperlink ref="D78" r:id="rId66" xr:uid="{47082146-6722-46EE-9B96-0EBC5CBFDA76}"/>
    <hyperlink ref="D79" r:id="rId67" xr:uid="{DEEFDB02-7961-4058-9781-48D352C5A2C8}"/>
    <hyperlink ref="D80" r:id="rId68" xr:uid="{F68EF22C-1210-4CCE-B3A6-674EF843995A}"/>
    <hyperlink ref="D81" r:id="rId69" xr:uid="{00BA4856-9682-45B4-AD81-00DA4CA5ACB8}"/>
    <hyperlink ref="D82" r:id="rId70" xr:uid="{A859A206-2DA5-4F6A-B95E-6787E3644FE3}"/>
    <hyperlink ref="D83" r:id="rId71" xr:uid="{7F2C5508-3EF1-4CBE-B7ED-F6E6B258CA67}"/>
    <hyperlink ref="D84" r:id="rId72" xr:uid="{5641D818-D20F-4B63-9461-57450BDC1185}"/>
    <hyperlink ref="D85" r:id="rId73" xr:uid="{6D3F0FE5-5D49-4A58-BDCD-F854D8FD2D62}"/>
    <hyperlink ref="D86" r:id="rId74" xr:uid="{3BE8B8F2-470F-4A56-8C6F-DD7F17675CC0}"/>
    <hyperlink ref="D87" r:id="rId75" xr:uid="{68CE60A9-B21A-435B-9F3C-52CE64766311}"/>
    <hyperlink ref="D88" r:id="rId76" xr:uid="{66F11E3F-8718-4920-8D75-D3164CD8D259}"/>
    <hyperlink ref="D89" r:id="rId77" xr:uid="{F855E7E2-60E9-4087-8E50-D53CA8DDDDB8}"/>
    <hyperlink ref="D90" r:id="rId78" xr:uid="{5D661DFE-0271-4C9F-96CC-EB9A50474025}"/>
    <hyperlink ref="D91" r:id="rId79" xr:uid="{951F3D13-1552-43FF-A9F4-D05853001AFE}"/>
    <hyperlink ref="D92" r:id="rId80" xr:uid="{22260AFC-D773-4748-9851-8C79322AF418}"/>
    <hyperlink ref="D93" r:id="rId81" xr:uid="{944650AF-E529-4274-9A2E-11E43A2C9B2F}"/>
    <hyperlink ref="D94" r:id="rId82" xr:uid="{6CAB0442-01EA-4AE4-9F4C-58BF6D6D8A7B}"/>
    <hyperlink ref="D95" r:id="rId83" xr:uid="{857F17D3-8142-41AB-9974-E823771F1CF1}"/>
    <hyperlink ref="D96" r:id="rId84" xr:uid="{7DFBB342-692F-41F9-A187-48145A6DC070}"/>
    <hyperlink ref="D97" r:id="rId85" xr:uid="{620A9AAA-49E7-4E07-95B0-9951E73D14D9}"/>
    <hyperlink ref="D98" r:id="rId86" xr:uid="{003CD143-D732-4D95-B946-887D1CE1BDA2}"/>
    <hyperlink ref="D99" r:id="rId87" xr:uid="{9C3C07B8-80F8-4D42-8BB9-211C9A5DCB67}"/>
    <hyperlink ref="D100" r:id="rId88" xr:uid="{0B05325F-20F6-46CA-8191-6C8A7020B0FB}"/>
    <hyperlink ref="D101" r:id="rId89" xr:uid="{E1E43FD8-A5C0-4582-BDB7-6E4B62B14FC5}"/>
    <hyperlink ref="D102" r:id="rId90" xr:uid="{236F56B7-FC08-4B82-98FA-22F20CCC93EA}"/>
    <hyperlink ref="D103" r:id="rId91" xr:uid="{E1F083A2-041A-471C-A962-C97640D88239}"/>
    <hyperlink ref="D104" r:id="rId92" xr:uid="{B779DDEA-CE47-4315-8050-874A59D0C938}"/>
    <hyperlink ref="D105" r:id="rId93" xr:uid="{E9A740DF-9879-42BD-B23F-E18AF6B554FA}"/>
    <hyperlink ref="D106" r:id="rId94" xr:uid="{75E1682F-5D45-4EBC-84E8-B03896715F33}"/>
    <hyperlink ref="D107" r:id="rId95" xr:uid="{2FD675D9-598F-44F5-98F4-E83F8BF8431B}"/>
    <hyperlink ref="D108" r:id="rId96" xr:uid="{8D462C18-7642-41EF-A701-14B616527F99}"/>
    <hyperlink ref="D109" r:id="rId97" xr:uid="{EA93058E-4972-4FAF-A361-08B485B5AD29}"/>
    <hyperlink ref="D110" r:id="rId98" xr:uid="{FD8352AF-F736-47B7-88BE-D4CA12678B62}"/>
    <hyperlink ref="D111" r:id="rId99" xr:uid="{212BD71D-3ABE-4F95-851F-F39BF335B974}"/>
    <hyperlink ref="D112" r:id="rId100" xr:uid="{2E5A673A-B2B9-4658-A6BE-C2D4CEADEE6A}"/>
    <hyperlink ref="D113" r:id="rId101" xr:uid="{CE417C14-C393-484D-B363-67025CCF4EC4}"/>
    <hyperlink ref="D115" r:id="rId102" xr:uid="{A63DB584-2837-4472-A1F6-C92E7B986F9E}"/>
    <hyperlink ref="D116" r:id="rId103" xr:uid="{5D67F7D5-2949-4A10-90FB-E596BF9DBD98}"/>
    <hyperlink ref="D117" r:id="rId104" xr:uid="{01CACDBC-5AFC-47E0-B21E-8E36B473584B}"/>
    <hyperlink ref="D118" r:id="rId105" xr:uid="{C1DAE1F5-EB1D-4822-A370-81F65C45AB32}"/>
    <hyperlink ref="D119" r:id="rId106" xr:uid="{9BE4DFDB-A00A-416A-B37F-B1C0F691905B}"/>
    <hyperlink ref="D120" r:id="rId107" xr:uid="{044F80B2-B7BA-4257-8F19-82D0D53D30B6}"/>
    <hyperlink ref="D121" r:id="rId108" xr:uid="{FC31960F-0B91-431B-94F6-A3F7099F44F1}"/>
    <hyperlink ref="D122" r:id="rId109" xr:uid="{3DBE9D51-EA71-4233-8BF6-57880A898B90}"/>
    <hyperlink ref="D123" r:id="rId110" xr:uid="{DAEF5A15-02C1-4069-8867-EB52EBEEDC07}"/>
    <hyperlink ref="D124" r:id="rId111" xr:uid="{02894648-6C40-4420-BB6F-DDD911B11294}"/>
    <hyperlink ref="D125" r:id="rId112" xr:uid="{51491262-47E1-4368-8824-FCB055C86915}"/>
    <hyperlink ref="D126" r:id="rId113" location=":~:text=Forests%20in%20Britain%20produce%20social,and%20protection%20of%20archaeological%20artefacts." xr:uid="{1421E2D4-FD9D-4E79-B109-54DC0C6EE385}"/>
    <hyperlink ref="D127" r:id="rId114" xr:uid="{AFB6B2AA-EEE8-4AA0-A93D-C97951096822}"/>
    <hyperlink ref="D128" r:id="rId115" xr:uid="{99DABD4C-FB8E-46BE-873F-3F25A816C872}"/>
    <hyperlink ref="D129" r:id="rId116" xr:uid="{B8DED4B9-71C3-4289-9EB6-23FE4ABA5C30}"/>
    <hyperlink ref="D130" r:id="rId117" xr:uid="{9696155E-94B4-4590-9EF3-423649FF061D}"/>
    <hyperlink ref="D131" r:id="rId118" xr:uid="{7AC537CD-3FA8-4923-BC0C-C71E64C28C22}"/>
    <hyperlink ref="D132" r:id="rId119" xr:uid="{CF3C40EA-0A01-4110-AF91-962DC5E96C3F}"/>
    <hyperlink ref="D133" r:id="rId120" xr:uid="{D4B73D49-1ECA-42C4-AAF0-848E9A71A662}"/>
    <hyperlink ref="D6" r:id="rId121" xr:uid="{6FF4D439-616E-4B85-B21C-C90021F016F8}"/>
    <hyperlink ref="D134" r:id="rId122" xr:uid="{48BB799F-2992-4347-88B5-061944F8EC27}"/>
    <hyperlink ref="D135" r:id="rId123" xr:uid="{A5C6EBB0-21CB-43B0-992D-78AD49FB265F}"/>
    <hyperlink ref="D136" r:id="rId124" xr:uid="{50CC9632-AA31-4811-91F7-307C7AEA32D6}"/>
    <hyperlink ref="D137" r:id="rId125" xr:uid="{3D1660BF-7B6F-4EFA-AD60-8E1BE2A7067B}"/>
    <hyperlink ref="D138" r:id="rId126" xr:uid="{3DC6C2A2-BC3C-447F-B3CB-EB127C6BB32A}"/>
    <hyperlink ref="D140" r:id="rId127" xr:uid="{F8364D7C-9C7C-40D7-AC17-16FA2097CF12}"/>
    <hyperlink ref="D24" r:id="rId128" xr:uid="{D3593FB1-3128-4ECF-9BCC-193544A6034D}"/>
    <hyperlink ref="D29" r:id="rId129" xr:uid="{EB8915FD-34DB-4820-A85A-BC1066AF222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F09B-0113-45AE-9C37-116F2F10A182}">
  <sheetPr codeName="Sheet53">
    <tabColor theme="6"/>
  </sheetPr>
  <dimension ref="B2:W527"/>
  <sheetViews>
    <sheetView topLeftCell="O1" workbookViewId="0">
      <selection activeCell="U2" sqref="U2"/>
    </sheetView>
  </sheetViews>
  <sheetFormatPr defaultColWidth="9" defaultRowHeight="14.45"/>
  <cols>
    <col min="1" max="1" width="2.625" style="8" customWidth="1"/>
    <col min="2" max="2" width="10.25" style="8" customWidth="1"/>
    <col min="3" max="3" width="24.375" style="8" customWidth="1"/>
    <col min="4" max="4" width="37.25" style="8" customWidth="1"/>
    <col min="5" max="5" width="24.375" style="8" customWidth="1"/>
    <col min="6" max="10" width="9.75" style="8" customWidth="1"/>
    <col min="11" max="11" width="16.75" style="8" bestFit="1" customWidth="1"/>
    <col min="12" max="12" width="16" style="8" bestFit="1" customWidth="1"/>
    <col min="13" max="13" width="29.125" style="8" customWidth="1"/>
    <col min="14" max="14" width="17.125" style="8" customWidth="1"/>
    <col min="15" max="15" width="15.375" style="8" customWidth="1"/>
    <col min="16" max="16" width="22.375" style="8" customWidth="1"/>
    <col min="17" max="17" width="10.75" style="8" customWidth="1"/>
    <col min="18" max="18" width="22.5" style="8" customWidth="1"/>
    <col min="19" max="19" width="25.375" style="8" customWidth="1"/>
    <col min="20" max="20" width="16.625" style="8" customWidth="1"/>
    <col min="21" max="21" width="27.375" style="8" customWidth="1"/>
    <col min="22" max="22" width="26.5" style="8" customWidth="1"/>
    <col min="23" max="23" width="22.125" style="8" customWidth="1"/>
    <col min="24" max="16384" width="9" style="8"/>
  </cols>
  <sheetData>
    <row r="2" spans="2:23">
      <c r="B2" s="8" t="s">
        <v>4154</v>
      </c>
      <c r="C2" s="8" t="s">
        <v>62</v>
      </c>
      <c r="D2" s="8" t="s">
        <v>902</v>
      </c>
      <c r="E2" s="8" t="s">
        <v>898</v>
      </c>
      <c r="F2" s="8" t="s">
        <v>916</v>
      </c>
      <c r="G2" s="8" t="s">
        <v>963</v>
      </c>
      <c r="H2" s="8" t="s">
        <v>964</v>
      </c>
      <c r="I2" s="8" t="s">
        <v>965</v>
      </c>
      <c r="J2" s="8" t="s">
        <v>966</v>
      </c>
      <c r="K2" s="8" t="s">
        <v>967</v>
      </c>
      <c r="L2" s="8" t="s">
        <v>968</v>
      </c>
      <c r="M2" s="8" t="s">
        <v>956</v>
      </c>
      <c r="N2" s="8" t="s">
        <v>969</v>
      </c>
      <c r="O2" s="8" t="s">
        <v>970</v>
      </c>
      <c r="P2" s="8" t="s">
        <v>927</v>
      </c>
      <c r="Q2" s="8" t="s">
        <v>913</v>
      </c>
      <c r="R2" s="8" t="s">
        <v>914</v>
      </c>
      <c r="S2" s="8" t="s">
        <v>915</v>
      </c>
      <c r="T2" s="8" t="s">
        <v>4155</v>
      </c>
      <c r="U2" s="8" t="s">
        <v>917</v>
      </c>
      <c r="V2" s="8" t="s">
        <v>918</v>
      </c>
      <c r="W2" s="8" t="s">
        <v>919</v>
      </c>
    </row>
    <row r="3" spans="2:23">
      <c r="B3" s="39" t="s">
        <v>1366</v>
      </c>
      <c r="C3" s="40" t="str">
        <f>_xlfn.XLOOKUP($B3,'12'!$B:$B,'12'!C:C,)</f>
        <v xml:space="preserve">Abstraction consent compliance </v>
      </c>
      <c r="D3" s="40" t="str">
        <f>_xlfn.XLOOKUP($B3,'12'!$B:$B,'12'!D:D,)</f>
        <v>Volume of over-abstraction</v>
      </c>
      <c r="E3" s="40" t="str">
        <f>_xlfn.XLOOKUP($B3,'12'!$B:$B,'12'!E:E,)</f>
        <v>Water Resources</v>
      </c>
      <c r="F3" s="40">
        <f>_xlfn.XLOOKUP($B3,'12'!$B:$B,'12'!F:F,)</f>
        <v>2018</v>
      </c>
      <c r="G3" s="40">
        <f>_xlfn.XLOOKUP($B3,'12'!$B:$B,'12'!G:G,)</f>
        <v>2023</v>
      </c>
      <c r="H3" s="40">
        <f>_xlfn.XLOOKUP($B3,'12'!$B:$B,'12'!H:H,)</f>
        <v>2023</v>
      </c>
      <c r="I3" s="40">
        <f>_xlfn.XLOOKUP($B3,'12'!$B:$B,'12'!I:I,)</f>
        <v>100</v>
      </c>
      <c r="J3" s="40">
        <f>_xlfn.XLOOKUP($B3,'12'!$B:$B,'12'!J:J,)</f>
        <v>100</v>
      </c>
      <c r="K3" s="629">
        <f>_xlfn.XLOOKUP($B3,'12'!$B:$B,'12'!K:K,)</f>
        <v>1.07</v>
      </c>
      <c r="L3" s="629">
        <f>_xlfn.XLOOKUP($B3,'12'!$B:$B,'12'!L:L,)</f>
        <v>1.07</v>
      </c>
      <c r="M3" s="40" t="str">
        <f>_xlfn.XLOOKUP($B3,'12'!$B:$B,'12'!M:M,)</f>
        <v>Resource rent</v>
      </c>
      <c r="N3" s="326">
        <f>_xlfn.XLOOKUP($B3,'12'!$B:$B,'12'!N:N,)</f>
        <v>2.8333333333333335</v>
      </c>
      <c r="O3" s="40" t="str">
        <f>_xlfn.XLOOKUP($B3,'12'!$B:$B,'12'!O:O,)</f>
        <v>Yes</v>
      </c>
      <c r="P3" s="40" t="str">
        <f>_xlfn.XLOOKUP($B3,'12'!$B:$B,'12'!P:P,)</f>
        <v xml:space="preserve">Most appropriate of the two sources available as the valuation method is more directly applicable </v>
      </c>
      <c r="Q3" s="40">
        <f>_xlfn.XLOOKUP($B3,'12'!$B:$B,'12'!Q:Q,)</f>
        <v>22</v>
      </c>
      <c r="R3" s="40" t="str">
        <f>_xlfn.XLOOKUP($B3,'12'!$B:$B,'12'!R:R,)</f>
        <v>NIC (2018) Analysis of the costs of water resource management options to enhance drought resilience</v>
      </c>
      <c r="S3" s="40" t="str">
        <f>_xlfn.XLOOKUP($B3,'12'!$B:$B,'12'!S:S,)</f>
        <v>NCEM</v>
      </c>
      <c r="T3" s="40">
        <f>_xlfn.XLOOKUP($B3,'12'!$B:$B,'12'!T:T,)</f>
        <v>2018</v>
      </c>
      <c r="U3" s="40" t="str">
        <f>_xlfn.XLOOKUP($B3,'12'!$B:$B,'12'!U:U,)</f>
        <v>UK</v>
      </c>
      <c r="V3" s="40" t="str">
        <f>_xlfn.XLOOKUP($B3,'12'!$B:$B,'12'!V:V,)</f>
        <v>UK</v>
      </c>
      <c r="W3" s="40" t="str">
        <f>_xlfn.XLOOKUP($B3,'12'!$B:$B,'12'!W:W,)</f>
        <v>/</v>
      </c>
    </row>
    <row r="4" spans="2:23">
      <c r="B4" s="40" t="s">
        <v>3905</v>
      </c>
      <c r="C4" s="40" t="str">
        <f>_xlfn.XLOOKUP($B4,'43'!$B:$B,'43'!C:C,)</f>
        <v>Active travel</v>
      </c>
      <c r="D4" s="40" t="str">
        <f>_xlfn.XLOOKUP($B4,'43'!$B:$B,'43'!D:D,)</f>
        <v>Cycling trips on newly created route</v>
      </c>
      <c r="E4" s="40" t="str">
        <f>_xlfn.XLOOKUP($B4,'43'!$B:$B,'43'!E:E,)</f>
        <v>Health and wellbeing</v>
      </c>
      <c r="F4" s="40">
        <f>_xlfn.XLOOKUP($B4,'43'!$B:$B,'43'!F:F,)</f>
        <v>2024</v>
      </c>
      <c r="G4" s="40">
        <f>_xlfn.XLOOKUP($B4,'43'!$B:$B,'43'!G:G,)</f>
        <v>2022</v>
      </c>
      <c r="H4" s="40">
        <f>_xlfn.XLOOKUP($B4,'43'!$B:$B,'43'!H:H,)</f>
        <v>2023</v>
      </c>
      <c r="I4" s="40">
        <f>_xlfn.XLOOKUP($B4,'43'!$B:$B,'43'!I:I,)</f>
        <v>93.351699999999994</v>
      </c>
      <c r="J4" s="40">
        <f>_xlfn.XLOOKUP($B4,'43'!$B:$B,'43'!J:J,)</f>
        <v>100</v>
      </c>
      <c r="K4" s="629">
        <f>_xlfn.XLOOKUP($B4,'43'!$B:$B,'43'!K:K,)</f>
        <v>-7.2833999999999994</v>
      </c>
      <c r="L4" s="629">
        <f>_xlfn.XLOOKUP($B4,'43'!$B:$B,'43'!L:L,)</f>
        <v>-7.8021075138428122</v>
      </c>
      <c r="M4" s="40" t="str">
        <f>_xlfn.XLOOKUP($B4,'43'!$B:$B,'43'!M:M,)</f>
        <v>Value of statistical life (WTP)</v>
      </c>
      <c r="N4" s="326">
        <f>_xlfn.XLOOKUP($B4,'43'!$B:$B,'43'!N:N,)</f>
        <v>2</v>
      </c>
      <c r="O4" s="40" t="str">
        <f>_xlfn.XLOOKUP($B4,'43'!$B:$B,'43'!O:O,)</f>
        <v>Yes</v>
      </c>
      <c r="P4" s="40" t="str">
        <f>_xlfn.XLOOKUP($B4,'43'!$B:$B,'43'!P:P,)</f>
        <v>Referenced in B£ST and applicable to SM</v>
      </c>
      <c r="Q4" s="40">
        <f>_xlfn.XLOOKUP($B4,'43'!$B:$B,'43'!Q:Q,)</f>
        <v>66</v>
      </c>
      <c r="R4" s="40" t="str">
        <f>_xlfn.XLOOKUP($B4,'43'!$B:$B,'43'!R:R,)</f>
        <v>World Health Organisation (2024) HEAT v5.3.0.</v>
      </c>
      <c r="S4" s="40" t="str">
        <f>_xlfn.XLOOKUP($B4,'43'!$B:$B,'43'!S:S,)</f>
        <v>B£ST</v>
      </c>
      <c r="T4" s="40">
        <f>_xlfn.XLOOKUP($B4,'43'!$B:$B,'43'!T:T,)</f>
        <v>2024</v>
      </c>
      <c r="U4" s="40" t="str">
        <f>_xlfn.XLOOKUP($B4,'43'!$B:$B,'43'!U:U,)</f>
        <v>UK</v>
      </c>
      <c r="V4" s="40" t="str">
        <f>_xlfn.XLOOKUP($B4,'43'!$B:$B,'43'!V:V,)</f>
        <v>UK</v>
      </c>
      <c r="W4" s="40" t="str">
        <f>_xlfn.XLOOKUP($B4,'43'!$B:$B,'43'!W:W,)</f>
        <v>/</v>
      </c>
    </row>
    <row r="5" spans="2:23">
      <c r="B5" s="40" t="s">
        <v>3907</v>
      </c>
      <c r="C5" s="40" t="str">
        <f>_xlfn.XLOOKUP($B5,'43'!$B:$B,'43'!C:C,)</f>
        <v>Active travel</v>
      </c>
      <c r="D5" s="40" t="str">
        <f>_xlfn.XLOOKUP($B5,'43'!$B:$B,'43'!D:D,)</f>
        <v>Walking trips on newly created route</v>
      </c>
      <c r="E5" s="40" t="str">
        <f>_xlfn.XLOOKUP($B5,'43'!$B:$B,'43'!E:E,)</f>
        <v>Health and wellbeing</v>
      </c>
      <c r="F5" s="40">
        <f>_xlfn.XLOOKUP($B5,'43'!$B:$B,'43'!F:F,)</f>
        <v>2024</v>
      </c>
      <c r="G5" s="40">
        <f>_xlfn.XLOOKUP($B5,'43'!$B:$B,'43'!G:G,)</f>
        <v>2022</v>
      </c>
      <c r="H5" s="40">
        <f>_xlfn.XLOOKUP($B5,'43'!$B:$B,'43'!H:H,)</f>
        <v>2023</v>
      </c>
      <c r="I5" s="40">
        <f>_xlfn.XLOOKUP($B5,'43'!$B:$B,'43'!I:I,)</f>
        <v>93.351699999999994</v>
      </c>
      <c r="J5" s="40">
        <f>_xlfn.XLOOKUP($B5,'43'!$B:$B,'43'!J:J,)</f>
        <v>100</v>
      </c>
      <c r="K5" s="629">
        <f>_xlfn.XLOOKUP($B5,'43'!$B:$B,'43'!K:K,)</f>
        <v>-5.9657999999999998</v>
      </c>
      <c r="L5" s="629">
        <f>_xlfn.XLOOKUP($B5,'43'!$B:$B,'43'!L:L,)</f>
        <v>-6.390670978675268</v>
      </c>
      <c r="M5" s="40" t="str">
        <f>_xlfn.XLOOKUP($B5,'43'!$B:$B,'43'!M:M,)</f>
        <v>Value of statistical life (WTP)</v>
      </c>
      <c r="N5" s="326">
        <f>_xlfn.XLOOKUP($B5,'43'!$B:$B,'43'!N:N,)</f>
        <v>2</v>
      </c>
      <c r="O5" s="40" t="str">
        <f>_xlfn.XLOOKUP($B5,'43'!$B:$B,'43'!O:O,)</f>
        <v>Yes</v>
      </c>
      <c r="P5" s="40" t="str">
        <f>_xlfn.XLOOKUP($B5,'43'!$B:$B,'43'!P:P,)</f>
        <v>Referenced in B£ST and applicable to SM</v>
      </c>
      <c r="Q5" s="40">
        <f>_xlfn.XLOOKUP($B5,'43'!$B:$B,'43'!Q:Q,)</f>
        <v>66</v>
      </c>
      <c r="R5" s="40" t="str">
        <f>_xlfn.XLOOKUP($B5,'43'!$B:$B,'43'!R:R,)</f>
        <v>World Health Organisation (2024) HEAT v5.3.0.</v>
      </c>
      <c r="S5" s="40" t="str">
        <f>_xlfn.XLOOKUP($B5,'43'!$B:$B,'43'!S:S,)</f>
        <v>B£ST</v>
      </c>
      <c r="T5" s="40">
        <f>_xlfn.XLOOKUP($B5,'43'!$B:$B,'43'!T:T,)</f>
        <v>2024</v>
      </c>
      <c r="U5" s="40" t="str">
        <f>_xlfn.XLOOKUP($B5,'43'!$B:$B,'43'!U:U,)</f>
        <v>UK</v>
      </c>
      <c r="V5" s="40" t="str">
        <f>_xlfn.XLOOKUP($B5,'43'!$B:$B,'43'!V:V,)</f>
        <v>UK</v>
      </c>
      <c r="W5" s="40" t="str">
        <f>_xlfn.XLOOKUP($B5,'43'!$B:$B,'43'!W:W,)</f>
        <v>/</v>
      </c>
    </row>
    <row r="6" spans="2:23">
      <c r="B6" s="39" t="s">
        <v>3056</v>
      </c>
      <c r="C6" s="40" t="str">
        <f>_xlfn.XLOOKUP($B6,'32'!$B:$B,'32'!C:C,)</f>
        <v>Air pollution</v>
      </c>
      <c r="D6" s="40" t="str">
        <f>_xlfn.XLOOKUP($B6,'32'!$B:$B,'32'!D:D,)</f>
        <v xml:space="preserve">Air pollution emissions - NOx </v>
      </c>
      <c r="E6" s="40" t="str">
        <f>_xlfn.XLOOKUP($B6,'32'!$B:$B,'32'!E:E,)</f>
        <v>Biodiversity</v>
      </c>
      <c r="F6" s="40">
        <f>_xlfn.XLOOKUP($B6,'32'!$B:$B,'32'!F:F,)</f>
        <v>2014</v>
      </c>
      <c r="G6" s="40">
        <f>_xlfn.XLOOKUP($B6,'32'!$B:$B,'32'!G:G,)</f>
        <v>2013</v>
      </c>
      <c r="H6" s="40">
        <f>_xlfn.XLOOKUP($B6,'32'!$B:$B,'32'!H:H,)</f>
        <v>2023</v>
      </c>
      <c r="I6" s="40">
        <f>_xlfn.XLOOKUP($B6,'32'!$B:$B,'32'!I:I,)</f>
        <v>76.728899999999996</v>
      </c>
      <c r="J6" s="40">
        <f>_xlfn.XLOOKUP($B6,'32'!$B:$B,'32'!J:J,)</f>
        <v>100</v>
      </c>
      <c r="K6" s="629">
        <f>_xlfn.XLOOKUP($B6,'32'!$B:$B,'32'!K:K,)</f>
        <v>103</v>
      </c>
      <c r="L6" s="629">
        <f>_xlfn.XLOOKUP($B6,'32'!$B:$B,'32'!L:L,)</f>
        <v>134.2388591521578</v>
      </c>
      <c r="M6" s="40" t="str">
        <f>_xlfn.XLOOKUP($B6,'32'!$B:$B,'32'!M:M,)</f>
        <v>Damage costs</v>
      </c>
      <c r="N6" s="326">
        <f>_xlfn.XLOOKUP($B6,'32'!$B:$B,'32'!N:N,)</f>
        <v>2.6666666666666665</v>
      </c>
      <c r="O6" s="40" t="str">
        <f>_xlfn.XLOOKUP($B6,'32'!$B:$B,'32'!O:O,)</f>
        <v>Yes</v>
      </c>
      <c r="P6" s="40" t="str">
        <f>_xlfn.XLOOKUP($B6,'32'!$B:$B,'32'!P:P,)</f>
        <v>Referenced within ENCA</v>
      </c>
      <c r="Q6" s="40">
        <f>_xlfn.XLOOKUP($B6,'32'!$B:$B,'32'!Q:Q,)</f>
        <v>18</v>
      </c>
      <c r="R6" s="40" t="str">
        <f>_xlfn.XLOOKUP($B6,'32'!$B:$B,'32'!R:R,)</f>
        <v>L Jones et al.(2014) Assessment of the impacts of air pollution on Ecosystem Services - Final Report</v>
      </c>
      <c r="S6" s="40" t="str">
        <f>_xlfn.XLOOKUP($B6,'32'!$B:$B,'32'!S:S,)</f>
        <v>ENCA</v>
      </c>
      <c r="T6" s="40">
        <f>_xlfn.XLOOKUP($B6,'32'!$B:$B,'32'!T:T,)</f>
        <v>2014</v>
      </c>
      <c r="U6" s="40" t="str">
        <f>_xlfn.XLOOKUP($B6,'32'!$B:$B,'32'!U:U,)</f>
        <v>UK</v>
      </c>
      <c r="V6" s="40" t="str">
        <f>_xlfn.XLOOKUP($B6,'32'!$B:$B,'32'!V:V,)</f>
        <v>UK average</v>
      </c>
      <c r="W6" s="40" t="str">
        <f>_xlfn.XLOOKUP($B6,'32'!$B:$B,'32'!W:W,)</f>
        <v>Not available</v>
      </c>
    </row>
    <row r="7" spans="2:23">
      <c r="B7" s="39" t="s">
        <v>3057</v>
      </c>
      <c r="C7" s="40" t="str">
        <f>_xlfn.XLOOKUP($B7,'32'!$B:$B,'32'!C:C,)</f>
        <v>Air pollution</v>
      </c>
      <c r="D7" s="40" t="str">
        <f>_xlfn.XLOOKUP($B7,'32'!$B:$B,'32'!D:D,)</f>
        <v>Air pollution emissions - NH3</v>
      </c>
      <c r="E7" s="40" t="str">
        <f>_xlfn.XLOOKUP($B7,'32'!$B:$B,'32'!E:E,)</f>
        <v>Biodiversity</v>
      </c>
      <c r="F7" s="40">
        <f>_xlfn.XLOOKUP($B7,'32'!$B:$B,'32'!F:F,)</f>
        <v>2014</v>
      </c>
      <c r="G7" s="40">
        <f>_xlfn.XLOOKUP($B7,'32'!$B:$B,'32'!G:G,)</f>
        <v>2013</v>
      </c>
      <c r="H7" s="40">
        <f>_xlfn.XLOOKUP($B7,'32'!$B:$B,'32'!H:H,)</f>
        <v>2023</v>
      </c>
      <c r="I7" s="40">
        <f>_xlfn.XLOOKUP($B7,'32'!$B:$B,'32'!I:I,)</f>
        <v>76.728899999999996</v>
      </c>
      <c r="J7" s="40">
        <f>_xlfn.XLOOKUP($B7,'32'!$B:$B,'32'!J:J,)</f>
        <v>100</v>
      </c>
      <c r="K7" s="629">
        <f>_xlfn.XLOOKUP($B7,'32'!$B:$B,'32'!K:K,)</f>
        <v>414</v>
      </c>
      <c r="L7" s="629">
        <f>_xlfn.XLOOKUP($B7,'32'!$B:$B,'32'!L:L,)</f>
        <v>539.56201639799349</v>
      </c>
      <c r="M7" s="40" t="str">
        <f>_xlfn.XLOOKUP($B7,'32'!$B:$B,'32'!M:M,)</f>
        <v>Damage costs</v>
      </c>
      <c r="N7" s="326">
        <f>_xlfn.XLOOKUP($B7,'32'!$B:$B,'32'!N:N,)</f>
        <v>2.6666666666666665</v>
      </c>
      <c r="O7" s="40" t="str">
        <f>_xlfn.XLOOKUP($B7,'32'!$B:$B,'32'!O:O,)</f>
        <v>Yes</v>
      </c>
      <c r="P7" s="40" t="str">
        <f>_xlfn.XLOOKUP($B7,'32'!$B:$B,'32'!P:P,)</f>
        <v>Referenced within ENCA</v>
      </c>
      <c r="Q7" s="40">
        <f>_xlfn.XLOOKUP($B7,'32'!$B:$B,'32'!Q:Q,)</f>
        <v>18</v>
      </c>
      <c r="R7" s="40" t="str">
        <f>_xlfn.XLOOKUP($B7,'32'!$B:$B,'32'!R:R,)</f>
        <v>L Jones et al.(2014) Assessment of the impacts of air pollution on Ecosystem Services - Final Report</v>
      </c>
      <c r="S7" s="40" t="str">
        <f>_xlfn.XLOOKUP($B7,'32'!$B:$B,'32'!S:S,)</f>
        <v>ENCA</v>
      </c>
      <c r="T7" s="40">
        <f>_xlfn.XLOOKUP($B7,'32'!$B:$B,'32'!T:T,)</f>
        <v>2014</v>
      </c>
      <c r="U7" s="40" t="str">
        <f>_xlfn.XLOOKUP($B7,'32'!$B:$B,'32'!U:U,)</f>
        <v>UK</v>
      </c>
      <c r="V7" s="40" t="str">
        <f>_xlfn.XLOOKUP($B7,'32'!$B:$B,'32'!V:V,)</f>
        <v>UK average</v>
      </c>
      <c r="W7" s="40" t="str">
        <f>_xlfn.XLOOKUP($B7,'32'!$B:$B,'32'!W:W,)</f>
        <v>Not available</v>
      </c>
    </row>
    <row r="8" spans="2:23">
      <c r="B8" s="39" t="s">
        <v>3078</v>
      </c>
      <c r="C8" s="40" t="str">
        <f>_xlfn.XLOOKUP($B8,'32'!$B:$B,'32'!C:C,)</f>
        <v>Air pollution</v>
      </c>
      <c r="D8" s="40" t="str">
        <f>_xlfn.XLOOKUP($B8,'32'!$B:$B,'32'!D:D,)</f>
        <v xml:space="preserve">Air pollution emissions - NOx </v>
      </c>
      <c r="E8" s="40" t="str">
        <f>_xlfn.XLOOKUP($B8,'32'!$B:$B,'32'!E:E,)</f>
        <v>Health and wellbeing</v>
      </c>
      <c r="F8" s="40">
        <f>_xlfn.XLOOKUP($B8,'32'!$B:$B,'32'!F:F,)</f>
        <v>2023</v>
      </c>
      <c r="G8" s="40">
        <f>_xlfn.XLOOKUP($B8,'32'!$B:$B,'32'!G:G,)</f>
        <v>2022</v>
      </c>
      <c r="H8" s="40">
        <f>_xlfn.XLOOKUP($B8,'32'!$B:$B,'32'!H:H,)</f>
        <v>2023</v>
      </c>
      <c r="I8" s="40">
        <f>_xlfn.XLOOKUP($B8,'32'!$B:$B,'32'!I:I,)</f>
        <v>93.351699999999994</v>
      </c>
      <c r="J8" s="40">
        <f>_xlfn.XLOOKUP($B8,'32'!$B:$B,'32'!J:J,)</f>
        <v>100</v>
      </c>
      <c r="K8" s="629">
        <f>_xlfn.XLOOKUP($B8,'32'!$B:$B,'32'!K:K,)</f>
        <v>8148</v>
      </c>
      <c r="L8" s="629">
        <f>_xlfn.XLOOKUP($B8,'32'!$B:$B,'32'!L:L,)</f>
        <v>8728.2823987136835</v>
      </c>
      <c r="M8" s="40" t="str">
        <f>_xlfn.XLOOKUP($B8,'32'!$B:$B,'32'!M:M,)</f>
        <v>Damage costs</v>
      </c>
      <c r="N8" s="326">
        <f>_xlfn.XLOOKUP($B8,'32'!$B:$B,'32'!N:N,)</f>
        <v>2.5714285714285698</v>
      </c>
      <c r="O8" s="40" t="str">
        <f>_xlfn.XLOOKUP($B8,'32'!$B:$B,'32'!O:O,)</f>
        <v>Yes</v>
      </c>
      <c r="P8" s="40" t="str">
        <f>_xlfn.XLOOKUP($B8,'32'!$B:$B,'32'!P:P,)</f>
        <v>Referenced within ENCA</v>
      </c>
      <c r="Q8" s="40">
        <f>_xlfn.XLOOKUP($B8,'32'!$B:$B,'32'!Q:Q,)</f>
        <v>19</v>
      </c>
      <c r="R8" s="40" t="str">
        <f>_xlfn.XLOOKUP($B8,'32'!$B:$B,'32'!R:R,)</f>
        <v>DEFRA (2023) Air quality appraisal: damage cost guidance</v>
      </c>
      <c r="S8" s="40" t="str">
        <f>_xlfn.XLOOKUP($B8,'32'!$B:$B,'32'!S:S,)</f>
        <v>ENCA</v>
      </c>
      <c r="T8" s="40">
        <f>_xlfn.XLOOKUP($B8,'32'!$B:$B,'32'!T:T,)</f>
        <v>2023</v>
      </c>
      <c r="U8" s="40" t="str">
        <f>_xlfn.XLOOKUP($B8,'32'!$B:$B,'32'!U:U,)</f>
        <v>UK</v>
      </c>
      <c r="V8" s="40" t="str">
        <f>_xlfn.XLOOKUP($B8,'32'!$B:$B,'32'!V:V,)</f>
        <v>UK average</v>
      </c>
      <c r="W8" s="40" t="str">
        <f>_xlfn.XLOOKUP($B8,'32'!$B:$B,'32'!W:W,)</f>
        <v>Not available</v>
      </c>
    </row>
    <row r="9" spans="2:23">
      <c r="B9" s="39" t="s">
        <v>3079</v>
      </c>
      <c r="C9" s="40" t="str">
        <f>_xlfn.XLOOKUP($B9,'32'!$B:$B,'32'!C:C,)</f>
        <v>Air pollution</v>
      </c>
      <c r="D9" s="40" t="str">
        <f>_xlfn.XLOOKUP($B9,'32'!$B:$B,'32'!D:D,)</f>
        <v xml:space="preserve">Air pollution emissions - SOx </v>
      </c>
      <c r="E9" s="40" t="str">
        <f>_xlfn.XLOOKUP($B9,'32'!$B:$B,'32'!E:E,)</f>
        <v>Health and wellbeing</v>
      </c>
      <c r="F9" s="40">
        <f>_xlfn.XLOOKUP($B9,'32'!$B:$B,'32'!F:F,)</f>
        <v>2023</v>
      </c>
      <c r="G9" s="40">
        <f>_xlfn.XLOOKUP($B9,'32'!$B:$B,'32'!G:G,)</f>
        <v>2022</v>
      </c>
      <c r="H9" s="40">
        <f>_xlfn.XLOOKUP($B9,'32'!$B:$B,'32'!H:H,)</f>
        <v>2023</v>
      </c>
      <c r="I9" s="40">
        <f>_xlfn.XLOOKUP($B9,'32'!$B:$B,'32'!I:I,)</f>
        <v>93.351699999999994</v>
      </c>
      <c r="J9" s="40">
        <f>_xlfn.XLOOKUP($B9,'32'!$B:$B,'32'!J:J,)</f>
        <v>100</v>
      </c>
      <c r="K9" s="629">
        <f>_xlfn.XLOOKUP($B9,'32'!$B:$B,'32'!K:K,)</f>
        <v>16616</v>
      </c>
      <c r="L9" s="629">
        <f>_xlfn.XLOOKUP($B9,'32'!$B:$B,'32'!L:L,)</f>
        <v>17799.354484171152</v>
      </c>
      <c r="M9" s="40" t="str">
        <f>_xlfn.XLOOKUP($B9,'32'!$B:$B,'32'!M:M,)</f>
        <v>Damage costs</v>
      </c>
      <c r="N9" s="326">
        <f>_xlfn.XLOOKUP($B9,'32'!$B:$B,'32'!N:N,)</f>
        <v>2.5714285714285698</v>
      </c>
      <c r="O9" s="40" t="str">
        <f>_xlfn.XLOOKUP($B9,'32'!$B:$B,'32'!O:O,)</f>
        <v>Yes</v>
      </c>
      <c r="P9" s="40" t="str">
        <f>_xlfn.XLOOKUP($B9,'32'!$B:$B,'32'!P:P,)</f>
        <v>Referenced within ENCA</v>
      </c>
      <c r="Q9" s="40">
        <f>_xlfn.XLOOKUP($B9,'32'!$B:$B,'32'!Q:Q,)</f>
        <v>19</v>
      </c>
      <c r="R9" s="40" t="str">
        <f>_xlfn.XLOOKUP($B9,'32'!$B:$B,'32'!R:R,)</f>
        <v>DEFRA (2023) Air quality appraisal: damage cost guidance</v>
      </c>
      <c r="S9" s="40" t="str">
        <f>_xlfn.XLOOKUP($B9,'32'!$B:$B,'32'!S:S,)</f>
        <v>ENCA</v>
      </c>
      <c r="T9" s="40">
        <f>_xlfn.XLOOKUP($B9,'32'!$B:$B,'32'!T:T,)</f>
        <v>2023</v>
      </c>
      <c r="U9" s="40" t="str">
        <f>_xlfn.XLOOKUP($B9,'32'!$B:$B,'32'!U:U,)</f>
        <v>UK</v>
      </c>
      <c r="V9" s="40" t="str">
        <f>_xlfn.XLOOKUP($B9,'32'!$B:$B,'32'!V:V,)</f>
        <v>UK average</v>
      </c>
      <c r="W9" s="40" t="str">
        <f>_xlfn.XLOOKUP($B9,'32'!$B:$B,'32'!W:W,)</f>
        <v>Not available</v>
      </c>
    </row>
    <row r="10" spans="2:23">
      <c r="B10" s="39" t="s">
        <v>3080</v>
      </c>
      <c r="C10" s="40" t="str">
        <f>_xlfn.XLOOKUP($B10,'32'!$B:$B,'32'!C:C,)</f>
        <v>Air pollution</v>
      </c>
      <c r="D10" s="40" t="str">
        <f>_xlfn.XLOOKUP($B10,'32'!$B:$B,'32'!D:D,)</f>
        <v>Air pollution emissions - NH3</v>
      </c>
      <c r="E10" s="40" t="str">
        <f>_xlfn.XLOOKUP($B10,'32'!$B:$B,'32'!E:E,)</f>
        <v>Health and wellbeing</v>
      </c>
      <c r="F10" s="40">
        <f>_xlfn.XLOOKUP($B10,'32'!$B:$B,'32'!F:F,)</f>
        <v>2023</v>
      </c>
      <c r="G10" s="40">
        <f>_xlfn.XLOOKUP($B10,'32'!$B:$B,'32'!G:G,)</f>
        <v>2022</v>
      </c>
      <c r="H10" s="40">
        <f>_xlfn.XLOOKUP($B10,'32'!$B:$B,'32'!H:H,)</f>
        <v>2023</v>
      </c>
      <c r="I10" s="40">
        <f>_xlfn.XLOOKUP($B10,'32'!$B:$B,'32'!I:I,)</f>
        <v>93.351699999999994</v>
      </c>
      <c r="J10" s="40">
        <f>_xlfn.XLOOKUP($B10,'32'!$B:$B,'32'!J:J,)</f>
        <v>100</v>
      </c>
      <c r="K10" s="629">
        <f>_xlfn.XLOOKUP($B10,'32'!$B:$B,'32'!K:K,)</f>
        <v>9667</v>
      </c>
      <c r="L10" s="629">
        <f>_xlfn.XLOOKUP($B10,'32'!$B:$B,'32'!L:L,)</f>
        <v>10355.462192975598</v>
      </c>
      <c r="M10" s="40" t="str">
        <f>_xlfn.XLOOKUP($B10,'32'!$B:$B,'32'!M:M,)</f>
        <v>Damage costs</v>
      </c>
      <c r="N10" s="326">
        <f>_xlfn.XLOOKUP($B10,'32'!$B:$B,'32'!N:N,)</f>
        <v>2.5714285714285698</v>
      </c>
      <c r="O10" s="40" t="str">
        <f>_xlfn.XLOOKUP($B10,'32'!$B:$B,'32'!O:O,)</f>
        <v>Yes</v>
      </c>
      <c r="P10" s="40" t="str">
        <f>_xlfn.XLOOKUP($B10,'32'!$B:$B,'32'!P:P,)</f>
        <v>Referenced within ENCA</v>
      </c>
      <c r="Q10" s="40">
        <f>_xlfn.XLOOKUP($B10,'32'!$B:$B,'32'!Q:Q,)</f>
        <v>19</v>
      </c>
      <c r="R10" s="40" t="str">
        <f>_xlfn.XLOOKUP($B10,'32'!$B:$B,'32'!R:R,)</f>
        <v>DEFRA (2023) Air quality appraisal: damage cost guidance</v>
      </c>
      <c r="S10" s="40" t="str">
        <f>_xlfn.XLOOKUP($B10,'32'!$B:$B,'32'!S:S,)</f>
        <v>ENCA</v>
      </c>
      <c r="T10" s="40">
        <f>_xlfn.XLOOKUP($B10,'32'!$B:$B,'32'!T:T,)</f>
        <v>2023</v>
      </c>
      <c r="U10" s="40" t="str">
        <f>_xlfn.XLOOKUP($B10,'32'!$B:$B,'32'!U:U,)</f>
        <v>UK</v>
      </c>
      <c r="V10" s="40" t="str">
        <f>_xlfn.XLOOKUP($B10,'32'!$B:$B,'32'!V:V,)</f>
        <v>UK average</v>
      </c>
      <c r="W10" s="40" t="str">
        <f>_xlfn.XLOOKUP($B10,'32'!$B:$B,'32'!W:W,)</f>
        <v>Not available</v>
      </c>
    </row>
    <row r="11" spans="2:23">
      <c r="B11" s="39" t="s">
        <v>3081</v>
      </c>
      <c r="C11" s="40" t="str">
        <f>_xlfn.XLOOKUP($B11,'32'!$B:$B,'32'!C:C,)</f>
        <v>Air pollution</v>
      </c>
      <c r="D11" s="40" t="str">
        <f>_xlfn.XLOOKUP($B11,'32'!$B:$B,'32'!D:D,)</f>
        <v>Air pollution emissions - PM2.5</v>
      </c>
      <c r="E11" s="40" t="str">
        <f>_xlfn.XLOOKUP($B11,'32'!$B:$B,'32'!E:E,)</f>
        <v>Health and wellbeing</v>
      </c>
      <c r="F11" s="40">
        <f>_xlfn.XLOOKUP($B11,'32'!$B:$B,'32'!F:F,)</f>
        <v>2023</v>
      </c>
      <c r="G11" s="40">
        <f>_xlfn.XLOOKUP($B11,'32'!$B:$B,'32'!G:G,)</f>
        <v>2022</v>
      </c>
      <c r="H11" s="40">
        <f>_xlfn.XLOOKUP($B11,'32'!$B:$B,'32'!H:H,)</f>
        <v>2023</v>
      </c>
      <c r="I11" s="40">
        <f>_xlfn.XLOOKUP($B11,'32'!$B:$B,'32'!I:I,)</f>
        <v>93.351699999999994</v>
      </c>
      <c r="J11" s="40">
        <f>_xlfn.XLOOKUP($B11,'32'!$B:$B,'32'!J:J,)</f>
        <v>100</v>
      </c>
      <c r="K11" s="629">
        <f>_xlfn.XLOOKUP($B11,'32'!$B:$B,'32'!K:K,)</f>
        <v>74769</v>
      </c>
      <c r="L11" s="629">
        <f>_xlfn.XLOOKUP($B11,'32'!$B:$B,'32'!L:L,)</f>
        <v>80093.881525456964</v>
      </c>
      <c r="M11" s="40" t="str">
        <f>_xlfn.XLOOKUP($B11,'32'!$B:$B,'32'!M:M,)</f>
        <v>Damage costs</v>
      </c>
      <c r="N11" s="326">
        <f>_xlfn.XLOOKUP($B11,'32'!$B:$B,'32'!N:N,)</f>
        <v>2.5714285714285698</v>
      </c>
      <c r="O11" s="40" t="str">
        <f>_xlfn.XLOOKUP($B11,'32'!$B:$B,'32'!O:O,)</f>
        <v>Yes</v>
      </c>
      <c r="P11" s="40" t="str">
        <f>_xlfn.XLOOKUP($B11,'32'!$B:$B,'32'!P:P,)</f>
        <v>Referenced within ENCA</v>
      </c>
      <c r="Q11" s="40">
        <f>_xlfn.XLOOKUP($B11,'32'!$B:$B,'32'!Q:Q,)</f>
        <v>19</v>
      </c>
      <c r="R11" s="40" t="str">
        <f>_xlfn.XLOOKUP($B11,'32'!$B:$B,'32'!R:R,)</f>
        <v>DEFRA (2023) Air quality appraisal: damage cost guidance</v>
      </c>
      <c r="S11" s="40" t="str">
        <f>_xlfn.XLOOKUP($B11,'32'!$B:$B,'32'!S:S,)</f>
        <v>ENCA</v>
      </c>
      <c r="T11" s="40">
        <f>_xlfn.XLOOKUP($B11,'32'!$B:$B,'32'!T:T,)</f>
        <v>2023</v>
      </c>
      <c r="U11" s="40" t="str">
        <f>_xlfn.XLOOKUP($B11,'32'!$B:$B,'32'!U:U,)</f>
        <v>UK</v>
      </c>
      <c r="V11" s="40" t="str">
        <f>_xlfn.XLOOKUP($B11,'32'!$B:$B,'32'!V:V,)</f>
        <v>UK average</v>
      </c>
      <c r="W11" s="40" t="str">
        <f>_xlfn.XLOOKUP($B11,'32'!$B:$B,'32'!W:W,)</f>
        <v>Not available</v>
      </c>
    </row>
    <row r="12" spans="2:23">
      <c r="B12" s="39" t="s">
        <v>3140</v>
      </c>
      <c r="C12" s="40" t="str">
        <f>_xlfn.XLOOKUP($B12,'34'!$B:$B,'34'!C:C,)</f>
        <v>Amenity</v>
      </c>
      <c r="D12" s="40" t="str">
        <f>_xlfn.XLOOKUP($B12,'34'!$B:$B,'34'!D:D,)</f>
        <v>No. homes benefitting from improved natural environment</v>
      </c>
      <c r="E12" s="40" t="str">
        <f>_xlfn.XLOOKUP($B12,'34'!$B:$B,'34'!E:E,)</f>
        <v>Quality of place</v>
      </c>
      <c r="F12" s="40">
        <f>_xlfn.XLOOKUP($B12,'34'!$B:$B,'34'!F:F,)</f>
        <v>2024</v>
      </c>
      <c r="G12" s="40">
        <f>_xlfn.XLOOKUP($B12,'34'!$B:$B,'34'!G:G,)</f>
        <v>2024</v>
      </c>
      <c r="H12" s="40">
        <f>_xlfn.XLOOKUP($B12,'34'!$B:$B,'34'!H:H,)</f>
        <v>2023</v>
      </c>
      <c r="I12" s="40">
        <f>_xlfn.XLOOKUP($B12,'34'!$B:$B,'34'!I:I,)</f>
        <v>101.52460002617836</v>
      </c>
      <c r="J12" s="40">
        <f>_xlfn.XLOOKUP($B12,'34'!$B:$B,'34'!J:J,)</f>
        <v>100</v>
      </c>
      <c r="K12" s="629">
        <f>_xlfn.XLOOKUP($B12,'34'!$B:$B,'34'!K:K,)</f>
        <v>-6632.7165996259428</v>
      </c>
      <c r="L12" s="629">
        <f>_xlfn.XLOOKUP($B12,'34'!$B:$B,'34'!L:L,)</f>
        <v>-6533.1127607650569</v>
      </c>
      <c r="M12" s="40" t="str">
        <f>_xlfn.XLOOKUP($B12,'34'!$B:$B,'34'!M:M,)</f>
        <v>Market value</v>
      </c>
      <c r="N12" s="326">
        <f>_xlfn.XLOOKUP($B12,'34'!$B:$B,'34'!N:N,)</f>
        <v>2.1428571428571401</v>
      </c>
      <c r="O12" s="40" t="str">
        <f>_xlfn.XLOOKUP($B12,'34'!$B:$B,'34'!O:O,)</f>
        <v>Yes</v>
      </c>
      <c r="P12" s="40" t="str">
        <f>_xlfn.XLOOKUP($B12,'34'!$B:$B,'34'!P:P,)</f>
        <v>Only suitable source identified</v>
      </c>
      <c r="Q12" s="40" t="str">
        <f>_xlfn.XLOOKUP($B12,'34'!$B:$B,'34'!Q:Q,)</f>
        <v>11/12/13</v>
      </c>
      <c r="R12" s="40" t="str">
        <f>_xlfn.XLOOKUP($B12,'34'!$B:$B,'34'!R:R,)</f>
        <v>RICS 2007 - Urban Parks, Open Space and Residential Property Values</v>
      </c>
      <c r="S12" s="40" t="str">
        <f>_xlfn.XLOOKUP($B12,'34'!$B:$B,'34'!S:S,)</f>
        <v>B£ST</v>
      </c>
      <c r="T12" s="40">
        <f>_xlfn.XLOOKUP($B12,'34'!$B:$B,'34'!T:T,)</f>
        <v>2007</v>
      </c>
      <c r="U12" s="40" t="str">
        <f>_xlfn.XLOOKUP($B12,'34'!$B:$B,'34'!U:U,)</f>
        <v>UK</v>
      </c>
      <c r="V12" s="40" t="str">
        <f>_xlfn.XLOOKUP($B12,'34'!$B:$B,'34'!V:V,)</f>
        <v>UK</v>
      </c>
      <c r="W12" s="40" t="str">
        <f>_xlfn.XLOOKUP($B12,'34'!$B:$B,'34'!W:W,)</f>
        <v>N/A</v>
      </c>
    </row>
    <row r="13" spans="2:23">
      <c r="B13" s="39" t="s">
        <v>3142</v>
      </c>
      <c r="C13" s="40" t="str">
        <f>_xlfn.XLOOKUP($B13,'34'!$B:$B,'34'!C:C,)</f>
        <v>Amenity</v>
      </c>
      <c r="D13" s="40" t="str">
        <f>_xlfn.XLOOKUP($B13,'34'!$B:$B,'34'!D:D,)</f>
        <v>No. businesses benefitting from improved natural environment</v>
      </c>
      <c r="E13" s="40" t="str">
        <f>_xlfn.XLOOKUP($B13,'34'!$B:$B,'34'!E:E,)</f>
        <v>Quality of place</v>
      </c>
      <c r="F13" s="40">
        <f>_xlfn.XLOOKUP($B13,'34'!$B:$B,'34'!F:F,)</f>
        <v>2023</v>
      </c>
      <c r="G13" s="40">
        <f>_xlfn.XLOOKUP($B13,'34'!$B:$B,'34'!G:G,)</f>
        <v>2023</v>
      </c>
      <c r="H13" s="40">
        <f>_xlfn.XLOOKUP($B13,'34'!$B:$B,'34'!H:H,)</f>
        <v>2023</v>
      </c>
      <c r="I13" s="40">
        <f>_xlfn.XLOOKUP($B13,'34'!$B:$B,'34'!I:I,)</f>
        <v>100</v>
      </c>
      <c r="J13" s="40">
        <f>_xlfn.XLOOKUP($B13,'34'!$B:$B,'34'!J:J,)</f>
        <v>100</v>
      </c>
      <c r="K13" s="629">
        <f>_xlfn.XLOOKUP($B13,'34'!$B:$B,'34'!K:K,)</f>
        <v>-1064.4720000000016</v>
      </c>
      <c r="L13" s="629">
        <f>_xlfn.XLOOKUP($B13,'34'!$B:$B,'34'!L:L,)</f>
        <v>-1064.4720000000016</v>
      </c>
      <c r="M13" s="40" t="str">
        <f>_xlfn.XLOOKUP($B13,'34'!$B:$B,'34'!M:M,)</f>
        <v>Market value</v>
      </c>
      <c r="N13" s="326">
        <f>_xlfn.XLOOKUP($B13,'34'!$B:$B,'34'!N:N,)</f>
        <v>2.1428571428571401</v>
      </c>
      <c r="O13" s="40" t="str">
        <f>_xlfn.XLOOKUP($B13,'34'!$B:$B,'34'!O:O,)</f>
        <v>Yes</v>
      </c>
      <c r="P13" s="40" t="str">
        <f>_xlfn.XLOOKUP($B13,'34'!$B:$B,'34'!P:P,)</f>
        <v>Only suitable source identified</v>
      </c>
      <c r="Q13" s="40" t="str">
        <f>_xlfn.XLOOKUP($B13,'34'!$B:$B,'34'!Q:Q,)</f>
        <v>11/23/24</v>
      </c>
      <c r="R13" s="40" t="str">
        <f>_xlfn.XLOOKUP($B13,'34'!$B:$B,'34'!R:R,)</f>
        <v>RICS 2007 - Urban Parks, Open Space and Residential Property Values</v>
      </c>
      <c r="S13" s="40" t="str">
        <f>_xlfn.XLOOKUP($B13,'34'!$B:$B,'34'!S:S,)</f>
        <v>B£ST</v>
      </c>
      <c r="T13" s="40">
        <f>_xlfn.XLOOKUP($B13,'34'!$B:$B,'34'!T:T,)</f>
        <v>2007</v>
      </c>
      <c r="U13" s="40" t="str">
        <f>_xlfn.XLOOKUP($B13,'34'!$B:$B,'34'!U:U,)</f>
        <v>UK</v>
      </c>
      <c r="V13" s="40" t="str">
        <f>_xlfn.XLOOKUP($B13,'34'!$B:$B,'34'!V:V,)</f>
        <v>UK</v>
      </c>
      <c r="W13" s="40" t="str">
        <f>_xlfn.XLOOKUP($B13,'34'!$B:$B,'34'!W:W,)</f>
        <v>N/A</v>
      </c>
    </row>
    <row r="14" spans="2:23">
      <c r="B14" s="39" t="s">
        <v>3157</v>
      </c>
      <c r="C14" s="40" t="str">
        <f>_xlfn.XLOOKUP($B14,'34'!$B:$B,'34'!C:C,)</f>
        <v>Amenity</v>
      </c>
      <c r="D14" s="40" t="str">
        <f>_xlfn.XLOOKUP($B14,'34'!$B:$B,'34'!D:D,)</f>
        <v>No. homes benefitting from improved natural environment</v>
      </c>
      <c r="E14" s="40" t="str">
        <f>_xlfn.XLOOKUP($B14,'34'!$B:$B,'34'!E:E,)</f>
        <v>Health and wellbeing</v>
      </c>
      <c r="F14" s="40">
        <f>_xlfn.XLOOKUP($B14,'34'!$B:$B,'34'!F:F,)</f>
        <v>2010</v>
      </c>
      <c r="G14" s="40">
        <f>_xlfn.XLOOKUP($B14,'34'!$B:$B,'34'!G:G,)</f>
        <v>2010</v>
      </c>
      <c r="H14" s="40">
        <f>_xlfn.XLOOKUP($B14,'34'!$B:$B,'34'!H:H,)</f>
        <v>2023</v>
      </c>
      <c r="I14" s="40">
        <f>_xlfn.XLOOKUP($B14,'34'!$B:$B,'34'!I:I,)</f>
        <v>72.415099999999995</v>
      </c>
      <c r="J14" s="40">
        <f>_xlfn.XLOOKUP($B14,'34'!$B:$B,'34'!J:J,)</f>
        <v>100</v>
      </c>
      <c r="K14" s="629">
        <f>_xlfn.XLOOKUP($B14,'34'!$B:$B,'34'!K:K,)</f>
        <v>-692.66</v>
      </c>
      <c r="L14" s="629">
        <f>_xlfn.XLOOKUP($B14,'34'!$B:$B,'34'!L:L,)</f>
        <v>-956.51321340438665</v>
      </c>
      <c r="M14" s="40" t="str">
        <f>_xlfn.XLOOKUP($B14,'34'!$B:$B,'34'!M:M,)</f>
        <v>Quality adjusted life years</v>
      </c>
      <c r="N14" s="326">
        <f>_xlfn.XLOOKUP($B14,'34'!$B:$B,'34'!N:N,)</f>
        <v>2.5714285714285698</v>
      </c>
      <c r="O14" s="40" t="str">
        <f>_xlfn.XLOOKUP($B14,'34'!$B:$B,'34'!O:O,)</f>
        <v>Yes</v>
      </c>
      <c r="P14" s="40" t="str">
        <f>_xlfn.XLOOKUP($B14,'34'!$B:$B,'34'!P:P,)</f>
        <v>Reasonably high confidence score using reputable data from sources referenced in Government tools and workbooks</v>
      </c>
      <c r="Q14" s="40" t="str">
        <f>_xlfn.XLOOKUP($B14,'34'!$B:$B,'34'!Q:Q,)</f>
        <v>14/23</v>
      </c>
      <c r="R14" s="40">
        <f>_xlfn.XLOOKUP($B14,'34'!$B:$B,'34'!R:R,)</f>
        <v>14</v>
      </c>
      <c r="S14" s="40" t="str">
        <f>_xlfn.XLOOKUP($B14,'34'!$B:$B,'34'!S:S,)</f>
        <v>ENCA</v>
      </c>
      <c r="T14" s="40">
        <f>_xlfn.XLOOKUP($B14,'34'!$B:$B,'34'!T:T,)</f>
        <v>2010</v>
      </c>
      <c r="U14" s="40" t="str">
        <f>_xlfn.XLOOKUP($B14,'34'!$B:$B,'34'!U:U,)</f>
        <v>UK</v>
      </c>
      <c r="V14" s="40" t="str">
        <f>_xlfn.XLOOKUP($B14,'34'!$B:$B,'34'!V:V,)</f>
        <v>UK</v>
      </c>
      <c r="W14" s="40" t="str">
        <f>_xlfn.XLOOKUP($B14,'34'!$B:$B,'34'!W:W,)</f>
        <v>N/A</v>
      </c>
    </row>
    <row r="15" spans="2:23">
      <c r="B15" s="39" t="s">
        <v>2021</v>
      </c>
      <c r="C15" s="40" t="str">
        <f>_xlfn.XLOOKUP($B15,'28'!$B:$B,'28'!C:C,)</f>
        <v>Bathing water quality</v>
      </c>
      <c r="D15" s="40" t="str">
        <f>_xlfn.XLOOKUP($B15,'28'!$B:$B,'28'!D:D,)</f>
        <v>In class benefit on bathing water quality</v>
      </c>
      <c r="E15" s="40" t="str">
        <f>_xlfn.XLOOKUP($B15,'28'!$B:$B,'28'!E:E,)</f>
        <v>Recreation</v>
      </c>
      <c r="F15" s="40">
        <f>_xlfn.XLOOKUP($B15,'28'!$B:$B,'28'!F:F,)</f>
        <v>2018</v>
      </c>
      <c r="G15" s="40">
        <f>_xlfn.XLOOKUP($B15,'28'!$B:$B,'28'!G:G,)</f>
        <v>2018</v>
      </c>
      <c r="H15" s="40">
        <f>_xlfn.XLOOKUP($B15,'28'!$B:$B,'28'!H:H,)</f>
        <v>2023</v>
      </c>
      <c r="I15" s="40">
        <f>_xlfn.XLOOKUP($B15,'28'!$B:$B,'28'!I:I,)</f>
        <v>82.835999999999999</v>
      </c>
      <c r="J15" s="40">
        <f>_xlfn.XLOOKUP($B15,'28'!$B:$B,'28'!J:J,)</f>
        <v>100</v>
      </c>
      <c r="K15" s="629">
        <f>_xlfn.XLOOKUP($B15,'28'!$B:$B,'28'!K:K,)</f>
        <v>-1445887</v>
      </c>
      <c r="L15" s="629">
        <f>_xlfn.XLOOKUP($B15,'28'!$B:$B,'28'!L:L,)</f>
        <v>-1745481.4331932976</v>
      </c>
      <c r="M15" s="40" t="str">
        <f>_xlfn.XLOOKUP($B15,'28'!$B:$B,'28'!M:M,)</f>
        <v>WTP</v>
      </c>
      <c r="N15" s="326">
        <f>_xlfn.XLOOKUP($B15,'28'!$B:$B,'28'!N:N,)</f>
        <v>2.3333333333333335</v>
      </c>
      <c r="O15" s="40" t="str">
        <f>_xlfn.XLOOKUP($B15,'28'!$B:$B,'28'!O:O,)</f>
        <v>No</v>
      </c>
      <c r="P15" s="40" t="str">
        <f>_xlfn.XLOOKUP($B15,'28'!$B:$B,'28'!P:P,)</f>
        <v>Risk of double counting with Ofwat valuations</v>
      </c>
      <c r="Q15" s="40">
        <f>_xlfn.XLOOKUP($B15,'28'!$B:$B,'28'!Q:Q,)</f>
        <v>30</v>
      </c>
      <c r="R15" s="40" t="str">
        <f>_xlfn.XLOOKUP($B15,'28'!$B:$B,'28'!R:R,)</f>
        <v>Scottish Government (2018) Value of bathing waters and influence of bathing water quality: final research report, August 2018</v>
      </c>
      <c r="S15" s="40" t="str">
        <f>_xlfn.XLOOKUP($B15,'28'!$B:$B,'28'!S:S,)</f>
        <v>/</v>
      </c>
      <c r="T15" s="40">
        <f>_xlfn.XLOOKUP($B15,'28'!$B:$B,'28'!T:T,)</f>
        <v>2018</v>
      </c>
      <c r="U15" s="40" t="str">
        <f>_xlfn.XLOOKUP($B15,'28'!$B:$B,'28'!U:U,)</f>
        <v>Scotland</v>
      </c>
      <c r="V15" s="40" t="str">
        <f>_xlfn.XLOOKUP($B15,'28'!$B:$B,'28'!V:V,)</f>
        <v>Scotland</v>
      </c>
      <c r="W15" s="40">
        <f>_xlfn.XLOOKUP($B15,'28'!$B:$B,'28'!W:W,)</f>
        <v>1013</v>
      </c>
    </row>
    <row r="16" spans="2:23">
      <c r="B16" s="39" t="s">
        <v>2024</v>
      </c>
      <c r="C16" s="40" t="str">
        <f>_xlfn.XLOOKUP($B16,'28'!$B:$B,'28'!C:C,)</f>
        <v>Bathing water quality</v>
      </c>
      <c r="D16" s="40" t="str">
        <f>_xlfn.XLOOKUP($B16,'28'!$B:$B,'28'!D:D,)</f>
        <v>Bathing water quality (poor to sufficient)</v>
      </c>
      <c r="E16" s="40" t="str">
        <f>_xlfn.XLOOKUP($B16,'28'!$B:$B,'28'!E:E,)</f>
        <v>Recreation</v>
      </c>
      <c r="F16" s="40">
        <f>_xlfn.XLOOKUP($B16,'28'!$B:$B,'28'!F:F,)</f>
        <v>2018</v>
      </c>
      <c r="G16" s="40">
        <f>_xlfn.XLOOKUP($B16,'28'!$B:$B,'28'!G:G,)</f>
        <v>2018</v>
      </c>
      <c r="H16" s="40">
        <f>_xlfn.XLOOKUP($B16,'28'!$B:$B,'28'!H:H,)</f>
        <v>2023</v>
      </c>
      <c r="I16" s="40">
        <f>_xlfn.XLOOKUP($B16,'28'!$B:$B,'28'!I:I,)</f>
        <v>82.835999999999999</v>
      </c>
      <c r="J16" s="40">
        <f>_xlfn.XLOOKUP($B16,'28'!$B:$B,'28'!J:J,)</f>
        <v>100</v>
      </c>
      <c r="K16" s="629">
        <f>_xlfn.XLOOKUP($B16,'28'!$B:$B,'28'!K:K,)</f>
        <v>-1790145</v>
      </c>
      <c r="L16" s="629">
        <f>_xlfn.XLOOKUP($B16,'28'!$B:$B,'28'!L:L,)</f>
        <v>-2161071.2733594091</v>
      </c>
      <c r="M16" s="40" t="str">
        <f>_xlfn.XLOOKUP($B16,'28'!$B:$B,'28'!M:M,)</f>
        <v>WTP</v>
      </c>
      <c r="N16" s="326">
        <f>_xlfn.XLOOKUP($B16,'28'!$B:$B,'28'!N:N,)</f>
        <v>2.3333333333333335</v>
      </c>
      <c r="O16" s="40" t="str">
        <f>_xlfn.XLOOKUP($B16,'28'!$B:$B,'28'!O:O,)</f>
        <v>No</v>
      </c>
      <c r="P16" s="40" t="str">
        <f>_xlfn.XLOOKUP($B16,'28'!$B:$B,'28'!P:P,)</f>
        <v>Risk of double counting with Ofwat valuations</v>
      </c>
      <c r="Q16" s="40">
        <f>_xlfn.XLOOKUP($B16,'28'!$B:$B,'28'!Q:Q,)</f>
        <v>30</v>
      </c>
      <c r="R16" s="40" t="str">
        <f>_xlfn.XLOOKUP($B16,'28'!$B:$B,'28'!R:R,)</f>
        <v>Scottish Government (2018) Value of bathing waters and influence of bathing water quality: final research report, August 2018</v>
      </c>
      <c r="S16" s="40" t="str">
        <f>_xlfn.XLOOKUP($B16,'28'!$B:$B,'28'!S:S,)</f>
        <v>/</v>
      </c>
      <c r="T16" s="40">
        <f>_xlfn.XLOOKUP($B16,'28'!$B:$B,'28'!T:T,)</f>
        <v>2018</v>
      </c>
      <c r="U16" s="40" t="str">
        <f>_xlfn.XLOOKUP($B16,'28'!$B:$B,'28'!U:U,)</f>
        <v>Scotland</v>
      </c>
      <c r="V16" s="40" t="str">
        <f>_xlfn.XLOOKUP($B16,'28'!$B:$B,'28'!V:V,)</f>
        <v>Scotland</v>
      </c>
      <c r="W16" s="40">
        <f>_xlfn.XLOOKUP($B16,'28'!$B:$B,'28'!W:W,)</f>
        <v>1013</v>
      </c>
    </row>
    <row r="17" spans="2:23">
      <c r="B17" s="39" t="s">
        <v>2025</v>
      </c>
      <c r="C17" s="40" t="str">
        <f>_xlfn.XLOOKUP($B17,'28'!$B:$B,'28'!C:C,)</f>
        <v>Bathing water quality</v>
      </c>
      <c r="D17" s="40" t="str">
        <f>_xlfn.XLOOKUP($B17,'28'!$B:$B,'28'!D:D,)</f>
        <v>Bathing water quality (sufficient to good)</v>
      </c>
      <c r="E17" s="40" t="str">
        <f>_xlfn.XLOOKUP($B17,'28'!$B:$B,'28'!E:E,)</f>
        <v>Recreation</v>
      </c>
      <c r="F17" s="40">
        <f>_xlfn.XLOOKUP($B17,'28'!$B:$B,'28'!F:F,)</f>
        <v>2018</v>
      </c>
      <c r="G17" s="40">
        <f>_xlfn.XLOOKUP($B17,'28'!$B:$B,'28'!G:G,)</f>
        <v>2018</v>
      </c>
      <c r="H17" s="40">
        <f>_xlfn.XLOOKUP($B17,'28'!$B:$B,'28'!H:H,)</f>
        <v>2023</v>
      </c>
      <c r="I17" s="40">
        <f>_xlfn.XLOOKUP($B17,'28'!$B:$B,'28'!I:I,)</f>
        <v>82.835999999999999</v>
      </c>
      <c r="J17" s="40">
        <f>_xlfn.XLOOKUP($B17,'28'!$B:$B,'28'!J:J,)</f>
        <v>100</v>
      </c>
      <c r="K17" s="629">
        <f>_xlfn.XLOOKUP($B17,'28'!$B:$B,'28'!K:K,)</f>
        <v>-321308</v>
      </c>
      <c r="L17" s="629">
        <f>_xlfn.XLOOKUP($B17,'28'!$B:$B,'28'!L:L,)</f>
        <v>-387884.4946641557</v>
      </c>
      <c r="M17" s="40" t="str">
        <f>_xlfn.XLOOKUP($B17,'28'!$B:$B,'28'!M:M,)</f>
        <v>WTP</v>
      </c>
      <c r="N17" s="326">
        <f>_xlfn.XLOOKUP($B17,'28'!$B:$B,'28'!N:N,)</f>
        <v>2.3333333333333335</v>
      </c>
      <c r="O17" s="40" t="str">
        <f>_xlfn.XLOOKUP($B17,'28'!$B:$B,'28'!O:O,)</f>
        <v>No</v>
      </c>
      <c r="P17" s="40" t="str">
        <f>_xlfn.XLOOKUP($B17,'28'!$B:$B,'28'!P:P,)</f>
        <v>Risk of double counting with Ofwat valuations</v>
      </c>
      <c r="Q17" s="40">
        <f>_xlfn.XLOOKUP($B17,'28'!$B:$B,'28'!Q:Q,)</f>
        <v>30</v>
      </c>
      <c r="R17" s="40" t="str">
        <f>_xlfn.XLOOKUP($B17,'28'!$B:$B,'28'!R:R,)</f>
        <v>Scottish Government (2018) Value of bathing waters and influence of bathing water quality: final research report, August 2018</v>
      </c>
      <c r="S17" s="40" t="str">
        <f>_xlfn.XLOOKUP($B17,'28'!$B:$B,'28'!S:S,)</f>
        <v>/</v>
      </c>
      <c r="T17" s="40">
        <f>_xlfn.XLOOKUP($B17,'28'!$B:$B,'28'!T:T,)</f>
        <v>2018</v>
      </c>
      <c r="U17" s="40" t="str">
        <f>_xlfn.XLOOKUP($B17,'28'!$B:$B,'28'!U:U,)</f>
        <v>Scotland</v>
      </c>
      <c r="V17" s="40" t="str">
        <f>_xlfn.XLOOKUP($B17,'28'!$B:$B,'28'!V:V,)</f>
        <v>Scotland</v>
      </c>
      <c r="W17" s="40">
        <f>_xlfn.XLOOKUP($B17,'28'!$B:$B,'28'!W:W,)</f>
        <v>1013</v>
      </c>
    </row>
    <row r="18" spans="2:23">
      <c r="B18" s="39" t="s">
        <v>2026</v>
      </c>
      <c r="C18" s="40" t="str">
        <f>_xlfn.XLOOKUP($B18,'28'!$B:$B,'28'!C:C,)</f>
        <v>Bathing water quality</v>
      </c>
      <c r="D18" s="40" t="str">
        <f>_xlfn.XLOOKUP($B18,'28'!$B:$B,'28'!D:D,)</f>
        <v>Bathing water quality (good to excellent)</v>
      </c>
      <c r="E18" s="40" t="str">
        <f>_xlfn.XLOOKUP($B18,'28'!$B:$B,'28'!E:E,)</f>
        <v>Recreation</v>
      </c>
      <c r="F18" s="40">
        <f>_xlfn.XLOOKUP($B18,'28'!$B:$B,'28'!F:F,)</f>
        <v>2018</v>
      </c>
      <c r="G18" s="40">
        <f>_xlfn.XLOOKUP($B18,'28'!$B:$B,'28'!G:G,)</f>
        <v>2018</v>
      </c>
      <c r="H18" s="40">
        <f>_xlfn.XLOOKUP($B18,'28'!$B:$B,'28'!H:H,)</f>
        <v>2023</v>
      </c>
      <c r="I18" s="40">
        <f>_xlfn.XLOOKUP($B18,'28'!$B:$B,'28'!I:I,)</f>
        <v>82.835999999999999</v>
      </c>
      <c r="J18" s="40">
        <f>_xlfn.XLOOKUP($B18,'28'!$B:$B,'28'!J:J,)</f>
        <v>100</v>
      </c>
      <c r="K18" s="629">
        <f>_xlfn.XLOOKUP($B18,'28'!$B:$B,'28'!K:K,)</f>
        <v>-1744244</v>
      </c>
      <c r="L18" s="629">
        <f>_xlfn.XLOOKUP($B18,'28'!$B:$B,'28'!L:L,)</f>
        <v>-2105659.3751509008</v>
      </c>
      <c r="M18" s="40" t="str">
        <f>_xlfn.XLOOKUP($B18,'28'!$B:$B,'28'!M:M,)</f>
        <v>WTP</v>
      </c>
      <c r="N18" s="326">
        <f>_xlfn.XLOOKUP($B18,'28'!$B:$B,'28'!N:N,)</f>
        <v>2.3333333333333335</v>
      </c>
      <c r="O18" s="40" t="str">
        <f>_xlfn.XLOOKUP($B18,'28'!$B:$B,'28'!O:O,)</f>
        <v>No</v>
      </c>
      <c r="P18" s="40" t="str">
        <f>_xlfn.XLOOKUP($B18,'28'!$B:$B,'28'!P:P,)</f>
        <v>Risk of double counting with Ofwat valuations</v>
      </c>
      <c r="Q18" s="40">
        <f>_xlfn.XLOOKUP($B18,'28'!$B:$B,'28'!Q:Q,)</f>
        <v>30</v>
      </c>
      <c r="R18" s="40" t="str">
        <f>_xlfn.XLOOKUP($B18,'28'!$B:$B,'28'!R:R,)</f>
        <v>Scottish Government (2018) Value of bathing waters and influence of bathing water quality: final research report, August 2018</v>
      </c>
      <c r="S18" s="40" t="str">
        <f>_xlfn.XLOOKUP($B18,'28'!$B:$B,'28'!S:S,)</f>
        <v>/</v>
      </c>
      <c r="T18" s="40">
        <f>_xlfn.XLOOKUP($B18,'28'!$B:$B,'28'!T:T,)</f>
        <v>2018</v>
      </c>
      <c r="U18" s="40" t="str">
        <f>_xlfn.XLOOKUP($B18,'28'!$B:$B,'28'!U:U,)</f>
        <v>Scotland</v>
      </c>
      <c r="V18" s="40" t="str">
        <f>_xlfn.XLOOKUP($B18,'28'!$B:$B,'28'!V:V,)</f>
        <v>Scotland</v>
      </c>
      <c r="W18" s="40">
        <f>_xlfn.XLOOKUP($B18,'28'!$B:$B,'28'!W:W,)</f>
        <v>1013</v>
      </c>
    </row>
    <row r="19" spans="2:23">
      <c r="B19" s="39" t="s">
        <v>2027</v>
      </c>
      <c r="C19" s="40" t="str">
        <f>_xlfn.XLOOKUP($B19,'28'!$B:$B,'28'!C:C,)</f>
        <v>Bathing water quality</v>
      </c>
      <c r="D19" s="40" t="str">
        <f>_xlfn.XLOOKUP($B19,'28'!$B:$B,'28'!D:D,)</f>
        <v>In class benefit on bathing water quality</v>
      </c>
      <c r="E19" s="40" t="str">
        <f>_xlfn.XLOOKUP($B19,'28'!$B:$B,'28'!E:E,)</f>
        <v>Quality of place</v>
      </c>
      <c r="F19" s="40">
        <f>_xlfn.XLOOKUP($B19,'28'!$B:$B,'28'!F:F,)</f>
        <v>2023</v>
      </c>
      <c r="G19" s="40">
        <f>_xlfn.XLOOKUP($B19,'28'!$B:$B,'28'!G:G,)</f>
        <v>2022</v>
      </c>
      <c r="H19" s="40">
        <f>_xlfn.XLOOKUP($B19,'28'!$B:$B,'28'!H:H,)</f>
        <v>2023</v>
      </c>
      <c r="I19" s="40">
        <f>_xlfn.XLOOKUP($B19,'28'!$B:$B,'28'!I:I,)</f>
        <v>93.351699999999994</v>
      </c>
      <c r="J19" s="40">
        <f>_xlfn.XLOOKUP($B19,'28'!$B:$B,'28'!J:J,)</f>
        <v>100</v>
      </c>
      <c r="K19" s="629">
        <f>_xlfn.XLOOKUP($B19,'28'!$B:$B,'28'!K:K,)</f>
        <v>0</v>
      </c>
      <c r="L19" s="629">
        <f>_xlfn.XLOOKUP($B19,'28'!$B:$B,'28'!L:L,)</f>
        <v>0</v>
      </c>
      <c r="M19" s="40" t="str">
        <f>_xlfn.XLOOKUP($B19,'28'!$B:$B,'28'!M:M,)</f>
        <v>Willingness to Accept</v>
      </c>
      <c r="N19" s="326">
        <f>_xlfn.XLOOKUP($B19,'28'!$B:$B,'28'!N:N,)</f>
        <v>2.5714285714285698</v>
      </c>
      <c r="O19" s="40" t="str">
        <f>_xlfn.XLOOKUP($B19,'28'!$B:$B,'28'!O:O,)</f>
        <v>Yes</v>
      </c>
      <c r="P19" s="40" t="str">
        <f>_xlfn.XLOOKUP($B19,'28'!$B:$B,'28'!P:P,)</f>
        <v>Ofwat Collaborative Customer Research source</v>
      </c>
      <c r="Q19" s="40">
        <f>_xlfn.XLOOKUP($B19,'28'!$B:$B,'28'!Q:Q,)</f>
        <v>16</v>
      </c>
      <c r="R19" s="40" t="str">
        <f>_xlfn.XLOOKUP($B19,'28'!$B:$B,'28'!R:R,)</f>
        <v>Ofwat (2023) PR24: Using collaborative customer research to set outcome delivery incentive rates</v>
      </c>
      <c r="S19" s="40" t="str">
        <f>_xlfn.XLOOKUP($B19,'28'!$B:$B,'28'!S:S,)</f>
        <v>/</v>
      </c>
      <c r="T19" s="40">
        <f>_xlfn.XLOOKUP($B19,'28'!$B:$B,'28'!T:T,)</f>
        <v>2023</v>
      </c>
      <c r="U19" s="40" t="str">
        <f>_xlfn.XLOOKUP($B19,'28'!$B:$B,'28'!U:U,)</f>
        <v>UK</v>
      </c>
      <c r="V19" s="40" t="str">
        <f>_xlfn.XLOOKUP($B19,'28'!$B:$B,'28'!V:V,)</f>
        <v>England and Wales</v>
      </c>
      <c r="W19" s="40">
        <f>_xlfn.XLOOKUP($B19,'28'!$B:$B,'28'!W:W,)</f>
        <v>16295</v>
      </c>
    </row>
    <row r="20" spans="2:23">
      <c r="B20" s="39" t="s">
        <v>2028</v>
      </c>
      <c r="C20" s="40" t="str">
        <f>_xlfn.XLOOKUP($B20,'28'!$B:$B,'28'!C:C,)</f>
        <v>Bathing water quality</v>
      </c>
      <c r="D20" s="40" t="str">
        <f>_xlfn.XLOOKUP($B20,'28'!$B:$B,'28'!D:D,)</f>
        <v>Bathing water quality (poor to sufficient)</v>
      </c>
      <c r="E20" s="40" t="str">
        <f>_xlfn.XLOOKUP($B20,'28'!$B:$B,'28'!E:E,)</f>
        <v>Quality of place</v>
      </c>
      <c r="F20" s="40">
        <f>_xlfn.XLOOKUP($B20,'28'!$B:$B,'28'!F:F,)</f>
        <v>2023</v>
      </c>
      <c r="G20" s="40">
        <f>_xlfn.XLOOKUP($B20,'28'!$B:$B,'28'!G:G,)</f>
        <v>2022</v>
      </c>
      <c r="H20" s="40">
        <f>_xlfn.XLOOKUP($B20,'28'!$B:$B,'28'!H:H,)</f>
        <v>2023</v>
      </c>
      <c r="I20" s="40">
        <f>_xlfn.XLOOKUP($B20,'28'!$B:$B,'28'!I:I,)</f>
        <v>93.351699999999994</v>
      </c>
      <c r="J20" s="40">
        <f>_xlfn.XLOOKUP($B20,'28'!$B:$B,'28'!J:J,)</f>
        <v>100</v>
      </c>
      <c r="K20" s="629">
        <f>_xlfn.XLOOKUP($B20,'28'!$B:$B,'28'!K:K,)</f>
        <v>-1053722</v>
      </c>
      <c r="L20" s="629">
        <f>_xlfn.XLOOKUP($B20,'28'!$B:$B,'28'!L:L,)</f>
        <v>-1128765.7321719907</v>
      </c>
      <c r="M20" s="40" t="str">
        <f>_xlfn.XLOOKUP($B20,'28'!$B:$B,'28'!M:M,)</f>
        <v>Willingness to Accept</v>
      </c>
      <c r="N20" s="326">
        <f>_xlfn.XLOOKUP($B20,'28'!$B:$B,'28'!N:N,)</f>
        <v>2.5714285714285698</v>
      </c>
      <c r="O20" s="40" t="str">
        <f>_xlfn.XLOOKUP($B20,'28'!$B:$B,'28'!O:O,)</f>
        <v>Yes</v>
      </c>
      <c r="P20" s="40" t="str">
        <f>_xlfn.XLOOKUP($B20,'28'!$B:$B,'28'!P:P,)</f>
        <v>Ofwat Collaborative Customer Research source</v>
      </c>
      <c r="Q20" s="40">
        <f>_xlfn.XLOOKUP($B20,'28'!$B:$B,'28'!Q:Q,)</f>
        <v>16</v>
      </c>
      <c r="R20" s="40" t="str">
        <f>_xlfn.XLOOKUP($B20,'28'!$B:$B,'28'!R:R,)</f>
        <v>Ofwat (2023) PR24: Using collaborative customer research to set outcome delivery incentive rates</v>
      </c>
      <c r="S20" s="40" t="str">
        <f>_xlfn.XLOOKUP($B20,'28'!$B:$B,'28'!S:S,)</f>
        <v>/</v>
      </c>
      <c r="T20" s="40">
        <f>_xlfn.XLOOKUP($B20,'28'!$B:$B,'28'!T:T,)</f>
        <v>2023</v>
      </c>
      <c r="U20" s="40" t="str">
        <f>_xlfn.XLOOKUP($B20,'28'!$B:$B,'28'!U:U,)</f>
        <v>UK</v>
      </c>
      <c r="V20" s="40" t="str">
        <f>_xlfn.XLOOKUP($B20,'28'!$B:$B,'28'!V:V,)</f>
        <v>England and Wales</v>
      </c>
      <c r="W20" s="40">
        <f>_xlfn.XLOOKUP($B20,'28'!$B:$B,'28'!W:W,)</f>
        <v>16295</v>
      </c>
    </row>
    <row r="21" spans="2:23">
      <c r="B21" s="39" t="s">
        <v>2029</v>
      </c>
      <c r="C21" s="40" t="str">
        <f>_xlfn.XLOOKUP($B21,'28'!$B:$B,'28'!C:C,)</f>
        <v>Bathing water quality</v>
      </c>
      <c r="D21" s="40" t="str">
        <f>_xlfn.XLOOKUP($B21,'28'!$B:$B,'28'!D:D,)</f>
        <v>Bathing water quality (sufficient to good)</v>
      </c>
      <c r="E21" s="40" t="str">
        <f>_xlfn.XLOOKUP($B21,'28'!$B:$B,'28'!E:E,)</f>
        <v>Quality of place</v>
      </c>
      <c r="F21" s="40">
        <f>_xlfn.XLOOKUP($B21,'28'!$B:$B,'28'!F:F,)</f>
        <v>2023</v>
      </c>
      <c r="G21" s="40">
        <f>_xlfn.XLOOKUP($B21,'28'!$B:$B,'28'!G:G,)</f>
        <v>2022</v>
      </c>
      <c r="H21" s="40">
        <f>_xlfn.XLOOKUP($B21,'28'!$B:$B,'28'!H:H,)</f>
        <v>2023</v>
      </c>
      <c r="I21" s="40">
        <f>_xlfn.XLOOKUP($B21,'28'!$B:$B,'28'!I:I,)</f>
        <v>93.351699999999994</v>
      </c>
      <c r="J21" s="40">
        <f>_xlfn.XLOOKUP($B21,'28'!$B:$B,'28'!J:J,)</f>
        <v>100</v>
      </c>
      <c r="K21" s="629">
        <f>_xlfn.XLOOKUP($B21,'28'!$B:$B,'28'!K:K,)</f>
        <v>-1053722</v>
      </c>
      <c r="L21" s="629">
        <f>_xlfn.XLOOKUP($B21,'28'!$B:$B,'28'!L:L,)</f>
        <v>-1128765.7321719907</v>
      </c>
      <c r="M21" s="40" t="str">
        <f>_xlfn.XLOOKUP($B21,'28'!$B:$B,'28'!M:M,)</f>
        <v>Willingness to Accept</v>
      </c>
      <c r="N21" s="326">
        <f>_xlfn.XLOOKUP($B21,'28'!$B:$B,'28'!N:N,)</f>
        <v>2.5714285714285698</v>
      </c>
      <c r="O21" s="40" t="str">
        <f>_xlfn.XLOOKUP($B21,'28'!$B:$B,'28'!O:O,)</f>
        <v>Yes</v>
      </c>
      <c r="P21" s="40" t="str">
        <f>_xlfn.XLOOKUP($B21,'28'!$B:$B,'28'!P:P,)</f>
        <v>Ofwat Collaborative Customer Research source</v>
      </c>
      <c r="Q21" s="40">
        <f>_xlfn.XLOOKUP($B21,'28'!$B:$B,'28'!Q:Q,)</f>
        <v>16</v>
      </c>
      <c r="R21" s="40" t="str">
        <f>_xlfn.XLOOKUP($B21,'28'!$B:$B,'28'!R:R,)</f>
        <v>Ofwat (2023) PR24: Using collaborative customer research to set outcome delivery incentive rates</v>
      </c>
      <c r="S21" s="40" t="str">
        <f>_xlfn.XLOOKUP($B21,'28'!$B:$B,'28'!S:S,)</f>
        <v>/</v>
      </c>
      <c r="T21" s="40">
        <f>_xlfn.XLOOKUP($B21,'28'!$B:$B,'28'!T:T,)</f>
        <v>2023</v>
      </c>
      <c r="U21" s="40" t="str">
        <f>_xlfn.XLOOKUP($B21,'28'!$B:$B,'28'!U:U,)</f>
        <v>UK</v>
      </c>
      <c r="V21" s="40" t="str">
        <f>_xlfn.XLOOKUP($B21,'28'!$B:$B,'28'!V:V,)</f>
        <v>England and Wales</v>
      </c>
      <c r="W21" s="40">
        <f>_xlfn.XLOOKUP($B21,'28'!$B:$B,'28'!W:W,)</f>
        <v>16295</v>
      </c>
    </row>
    <row r="22" spans="2:23">
      <c r="B22" s="39" t="s">
        <v>2030</v>
      </c>
      <c r="C22" s="40" t="str">
        <f>_xlfn.XLOOKUP($B22,'28'!$B:$B,'28'!C:C,)</f>
        <v>Bathing water quality</v>
      </c>
      <c r="D22" s="40" t="str">
        <f>_xlfn.XLOOKUP($B22,'28'!$B:$B,'28'!D:D,)</f>
        <v>Bathing water quality (good to excellent)</v>
      </c>
      <c r="E22" s="40" t="str">
        <f>_xlfn.XLOOKUP($B22,'28'!$B:$B,'28'!E:E,)</f>
        <v>Quality of place</v>
      </c>
      <c r="F22" s="40">
        <f>_xlfn.XLOOKUP($B22,'28'!$B:$B,'28'!F:F,)</f>
        <v>2023</v>
      </c>
      <c r="G22" s="40">
        <f>_xlfn.XLOOKUP($B22,'28'!$B:$B,'28'!G:G,)</f>
        <v>2022</v>
      </c>
      <c r="H22" s="40">
        <f>_xlfn.XLOOKUP($B22,'28'!$B:$B,'28'!H:H,)</f>
        <v>2023</v>
      </c>
      <c r="I22" s="40">
        <f>_xlfn.XLOOKUP($B22,'28'!$B:$B,'28'!I:I,)</f>
        <v>93.351699999999994</v>
      </c>
      <c r="J22" s="40">
        <f>_xlfn.XLOOKUP($B22,'28'!$B:$B,'28'!J:J,)</f>
        <v>100</v>
      </c>
      <c r="K22" s="629">
        <f>_xlfn.XLOOKUP($B22,'28'!$B:$B,'28'!K:K,)</f>
        <v>-1053722</v>
      </c>
      <c r="L22" s="629">
        <f>_xlfn.XLOOKUP($B22,'28'!$B:$B,'28'!L:L,)</f>
        <v>-1128765.7321719907</v>
      </c>
      <c r="M22" s="40" t="str">
        <f>_xlfn.XLOOKUP($B22,'28'!$B:$B,'28'!M:M,)</f>
        <v>Willingness to Accept</v>
      </c>
      <c r="N22" s="326">
        <f>_xlfn.XLOOKUP($B22,'28'!$B:$B,'28'!N:N,)</f>
        <v>2.5714285714285698</v>
      </c>
      <c r="O22" s="40" t="str">
        <f>_xlfn.XLOOKUP($B22,'28'!$B:$B,'28'!O:O,)</f>
        <v>Yes</v>
      </c>
      <c r="P22" s="40" t="str">
        <f>_xlfn.XLOOKUP($B22,'28'!$B:$B,'28'!P:P,)</f>
        <v>Ofwat Collaborative Customer Research source</v>
      </c>
      <c r="Q22" s="40">
        <f>_xlfn.XLOOKUP($B22,'28'!$B:$B,'28'!Q:Q,)</f>
        <v>16</v>
      </c>
      <c r="R22" s="40" t="str">
        <f>_xlfn.XLOOKUP($B22,'28'!$B:$B,'28'!R:R,)</f>
        <v>Ofwat (2023) PR24: Using collaborative customer research to set outcome delivery incentive rates</v>
      </c>
      <c r="S22" s="40" t="str">
        <f>_xlfn.XLOOKUP($B22,'28'!$B:$B,'28'!S:S,)</f>
        <v>/</v>
      </c>
      <c r="T22" s="40">
        <f>_xlfn.XLOOKUP($B22,'28'!$B:$B,'28'!T:T,)</f>
        <v>2023</v>
      </c>
      <c r="U22" s="40" t="str">
        <f>_xlfn.XLOOKUP($B22,'28'!$B:$B,'28'!U:U,)</f>
        <v>UK</v>
      </c>
      <c r="V22" s="40" t="str">
        <f>_xlfn.XLOOKUP($B22,'28'!$B:$B,'28'!V:V,)</f>
        <v>England and Wales</v>
      </c>
      <c r="W22" s="40">
        <f>_xlfn.XLOOKUP($B22,'28'!$B:$B,'28'!W:W,)</f>
        <v>16295</v>
      </c>
    </row>
    <row r="23" spans="2:23">
      <c r="B23" s="39" t="s">
        <v>2031</v>
      </c>
      <c r="C23" s="40" t="str">
        <f>_xlfn.XLOOKUP($B23,'28'!$B:$B,'28'!C:C,)</f>
        <v>Bathing water quality</v>
      </c>
      <c r="D23" s="40" t="str">
        <f>_xlfn.XLOOKUP($B23,'28'!$B:$B,'28'!D:D,)</f>
        <v>In class benefit on bathing water quality</v>
      </c>
      <c r="E23" s="40" t="str">
        <f>_xlfn.XLOOKUP($B23,'28'!$B:$B,'28'!E:E,)</f>
        <v>Local economy</v>
      </c>
      <c r="F23" s="40">
        <f>_xlfn.XLOOKUP($B23,'28'!$B:$B,'28'!F:F,)</f>
        <v>2023</v>
      </c>
      <c r="G23" s="40">
        <f>_xlfn.XLOOKUP($B23,'28'!$B:$B,'28'!G:G,)</f>
        <v>2022</v>
      </c>
      <c r="H23" s="40">
        <f>_xlfn.XLOOKUP($B23,'28'!$B:$B,'28'!H:H,)</f>
        <v>2023</v>
      </c>
      <c r="I23" s="40">
        <f>_xlfn.XLOOKUP($B23,'28'!$B:$B,'28'!I:I,)</f>
        <v>93.351699999999994</v>
      </c>
      <c r="J23" s="40">
        <f>_xlfn.XLOOKUP($B23,'28'!$B:$B,'28'!J:J,)</f>
        <v>100</v>
      </c>
      <c r="K23" s="629">
        <f>_xlfn.XLOOKUP($B23,'28'!$B:$B,'28'!K:K,)</f>
        <v>-170268</v>
      </c>
      <c r="L23" s="629">
        <f>_xlfn.XLOOKUP($B23,'28'!$B:$B,'28'!L:L,)</f>
        <v>-182394.1074452849</v>
      </c>
      <c r="M23" s="40" t="str">
        <f>_xlfn.XLOOKUP($B23,'28'!$B:$B,'28'!M:M,)</f>
        <v>Willingness to Accept</v>
      </c>
      <c r="N23" s="326">
        <f>_xlfn.XLOOKUP($B23,'28'!$B:$B,'28'!N:N,)</f>
        <v>2.5714285714285698</v>
      </c>
      <c r="O23" s="40" t="str">
        <f>_xlfn.XLOOKUP($B23,'28'!$B:$B,'28'!O:O,)</f>
        <v>Yes</v>
      </c>
      <c r="P23" s="40" t="str">
        <f>_xlfn.XLOOKUP($B23,'28'!$B:$B,'28'!P:P,)</f>
        <v>Ofwat Collaborative Customer Research source</v>
      </c>
      <c r="Q23" s="40">
        <f>_xlfn.XLOOKUP($B23,'28'!$B:$B,'28'!Q:Q,)</f>
        <v>16</v>
      </c>
      <c r="R23" s="40" t="str">
        <f>_xlfn.XLOOKUP($B23,'28'!$B:$B,'28'!R:R,)</f>
        <v>Ofwat (2023) PR24: Using collaborative customer research to set outcome delivery incentive rates</v>
      </c>
      <c r="S23" s="40" t="str">
        <f>_xlfn.XLOOKUP($B23,'28'!$B:$B,'28'!S:S,)</f>
        <v>/</v>
      </c>
      <c r="T23" s="40">
        <f>_xlfn.XLOOKUP($B23,'28'!$B:$B,'28'!T:T,)</f>
        <v>2023</v>
      </c>
      <c r="U23" s="40" t="str">
        <f>_xlfn.XLOOKUP($B23,'28'!$B:$B,'28'!U:U,)</f>
        <v>UK</v>
      </c>
      <c r="V23" s="40" t="str">
        <f>_xlfn.XLOOKUP($B23,'28'!$B:$B,'28'!V:V,)</f>
        <v>England and Wales</v>
      </c>
      <c r="W23" s="40">
        <f>_xlfn.XLOOKUP($B23,'28'!$B:$B,'28'!W:W,)</f>
        <v>16295</v>
      </c>
    </row>
    <row r="24" spans="2:23">
      <c r="B24" s="39" t="s">
        <v>2032</v>
      </c>
      <c r="C24" s="40" t="str">
        <f>_xlfn.XLOOKUP($B24,'28'!$B:$B,'28'!C:C,)</f>
        <v>Bathing water quality</v>
      </c>
      <c r="D24" s="40" t="str">
        <f>_xlfn.XLOOKUP($B24,'28'!$B:$B,'28'!D:D,)</f>
        <v>Bathing water quality (poor to sufficient)</v>
      </c>
      <c r="E24" s="40" t="str">
        <f>_xlfn.XLOOKUP($B24,'28'!$B:$B,'28'!E:E,)</f>
        <v>Local economy</v>
      </c>
      <c r="F24" s="40">
        <f>_xlfn.XLOOKUP($B24,'28'!$B:$B,'28'!F:F,)</f>
        <v>2023</v>
      </c>
      <c r="G24" s="40">
        <f>_xlfn.XLOOKUP($B24,'28'!$B:$B,'28'!G:G,)</f>
        <v>2022</v>
      </c>
      <c r="H24" s="40">
        <f>_xlfn.XLOOKUP($B24,'28'!$B:$B,'28'!H:H,)</f>
        <v>2023</v>
      </c>
      <c r="I24" s="40">
        <f>_xlfn.XLOOKUP($B24,'28'!$B:$B,'28'!I:I,)</f>
        <v>93.351699999999994</v>
      </c>
      <c r="J24" s="40">
        <f>_xlfn.XLOOKUP($B24,'28'!$B:$B,'28'!J:J,)</f>
        <v>100</v>
      </c>
      <c r="K24" s="629">
        <f>_xlfn.XLOOKUP($B24,'28'!$B:$B,'28'!K:K,)</f>
        <v>-1274983</v>
      </c>
      <c r="L24" s="629">
        <f>_xlfn.XLOOKUP($B24,'28'!$B:$B,'28'!L:L,)</f>
        <v>-1365784.447417669</v>
      </c>
      <c r="M24" s="40" t="str">
        <f>_xlfn.XLOOKUP($B24,'28'!$B:$B,'28'!M:M,)</f>
        <v>Willingness to Accept</v>
      </c>
      <c r="N24" s="326">
        <f>_xlfn.XLOOKUP($B24,'28'!$B:$B,'28'!N:N,)</f>
        <v>2.5714285714285698</v>
      </c>
      <c r="O24" s="40" t="str">
        <f>_xlfn.XLOOKUP($B24,'28'!$B:$B,'28'!O:O,)</f>
        <v>Yes</v>
      </c>
      <c r="P24" s="40" t="str">
        <f>_xlfn.XLOOKUP($B24,'28'!$B:$B,'28'!P:P,)</f>
        <v>Ofwat Collaborative Customer Research source</v>
      </c>
      <c r="Q24" s="40">
        <f>_xlfn.XLOOKUP($B24,'28'!$B:$B,'28'!Q:Q,)</f>
        <v>16</v>
      </c>
      <c r="R24" s="40" t="str">
        <f>_xlfn.XLOOKUP($B24,'28'!$B:$B,'28'!R:R,)</f>
        <v>Ofwat (2023) PR24: Using collaborative customer research to set outcome delivery incentive rates</v>
      </c>
      <c r="S24" s="40" t="str">
        <f>_xlfn.XLOOKUP($B24,'28'!$B:$B,'28'!S:S,)</f>
        <v>/</v>
      </c>
      <c r="T24" s="40">
        <f>_xlfn.XLOOKUP($B24,'28'!$B:$B,'28'!T:T,)</f>
        <v>2023</v>
      </c>
      <c r="U24" s="40" t="str">
        <f>_xlfn.XLOOKUP($B24,'28'!$B:$B,'28'!U:U,)</f>
        <v>UK</v>
      </c>
      <c r="V24" s="40" t="str">
        <f>_xlfn.XLOOKUP($B24,'28'!$B:$B,'28'!V:V,)</f>
        <v>England and Wales</v>
      </c>
      <c r="W24" s="40">
        <f>_xlfn.XLOOKUP($B24,'28'!$B:$B,'28'!W:W,)</f>
        <v>16295</v>
      </c>
    </row>
    <row r="25" spans="2:23">
      <c r="B25" s="39" t="s">
        <v>2033</v>
      </c>
      <c r="C25" s="40" t="str">
        <f>_xlfn.XLOOKUP($B25,'28'!$B:$B,'28'!C:C,)</f>
        <v>Bathing water quality</v>
      </c>
      <c r="D25" s="40" t="str">
        <f>_xlfn.XLOOKUP($B25,'28'!$B:$B,'28'!D:D,)</f>
        <v>Bathing water quality (sufficient to good)</v>
      </c>
      <c r="E25" s="40" t="str">
        <f>_xlfn.XLOOKUP($B25,'28'!$B:$B,'28'!E:E,)</f>
        <v>Local economy</v>
      </c>
      <c r="F25" s="40">
        <f>_xlfn.XLOOKUP($B25,'28'!$B:$B,'28'!F:F,)</f>
        <v>2023</v>
      </c>
      <c r="G25" s="40">
        <f>_xlfn.XLOOKUP($B25,'28'!$B:$B,'28'!G:G,)</f>
        <v>2022</v>
      </c>
      <c r="H25" s="40">
        <f>_xlfn.XLOOKUP($B25,'28'!$B:$B,'28'!H:H,)</f>
        <v>2023</v>
      </c>
      <c r="I25" s="40">
        <f>_xlfn.XLOOKUP($B25,'28'!$B:$B,'28'!I:I,)</f>
        <v>93.351699999999994</v>
      </c>
      <c r="J25" s="40">
        <f>_xlfn.XLOOKUP($B25,'28'!$B:$B,'28'!J:J,)</f>
        <v>100</v>
      </c>
      <c r="K25" s="629">
        <f>_xlfn.XLOOKUP($B25,'28'!$B:$B,'28'!K:K,)</f>
        <v>-1435116</v>
      </c>
      <c r="L25" s="629">
        <f>_xlfn.XLOOKUP($B25,'28'!$B:$B,'28'!L:L,)</f>
        <v>-1537321.7627531155</v>
      </c>
      <c r="M25" s="40" t="str">
        <f>_xlfn.XLOOKUP($B25,'28'!$B:$B,'28'!M:M,)</f>
        <v>Willingness to Accept</v>
      </c>
      <c r="N25" s="326">
        <f>_xlfn.XLOOKUP($B25,'28'!$B:$B,'28'!N:N,)</f>
        <v>2.5714285714285698</v>
      </c>
      <c r="O25" s="40" t="str">
        <f>_xlfn.XLOOKUP($B25,'28'!$B:$B,'28'!O:O,)</f>
        <v>Yes</v>
      </c>
      <c r="P25" s="40" t="str">
        <f>_xlfn.XLOOKUP($B25,'28'!$B:$B,'28'!P:P,)</f>
        <v>Ofwat Collaborative Customer Research source</v>
      </c>
      <c r="Q25" s="40">
        <f>_xlfn.XLOOKUP($B25,'28'!$B:$B,'28'!Q:Q,)</f>
        <v>16</v>
      </c>
      <c r="R25" s="40" t="str">
        <f>_xlfn.XLOOKUP($B25,'28'!$B:$B,'28'!R:R,)</f>
        <v>Ofwat (2023) PR24: Using collaborative customer research to set outcome delivery incentive rates</v>
      </c>
      <c r="S25" s="40" t="str">
        <f>_xlfn.XLOOKUP($B25,'28'!$B:$B,'28'!S:S,)</f>
        <v>/</v>
      </c>
      <c r="T25" s="40">
        <f>_xlfn.XLOOKUP($B25,'28'!$B:$B,'28'!T:T,)</f>
        <v>2023</v>
      </c>
      <c r="U25" s="40" t="str">
        <f>_xlfn.XLOOKUP($B25,'28'!$B:$B,'28'!U:U,)</f>
        <v>UK</v>
      </c>
      <c r="V25" s="40" t="str">
        <f>_xlfn.XLOOKUP($B25,'28'!$B:$B,'28'!V:V,)</f>
        <v>England and Wales</v>
      </c>
      <c r="W25" s="40">
        <f>_xlfn.XLOOKUP($B25,'28'!$B:$B,'28'!W:W,)</f>
        <v>16295</v>
      </c>
    </row>
    <row r="26" spans="2:23">
      <c r="B26" s="39" t="s">
        <v>2034</v>
      </c>
      <c r="C26" s="40" t="str">
        <f>_xlfn.XLOOKUP($B26,'28'!$B:$B,'28'!C:C,)</f>
        <v>Bathing water quality</v>
      </c>
      <c r="D26" s="40" t="str">
        <f>_xlfn.XLOOKUP($B26,'28'!$B:$B,'28'!D:D,)</f>
        <v>Bathing water quality (good to excellent)</v>
      </c>
      <c r="E26" s="40" t="str">
        <f>_xlfn.XLOOKUP($B26,'28'!$B:$B,'28'!E:E,)</f>
        <v>Local economy</v>
      </c>
      <c r="F26" s="40">
        <f>_xlfn.XLOOKUP($B26,'28'!$B:$B,'28'!F:F,)</f>
        <v>2023</v>
      </c>
      <c r="G26" s="40">
        <f>_xlfn.XLOOKUP($B26,'28'!$B:$B,'28'!G:G,)</f>
        <v>2022</v>
      </c>
      <c r="H26" s="40">
        <f>_xlfn.XLOOKUP($B26,'28'!$B:$B,'28'!H:H,)</f>
        <v>2023</v>
      </c>
      <c r="I26" s="40">
        <f>_xlfn.XLOOKUP($B26,'28'!$B:$B,'28'!I:I,)</f>
        <v>93.351699999999994</v>
      </c>
      <c r="J26" s="40">
        <f>_xlfn.XLOOKUP($B26,'28'!$B:$B,'28'!J:J,)</f>
        <v>100</v>
      </c>
      <c r="K26" s="629">
        <f>_xlfn.XLOOKUP($B26,'28'!$B:$B,'28'!K:K,)</f>
        <v>-1615519</v>
      </c>
      <c r="L26" s="629">
        <f>_xlfn.XLOOKUP($B26,'28'!$B:$B,'28'!L:L,)</f>
        <v>-1730572.6623082389</v>
      </c>
      <c r="M26" s="40" t="str">
        <f>_xlfn.XLOOKUP($B26,'28'!$B:$B,'28'!M:M,)</f>
        <v>Willingness to Accept</v>
      </c>
      <c r="N26" s="326">
        <f>_xlfn.XLOOKUP($B26,'28'!$B:$B,'28'!N:N,)</f>
        <v>2.5714285714285698</v>
      </c>
      <c r="O26" s="40" t="str">
        <f>_xlfn.XLOOKUP($B26,'28'!$B:$B,'28'!O:O,)</f>
        <v>Yes</v>
      </c>
      <c r="P26" s="40" t="str">
        <f>_xlfn.XLOOKUP($B26,'28'!$B:$B,'28'!P:P,)</f>
        <v>Ofwat Collaborative Customer Research source</v>
      </c>
      <c r="Q26" s="40">
        <f>_xlfn.XLOOKUP($B26,'28'!$B:$B,'28'!Q:Q,)</f>
        <v>16</v>
      </c>
      <c r="R26" s="40" t="str">
        <f>_xlfn.XLOOKUP($B26,'28'!$B:$B,'28'!R:R,)</f>
        <v>Ofwat (2023) PR24: Using collaborative customer research to set outcome delivery incentive rates</v>
      </c>
      <c r="S26" s="40" t="str">
        <f>_xlfn.XLOOKUP($B26,'28'!$B:$B,'28'!S:S,)</f>
        <v>/</v>
      </c>
      <c r="T26" s="40">
        <f>_xlfn.XLOOKUP($B26,'28'!$B:$B,'28'!T:T,)</f>
        <v>2023</v>
      </c>
      <c r="U26" s="40" t="str">
        <f>_xlfn.XLOOKUP($B26,'28'!$B:$B,'28'!U:U,)</f>
        <v>UK</v>
      </c>
      <c r="V26" s="40" t="str">
        <f>_xlfn.XLOOKUP($B26,'28'!$B:$B,'28'!V:V,)</f>
        <v>England and Wales</v>
      </c>
      <c r="W26" s="40">
        <f>_xlfn.XLOOKUP($B26,'28'!$B:$B,'28'!W:W,)</f>
        <v>16295</v>
      </c>
    </row>
    <row r="27" spans="2:23">
      <c r="B27" s="39" t="s">
        <v>2035</v>
      </c>
      <c r="C27" s="40" t="str">
        <f>_xlfn.XLOOKUP($B27,'28'!$B:$B,'28'!C:C,)</f>
        <v>Bathing water quality</v>
      </c>
      <c r="D27" s="40" t="str">
        <f>_xlfn.XLOOKUP($B27,'28'!$B:$B,'28'!D:D,)</f>
        <v>In class benefit on bathing water quality</v>
      </c>
      <c r="E27" s="40" t="str">
        <f>_xlfn.XLOOKUP($B27,'28'!$B:$B,'28'!E:E,)</f>
        <v>Quality of place</v>
      </c>
      <c r="F27" s="40">
        <f>_xlfn.XLOOKUP($B27,'28'!$B:$B,'28'!F:F,)</f>
        <v>2018</v>
      </c>
      <c r="G27" s="40">
        <f>_xlfn.XLOOKUP($B27,'28'!$B:$B,'28'!G:G,)</f>
        <v>2017</v>
      </c>
      <c r="H27" s="40">
        <f>_xlfn.XLOOKUP($B27,'28'!$B:$B,'28'!H:H,)</f>
        <v>2023</v>
      </c>
      <c r="I27" s="40">
        <f>_xlfn.XLOOKUP($B27,'28'!$B:$B,'28'!I:I,)</f>
        <v>81.273099999999999</v>
      </c>
      <c r="J27" s="40">
        <f>_xlfn.XLOOKUP($B27,'28'!$B:$B,'28'!J:J,)</f>
        <v>100</v>
      </c>
      <c r="K27" s="629">
        <f>_xlfn.XLOOKUP($B27,'28'!$B:$B,'28'!K:K,)</f>
        <v>-132000</v>
      </c>
      <c r="L27" s="629">
        <f>_xlfn.XLOOKUP($B27,'28'!$B:$B,'28'!L:L,)</f>
        <v>-162415.36252462378</v>
      </c>
      <c r="M27" s="40" t="str">
        <f>_xlfn.XLOOKUP($B27,'28'!$B:$B,'28'!M:M,)</f>
        <v>WTP</v>
      </c>
      <c r="N27" s="326">
        <f>_xlfn.XLOOKUP($B27,'28'!$B:$B,'28'!N:N,)</f>
        <v>2.3333333333333335</v>
      </c>
      <c r="O27" s="40" t="str">
        <f>_xlfn.XLOOKUP($B27,'28'!$B:$B,'28'!O:O,)</f>
        <v>Only if Collaborative Customer Research value not suitable</v>
      </c>
      <c r="P27" s="40" t="str">
        <f>_xlfn.XLOOKUP($B27,'28'!$B:$B,'28'!P:P,)</f>
        <v>Captures WTP views of only one water company</v>
      </c>
      <c r="Q27" s="40">
        <f>_xlfn.XLOOKUP($B27,'28'!$B:$B,'28'!Q:Q,)</f>
        <v>136</v>
      </c>
      <c r="R27" s="40" t="str">
        <f>_xlfn.XLOOKUP($B27,'28'!$B:$B,'28'!R:R,)</f>
        <v>UU (2018) Customer research triangulation report</v>
      </c>
      <c r="S27" s="40" t="str">
        <f>_xlfn.XLOOKUP($B27,'28'!$B:$B,'28'!S:S,)</f>
        <v>/</v>
      </c>
      <c r="T27" s="40">
        <f>_xlfn.XLOOKUP($B27,'28'!$B:$B,'28'!T:T,)</f>
        <v>2018</v>
      </c>
      <c r="U27" s="40" t="str">
        <f>_xlfn.XLOOKUP($B27,'28'!$B:$B,'28'!U:U,)</f>
        <v>England</v>
      </c>
      <c r="V27" s="40" t="str">
        <f>_xlfn.XLOOKUP($B27,'28'!$B:$B,'28'!V:V,)</f>
        <v>UU region</v>
      </c>
      <c r="W27" s="40" t="str">
        <f>_xlfn.XLOOKUP($B27,'28'!$B:$B,'28'!W:W,)</f>
        <v>Unknown</v>
      </c>
    </row>
    <row r="28" spans="2:23">
      <c r="B28" s="39" t="s">
        <v>2038</v>
      </c>
      <c r="C28" s="40" t="str">
        <f>_xlfn.XLOOKUP($B28,'28'!$B:$B,'28'!C:C,)</f>
        <v>Bathing water quality</v>
      </c>
      <c r="D28" s="40" t="str">
        <f>_xlfn.XLOOKUP($B28,'28'!$B:$B,'28'!D:D,)</f>
        <v>Bathing water quality (poor to sufficient)</v>
      </c>
      <c r="E28" s="40" t="str">
        <f>_xlfn.XLOOKUP($B28,'28'!$B:$B,'28'!E:E,)</f>
        <v>Quality of place</v>
      </c>
      <c r="F28" s="40">
        <f>_xlfn.XLOOKUP($B28,'28'!$B:$B,'28'!F:F,)</f>
        <v>2018</v>
      </c>
      <c r="G28" s="40">
        <f>_xlfn.XLOOKUP($B28,'28'!$B:$B,'28'!G:G,)</f>
        <v>2017</v>
      </c>
      <c r="H28" s="40">
        <f>_xlfn.XLOOKUP($B28,'28'!$B:$B,'28'!H:H,)</f>
        <v>2023</v>
      </c>
      <c r="I28" s="40">
        <f>_xlfn.XLOOKUP($B28,'28'!$B:$B,'28'!I:I,)</f>
        <v>81.273099999999999</v>
      </c>
      <c r="J28" s="40">
        <f>_xlfn.XLOOKUP($B28,'28'!$B:$B,'28'!J:J,)</f>
        <v>100</v>
      </c>
      <c r="K28" s="629">
        <f>_xlfn.XLOOKUP($B28,'28'!$B:$B,'28'!K:K,)</f>
        <v>-734000</v>
      </c>
      <c r="L28" s="629">
        <f>_xlfn.XLOOKUP($B28,'28'!$B:$B,'28'!L:L,)</f>
        <v>-903127.84918995341</v>
      </c>
      <c r="M28" s="40" t="str">
        <f>_xlfn.XLOOKUP($B28,'28'!$B:$B,'28'!M:M,)</f>
        <v>WTP</v>
      </c>
      <c r="N28" s="326">
        <f>_xlfn.XLOOKUP($B28,'28'!$B:$B,'28'!N:N,)</f>
        <v>2.3333333333333335</v>
      </c>
      <c r="O28" s="40" t="str">
        <f>_xlfn.XLOOKUP($B28,'28'!$B:$B,'28'!O:O,)</f>
        <v>Only if Collaborative Customer Research value not suitable</v>
      </c>
      <c r="P28" s="40" t="str">
        <f>_xlfn.XLOOKUP($B28,'28'!$B:$B,'28'!P:P,)</f>
        <v>Captures WTP views of only one water company</v>
      </c>
      <c r="Q28" s="40">
        <f>_xlfn.XLOOKUP($B28,'28'!$B:$B,'28'!Q:Q,)</f>
        <v>136</v>
      </c>
      <c r="R28" s="40" t="str">
        <f>_xlfn.XLOOKUP($B28,'28'!$B:$B,'28'!R:R,)</f>
        <v>UU (2018) Customer research triangulation report</v>
      </c>
      <c r="S28" s="40" t="str">
        <f>_xlfn.XLOOKUP($B28,'28'!$B:$B,'28'!S:S,)</f>
        <v>/</v>
      </c>
      <c r="T28" s="40">
        <f>_xlfn.XLOOKUP($B28,'28'!$B:$B,'28'!T:T,)</f>
        <v>2018</v>
      </c>
      <c r="U28" s="40" t="str">
        <f>_xlfn.XLOOKUP($B28,'28'!$B:$B,'28'!U:U,)</f>
        <v>England</v>
      </c>
      <c r="V28" s="40" t="str">
        <f>_xlfn.XLOOKUP($B28,'28'!$B:$B,'28'!V:V,)</f>
        <v>UU region</v>
      </c>
      <c r="W28" s="40" t="str">
        <f>_xlfn.XLOOKUP($B28,'28'!$B:$B,'28'!W:W,)</f>
        <v>Unknown</v>
      </c>
    </row>
    <row r="29" spans="2:23">
      <c r="B29" s="39" t="s">
        <v>2039</v>
      </c>
      <c r="C29" s="40" t="str">
        <f>_xlfn.XLOOKUP($B29,'28'!$B:$B,'28'!C:C,)</f>
        <v>Bathing water quality</v>
      </c>
      <c r="D29" s="40" t="str">
        <f>_xlfn.XLOOKUP($B29,'28'!$B:$B,'28'!D:D,)</f>
        <v>Bathing water quality (sufficient to good)</v>
      </c>
      <c r="E29" s="40" t="str">
        <f>_xlfn.XLOOKUP($B29,'28'!$B:$B,'28'!E:E,)</f>
        <v>Quality of place</v>
      </c>
      <c r="F29" s="40">
        <f>_xlfn.XLOOKUP($B29,'28'!$B:$B,'28'!F:F,)</f>
        <v>2018</v>
      </c>
      <c r="G29" s="40">
        <f>_xlfn.XLOOKUP($B29,'28'!$B:$B,'28'!G:G,)</f>
        <v>2017</v>
      </c>
      <c r="H29" s="40">
        <f>_xlfn.XLOOKUP($B29,'28'!$B:$B,'28'!H:H,)</f>
        <v>2023</v>
      </c>
      <c r="I29" s="40">
        <f>_xlfn.XLOOKUP($B29,'28'!$B:$B,'28'!I:I,)</f>
        <v>81.273099999999999</v>
      </c>
      <c r="J29" s="40">
        <f>_xlfn.XLOOKUP($B29,'28'!$B:$B,'28'!J:J,)</f>
        <v>100</v>
      </c>
      <c r="K29" s="629">
        <f>_xlfn.XLOOKUP($B29,'28'!$B:$B,'28'!K:K,)</f>
        <v>-851000</v>
      </c>
      <c r="L29" s="629">
        <f>_xlfn.XLOOKUP($B29,'28'!$B:$B,'28'!L:L,)</f>
        <v>-1047086.9205185972</v>
      </c>
      <c r="M29" s="40" t="str">
        <f>_xlfn.XLOOKUP($B29,'28'!$B:$B,'28'!M:M,)</f>
        <v>WTP</v>
      </c>
      <c r="N29" s="326">
        <f>_xlfn.XLOOKUP($B29,'28'!$B:$B,'28'!N:N,)</f>
        <v>2.3333333333333335</v>
      </c>
      <c r="O29" s="40" t="str">
        <f>_xlfn.XLOOKUP($B29,'28'!$B:$B,'28'!O:O,)</f>
        <v>Only if Collaborative Customer Research value not suitable</v>
      </c>
      <c r="P29" s="40" t="str">
        <f>_xlfn.XLOOKUP($B29,'28'!$B:$B,'28'!P:P,)</f>
        <v>Captures WTP views of only one water company</v>
      </c>
      <c r="Q29" s="40">
        <f>_xlfn.XLOOKUP($B29,'28'!$B:$B,'28'!Q:Q,)</f>
        <v>136</v>
      </c>
      <c r="R29" s="40" t="str">
        <f>_xlfn.XLOOKUP($B29,'28'!$B:$B,'28'!R:R,)</f>
        <v>UU (2018) Customer research triangulation report</v>
      </c>
      <c r="S29" s="40" t="str">
        <f>_xlfn.XLOOKUP($B29,'28'!$B:$B,'28'!S:S,)</f>
        <v>/</v>
      </c>
      <c r="T29" s="40">
        <f>_xlfn.XLOOKUP($B29,'28'!$B:$B,'28'!T:T,)</f>
        <v>2018</v>
      </c>
      <c r="U29" s="40" t="str">
        <f>_xlfn.XLOOKUP($B29,'28'!$B:$B,'28'!U:U,)</f>
        <v>England</v>
      </c>
      <c r="V29" s="40" t="str">
        <f>_xlfn.XLOOKUP($B29,'28'!$B:$B,'28'!V:V,)</f>
        <v>UU region</v>
      </c>
      <c r="W29" s="40" t="str">
        <f>_xlfn.XLOOKUP($B29,'28'!$B:$B,'28'!W:W,)</f>
        <v>Unknown</v>
      </c>
    </row>
    <row r="30" spans="2:23">
      <c r="B30" s="39" t="s">
        <v>2040</v>
      </c>
      <c r="C30" s="40" t="str">
        <f>_xlfn.XLOOKUP($B30,'28'!$B:$B,'28'!C:C,)</f>
        <v>Bathing water quality</v>
      </c>
      <c r="D30" s="40" t="str">
        <f>_xlfn.XLOOKUP($B30,'28'!$B:$B,'28'!D:D,)</f>
        <v>Bathing water quality (good to excellent)</v>
      </c>
      <c r="E30" s="40" t="str">
        <f>_xlfn.XLOOKUP($B30,'28'!$B:$B,'28'!E:E,)</f>
        <v>Quality of place</v>
      </c>
      <c r="F30" s="40">
        <f>_xlfn.XLOOKUP($B30,'28'!$B:$B,'28'!F:F,)</f>
        <v>2018</v>
      </c>
      <c r="G30" s="40">
        <f>_xlfn.XLOOKUP($B30,'28'!$B:$B,'28'!G:G,)</f>
        <v>2017</v>
      </c>
      <c r="H30" s="40">
        <f>_xlfn.XLOOKUP($B30,'28'!$B:$B,'28'!H:H,)</f>
        <v>2023</v>
      </c>
      <c r="I30" s="40">
        <f>_xlfn.XLOOKUP($B30,'28'!$B:$B,'28'!I:I,)</f>
        <v>81.273099999999999</v>
      </c>
      <c r="J30" s="40">
        <f>_xlfn.XLOOKUP($B30,'28'!$B:$B,'28'!J:J,)</f>
        <v>100</v>
      </c>
      <c r="K30" s="629">
        <f>_xlfn.XLOOKUP($B30,'28'!$B:$B,'28'!K:K,)</f>
        <v>-998000</v>
      </c>
      <c r="L30" s="629">
        <f>_xlfn.XLOOKUP($B30,'28'!$B:$B,'28'!L:L,)</f>
        <v>-1227958.5742392009</v>
      </c>
      <c r="M30" s="40" t="str">
        <f>_xlfn.XLOOKUP($B30,'28'!$B:$B,'28'!M:M,)</f>
        <v>WTP</v>
      </c>
      <c r="N30" s="326">
        <f>_xlfn.XLOOKUP($B30,'28'!$B:$B,'28'!N:N,)</f>
        <v>2.3333333333333335</v>
      </c>
      <c r="O30" s="40" t="str">
        <f>_xlfn.XLOOKUP($B30,'28'!$B:$B,'28'!O:O,)</f>
        <v>Only if Collaborative Customer Research value not suitable</v>
      </c>
      <c r="P30" s="40" t="str">
        <f>_xlfn.XLOOKUP($B30,'28'!$B:$B,'28'!P:P,)</f>
        <v>Captures WTP views of only one water company</v>
      </c>
      <c r="Q30" s="40">
        <f>_xlfn.XLOOKUP($B30,'28'!$B:$B,'28'!Q:Q,)</f>
        <v>136</v>
      </c>
      <c r="R30" s="40" t="str">
        <f>_xlfn.XLOOKUP($B30,'28'!$B:$B,'28'!R:R,)</f>
        <v>UU (2018) Customer research triangulation report</v>
      </c>
      <c r="S30" s="40" t="str">
        <f>_xlfn.XLOOKUP($B30,'28'!$B:$B,'28'!S:S,)</f>
        <v>/</v>
      </c>
      <c r="T30" s="40">
        <f>_xlfn.XLOOKUP($B30,'28'!$B:$B,'28'!T:T,)</f>
        <v>2018</v>
      </c>
      <c r="U30" s="40" t="str">
        <f>_xlfn.XLOOKUP($B30,'28'!$B:$B,'28'!U:U,)</f>
        <v>England</v>
      </c>
      <c r="V30" s="40" t="str">
        <f>_xlfn.XLOOKUP($B30,'28'!$B:$B,'28'!V:V,)</f>
        <v>UU region</v>
      </c>
      <c r="W30" s="40" t="str">
        <f>_xlfn.XLOOKUP($B30,'28'!$B:$B,'28'!W:W,)</f>
        <v>Unknown</v>
      </c>
    </row>
    <row r="31" spans="2:23">
      <c r="B31" s="39" t="s">
        <v>2041</v>
      </c>
      <c r="C31" s="40" t="str">
        <f>_xlfn.XLOOKUP($B31,'28'!$B:$B,'28'!C:C,)</f>
        <v>Bathing water quality</v>
      </c>
      <c r="D31" s="40" t="str">
        <f>_xlfn.XLOOKUP($B31,'28'!$B:$B,'28'!D:D,)</f>
        <v>In class benefit on bathing water quality</v>
      </c>
      <c r="E31" s="40" t="str">
        <f>_xlfn.XLOOKUP($B31,'28'!$B:$B,'28'!E:E,)</f>
        <v>Local economy</v>
      </c>
      <c r="F31" s="40">
        <f>_xlfn.XLOOKUP($B31,'28'!$B:$B,'28'!F:F,)</f>
        <v>2018</v>
      </c>
      <c r="G31" s="40">
        <f>_xlfn.XLOOKUP($B31,'28'!$B:$B,'28'!G:G,)</f>
        <v>2017</v>
      </c>
      <c r="H31" s="40">
        <f>_xlfn.XLOOKUP($B31,'28'!$B:$B,'28'!H:H,)</f>
        <v>2023</v>
      </c>
      <c r="I31" s="40">
        <f>_xlfn.XLOOKUP($B31,'28'!$B:$B,'28'!I:I,)</f>
        <v>81.273099999999999</v>
      </c>
      <c r="J31" s="40">
        <f>_xlfn.XLOOKUP($B31,'28'!$B:$B,'28'!J:J,)</f>
        <v>100</v>
      </c>
      <c r="K31" s="629">
        <f>_xlfn.XLOOKUP($B31,'28'!$B:$B,'28'!K:K,)</f>
        <v>-60500</v>
      </c>
      <c r="L31" s="629">
        <f>_xlfn.XLOOKUP($B31,'28'!$B:$B,'28'!L:L,)</f>
        <v>-74440.374490452567</v>
      </c>
      <c r="M31" s="40" t="str">
        <f>_xlfn.XLOOKUP($B31,'28'!$B:$B,'28'!M:M,)</f>
        <v>WTP</v>
      </c>
      <c r="N31" s="326">
        <f>_xlfn.XLOOKUP($B31,'28'!$B:$B,'28'!N:N,)</f>
        <v>2.3333333333333335</v>
      </c>
      <c r="O31" s="40" t="str">
        <f>_xlfn.XLOOKUP($B31,'28'!$B:$B,'28'!O:O,)</f>
        <v>Only if Collaborative Customer Research value not suitable</v>
      </c>
      <c r="P31" s="40" t="str">
        <f>_xlfn.XLOOKUP($B31,'28'!$B:$B,'28'!P:P,)</f>
        <v>Captures WTP views of only one water company</v>
      </c>
      <c r="Q31" s="40">
        <f>_xlfn.XLOOKUP($B31,'28'!$B:$B,'28'!Q:Q,)</f>
        <v>136</v>
      </c>
      <c r="R31" s="40" t="str">
        <f>_xlfn.XLOOKUP($B31,'28'!$B:$B,'28'!R:R,)</f>
        <v>UU (2018) Customer research triangulation report</v>
      </c>
      <c r="S31" s="40" t="str">
        <f>_xlfn.XLOOKUP($B31,'28'!$B:$B,'28'!S:S,)</f>
        <v>/</v>
      </c>
      <c r="T31" s="40">
        <f>_xlfn.XLOOKUP($B31,'28'!$B:$B,'28'!T:T,)</f>
        <v>2018</v>
      </c>
      <c r="U31" s="40" t="str">
        <f>_xlfn.XLOOKUP($B31,'28'!$B:$B,'28'!U:U,)</f>
        <v>England</v>
      </c>
      <c r="V31" s="40" t="str">
        <f>_xlfn.XLOOKUP($B31,'28'!$B:$B,'28'!V:V,)</f>
        <v>UU region</v>
      </c>
      <c r="W31" s="40" t="str">
        <f>_xlfn.XLOOKUP($B31,'28'!$B:$B,'28'!W:W,)</f>
        <v>Unknown</v>
      </c>
    </row>
    <row r="32" spans="2:23">
      <c r="B32" s="39" t="s">
        <v>2042</v>
      </c>
      <c r="C32" s="40" t="str">
        <f>_xlfn.XLOOKUP($B32,'28'!$B:$B,'28'!C:C,)</f>
        <v>Bathing water quality</v>
      </c>
      <c r="D32" s="40" t="str">
        <f>_xlfn.XLOOKUP($B32,'28'!$B:$B,'28'!D:D,)</f>
        <v>Bathing water quality (poor to sufficient)</v>
      </c>
      <c r="E32" s="40" t="str">
        <f>_xlfn.XLOOKUP($B32,'28'!$B:$B,'28'!E:E,)</f>
        <v>Local economy</v>
      </c>
      <c r="F32" s="40">
        <f>_xlfn.XLOOKUP($B32,'28'!$B:$B,'28'!F:F,)</f>
        <v>2018</v>
      </c>
      <c r="G32" s="40">
        <f>_xlfn.XLOOKUP($B32,'28'!$B:$B,'28'!G:G,)</f>
        <v>2017</v>
      </c>
      <c r="H32" s="40">
        <f>_xlfn.XLOOKUP($B32,'28'!$B:$B,'28'!H:H,)</f>
        <v>2023</v>
      </c>
      <c r="I32" s="40">
        <f>_xlfn.XLOOKUP($B32,'28'!$B:$B,'28'!I:I,)</f>
        <v>81.273099999999999</v>
      </c>
      <c r="J32" s="40">
        <f>_xlfn.XLOOKUP($B32,'28'!$B:$B,'28'!J:J,)</f>
        <v>100</v>
      </c>
      <c r="K32" s="629">
        <f>_xlfn.XLOOKUP($B32,'28'!$B:$B,'28'!K:K,)</f>
        <v>-336000</v>
      </c>
      <c r="L32" s="629">
        <f>_xlfn.XLOOKUP($B32,'28'!$B:$B,'28'!L:L,)</f>
        <v>-413420.92278995144</v>
      </c>
      <c r="M32" s="40" t="str">
        <f>_xlfn.XLOOKUP($B32,'28'!$B:$B,'28'!M:M,)</f>
        <v>WTP</v>
      </c>
      <c r="N32" s="326">
        <f>_xlfn.XLOOKUP($B32,'28'!$B:$B,'28'!N:N,)</f>
        <v>2.3333333333333335</v>
      </c>
      <c r="O32" s="40" t="str">
        <f>_xlfn.XLOOKUP($B32,'28'!$B:$B,'28'!O:O,)</f>
        <v>Only if Collaborative Customer Research value not suitable</v>
      </c>
      <c r="P32" s="40" t="str">
        <f>_xlfn.XLOOKUP($B32,'28'!$B:$B,'28'!P:P,)</f>
        <v>Captures WTP views of only one water company</v>
      </c>
      <c r="Q32" s="40">
        <f>_xlfn.XLOOKUP($B32,'28'!$B:$B,'28'!Q:Q,)</f>
        <v>136</v>
      </c>
      <c r="R32" s="40" t="str">
        <f>_xlfn.XLOOKUP($B32,'28'!$B:$B,'28'!R:R,)</f>
        <v>UU (2018) Customer research triangulation report</v>
      </c>
      <c r="S32" s="40" t="str">
        <f>_xlfn.XLOOKUP($B32,'28'!$B:$B,'28'!S:S,)</f>
        <v>/</v>
      </c>
      <c r="T32" s="40">
        <f>_xlfn.XLOOKUP($B32,'28'!$B:$B,'28'!T:T,)</f>
        <v>2018</v>
      </c>
      <c r="U32" s="40" t="str">
        <f>_xlfn.XLOOKUP($B32,'28'!$B:$B,'28'!U:U,)</f>
        <v>England</v>
      </c>
      <c r="V32" s="40" t="str">
        <f>_xlfn.XLOOKUP($B32,'28'!$B:$B,'28'!V:V,)</f>
        <v>UU region</v>
      </c>
      <c r="W32" s="40" t="str">
        <f>_xlfn.XLOOKUP($B32,'28'!$B:$B,'28'!W:W,)</f>
        <v>Unknown</v>
      </c>
    </row>
    <row r="33" spans="2:23">
      <c r="B33" s="39" t="s">
        <v>2043</v>
      </c>
      <c r="C33" s="40" t="str">
        <f>_xlfn.XLOOKUP($B33,'28'!$B:$B,'28'!C:C,)</f>
        <v>Bathing water quality</v>
      </c>
      <c r="D33" s="40" t="str">
        <f>_xlfn.XLOOKUP($B33,'28'!$B:$B,'28'!D:D,)</f>
        <v>Bathing water quality (sufficient to good)</v>
      </c>
      <c r="E33" s="40" t="str">
        <f>_xlfn.XLOOKUP($B33,'28'!$B:$B,'28'!E:E,)</f>
        <v>Local economy</v>
      </c>
      <c r="F33" s="40">
        <f>_xlfn.XLOOKUP($B33,'28'!$B:$B,'28'!F:F,)</f>
        <v>2018</v>
      </c>
      <c r="G33" s="40">
        <f>_xlfn.XLOOKUP($B33,'28'!$B:$B,'28'!G:G,)</f>
        <v>2017</v>
      </c>
      <c r="H33" s="40">
        <f>_xlfn.XLOOKUP($B33,'28'!$B:$B,'28'!H:H,)</f>
        <v>2023</v>
      </c>
      <c r="I33" s="40">
        <f>_xlfn.XLOOKUP($B33,'28'!$B:$B,'28'!I:I,)</f>
        <v>81.273099999999999</v>
      </c>
      <c r="J33" s="40">
        <f>_xlfn.XLOOKUP($B33,'28'!$B:$B,'28'!J:J,)</f>
        <v>100</v>
      </c>
      <c r="K33" s="629">
        <f>_xlfn.XLOOKUP($B33,'28'!$B:$B,'28'!K:K,)</f>
        <v>-390000</v>
      </c>
      <c r="L33" s="629">
        <f>_xlfn.XLOOKUP($B33,'28'!$B:$B,'28'!L:L,)</f>
        <v>-479863.57109547936</v>
      </c>
      <c r="M33" s="40" t="str">
        <f>_xlfn.XLOOKUP($B33,'28'!$B:$B,'28'!M:M,)</f>
        <v>WTP</v>
      </c>
      <c r="N33" s="326">
        <f>_xlfn.XLOOKUP($B33,'28'!$B:$B,'28'!N:N,)</f>
        <v>2.3333333333333335</v>
      </c>
      <c r="O33" s="40" t="str">
        <f>_xlfn.XLOOKUP($B33,'28'!$B:$B,'28'!O:O,)</f>
        <v>Only if Collaborative Customer Research value not suitable</v>
      </c>
      <c r="P33" s="40" t="str">
        <f>_xlfn.XLOOKUP($B33,'28'!$B:$B,'28'!P:P,)</f>
        <v>Captures WTP views of only one water company</v>
      </c>
      <c r="Q33" s="40">
        <f>_xlfn.XLOOKUP($B33,'28'!$B:$B,'28'!Q:Q,)</f>
        <v>136</v>
      </c>
      <c r="R33" s="40" t="str">
        <f>_xlfn.XLOOKUP($B33,'28'!$B:$B,'28'!R:R,)</f>
        <v>UU (2018) Customer research triangulation report</v>
      </c>
      <c r="S33" s="40" t="str">
        <f>_xlfn.XLOOKUP($B33,'28'!$B:$B,'28'!S:S,)</f>
        <v>/</v>
      </c>
      <c r="T33" s="40">
        <f>_xlfn.XLOOKUP($B33,'28'!$B:$B,'28'!T:T,)</f>
        <v>2018</v>
      </c>
      <c r="U33" s="40" t="str">
        <f>_xlfn.XLOOKUP($B33,'28'!$B:$B,'28'!U:U,)</f>
        <v>England</v>
      </c>
      <c r="V33" s="40" t="str">
        <f>_xlfn.XLOOKUP($B33,'28'!$B:$B,'28'!V:V,)</f>
        <v>UU region</v>
      </c>
      <c r="W33" s="40" t="str">
        <f>_xlfn.XLOOKUP($B33,'28'!$B:$B,'28'!W:W,)</f>
        <v>Unknown</v>
      </c>
    </row>
    <row r="34" spans="2:23">
      <c r="B34" s="39" t="s">
        <v>2044</v>
      </c>
      <c r="C34" s="40" t="str">
        <f>_xlfn.XLOOKUP($B34,'28'!$B:$B,'28'!C:C,)</f>
        <v>Bathing water quality</v>
      </c>
      <c r="D34" s="40" t="str">
        <f>_xlfn.XLOOKUP($B34,'28'!$B:$B,'28'!D:D,)</f>
        <v>Bathing water quality (good to excellent)</v>
      </c>
      <c r="E34" s="40" t="str">
        <f>_xlfn.XLOOKUP($B34,'28'!$B:$B,'28'!E:E,)</f>
        <v>Local economy</v>
      </c>
      <c r="F34" s="40">
        <f>_xlfn.XLOOKUP($B34,'28'!$B:$B,'28'!F:F,)</f>
        <v>2018</v>
      </c>
      <c r="G34" s="40">
        <f>_xlfn.XLOOKUP($B34,'28'!$B:$B,'28'!G:G,)</f>
        <v>2017</v>
      </c>
      <c r="H34" s="40">
        <f>_xlfn.XLOOKUP($B34,'28'!$B:$B,'28'!H:H,)</f>
        <v>2023</v>
      </c>
      <c r="I34" s="40">
        <f>_xlfn.XLOOKUP($B34,'28'!$B:$B,'28'!I:I,)</f>
        <v>81.273099999999999</v>
      </c>
      <c r="J34" s="40">
        <f>_xlfn.XLOOKUP($B34,'28'!$B:$B,'28'!J:J,)</f>
        <v>100</v>
      </c>
      <c r="K34" s="629">
        <f>_xlfn.XLOOKUP($B34,'28'!$B:$B,'28'!K:K,)</f>
        <v>-457000</v>
      </c>
      <c r="L34" s="629">
        <f>_xlfn.XLOOKUP($B34,'28'!$B:$B,'28'!L:L,)</f>
        <v>-562301.6717708566</v>
      </c>
      <c r="M34" s="40" t="str">
        <f>_xlfn.XLOOKUP($B34,'28'!$B:$B,'28'!M:M,)</f>
        <v>WTP</v>
      </c>
      <c r="N34" s="326">
        <f>_xlfn.XLOOKUP($B34,'28'!$B:$B,'28'!N:N,)</f>
        <v>2.3333333333333335</v>
      </c>
      <c r="O34" s="40" t="str">
        <f>_xlfn.XLOOKUP($B34,'28'!$B:$B,'28'!O:O,)</f>
        <v>Only if Collaborative Customer Research value not suitable</v>
      </c>
      <c r="P34" s="40" t="str">
        <f>_xlfn.XLOOKUP($B34,'28'!$B:$B,'28'!P:P,)</f>
        <v>Captures WTP views of only one water company</v>
      </c>
      <c r="Q34" s="40">
        <f>_xlfn.XLOOKUP($B34,'28'!$B:$B,'28'!Q:Q,)</f>
        <v>136</v>
      </c>
      <c r="R34" s="40" t="str">
        <f>_xlfn.XLOOKUP($B34,'28'!$B:$B,'28'!R:R,)</f>
        <v>UU (2018) Customer research triangulation report</v>
      </c>
      <c r="S34" s="40" t="str">
        <f>_xlfn.XLOOKUP($B34,'28'!$B:$B,'28'!S:S,)</f>
        <v>/</v>
      </c>
      <c r="T34" s="40">
        <f>_xlfn.XLOOKUP($B34,'28'!$B:$B,'28'!T:T,)</f>
        <v>2018</v>
      </c>
      <c r="U34" s="40" t="str">
        <f>_xlfn.XLOOKUP($B34,'28'!$B:$B,'28'!U:U,)</f>
        <v>England</v>
      </c>
      <c r="V34" s="40" t="str">
        <f>_xlfn.XLOOKUP($B34,'28'!$B:$B,'28'!V:V,)</f>
        <v>UU region</v>
      </c>
      <c r="W34" s="40" t="str">
        <f>_xlfn.XLOOKUP($B34,'28'!$B:$B,'28'!W:W,)</f>
        <v>Unknown</v>
      </c>
    </row>
    <row r="35" spans="2:23">
      <c r="B35" s="39" t="s">
        <v>2045</v>
      </c>
      <c r="C35" s="40" t="str">
        <f>_xlfn.XLOOKUP($B35,'28'!$B:$B,'28'!C:C,)</f>
        <v>Bathing water quality</v>
      </c>
      <c r="D35" s="40" t="str">
        <f>_xlfn.XLOOKUP($B35,'28'!$B:$B,'28'!D:D,)</f>
        <v>In class benefit on bathing water quality</v>
      </c>
      <c r="E35" s="40" t="str">
        <f>_xlfn.XLOOKUP($B35,'28'!$B:$B,'28'!E:E,)</f>
        <v>Quality of place</v>
      </c>
      <c r="F35" s="40">
        <f>_xlfn.XLOOKUP($B35,'28'!$B:$B,'28'!F:F,)</f>
        <v>2018</v>
      </c>
      <c r="G35" s="40">
        <f>_xlfn.XLOOKUP($B35,'28'!$B:$B,'28'!G:G,)</f>
        <v>2018</v>
      </c>
      <c r="H35" s="40">
        <f>_xlfn.XLOOKUP($B35,'28'!$B:$B,'28'!H:H,)</f>
        <v>2023</v>
      </c>
      <c r="I35" s="40">
        <f>_xlfn.XLOOKUP($B35,'28'!$B:$B,'28'!I:I,)</f>
        <v>82.835999999999999</v>
      </c>
      <c r="J35" s="40">
        <f>_xlfn.XLOOKUP($B35,'28'!$B:$B,'28'!J:J,)</f>
        <v>100</v>
      </c>
      <c r="K35" s="629">
        <f>_xlfn.XLOOKUP($B35,'28'!$B:$B,'28'!K:K,)</f>
        <v>-243710.59786160884</v>
      </c>
      <c r="L35" s="629">
        <f>_xlfn.XLOOKUP($B35,'28'!$B:$B,'28'!L:L,)</f>
        <v>-294208.55408470816</v>
      </c>
      <c r="M35" s="40" t="str">
        <f>_xlfn.XLOOKUP($B35,'28'!$B:$B,'28'!M:M,)</f>
        <v>WTP</v>
      </c>
      <c r="N35" s="326">
        <f>_xlfn.XLOOKUP($B35,'28'!$B:$B,'28'!N:N,)</f>
        <v>2.3333333333333335</v>
      </c>
      <c r="O35" s="40" t="str">
        <f>_xlfn.XLOOKUP($B35,'28'!$B:$B,'28'!O:O,)</f>
        <v>Only if Collaborative Customer Research value not suitable</v>
      </c>
      <c r="P35" s="40" t="str">
        <f>_xlfn.XLOOKUP($B35,'28'!$B:$B,'28'!P:P,)</f>
        <v>Captures WTP views of only one water company</v>
      </c>
      <c r="Q35" s="40">
        <f>_xlfn.XLOOKUP($B35,'28'!$B:$B,'28'!Q:Q,)</f>
        <v>7</v>
      </c>
      <c r="R35" s="40" t="str">
        <f>_xlfn.XLOOKUP($B35,'28'!$B:$B,'28'!R:R,)</f>
        <v>Wessex Water (2018) Appendix 1.1.E - Willingness to pay research 2 - Accent</v>
      </c>
      <c r="S35" s="40" t="str">
        <f>_xlfn.XLOOKUP($B35,'28'!$B:$B,'28'!S:S,)</f>
        <v>/</v>
      </c>
      <c r="T35" s="40">
        <f>_xlfn.XLOOKUP($B35,'28'!$B:$B,'28'!T:T,)</f>
        <v>2018</v>
      </c>
      <c r="U35" s="40" t="str">
        <f>_xlfn.XLOOKUP($B35,'28'!$B:$B,'28'!U:U,)</f>
        <v>England</v>
      </c>
      <c r="V35" s="40" t="str">
        <f>_xlfn.XLOOKUP($B35,'28'!$B:$B,'28'!V:V,)</f>
        <v>Wessex</v>
      </c>
      <c r="W35" s="40">
        <f>_xlfn.XLOOKUP($B35,'28'!$B:$B,'28'!W:W,)</f>
        <v>511</v>
      </c>
    </row>
    <row r="36" spans="2:23">
      <c r="B36" s="39" t="s">
        <v>2046</v>
      </c>
      <c r="C36" s="40" t="str">
        <f>_xlfn.XLOOKUP($B36,'28'!$B:$B,'28'!C:C,)</f>
        <v>Bathing water quality</v>
      </c>
      <c r="D36" s="40" t="str">
        <f>_xlfn.XLOOKUP($B36,'28'!$B:$B,'28'!D:D,)</f>
        <v>Bathing water quality (poor to sufficient)</v>
      </c>
      <c r="E36" s="40" t="str">
        <f>_xlfn.XLOOKUP($B36,'28'!$B:$B,'28'!E:E,)</f>
        <v>Quality of place</v>
      </c>
      <c r="F36" s="40">
        <f>_xlfn.XLOOKUP($B36,'28'!$B:$B,'28'!F:F,)</f>
        <v>2018</v>
      </c>
      <c r="G36" s="40">
        <f>_xlfn.XLOOKUP($B36,'28'!$B:$B,'28'!G:G,)</f>
        <v>2018</v>
      </c>
      <c r="H36" s="40">
        <f>_xlfn.XLOOKUP($B36,'28'!$B:$B,'28'!H:H,)</f>
        <v>2023</v>
      </c>
      <c r="I36" s="40">
        <f>_xlfn.XLOOKUP($B36,'28'!$B:$B,'28'!I:I,)</f>
        <v>82.835999999999999</v>
      </c>
      <c r="J36" s="40">
        <f>_xlfn.XLOOKUP($B36,'28'!$B:$B,'28'!J:J,)</f>
        <v>100</v>
      </c>
      <c r="K36" s="629">
        <f>_xlfn.XLOOKUP($B36,'28'!$B:$B,'28'!K:K,)</f>
        <v>-1353947.7658978272</v>
      </c>
      <c r="L36" s="629">
        <f>_xlfn.XLOOKUP($B36,'28'!$B:$B,'28'!L:L,)</f>
        <v>-1634491.9671372678</v>
      </c>
      <c r="M36" s="40" t="str">
        <f>_xlfn.XLOOKUP($B36,'28'!$B:$B,'28'!M:M,)</f>
        <v>WTP</v>
      </c>
      <c r="N36" s="326">
        <f>_xlfn.XLOOKUP($B36,'28'!$B:$B,'28'!N:N,)</f>
        <v>2.3333333333333335</v>
      </c>
      <c r="O36" s="40" t="str">
        <f>_xlfn.XLOOKUP($B36,'28'!$B:$B,'28'!O:O,)</f>
        <v>Only if Collaborative Customer Research value not suitable</v>
      </c>
      <c r="P36" s="40" t="str">
        <f>_xlfn.XLOOKUP($B36,'28'!$B:$B,'28'!P:P,)</f>
        <v>Captures WTP views of only one water company</v>
      </c>
      <c r="Q36" s="40">
        <f>_xlfn.XLOOKUP($B36,'28'!$B:$B,'28'!Q:Q,)</f>
        <v>7</v>
      </c>
      <c r="R36" s="40" t="str">
        <f>_xlfn.XLOOKUP($B36,'28'!$B:$B,'28'!R:R,)</f>
        <v>Wessex Water (2018) Appendix 1.1.E - Willingness to pay research 2 - Accent</v>
      </c>
      <c r="S36" s="40" t="str">
        <f>_xlfn.XLOOKUP($B36,'28'!$B:$B,'28'!S:S,)</f>
        <v>/</v>
      </c>
      <c r="T36" s="40">
        <f>_xlfn.XLOOKUP($B36,'28'!$B:$B,'28'!T:T,)</f>
        <v>2018</v>
      </c>
      <c r="U36" s="40" t="str">
        <f>_xlfn.XLOOKUP($B36,'28'!$B:$B,'28'!U:U,)</f>
        <v>England</v>
      </c>
      <c r="V36" s="40" t="str">
        <f>_xlfn.XLOOKUP($B36,'28'!$B:$B,'28'!V:V,)</f>
        <v>Wessex</v>
      </c>
      <c r="W36" s="40">
        <f>_xlfn.XLOOKUP($B36,'28'!$B:$B,'28'!W:W,)</f>
        <v>511</v>
      </c>
    </row>
    <row r="37" spans="2:23">
      <c r="B37" s="39" t="s">
        <v>2047</v>
      </c>
      <c r="C37" s="40" t="str">
        <f>_xlfn.XLOOKUP($B37,'28'!$B:$B,'28'!C:C,)</f>
        <v>Bathing water quality</v>
      </c>
      <c r="D37" s="40" t="str">
        <f>_xlfn.XLOOKUP($B37,'28'!$B:$B,'28'!D:D,)</f>
        <v>Bathing water quality (sufficient to good)</v>
      </c>
      <c r="E37" s="40" t="str">
        <f>_xlfn.XLOOKUP($B37,'28'!$B:$B,'28'!E:E,)</f>
        <v>Quality of place</v>
      </c>
      <c r="F37" s="40">
        <f>_xlfn.XLOOKUP($B37,'28'!$B:$B,'28'!F:F,)</f>
        <v>2018</v>
      </c>
      <c r="G37" s="40">
        <f>_xlfn.XLOOKUP($B37,'28'!$B:$B,'28'!G:G,)</f>
        <v>2018</v>
      </c>
      <c r="H37" s="40">
        <f>_xlfn.XLOOKUP($B37,'28'!$B:$B,'28'!H:H,)</f>
        <v>2023</v>
      </c>
      <c r="I37" s="40">
        <f>_xlfn.XLOOKUP($B37,'28'!$B:$B,'28'!I:I,)</f>
        <v>82.835999999999999</v>
      </c>
      <c r="J37" s="40">
        <f>_xlfn.XLOOKUP($B37,'28'!$B:$B,'28'!J:J,)</f>
        <v>100</v>
      </c>
      <c r="K37" s="629">
        <f>_xlfn.XLOOKUP($B37,'28'!$B:$B,'28'!K:K,)</f>
        <v>-1570579.4084414796</v>
      </c>
      <c r="L37" s="629">
        <f>_xlfn.XLOOKUP($B37,'28'!$B:$B,'28'!L:L,)</f>
        <v>-1896010.6818792308</v>
      </c>
      <c r="M37" s="40" t="str">
        <f>_xlfn.XLOOKUP($B37,'28'!$B:$B,'28'!M:M,)</f>
        <v>WTP</v>
      </c>
      <c r="N37" s="326">
        <f>_xlfn.XLOOKUP($B37,'28'!$B:$B,'28'!N:N,)</f>
        <v>2.3333333333333335</v>
      </c>
      <c r="O37" s="40" t="str">
        <f>_xlfn.XLOOKUP($B37,'28'!$B:$B,'28'!O:O,)</f>
        <v>Only if Collaborative Customer Research value not suitable</v>
      </c>
      <c r="P37" s="40" t="str">
        <f>_xlfn.XLOOKUP($B37,'28'!$B:$B,'28'!P:P,)</f>
        <v>Captures WTP views of only one water company</v>
      </c>
      <c r="Q37" s="40">
        <f>_xlfn.XLOOKUP($B37,'28'!$B:$B,'28'!Q:Q,)</f>
        <v>7</v>
      </c>
      <c r="R37" s="40" t="str">
        <f>_xlfn.XLOOKUP($B37,'28'!$B:$B,'28'!R:R,)</f>
        <v>Wessex Water (2018) Appendix 1.1.E - Willingness to pay research 2 - Accent</v>
      </c>
      <c r="S37" s="40" t="str">
        <f>_xlfn.XLOOKUP($B37,'28'!$B:$B,'28'!S:S,)</f>
        <v>/</v>
      </c>
      <c r="T37" s="40">
        <f>_xlfn.XLOOKUP($B37,'28'!$B:$B,'28'!T:T,)</f>
        <v>2018</v>
      </c>
      <c r="U37" s="40" t="str">
        <f>_xlfn.XLOOKUP($B37,'28'!$B:$B,'28'!U:U,)</f>
        <v>England</v>
      </c>
      <c r="V37" s="40" t="str">
        <f>_xlfn.XLOOKUP($B37,'28'!$B:$B,'28'!V:V,)</f>
        <v>Wessex</v>
      </c>
      <c r="W37" s="40">
        <f>_xlfn.XLOOKUP($B37,'28'!$B:$B,'28'!W:W,)</f>
        <v>511</v>
      </c>
    </row>
    <row r="38" spans="2:23">
      <c r="B38" s="39" t="s">
        <v>2048</v>
      </c>
      <c r="C38" s="40" t="str">
        <f>_xlfn.XLOOKUP($B38,'28'!$B:$B,'28'!C:C,)</f>
        <v>Bathing water quality</v>
      </c>
      <c r="D38" s="40" t="str">
        <f>_xlfn.XLOOKUP($B38,'28'!$B:$B,'28'!D:D,)</f>
        <v>Bathing water quality (good to excellent)</v>
      </c>
      <c r="E38" s="40" t="str">
        <f>_xlfn.XLOOKUP($B38,'28'!$B:$B,'28'!E:E,)</f>
        <v>Quality of place</v>
      </c>
      <c r="F38" s="40">
        <f>_xlfn.XLOOKUP($B38,'28'!$B:$B,'28'!F:F,)</f>
        <v>2018</v>
      </c>
      <c r="G38" s="40">
        <f>_xlfn.XLOOKUP($B38,'28'!$B:$B,'28'!G:G,)</f>
        <v>2018</v>
      </c>
      <c r="H38" s="40">
        <f>_xlfn.XLOOKUP($B38,'28'!$B:$B,'28'!H:H,)</f>
        <v>2023</v>
      </c>
      <c r="I38" s="40">
        <f>_xlfn.XLOOKUP($B38,'28'!$B:$B,'28'!I:I,)</f>
        <v>82.835999999999999</v>
      </c>
      <c r="J38" s="40">
        <f>_xlfn.XLOOKUP($B38,'28'!$B:$B,'28'!J:J,)</f>
        <v>100</v>
      </c>
      <c r="K38" s="629">
        <f>_xlfn.XLOOKUP($B38,'28'!$B:$B,'28'!K:K,)</f>
        <v>-1841368.9616210449</v>
      </c>
      <c r="L38" s="629">
        <f>_xlfn.XLOOKUP($B38,'28'!$B:$B,'28'!L:L,)</f>
        <v>-2222909.0753066842</v>
      </c>
      <c r="M38" s="40" t="str">
        <f>_xlfn.XLOOKUP($B38,'28'!$B:$B,'28'!M:M,)</f>
        <v>WTP</v>
      </c>
      <c r="N38" s="326">
        <f>_xlfn.XLOOKUP($B38,'28'!$B:$B,'28'!N:N,)</f>
        <v>2.3333333333333335</v>
      </c>
      <c r="O38" s="40" t="str">
        <f>_xlfn.XLOOKUP($B38,'28'!$B:$B,'28'!O:O,)</f>
        <v>Only if Collaborative Customer Research value not suitable</v>
      </c>
      <c r="P38" s="40" t="str">
        <f>_xlfn.XLOOKUP($B38,'28'!$B:$B,'28'!P:P,)</f>
        <v>Captures WTP views of only one water company</v>
      </c>
      <c r="Q38" s="40">
        <f>_xlfn.XLOOKUP($B38,'28'!$B:$B,'28'!Q:Q,)</f>
        <v>7</v>
      </c>
      <c r="R38" s="40" t="str">
        <f>_xlfn.XLOOKUP($B38,'28'!$B:$B,'28'!R:R,)</f>
        <v>Wessex Water (2018) Appendix 1.1.E - Willingness to pay research 2 - Accent</v>
      </c>
      <c r="S38" s="40" t="str">
        <f>_xlfn.XLOOKUP($B38,'28'!$B:$B,'28'!S:S,)</f>
        <v>/</v>
      </c>
      <c r="T38" s="40">
        <f>_xlfn.XLOOKUP($B38,'28'!$B:$B,'28'!T:T,)</f>
        <v>2018</v>
      </c>
      <c r="U38" s="40" t="str">
        <f>_xlfn.XLOOKUP($B38,'28'!$B:$B,'28'!U:U,)</f>
        <v>England</v>
      </c>
      <c r="V38" s="40" t="str">
        <f>_xlfn.XLOOKUP($B38,'28'!$B:$B,'28'!V:V,)</f>
        <v>Wessex</v>
      </c>
      <c r="W38" s="40">
        <f>_xlfn.XLOOKUP($B38,'28'!$B:$B,'28'!W:W,)</f>
        <v>511</v>
      </c>
    </row>
    <row r="39" spans="2:23">
      <c r="B39" s="39" t="s">
        <v>2049</v>
      </c>
      <c r="C39" s="40" t="str">
        <f>_xlfn.XLOOKUP($B39,'28'!$B:$B,'28'!C:C,)</f>
        <v>Bathing water quality</v>
      </c>
      <c r="D39" s="40" t="str">
        <f>_xlfn.XLOOKUP($B39,'28'!$B:$B,'28'!D:D,)</f>
        <v>In class benefit on bathing water quality</v>
      </c>
      <c r="E39" s="40" t="str">
        <f>_xlfn.XLOOKUP($B39,'28'!$B:$B,'28'!E:E,)</f>
        <v>Local economy</v>
      </c>
      <c r="F39" s="40">
        <f>_xlfn.XLOOKUP($B39,'28'!$B:$B,'28'!F:F,)</f>
        <v>2018</v>
      </c>
      <c r="G39" s="40">
        <f>_xlfn.XLOOKUP($B39,'28'!$B:$B,'28'!G:G,)</f>
        <v>2018</v>
      </c>
      <c r="H39" s="40">
        <f>_xlfn.XLOOKUP($B39,'28'!$B:$B,'28'!H:H,)</f>
        <v>2023</v>
      </c>
      <c r="I39" s="40">
        <f>_xlfn.XLOOKUP($B39,'28'!$B:$B,'28'!I:I,)</f>
        <v>82.835999999999999</v>
      </c>
      <c r="J39" s="40">
        <f>_xlfn.XLOOKUP($B39,'28'!$B:$B,'28'!J:J,)</f>
        <v>100</v>
      </c>
      <c r="K39" s="629">
        <f>_xlfn.XLOOKUP($B39,'28'!$B:$B,'28'!K:K,)</f>
        <v>-12429.567579567563</v>
      </c>
      <c r="L39" s="629">
        <f>_xlfn.XLOOKUP($B39,'28'!$B:$B,'28'!L:L,)</f>
        <v>-15005.031121212472</v>
      </c>
      <c r="M39" s="40" t="str">
        <f>_xlfn.XLOOKUP($B39,'28'!$B:$B,'28'!M:M,)</f>
        <v>WTP</v>
      </c>
      <c r="N39" s="326">
        <f>_xlfn.XLOOKUP($B39,'28'!$B:$B,'28'!N:N,)</f>
        <v>2.3333333333333335</v>
      </c>
      <c r="O39" s="40" t="str">
        <f>_xlfn.XLOOKUP($B39,'28'!$B:$B,'28'!O:O,)</f>
        <v>Only if Collaborative Customer Research value not suitable</v>
      </c>
      <c r="P39" s="40" t="str">
        <f>_xlfn.XLOOKUP($B39,'28'!$B:$B,'28'!P:P,)</f>
        <v>Captures WTP views of only one water company</v>
      </c>
      <c r="Q39" s="40">
        <f>_xlfn.XLOOKUP($B39,'28'!$B:$B,'28'!Q:Q,)</f>
        <v>7</v>
      </c>
      <c r="R39" s="40" t="str">
        <f>_xlfn.XLOOKUP($B39,'28'!$B:$B,'28'!R:R,)</f>
        <v>Wessex Water (2018) Appendix 1.1.E - Willingness to pay research 2 - Accent</v>
      </c>
      <c r="S39" s="40" t="str">
        <f>_xlfn.XLOOKUP($B39,'28'!$B:$B,'28'!S:S,)</f>
        <v>/</v>
      </c>
      <c r="T39" s="40">
        <f>_xlfn.XLOOKUP($B39,'28'!$B:$B,'28'!T:T,)</f>
        <v>2018</v>
      </c>
      <c r="U39" s="40" t="str">
        <f>_xlfn.XLOOKUP($B39,'28'!$B:$B,'28'!U:U,)</f>
        <v>England</v>
      </c>
      <c r="V39" s="40" t="str">
        <f>_xlfn.XLOOKUP($B39,'28'!$B:$B,'28'!V:V,)</f>
        <v>Wessex</v>
      </c>
      <c r="W39" s="40">
        <f>_xlfn.XLOOKUP($B39,'28'!$B:$B,'28'!W:W,)</f>
        <v>511</v>
      </c>
    </row>
    <row r="40" spans="2:23">
      <c r="B40" s="39" t="s">
        <v>2050</v>
      </c>
      <c r="C40" s="40" t="str">
        <f>_xlfn.XLOOKUP($B40,'28'!$B:$B,'28'!C:C,)</f>
        <v>Bathing water quality</v>
      </c>
      <c r="D40" s="40" t="str">
        <f>_xlfn.XLOOKUP($B40,'28'!$B:$B,'28'!D:D,)</f>
        <v>Bathing water quality (poor to sufficient)</v>
      </c>
      <c r="E40" s="40" t="str">
        <f>_xlfn.XLOOKUP($B40,'28'!$B:$B,'28'!E:E,)</f>
        <v>Local economy</v>
      </c>
      <c r="F40" s="40">
        <f>_xlfn.XLOOKUP($B40,'28'!$B:$B,'28'!F:F,)</f>
        <v>2018</v>
      </c>
      <c r="G40" s="40">
        <f>_xlfn.XLOOKUP($B40,'28'!$B:$B,'28'!G:G,)</f>
        <v>2018</v>
      </c>
      <c r="H40" s="40">
        <f>_xlfn.XLOOKUP($B40,'28'!$B:$B,'28'!H:H,)</f>
        <v>2023</v>
      </c>
      <c r="I40" s="40">
        <f>_xlfn.XLOOKUP($B40,'28'!$B:$B,'28'!I:I,)</f>
        <v>82.835999999999999</v>
      </c>
      <c r="J40" s="40">
        <f>_xlfn.XLOOKUP($B40,'28'!$B:$B,'28'!J:J,)</f>
        <v>100</v>
      </c>
      <c r="K40" s="629">
        <f>_xlfn.XLOOKUP($B40,'28'!$B:$B,'28'!K:K,)</f>
        <v>-69053.153219819869</v>
      </c>
      <c r="L40" s="629">
        <f>_xlfn.XLOOKUP($B40,'28'!$B:$B,'28'!L:L,)</f>
        <v>-83361.284006736038</v>
      </c>
      <c r="M40" s="40" t="str">
        <f>_xlfn.XLOOKUP($B40,'28'!$B:$B,'28'!M:M,)</f>
        <v>WTP</v>
      </c>
      <c r="N40" s="326">
        <f>_xlfn.XLOOKUP($B40,'28'!$B:$B,'28'!N:N,)</f>
        <v>2.3333333333333335</v>
      </c>
      <c r="O40" s="40" t="str">
        <f>_xlfn.XLOOKUP($B40,'28'!$B:$B,'28'!O:O,)</f>
        <v>Only if Collaborative Customer Research value not suitable</v>
      </c>
      <c r="P40" s="40" t="str">
        <f>_xlfn.XLOOKUP($B40,'28'!$B:$B,'28'!P:P,)</f>
        <v>Captures WTP views of only one water company</v>
      </c>
      <c r="Q40" s="40">
        <f>_xlfn.XLOOKUP($B40,'28'!$B:$B,'28'!Q:Q,)</f>
        <v>7</v>
      </c>
      <c r="R40" s="40" t="str">
        <f>_xlfn.XLOOKUP($B40,'28'!$B:$B,'28'!R:R,)</f>
        <v>Wessex Water (2018) Appendix 1.1.E - Willingness to pay research 2 - Accent</v>
      </c>
      <c r="S40" s="40" t="str">
        <f>_xlfn.XLOOKUP($B40,'28'!$B:$B,'28'!S:S,)</f>
        <v>/</v>
      </c>
      <c r="T40" s="40">
        <f>_xlfn.XLOOKUP($B40,'28'!$B:$B,'28'!T:T,)</f>
        <v>2018</v>
      </c>
      <c r="U40" s="40" t="str">
        <f>_xlfn.XLOOKUP($B40,'28'!$B:$B,'28'!U:U,)</f>
        <v>England</v>
      </c>
      <c r="V40" s="40" t="str">
        <f>_xlfn.XLOOKUP($B40,'28'!$B:$B,'28'!V:V,)</f>
        <v>Wessex</v>
      </c>
      <c r="W40" s="40">
        <f>_xlfn.XLOOKUP($B40,'28'!$B:$B,'28'!W:W,)</f>
        <v>511</v>
      </c>
    </row>
    <row r="41" spans="2:23">
      <c r="B41" s="39" t="s">
        <v>2051</v>
      </c>
      <c r="C41" s="40" t="str">
        <f>_xlfn.XLOOKUP($B41,'28'!$B:$B,'28'!C:C,)</f>
        <v>Bathing water quality</v>
      </c>
      <c r="D41" s="40" t="str">
        <f>_xlfn.XLOOKUP($B41,'28'!$B:$B,'28'!D:D,)</f>
        <v>Bathing water quality (sufficient to good)</v>
      </c>
      <c r="E41" s="40" t="str">
        <f>_xlfn.XLOOKUP($B41,'28'!$B:$B,'28'!E:E,)</f>
        <v>Local economy</v>
      </c>
      <c r="F41" s="40">
        <f>_xlfn.XLOOKUP($B41,'28'!$B:$B,'28'!F:F,)</f>
        <v>2018</v>
      </c>
      <c r="G41" s="40">
        <f>_xlfn.XLOOKUP($B41,'28'!$B:$B,'28'!G:G,)</f>
        <v>2018</v>
      </c>
      <c r="H41" s="40">
        <f>_xlfn.XLOOKUP($B41,'28'!$B:$B,'28'!H:H,)</f>
        <v>2023</v>
      </c>
      <c r="I41" s="40">
        <f>_xlfn.XLOOKUP($B41,'28'!$B:$B,'28'!I:I,)</f>
        <v>82.835999999999999</v>
      </c>
      <c r="J41" s="40">
        <f>_xlfn.XLOOKUP($B41,'28'!$B:$B,'28'!J:J,)</f>
        <v>100</v>
      </c>
      <c r="K41" s="629">
        <f>_xlfn.XLOOKUP($B41,'28'!$B:$B,'28'!K:K,)</f>
        <v>-80101.657734991037</v>
      </c>
      <c r="L41" s="629">
        <f>_xlfn.XLOOKUP($B41,'28'!$B:$B,'28'!L:L,)</f>
        <v>-96699.089447813793</v>
      </c>
      <c r="M41" s="40" t="str">
        <f>_xlfn.XLOOKUP($B41,'28'!$B:$B,'28'!M:M,)</f>
        <v>WTP</v>
      </c>
      <c r="N41" s="326">
        <f>_xlfn.XLOOKUP($B41,'28'!$B:$B,'28'!N:N,)</f>
        <v>2.3333333333333335</v>
      </c>
      <c r="O41" s="40" t="str">
        <f>_xlfn.XLOOKUP($B41,'28'!$B:$B,'28'!O:O,)</f>
        <v>Only if Collaborative Customer Research value not suitable</v>
      </c>
      <c r="P41" s="40" t="str">
        <f>_xlfn.XLOOKUP($B41,'28'!$B:$B,'28'!P:P,)</f>
        <v>Captures WTP views of only one water company</v>
      </c>
      <c r="Q41" s="40">
        <f>_xlfn.XLOOKUP($B41,'28'!$B:$B,'28'!Q:Q,)</f>
        <v>7</v>
      </c>
      <c r="R41" s="40" t="str">
        <f>_xlfn.XLOOKUP($B41,'28'!$B:$B,'28'!R:R,)</f>
        <v>Wessex Water (2018) Appendix 1.1.E - Willingness to pay research 2 - Accent</v>
      </c>
      <c r="S41" s="40" t="str">
        <f>_xlfn.XLOOKUP($B41,'28'!$B:$B,'28'!S:S,)</f>
        <v>/</v>
      </c>
      <c r="T41" s="40">
        <f>_xlfn.XLOOKUP($B41,'28'!$B:$B,'28'!T:T,)</f>
        <v>2018</v>
      </c>
      <c r="U41" s="40" t="str">
        <f>_xlfn.XLOOKUP($B41,'28'!$B:$B,'28'!U:U,)</f>
        <v>England</v>
      </c>
      <c r="V41" s="40" t="str">
        <f>_xlfn.XLOOKUP($B41,'28'!$B:$B,'28'!V:V,)</f>
        <v>Wessex</v>
      </c>
      <c r="W41" s="40">
        <f>_xlfn.XLOOKUP($B41,'28'!$B:$B,'28'!W:W,)</f>
        <v>511</v>
      </c>
    </row>
    <row r="42" spans="2:23">
      <c r="B42" s="39" t="s">
        <v>2052</v>
      </c>
      <c r="C42" s="40" t="str">
        <f>_xlfn.XLOOKUP($B42,'28'!$B:$B,'28'!C:C,)</f>
        <v>Bathing water quality</v>
      </c>
      <c r="D42" s="40" t="str">
        <f>_xlfn.XLOOKUP($B42,'28'!$B:$B,'28'!D:D,)</f>
        <v>Bathing water quality (good to excellent)</v>
      </c>
      <c r="E42" s="40" t="str">
        <f>_xlfn.XLOOKUP($B42,'28'!$B:$B,'28'!E:E,)</f>
        <v>Local economy</v>
      </c>
      <c r="F42" s="40">
        <f>_xlfn.XLOOKUP($B42,'28'!$B:$B,'28'!F:F,)</f>
        <v>2018</v>
      </c>
      <c r="G42" s="40">
        <f>_xlfn.XLOOKUP($B42,'28'!$B:$B,'28'!G:G,)</f>
        <v>2018</v>
      </c>
      <c r="H42" s="40">
        <f>_xlfn.XLOOKUP($B42,'28'!$B:$B,'28'!H:H,)</f>
        <v>2023</v>
      </c>
      <c r="I42" s="40">
        <f>_xlfn.XLOOKUP($B42,'28'!$B:$B,'28'!I:I,)</f>
        <v>82.835999999999999</v>
      </c>
      <c r="J42" s="40">
        <f>_xlfn.XLOOKUP($B42,'28'!$B:$B,'28'!J:J,)</f>
        <v>100</v>
      </c>
      <c r="K42" s="629">
        <f>_xlfn.XLOOKUP($B42,'28'!$B:$B,'28'!K:K,)</f>
        <v>-93912.288378954996</v>
      </c>
      <c r="L42" s="629">
        <f>_xlfn.XLOOKUP($B42,'28'!$B:$B,'28'!L:L,)</f>
        <v>-113371.34624916098</v>
      </c>
      <c r="M42" s="40" t="str">
        <f>_xlfn.XLOOKUP($B42,'28'!$B:$B,'28'!M:M,)</f>
        <v>WTP</v>
      </c>
      <c r="N42" s="326">
        <f>_xlfn.XLOOKUP($B42,'28'!$B:$B,'28'!N:N,)</f>
        <v>2.3333333333333335</v>
      </c>
      <c r="O42" s="40" t="str">
        <f>_xlfn.XLOOKUP($B42,'28'!$B:$B,'28'!O:O,)</f>
        <v>Only if Collaborative Customer Research value not suitable</v>
      </c>
      <c r="P42" s="40" t="str">
        <f>_xlfn.XLOOKUP($B42,'28'!$B:$B,'28'!P:P,)</f>
        <v>Captures WTP views of only one water company</v>
      </c>
      <c r="Q42" s="40">
        <f>_xlfn.XLOOKUP($B42,'28'!$B:$B,'28'!Q:Q,)</f>
        <v>7</v>
      </c>
      <c r="R42" s="40" t="str">
        <f>_xlfn.XLOOKUP($B42,'28'!$B:$B,'28'!R:R,)</f>
        <v>Wessex Water (2018) Appendix 1.1.E - Willingness to pay research 2 - Accent</v>
      </c>
      <c r="S42" s="40" t="str">
        <f>_xlfn.XLOOKUP($B42,'28'!$B:$B,'28'!S:S,)</f>
        <v>/</v>
      </c>
      <c r="T42" s="40">
        <f>_xlfn.XLOOKUP($B42,'28'!$B:$B,'28'!T:T,)</f>
        <v>2018</v>
      </c>
      <c r="U42" s="40" t="str">
        <f>_xlfn.XLOOKUP($B42,'28'!$B:$B,'28'!U:U,)</f>
        <v>England</v>
      </c>
      <c r="V42" s="40" t="str">
        <f>_xlfn.XLOOKUP($B42,'28'!$B:$B,'28'!V:V,)</f>
        <v>Wessex</v>
      </c>
      <c r="W42" s="40">
        <f>_xlfn.XLOOKUP($B42,'28'!$B:$B,'28'!W:W,)</f>
        <v>511</v>
      </c>
    </row>
    <row r="43" spans="2:23">
      <c r="B43" s="39" t="s">
        <v>2053</v>
      </c>
      <c r="C43" s="40" t="str">
        <f>_xlfn.XLOOKUP($B43,'28'!$B:$B,'28'!C:C,)</f>
        <v>Bathing water quality</v>
      </c>
      <c r="D43" s="40" t="str">
        <f>_xlfn.XLOOKUP($B43,'28'!$B:$B,'28'!D:D,)</f>
        <v>In class benefit on bathing water quality</v>
      </c>
      <c r="E43" s="40" t="str">
        <f>_xlfn.XLOOKUP($B43,'28'!$B:$B,'28'!E:E,)</f>
        <v>Quality of place</v>
      </c>
      <c r="F43" s="40">
        <f>_xlfn.XLOOKUP($B43,'28'!$B:$B,'28'!F:F,)</f>
        <v>2018</v>
      </c>
      <c r="G43" s="40">
        <f>_xlfn.XLOOKUP($B43,'28'!$B:$B,'28'!G:G,)</f>
        <v>2017</v>
      </c>
      <c r="H43" s="40">
        <f>_xlfn.XLOOKUP($B43,'28'!$B:$B,'28'!H:H,)</f>
        <v>2023</v>
      </c>
      <c r="I43" s="40">
        <f>_xlfn.XLOOKUP($B43,'28'!$B:$B,'28'!I:I,)</f>
        <v>81.273099999999999</v>
      </c>
      <c r="J43" s="40">
        <f>_xlfn.XLOOKUP($B43,'28'!$B:$B,'28'!J:J,)</f>
        <v>100</v>
      </c>
      <c r="K43" s="629">
        <f>_xlfn.XLOOKUP($B43,'28'!$B:$B,'28'!K:K,)</f>
        <v>-1309242</v>
      </c>
      <c r="L43" s="629">
        <f>_xlfn.XLOOKUP($B43,'28'!$B:$B,'28'!L:L,)</f>
        <v>-1610916.773200481</v>
      </c>
      <c r="M43" s="40" t="str">
        <f>_xlfn.XLOOKUP($B43,'28'!$B:$B,'28'!M:M,)</f>
        <v>WTP</v>
      </c>
      <c r="N43" s="326">
        <f>_xlfn.XLOOKUP($B43,'28'!$B:$B,'28'!N:N,)</f>
        <v>2.1666666666666665</v>
      </c>
      <c r="O43" s="40" t="str">
        <f>_xlfn.XLOOKUP($B43,'28'!$B:$B,'28'!O:O,)</f>
        <v>Only if Collaborative Customer Research value not suitable</v>
      </c>
      <c r="P43" s="40" t="str">
        <f>_xlfn.XLOOKUP($B43,'28'!$B:$B,'28'!P:P,)</f>
        <v>Captures WTP views of only one water company</v>
      </c>
      <c r="Q43" s="40">
        <f>_xlfn.XLOOKUP($B43,'28'!$B:$B,'28'!Q:Q,)</f>
        <v>9</v>
      </c>
      <c r="R43" s="40" t="str">
        <f>_xlfn.XLOOKUP($B43,'28'!$B:$B,'28'!R:R,)</f>
        <v>Anglian Water (2018) 12H Valuation Completion report</v>
      </c>
      <c r="S43" s="40" t="str">
        <f>_xlfn.XLOOKUP($B43,'28'!$B:$B,'28'!S:S,)</f>
        <v>/</v>
      </c>
      <c r="T43" s="40">
        <f>_xlfn.XLOOKUP($B43,'28'!$B:$B,'28'!T:T,)</f>
        <v>2018</v>
      </c>
      <c r="U43" s="40" t="str">
        <f>_xlfn.XLOOKUP($B43,'28'!$B:$B,'28'!U:U,)</f>
        <v>England</v>
      </c>
      <c r="V43" s="40" t="str">
        <f>_xlfn.XLOOKUP($B43,'28'!$B:$B,'28'!V:V,)</f>
        <v>East Anglia</v>
      </c>
      <c r="W43" s="40">
        <f>_xlfn.XLOOKUP($B43,'28'!$B:$B,'28'!W:W,)</f>
        <v>505</v>
      </c>
    </row>
    <row r="44" spans="2:23">
      <c r="B44" s="39" t="s">
        <v>2054</v>
      </c>
      <c r="C44" s="40" t="str">
        <f>_xlfn.XLOOKUP($B44,'28'!$B:$B,'28'!C:C,)</f>
        <v>Bathing water quality</v>
      </c>
      <c r="D44" s="40" t="str">
        <f>_xlfn.XLOOKUP($B44,'28'!$B:$B,'28'!D:D,)</f>
        <v>Bathing water quality (poor to sufficient)</v>
      </c>
      <c r="E44" s="40" t="str">
        <f>_xlfn.XLOOKUP($B44,'28'!$B:$B,'28'!E:E,)</f>
        <v>Quality of place</v>
      </c>
      <c r="F44" s="40">
        <f>_xlfn.XLOOKUP($B44,'28'!$B:$B,'28'!F:F,)</f>
        <v>2018</v>
      </c>
      <c r="G44" s="40">
        <f>_xlfn.XLOOKUP($B44,'28'!$B:$B,'28'!G:G,)</f>
        <v>2017</v>
      </c>
      <c r="H44" s="40">
        <f>_xlfn.XLOOKUP($B44,'28'!$B:$B,'28'!H:H,)</f>
        <v>2023</v>
      </c>
      <c r="I44" s="40">
        <f>_xlfn.XLOOKUP($B44,'28'!$B:$B,'28'!I:I,)</f>
        <v>81.273099999999999</v>
      </c>
      <c r="J44" s="40">
        <f>_xlfn.XLOOKUP($B44,'28'!$B:$B,'28'!J:J,)</f>
        <v>100</v>
      </c>
      <c r="K44" s="629">
        <f>_xlfn.XLOOKUP($B44,'28'!$B:$B,'28'!K:K,)</f>
        <v>-2546745</v>
      </c>
      <c r="L44" s="629">
        <f>_xlfn.XLOOKUP($B44,'28'!$B:$B,'28'!L:L,)</f>
        <v>-3133564.4881270682</v>
      </c>
      <c r="M44" s="40" t="str">
        <f>_xlfn.XLOOKUP($B44,'28'!$B:$B,'28'!M:M,)</f>
        <v>WTP</v>
      </c>
      <c r="N44" s="326">
        <f>_xlfn.XLOOKUP($B44,'28'!$B:$B,'28'!N:N,)</f>
        <v>2.1666666666666665</v>
      </c>
      <c r="O44" s="40" t="str">
        <f>_xlfn.XLOOKUP($B44,'28'!$B:$B,'28'!O:O,)</f>
        <v>Only if Collaborative Customer Research value not suitable</v>
      </c>
      <c r="P44" s="40" t="str">
        <f>_xlfn.XLOOKUP($B44,'28'!$B:$B,'28'!P:P,)</f>
        <v>Captures WTP views of only one water company</v>
      </c>
      <c r="Q44" s="40">
        <f>_xlfn.XLOOKUP($B44,'28'!$B:$B,'28'!Q:Q,)</f>
        <v>9</v>
      </c>
      <c r="R44" s="40" t="str">
        <f>_xlfn.XLOOKUP($B44,'28'!$B:$B,'28'!R:R,)</f>
        <v>Anglian Water (2018) 12H Valuation Completion report</v>
      </c>
      <c r="S44" s="40" t="str">
        <f>_xlfn.XLOOKUP($B44,'28'!$B:$B,'28'!S:S,)</f>
        <v>/</v>
      </c>
      <c r="T44" s="40">
        <f>_xlfn.XLOOKUP($B44,'28'!$B:$B,'28'!T:T,)</f>
        <v>2018</v>
      </c>
      <c r="U44" s="40" t="str">
        <f>_xlfn.XLOOKUP($B44,'28'!$B:$B,'28'!U:U,)</f>
        <v>England</v>
      </c>
      <c r="V44" s="40" t="str">
        <f>_xlfn.XLOOKUP($B44,'28'!$B:$B,'28'!V:V,)</f>
        <v>East Anglia</v>
      </c>
      <c r="W44" s="40">
        <f>_xlfn.XLOOKUP($B44,'28'!$B:$B,'28'!W:W,)</f>
        <v>505</v>
      </c>
    </row>
    <row r="45" spans="2:23">
      <c r="B45" s="39" t="s">
        <v>2055</v>
      </c>
      <c r="C45" s="40" t="str">
        <f>_xlfn.XLOOKUP($B45,'28'!$B:$B,'28'!C:C,)</f>
        <v>Bathing water quality</v>
      </c>
      <c r="D45" s="40" t="str">
        <f>_xlfn.XLOOKUP($B45,'28'!$B:$B,'28'!D:D,)</f>
        <v>Bathing water quality (sufficient to good)</v>
      </c>
      <c r="E45" s="40" t="str">
        <f>_xlfn.XLOOKUP($B45,'28'!$B:$B,'28'!E:E,)</f>
        <v>Quality of place</v>
      </c>
      <c r="F45" s="40">
        <f>_xlfn.XLOOKUP($B45,'28'!$B:$B,'28'!F:F,)</f>
        <v>2018</v>
      </c>
      <c r="G45" s="40">
        <f>_xlfn.XLOOKUP($B45,'28'!$B:$B,'28'!G:G,)</f>
        <v>2017</v>
      </c>
      <c r="H45" s="40">
        <f>_xlfn.XLOOKUP($B45,'28'!$B:$B,'28'!H:H,)</f>
        <v>2023</v>
      </c>
      <c r="I45" s="40">
        <f>_xlfn.XLOOKUP($B45,'28'!$B:$B,'28'!I:I,)</f>
        <v>81.273099999999999</v>
      </c>
      <c r="J45" s="40">
        <f>_xlfn.XLOOKUP($B45,'28'!$B:$B,'28'!J:J,)</f>
        <v>100</v>
      </c>
      <c r="K45" s="629">
        <f>_xlfn.XLOOKUP($B45,'28'!$B:$B,'28'!K:K,)</f>
        <v>-322827</v>
      </c>
      <c r="L45" s="629">
        <f>_xlfn.XLOOKUP($B45,'28'!$B:$B,'28'!L:L,)</f>
        <v>-397212.60786164179</v>
      </c>
      <c r="M45" s="40" t="str">
        <f>_xlfn.XLOOKUP($B45,'28'!$B:$B,'28'!M:M,)</f>
        <v>WTP</v>
      </c>
      <c r="N45" s="326">
        <f>_xlfn.XLOOKUP($B45,'28'!$B:$B,'28'!N:N,)</f>
        <v>2.1666666666666665</v>
      </c>
      <c r="O45" s="40" t="str">
        <f>_xlfn.XLOOKUP($B45,'28'!$B:$B,'28'!O:O,)</f>
        <v>Only if Collaborative Customer Research value not suitable</v>
      </c>
      <c r="P45" s="40" t="str">
        <f>_xlfn.XLOOKUP($B45,'28'!$B:$B,'28'!P:P,)</f>
        <v>Captures WTP views of only one water company</v>
      </c>
      <c r="Q45" s="40">
        <f>_xlfn.XLOOKUP($B45,'28'!$B:$B,'28'!Q:Q,)</f>
        <v>9</v>
      </c>
      <c r="R45" s="40" t="str">
        <f>_xlfn.XLOOKUP($B45,'28'!$B:$B,'28'!R:R,)</f>
        <v>Anglian Water (2018) 12H Valuation Completion report</v>
      </c>
      <c r="S45" s="40" t="str">
        <f>_xlfn.XLOOKUP($B45,'28'!$B:$B,'28'!S:S,)</f>
        <v>/</v>
      </c>
      <c r="T45" s="40">
        <f>_xlfn.XLOOKUP($B45,'28'!$B:$B,'28'!T:T,)</f>
        <v>2018</v>
      </c>
      <c r="U45" s="40" t="str">
        <f>_xlfn.XLOOKUP($B45,'28'!$B:$B,'28'!U:U,)</f>
        <v>England</v>
      </c>
      <c r="V45" s="40" t="str">
        <f>_xlfn.XLOOKUP($B45,'28'!$B:$B,'28'!V:V,)</f>
        <v>East Anglia</v>
      </c>
      <c r="W45" s="40">
        <f>_xlfn.XLOOKUP($B45,'28'!$B:$B,'28'!W:W,)</f>
        <v>505</v>
      </c>
    </row>
    <row r="46" spans="2:23">
      <c r="B46" s="39" t="s">
        <v>2056</v>
      </c>
      <c r="C46" s="40" t="str">
        <f>_xlfn.XLOOKUP($B46,'28'!$B:$B,'28'!C:C,)</f>
        <v>Bathing water quality</v>
      </c>
      <c r="D46" s="40" t="str">
        <f>_xlfn.XLOOKUP($B46,'28'!$B:$B,'28'!D:D,)</f>
        <v>Bathing water quality (good to excellent)</v>
      </c>
      <c r="E46" s="40" t="str">
        <f>_xlfn.XLOOKUP($B46,'28'!$B:$B,'28'!E:E,)</f>
        <v>Quality of place</v>
      </c>
      <c r="F46" s="40">
        <f>_xlfn.XLOOKUP($B46,'28'!$B:$B,'28'!F:F,)</f>
        <v>2018</v>
      </c>
      <c r="G46" s="40">
        <f>_xlfn.XLOOKUP($B46,'28'!$B:$B,'28'!G:G,)</f>
        <v>2017</v>
      </c>
      <c r="H46" s="40">
        <f>_xlfn.XLOOKUP($B46,'28'!$B:$B,'28'!H:H,)</f>
        <v>2023</v>
      </c>
      <c r="I46" s="40">
        <f>_xlfn.XLOOKUP($B46,'28'!$B:$B,'28'!I:I,)</f>
        <v>81.273099999999999</v>
      </c>
      <c r="J46" s="40">
        <f>_xlfn.XLOOKUP($B46,'28'!$B:$B,'28'!J:J,)</f>
        <v>100</v>
      </c>
      <c r="K46" s="629">
        <f>_xlfn.XLOOKUP($B46,'28'!$B:$B,'28'!K:K,)</f>
        <v>-717393</v>
      </c>
      <c r="L46" s="629">
        <f>_xlfn.XLOOKUP($B46,'28'!$B:$B,'28'!L:L,)</f>
        <v>-882694.27399717749</v>
      </c>
      <c r="M46" s="40" t="str">
        <f>_xlfn.XLOOKUP($B46,'28'!$B:$B,'28'!M:M,)</f>
        <v>WTP</v>
      </c>
      <c r="N46" s="326">
        <f>_xlfn.XLOOKUP($B46,'28'!$B:$B,'28'!N:N,)</f>
        <v>2.1666666666666665</v>
      </c>
      <c r="O46" s="40" t="str">
        <f>_xlfn.XLOOKUP($B46,'28'!$B:$B,'28'!O:O,)</f>
        <v>Only if Collaborative Customer Research value not suitable</v>
      </c>
      <c r="P46" s="40" t="str">
        <f>_xlfn.XLOOKUP($B46,'28'!$B:$B,'28'!P:P,)</f>
        <v>Captures WTP views of only one water company</v>
      </c>
      <c r="Q46" s="40">
        <f>_xlfn.XLOOKUP($B46,'28'!$B:$B,'28'!Q:Q,)</f>
        <v>9</v>
      </c>
      <c r="R46" s="40" t="str">
        <f>_xlfn.XLOOKUP($B46,'28'!$B:$B,'28'!R:R,)</f>
        <v>Anglian Water (2018) 12H Valuation Completion report</v>
      </c>
      <c r="S46" s="40" t="str">
        <f>_xlfn.XLOOKUP($B46,'28'!$B:$B,'28'!S:S,)</f>
        <v>/</v>
      </c>
      <c r="T46" s="40">
        <f>_xlfn.XLOOKUP($B46,'28'!$B:$B,'28'!T:T,)</f>
        <v>2018</v>
      </c>
      <c r="U46" s="40" t="str">
        <f>_xlfn.XLOOKUP($B46,'28'!$B:$B,'28'!U:U,)</f>
        <v>England</v>
      </c>
      <c r="V46" s="40" t="str">
        <f>_xlfn.XLOOKUP($B46,'28'!$B:$B,'28'!V:V,)</f>
        <v>East Anglia</v>
      </c>
      <c r="W46" s="40">
        <f>_xlfn.XLOOKUP($B46,'28'!$B:$B,'28'!W:W,)</f>
        <v>505</v>
      </c>
    </row>
    <row r="47" spans="2:23">
      <c r="B47" s="39" t="s">
        <v>2057</v>
      </c>
      <c r="C47" s="40" t="str">
        <f>_xlfn.XLOOKUP($B47,'28'!$B:$B,'28'!C:C,)</f>
        <v>Bathing water quality</v>
      </c>
      <c r="D47" s="40" t="str">
        <f>_xlfn.XLOOKUP($B47,'28'!$B:$B,'28'!D:D,)</f>
        <v>In class benefit on bathing water quality</v>
      </c>
      <c r="E47" s="40" t="str">
        <f>_xlfn.XLOOKUP($B47,'28'!$B:$B,'28'!E:E,)</f>
        <v>Local economy</v>
      </c>
      <c r="F47" s="40">
        <f>_xlfn.XLOOKUP($B47,'28'!$B:$B,'28'!F:F,)</f>
        <v>2018</v>
      </c>
      <c r="G47" s="40">
        <f>_xlfn.XLOOKUP($B47,'28'!$B:$B,'28'!G:G,)</f>
        <v>2017</v>
      </c>
      <c r="H47" s="40">
        <f>_xlfn.XLOOKUP($B47,'28'!$B:$B,'28'!H:H,)</f>
        <v>2023</v>
      </c>
      <c r="I47" s="40">
        <f>_xlfn.XLOOKUP($B47,'28'!$B:$B,'28'!I:I,)</f>
        <v>81.273099999999999</v>
      </c>
      <c r="J47" s="40">
        <f>_xlfn.XLOOKUP($B47,'28'!$B:$B,'28'!J:J,)</f>
        <v>100</v>
      </c>
      <c r="K47" s="629">
        <f>_xlfn.XLOOKUP($B47,'28'!$B:$B,'28'!K:K,)</f>
        <v>-55496.5</v>
      </c>
      <c r="L47" s="629">
        <f>_xlfn.XLOOKUP($B47,'28'!$B:$B,'28'!L:L,)</f>
        <v>-68283.97095718018</v>
      </c>
      <c r="M47" s="40" t="str">
        <f>_xlfn.XLOOKUP($B47,'28'!$B:$B,'28'!M:M,)</f>
        <v>WTP</v>
      </c>
      <c r="N47" s="326">
        <f>_xlfn.XLOOKUP($B47,'28'!$B:$B,'28'!N:N,)</f>
        <v>2.1666666666666665</v>
      </c>
      <c r="O47" s="40" t="str">
        <f>_xlfn.XLOOKUP($B47,'28'!$B:$B,'28'!O:O,)</f>
        <v>Only if Collaborative Customer Research value not suitable</v>
      </c>
      <c r="P47" s="40" t="str">
        <f>_xlfn.XLOOKUP($B47,'28'!$B:$B,'28'!P:P,)</f>
        <v>Captures WTP views of only one water company</v>
      </c>
      <c r="Q47" s="40">
        <f>_xlfn.XLOOKUP($B47,'28'!$B:$B,'28'!Q:Q,)</f>
        <v>9</v>
      </c>
      <c r="R47" s="40" t="str">
        <f>_xlfn.XLOOKUP($B47,'28'!$B:$B,'28'!R:R,)</f>
        <v>Anglian Water (2018) 12H Valuation Completion report</v>
      </c>
      <c r="S47" s="40" t="str">
        <f>_xlfn.XLOOKUP($B47,'28'!$B:$B,'28'!S:S,)</f>
        <v>/</v>
      </c>
      <c r="T47" s="40">
        <f>_xlfn.XLOOKUP($B47,'28'!$B:$B,'28'!T:T,)</f>
        <v>2018</v>
      </c>
      <c r="U47" s="40" t="str">
        <f>_xlfn.XLOOKUP($B47,'28'!$B:$B,'28'!U:U,)</f>
        <v>England</v>
      </c>
      <c r="V47" s="40" t="str">
        <f>_xlfn.XLOOKUP($B47,'28'!$B:$B,'28'!V:V,)</f>
        <v>East Anglia</v>
      </c>
      <c r="W47" s="40">
        <f>_xlfn.XLOOKUP($B47,'28'!$B:$B,'28'!W:W,)</f>
        <v>505</v>
      </c>
    </row>
    <row r="48" spans="2:23">
      <c r="B48" s="39" t="s">
        <v>2058</v>
      </c>
      <c r="C48" s="40" t="str">
        <f>_xlfn.XLOOKUP($B48,'28'!$B:$B,'28'!C:C,)</f>
        <v>Bathing water quality</v>
      </c>
      <c r="D48" s="40" t="str">
        <f>_xlfn.XLOOKUP($B48,'28'!$B:$B,'28'!D:D,)</f>
        <v>Bathing water quality (poor to sufficient)</v>
      </c>
      <c r="E48" s="40" t="str">
        <f>_xlfn.XLOOKUP($B48,'28'!$B:$B,'28'!E:E,)</f>
        <v>Local economy</v>
      </c>
      <c r="F48" s="40">
        <f>_xlfn.XLOOKUP($B48,'28'!$B:$B,'28'!F:F,)</f>
        <v>2018</v>
      </c>
      <c r="G48" s="40">
        <f>_xlfn.XLOOKUP($B48,'28'!$B:$B,'28'!G:G,)</f>
        <v>2017</v>
      </c>
      <c r="H48" s="40">
        <f>_xlfn.XLOOKUP($B48,'28'!$B:$B,'28'!H:H,)</f>
        <v>2023</v>
      </c>
      <c r="I48" s="40">
        <f>_xlfn.XLOOKUP($B48,'28'!$B:$B,'28'!I:I,)</f>
        <v>81.273099999999999</v>
      </c>
      <c r="J48" s="40">
        <f>_xlfn.XLOOKUP($B48,'28'!$B:$B,'28'!J:J,)</f>
        <v>100</v>
      </c>
      <c r="K48" s="629">
        <f>_xlfn.XLOOKUP($B48,'28'!$B:$B,'28'!K:K,)</f>
        <v>-107952</v>
      </c>
      <c r="L48" s="629">
        <f>_xlfn.XLOOKUP($B48,'28'!$B:$B,'28'!L:L,)</f>
        <v>-132826.23647922868</v>
      </c>
      <c r="M48" s="40" t="str">
        <f>_xlfn.XLOOKUP($B48,'28'!$B:$B,'28'!M:M,)</f>
        <v>WTP</v>
      </c>
      <c r="N48" s="326">
        <f>_xlfn.XLOOKUP($B48,'28'!$B:$B,'28'!N:N,)</f>
        <v>2.1666666666666665</v>
      </c>
      <c r="O48" s="40" t="str">
        <f>_xlfn.XLOOKUP($B48,'28'!$B:$B,'28'!O:O,)</f>
        <v>Only if Collaborative Customer Research value not suitable</v>
      </c>
      <c r="P48" s="40" t="str">
        <f>_xlfn.XLOOKUP($B48,'28'!$B:$B,'28'!P:P,)</f>
        <v>Captures WTP views of only one water company</v>
      </c>
      <c r="Q48" s="40">
        <f>_xlfn.XLOOKUP($B48,'28'!$B:$B,'28'!Q:Q,)</f>
        <v>9</v>
      </c>
      <c r="R48" s="40" t="str">
        <f>_xlfn.XLOOKUP($B48,'28'!$B:$B,'28'!R:R,)</f>
        <v>Anglian Water (2018) 12H Valuation Completion report</v>
      </c>
      <c r="S48" s="40" t="str">
        <f>_xlfn.XLOOKUP($B48,'28'!$B:$B,'28'!S:S,)</f>
        <v>/</v>
      </c>
      <c r="T48" s="40">
        <f>_xlfn.XLOOKUP($B48,'28'!$B:$B,'28'!T:T,)</f>
        <v>2018</v>
      </c>
      <c r="U48" s="40" t="str">
        <f>_xlfn.XLOOKUP($B48,'28'!$B:$B,'28'!U:U,)</f>
        <v>England</v>
      </c>
      <c r="V48" s="40" t="str">
        <f>_xlfn.XLOOKUP($B48,'28'!$B:$B,'28'!V:V,)</f>
        <v>East Anglia</v>
      </c>
      <c r="W48" s="40">
        <f>_xlfn.XLOOKUP($B48,'28'!$B:$B,'28'!W:W,)</f>
        <v>505</v>
      </c>
    </row>
    <row r="49" spans="2:23">
      <c r="B49" s="39" t="s">
        <v>2059</v>
      </c>
      <c r="C49" s="40" t="str">
        <f>_xlfn.XLOOKUP($B49,'28'!$B:$B,'28'!C:C,)</f>
        <v>Bathing water quality</v>
      </c>
      <c r="D49" s="40" t="str">
        <f>_xlfn.XLOOKUP($B49,'28'!$B:$B,'28'!D:D,)</f>
        <v>Bathing water quality (sufficient to good)</v>
      </c>
      <c r="E49" s="40" t="str">
        <f>_xlfn.XLOOKUP($B49,'28'!$B:$B,'28'!E:E,)</f>
        <v>Local economy</v>
      </c>
      <c r="F49" s="40">
        <f>_xlfn.XLOOKUP($B49,'28'!$B:$B,'28'!F:F,)</f>
        <v>2018</v>
      </c>
      <c r="G49" s="40">
        <f>_xlfn.XLOOKUP($B49,'28'!$B:$B,'28'!G:G,)</f>
        <v>2017</v>
      </c>
      <c r="H49" s="40">
        <f>_xlfn.XLOOKUP($B49,'28'!$B:$B,'28'!H:H,)</f>
        <v>2023</v>
      </c>
      <c r="I49" s="40">
        <f>_xlfn.XLOOKUP($B49,'28'!$B:$B,'28'!I:I,)</f>
        <v>81.273099999999999</v>
      </c>
      <c r="J49" s="40">
        <f>_xlfn.XLOOKUP($B49,'28'!$B:$B,'28'!J:J,)</f>
        <v>100</v>
      </c>
      <c r="K49" s="629">
        <f>_xlfn.XLOOKUP($B49,'28'!$B:$B,'28'!K:K,)</f>
        <v>-13684</v>
      </c>
      <c r="L49" s="629">
        <f>_xlfn.XLOOKUP($B49,'28'!$B:$B,'28'!L:L,)</f>
        <v>-16837.059248385998</v>
      </c>
      <c r="M49" s="40" t="str">
        <f>_xlfn.XLOOKUP($B49,'28'!$B:$B,'28'!M:M,)</f>
        <v>WTP</v>
      </c>
      <c r="N49" s="326">
        <f>_xlfn.XLOOKUP($B49,'28'!$B:$B,'28'!N:N,)</f>
        <v>2.1666666666666665</v>
      </c>
      <c r="O49" s="40" t="str">
        <f>_xlfn.XLOOKUP($B49,'28'!$B:$B,'28'!O:O,)</f>
        <v>Only if Collaborative Customer Research value not suitable</v>
      </c>
      <c r="P49" s="40" t="str">
        <f>_xlfn.XLOOKUP($B49,'28'!$B:$B,'28'!P:P,)</f>
        <v>Captures WTP views of only one water company</v>
      </c>
      <c r="Q49" s="40">
        <f>_xlfn.XLOOKUP($B49,'28'!$B:$B,'28'!Q:Q,)</f>
        <v>9</v>
      </c>
      <c r="R49" s="40" t="str">
        <f>_xlfn.XLOOKUP($B49,'28'!$B:$B,'28'!R:R,)</f>
        <v>Anglian Water (2018) 12H Valuation Completion report</v>
      </c>
      <c r="S49" s="40" t="str">
        <f>_xlfn.XLOOKUP($B49,'28'!$B:$B,'28'!S:S,)</f>
        <v>/</v>
      </c>
      <c r="T49" s="40">
        <f>_xlfn.XLOOKUP($B49,'28'!$B:$B,'28'!T:T,)</f>
        <v>2018</v>
      </c>
      <c r="U49" s="40" t="str">
        <f>_xlfn.XLOOKUP($B49,'28'!$B:$B,'28'!U:U,)</f>
        <v>England</v>
      </c>
      <c r="V49" s="40" t="str">
        <f>_xlfn.XLOOKUP($B49,'28'!$B:$B,'28'!V:V,)</f>
        <v>East Anglia</v>
      </c>
      <c r="W49" s="40">
        <f>_xlfn.XLOOKUP($B49,'28'!$B:$B,'28'!W:W,)</f>
        <v>505</v>
      </c>
    </row>
    <row r="50" spans="2:23">
      <c r="B50" s="39" t="s">
        <v>2060</v>
      </c>
      <c r="C50" s="40" t="str">
        <f>_xlfn.XLOOKUP($B50,'28'!$B:$B,'28'!C:C,)</f>
        <v>Bathing water quality</v>
      </c>
      <c r="D50" s="40" t="str">
        <f>_xlfn.XLOOKUP($B50,'28'!$B:$B,'28'!D:D,)</f>
        <v>Bathing water quality (good to excellent)</v>
      </c>
      <c r="E50" s="40" t="str">
        <f>_xlfn.XLOOKUP($B50,'28'!$B:$B,'28'!E:E,)</f>
        <v>Local economy</v>
      </c>
      <c r="F50" s="40">
        <f>_xlfn.XLOOKUP($B50,'28'!$B:$B,'28'!F:F,)</f>
        <v>2018</v>
      </c>
      <c r="G50" s="40">
        <f>_xlfn.XLOOKUP($B50,'28'!$B:$B,'28'!G:G,)</f>
        <v>2017</v>
      </c>
      <c r="H50" s="40">
        <f>_xlfn.XLOOKUP($B50,'28'!$B:$B,'28'!H:H,)</f>
        <v>2023</v>
      </c>
      <c r="I50" s="40">
        <f>_xlfn.XLOOKUP($B50,'28'!$B:$B,'28'!I:I,)</f>
        <v>81.273099999999999</v>
      </c>
      <c r="J50" s="40">
        <f>_xlfn.XLOOKUP($B50,'28'!$B:$B,'28'!J:J,)</f>
        <v>100</v>
      </c>
      <c r="K50" s="629">
        <f>_xlfn.XLOOKUP($B50,'28'!$B:$B,'28'!K:K,)</f>
        <v>-30409</v>
      </c>
      <c r="L50" s="629">
        <f>_xlfn.XLOOKUP($B50,'28'!$B:$B,'28'!L:L,)</f>
        <v>-37415.823931903673</v>
      </c>
      <c r="M50" s="40" t="str">
        <f>_xlfn.XLOOKUP($B50,'28'!$B:$B,'28'!M:M,)</f>
        <v>WTP</v>
      </c>
      <c r="N50" s="326">
        <f>_xlfn.XLOOKUP($B50,'28'!$B:$B,'28'!N:N,)</f>
        <v>2.1666666666666665</v>
      </c>
      <c r="O50" s="40" t="str">
        <f>_xlfn.XLOOKUP($B50,'28'!$B:$B,'28'!O:O,)</f>
        <v>Only if Collaborative Customer Research value not suitable</v>
      </c>
      <c r="P50" s="40" t="str">
        <f>_xlfn.XLOOKUP($B50,'28'!$B:$B,'28'!P:P,)</f>
        <v>Captures WTP views of only one water company</v>
      </c>
      <c r="Q50" s="40">
        <f>_xlfn.XLOOKUP($B50,'28'!$B:$B,'28'!Q:Q,)</f>
        <v>9</v>
      </c>
      <c r="R50" s="40" t="str">
        <f>_xlfn.XLOOKUP($B50,'28'!$B:$B,'28'!R:R,)</f>
        <v>Anglian Water (2018) 12H Valuation Completion report</v>
      </c>
      <c r="S50" s="40" t="str">
        <f>_xlfn.XLOOKUP($B50,'28'!$B:$B,'28'!S:S,)</f>
        <v>/</v>
      </c>
      <c r="T50" s="40">
        <f>_xlfn.XLOOKUP($B50,'28'!$B:$B,'28'!T:T,)</f>
        <v>2018</v>
      </c>
      <c r="U50" s="40" t="str">
        <f>_xlfn.XLOOKUP($B50,'28'!$B:$B,'28'!U:U,)</f>
        <v>England</v>
      </c>
      <c r="V50" s="40" t="str">
        <f>_xlfn.XLOOKUP($B50,'28'!$B:$B,'28'!V:V,)</f>
        <v>East Anglia</v>
      </c>
      <c r="W50" s="40">
        <f>_xlfn.XLOOKUP($B50,'28'!$B:$B,'28'!W:W,)</f>
        <v>505</v>
      </c>
    </row>
    <row r="51" spans="2:23">
      <c r="B51" s="39" t="s">
        <v>3255</v>
      </c>
      <c r="C51" s="40" t="str">
        <f>_xlfn.XLOOKUP($B51,'39'!$B:$B,'39'!C:C,)</f>
        <v>Community engagement</v>
      </c>
      <c r="D51" s="40" t="str">
        <f>_xlfn.XLOOKUP($B51,'39'!$B:$B,'39'!D:D,)</f>
        <v>Time leveraged (through in-kind contribution)</v>
      </c>
      <c r="E51" s="40" t="str">
        <f>_xlfn.XLOOKUP($B51,'39'!$B:$B,'39'!E:E,)</f>
        <v>Local Economy</v>
      </c>
      <c r="F51" s="40">
        <f>_xlfn.XLOOKUP($B51,'39'!$B:$B,'39'!F:F,)</f>
        <v>2024</v>
      </c>
      <c r="G51" s="40">
        <f>_xlfn.XLOOKUP($B51,'39'!$B:$B,'39'!G:G,)</f>
        <v>2022</v>
      </c>
      <c r="H51" s="40">
        <f>_xlfn.XLOOKUP($B51,'39'!$B:$B,'39'!H:H,)</f>
        <v>2023</v>
      </c>
      <c r="I51" s="40">
        <f>_xlfn.XLOOKUP($B51,'39'!$B:$B,'39'!I:I,)</f>
        <v>93.351699999999994</v>
      </c>
      <c r="J51" s="40">
        <f>_xlfn.XLOOKUP($B51,'39'!$B:$B,'39'!J:J,)</f>
        <v>100</v>
      </c>
      <c r="K51" s="629">
        <f>_xlfn.XLOOKUP($B51,'39'!$B:$B,'39'!K:K,)</f>
        <v>-39.700000000000003</v>
      </c>
      <c r="L51" s="629">
        <f>_xlfn.XLOOKUP($B51,'39'!$B:$B,'39'!L:L,)</f>
        <v>-42.527345511651106</v>
      </c>
      <c r="M51" s="40" t="str">
        <f>_xlfn.XLOOKUP($B51,'39'!$B:$B,'39'!M:M,)</f>
        <v>GVA</v>
      </c>
      <c r="N51" s="326">
        <f>_xlfn.XLOOKUP($B51,'39'!$B:$B,'39'!N:N,)</f>
        <v>3</v>
      </c>
      <c r="O51" s="40" t="str">
        <f>_xlfn.XLOOKUP($B51,'39'!$B:$B,'39'!O:O,)</f>
        <v>Yes</v>
      </c>
      <c r="P51" s="40" t="str">
        <f>_xlfn.XLOOKUP($B51,'39'!$B:$B,'39'!P:P,)</f>
        <v>We have opted for the GVA added per volunteering hour instead of the replacement cost of the volunteering hours as this is a more complete representation of the value created.</v>
      </c>
      <c r="Q51" s="40">
        <f>_xlfn.XLOOKUP($B51,'39'!$B:$B,'39'!Q:Q,)</f>
        <v>6</v>
      </c>
      <c r="R51" s="40" t="str">
        <f>_xlfn.XLOOKUP($B51,'39'!$B:$B,'39'!R:R,)</f>
        <v>ONS Subregional productivity: labour productivity indices by city region</v>
      </c>
      <c r="S51" s="40" t="str">
        <f>_xlfn.XLOOKUP($B51,'39'!$B:$B,'39'!S:S,)</f>
        <v>Nexus</v>
      </c>
      <c r="T51" s="40">
        <f>_xlfn.XLOOKUP($B51,'39'!$B:$B,'39'!T:T,)</f>
        <v>2024</v>
      </c>
      <c r="U51" s="40" t="str">
        <f>_xlfn.XLOOKUP($B51,'39'!$B:$B,'39'!U:U,)</f>
        <v>UK</v>
      </c>
      <c r="V51" s="40" t="str">
        <f>_xlfn.XLOOKUP($B51,'39'!$B:$B,'39'!V:V,)</f>
        <v>National average</v>
      </c>
      <c r="W51" s="40" t="str">
        <f>_xlfn.XLOOKUP($B51,'39'!$B:$B,'39'!W:W,)</f>
        <v>Unknown</v>
      </c>
    </row>
    <row r="52" spans="2:23">
      <c r="B52" s="39" t="s">
        <v>3267</v>
      </c>
      <c r="C52" s="40" t="str">
        <f>_xlfn.XLOOKUP($B52,'39'!$B:$B,'39'!C:C,)</f>
        <v>Community engagement</v>
      </c>
      <c r="D52" s="40" t="str">
        <f>_xlfn.XLOOKUP($B52,'39'!$B:$B,'39'!D:D,)</f>
        <v>Educational visits (e.g. school engagement)</v>
      </c>
      <c r="E52" s="40" t="str">
        <f>_xlfn.XLOOKUP($B52,'39'!$B:$B,'39'!E:E,)</f>
        <v>Skills and Knowledge</v>
      </c>
      <c r="F52" s="40">
        <f>_xlfn.XLOOKUP($B52,'39'!$B:$B,'39'!F:F,)</f>
        <v>2013</v>
      </c>
      <c r="G52" s="40">
        <f>_xlfn.XLOOKUP($B52,'39'!$B:$B,'39'!G:G,)</f>
        <v>2010</v>
      </c>
      <c r="H52" s="40">
        <f>_xlfn.XLOOKUP($B52,'39'!$B:$B,'39'!H:H,)</f>
        <v>2023</v>
      </c>
      <c r="I52" s="40">
        <f>_xlfn.XLOOKUP($B52,'39'!$B:$B,'39'!I:I,)</f>
        <v>72.415099999999995</v>
      </c>
      <c r="J52" s="40">
        <f>_xlfn.XLOOKUP($B52,'39'!$B:$B,'39'!J:J,)</f>
        <v>100</v>
      </c>
      <c r="K52" s="629">
        <f>_xlfn.XLOOKUP($B52,'39'!$B:$B,'39'!K:K,)</f>
        <v>-21.03</v>
      </c>
      <c r="L52" s="629">
        <f>_xlfn.XLOOKUP($B52,'39'!$B:$B,'39'!L:L,)</f>
        <v>-29.04090445224822</v>
      </c>
      <c r="M52" s="40" t="str">
        <f>_xlfn.XLOOKUP($B52,'39'!$B:$B,'39'!M:M,)</f>
        <v>Additional cost</v>
      </c>
      <c r="N52" s="326">
        <f>_xlfn.XLOOKUP($B52,'39'!$B:$B,'39'!N:N,)</f>
        <v>2.3333333333333335</v>
      </c>
      <c r="O52" s="40" t="str">
        <f>_xlfn.XLOOKUP($B52,'39'!$B:$B,'39'!O:O,)</f>
        <v>Yes</v>
      </c>
      <c r="P52" s="40" t="str">
        <f>_xlfn.XLOOKUP($B52,'39'!$B:$B,'39'!P:P,)</f>
        <v>Of the available values reviewed, this is the most suitable in terms of units, understanding of method, and confidence in price year.</v>
      </c>
      <c r="Q52" s="40">
        <f>_xlfn.XLOOKUP($B52,'39'!$B:$B,'39'!Q:Q,)</f>
        <v>14</v>
      </c>
      <c r="R52" s="40" t="str">
        <f>_xlfn.XLOOKUP($B52,'39'!$B:$B,'39'!R:R,)</f>
        <v>Mourato et al (2010) Economic Analysis of Cultural Services Final Report, December 2010</v>
      </c>
      <c r="S52" s="40" t="str">
        <f>_xlfn.XLOOKUP($B52,'39'!$B:$B,'39'!S:S,)</f>
        <v>ENCA &amp; WINEP</v>
      </c>
      <c r="T52" s="40">
        <f>_xlfn.XLOOKUP($B52,'39'!$B:$B,'39'!T:T,)</f>
        <v>2010</v>
      </c>
      <c r="U52" s="40" t="str">
        <f>_xlfn.XLOOKUP($B52,'39'!$B:$B,'39'!U:U,)</f>
        <v>UK</v>
      </c>
      <c r="V52" s="40" t="str">
        <f>_xlfn.XLOOKUP($B52,'39'!$B:$B,'39'!V:V,)</f>
        <v>UK</v>
      </c>
      <c r="W52" s="40" t="str">
        <f>_xlfn.XLOOKUP($B52,'39'!$B:$B,'39'!W:W,)</f>
        <v>Unknown</v>
      </c>
    </row>
    <row r="53" spans="2:23">
      <c r="B53" s="39" t="s">
        <v>3268</v>
      </c>
      <c r="C53" s="40" t="str">
        <f>_xlfn.XLOOKUP($B53,'39'!$B:$B,'39'!C:C,)</f>
        <v>Community engagement</v>
      </c>
      <c r="D53" s="40" t="str">
        <f>_xlfn.XLOOKUP($B53,'39'!$B:$B,'39'!D:D,)</f>
        <v>Engaging with adults - STEM &amp; water based engagement</v>
      </c>
      <c r="E53" s="40" t="str">
        <f>_xlfn.XLOOKUP($B53,'39'!$B:$B,'39'!E:E,)</f>
        <v>Skills and Knowledge</v>
      </c>
      <c r="F53" s="40">
        <f>_xlfn.XLOOKUP($B53,'39'!$B:$B,'39'!F:F,)</f>
        <v>2013</v>
      </c>
      <c r="G53" s="40">
        <f>_xlfn.XLOOKUP($B53,'39'!$B:$B,'39'!G:G,)</f>
        <v>2010</v>
      </c>
      <c r="H53" s="40">
        <f>_xlfn.XLOOKUP($B53,'39'!$B:$B,'39'!H:H,)</f>
        <v>2023</v>
      </c>
      <c r="I53" s="40">
        <f>_xlfn.XLOOKUP($B53,'39'!$B:$B,'39'!I:I,)</f>
        <v>72.415099999999995</v>
      </c>
      <c r="J53" s="40">
        <f>_xlfn.XLOOKUP($B53,'39'!$B:$B,'39'!J:J,)</f>
        <v>100</v>
      </c>
      <c r="K53" s="629">
        <f>_xlfn.XLOOKUP($B53,'39'!$B:$B,'39'!K:K,)</f>
        <v>-21.03</v>
      </c>
      <c r="L53" s="629">
        <f>_xlfn.XLOOKUP($B53,'39'!$B:$B,'39'!L:L,)</f>
        <v>-29.04090445224822</v>
      </c>
      <c r="M53" s="40" t="str">
        <f>_xlfn.XLOOKUP($B53,'39'!$B:$B,'39'!M:M,)</f>
        <v>Additional cost</v>
      </c>
      <c r="N53" s="326">
        <f>_xlfn.XLOOKUP($B53,'39'!$B:$B,'39'!N:N,)</f>
        <v>2.3333333333333335</v>
      </c>
      <c r="O53" s="40" t="str">
        <f>_xlfn.XLOOKUP($B53,'39'!$B:$B,'39'!O:O,)</f>
        <v>Yes</v>
      </c>
      <c r="P53" s="40" t="str">
        <f>_xlfn.XLOOKUP($B53,'39'!$B:$B,'39'!P:P,)</f>
        <v>Of the available values reviewed, this is the most suitable in terms of units, understanding of method, and confidence in price year.</v>
      </c>
      <c r="Q53" s="40">
        <f>_xlfn.XLOOKUP($B53,'39'!$B:$B,'39'!Q:Q,)</f>
        <v>14</v>
      </c>
      <c r="R53" s="40" t="str">
        <f>_xlfn.XLOOKUP($B53,'39'!$B:$B,'39'!R:R,)</f>
        <v>Mourato et al (2010) Economic Analysis of Cultural Services Final Report, December 2010</v>
      </c>
      <c r="S53" s="40" t="str">
        <f>_xlfn.XLOOKUP($B53,'39'!$B:$B,'39'!S:S,)</f>
        <v>ENCA &amp; WINEP</v>
      </c>
      <c r="T53" s="40">
        <f>_xlfn.XLOOKUP($B53,'39'!$B:$B,'39'!T:T,)</f>
        <v>2010</v>
      </c>
      <c r="U53" s="40" t="str">
        <f>_xlfn.XLOOKUP($B53,'39'!$B:$B,'39'!U:U,)</f>
        <v>UK</v>
      </c>
      <c r="V53" s="40" t="str">
        <f>_xlfn.XLOOKUP($B53,'39'!$B:$B,'39'!V:V,)</f>
        <v>UK</v>
      </c>
      <c r="W53" s="40" t="str">
        <f>_xlfn.XLOOKUP($B53,'39'!$B:$B,'39'!W:W,)</f>
        <v>Unknown</v>
      </c>
    </row>
    <row r="54" spans="2:23">
      <c r="B54" s="39" t="s">
        <v>4156</v>
      </c>
      <c r="C54" s="40" t="e">
        <f>_xlfn.XLOOKUP($B54,'39'!$B:$B,'39'!C:C,)</f>
        <v>#N/A</v>
      </c>
      <c r="D54" s="40" t="e">
        <f>_xlfn.XLOOKUP($B54,'39'!$B:$B,'39'!D:D,)</f>
        <v>#N/A</v>
      </c>
      <c r="E54" s="40" t="e">
        <f>_xlfn.XLOOKUP($B54,'39'!$B:$B,'39'!E:E,)</f>
        <v>#N/A</v>
      </c>
      <c r="F54" s="40" t="e">
        <f>_xlfn.XLOOKUP($B54,'39'!$B:$B,'39'!F:F,)</f>
        <v>#N/A</v>
      </c>
      <c r="G54" s="40" t="e">
        <f>_xlfn.XLOOKUP($B54,'39'!$B:$B,'39'!G:G,)</f>
        <v>#N/A</v>
      </c>
      <c r="H54" s="40" t="e">
        <f>_xlfn.XLOOKUP($B54,'39'!$B:$B,'39'!H:H,)</f>
        <v>#N/A</v>
      </c>
      <c r="I54" s="40" t="e">
        <f>_xlfn.XLOOKUP($B54,'39'!$B:$B,'39'!I:I,)</f>
        <v>#N/A</v>
      </c>
      <c r="J54" s="40" t="e">
        <f>_xlfn.XLOOKUP($B54,'39'!$B:$B,'39'!J:J,)</f>
        <v>#N/A</v>
      </c>
      <c r="K54" s="629" t="e">
        <f>_xlfn.XLOOKUP($B54,'39'!$B:$B,'39'!K:K,)</f>
        <v>#N/A</v>
      </c>
      <c r="L54" s="629" t="e">
        <f>_xlfn.XLOOKUP($B54,'39'!$B:$B,'39'!L:L,)</f>
        <v>#N/A</v>
      </c>
      <c r="M54" s="40" t="e">
        <f>_xlfn.XLOOKUP($B54,'39'!$B:$B,'39'!M:M,)</f>
        <v>#N/A</v>
      </c>
      <c r="N54" s="326" t="e">
        <f>_xlfn.XLOOKUP($B54,'39'!$B:$B,'39'!N:N,)</f>
        <v>#N/A</v>
      </c>
      <c r="O54" s="40" t="e">
        <f>_xlfn.XLOOKUP($B54,'39'!$B:$B,'39'!O:O,)</f>
        <v>#N/A</v>
      </c>
      <c r="P54" s="40" t="e">
        <f>_xlfn.XLOOKUP($B54,'39'!$B:$B,'39'!P:P,)</f>
        <v>#N/A</v>
      </c>
      <c r="Q54" s="40" t="e">
        <f>_xlfn.XLOOKUP($B54,'39'!$B:$B,'39'!Q:Q,)</f>
        <v>#N/A</v>
      </c>
      <c r="R54" s="40" t="e">
        <f>_xlfn.XLOOKUP($B54,'39'!$B:$B,'39'!R:R,)</f>
        <v>#N/A</v>
      </c>
      <c r="S54" s="40" t="e">
        <f>_xlfn.XLOOKUP($B54,'39'!$B:$B,'39'!S:S,)</f>
        <v>#N/A</v>
      </c>
      <c r="T54" s="40" t="e">
        <f>_xlfn.XLOOKUP($B54,'39'!$B:$B,'39'!T:T,)</f>
        <v>#N/A</v>
      </c>
      <c r="U54" s="40" t="e">
        <f>_xlfn.XLOOKUP($B54,'39'!$B:$B,'39'!U:U,)</f>
        <v>#N/A</v>
      </c>
      <c r="V54" s="40" t="e">
        <f>_xlfn.XLOOKUP($B54,'39'!$B:$B,'39'!V:V,)</f>
        <v>#N/A</v>
      </c>
      <c r="W54" s="40" t="e">
        <f>_xlfn.XLOOKUP($B54,'39'!$B:$B,'39'!W:W,)</f>
        <v>#N/A</v>
      </c>
    </row>
    <row r="55" spans="2:23">
      <c r="B55" s="39" t="s">
        <v>3275</v>
      </c>
      <c r="C55" s="40" t="str">
        <f>_xlfn.XLOOKUP($B55,'39'!$B:$B,'39'!C:C,)</f>
        <v>Community engagement</v>
      </c>
      <c r="D55" s="40" t="str">
        <f>_xlfn.XLOOKUP($B55,'39'!$B:$B,'39'!D:D,)</f>
        <v>Company employees participating in volunteering</v>
      </c>
      <c r="E55" s="40" t="str">
        <f>_xlfn.XLOOKUP($B55,'39'!$B:$B,'39'!E:E,)</f>
        <v>Health and Wellbeing</v>
      </c>
      <c r="F55" s="40">
        <f>_xlfn.XLOOKUP($B55,'39'!$B:$B,'39'!F:F,)</f>
        <v>2021</v>
      </c>
      <c r="G55" s="40">
        <f>_xlfn.XLOOKUP($B55,'39'!$B:$B,'39'!G:G,)</f>
        <v>2020</v>
      </c>
      <c r="H55" s="40">
        <f>_xlfn.XLOOKUP($B55,'39'!$B:$B,'39'!H:H,)</f>
        <v>2023</v>
      </c>
      <c r="I55" s="40">
        <f>_xlfn.XLOOKUP($B55,'39'!$B:$B,'39'!I:I,)</f>
        <v>89.073499999999996</v>
      </c>
      <c r="J55" s="40">
        <f>_xlfn.XLOOKUP($B55,'39'!$B:$B,'39'!J:J,)</f>
        <v>100</v>
      </c>
      <c r="K55" s="629">
        <f>_xlfn.XLOOKUP($B55,'39'!$B:$B,'39'!K:K,)</f>
        <v>-911</v>
      </c>
      <c r="L55" s="629">
        <f>_xlfn.XLOOKUP($B55,'39'!$B:$B,'39'!L:L,)</f>
        <v>-1022.7508742779839</v>
      </c>
      <c r="M55" s="40" t="str">
        <f>_xlfn.XLOOKUP($B55,'39'!$B:$B,'39'!M:M,)</f>
        <v>wellbeing valuation</v>
      </c>
      <c r="N55" s="326">
        <f>_xlfn.XLOOKUP($B55,'39'!$B:$B,'39'!N:N,)</f>
        <v>3</v>
      </c>
      <c r="O55" s="40" t="str">
        <f>_xlfn.XLOOKUP($B55,'39'!$B:$B,'39'!O:O,)</f>
        <v>Yes</v>
      </c>
      <c r="P55" s="40" t="str">
        <f>_xlfn.XLOOKUP($B55,'39'!$B:$B,'39'!P:P,)</f>
        <v>Compared to the value provided by HACT, the method is more transparent including the base year. This value is from a recent study (original source 2021) and relates strongly to the impact pathway.</v>
      </c>
      <c r="Q55" s="40">
        <f>_xlfn.XLOOKUP($B55,'39'!$B:$B,'39'!Q:Q,)</f>
        <v>20</v>
      </c>
      <c r="R55" s="40" t="str">
        <f>_xlfn.XLOOKUP($B55,'39'!$B:$B,'39'!R:R,)</f>
        <v>HM Treasury (2021) Green Book supplementary guidance: wellbeing</v>
      </c>
      <c r="S55" s="40" t="str">
        <f>_xlfn.XLOOKUP($B55,'39'!$B:$B,'39'!S:S,)</f>
        <v>ENCA</v>
      </c>
      <c r="T55" s="40">
        <f>_xlfn.XLOOKUP($B55,'39'!$B:$B,'39'!T:T,)</f>
        <v>2021</v>
      </c>
      <c r="U55" s="40" t="str">
        <f>_xlfn.XLOOKUP($B55,'39'!$B:$B,'39'!U:U,)</f>
        <v>UK</v>
      </c>
      <c r="V55" s="40" t="str">
        <f>_xlfn.XLOOKUP($B55,'39'!$B:$B,'39'!V:V,)</f>
        <v>UK Wide</v>
      </c>
      <c r="W55" s="40" t="str">
        <f>_xlfn.XLOOKUP($B55,'39'!$B:$B,'39'!W:W,)</f>
        <v>Unknown</v>
      </c>
    </row>
    <row r="56" spans="2:23">
      <c r="B56" s="39" t="s">
        <v>3276</v>
      </c>
      <c r="C56" s="40" t="str">
        <f>_xlfn.XLOOKUP($B56,'39'!$B:$B,'39'!C:C,)</f>
        <v>Community engagement</v>
      </c>
      <c r="D56" s="40" t="str">
        <f>_xlfn.XLOOKUP($B56,'39'!$B:$B,'39'!D:D,)</f>
        <v>Non-company employees participating in volunteering</v>
      </c>
      <c r="E56" s="40" t="str">
        <f>_xlfn.XLOOKUP($B56,'39'!$B:$B,'39'!E:E,)</f>
        <v>Health and Wellbeing</v>
      </c>
      <c r="F56" s="40">
        <f>_xlfn.XLOOKUP($B56,'39'!$B:$B,'39'!F:F,)</f>
        <v>2021</v>
      </c>
      <c r="G56" s="40">
        <f>_xlfn.XLOOKUP($B56,'39'!$B:$B,'39'!G:G,)</f>
        <v>2020</v>
      </c>
      <c r="H56" s="40">
        <f>_xlfn.XLOOKUP($B56,'39'!$B:$B,'39'!H:H,)</f>
        <v>2023</v>
      </c>
      <c r="I56" s="40">
        <f>_xlfn.XLOOKUP($B56,'39'!$B:$B,'39'!I:I,)</f>
        <v>89.073499999999996</v>
      </c>
      <c r="J56" s="40">
        <f>_xlfn.XLOOKUP($B56,'39'!$B:$B,'39'!J:J,)</f>
        <v>100</v>
      </c>
      <c r="K56" s="629">
        <f>_xlfn.XLOOKUP($B56,'39'!$B:$B,'39'!K:K,)</f>
        <v>-911</v>
      </c>
      <c r="L56" s="629">
        <f>_xlfn.XLOOKUP($B56,'39'!$B:$B,'39'!L:L,)</f>
        <v>-1022.7508742779839</v>
      </c>
      <c r="M56" s="40" t="str">
        <f>_xlfn.XLOOKUP($B56,'39'!$B:$B,'39'!M:M,)</f>
        <v>wellbeing valuation</v>
      </c>
      <c r="N56" s="326">
        <f>_xlfn.XLOOKUP($B56,'39'!$B:$B,'39'!N:N,)</f>
        <v>3</v>
      </c>
      <c r="O56" s="40" t="str">
        <f>_xlfn.XLOOKUP($B56,'39'!$B:$B,'39'!O:O,)</f>
        <v>Yes</v>
      </c>
      <c r="P56" s="40" t="str">
        <f>_xlfn.XLOOKUP($B56,'39'!$B:$B,'39'!P:P,)</f>
        <v>Compared to the value provided by HACT, the method is more transparent including the base year. This value is from a recent study (original source 2021) and relates strongly to the impact pathway.</v>
      </c>
      <c r="Q56" s="40">
        <f>_xlfn.XLOOKUP($B56,'39'!$B:$B,'39'!Q:Q,)</f>
        <v>20</v>
      </c>
      <c r="R56" s="40" t="str">
        <f>_xlfn.XLOOKUP($B56,'39'!$B:$B,'39'!R:R,)</f>
        <v>HM Treasury (2021) Green Book supplementary guidance: wellbeing</v>
      </c>
      <c r="S56" s="40" t="str">
        <f>_xlfn.XLOOKUP($B56,'39'!$B:$B,'39'!S:S,)</f>
        <v>ENCA</v>
      </c>
      <c r="T56" s="40">
        <f>_xlfn.XLOOKUP($B56,'39'!$B:$B,'39'!T:T,)</f>
        <v>2021</v>
      </c>
      <c r="U56" s="40" t="str">
        <f>_xlfn.XLOOKUP($B56,'39'!$B:$B,'39'!U:U,)</f>
        <v>UK</v>
      </c>
      <c r="V56" s="40" t="str">
        <f>_xlfn.XLOOKUP($B56,'39'!$B:$B,'39'!V:V,)</f>
        <v>UK Wide</v>
      </c>
      <c r="W56" s="40" t="str">
        <f>_xlfn.XLOOKUP($B56,'39'!$B:$B,'39'!W:W,)</f>
        <v>Unknown</v>
      </c>
    </row>
    <row r="57" spans="2:23">
      <c r="B57" s="39" t="s">
        <v>3256</v>
      </c>
      <c r="C57" s="40" t="str">
        <f>_xlfn.XLOOKUP($B57,'39'!$B:$B,'39'!C:C,)</f>
        <v>Community engagement</v>
      </c>
      <c r="D57" s="40" t="str">
        <f>_xlfn.XLOOKUP($B57,'39'!$B:$B,'39'!D:D,)</f>
        <v>Company employees participating in volunteering</v>
      </c>
      <c r="E57" s="40" t="str">
        <f>_xlfn.XLOOKUP($B57,'39'!$B:$B,'39'!E:E,)</f>
        <v>Local Economy</v>
      </c>
      <c r="F57" s="40">
        <f>_xlfn.XLOOKUP($B57,'39'!$B:$B,'39'!F:F,)</f>
        <v>2013</v>
      </c>
      <c r="G57" s="40">
        <f>_xlfn.XLOOKUP($B57,'39'!$B:$B,'39'!G:G,)</f>
        <v>2012</v>
      </c>
      <c r="H57" s="40">
        <f>_xlfn.XLOOKUP($B57,'39'!$B:$B,'39'!H:H,)</f>
        <v>2023</v>
      </c>
      <c r="I57" s="40">
        <f>_xlfn.XLOOKUP($B57,'39'!$B:$B,'39'!I:I,)</f>
        <v>75.139399999999995</v>
      </c>
      <c r="J57" s="40">
        <f>_xlfn.XLOOKUP($B57,'39'!$B:$B,'39'!J:J,)</f>
        <v>100</v>
      </c>
      <c r="K57" s="629">
        <f>_xlfn.XLOOKUP($B57,'39'!$B:$B,'39'!K:K,)</f>
        <v>-132.61727583846681</v>
      </c>
      <c r="L57" s="629">
        <f>_xlfn.XLOOKUP($B57,'39'!$B:$B,'39'!L:L,)</f>
        <v>-176.49498909821853</v>
      </c>
      <c r="M57" s="40" t="str">
        <f>_xlfn.XLOOKUP($B57,'39'!$B:$B,'39'!M:M,)</f>
        <v>Replacement cost of volunteering hour</v>
      </c>
      <c r="N57" s="326">
        <f>_xlfn.XLOOKUP($B57,'39'!$B:$B,'39'!N:N,)</f>
        <v>2.3333333333333335</v>
      </c>
      <c r="O57" s="40" t="str">
        <f>_xlfn.XLOOKUP($B57,'39'!$B:$B,'39'!O:O,)</f>
        <v>Yes</v>
      </c>
      <c r="P57" s="40" t="str">
        <f>_xlfn.XLOOKUP($B57,'39'!$B:$B,'39'!P:P,)</f>
        <v>For volunteering days done by employees or non-employees this is not expected to be an exact replacement of their usual skilled paid role. Therefore the value created by their volunteering is better represented by a value for value created from all volunteering hours, rather than their GVA.</v>
      </c>
      <c r="Q57" s="40">
        <f>_xlfn.XLOOKUP($B57,'39'!$B:$B,'39'!Q:Q,)</f>
        <v>25</v>
      </c>
      <c r="R57" s="40" t="str">
        <f>_xlfn.XLOOKUP($B57,'39'!$B:$B,'39'!R:R,)</f>
        <v>ONS (2017) Changes in the value and division of unpaid volunteering in the UK: 2000 to 2015</v>
      </c>
      <c r="S57" s="40" t="str">
        <f>_xlfn.XLOOKUP($B57,'39'!$B:$B,'39'!S:S,)</f>
        <v>ENCA</v>
      </c>
      <c r="T57" s="40">
        <f>_xlfn.XLOOKUP($B57,'39'!$B:$B,'39'!T:T,)</f>
        <v>2013</v>
      </c>
      <c r="U57" s="40" t="str">
        <f>_xlfn.XLOOKUP($B57,'39'!$B:$B,'39'!U:U,)</f>
        <v>UK</v>
      </c>
      <c r="V57" s="40" t="str">
        <f>_xlfn.XLOOKUP($B57,'39'!$B:$B,'39'!V:V,)</f>
        <v>National average</v>
      </c>
      <c r="W57" s="40" t="str">
        <f>_xlfn.XLOOKUP($B57,'39'!$B:$B,'39'!W:W,)</f>
        <v>N/A</v>
      </c>
    </row>
    <row r="58" spans="2:23">
      <c r="B58" s="39" t="s">
        <v>3257</v>
      </c>
      <c r="C58" s="40" t="str">
        <f>_xlfn.XLOOKUP($B58,'39'!$B:$B,'39'!C:C,)</f>
        <v>Community engagement</v>
      </c>
      <c r="D58" s="40" t="str">
        <f>_xlfn.XLOOKUP($B58,'39'!$B:$B,'39'!D:D,)</f>
        <v>Non-company employees participating in volunteering</v>
      </c>
      <c r="E58" s="40" t="str">
        <f>_xlfn.XLOOKUP($B58,'39'!$B:$B,'39'!E:E,)</f>
        <v>Local Economy</v>
      </c>
      <c r="F58" s="40">
        <f>_xlfn.XLOOKUP($B58,'39'!$B:$B,'39'!F:F,)</f>
        <v>2013</v>
      </c>
      <c r="G58" s="40">
        <f>_xlfn.XLOOKUP($B58,'39'!$B:$B,'39'!G:G,)</f>
        <v>2012</v>
      </c>
      <c r="H58" s="40">
        <f>_xlfn.XLOOKUP($B58,'39'!$B:$B,'39'!H:H,)</f>
        <v>2023</v>
      </c>
      <c r="I58" s="40">
        <f>_xlfn.XLOOKUP($B58,'39'!$B:$B,'39'!I:I,)</f>
        <v>75.139399999999995</v>
      </c>
      <c r="J58" s="40">
        <f>_xlfn.XLOOKUP($B58,'39'!$B:$B,'39'!J:J,)</f>
        <v>100</v>
      </c>
      <c r="K58" s="629">
        <f>_xlfn.XLOOKUP($B58,'39'!$B:$B,'39'!K:K,)</f>
        <v>-132.61727583846681</v>
      </c>
      <c r="L58" s="629">
        <f>_xlfn.XLOOKUP($B58,'39'!$B:$B,'39'!L:L,)</f>
        <v>-176.49498909821853</v>
      </c>
      <c r="M58" s="40" t="str">
        <f>_xlfn.XLOOKUP($B58,'39'!$B:$B,'39'!M:M,)</f>
        <v>Replacement cost of volunteering hour</v>
      </c>
      <c r="N58" s="326">
        <f>_xlfn.XLOOKUP($B58,'39'!$B:$B,'39'!N:N,)</f>
        <v>2.3333333333333335</v>
      </c>
      <c r="O58" s="40" t="str">
        <f>_xlfn.XLOOKUP($B58,'39'!$B:$B,'39'!O:O,)</f>
        <v>Yes</v>
      </c>
      <c r="P58" s="40" t="str">
        <f>_xlfn.XLOOKUP($B58,'39'!$B:$B,'39'!P:P,)</f>
        <v>For volunteering days done by employees or non-employees this is not expected to be an exact replacement of their usual skilled paid role. Therefore the value created by their volunteering is better represented by a value for value created from all volunteering hours, rather than their GVA.</v>
      </c>
      <c r="Q58" s="40">
        <f>_xlfn.XLOOKUP($B58,'39'!$B:$B,'39'!Q:Q,)</f>
        <v>25</v>
      </c>
      <c r="R58" s="40" t="str">
        <f>_xlfn.XLOOKUP($B58,'39'!$B:$B,'39'!R:R,)</f>
        <v>ONS (2017) Changes in the value and division of unpaid volunteering in the UK: 2000 to 2015</v>
      </c>
      <c r="S58" s="40" t="str">
        <f>_xlfn.XLOOKUP($B58,'39'!$B:$B,'39'!S:S,)</f>
        <v>ENCA</v>
      </c>
      <c r="T58" s="40">
        <f>_xlfn.XLOOKUP($B58,'39'!$B:$B,'39'!T:T,)</f>
        <v>2013</v>
      </c>
      <c r="U58" s="40" t="str">
        <f>_xlfn.XLOOKUP($B58,'39'!$B:$B,'39'!U:U,)</f>
        <v>UK</v>
      </c>
      <c r="V58" s="40" t="str">
        <f>_xlfn.XLOOKUP($B58,'39'!$B:$B,'39'!V:V,)</f>
        <v>National average</v>
      </c>
      <c r="W58" s="40" t="str">
        <f>_xlfn.XLOOKUP($B58,'39'!$B:$B,'39'!W:W,)</f>
        <v>N/A</v>
      </c>
    </row>
    <row r="59" spans="2:23">
      <c r="B59" s="39" t="s">
        <v>1061</v>
      </c>
      <c r="C59" s="40" t="str">
        <f>_xlfn.XLOOKUP($B59,'2'!$B:$B,'2'!C:C,)</f>
        <v>Drinking water quality (appearance, taste and odour)</v>
      </c>
      <c r="D59" s="40" t="str">
        <f>_xlfn.XLOOKUP($B59,'2'!$B:$B,'2'!D:D,)</f>
        <v>Taste &amp; Odour Complaints - chlorine</v>
      </c>
      <c r="E59" s="40" t="str">
        <f>_xlfn.XLOOKUP($B59,'2'!$B:$B,'2'!E:E,)</f>
        <v>Quality of place</v>
      </c>
      <c r="F59" s="40">
        <f>_xlfn.XLOOKUP($B59,'2'!$B:$B,'2'!F:F,)</f>
        <v>2023</v>
      </c>
      <c r="G59" s="40">
        <f>_xlfn.XLOOKUP($B59,'2'!$B:$B,'2'!G:G,)</f>
        <v>2022</v>
      </c>
      <c r="H59" s="40">
        <f>_xlfn.XLOOKUP($B59,'2'!$B:$B,'2'!H:H,)</f>
        <v>2023</v>
      </c>
      <c r="I59" s="40">
        <f>_xlfn.XLOOKUP($B59,'2'!$B:$B,'2'!I:I,)</f>
        <v>93.351699999999994</v>
      </c>
      <c r="J59" s="40">
        <f>_xlfn.XLOOKUP($B59,'2'!$B:$B,'2'!J:J,)</f>
        <v>100</v>
      </c>
      <c r="K59" s="629">
        <f>_xlfn.XLOOKUP($B59,'2'!$B:$B,'2'!K:K,)</f>
        <v>71</v>
      </c>
      <c r="L59" s="629">
        <f>_xlfn.XLOOKUP($B59,'2'!$B:$B,'2'!L:L,)</f>
        <v>76.05646174627779</v>
      </c>
      <c r="M59" s="40" t="str">
        <f>_xlfn.XLOOKUP($B59,'2'!$B:$B,'2'!M:M,)</f>
        <v>Willingness to Accept</v>
      </c>
      <c r="N59" s="326">
        <f>_xlfn.XLOOKUP($B59,'2'!$B:$B,'2'!N:N,)</f>
        <v>2.5</v>
      </c>
      <c r="O59" s="40" t="str">
        <f>_xlfn.XLOOKUP($B59,'2'!$B:$B,'2'!O:O,)</f>
        <v>Yes</v>
      </c>
      <c r="P59" s="40" t="str">
        <f>_xlfn.XLOOKUP($B59,'2'!$B:$B,'2'!P:P,)</f>
        <v>Uses industry-wide values</v>
      </c>
      <c r="Q59" s="40">
        <f>_xlfn.XLOOKUP($B59,'2'!$B:$B,'2'!Q:Q,)</f>
        <v>16</v>
      </c>
      <c r="R59" s="40" t="str">
        <f>_xlfn.XLOOKUP($B59,'2'!$B:$B,'2'!R:R,)</f>
        <v>Ofwat (2023) PR24: Using collaborative customer research to set outcome delivery incentive rates.</v>
      </c>
      <c r="S59" s="40" t="str">
        <f>_xlfn.XLOOKUP($B59,'2'!$B:$B,'2'!S:S,)</f>
        <v>/</v>
      </c>
      <c r="T59" s="40">
        <f>_xlfn.XLOOKUP($B59,'2'!$B:$B,'2'!T:T,)</f>
        <v>2023</v>
      </c>
      <c r="U59" s="40" t="str">
        <f>_xlfn.XLOOKUP($B59,'2'!$B:$B,'2'!U:U,)</f>
        <v>UK</v>
      </c>
      <c r="V59" s="40" t="str">
        <f>_xlfn.XLOOKUP($B59,'2'!$B:$B,'2'!V:V,)</f>
        <v>England and Wales</v>
      </c>
      <c r="W59" s="40" t="str">
        <f>_xlfn.XLOOKUP($B59,'2'!$B:$B,'2'!W:W,)</f>
        <v>12,567 household interviews, 3,728 non-household interviews</v>
      </c>
    </row>
    <row r="60" spans="2:23">
      <c r="B60" s="39" t="s">
        <v>1062</v>
      </c>
      <c r="C60" s="40" t="str">
        <f>_xlfn.XLOOKUP($B60,'2'!$B:$B,'2'!C:C,)</f>
        <v>Drinking water quality (appearance, taste and odour)</v>
      </c>
      <c r="D60" s="40" t="str">
        <f>_xlfn.XLOOKUP($B60,'2'!$B:$B,'2'!D:D,)</f>
        <v>Taste &amp; Odour Complaints - earthy/musty</v>
      </c>
      <c r="E60" s="40" t="str">
        <f>_xlfn.XLOOKUP($B60,'2'!$B:$B,'2'!E:E,)</f>
        <v>Quality of place</v>
      </c>
      <c r="F60" s="40">
        <f>_xlfn.XLOOKUP($B60,'2'!$B:$B,'2'!F:F,)</f>
        <v>2023</v>
      </c>
      <c r="G60" s="40">
        <f>_xlfn.XLOOKUP($B60,'2'!$B:$B,'2'!G:G,)</f>
        <v>2022</v>
      </c>
      <c r="H60" s="40">
        <f>_xlfn.XLOOKUP($B60,'2'!$B:$B,'2'!H:H,)</f>
        <v>2023</v>
      </c>
      <c r="I60" s="40">
        <f>_xlfn.XLOOKUP($B60,'2'!$B:$B,'2'!I:I,)</f>
        <v>93.351699999999994</v>
      </c>
      <c r="J60" s="40">
        <f>_xlfn.XLOOKUP($B60,'2'!$B:$B,'2'!J:J,)</f>
        <v>100</v>
      </c>
      <c r="K60" s="629">
        <f>_xlfn.XLOOKUP($B60,'2'!$B:$B,'2'!K:K,)</f>
        <v>71</v>
      </c>
      <c r="L60" s="629">
        <f>_xlfn.XLOOKUP($B60,'2'!$B:$B,'2'!L:L,)</f>
        <v>76.05646174627779</v>
      </c>
      <c r="M60" s="40" t="str">
        <f>_xlfn.XLOOKUP($B60,'2'!$B:$B,'2'!M:M,)</f>
        <v>Willingness to Accept</v>
      </c>
      <c r="N60" s="326">
        <f>_xlfn.XLOOKUP($B60,'2'!$B:$B,'2'!N:N,)</f>
        <v>2.5</v>
      </c>
      <c r="O60" s="40" t="str">
        <f>_xlfn.XLOOKUP($B60,'2'!$B:$B,'2'!O:O,)</f>
        <v>Yes</v>
      </c>
      <c r="P60" s="40" t="str">
        <f>_xlfn.XLOOKUP($B60,'2'!$B:$B,'2'!P:P,)</f>
        <v>Uses industry-wide values</v>
      </c>
      <c r="Q60" s="40">
        <f>_xlfn.XLOOKUP($B60,'2'!$B:$B,'2'!Q:Q,)</f>
        <v>16</v>
      </c>
      <c r="R60" s="40" t="str">
        <f>_xlfn.XLOOKUP($B60,'2'!$B:$B,'2'!R:R,)</f>
        <v>Ofwat (2023) PR24: Using collaborative customer research to set outcome delivery incentive rates.</v>
      </c>
      <c r="S60" s="40" t="str">
        <f>_xlfn.XLOOKUP($B60,'2'!$B:$B,'2'!S:S,)</f>
        <v>/</v>
      </c>
      <c r="T60" s="40">
        <f>_xlfn.XLOOKUP($B60,'2'!$B:$B,'2'!T:T,)</f>
        <v>2023</v>
      </c>
      <c r="U60" s="40" t="str">
        <f>_xlfn.XLOOKUP($B60,'2'!$B:$B,'2'!U:U,)</f>
        <v>UK</v>
      </c>
      <c r="V60" s="40" t="str">
        <f>_xlfn.XLOOKUP($B60,'2'!$B:$B,'2'!V:V,)</f>
        <v>England and Wales</v>
      </c>
      <c r="W60" s="40" t="str">
        <f>_xlfn.XLOOKUP($B60,'2'!$B:$B,'2'!W:W,)</f>
        <v>12,567 household interviews, 3,728 non-household interviews</v>
      </c>
    </row>
    <row r="61" spans="2:23">
      <c r="B61" s="39" t="s">
        <v>1063</v>
      </c>
      <c r="C61" s="40" t="str">
        <f>_xlfn.XLOOKUP($B61,'2'!$B:$B,'2'!C:C,)</f>
        <v>Drinking water quality (appearance, taste and odour)</v>
      </c>
      <c r="D61" s="40" t="str">
        <f>_xlfn.XLOOKUP($B61,'2'!$B:$B,'2'!D:D,)</f>
        <v>Taste &amp; Odour Complaints - petrol/diesel</v>
      </c>
      <c r="E61" s="40" t="str">
        <f>_xlfn.XLOOKUP($B61,'2'!$B:$B,'2'!E:E,)</f>
        <v>Quality of place</v>
      </c>
      <c r="F61" s="40">
        <f>_xlfn.XLOOKUP($B61,'2'!$B:$B,'2'!F:F,)</f>
        <v>2023</v>
      </c>
      <c r="G61" s="40">
        <f>_xlfn.XLOOKUP($B61,'2'!$B:$B,'2'!G:G,)</f>
        <v>2022</v>
      </c>
      <c r="H61" s="40">
        <f>_xlfn.XLOOKUP($B61,'2'!$B:$B,'2'!H:H,)</f>
        <v>2023</v>
      </c>
      <c r="I61" s="40">
        <f>_xlfn.XLOOKUP($B61,'2'!$B:$B,'2'!I:I,)</f>
        <v>93.351699999999994</v>
      </c>
      <c r="J61" s="40">
        <f>_xlfn.XLOOKUP($B61,'2'!$B:$B,'2'!J:J,)</f>
        <v>100</v>
      </c>
      <c r="K61" s="629">
        <f>_xlfn.XLOOKUP($B61,'2'!$B:$B,'2'!K:K,)</f>
        <v>71</v>
      </c>
      <c r="L61" s="629">
        <f>_xlfn.XLOOKUP($B61,'2'!$B:$B,'2'!L:L,)</f>
        <v>76.05646174627779</v>
      </c>
      <c r="M61" s="40" t="str">
        <f>_xlfn.XLOOKUP($B61,'2'!$B:$B,'2'!M:M,)</f>
        <v>Willingness to Accept</v>
      </c>
      <c r="N61" s="326">
        <f>_xlfn.XLOOKUP($B61,'2'!$B:$B,'2'!N:N,)</f>
        <v>2.5</v>
      </c>
      <c r="O61" s="40" t="str">
        <f>_xlfn.XLOOKUP($B61,'2'!$B:$B,'2'!O:O,)</f>
        <v>Yes</v>
      </c>
      <c r="P61" s="40" t="str">
        <f>_xlfn.XLOOKUP($B61,'2'!$B:$B,'2'!P:P,)</f>
        <v>Uses industry-wide values</v>
      </c>
      <c r="Q61" s="40">
        <f>_xlfn.XLOOKUP($B61,'2'!$B:$B,'2'!Q:Q,)</f>
        <v>16</v>
      </c>
      <c r="R61" s="40" t="str">
        <f>_xlfn.XLOOKUP($B61,'2'!$B:$B,'2'!R:R,)</f>
        <v>Ofwat (2023) PR24: Using collaborative customer research to set outcome delivery incentive rates.</v>
      </c>
      <c r="S61" s="40" t="str">
        <f>_xlfn.XLOOKUP($B61,'2'!$B:$B,'2'!S:S,)</f>
        <v>/</v>
      </c>
      <c r="T61" s="40">
        <f>_xlfn.XLOOKUP($B61,'2'!$B:$B,'2'!T:T,)</f>
        <v>2023</v>
      </c>
      <c r="U61" s="40" t="str">
        <f>_xlfn.XLOOKUP($B61,'2'!$B:$B,'2'!U:U,)</f>
        <v>UK</v>
      </c>
      <c r="V61" s="40" t="str">
        <f>_xlfn.XLOOKUP($B61,'2'!$B:$B,'2'!V:V,)</f>
        <v>England and Wales</v>
      </c>
      <c r="W61" s="40" t="str">
        <f>_xlfn.XLOOKUP($B61,'2'!$B:$B,'2'!W:W,)</f>
        <v>12,567 household interviews, 3,728 non-household interviews</v>
      </c>
    </row>
    <row r="62" spans="2:23">
      <c r="B62" s="39" t="s">
        <v>1064</v>
      </c>
      <c r="C62" s="40" t="str">
        <f>_xlfn.XLOOKUP($B62,'2'!$B:$B,'2'!C:C,)</f>
        <v>Drinking water quality (appearance, taste and odour)</v>
      </c>
      <c r="D62" s="40" t="str">
        <f>_xlfn.XLOOKUP($B62,'2'!$B:$B,'2'!D:D,)</f>
        <v>Taste &amp; Odour Complaints - other causes</v>
      </c>
      <c r="E62" s="40" t="str">
        <f>_xlfn.XLOOKUP($B62,'2'!$B:$B,'2'!E:E,)</f>
        <v>Quality of place</v>
      </c>
      <c r="F62" s="40">
        <f>_xlfn.XLOOKUP($B62,'2'!$B:$B,'2'!F:F,)</f>
        <v>2023</v>
      </c>
      <c r="G62" s="40">
        <f>_xlfn.XLOOKUP($B62,'2'!$B:$B,'2'!G:G,)</f>
        <v>2022</v>
      </c>
      <c r="H62" s="40">
        <f>_xlfn.XLOOKUP($B62,'2'!$B:$B,'2'!H:H,)</f>
        <v>2023</v>
      </c>
      <c r="I62" s="40">
        <f>_xlfn.XLOOKUP($B62,'2'!$B:$B,'2'!I:I,)</f>
        <v>93.351699999999994</v>
      </c>
      <c r="J62" s="40">
        <f>_xlfn.XLOOKUP($B62,'2'!$B:$B,'2'!J:J,)</f>
        <v>100</v>
      </c>
      <c r="K62" s="629">
        <f>_xlfn.XLOOKUP($B62,'2'!$B:$B,'2'!K:K,)</f>
        <v>71</v>
      </c>
      <c r="L62" s="629">
        <f>_xlfn.XLOOKUP($B62,'2'!$B:$B,'2'!L:L,)</f>
        <v>76.05646174627779</v>
      </c>
      <c r="M62" s="40" t="str">
        <f>_xlfn.XLOOKUP($B62,'2'!$B:$B,'2'!M:M,)</f>
        <v>Willingness to Accept</v>
      </c>
      <c r="N62" s="326">
        <f>_xlfn.XLOOKUP($B62,'2'!$B:$B,'2'!N:N,)</f>
        <v>2.5</v>
      </c>
      <c r="O62" s="40" t="str">
        <f>_xlfn.XLOOKUP($B62,'2'!$B:$B,'2'!O:O,)</f>
        <v>Yes</v>
      </c>
      <c r="P62" s="40" t="str">
        <f>_xlfn.XLOOKUP($B62,'2'!$B:$B,'2'!P:P,)</f>
        <v>Uses industry-wide values</v>
      </c>
      <c r="Q62" s="40">
        <f>_xlfn.XLOOKUP($B62,'2'!$B:$B,'2'!Q:Q,)</f>
        <v>16</v>
      </c>
      <c r="R62" s="40" t="str">
        <f>_xlfn.XLOOKUP($B62,'2'!$B:$B,'2'!R:R,)</f>
        <v>Ofwat (2023) PR24: Using collaborative customer research to set outcome delivery incentive rates.</v>
      </c>
      <c r="S62" s="40" t="str">
        <f>_xlfn.XLOOKUP($B62,'2'!$B:$B,'2'!S:S,)</f>
        <v>/</v>
      </c>
      <c r="T62" s="40">
        <f>_xlfn.XLOOKUP($B62,'2'!$B:$B,'2'!T:T,)</f>
        <v>2023</v>
      </c>
      <c r="U62" s="40" t="str">
        <f>_xlfn.XLOOKUP($B62,'2'!$B:$B,'2'!U:U,)</f>
        <v>UK</v>
      </c>
      <c r="V62" s="40" t="str">
        <f>_xlfn.XLOOKUP($B62,'2'!$B:$B,'2'!V:V,)</f>
        <v>England and Wales</v>
      </c>
      <c r="W62" s="40" t="str">
        <f>_xlfn.XLOOKUP($B62,'2'!$B:$B,'2'!W:W,)</f>
        <v>12,567 household interviews, 3,728 non-household interviews</v>
      </c>
    </row>
    <row r="63" spans="2:23">
      <c r="B63" s="39" t="s">
        <v>1065</v>
      </c>
      <c r="C63" s="40" t="str">
        <f>_xlfn.XLOOKUP($B63,'2'!$B:$B,'2'!C:C,)</f>
        <v>Drinking water quality (appearance, taste and odour)</v>
      </c>
      <c r="D63" s="40" t="str">
        <f>_xlfn.XLOOKUP($B63,'2'!$B:$B,'2'!D:D,)</f>
        <v>Appearance Complaints - discoloured water (brown/black/orange)</v>
      </c>
      <c r="E63" s="40" t="str">
        <f>_xlfn.XLOOKUP($B63,'2'!$B:$B,'2'!E:E,)</f>
        <v>Quality of place</v>
      </c>
      <c r="F63" s="40">
        <f>_xlfn.XLOOKUP($B63,'2'!$B:$B,'2'!F:F,)</f>
        <v>2023</v>
      </c>
      <c r="G63" s="40">
        <f>_xlfn.XLOOKUP($B63,'2'!$B:$B,'2'!G:G,)</f>
        <v>2022</v>
      </c>
      <c r="H63" s="40">
        <f>_xlfn.XLOOKUP($B63,'2'!$B:$B,'2'!H:H,)</f>
        <v>2023</v>
      </c>
      <c r="I63" s="40">
        <f>_xlfn.XLOOKUP($B63,'2'!$B:$B,'2'!I:I,)</f>
        <v>93.351699999999994</v>
      </c>
      <c r="J63" s="40">
        <f>_xlfn.XLOOKUP($B63,'2'!$B:$B,'2'!J:J,)</f>
        <v>100</v>
      </c>
      <c r="K63" s="629">
        <f>_xlfn.XLOOKUP($B63,'2'!$B:$B,'2'!K:K,)</f>
        <v>71</v>
      </c>
      <c r="L63" s="629">
        <f>_xlfn.XLOOKUP($B63,'2'!$B:$B,'2'!L:L,)</f>
        <v>76.05646174627779</v>
      </c>
      <c r="M63" s="40" t="str">
        <f>_xlfn.XLOOKUP($B63,'2'!$B:$B,'2'!M:M,)</f>
        <v>Willingness to Accept</v>
      </c>
      <c r="N63" s="326">
        <f>_xlfn.XLOOKUP($B63,'2'!$B:$B,'2'!N:N,)</f>
        <v>2.5</v>
      </c>
      <c r="O63" s="40" t="str">
        <f>_xlfn.XLOOKUP($B63,'2'!$B:$B,'2'!O:O,)</f>
        <v>Yes</v>
      </c>
      <c r="P63" s="40" t="str">
        <f>_xlfn.XLOOKUP($B63,'2'!$B:$B,'2'!P:P,)</f>
        <v>Uses industry-wide values</v>
      </c>
      <c r="Q63" s="40">
        <f>_xlfn.XLOOKUP($B63,'2'!$B:$B,'2'!Q:Q,)</f>
        <v>16</v>
      </c>
      <c r="R63" s="40" t="str">
        <f>_xlfn.XLOOKUP($B63,'2'!$B:$B,'2'!R:R,)</f>
        <v>Ofwat (2023) PR24: Using collaborative customer research to set outcome delivery incentive rates.</v>
      </c>
      <c r="S63" s="40" t="str">
        <f>_xlfn.XLOOKUP($B63,'2'!$B:$B,'2'!S:S,)</f>
        <v>/</v>
      </c>
      <c r="T63" s="40">
        <f>_xlfn.XLOOKUP($B63,'2'!$B:$B,'2'!T:T,)</f>
        <v>2023</v>
      </c>
      <c r="U63" s="40" t="str">
        <f>_xlfn.XLOOKUP($B63,'2'!$B:$B,'2'!U:U,)</f>
        <v>UK</v>
      </c>
      <c r="V63" s="40" t="str">
        <f>_xlfn.XLOOKUP($B63,'2'!$B:$B,'2'!V:V,)</f>
        <v>England and Wales</v>
      </c>
      <c r="W63" s="40" t="str">
        <f>_xlfn.XLOOKUP($B63,'2'!$B:$B,'2'!W:W,)</f>
        <v>12,567 household interviews, 3,728 non-household interviews</v>
      </c>
    </row>
    <row r="64" spans="2:23">
      <c r="B64" s="39" t="s">
        <v>1066</v>
      </c>
      <c r="C64" s="40" t="str">
        <f>_xlfn.XLOOKUP($B64,'2'!$B:$B,'2'!C:C,)</f>
        <v>Drinking water quality (appearance, taste and odour)</v>
      </c>
      <c r="D64" s="40" t="str">
        <f>_xlfn.XLOOKUP($B64,'2'!$B:$B,'2'!D:D,)</f>
        <v>Appearance Complaints - discoloured water (blue/green)</v>
      </c>
      <c r="E64" s="40" t="str">
        <f>_xlfn.XLOOKUP($B64,'2'!$B:$B,'2'!E:E,)</f>
        <v>Quality of place</v>
      </c>
      <c r="F64" s="40">
        <f>_xlfn.XLOOKUP($B64,'2'!$B:$B,'2'!F:F,)</f>
        <v>2023</v>
      </c>
      <c r="G64" s="40">
        <f>_xlfn.XLOOKUP($B64,'2'!$B:$B,'2'!G:G,)</f>
        <v>2022</v>
      </c>
      <c r="H64" s="40">
        <f>_xlfn.XLOOKUP($B64,'2'!$B:$B,'2'!H:H,)</f>
        <v>2023</v>
      </c>
      <c r="I64" s="40">
        <f>_xlfn.XLOOKUP($B64,'2'!$B:$B,'2'!I:I,)</f>
        <v>93.351699999999994</v>
      </c>
      <c r="J64" s="40">
        <f>_xlfn.XLOOKUP($B64,'2'!$B:$B,'2'!J:J,)</f>
        <v>100</v>
      </c>
      <c r="K64" s="629">
        <f>_xlfn.XLOOKUP($B64,'2'!$B:$B,'2'!K:K,)</f>
        <v>71</v>
      </c>
      <c r="L64" s="629">
        <f>_xlfn.XLOOKUP($B64,'2'!$B:$B,'2'!L:L,)</f>
        <v>76.05646174627779</v>
      </c>
      <c r="M64" s="40" t="str">
        <f>_xlfn.XLOOKUP($B64,'2'!$B:$B,'2'!M:M,)</f>
        <v>Willingness to Accept</v>
      </c>
      <c r="N64" s="326">
        <f>_xlfn.XLOOKUP($B64,'2'!$B:$B,'2'!N:N,)</f>
        <v>2.5</v>
      </c>
      <c r="O64" s="40" t="str">
        <f>_xlfn.XLOOKUP($B64,'2'!$B:$B,'2'!O:O,)</f>
        <v>Yes</v>
      </c>
      <c r="P64" s="40" t="str">
        <f>_xlfn.XLOOKUP($B64,'2'!$B:$B,'2'!P:P,)</f>
        <v>Uses industry-wide values</v>
      </c>
      <c r="Q64" s="40">
        <f>_xlfn.XLOOKUP($B64,'2'!$B:$B,'2'!Q:Q,)</f>
        <v>16</v>
      </c>
      <c r="R64" s="40" t="str">
        <f>_xlfn.XLOOKUP($B64,'2'!$B:$B,'2'!R:R,)</f>
        <v>Ofwat (2023) PR24: Using collaborative customer research to set outcome delivery incentive rates.</v>
      </c>
      <c r="S64" s="40" t="str">
        <f>_xlfn.XLOOKUP($B64,'2'!$B:$B,'2'!S:S,)</f>
        <v>/</v>
      </c>
      <c r="T64" s="40">
        <f>_xlfn.XLOOKUP($B64,'2'!$B:$B,'2'!T:T,)</f>
        <v>2023</v>
      </c>
      <c r="U64" s="40" t="str">
        <f>_xlfn.XLOOKUP($B64,'2'!$B:$B,'2'!U:U,)</f>
        <v>UK</v>
      </c>
      <c r="V64" s="40" t="str">
        <f>_xlfn.XLOOKUP($B64,'2'!$B:$B,'2'!V:V,)</f>
        <v>England and Wales</v>
      </c>
      <c r="W64" s="40" t="str">
        <f>_xlfn.XLOOKUP($B64,'2'!$B:$B,'2'!W:W,)</f>
        <v>12,567 household interviews, 3,728 non-household interviews</v>
      </c>
    </row>
    <row r="65" spans="2:23">
      <c r="B65" s="39" t="s">
        <v>1067</v>
      </c>
      <c r="C65" s="40" t="str">
        <f>_xlfn.XLOOKUP($B65,'2'!$B:$B,'2'!C:C,)</f>
        <v>Drinking water quality (appearance, taste and odour)</v>
      </c>
      <c r="D65" s="40" t="str">
        <f>_xlfn.XLOOKUP($B65,'2'!$B:$B,'2'!D:D,)</f>
        <v>Appearance Complaints - particles</v>
      </c>
      <c r="E65" s="40" t="str">
        <f>_xlfn.XLOOKUP($B65,'2'!$B:$B,'2'!E:E,)</f>
        <v>Quality of place</v>
      </c>
      <c r="F65" s="40">
        <f>_xlfn.XLOOKUP($B65,'2'!$B:$B,'2'!F:F,)</f>
        <v>2023</v>
      </c>
      <c r="G65" s="40">
        <f>_xlfn.XLOOKUP($B65,'2'!$B:$B,'2'!G:G,)</f>
        <v>2022</v>
      </c>
      <c r="H65" s="40">
        <f>_xlfn.XLOOKUP($B65,'2'!$B:$B,'2'!H:H,)</f>
        <v>2023</v>
      </c>
      <c r="I65" s="40">
        <f>_xlfn.XLOOKUP($B65,'2'!$B:$B,'2'!I:I,)</f>
        <v>93.351699999999994</v>
      </c>
      <c r="J65" s="40">
        <f>_xlfn.XLOOKUP($B65,'2'!$B:$B,'2'!J:J,)</f>
        <v>100</v>
      </c>
      <c r="K65" s="629">
        <f>_xlfn.XLOOKUP($B65,'2'!$B:$B,'2'!K:K,)</f>
        <v>71</v>
      </c>
      <c r="L65" s="629">
        <f>_xlfn.XLOOKUP($B65,'2'!$B:$B,'2'!L:L,)</f>
        <v>76.05646174627779</v>
      </c>
      <c r="M65" s="40" t="str">
        <f>_xlfn.XLOOKUP($B65,'2'!$B:$B,'2'!M:M,)</f>
        <v>Willingness to Accept</v>
      </c>
      <c r="N65" s="326">
        <f>_xlfn.XLOOKUP($B65,'2'!$B:$B,'2'!N:N,)</f>
        <v>2.5</v>
      </c>
      <c r="O65" s="40" t="str">
        <f>_xlfn.XLOOKUP($B65,'2'!$B:$B,'2'!O:O,)</f>
        <v>Yes</v>
      </c>
      <c r="P65" s="40" t="str">
        <f>_xlfn.XLOOKUP($B65,'2'!$B:$B,'2'!P:P,)</f>
        <v>Uses industry-wide values</v>
      </c>
      <c r="Q65" s="40">
        <f>_xlfn.XLOOKUP($B65,'2'!$B:$B,'2'!Q:Q,)</f>
        <v>16</v>
      </c>
      <c r="R65" s="40" t="str">
        <f>_xlfn.XLOOKUP($B65,'2'!$B:$B,'2'!R:R,)</f>
        <v>Ofwat (2023) PR24: Using collaborative customer research to set outcome delivery incentive rates.</v>
      </c>
      <c r="S65" s="40" t="str">
        <f>_xlfn.XLOOKUP($B65,'2'!$B:$B,'2'!S:S,)</f>
        <v>/</v>
      </c>
      <c r="T65" s="40">
        <f>_xlfn.XLOOKUP($B65,'2'!$B:$B,'2'!T:T,)</f>
        <v>2023</v>
      </c>
      <c r="U65" s="40" t="str">
        <f>_xlfn.XLOOKUP($B65,'2'!$B:$B,'2'!U:U,)</f>
        <v>UK</v>
      </c>
      <c r="V65" s="40" t="str">
        <f>_xlfn.XLOOKUP($B65,'2'!$B:$B,'2'!V:V,)</f>
        <v>England and Wales</v>
      </c>
      <c r="W65" s="40" t="str">
        <f>_xlfn.XLOOKUP($B65,'2'!$B:$B,'2'!W:W,)</f>
        <v>12,567 household interviews, 3,728 non-household interviews</v>
      </c>
    </row>
    <row r="66" spans="2:23">
      <c r="B66" s="39" t="s">
        <v>1068</v>
      </c>
      <c r="C66" s="40" t="str">
        <f>_xlfn.XLOOKUP($B66,'2'!$B:$B,'2'!C:C,)</f>
        <v>Drinking water quality (appearance, taste and odour)</v>
      </c>
      <c r="D66" s="40" t="str">
        <f>_xlfn.XLOOKUP($B66,'2'!$B:$B,'2'!D:D,)</f>
        <v>Appearance Complaints - white (air)</v>
      </c>
      <c r="E66" s="40" t="str">
        <f>_xlfn.XLOOKUP($B66,'2'!$B:$B,'2'!E:E,)</f>
        <v>Quality of place</v>
      </c>
      <c r="F66" s="40">
        <f>_xlfn.XLOOKUP($B66,'2'!$B:$B,'2'!F:F,)</f>
        <v>2023</v>
      </c>
      <c r="G66" s="40">
        <f>_xlfn.XLOOKUP($B66,'2'!$B:$B,'2'!G:G,)</f>
        <v>2022</v>
      </c>
      <c r="H66" s="40">
        <f>_xlfn.XLOOKUP($B66,'2'!$B:$B,'2'!H:H,)</f>
        <v>2023</v>
      </c>
      <c r="I66" s="40">
        <f>_xlfn.XLOOKUP($B66,'2'!$B:$B,'2'!I:I,)</f>
        <v>93.351699999999994</v>
      </c>
      <c r="J66" s="40">
        <f>_xlfn.XLOOKUP($B66,'2'!$B:$B,'2'!J:J,)</f>
        <v>100</v>
      </c>
      <c r="K66" s="629">
        <f>_xlfn.XLOOKUP($B66,'2'!$B:$B,'2'!K:K,)</f>
        <v>71</v>
      </c>
      <c r="L66" s="629">
        <f>_xlfn.XLOOKUP($B66,'2'!$B:$B,'2'!L:L,)</f>
        <v>76.05646174627779</v>
      </c>
      <c r="M66" s="40" t="str">
        <f>_xlfn.XLOOKUP($B66,'2'!$B:$B,'2'!M:M,)</f>
        <v>Willingness to Accept</v>
      </c>
      <c r="N66" s="326">
        <f>_xlfn.XLOOKUP($B66,'2'!$B:$B,'2'!N:N,)</f>
        <v>2.5</v>
      </c>
      <c r="O66" s="40" t="str">
        <f>_xlfn.XLOOKUP($B66,'2'!$B:$B,'2'!O:O,)</f>
        <v>Yes</v>
      </c>
      <c r="P66" s="40" t="str">
        <f>_xlfn.XLOOKUP($B66,'2'!$B:$B,'2'!P:P,)</f>
        <v>Uses industry-wide values</v>
      </c>
      <c r="Q66" s="40">
        <f>_xlfn.XLOOKUP($B66,'2'!$B:$B,'2'!Q:Q,)</f>
        <v>16</v>
      </c>
      <c r="R66" s="40" t="str">
        <f>_xlfn.XLOOKUP($B66,'2'!$B:$B,'2'!R:R,)</f>
        <v>Ofwat (2023) PR24: Using collaborative customer research to set outcome delivery incentive rates.</v>
      </c>
      <c r="S66" s="40" t="str">
        <f>_xlfn.XLOOKUP($B66,'2'!$B:$B,'2'!S:S,)</f>
        <v>/</v>
      </c>
      <c r="T66" s="40">
        <f>_xlfn.XLOOKUP($B66,'2'!$B:$B,'2'!T:T,)</f>
        <v>2023</v>
      </c>
      <c r="U66" s="40" t="str">
        <f>_xlfn.XLOOKUP($B66,'2'!$B:$B,'2'!U:U,)</f>
        <v>UK</v>
      </c>
      <c r="V66" s="40" t="str">
        <f>_xlfn.XLOOKUP($B66,'2'!$B:$B,'2'!V:V,)</f>
        <v>England and Wales</v>
      </c>
      <c r="W66" s="40" t="str">
        <f>_xlfn.XLOOKUP($B66,'2'!$B:$B,'2'!W:W,)</f>
        <v>12,567 household interviews, 3,728 non-household interviews</v>
      </c>
    </row>
    <row r="67" spans="2:23">
      <c r="B67" s="39" t="s">
        <v>1069</v>
      </c>
      <c r="C67" s="40" t="str">
        <f>_xlfn.XLOOKUP($B67,'2'!$B:$B,'2'!C:C,)</f>
        <v>Drinking water quality (appearance, taste and odour)</v>
      </c>
      <c r="D67" s="40" t="str">
        <f>_xlfn.XLOOKUP($B67,'2'!$B:$B,'2'!D:D,)</f>
        <v>Appearance Complaints - white (chalk)</v>
      </c>
      <c r="E67" s="40" t="str">
        <f>_xlfn.XLOOKUP($B67,'2'!$B:$B,'2'!E:E,)</f>
        <v>Quality of place</v>
      </c>
      <c r="F67" s="40">
        <f>_xlfn.XLOOKUP($B67,'2'!$B:$B,'2'!F:F,)</f>
        <v>2023</v>
      </c>
      <c r="G67" s="40">
        <f>_xlfn.XLOOKUP($B67,'2'!$B:$B,'2'!G:G,)</f>
        <v>2022</v>
      </c>
      <c r="H67" s="40">
        <f>_xlfn.XLOOKUP($B67,'2'!$B:$B,'2'!H:H,)</f>
        <v>2023</v>
      </c>
      <c r="I67" s="40">
        <f>_xlfn.XLOOKUP($B67,'2'!$B:$B,'2'!I:I,)</f>
        <v>93.351699999999994</v>
      </c>
      <c r="J67" s="40">
        <f>_xlfn.XLOOKUP($B67,'2'!$B:$B,'2'!J:J,)</f>
        <v>100</v>
      </c>
      <c r="K67" s="629">
        <f>_xlfn.XLOOKUP($B67,'2'!$B:$B,'2'!K:K,)</f>
        <v>71</v>
      </c>
      <c r="L67" s="629">
        <f>_xlfn.XLOOKUP($B67,'2'!$B:$B,'2'!L:L,)</f>
        <v>76.05646174627779</v>
      </c>
      <c r="M67" s="40" t="str">
        <f>_xlfn.XLOOKUP($B67,'2'!$B:$B,'2'!M:M,)</f>
        <v>Willingness to Accept</v>
      </c>
      <c r="N67" s="326">
        <f>_xlfn.XLOOKUP($B67,'2'!$B:$B,'2'!N:N,)</f>
        <v>2.5</v>
      </c>
      <c r="O67" s="40" t="str">
        <f>_xlfn.XLOOKUP($B67,'2'!$B:$B,'2'!O:O,)</f>
        <v>Yes</v>
      </c>
      <c r="P67" s="40" t="str">
        <f>_xlfn.XLOOKUP($B67,'2'!$B:$B,'2'!P:P,)</f>
        <v>Uses industry-wide values</v>
      </c>
      <c r="Q67" s="40">
        <f>_xlfn.XLOOKUP($B67,'2'!$B:$B,'2'!Q:Q,)</f>
        <v>16</v>
      </c>
      <c r="R67" s="40" t="str">
        <f>_xlfn.XLOOKUP($B67,'2'!$B:$B,'2'!R:R,)</f>
        <v>Ofwat (2023) PR24: Using collaborative customer research to set outcome delivery incentive rates.</v>
      </c>
      <c r="S67" s="40" t="str">
        <f>_xlfn.XLOOKUP($B67,'2'!$B:$B,'2'!S:S,)</f>
        <v>/</v>
      </c>
      <c r="T67" s="40">
        <f>_xlfn.XLOOKUP($B67,'2'!$B:$B,'2'!T:T,)</f>
        <v>2023</v>
      </c>
      <c r="U67" s="40" t="str">
        <f>_xlfn.XLOOKUP($B67,'2'!$B:$B,'2'!U:U,)</f>
        <v>UK</v>
      </c>
      <c r="V67" s="40" t="str">
        <f>_xlfn.XLOOKUP($B67,'2'!$B:$B,'2'!V:V,)</f>
        <v>England and Wales</v>
      </c>
      <c r="W67" s="40" t="str">
        <f>_xlfn.XLOOKUP($B67,'2'!$B:$B,'2'!W:W,)</f>
        <v>12,567 household interviews, 3,728 non-household interviews</v>
      </c>
    </row>
    <row r="68" spans="2:23">
      <c r="B68" s="39" t="s">
        <v>1070</v>
      </c>
      <c r="C68" s="40" t="str">
        <f>_xlfn.XLOOKUP($B68,'2'!$B:$B,'2'!C:C,)</f>
        <v>Drinking water quality (appearance, taste and odour)</v>
      </c>
      <c r="D68" s="40" t="str">
        <f>_xlfn.XLOOKUP($B68,'2'!$B:$B,'2'!D:D,)</f>
        <v>Appearance Complaints - animalcules</v>
      </c>
      <c r="E68" s="40" t="str">
        <f>_xlfn.XLOOKUP($B68,'2'!$B:$B,'2'!E:E,)</f>
        <v>Quality of place</v>
      </c>
      <c r="F68" s="40">
        <f>_xlfn.XLOOKUP($B68,'2'!$B:$B,'2'!F:F,)</f>
        <v>2023</v>
      </c>
      <c r="G68" s="40">
        <f>_xlfn.XLOOKUP($B68,'2'!$B:$B,'2'!G:G,)</f>
        <v>2022</v>
      </c>
      <c r="H68" s="40">
        <f>_xlfn.XLOOKUP($B68,'2'!$B:$B,'2'!H:H,)</f>
        <v>2023</v>
      </c>
      <c r="I68" s="40">
        <f>_xlfn.XLOOKUP($B68,'2'!$B:$B,'2'!I:I,)</f>
        <v>93.351699999999994</v>
      </c>
      <c r="J68" s="40">
        <f>_xlfn.XLOOKUP($B68,'2'!$B:$B,'2'!J:J,)</f>
        <v>100</v>
      </c>
      <c r="K68" s="629">
        <f>_xlfn.XLOOKUP($B68,'2'!$B:$B,'2'!K:K,)</f>
        <v>71</v>
      </c>
      <c r="L68" s="629">
        <f>_xlfn.XLOOKUP($B68,'2'!$B:$B,'2'!L:L,)</f>
        <v>76.05646174627779</v>
      </c>
      <c r="M68" s="40" t="str">
        <f>_xlfn.XLOOKUP($B68,'2'!$B:$B,'2'!M:M,)</f>
        <v>Willingness to Accept</v>
      </c>
      <c r="N68" s="326">
        <f>_xlfn.XLOOKUP($B68,'2'!$B:$B,'2'!N:N,)</f>
        <v>2.5</v>
      </c>
      <c r="O68" s="40" t="str">
        <f>_xlfn.XLOOKUP($B68,'2'!$B:$B,'2'!O:O,)</f>
        <v>Yes</v>
      </c>
      <c r="P68" s="40" t="str">
        <f>_xlfn.XLOOKUP($B68,'2'!$B:$B,'2'!P:P,)</f>
        <v>Uses industry-wide values</v>
      </c>
      <c r="Q68" s="40">
        <f>_xlfn.XLOOKUP($B68,'2'!$B:$B,'2'!Q:Q,)</f>
        <v>16</v>
      </c>
      <c r="R68" s="40" t="str">
        <f>_xlfn.XLOOKUP($B68,'2'!$B:$B,'2'!R:R,)</f>
        <v>Ofwat (2023) PR24: Using collaborative customer research to set outcome delivery incentive rates.</v>
      </c>
      <c r="S68" s="40" t="str">
        <f>_xlfn.XLOOKUP($B68,'2'!$B:$B,'2'!S:S,)</f>
        <v>/</v>
      </c>
      <c r="T68" s="40">
        <f>_xlfn.XLOOKUP($B68,'2'!$B:$B,'2'!T:T,)</f>
        <v>2023</v>
      </c>
      <c r="U68" s="40" t="str">
        <f>_xlfn.XLOOKUP($B68,'2'!$B:$B,'2'!U:U,)</f>
        <v>UK</v>
      </c>
      <c r="V68" s="40" t="str">
        <f>_xlfn.XLOOKUP($B68,'2'!$B:$B,'2'!V:V,)</f>
        <v>England and Wales</v>
      </c>
      <c r="W68" s="40" t="str">
        <f>_xlfn.XLOOKUP($B68,'2'!$B:$B,'2'!W:W,)</f>
        <v>12,567 household interviews, 3,728 non-household interviews</v>
      </c>
    </row>
    <row r="69" spans="2:23">
      <c r="B69" s="39" t="s">
        <v>1071</v>
      </c>
      <c r="C69" s="40" t="str">
        <f>_xlfn.XLOOKUP($B69,'2'!$B:$B,'2'!C:C,)</f>
        <v>Drinking water quality (appearance, taste and odour)</v>
      </c>
      <c r="D69" s="40" t="str">
        <f>_xlfn.XLOOKUP($B69,'2'!$B:$B,'2'!D:D,)</f>
        <v>Appearance Complaints - general conditions</v>
      </c>
      <c r="E69" s="40" t="str">
        <f>_xlfn.XLOOKUP($B69,'2'!$B:$B,'2'!E:E,)</f>
        <v>Quality of place</v>
      </c>
      <c r="F69" s="40">
        <f>_xlfn.XLOOKUP($B69,'2'!$B:$B,'2'!F:F,)</f>
        <v>2023</v>
      </c>
      <c r="G69" s="40">
        <f>_xlfn.XLOOKUP($B69,'2'!$B:$B,'2'!G:G,)</f>
        <v>2022</v>
      </c>
      <c r="H69" s="40">
        <f>_xlfn.XLOOKUP($B69,'2'!$B:$B,'2'!H:H,)</f>
        <v>2023</v>
      </c>
      <c r="I69" s="40">
        <f>_xlfn.XLOOKUP($B69,'2'!$B:$B,'2'!I:I,)</f>
        <v>93.351699999999994</v>
      </c>
      <c r="J69" s="40">
        <f>_xlfn.XLOOKUP($B69,'2'!$B:$B,'2'!J:J,)</f>
        <v>100</v>
      </c>
      <c r="K69" s="629">
        <f>_xlfn.XLOOKUP($B69,'2'!$B:$B,'2'!K:K,)</f>
        <v>71</v>
      </c>
      <c r="L69" s="629">
        <f>_xlfn.XLOOKUP($B69,'2'!$B:$B,'2'!L:L,)</f>
        <v>76.05646174627779</v>
      </c>
      <c r="M69" s="40" t="str">
        <f>_xlfn.XLOOKUP($B69,'2'!$B:$B,'2'!M:M,)</f>
        <v>Willingness to Accept</v>
      </c>
      <c r="N69" s="326">
        <f>_xlfn.XLOOKUP($B69,'2'!$B:$B,'2'!N:N,)</f>
        <v>2.5</v>
      </c>
      <c r="O69" s="40" t="str">
        <f>_xlfn.XLOOKUP($B69,'2'!$B:$B,'2'!O:O,)</f>
        <v>Yes</v>
      </c>
      <c r="P69" s="40" t="str">
        <f>_xlfn.XLOOKUP($B69,'2'!$B:$B,'2'!P:P,)</f>
        <v>Uses industry-wide values</v>
      </c>
      <c r="Q69" s="40">
        <f>_xlfn.XLOOKUP($B69,'2'!$B:$B,'2'!Q:Q,)</f>
        <v>16</v>
      </c>
      <c r="R69" s="40" t="str">
        <f>_xlfn.XLOOKUP($B69,'2'!$B:$B,'2'!R:R,)</f>
        <v>Ofwat (2023) PR24: Using collaborative customer research to set outcome delivery incentive rates.</v>
      </c>
      <c r="S69" s="40" t="str">
        <f>_xlfn.XLOOKUP($B69,'2'!$B:$B,'2'!S:S,)</f>
        <v>/</v>
      </c>
      <c r="T69" s="40">
        <f>_xlfn.XLOOKUP($B69,'2'!$B:$B,'2'!T:T,)</f>
        <v>2023</v>
      </c>
      <c r="U69" s="40" t="str">
        <f>_xlfn.XLOOKUP($B69,'2'!$B:$B,'2'!U:U,)</f>
        <v>UK</v>
      </c>
      <c r="V69" s="40" t="str">
        <f>_xlfn.XLOOKUP($B69,'2'!$B:$B,'2'!V:V,)</f>
        <v>England and Wales</v>
      </c>
      <c r="W69" s="40" t="str">
        <f>_xlfn.XLOOKUP($B69,'2'!$B:$B,'2'!W:W,)</f>
        <v>12,567 household interviews, 3,728 non-household interviews</v>
      </c>
    </row>
    <row r="70" spans="2:23">
      <c r="B70" s="39" t="s">
        <v>1072</v>
      </c>
      <c r="C70" s="40" t="str">
        <f>_xlfn.XLOOKUP($B70,'2'!$B:$B,'2'!C:C,)</f>
        <v>Drinking water quality (appearance, taste and odour)</v>
      </c>
      <c r="D70" s="40" t="str">
        <f>_xlfn.XLOOKUP($B70,'2'!$B:$B,'2'!D:D,)</f>
        <v>Taste &amp; Odour Complaints - chlorine</v>
      </c>
      <c r="E70" s="40" t="str">
        <f>_xlfn.XLOOKUP($B70,'2'!$B:$B,'2'!E:E,)</f>
        <v>Local economy</v>
      </c>
      <c r="F70" s="40">
        <f>_xlfn.XLOOKUP($B70,'2'!$B:$B,'2'!F:F,)</f>
        <v>2023</v>
      </c>
      <c r="G70" s="40">
        <f>_xlfn.XLOOKUP($B70,'2'!$B:$B,'2'!G:G,)</f>
        <v>2022</v>
      </c>
      <c r="H70" s="40">
        <f>_xlfn.XLOOKUP($B70,'2'!$B:$B,'2'!H:H,)</f>
        <v>2023</v>
      </c>
      <c r="I70" s="40">
        <f>_xlfn.XLOOKUP($B70,'2'!$B:$B,'2'!I:I,)</f>
        <v>93.351699999999994</v>
      </c>
      <c r="J70" s="40">
        <f>_xlfn.XLOOKUP($B70,'2'!$B:$B,'2'!J:J,)</f>
        <v>100</v>
      </c>
      <c r="K70" s="629">
        <f>_xlfn.XLOOKUP($B70,'2'!$B:$B,'2'!K:K,)</f>
        <v>4393</v>
      </c>
      <c r="L70" s="629">
        <f>_xlfn.XLOOKUP($B70,'2'!$B:$B,'2'!L:L,)</f>
        <v>4705.8596683295546</v>
      </c>
      <c r="M70" s="40" t="str">
        <f>_xlfn.XLOOKUP($B70,'2'!$B:$B,'2'!M:M,)</f>
        <v>Willingness to Accept</v>
      </c>
      <c r="N70" s="326">
        <f>_xlfn.XLOOKUP($B70,'2'!$B:$B,'2'!N:N,)</f>
        <v>2.5</v>
      </c>
      <c r="O70" s="40" t="str">
        <f>_xlfn.XLOOKUP($B70,'2'!$B:$B,'2'!O:O,)</f>
        <v>Yes</v>
      </c>
      <c r="P70" s="40" t="str">
        <f>_xlfn.XLOOKUP($B70,'2'!$B:$B,'2'!P:P,)</f>
        <v>Uses industry-wide values</v>
      </c>
      <c r="Q70" s="40">
        <f>_xlfn.XLOOKUP($B70,'2'!$B:$B,'2'!Q:Q,)</f>
        <v>16</v>
      </c>
      <c r="R70" s="40" t="str">
        <f>_xlfn.XLOOKUP($B70,'2'!$B:$B,'2'!R:R,)</f>
        <v>Ofwat (2023) PR24: Using collaborative customer research to set outcome delivery incentive rates.</v>
      </c>
      <c r="S70" s="40" t="str">
        <f>_xlfn.XLOOKUP($B70,'2'!$B:$B,'2'!S:S,)</f>
        <v>/</v>
      </c>
      <c r="T70" s="40">
        <f>_xlfn.XLOOKUP($B70,'2'!$B:$B,'2'!T:T,)</f>
        <v>2023</v>
      </c>
      <c r="U70" s="40" t="str">
        <f>_xlfn.XLOOKUP($B70,'2'!$B:$B,'2'!U:U,)</f>
        <v>UK</v>
      </c>
      <c r="V70" s="40" t="str">
        <f>_xlfn.XLOOKUP($B70,'2'!$B:$B,'2'!V:V,)</f>
        <v>England and Wales</v>
      </c>
      <c r="W70" s="40" t="str">
        <f>_xlfn.XLOOKUP($B70,'2'!$B:$B,'2'!W:W,)</f>
        <v>12,567 household interviews, 3,728 non-household interviews</v>
      </c>
    </row>
    <row r="71" spans="2:23">
      <c r="B71" s="39" t="s">
        <v>1073</v>
      </c>
      <c r="C71" s="40" t="str">
        <f>_xlfn.XLOOKUP($B71,'2'!$B:$B,'2'!C:C,)</f>
        <v>Drinking water quality (appearance, taste and odour)</v>
      </c>
      <c r="D71" s="40" t="str">
        <f>_xlfn.XLOOKUP($B71,'2'!$B:$B,'2'!D:D,)</f>
        <v>Taste &amp; Odour Complaints - earthy/musty</v>
      </c>
      <c r="E71" s="40" t="str">
        <f>_xlfn.XLOOKUP($B71,'2'!$B:$B,'2'!E:E,)</f>
        <v>Local economy</v>
      </c>
      <c r="F71" s="40">
        <f>_xlfn.XLOOKUP($B71,'2'!$B:$B,'2'!F:F,)</f>
        <v>2023</v>
      </c>
      <c r="G71" s="40">
        <f>_xlfn.XLOOKUP($B71,'2'!$B:$B,'2'!G:G,)</f>
        <v>2022</v>
      </c>
      <c r="H71" s="40">
        <f>_xlfn.XLOOKUP($B71,'2'!$B:$B,'2'!H:H,)</f>
        <v>2023</v>
      </c>
      <c r="I71" s="40">
        <f>_xlfn.XLOOKUP($B71,'2'!$B:$B,'2'!I:I,)</f>
        <v>93.351699999999994</v>
      </c>
      <c r="J71" s="40">
        <f>_xlfn.XLOOKUP($B71,'2'!$B:$B,'2'!J:J,)</f>
        <v>100</v>
      </c>
      <c r="K71" s="629">
        <f>_xlfn.XLOOKUP($B71,'2'!$B:$B,'2'!K:K,)</f>
        <v>4393</v>
      </c>
      <c r="L71" s="629">
        <f>_xlfn.XLOOKUP($B71,'2'!$B:$B,'2'!L:L,)</f>
        <v>4705.8596683295546</v>
      </c>
      <c r="M71" s="40" t="str">
        <f>_xlfn.XLOOKUP($B71,'2'!$B:$B,'2'!M:M,)</f>
        <v>Willingness to Accept</v>
      </c>
      <c r="N71" s="326">
        <f>_xlfn.XLOOKUP($B71,'2'!$B:$B,'2'!N:N,)</f>
        <v>2.5</v>
      </c>
      <c r="O71" s="40" t="str">
        <f>_xlfn.XLOOKUP($B71,'2'!$B:$B,'2'!O:O,)</f>
        <v>Yes</v>
      </c>
      <c r="P71" s="40" t="str">
        <f>_xlfn.XLOOKUP($B71,'2'!$B:$B,'2'!P:P,)</f>
        <v>Uses industry-wide values</v>
      </c>
      <c r="Q71" s="40">
        <f>_xlfn.XLOOKUP($B71,'2'!$B:$B,'2'!Q:Q,)</f>
        <v>16</v>
      </c>
      <c r="R71" s="40" t="str">
        <f>_xlfn.XLOOKUP($B71,'2'!$B:$B,'2'!R:R,)</f>
        <v>Ofwat (2023) PR24: Using collaborative customer research to set outcome delivery incentive rates.</v>
      </c>
      <c r="S71" s="40" t="str">
        <f>_xlfn.XLOOKUP($B71,'2'!$B:$B,'2'!S:S,)</f>
        <v>/</v>
      </c>
      <c r="T71" s="40">
        <f>_xlfn.XLOOKUP($B71,'2'!$B:$B,'2'!T:T,)</f>
        <v>2023</v>
      </c>
      <c r="U71" s="40" t="str">
        <f>_xlfn.XLOOKUP($B71,'2'!$B:$B,'2'!U:U,)</f>
        <v>UK</v>
      </c>
      <c r="V71" s="40" t="str">
        <f>_xlfn.XLOOKUP($B71,'2'!$B:$B,'2'!V:V,)</f>
        <v>England and Wales</v>
      </c>
      <c r="W71" s="40" t="str">
        <f>_xlfn.XLOOKUP($B71,'2'!$B:$B,'2'!W:W,)</f>
        <v>12,567 household interviews, 3,728 non-household interviews</v>
      </c>
    </row>
    <row r="72" spans="2:23">
      <c r="B72" s="39" t="s">
        <v>1074</v>
      </c>
      <c r="C72" s="40" t="str">
        <f>_xlfn.XLOOKUP($B72,'2'!$B:$B,'2'!C:C,)</f>
        <v>Drinking water quality (appearance, taste and odour)</v>
      </c>
      <c r="D72" s="40" t="str">
        <f>_xlfn.XLOOKUP($B72,'2'!$B:$B,'2'!D:D,)</f>
        <v>Taste &amp; Odour Complaints - petrol/diesel</v>
      </c>
      <c r="E72" s="40" t="str">
        <f>_xlfn.XLOOKUP($B72,'2'!$B:$B,'2'!E:E,)</f>
        <v>Local economy</v>
      </c>
      <c r="F72" s="40">
        <f>_xlfn.XLOOKUP($B72,'2'!$B:$B,'2'!F:F,)</f>
        <v>2023</v>
      </c>
      <c r="G72" s="40">
        <f>_xlfn.XLOOKUP($B72,'2'!$B:$B,'2'!G:G,)</f>
        <v>2022</v>
      </c>
      <c r="H72" s="40">
        <f>_xlfn.XLOOKUP($B72,'2'!$B:$B,'2'!H:H,)</f>
        <v>2023</v>
      </c>
      <c r="I72" s="40">
        <f>_xlfn.XLOOKUP($B72,'2'!$B:$B,'2'!I:I,)</f>
        <v>93.351699999999994</v>
      </c>
      <c r="J72" s="40">
        <f>_xlfn.XLOOKUP($B72,'2'!$B:$B,'2'!J:J,)</f>
        <v>100</v>
      </c>
      <c r="K72" s="629">
        <f>_xlfn.XLOOKUP($B72,'2'!$B:$B,'2'!K:K,)</f>
        <v>4393</v>
      </c>
      <c r="L72" s="629">
        <f>_xlfn.XLOOKUP($B72,'2'!$B:$B,'2'!L:L,)</f>
        <v>4705.8596683295546</v>
      </c>
      <c r="M72" s="40" t="str">
        <f>_xlfn.XLOOKUP($B72,'2'!$B:$B,'2'!M:M,)</f>
        <v>Willingness to Accept</v>
      </c>
      <c r="N72" s="326">
        <f>_xlfn.XLOOKUP($B72,'2'!$B:$B,'2'!N:N,)</f>
        <v>2.5</v>
      </c>
      <c r="O72" s="40" t="str">
        <f>_xlfn.XLOOKUP($B72,'2'!$B:$B,'2'!O:O,)</f>
        <v>Yes</v>
      </c>
      <c r="P72" s="40" t="str">
        <f>_xlfn.XLOOKUP($B72,'2'!$B:$B,'2'!P:P,)</f>
        <v>Uses industry-wide values</v>
      </c>
      <c r="Q72" s="40">
        <f>_xlfn.XLOOKUP($B72,'2'!$B:$B,'2'!Q:Q,)</f>
        <v>16</v>
      </c>
      <c r="R72" s="40" t="str">
        <f>_xlfn.XLOOKUP($B72,'2'!$B:$B,'2'!R:R,)</f>
        <v>Ofwat (2023) PR24: Using collaborative customer research to set outcome delivery incentive rates.</v>
      </c>
      <c r="S72" s="40" t="str">
        <f>_xlfn.XLOOKUP($B72,'2'!$B:$B,'2'!S:S,)</f>
        <v>/</v>
      </c>
      <c r="T72" s="40">
        <f>_xlfn.XLOOKUP($B72,'2'!$B:$B,'2'!T:T,)</f>
        <v>2023</v>
      </c>
      <c r="U72" s="40" t="str">
        <f>_xlfn.XLOOKUP($B72,'2'!$B:$B,'2'!U:U,)</f>
        <v>UK</v>
      </c>
      <c r="V72" s="40" t="str">
        <f>_xlfn.XLOOKUP($B72,'2'!$B:$B,'2'!V:V,)</f>
        <v>England and Wales</v>
      </c>
      <c r="W72" s="40" t="str">
        <f>_xlfn.XLOOKUP($B72,'2'!$B:$B,'2'!W:W,)</f>
        <v>12,567 household interviews, 3,728 non-household interviews</v>
      </c>
    </row>
    <row r="73" spans="2:23">
      <c r="B73" s="39" t="s">
        <v>1075</v>
      </c>
      <c r="C73" s="40" t="str">
        <f>_xlfn.XLOOKUP($B73,'2'!$B:$B,'2'!C:C,)</f>
        <v>Drinking water quality (appearance, taste and odour)</v>
      </c>
      <c r="D73" s="40" t="str">
        <f>_xlfn.XLOOKUP($B73,'2'!$B:$B,'2'!D:D,)</f>
        <v>Taste &amp; Odour Complaints - other causes</v>
      </c>
      <c r="E73" s="40" t="str">
        <f>_xlfn.XLOOKUP($B73,'2'!$B:$B,'2'!E:E,)</f>
        <v>Local economy</v>
      </c>
      <c r="F73" s="40">
        <f>_xlfn.XLOOKUP($B73,'2'!$B:$B,'2'!F:F,)</f>
        <v>2023</v>
      </c>
      <c r="G73" s="40">
        <f>_xlfn.XLOOKUP($B73,'2'!$B:$B,'2'!G:G,)</f>
        <v>2022</v>
      </c>
      <c r="H73" s="40">
        <f>_xlfn.XLOOKUP($B73,'2'!$B:$B,'2'!H:H,)</f>
        <v>2023</v>
      </c>
      <c r="I73" s="40">
        <f>_xlfn.XLOOKUP($B73,'2'!$B:$B,'2'!I:I,)</f>
        <v>93.351699999999994</v>
      </c>
      <c r="J73" s="40">
        <f>_xlfn.XLOOKUP($B73,'2'!$B:$B,'2'!J:J,)</f>
        <v>100</v>
      </c>
      <c r="K73" s="629">
        <f>_xlfn.XLOOKUP($B73,'2'!$B:$B,'2'!K:K,)</f>
        <v>4393</v>
      </c>
      <c r="L73" s="629">
        <f>_xlfn.XLOOKUP($B73,'2'!$B:$B,'2'!L:L,)</f>
        <v>4705.8596683295546</v>
      </c>
      <c r="M73" s="40" t="str">
        <f>_xlfn.XLOOKUP($B73,'2'!$B:$B,'2'!M:M,)</f>
        <v>Willingness to Accept</v>
      </c>
      <c r="N73" s="326">
        <f>_xlfn.XLOOKUP($B73,'2'!$B:$B,'2'!N:N,)</f>
        <v>2.5</v>
      </c>
      <c r="O73" s="40" t="str">
        <f>_xlfn.XLOOKUP($B73,'2'!$B:$B,'2'!O:O,)</f>
        <v>Yes</v>
      </c>
      <c r="P73" s="40" t="str">
        <f>_xlfn.XLOOKUP($B73,'2'!$B:$B,'2'!P:P,)</f>
        <v>Uses industry-wide values</v>
      </c>
      <c r="Q73" s="40">
        <f>_xlfn.XLOOKUP($B73,'2'!$B:$B,'2'!Q:Q,)</f>
        <v>16</v>
      </c>
      <c r="R73" s="40" t="str">
        <f>_xlfn.XLOOKUP($B73,'2'!$B:$B,'2'!R:R,)</f>
        <v>Ofwat (2023) PR24: Using collaborative customer research to set outcome delivery incentive rates.</v>
      </c>
      <c r="S73" s="40" t="str">
        <f>_xlfn.XLOOKUP($B73,'2'!$B:$B,'2'!S:S,)</f>
        <v>/</v>
      </c>
      <c r="T73" s="40">
        <f>_xlfn.XLOOKUP($B73,'2'!$B:$B,'2'!T:T,)</f>
        <v>2023</v>
      </c>
      <c r="U73" s="40" t="str">
        <f>_xlfn.XLOOKUP($B73,'2'!$B:$B,'2'!U:U,)</f>
        <v>UK</v>
      </c>
      <c r="V73" s="40" t="str">
        <f>_xlfn.XLOOKUP($B73,'2'!$B:$B,'2'!V:V,)</f>
        <v>England and Wales</v>
      </c>
      <c r="W73" s="40" t="str">
        <f>_xlfn.XLOOKUP($B73,'2'!$B:$B,'2'!W:W,)</f>
        <v>12,567 household interviews, 3,728 non-household interviews</v>
      </c>
    </row>
    <row r="74" spans="2:23">
      <c r="B74" s="39" t="s">
        <v>1076</v>
      </c>
      <c r="C74" s="40" t="str">
        <f>_xlfn.XLOOKUP($B74,'2'!$B:$B,'2'!C:C,)</f>
        <v>Drinking water quality (appearance, taste and odour)</v>
      </c>
      <c r="D74" s="40" t="str">
        <f>_xlfn.XLOOKUP($B74,'2'!$B:$B,'2'!D:D,)</f>
        <v>Appearance Complaints - discoloured water (brown/black/orange)</v>
      </c>
      <c r="E74" s="40" t="str">
        <f>_xlfn.XLOOKUP($B74,'2'!$B:$B,'2'!E:E,)</f>
        <v>Local economy</v>
      </c>
      <c r="F74" s="40">
        <f>_xlfn.XLOOKUP($B74,'2'!$B:$B,'2'!F:F,)</f>
        <v>2023</v>
      </c>
      <c r="G74" s="40">
        <f>_xlfn.XLOOKUP($B74,'2'!$B:$B,'2'!G:G,)</f>
        <v>2022</v>
      </c>
      <c r="H74" s="40">
        <f>_xlfn.XLOOKUP($B74,'2'!$B:$B,'2'!H:H,)</f>
        <v>2023</v>
      </c>
      <c r="I74" s="40">
        <f>_xlfn.XLOOKUP($B74,'2'!$B:$B,'2'!I:I,)</f>
        <v>93.351699999999994</v>
      </c>
      <c r="J74" s="40">
        <f>_xlfn.XLOOKUP($B74,'2'!$B:$B,'2'!J:J,)</f>
        <v>100</v>
      </c>
      <c r="K74" s="629">
        <f>_xlfn.XLOOKUP($B74,'2'!$B:$B,'2'!K:K,)</f>
        <v>5379</v>
      </c>
      <c r="L74" s="629">
        <f>_xlfn.XLOOKUP($B74,'2'!$B:$B,'2'!L:L,)</f>
        <v>5762.0803906088486</v>
      </c>
      <c r="M74" s="40" t="str">
        <f>_xlfn.XLOOKUP($B74,'2'!$B:$B,'2'!M:M,)</f>
        <v>Willingness to Accept</v>
      </c>
      <c r="N74" s="326">
        <f>_xlfn.XLOOKUP($B74,'2'!$B:$B,'2'!N:N,)</f>
        <v>2.5</v>
      </c>
      <c r="O74" s="40" t="str">
        <f>_xlfn.XLOOKUP($B74,'2'!$B:$B,'2'!O:O,)</f>
        <v>Yes</v>
      </c>
      <c r="P74" s="40" t="str">
        <f>_xlfn.XLOOKUP($B74,'2'!$B:$B,'2'!P:P,)</f>
        <v>Uses industry-wide values</v>
      </c>
      <c r="Q74" s="40">
        <f>_xlfn.XLOOKUP($B74,'2'!$B:$B,'2'!Q:Q,)</f>
        <v>16</v>
      </c>
      <c r="R74" s="40" t="str">
        <f>_xlfn.XLOOKUP($B74,'2'!$B:$B,'2'!R:R,)</f>
        <v>Ofwat (2023) PR24: Using collaborative customer research to set outcome delivery incentive rates.</v>
      </c>
      <c r="S74" s="40" t="str">
        <f>_xlfn.XLOOKUP($B74,'2'!$B:$B,'2'!S:S,)</f>
        <v>/</v>
      </c>
      <c r="T74" s="40">
        <f>_xlfn.XLOOKUP($B74,'2'!$B:$B,'2'!T:T,)</f>
        <v>2023</v>
      </c>
      <c r="U74" s="40" t="str">
        <f>_xlfn.XLOOKUP($B74,'2'!$B:$B,'2'!U:U,)</f>
        <v>UK</v>
      </c>
      <c r="V74" s="40" t="str">
        <f>_xlfn.XLOOKUP($B74,'2'!$B:$B,'2'!V:V,)</f>
        <v>England and Wales</v>
      </c>
      <c r="W74" s="40" t="str">
        <f>_xlfn.XLOOKUP($B74,'2'!$B:$B,'2'!W:W,)</f>
        <v>12,567 household interviews, 3,728 non-household interviews</v>
      </c>
    </row>
    <row r="75" spans="2:23">
      <c r="B75" s="39" t="s">
        <v>1077</v>
      </c>
      <c r="C75" s="40" t="str">
        <f>_xlfn.XLOOKUP($B75,'2'!$B:$B,'2'!C:C,)</f>
        <v>Drinking water quality (appearance, taste and odour)</v>
      </c>
      <c r="D75" s="40" t="str">
        <f>_xlfn.XLOOKUP($B75,'2'!$B:$B,'2'!D:D,)</f>
        <v>Appearance Complaints - discoloured water (blue/green)</v>
      </c>
      <c r="E75" s="40" t="str">
        <f>_xlfn.XLOOKUP($B75,'2'!$B:$B,'2'!E:E,)</f>
        <v>Local economy</v>
      </c>
      <c r="F75" s="40">
        <f>_xlfn.XLOOKUP($B75,'2'!$B:$B,'2'!F:F,)</f>
        <v>2023</v>
      </c>
      <c r="G75" s="40">
        <f>_xlfn.XLOOKUP($B75,'2'!$B:$B,'2'!G:G,)</f>
        <v>2022</v>
      </c>
      <c r="H75" s="40">
        <f>_xlfn.XLOOKUP($B75,'2'!$B:$B,'2'!H:H,)</f>
        <v>2023</v>
      </c>
      <c r="I75" s="40">
        <f>_xlfn.XLOOKUP($B75,'2'!$B:$B,'2'!I:I,)</f>
        <v>93.351699999999994</v>
      </c>
      <c r="J75" s="40">
        <f>_xlfn.XLOOKUP($B75,'2'!$B:$B,'2'!J:J,)</f>
        <v>100</v>
      </c>
      <c r="K75" s="629">
        <f>_xlfn.XLOOKUP($B75,'2'!$B:$B,'2'!K:K,)</f>
        <v>5379</v>
      </c>
      <c r="L75" s="629">
        <f>_xlfn.XLOOKUP($B75,'2'!$B:$B,'2'!L:L,)</f>
        <v>5762.0803906088486</v>
      </c>
      <c r="M75" s="40" t="str">
        <f>_xlfn.XLOOKUP($B75,'2'!$B:$B,'2'!M:M,)</f>
        <v>Willingness to Accept</v>
      </c>
      <c r="N75" s="326">
        <f>_xlfn.XLOOKUP($B75,'2'!$B:$B,'2'!N:N,)</f>
        <v>2.5</v>
      </c>
      <c r="O75" s="40" t="str">
        <f>_xlfn.XLOOKUP($B75,'2'!$B:$B,'2'!O:O,)</f>
        <v>Yes</v>
      </c>
      <c r="P75" s="40" t="str">
        <f>_xlfn.XLOOKUP($B75,'2'!$B:$B,'2'!P:P,)</f>
        <v>Uses industry-wide values</v>
      </c>
      <c r="Q75" s="40">
        <f>_xlfn.XLOOKUP($B75,'2'!$B:$B,'2'!Q:Q,)</f>
        <v>16</v>
      </c>
      <c r="R75" s="40" t="str">
        <f>_xlfn.XLOOKUP($B75,'2'!$B:$B,'2'!R:R,)</f>
        <v>Ofwat (2023) PR24: Using collaborative customer research to set outcome delivery incentive rates.</v>
      </c>
      <c r="S75" s="40" t="str">
        <f>_xlfn.XLOOKUP($B75,'2'!$B:$B,'2'!S:S,)</f>
        <v>/</v>
      </c>
      <c r="T75" s="40">
        <f>_xlfn.XLOOKUP($B75,'2'!$B:$B,'2'!T:T,)</f>
        <v>2023</v>
      </c>
      <c r="U75" s="40" t="str">
        <f>_xlfn.XLOOKUP($B75,'2'!$B:$B,'2'!U:U,)</f>
        <v>UK</v>
      </c>
      <c r="V75" s="40" t="str">
        <f>_xlfn.XLOOKUP($B75,'2'!$B:$B,'2'!V:V,)</f>
        <v>England and Wales</v>
      </c>
      <c r="W75" s="40" t="str">
        <f>_xlfn.XLOOKUP($B75,'2'!$B:$B,'2'!W:W,)</f>
        <v>12,567 household interviews, 3,728 non-household interviews</v>
      </c>
    </row>
    <row r="76" spans="2:23">
      <c r="B76" s="39" t="s">
        <v>1078</v>
      </c>
      <c r="C76" s="40" t="str">
        <f>_xlfn.XLOOKUP($B76,'2'!$B:$B,'2'!C:C,)</f>
        <v>Drinking water quality (appearance, taste and odour)</v>
      </c>
      <c r="D76" s="40" t="str">
        <f>_xlfn.XLOOKUP($B76,'2'!$B:$B,'2'!D:D,)</f>
        <v>Appearance Complaints - particles</v>
      </c>
      <c r="E76" s="40" t="str">
        <f>_xlfn.XLOOKUP($B76,'2'!$B:$B,'2'!E:E,)</f>
        <v>Local economy</v>
      </c>
      <c r="F76" s="40">
        <f>_xlfn.XLOOKUP($B76,'2'!$B:$B,'2'!F:F,)</f>
        <v>2023</v>
      </c>
      <c r="G76" s="40">
        <f>_xlfn.XLOOKUP($B76,'2'!$B:$B,'2'!G:G,)</f>
        <v>2022</v>
      </c>
      <c r="H76" s="40">
        <f>_xlfn.XLOOKUP($B76,'2'!$B:$B,'2'!H:H,)</f>
        <v>2023</v>
      </c>
      <c r="I76" s="40">
        <f>_xlfn.XLOOKUP($B76,'2'!$B:$B,'2'!I:I,)</f>
        <v>93.351699999999994</v>
      </c>
      <c r="J76" s="40">
        <f>_xlfn.XLOOKUP($B76,'2'!$B:$B,'2'!J:J,)</f>
        <v>100</v>
      </c>
      <c r="K76" s="629">
        <f>_xlfn.XLOOKUP($B76,'2'!$B:$B,'2'!K:K,)</f>
        <v>5379</v>
      </c>
      <c r="L76" s="629">
        <f>_xlfn.XLOOKUP($B76,'2'!$B:$B,'2'!L:L,)</f>
        <v>5762.0803906088486</v>
      </c>
      <c r="M76" s="40" t="str">
        <f>_xlfn.XLOOKUP($B76,'2'!$B:$B,'2'!M:M,)</f>
        <v>Willingness to Accept</v>
      </c>
      <c r="N76" s="326">
        <f>_xlfn.XLOOKUP($B76,'2'!$B:$B,'2'!N:N,)</f>
        <v>2.5</v>
      </c>
      <c r="O76" s="40" t="str">
        <f>_xlfn.XLOOKUP($B76,'2'!$B:$B,'2'!O:O,)</f>
        <v>Yes</v>
      </c>
      <c r="P76" s="40" t="str">
        <f>_xlfn.XLOOKUP($B76,'2'!$B:$B,'2'!P:P,)</f>
        <v>Uses industry-wide values</v>
      </c>
      <c r="Q76" s="40">
        <f>_xlfn.XLOOKUP($B76,'2'!$B:$B,'2'!Q:Q,)</f>
        <v>16</v>
      </c>
      <c r="R76" s="40" t="str">
        <f>_xlfn.XLOOKUP($B76,'2'!$B:$B,'2'!R:R,)</f>
        <v>Ofwat (2023) PR24: Using collaborative customer research to set outcome delivery incentive rates.</v>
      </c>
      <c r="S76" s="40" t="str">
        <f>_xlfn.XLOOKUP($B76,'2'!$B:$B,'2'!S:S,)</f>
        <v>/</v>
      </c>
      <c r="T76" s="40">
        <f>_xlfn.XLOOKUP($B76,'2'!$B:$B,'2'!T:T,)</f>
        <v>2023</v>
      </c>
      <c r="U76" s="40" t="str">
        <f>_xlfn.XLOOKUP($B76,'2'!$B:$B,'2'!U:U,)</f>
        <v>UK</v>
      </c>
      <c r="V76" s="40" t="str">
        <f>_xlfn.XLOOKUP($B76,'2'!$B:$B,'2'!V:V,)</f>
        <v>England and Wales</v>
      </c>
      <c r="W76" s="40" t="str">
        <f>_xlfn.XLOOKUP($B76,'2'!$B:$B,'2'!W:W,)</f>
        <v>12,567 household interviews, 3,728 non-household interviews</v>
      </c>
    </row>
    <row r="77" spans="2:23">
      <c r="B77" s="39" t="s">
        <v>1079</v>
      </c>
      <c r="C77" s="40" t="str">
        <f>_xlfn.XLOOKUP($B77,'2'!$B:$B,'2'!C:C,)</f>
        <v>Drinking water quality (appearance, taste and odour)</v>
      </c>
      <c r="D77" s="40" t="str">
        <f>_xlfn.XLOOKUP($B77,'2'!$B:$B,'2'!D:D,)</f>
        <v>Appearance Complaints - white (air)</v>
      </c>
      <c r="E77" s="40" t="str">
        <f>_xlfn.XLOOKUP($B77,'2'!$B:$B,'2'!E:E,)</f>
        <v>Local economy</v>
      </c>
      <c r="F77" s="40">
        <f>_xlfn.XLOOKUP($B77,'2'!$B:$B,'2'!F:F,)</f>
        <v>2023</v>
      </c>
      <c r="G77" s="40">
        <f>_xlfn.XLOOKUP($B77,'2'!$B:$B,'2'!G:G,)</f>
        <v>2022</v>
      </c>
      <c r="H77" s="40">
        <f>_xlfn.XLOOKUP($B77,'2'!$B:$B,'2'!H:H,)</f>
        <v>2023</v>
      </c>
      <c r="I77" s="40">
        <f>_xlfn.XLOOKUP($B77,'2'!$B:$B,'2'!I:I,)</f>
        <v>93.351699999999994</v>
      </c>
      <c r="J77" s="40">
        <f>_xlfn.XLOOKUP($B77,'2'!$B:$B,'2'!J:J,)</f>
        <v>100</v>
      </c>
      <c r="K77" s="629">
        <f>_xlfn.XLOOKUP($B77,'2'!$B:$B,'2'!K:K,)</f>
        <v>5379</v>
      </c>
      <c r="L77" s="629">
        <f>_xlfn.XLOOKUP($B77,'2'!$B:$B,'2'!L:L,)</f>
        <v>5762.0803906088486</v>
      </c>
      <c r="M77" s="40" t="str">
        <f>_xlfn.XLOOKUP($B77,'2'!$B:$B,'2'!M:M,)</f>
        <v>Willingness to Accept</v>
      </c>
      <c r="N77" s="326">
        <f>_xlfn.XLOOKUP($B77,'2'!$B:$B,'2'!N:N,)</f>
        <v>2.5</v>
      </c>
      <c r="O77" s="40" t="str">
        <f>_xlfn.XLOOKUP($B77,'2'!$B:$B,'2'!O:O,)</f>
        <v>Yes</v>
      </c>
      <c r="P77" s="40" t="str">
        <f>_xlfn.XLOOKUP($B77,'2'!$B:$B,'2'!P:P,)</f>
        <v>Uses industry-wide values</v>
      </c>
      <c r="Q77" s="40">
        <f>_xlfn.XLOOKUP($B77,'2'!$B:$B,'2'!Q:Q,)</f>
        <v>16</v>
      </c>
      <c r="R77" s="40" t="str">
        <f>_xlfn.XLOOKUP($B77,'2'!$B:$B,'2'!R:R,)</f>
        <v>Ofwat (2023) PR24: Using collaborative customer research to set outcome delivery incentive rates.</v>
      </c>
      <c r="S77" s="40" t="str">
        <f>_xlfn.XLOOKUP($B77,'2'!$B:$B,'2'!S:S,)</f>
        <v>/</v>
      </c>
      <c r="T77" s="40">
        <f>_xlfn.XLOOKUP($B77,'2'!$B:$B,'2'!T:T,)</f>
        <v>2023</v>
      </c>
      <c r="U77" s="40" t="str">
        <f>_xlfn.XLOOKUP($B77,'2'!$B:$B,'2'!U:U,)</f>
        <v>UK</v>
      </c>
      <c r="V77" s="40" t="str">
        <f>_xlfn.XLOOKUP($B77,'2'!$B:$B,'2'!V:V,)</f>
        <v>England and Wales</v>
      </c>
      <c r="W77" s="40" t="str">
        <f>_xlfn.XLOOKUP($B77,'2'!$B:$B,'2'!W:W,)</f>
        <v>12,567 household interviews, 3,728 non-household interviews</v>
      </c>
    </row>
    <row r="78" spans="2:23">
      <c r="B78" s="39" t="s">
        <v>1080</v>
      </c>
      <c r="C78" s="40" t="str">
        <f>_xlfn.XLOOKUP($B78,'2'!$B:$B,'2'!C:C,)</f>
        <v>Drinking water quality (appearance, taste and odour)</v>
      </c>
      <c r="D78" s="40" t="str">
        <f>_xlfn.XLOOKUP($B78,'2'!$B:$B,'2'!D:D,)</f>
        <v>Appearance Complaints - white (chalk)</v>
      </c>
      <c r="E78" s="40" t="str">
        <f>_xlfn.XLOOKUP($B78,'2'!$B:$B,'2'!E:E,)</f>
        <v>Local economy</v>
      </c>
      <c r="F78" s="40">
        <f>_xlfn.XLOOKUP($B78,'2'!$B:$B,'2'!F:F,)</f>
        <v>2023</v>
      </c>
      <c r="G78" s="40">
        <f>_xlfn.XLOOKUP($B78,'2'!$B:$B,'2'!G:G,)</f>
        <v>2022</v>
      </c>
      <c r="H78" s="40">
        <f>_xlfn.XLOOKUP($B78,'2'!$B:$B,'2'!H:H,)</f>
        <v>2023</v>
      </c>
      <c r="I78" s="40">
        <f>_xlfn.XLOOKUP($B78,'2'!$B:$B,'2'!I:I,)</f>
        <v>93.351699999999994</v>
      </c>
      <c r="J78" s="40">
        <f>_xlfn.XLOOKUP($B78,'2'!$B:$B,'2'!J:J,)</f>
        <v>100</v>
      </c>
      <c r="K78" s="629">
        <f>_xlfn.XLOOKUP($B78,'2'!$B:$B,'2'!K:K,)</f>
        <v>5379</v>
      </c>
      <c r="L78" s="629">
        <f>_xlfn.XLOOKUP($B78,'2'!$B:$B,'2'!L:L,)</f>
        <v>5762.0803906088486</v>
      </c>
      <c r="M78" s="40" t="str">
        <f>_xlfn.XLOOKUP($B78,'2'!$B:$B,'2'!M:M,)</f>
        <v>Willingness to Accept</v>
      </c>
      <c r="N78" s="326">
        <f>_xlfn.XLOOKUP($B78,'2'!$B:$B,'2'!N:N,)</f>
        <v>2.5</v>
      </c>
      <c r="O78" s="40" t="str">
        <f>_xlfn.XLOOKUP($B78,'2'!$B:$B,'2'!O:O,)</f>
        <v>Yes</v>
      </c>
      <c r="P78" s="40" t="str">
        <f>_xlfn.XLOOKUP($B78,'2'!$B:$B,'2'!P:P,)</f>
        <v>Uses industry-wide values</v>
      </c>
      <c r="Q78" s="40">
        <f>_xlfn.XLOOKUP($B78,'2'!$B:$B,'2'!Q:Q,)</f>
        <v>16</v>
      </c>
      <c r="R78" s="40" t="str">
        <f>_xlfn.XLOOKUP($B78,'2'!$B:$B,'2'!R:R,)</f>
        <v>Ofwat (2023) PR24: Using collaborative customer research to set outcome delivery incentive rates.</v>
      </c>
      <c r="S78" s="40" t="str">
        <f>_xlfn.XLOOKUP($B78,'2'!$B:$B,'2'!S:S,)</f>
        <v>/</v>
      </c>
      <c r="T78" s="40">
        <f>_xlfn.XLOOKUP($B78,'2'!$B:$B,'2'!T:T,)</f>
        <v>2023</v>
      </c>
      <c r="U78" s="40" t="str">
        <f>_xlfn.XLOOKUP($B78,'2'!$B:$B,'2'!U:U,)</f>
        <v>UK</v>
      </c>
      <c r="V78" s="40" t="str">
        <f>_xlfn.XLOOKUP($B78,'2'!$B:$B,'2'!V:V,)</f>
        <v>England and Wales</v>
      </c>
      <c r="W78" s="40" t="str">
        <f>_xlfn.XLOOKUP($B78,'2'!$B:$B,'2'!W:W,)</f>
        <v>12,567 household interviews, 3,728 non-household interviews</v>
      </c>
    </row>
    <row r="79" spans="2:23">
      <c r="B79" s="39" t="s">
        <v>1081</v>
      </c>
      <c r="C79" s="40" t="str">
        <f>_xlfn.XLOOKUP($B79,'2'!$B:$B,'2'!C:C,)</f>
        <v>Drinking water quality (appearance, taste and odour)</v>
      </c>
      <c r="D79" s="40" t="str">
        <f>_xlfn.XLOOKUP($B79,'2'!$B:$B,'2'!D:D,)</f>
        <v>Appearance Complaints - animalcules</v>
      </c>
      <c r="E79" s="40" t="str">
        <f>_xlfn.XLOOKUP($B79,'2'!$B:$B,'2'!E:E,)</f>
        <v>Local economy</v>
      </c>
      <c r="F79" s="40">
        <f>_xlfn.XLOOKUP($B79,'2'!$B:$B,'2'!F:F,)</f>
        <v>2023</v>
      </c>
      <c r="G79" s="40">
        <f>_xlfn.XLOOKUP($B79,'2'!$B:$B,'2'!G:G,)</f>
        <v>2022</v>
      </c>
      <c r="H79" s="40">
        <f>_xlfn.XLOOKUP($B79,'2'!$B:$B,'2'!H:H,)</f>
        <v>2023</v>
      </c>
      <c r="I79" s="40">
        <f>_xlfn.XLOOKUP($B79,'2'!$B:$B,'2'!I:I,)</f>
        <v>93.351699999999994</v>
      </c>
      <c r="J79" s="40">
        <f>_xlfn.XLOOKUP($B79,'2'!$B:$B,'2'!J:J,)</f>
        <v>100</v>
      </c>
      <c r="K79" s="629">
        <f>_xlfn.XLOOKUP($B79,'2'!$B:$B,'2'!K:K,)</f>
        <v>5379</v>
      </c>
      <c r="L79" s="629">
        <f>_xlfn.XLOOKUP($B79,'2'!$B:$B,'2'!L:L,)</f>
        <v>5762.0803906088486</v>
      </c>
      <c r="M79" s="40" t="str">
        <f>_xlfn.XLOOKUP($B79,'2'!$B:$B,'2'!M:M,)</f>
        <v>Willingness to Accept</v>
      </c>
      <c r="N79" s="326">
        <f>_xlfn.XLOOKUP($B79,'2'!$B:$B,'2'!N:N,)</f>
        <v>2.5</v>
      </c>
      <c r="O79" s="40" t="str">
        <f>_xlfn.XLOOKUP($B79,'2'!$B:$B,'2'!O:O,)</f>
        <v>Yes</v>
      </c>
      <c r="P79" s="40" t="str">
        <f>_xlfn.XLOOKUP($B79,'2'!$B:$B,'2'!P:P,)</f>
        <v>Uses industry-wide values</v>
      </c>
      <c r="Q79" s="40">
        <f>_xlfn.XLOOKUP($B79,'2'!$B:$B,'2'!Q:Q,)</f>
        <v>16</v>
      </c>
      <c r="R79" s="40" t="str">
        <f>_xlfn.XLOOKUP($B79,'2'!$B:$B,'2'!R:R,)</f>
        <v>Ofwat (2023) PR24: Using collaborative customer research to set outcome delivery incentive rates.</v>
      </c>
      <c r="S79" s="40" t="str">
        <f>_xlfn.XLOOKUP($B79,'2'!$B:$B,'2'!S:S,)</f>
        <v>/</v>
      </c>
      <c r="T79" s="40">
        <f>_xlfn.XLOOKUP($B79,'2'!$B:$B,'2'!T:T,)</f>
        <v>2023</v>
      </c>
      <c r="U79" s="40" t="str">
        <f>_xlfn.XLOOKUP($B79,'2'!$B:$B,'2'!U:U,)</f>
        <v>UK</v>
      </c>
      <c r="V79" s="40" t="str">
        <f>_xlfn.XLOOKUP($B79,'2'!$B:$B,'2'!V:V,)</f>
        <v>England and Wales</v>
      </c>
      <c r="W79" s="40" t="str">
        <f>_xlfn.XLOOKUP($B79,'2'!$B:$B,'2'!W:W,)</f>
        <v>12,567 household interviews, 3,728 non-household interviews</v>
      </c>
    </row>
    <row r="80" spans="2:23">
      <c r="B80" s="39" t="s">
        <v>1082</v>
      </c>
      <c r="C80" s="40" t="str">
        <f>_xlfn.XLOOKUP($B80,'2'!$B:$B,'2'!C:C,)</f>
        <v>Drinking water quality (appearance, taste and odour)</v>
      </c>
      <c r="D80" s="40" t="str">
        <f>_xlfn.XLOOKUP($B80,'2'!$B:$B,'2'!D:D,)</f>
        <v>Appearance Complaints - general conditions</v>
      </c>
      <c r="E80" s="40" t="str">
        <f>_xlfn.XLOOKUP($B80,'2'!$B:$B,'2'!E:E,)</f>
        <v>Local economy</v>
      </c>
      <c r="F80" s="40">
        <f>_xlfn.XLOOKUP($B80,'2'!$B:$B,'2'!F:F,)</f>
        <v>2023</v>
      </c>
      <c r="G80" s="40">
        <f>_xlfn.XLOOKUP($B80,'2'!$B:$B,'2'!G:G,)</f>
        <v>2022</v>
      </c>
      <c r="H80" s="40">
        <f>_xlfn.XLOOKUP($B80,'2'!$B:$B,'2'!H:H,)</f>
        <v>2023</v>
      </c>
      <c r="I80" s="40">
        <f>_xlfn.XLOOKUP($B80,'2'!$B:$B,'2'!I:I,)</f>
        <v>93.351699999999994</v>
      </c>
      <c r="J80" s="40">
        <f>_xlfn.XLOOKUP($B80,'2'!$B:$B,'2'!J:J,)</f>
        <v>100</v>
      </c>
      <c r="K80" s="629">
        <f>_xlfn.XLOOKUP($B80,'2'!$B:$B,'2'!K:K,)</f>
        <v>5379</v>
      </c>
      <c r="L80" s="629">
        <f>_xlfn.XLOOKUP($B80,'2'!$B:$B,'2'!L:L,)</f>
        <v>5762.0803906088486</v>
      </c>
      <c r="M80" s="40" t="str">
        <f>_xlfn.XLOOKUP($B80,'2'!$B:$B,'2'!M:M,)</f>
        <v>Willingness to Accept</v>
      </c>
      <c r="N80" s="326">
        <f>_xlfn.XLOOKUP($B80,'2'!$B:$B,'2'!N:N,)</f>
        <v>2.5</v>
      </c>
      <c r="O80" s="40" t="str">
        <f>_xlfn.XLOOKUP($B80,'2'!$B:$B,'2'!O:O,)</f>
        <v>Yes</v>
      </c>
      <c r="P80" s="40" t="str">
        <f>_xlfn.XLOOKUP($B80,'2'!$B:$B,'2'!P:P,)</f>
        <v>Uses industry-wide values</v>
      </c>
      <c r="Q80" s="40">
        <f>_xlfn.XLOOKUP($B80,'2'!$B:$B,'2'!Q:Q,)</f>
        <v>16</v>
      </c>
      <c r="R80" s="40" t="str">
        <f>_xlfn.XLOOKUP($B80,'2'!$B:$B,'2'!R:R,)</f>
        <v>Ofwat (2023) PR24: Using collaborative customer research to set outcome delivery incentive rates.</v>
      </c>
      <c r="S80" s="40" t="str">
        <f>_xlfn.XLOOKUP($B80,'2'!$B:$B,'2'!S:S,)</f>
        <v>/</v>
      </c>
      <c r="T80" s="40">
        <f>_xlfn.XLOOKUP($B80,'2'!$B:$B,'2'!T:T,)</f>
        <v>2023</v>
      </c>
      <c r="U80" s="40" t="str">
        <f>_xlfn.XLOOKUP($B80,'2'!$B:$B,'2'!U:U,)</f>
        <v>UK</v>
      </c>
      <c r="V80" s="40" t="str">
        <f>_xlfn.XLOOKUP($B80,'2'!$B:$B,'2'!V:V,)</f>
        <v>England and Wales</v>
      </c>
      <c r="W80" s="40" t="str">
        <f>_xlfn.XLOOKUP($B80,'2'!$B:$B,'2'!W:W,)</f>
        <v>12,567 household interviews, 3,728 non-household interviews</v>
      </c>
    </row>
    <row r="81" spans="2:23">
      <c r="B81" s="39" t="s">
        <v>971</v>
      </c>
      <c r="C81" s="40" t="str">
        <f>_xlfn.XLOOKUP($B81,'1'!$B:$B,'1'!C:C,)</f>
        <v>Drinking water quality (biological and chemical)</v>
      </c>
      <c r="D81" s="40" t="str">
        <f>_xlfn.XLOOKUP($B81,'1'!$B:$B,'1'!D:D,)</f>
        <v>WQ parameter sample exceeds PCV at WTW - no health impact - lower estimate</v>
      </c>
      <c r="E81" s="40" t="str">
        <f>_xlfn.XLOOKUP($B81,'1'!$B:$B,'1'!E:E,)</f>
        <v>Quality of place</v>
      </c>
      <c r="F81" s="40">
        <f>_xlfn.XLOOKUP($B81,'1'!$B:$B,'1'!F:F,)</f>
        <v>2018</v>
      </c>
      <c r="G81" s="40">
        <f>_xlfn.XLOOKUP($B81,'1'!$B:$B,'1'!G:G,)</f>
        <v>2017</v>
      </c>
      <c r="H81" s="40">
        <f>_xlfn.XLOOKUP($B81,'1'!$B:$B,'1'!H:H,)</f>
        <v>2023</v>
      </c>
      <c r="I81" s="40">
        <f>_xlfn.XLOOKUP($B81,'1'!$B:$B,'1'!I:I,)</f>
        <v>81.273099999999999</v>
      </c>
      <c r="J81" s="40">
        <f>_xlfn.XLOOKUP($B81,'1'!$B:$B,'1'!J:J,)</f>
        <v>100</v>
      </c>
      <c r="K81" s="629">
        <f>_xlfn.XLOOKUP($B81,'1'!$B:$B,'1'!K:K,)</f>
        <v>119050</v>
      </c>
      <c r="L81" s="629">
        <f>_xlfn.XLOOKUP($B81,'1'!$B:$B,'1'!L:L,)</f>
        <v>146481.43112542774</v>
      </c>
      <c r="M81" s="40" t="str">
        <f>_xlfn.XLOOKUP($B81,'1'!$B:$B,'1'!M:M,)</f>
        <v>Willingness to Pay</v>
      </c>
      <c r="N81" s="326">
        <f>_xlfn.XLOOKUP($B81,'1'!$B:$B,'1'!N:N,)</f>
        <v>2.5</v>
      </c>
      <c r="O81" s="40" t="str">
        <f>_xlfn.XLOOKUP($B81,'1'!$B:$B,'1'!O:O,)</f>
        <v>Yes</v>
      </c>
      <c r="P81" s="40" t="str">
        <f>_xlfn.XLOOKUP($B81,'1'!$B:$B,'1'!P:P,)</f>
        <v>Only value found in available WTP/WTA studies</v>
      </c>
      <c r="Q81" s="40">
        <f>_xlfn.XLOOKUP($B81,'1'!$B:$B,'1'!Q:Q,)</f>
        <v>136</v>
      </c>
      <c r="R81" s="40" t="str">
        <f>_xlfn.XLOOKUP($B81,'1'!$B:$B,'1'!R:R,)</f>
        <v>UU (2018) Customer research triangulation report</v>
      </c>
      <c r="S81" s="40" t="str">
        <f>_xlfn.XLOOKUP($B81,'1'!$B:$B,'1'!S:S,)</f>
        <v>/</v>
      </c>
      <c r="T81" s="40">
        <f>_xlfn.XLOOKUP($B81,'1'!$B:$B,'1'!T:T,)</f>
        <v>2018</v>
      </c>
      <c r="U81" s="40" t="str">
        <f>_xlfn.XLOOKUP($B81,'1'!$B:$B,'1'!U:U,)</f>
        <v>England</v>
      </c>
      <c r="V81" s="40" t="str">
        <f>_xlfn.XLOOKUP($B81,'1'!$B:$B,'1'!V:V,)</f>
        <v>UU region</v>
      </c>
      <c r="W81" s="40" t="str">
        <f>_xlfn.XLOOKUP($B81,'1'!$B:$B,'1'!W:W,)</f>
        <v>Unknown</v>
      </c>
    </row>
    <row r="82" spans="2:23">
      <c r="B82" s="39" t="s">
        <v>972</v>
      </c>
      <c r="C82" s="40" t="str">
        <f>_xlfn.XLOOKUP($B82,'1'!$B:$B,'1'!C:C,)</f>
        <v>Drinking water quality (biological and chemical)</v>
      </c>
      <c r="D82" s="40" t="str">
        <f>_xlfn.XLOOKUP($B82,'1'!$B:$B,'1'!D:D,)</f>
        <v>WQ parameter sample exceeds PCV at WTW - health impact - lower estimate</v>
      </c>
      <c r="E82" s="40" t="str">
        <f>_xlfn.XLOOKUP($B82,'1'!$B:$B,'1'!E:E,)</f>
        <v>Quality of place</v>
      </c>
      <c r="F82" s="40">
        <f>_xlfn.XLOOKUP($B82,'1'!$B:$B,'1'!F:F,)</f>
        <v>2018</v>
      </c>
      <c r="G82" s="40">
        <f>_xlfn.XLOOKUP($B82,'1'!$B:$B,'1'!G:G,)</f>
        <v>2017</v>
      </c>
      <c r="H82" s="40">
        <f>_xlfn.XLOOKUP($B82,'1'!$B:$B,'1'!H:H,)</f>
        <v>2023</v>
      </c>
      <c r="I82" s="40">
        <f>_xlfn.XLOOKUP($B82,'1'!$B:$B,'1'!I:I,)</f>
        <v>81.273099999999999</v>
      </c>
      <c r="J82" s="40">
        <f>_xlfn.XLOOKUP($B82,'1'!$B:$B,'1'!J:J,)</f>
        <v>100</v>
      </c>
      <c r="K82" s="629">
        <f>_xlfn.XLOOKUP($B82,'1'!$B:$B,'1'!K:K,)</f>
        <v>119050</v>
      </c>
      <c r="L82" s="629">
        <f>_xlfn.XLOOKUP($B82,'1'!$B:$B,'1'!L:L,)</f>
        <v>146481.43112542774</v>
      </c>
      <c r="M82" s="40" t="str">
        <f>_xlfn.XLOOKUP($B82,'1'!$B:$B,'1'!M:M,)</f>
        <v>Willingness to Pay</v>
      </c>
      <c r="N82" s="326">
        <f>_xlfn.XLOOKUP($B82,'1'!$B:$B,'1'!N:N,)</f>
        <v>2.5</v>
      </c>
      <c r="O82" s="40" t="str">
        <f>_xlfn.XLOOKUP($B82,'1'!$B:$B,'1'!O:O,)</f>
        <v>Yes</v>
      </c>
      <c r="P82" s="40" t="str">
        <f>_xlfn.XLOOKUP($B82,'1'!$B:$B,'1'!P:P,)</f>
        <v>Only value found in available WTP/WTA studies</v>
      </c>
      <c r="Q82" s="40">
        <f>_xlfn.XLOOKUP($B82,'1'!$B:$B,'1'!Q:Q,)</f>
        <v>136</v>
      </c>
      <c r="R82" s="40" t="str">
        <f>_xlfn.XLOOKUP($B82,'1'!$B:$B,'1'!R:R,)</f>
        <v>UU (2018) Customer research triangulation report</v>
      </c>
      <c r="S82" s="40" t="str">
        <f>_xlfn.XLOOKUP($B82,'1'!$B:$B,'1'!S:S,)</f>
        <v>/</v>
      </c>
      <c r="T82" s="40">
        <f>_xlfn.XLOOKUP($B82,'1'!$B:$B,'1'!T:T,)</f>
        <v>2018</v>
      </c>
      <c r="U82" s="40" t="str">
        <f>_xlfn.XLOOKUP($B82,'1'!$B:$B,'1'!U:U,)</f>
        <v>England</v>
      </c>
      <c r="V82" s="40" t="str">
        <f>_xlfn.XLOOKUP($B82,'1'!$B:$B,'1'!V:V,)</f>
        <v>UU region</v>
      </c>
      <c r="W82" s="40" t="str">
        <f>_xlfn.XLOOKUP($B82,'1'!$B:$B,'1'!W:W,)</f>
        <v>Unknown</v>
      </c>
    </row>
    <row r="83" spans="2:23">
      <c r="B83" s="39" t="s">
        <v>973</v>
      </c>
      <c r="C83" s="40" t="str">
        <f>_xlfn.XLOOKUP($B83,'1'!$B:$B,'1'!C:C,)</f>
        <v>Drinking water quality (biological and chemical)</v>
      </c>
      <c r="D83" s="40" t="str">
        <f>_xlfn.XLOOKUP($B83,'1'!$B:$B,'1'!D:D,)</f>
        <v>WQ parameter sample exceeds PCV at SR - no health impact - lower estimate</v>
      </c>
      <c r="E83" s="40" t="str">
        <f>_xlfn.XLOOKUP($B83,'1'!$B:$B,'1'!E:E,)</f>
        <v>Quality of place</v>
      </c>
      <c r="F83" s="40">
        <f>_xlfn.XLOOKUP($B83,'1'!$B:$B,'1'!F:F,)</f>
        <v>2018</v>
      </c>
      <c r="G83" s="40">
        <f>_xlfn.XLOOKUP($B83,'1'!$B:$B,'1'!G:G,)</f>
        <v>2017</v>
      </c>
      <c r="H83" s="40">
        <f>_xlfn.XLOOKUP($B83,'1'!$B:$B,'1'!H:H,)</f>
        <v>2023</v>
      </c>
      <c r="I83" s="40">
        <f>_xlfn.XLOOKUP($B83,'1'!$B:$B,'1'!I:I,)</f>
        <v>81.273099999999999</v>
      </c>
      <c r="J83" s="40">
        <f>_xlfn.XLOOKUP($B83,'1'!$B:$B,'1'!J:J,)</f>
        <v>100</v>
      </c>
      <c r="K83" s="629">
        <f>_xlfn.XLOOKUP($B83,'1'!$B:$B,'1'!K:K,)</f>
        <v>119050</v>
      </c>
      <c r="L83" s="629">
        <f>_xlfn.XLOOKUP($B83,'1'!$B:$B,'1'!L:L,)</f>
        <v>146481.43112542774</v>
      </c>
      <c r="M83" s="40" t="str">
        <f>_xlfn.XLOOKUP($B83,'1'!$B:$B,'1'!M:M,)</f>
        <v>Willingness to Pay</v>
      </c>
      <c r="N83" s="326">
        <f>_xlfn.XLOOKUP($B83,'1'!$B:$B,'1'!N:N,)</f>
        <v>2.5</v>
      </c>
      <c r="O83" s="40" t="str">
        <f>_xlfn.XLOOKUP($B83,'1'!$B:$B,'1'!O:O,)</f>
        <v>Yes</v>
      </c>
      <c r="P83" s="40" t="str">
        <f>_xlfn.XLOOKUP($B83,'1'!$B:$B,'1'!P:P,)</f>
        <v>Only value found in available WTP/WTA studies</v>
      </c>
      <c r="Q83" s="40">
        <f>_xlfn.XLOOKUP($B83,'1'!$B:$B,'1'!Q:Q,)</f>
        <v>136</v>
      </c>
      <c r="R83" s="40" t="str">
        <f>_xlfn.XLOOKUP($B83,'1'!$B:$B,'1'!R:R,)</f>
        <v>UU (2018) Customer research triangulation report</v>
      </c>
      <c r="S83" s="40" t="str">
        <f>_xlfn.XLOOKUP($B83,'1'!$B:$B,'1'!S:S,)</f>
        <v>/</v>
      </c>
      <c r="T83" s="40">
        <f>_xlfn.XLOOKUP($B83,'1'!$B:$B,'1'!T:T,)</f>
        <v>2018</v>
      </c>
      <c r="U83" s="40" t="str">
        <f>_xlfn.XLOOKUP($B83,'1'!$B:$B,'1'!U:U,)</f>
        <v>England</v>
      </c>
      <c r="V83" s="40" t="str">
        <f>_xlfn.XLOOKUP($B83,'1'!$B:$B,'1'!V:V,)</f>
        <v>UU region</v>
      </c>
      <c r="W83" s="40" t="str">
        <f>_xlfn.XLOOKUP($B83,'1'!$B:$B,'1'!W:W,)</f>
        <v>Unknown</v>
      </c>
    </row>
    <row r="84" spans="2:23">
      <c r="B84" s="39" t="s">
        <v>974</v>
      </c>
      <c r="C84" s="40" t="str">
        <f>_xlfn.XLOOKUP($B84,'1'!$B:$B,'1'!C:C,)</f>
        <v>Drinking water quality (biological and chemical)</v>
      </c>
      <c r="D84" s="40" t="str">
        <f>_xlfn.XLOOKUP($B84,'1'!$B:$B,'1'!D:D,)</f>
        <v>WQ parameter sample exceeds PCV at SR - health impact - lower estimate</v>
      </c>
      <c r="E84" s="40" t="str">
        <f>_xlfn.XLOOKUP($B84,'1'!$B:$B,'1'!E:E,)</f>
        <v>Quality of place</v>
      </c>
      <c r="F84" s="40">
        <f>_xlfn.XLOOKUP($B84,'1'!$B:$B,'1'!F:F,)</f>
        <v>2018</v>
      </c>
      <c r="G84" s="40">
        <f>_xlfn.XLOOKUP($B84,'1'!$B:$B,'1'!G:G,)</f>
        <v>2017</v>
      </c>
      <c r="H84" s="40">
        <f>_xlfn.XLOOKUP($B84,'1'!$B:$B,'1'!H:H,)</f>
        <v>2023</v>
      </c>
      <c r="I84" s="40">
        <f>_xlfn.XLOOKUP($B84,'1'!$B:$B,'1'!I:I,)</f>
        <v>81.273099999999999</v>
      </c>
      <c r="J84" s="40">
        <f>_xlfn.XLOOKUP($B84,'1'!$B:$B,'1'!J:J,)</f>
        <v>100</v>
      </c>
      <c r="K84" s="629">
        <f>_xlfn.XLOOKUP($B84,'1'!$B:$B,'1'!K:K,)</f>
        <v>119050</v>
      </c>
      <c r="L84" s="629">
        <f>_xlfn.XLOOKUP($B84,'1'!$B:$B,'1'!L:L,)</f>
        <v>146481.43112542774</v>
      </c>
      <c r="M84" s="40" t="str">
        <f>_xlfn.XLOOKUP($B84,'1'!$B:$B,'1'!M:M,)</f>
        <v>Willingness to Pay</v>
      </c>
      <c r="N84" s="326">
        <f>_xlfn.XLOOKUP($B84,'1'!$B:$B,'1'!N:N,)</f>
        <v>2.5</v>
      </c>
      <c r="O84" s="40" t="str">
        <f>_xlfn.XLOOKUP($B84,'1'!$B:$B,'1'!O:O,)</f>
        <v>Yes</v>
      </c>
      <c r="P84" s="40" t="str">
        <f>_xlfn.XLOOKUP($B84,'1'!$B:$B,'1'!P:P,)</f>
        <v>Only value found in available WTP/WTA studies</v>
      </c>
      <c r="Q84" s="40">
        <f>_xlfn.XLOOKUP($B84,'1'!$B:$B,'1'!Q:Q,)</f>
        <v>136</v>
      </c>
      <c r="R84" s="40" t="str">
        <f>_xlfn.XLOOKUP($B84,'1'!$B:$B,'1'!R:R,)</f>
        <v>UU (2018) Customer research triangulation report</v>
      </c>
      <c r="S84" s="40" t="str">
        <f>_xlfn.XLOOKUP($B84,'1'!$B:$B,'1'!S:S,)</f>
        <v>/</v>
      </c>
      <c r="T84" s="40">
        <f>_xlfn.XLOOKUP($B84,'1'!$B:$B,'1'!T:T,)</f>
        <v>2018</v>
      </c>
      <c r="U84" s="40" t="str">
        <f>_xlfn.XLOOKUP($B84,'1'!$B:$B,'1'!U:U,)</f>
        <v>England</v>
      </c>
      <c r="V84" s="40" t="str">
        <f>_xlfn.XLOOKUP($B84,'1'!$B:$B,'1'!V:V,)</f>
        <v>UU region</v>
      </c>
      <c r="W84" s="40" t="str">
        <f>_xlfn.XLOOKUP($B84,'1'!$B:$B,'1'!W:W,)</f>
        <v>Unknown</v>
      </c>
    </row>
    <row r="85" spans="2:23">
      <c r="B85" s="39" t="s">
        <v>975</v>
      </c>
      <c r="C85" s="40" t="str">
        <f>_xlfn.XLOOKUP($B85,'1'!$B:$B,'1'!C:C,)</f>
        <v>Drinking water quality (biological and chemical)</v>
      </c>
      <c r="D85" s="40" t="str">
        <f>_xlfn.XLOOKUP($B85,'1'!$B:$B,'1'!D:D,)</f>
        <v>WQ parameter sample exceeds PCV at Customer Property - no health impact - lower estimate</v>
      </c>
      <c r="E85" s="40" t="str">
        <f>_xlfn.XLOOKUP($B85,'1'!$B:$B,'1'!E:E,)</f>
        <v>Quality of place</v>
      </c>
      <c r="F85" s="40">
        <f>_xlfn.XLOOKUP($B85,'1'!$B:$B,'1'!F:F,)</f>
        <v>2018</v>
      </c>
      <c r="G85" s="40">
        <f>_xlfn.XLOOKUP($B85,'1'!$B:$B,'1'!G:G,)</f>
        <v>2017</v>
      </c>
      <c r="H85" s="40">
        <f>_xlfn.XLOOKUP($B85,'1'!$B:$B,'1'!H:H,)</f>
        <v>2023</v>
      </c>
      <c r="I85" s="40">
        <f>_xlfn.XLOOKUP($B85,'1'!$B:$B,'1'!I:I,)</f>
        <v>81.273099999999999</v>
      </c>
      <c r="J85" s="40">
        <f>_xlfn.XLOOKUP($B85,'1'!$B:$B,'1'!J:J,)</f>
        <v>100</v>
      </c>
      <c r="K85" s="629">
        <f>_xlfn.XLOOKUP($B85,'1'!$B:$B,'1'!K:K,)</f>
        <v>119050</v>
      </c>
      <c r="L85" s="629">
        <f>_xlfn.XLOOKUP($B85,'1'!$B:$B,'1'!L:L,)</f>
        <v>146481.43112542774</v>
      </c>
      <c r="M85" s="40" t="str">
        <f>_xlfn.XLOOKUP($B85,'1'!$B:$B,'1'!M:M,)</f>
        <v>Willingness to Pay</v>
      </c>
      <c r="N85" s="326">
        <f>_xlfn.XLOOKUP($B85,'1'!$B:$B,'1'!N:N,)</f>
        <v>2.5</v>
      </c>
      <c r="O85" s="40" t="str">
        <f>_xlfn.XLOOKUP($B85,'1'!$B:$B,'1'!O:O,)</f>
        <v>Yes</v>
      </c>
      <c r="P85" s="40" t="str">
        <f>_xlfn.XLOOKUP($B85,'1'!$B:$B,'1'!P:P,)</f>
        <v>Only value found in available WTP/WTA studies</v>
      </c>
      <c r="Q85" s="40">
        <f>_xlfn.XLOOKUP($B85,'1'!$B:$B,'1'!Q:Q,)</f>
        <v>136</v>
      </c>
      <c r="R85" s="40" t="str">
        <f>_xlfn.XLOOKUP($B85,'1'!$B:$B,'1'!R:R,)</f>
        <v>UU (2018) Customer research triangulation report</v>
      </c>
      <c r="S85" s="40" t="str">
        <f>_xlfn.XLOOKUP($B85,'1'!$B:$B,'1'!S:S,)</f>
        <v>/</v>
      </c>
      <c r="T85" s="40">
        <f>_xlfn.XLOOKUP($B85,'1'!$B:$B,'1'!T:T,)</f>
        <v>2018</v>
      </c>
      <c r="U85" s="40" t="str">
        <f>_xlfn.XLOOKUP($B85,'1'!$B:$B,'1'!U:U,)</f>
        <v>England</v>
      </c>
      <c r="V85" s="40" t="str">
        <f>_xlfn.XLOOKUP($B85,'1'!$B:$B,'1'!V:V,)</f>
        <v>UU region</v>
      </c>
      <c r="W85" s="40" t="str">
        <f>_xlfn.XLOOKUP($B85,'1'!$B:$B,'1'!W:W,)</f>
        <v>Unknown</v>
      </c>
    </row>
    <row r="86" spans="2:23">
      <c r="B86" s="39" t="s">
        <v>976</v>
      </c>
      <c r="C86" s="40" t="str">
        <f>_xlfn.XLOOKUP($B86,'1'!$B:$B,'1'!C:C,)</f>
        <v>Drinking water quality (biological and chemical)</v>
      </c>
      <c r="D86" s="40" t="str">
        <f>_xlfn.XLOOKUP($B86,'1'!$B:$B,'1'!D:D,)</f>
        <v>WQ parameter sample exceeds PCV at Customer Property - health impact - lower estimate</v>
      </c>
      <c r="E86" s="40" t="str">
        <f>_xlfn.XLOOKUP($B86,'1'!$B:$B,'1'!E:E,)</f>
        <v>Quality of place</v>
      </c>
      <c r="F86" s="40">
        <f>_xlfn.XLOOKUP($B86,'1'!$B:$B,'1'!F:F,)</f>
        <v>2018</v>
      </c>
      <c r="G86" s="40">
        <f>_xlfn.XLOOKUP($B86,'1'!$B:$B,'1'!G:G,)</f>
        <v>2017</v>
      </c>
      <c r="H86" s="40">
        <f>_xlfn.XLOOKUP($B86,'1'!$B:$B,'1'!H:H,)</f>
        <v>2023</v>
      </c>
      <c r="I86" s="40">
        <f>_xlfn.XLOOKUP($B86,'1'!$B:$B,'1'!I:I,)</f>
        <v>81.273099999999999</v>
      </c>
      <c r="J86" s="40">
        <f>_xlfn.XLOOKUP($B86,'1'!$B:$B,'1'!J:J,)</f>
        <v>100</v>
      </c>
      <c r="K86" s="629">
        <f>_xlfn.XLOOKUP($B86,'1'!$B:$B,'1'!K:K,)</f>
        <v>119050</v>
      </c>
      <c r="L86" s="629">
        <f>_xlfn.XLOOKUP($B86,'1'!$B:$B,'1'!L:L,)</f>
        <v>146481.43112542774</v>
      </c>
      <c r="M86" s="40" t="str">
        <f>_xlfn.XLOOKUP($B86,'1'!$B:$B,'1'!M:M,)</f>
        <v>Willingness to Pay</v>
      </c>
      <c r="N86" s="326">
        <f>_xlfn.XLOOKUP($B86,'1'!$B:$B,'1'!N:N,)</f>
        <v>2.5</v>
      </c>
      <c r="O86" s="40" t="str">
        <f>_xlfn.XLOOKUP($B86,'1'!$B:$B,'1'!O:O,)</f>
        <v>Yes</v>
      </c>
      <c r="P86" s="40" t="str">
        <f>_xlfn.XLOOKUP($B86,'1'!$B:$B,'1'!P:P,)</f>
        <v>Only value found in available WTP/WTA studies</v>
      </c>
      <c r="Q86" s="40">
        <f>_xlfn.XLOOKUP($B86,'1'!$B:$B,'1'!Q:Q,)</f>
        <v>136</v>
      </c>
      <c r="R86" s="40" t="str">
        <f>_xlfn.XLOOKUP($B86,'1'!$B:$B,'1'!R:R,)</f>
        <v>UU (2018) Customer research triangulation report</v>
      </c>
      <c r="S86" s="40" t="str">
        <f>_xlfn.XLOOKUP($B86,'1'!$B:$B,'1'!S:S,)</f>
        <v>/</v>
      </c>
      <c r="T86" s="40">
        <f>_xlfn.XLOOKUP($B86,'1'!$B:$B,'1'!T:T,)</f>
        <v>2018</v>
      </c>
      <c r="U86" s="40" t="str">
        <f>_xlfn.XLOOKUP($B86,'1'!$B:$B,'1'!U:U,)</f>
        <v>England</v>
      </c>
      <c r="V86" s="40" t="str">
        <f>_xlfn.XLOOKUP($B86,'1'!$B:$B,'1'!V:V,)</f>
        <v>UU region</v>
      </c>
      <c r="W86" s="40" t="str">
        <f>_xlfn.XLOOKUP($B86,'1'!$B:$B,'1'!W:W,)</f>
        <v>Unknown</v>
      </c>
    </row>
    <row r="87" spans="2:23">
      <c r="B87" s="39" t="s">
        <v>977</v>
      </c>
      <c r="C87" s="40" t="str">
        <f>_xlfn.XLOOKUP($B87,'1'!$B:$B,'1'!C:C,)</f>
        <v>Drinking water quality (biological and chemical)</v>
      </c>
      <c r="D87" s="40" t="str">
        <f>_xlfn.XLOOKUP($B87,'1'!$B:$B,'1'!D:D,)</f>
        <v>WQ parameter sample exceeds PCV at WTW - no health impact - lower estimate</v>
      </c>
      <c r="E87" s="40" t="str">
        <f>_xlfn.XLOOKUP($B87,'1'!$B:$B,'1'!E:E,)</f>
        <v>Local economy</v>
      </c>
      <c r="F87" s="40">
        <f>_xlfn.XLOOKUP($B87,'1'!$B:$B,'1'!F:F,)</f>
        <v>2018</v>
      </c>
      <c r="G87" s="40">
        <f>_xlfn.XLOOKUP($B87,'1'!$B:$B,'1'!G:G,)</f>
        <v>2017</v>
      </c>
      <c r="H87" s="40">
        <f>_xlfn.XLOOKUP($B87,'1'!$B:$B,'1'!H:H,)</f>
        <v>2023</v>
      </c>
      <c r="I87" s="40">
        <f>_xlfn.XLOOKUP($B87,'1'!$B:$B,'1'!I:I,)</f>
        <v>81.273099999999999</v>
      </c>
      <c r="J87" s="40">
        <f>_xlfn.XLOOKUP($B87,'1'!$B:$B,'1'!J:J,)</f>
        <v>100</v>
      </c>
      <c r="K87" s="629">
        <f>_xlfn.XLOOKUP($B87,'1'!$B:$B,'1'!K:K,)</f>
        <v>289300</v>
      </c>
      <c r="L87" s="629">
        <f>_xlfn.XLOOKUP($B87,'1'!$B:$B,'1'!L:L,)</f>
        <v>355960.33619980043</v>
      </c>
      <c r="M87" s="40" t="str">
        <f>_xlfn.XLOOKUP($B87,'1'!$B:$B,'1'!M:M,)</f>
        <v>Willingness to Pay</v>
      </c>
      <c r="N87" s="326">
        <f>_xlfn.XLOOKUP($B87,'1'!$B:$B,'1'!N:N,)</f>
        <v>2.5</v>
      </c>
      <c r="O87" s="40" t="str">
        <f>_xlfn.XLOOKUP($B87,'1'!$B:$B,'1'!O:O,)</f>
        <v>Yes</v>
      </c>
      <c r="P87" s="40" t="str">
        <f>_xlfn.XLOOKUP($B87,'1'!$B:$B,'1'!P:P,)</f>
        <v>Only value found in available WTP/WTA studies</v>
      </c>
      <c r="Q87" s="40">
        <f>_xlfn.XLOOKUP($B87,'1'!$B:$B,'1'!Q:Q,)</f>
        <v>136</v>
      </c>
      <c r="R87" s="40" t="str">
        <f>_xlfn.XLOOKUP($B87,'1'!$B:$B,'1'!R:R,)</f>
        <v>UU (2018) Customer research triangulation report</v>
      </c>
      <c r="S87" s="40" t="str">
        <f>_xlfn.XLOOKUP($B87,'1'!$B:$B,'1'!S:S,)</f>
        <v>/</v>
      </c>
      <c r="T87" s="40">
        <f>_xlfn.XLOOKUP($B87,'1'!$B:$B,'1'!T:T,)</f>
        <v>2018</v>
      </c>
      <c r="U87" s="40" t="str">
        <f>_xlfn.XLOOKUP($B87,'1'!$B:$B,'1'!U:U,)</f>
        <v>England</v>
      </c>
      <c r="V87" s="40" t="str">
        <f>_xlfn.XLOOKUP($B87,'1'!$B:$B,'1'!V:V,)</f>
        <v>UU region</v>
      </c>
      <c r="W87" s="40" t="str">
        <f>_xlfn.XLOOKUP($B87,'1'!$B:$B,'1'!W:W,)</f>
        <v>Unknown</v>
      </c>
    </row>
    <row r="88" spans="2:23">
      <c r="B88" s="39" t="s">
        <v>978</v>
      </c>
      <c r="C88" s="40" t="str">
        <f>_xlfn.XLOOKUP($B88,'1'!$B:$B,'1'!C:C,)</f>
        <v>Drinking water quality (biological and chemical)</v>
      </c>
      <c r="D88" s="40" t="str">
        <f>_xlfn.XLOOKUP($B88,'1'!$B:$B,'1'!D:D,)</f>
        <v>WQ parameter sample exceeds PCV at WTW - health impact - lower estimate</v>
      </c>
      <c r="E88" s="40" t="str">
        <f>_xlfn.XLOOKUP($B88,'1'!$B:$B,'1'!E:E,)</f>
        <v>Local economy</v>
      </c>
      <c r="F88" s="40">
        <f>_xlfn.XLOOKUP($B88,'1'!$B:$B,'1'!F:F,)</f>
        <v>2018</v>
      </c>
      <c r="G88" s="40">
        <f>_xlfn.XLOOKUP($B88,'1'!$B:$B,'1'!G:G,)</f>
        <v>2017</v>
      </c>
      <c r="H88" s="40">
        <f>_xlfn.XLOOKUP($B88,'1'!$B:$B,'1'!H:H,)</f>
        <v>2023</v>
      </c>
      <c r="I88" s="40">
        <f>_xlfn.XLOOKUP($B88,'1'!$B:$B,'1'!I:I,)</f>
        <v>81.273099999999999</v>
      </c>
      <c r="J88" s="40">
        <f>_xlfn.XLOOKUP($B88,'1'!$B:$B,'1'!J:J,)</f>
        <v>100</v>
      </c>
      <c r="K88" s="629">
        <f>_xlfn.XLOOKUP($B88,'1'!$B:$B,'1'!K:K,)</f>
        <v>289300</v>
      </c>
      <c r="L88" s="629">
        <f>_xlfn.XLOOKUP($B88,'1'!$B:$B,'1'!L:L,)</f>
        <v>355960.33619980043</v>
      </c>
      <c r="M88" s="40" t="str">
        <f>_xlfn.XLOOKUP($B88,'1'!$B:$B,'1'!M:M,)</f>
        <v>Willingness to Pay</v>
      </c>
      <c r="N88" s="326">
        <f>_xlfn.XLOOKUP($B88,'1'!$B:$B,'1'!N:N,)</f>
        <v>2.5</v>
      </c>
      <c r="O88" s="40" t="str">
        <f>_xlfn.XLOOKUP($B88,'1'!$B:$B,'1'!O:O,)</f>
        <v>Yes</v>
      </c>
      <c r="P88" s="40" t="str">
        <f>_xlfn.XLOOKUP($B88,'1'!$B:$B,'1'!P:P,)</f>
        <v>Only value found in available WTP/WTA studies</v>
      </c>
      <c r="Q88" s="40">
        <f>_xlfn.XLOOKUP($B88,'1'!$B:$B,'1'!Q:Q,)</f>
        <v>136</v>
      </c>
      <c r="R88" s="40" t="str">
        <f>_xlfn.XLOOKUP($B88,'1'!$B:$B,'1'!R:R,)</f>
        <v>UU (2018) Customer research triangulation report</v>
      </c>
      <c r="S88" s="40" t="str">
        <f>_xlfn.XLOOKUP($B88,'1'!$B:$B,'1'!S:S,)</f>
        <v>/</v>
      </c>
      <c r="T88" s="40">
        <f>_xlfn.XLOOKUP($B88,'1'!$B:$B,'1'!T:T,)</f>
        <v>2018</v>
      </c>
      <c r="U88" s="40" t="str">
        <f>_xlfn.XLOOKUP($B88,'1'!$B:$B,'1'!U:U,)</f>
        <v>England</v>
      </c>
      <c r="V88" s="40" t="str">
        <f>_xlfn.XLOOKUP($B88,'1'!$B:$B,'1'!V:V,)</f>
        <v>UU region</v>
      </c>
      <c r="W88" s="40" t="str">
        <f>_xlfn.XLOOKUP($B88,'1'!$B:$B,'1'!W:W,)</f>
        <v>Unknown</v>
      </c>
    </row>
    <row r="89" spans="2:23">
      <c r="B89" s="39" t="s">
        <v>979</v>
      </c>
      <c r="C89" s="40" t="str">
        <f>_xlfn.XLOOKUP($B89,'1'!$B:$B,'1'!C:C,)</f>
        <v>Drinking water quality (biological and chemical)</v>
      </c>
      <c r="D89" s="40" t="str">
        <f>_xlfn.XLOOKUP($B89,'1'!$B:$B,'1'!D:D,)</f>
        <v>WQ parameter sample exceeds PCV at SR - no health impact - lower estimate</v>
      </c>
      <c r="E89" s="40" t="str">
        <f>_xlfn.XLOOKUP($B89,'1'!$B:$B,'1'!E:E,)</f>
        <v>Local economy</v>
      </c>
      <c r="F89" s="40">
        <f>_xlfn.XLOOKUP($B89,'1'!$B:$B,'1'!F:F,)</f>
        <v>2018</v>
      </c>
      <c r="G89" s="40">
        <f>_xlfn.XLOOKUP($B89,'1'!$B:$B,'1'!G:G,)</f>
        <v>2017</v>
      </c>
      <c r="H89" s="40">
        <f>_xlfn.XLOOKUP($B89,'1'!$B:$B,'1'!H:H,)</f>
        <v>2023</v>
      </c>
      <c r="I89" s="40">
        <f>_xlfn.XLOOKUP($B89,'1'!$B:$B,'1'!I:I,)</f>
        <v>81.273099999999999</v>
      </c>
      <c r="J89" s="40">
        <f>_xlfn.XLOOKUP($B89,'1'!$B:$B,'1'!J:J,)</f>
        <v>100</v>
      </c>
      <c r="K89" s="629">
        <f>_xlfn.XLOOKUP($B89,'1'!$B:$B,'1'!K:K,)</f>
        <v>289300</v>
      </c>
      <c r="L89" s="629">
        <f>_xlfn.XLOOKUP($B89,'1'!$B:$B,'1'!L:L,)</f>
        <v>355960.33619980043</v>
      </c>
      <c r="M89" s="40" t="str">
        <f>_xlfn.XLOOKUP($B89,'1'!$B:$B,'1'!M:M,)</f>
        <v>Willingness to Pay</v>
      </c>
      <c r="N89" s="326">
        <f>_xlfn.XLOOKUP($B89,'1'!$B:$B,'1'!N:N,)</f>
        <v>2.5</v>
      </c>
      <c r="O89" s="40" t="str">
        <f>_xlfn.XLOOKUP($B89,'1'!$B:$B,'1'!O:O,)</f>
        <v>Yes</v>
      </c>
      <c r="P89" s="40" t="str">
        <f>_xlfn.XLOOKUP($B89,'1'!$B:$B,'1'!P:P,)</f>
        <v>Only value found in available WTP/WTA studies</v>
      </c>
      <c r="Q89" s="40">
        <f>_xlfn.XLOOKUP($B89,'1'!$B:$B,'1'!Q:Q,)</f>
        <v>136</v>
      </c>
      <c r="R89" s="40" t="str">
        <f>_xlfn.XLOOKUP($B89,'1'!$B:$B,'1'!R:R,)</f>
        <v>UU (2018) Customer research triangulation report</v>
      </c>
      <c r="S89" s="40" t="str">
        <f>_xlfn.XLOOKUP($B89,'1'!$B:$B,'1'!S:S,)</f>
        <v>/</v>
      </c>
      <c r="T89" s="40">
        <f>_xlfn.XLOOKUP($B89,'1'!$B:$B,'1'!T:T,)</f>
        <v>2018</v>
      </c>
      <c r="U89" s="40" t="str">
        <f>_xlfn.XLOOKUP($B89,'1'!$B:$B,'1'!U:U,)</f>
        <v>England</v>
      </c>
      <c r="V89" s="40" t="str">
        <f>_xlfn.XLOOKUP($B89,'1'!$B:$B,'1'!V:V,)</f>
        <v>UU region</v>
      </c>
      <c r="W89" s="40" t="str">
        <f>_xlfn.XLOOKUP($B89,'1'!$B:$B,'1'!W:W,)</f>
        <v>Unknown</v>
      </c>
    </row>
    <row r="90" spans="2:23">
      <c r="B90" s="39" t="s">
        <v>980</v>
      </c>
      <c r="C90" s="40" t="str">
        <f>_xlfn.XLOOKUP($B90,'1'!$B:$B,'1'!C:C,)</f>
        <v>Drinking water quality (biological and chemical)</v>
      </c>
      <c r="D90" s="40" t="str">
        <f>_xlfn.XLOOKUP($B90,'1'!$B:$B,'1'!D:D,)</f>
        <v>WQ parameter sample exceeds PCV at SR - health impact - lower estimate</v>
      </c>
      <c r="E90" s="40" t="str">
        <f>_xlfn.XLOOKUP($B90,'1'!$B:$B,'1'!E:E,)</f>
        <v>Local economy</v>
      </c>
      <c r="F90" s="40">
        <f>_xlfn.XLOOKUP($B90,'1'!$B:$B,'1'!F:F,)</f>
        <v>2018</v>
      </c>
      <c r="G90" s="40">
        <f>_xlfn.XLOOKUP($B90,'1'!$B:$B,'1'!G:G,)</f>
        <v>2017</v>
      </c>
      <c r="H90" s="40">
        <f>_xlfn.XLOOKUP($B90,'1'!$B:$B,'1'!H:H,)</f>
        <v>2023</v>
      </c>
      <c r="I90" s="40">
        <f>_xlfn.XLOOKUP($B90,'1'!$B:$B,'1'!I:I,)</f>
        <v>81.273099999999999</v>
      </c>
      <c r="J90" s="40">
        <f>_xlfn.XLOOKUP($B90,'1'!$B:$B,'1'!J:J,)</f>
        <v>100</v>
      </c>
      <c r="K90" s="629">
        <f>_xlfn.XLOOKUP($B90,'1'!$B:$B,'1'!K:K,)</f>
        <v>289300</v>
      </c>
      <c r="L90" s="629">
        <f>_xlfn.XLOOKUP($B90,'1'!$B:$B,'1'!L:L,)</f>
        <v>355960.33619980043</v>
      </c>
      <c r="M90" s="40" t="str">
        <f>_xlfn.XLOOKUP($B90,'1'!$B:$B,'1'!M:M,)</f>
        <v>Willingness to Pay</v>
      </c>
      <c r="N90" s="326">
        <f>_xlfn.XLOOKUP($B90,'1'!$B:$B,'1'!N:N,)</f>
        <v>2.5</v>
      </c>
      <c r="O90" s="40" t="str">
        <f>_xlfn.XLOOKUP($B90,'1'!$B:$B,'1'!O:O,)</f>
        <v>Yes</v>
      </c>
      <c r="P90" s="40" t="str">
        <f>_xlfn.XLOOKUP($B90,'1'!$B:$B,'1'!P:P,)</f>
        <v>Only value found in available WTP/WTA studies</v>
      </c>
      <c r="Q90" s="40">
        <f>_xlfn.XLOOKUP($B90,'1'!$B:$B,'1'!Q:Q,)</f>
        <v>136</v>
      </c>
      <c r="R90" s="40" t="str">
        <f>_xlfn.XLOOKUP($B90,'1'!$B:$B,'1'!R:R,)</f>
        <v>UU (2018) Customer research triangulation report</v>
      </c>
      <c r="S90" s="40" t="str">
        <f>_xlfn.XLOOKUP($B90,'1'!$B:$B,'1'!S:S,)</f>
        <v>/</v>
      </c>
      <c r="T90" s="40">
        <f>_xlfn.XLOOKUP($B90,'1'!$B:$B,'1'!T:T,)</f>
        <v>2018</v>
      </c>
      <c r="U90" s="40" t="str">
        <f>_xlfn.XLOOKUP($B90,'1'!$B:$B,'1'!U:U,)</f>
        <v>England</v>
      </c>
      <c r="V90" s="40" t="str">
        <f>_xlfn.XLOOKUP($B90,'1'!$B:$B,'1'!V:V,)</f>
        <v>UU region</v>
      </c>
      <c r="W90" s="40" t="str">
        <f>_xlfn.XLOOKUP($B90,'1'!$B:$B,'1'!W:W,)</f>
        <v>Unknown</v>
      </c>
    </row>
    <row r="91" spans="2:23">
      <c r="B91" s="39" t="s">
        <v>981</v>
      </c>
      <c r="C91" s="40" t="str">
        <f>_xlfn.XLOOKUP($B91,'1'!$B:$B,'1'!C:C,)</f>
        <v>Drinking water quality (biological and chemical)</v>
      </c>
      <c r="D91" s="40" t="str">
        <f>_xlfn.XLOOKUP($B91,'1'!$B:$B,'1'!D:D,)</f>
        <v>WQ parameter sample exceeds PCV at Customer Property - no health impact - lower estimate</v>
      </c>
      <c r="E91" s="40" t="str">
        <f>_xlfn.XLOOKUP($B91,'1'!$B:$B,'1'!E:E,)</f>
        <v>Local economy</v>
      </c>
      <c r="F91" s="40">
        <f>_xlfn.XLOOKUP($B91,'1'!$B:$B,'1'!F:F,)</f>
        <v>2018</v>
      </c>
      <c r="G91" s="40">
        <f>_xlfn.XLOOKUP($B91,'1'!$B:$B,'1'!G:G,)</f>
        <v>2017</v>
      </c>
      <c r="H91" s="40">
        <f>_xlfn.XLOOKUP($B91,'1'!$B:$B,'1'!H:H,)</f>
        <v>2023</v>
      </c>
      <c r="I91" s="40">
        <f>_xlfn.XLOOKUP($B91,'1'!$B:$B,'1'!I:I,)</f>
        <v>81.273099999999999</v>
      </c>
      <c r="J91" s="40">
        <f>_xlfn.XLOOKUP($B91,'1'!$B:$B,'1'!J:J,)</f>
        <v>100</v>
      </c>
      <c r="K91" s="629">
        <f>_xlfn.XLOOKUP($B91,'1'!$B:$B,'1'!K:K,)</f>
        <v>289300</v>
      </c>
      <c r="L91" s="629">
        <f>_xlfn.XLOOKUP($B91,'1'!$B:$B,'1'!L:L,)</f>
        <v>355960.33619980043</v>
      </c>
      <c r="M91" s="40" t="str">
        <f>_xlfn.XLOOKUP($B91,'1'!$B:$B,'1'!M:M,)</f>
        <v>Willingness to Pay</v>
      </c>
      <c r="N91" s="326">
        <f>_xlfn.XLOOKUP($B91,'1'!$B:$B,'1'!N:N,)</f>
        <v>2.5</v>
      </c>
      <c r="O91" s="40" t="str">
        <f>_xlfn.XLOOKUP($B91,'1'!$B:$B,'1'!O:O,)</f>
        <v>Yes</v>
      </c>
      <c r="P91" s="40" t="str">
        <f>_xlfn.XLOOKUP($B91,'1'!$B:$B,'1'!P:P,)</f>
        <v>Only value found in available WTP/WTA studies</v>
      </c>
      <c r="Q91" s="40">
        <f>_xlfn.XLOOKUP($B91,'1'!$B:$B,'1'!Q:Q,)</f>
        <v>136</v>
      </c>
      <c r="R91" s="40" t="str">
        <f>_xlfn.XLOOKUP($B91,'1'!$B:$B,'1'!R:R,)</f>
        <v>UU (2018) Customer research triangulation report</v>
      </c>
      <c r="S91" s="40" t="str">
        <f>_xlfn.XLOOKUP($B91,'1'!$B:$B,'1'!S:S,)</f>
        <v>/</v>
      </c>
      <c r="T91" s="40">
        <f>_xlfn.XLOOKUP($B91,'1'!$B:$B,'1'!T:T,)</f>
        <v>2018</v>
      </c>
      <c r="U91" s="40" t="str">
        <f>_xlfn.XLOOKUP($B91,'1'!$B:$B,'1'!U:U,)</f>
        <v>England</v>
      </c>
      <c r="V91" s="40" t="str">
        <f>_xlfn.XLOOKUP($B91,'1'!$B:$B,'1'!V:V,)</f>
        <v>UU region</v>
      </c>
      <c r="W91" s="40" t="str">
        <f>_xlfn.XLOOKUP($B91,'1'!$B:$B,'1'!W:W,)</f>
        <v>Unknown</v>
      </c>
    </row>
    <row r="92" spans="2:23">
      <c r="B92" s="39" t="s">
        <v>982</v>
      </c>
      <c r="C92" s="40" t="str">
        <f>_xlfn.XLOOKUP($B92,'1'!$B:$B,'1'!C:C,)</f>
        <v>Drinking water quality (biological and chemical)</v>
      </c>
      <c r="D92" s="40" t="str">
        <f>_xlfn.XLOOKUP($B92,'1'!$B:$B,'1'!D:D,)</f>
        <v>WQ parameter sample exceeds PCV at Customer Property - health impact - lower estimate</v>
      </c>
      <c r="E92" s="40" t="str">
        <f>_xlfn.XLOOKUP($B92,'1'!$B:$B,'1'!E:E,)</f>
        <v>Local economy</v>
      </c>
      <c r="F92" s="40">
        <f>_xlfn.XLOOKUP($B92,'1'!$B:$B,'1'!F:F,)</f>
        <v>2018</v>
      </c>
      <c r="G92" s="40">
        <f>_xlfn.XLOOKUP($B92,'1'!$B:$B,'1'!G:G,)</f>
        <v>2017</v>
      </c>
      <c r="H92" s="40">
        <f>_xlfn.XLOOKUP($B92,'1'!$B:$B,'1'!H:H,)</f>
        <v>2023</v>
      </c>
      <c r="I92" s="40">
        <f>_xlfn.XLOOKUP($B92,'1'!$B:$B,'1'!I:I,)</f>
        <v>81.273099999999999</v>
      </c>
      <c r="J92" s="40">
        <f>_xlfn.XLOOKUP($B92,'1'!$B:$B,'1'!J:J,)</f>
        <v>100</v>
      </c>
      <c r="K92" s="629">
        <f>_xlfn.XLOOKUP($B92,'1'!$B:$B,'1'!K:K,)</f>
        <v>289300</v>
      </c>
      <c r="L92" s="629">
        <f>_xlfn.XLOOKUP($B92,'1'!$B:$B,'1'!L:L,)</f>
        <v>355960.33619980043</v>
      </c>
      <c r="M92" s="40" t="str">
        <f>_xlfn.XLOOKUP($B92,'1'!$B:$B,'1'!M:M,)</f>
        <v>Willingness to Pay</v>
      </c>
      <c r="N92" s="326">
        <f>_xlfn.XLOOKUP($B92,'1'!$B:$B,'1'!N:N,)</f>
        <v>2.5</v>
      </c>
      <c r="O92" s="40" t="str">
        <f>_xlfn.XLOOKUP($B92,'1'!$B:$B,'1'!O:O,)</f>
        <v>Yes</v>
      </c>
      <c r="P92" s="40" t="str">
        <f>_xlfn.XLOOKUP($B92,'1'!$B:$B,'1'!P:P,)</f>
        <v>Only value found in available WTP/WTA studies</v>
      </c>
      <c r="Q92" s="40">
        <f>_xlfn.XLOOKUP($B92,'1'!$B:$B,'1'!Q:Q,)</f>
        <v>136</v>
      </c>
      <c r="R92" s="40" t="str">
        <f>_xlfn.XLOOKUP($B92,'1'!$B:$B,'1'!R:R,)</f>
        <v>UU (2018) Customer research triangulation report</v>
      </c>
      <c r="S92" s="40" t="str">
        <f>_xlfn.XLOOKUP($B92,'1'!$B:$B,'1'!S:S,)</f>
        <v>/</v>
      </c>
      <c r="T92" s="40">
        <f>_xlfn.XLOOKUP($B92,'1'!$B:$B,'1'!T:T,)</f>
        <v>2018</v>
      </c>
      <c r="U92" s="40" t="str">
        <f>_xlfn.XLOOKUP($B92,'1'!$B:$B,'1'!U:U,)</f>
        <v>England</v>
      </c>
      <c r="V92" s="40" t="str">
        <f>_xlfn.XLOOKUP($B92,'1'!$B:$B,'1'!V:V,)</f>
        <v>UU region</v>
      </c>
      <c r="W92" s="40" t="str">
        <f>_xlfn.XLOOKUP($B92,'1'!$B:$B,'1'!W:W,)</f>
        <v>Unknown</v>
      </c>
    </row>
    <row r="93" spans="2:23">
      <c r="B93" s="39" t="s">
        <v>983</v>
      </c>
      <c r="C93" s="40" t="str">
        <f>_xlfn.XLOOKUP($B93,'1'!$B:$B,'1'!C:C,)</f>
        <v>Drinking water quality (biological and chemical)</v>
      </c>
      <c r="D93" s="40" t="str">
        <f>_xlfn.XLOOKUP($B93,'1'!$B:$B,'1'!D:D,)</f>
        <v>WQ parameter sample exceeds PCV at WTW - no health impact - higher estimate</v>
      </c>
      <c r="E93" s="40" t="str">
        <f>_xlfn.XLOOKUP($B93,'1'!$B:$B,'1'!E:E,)</f>
        <v>Quality of place</v>
      </c>
      <c r="F93" s="40">
        <f>_xlfn.XLOOKUP($B93,'1'!$B:$B,'1'!F:F,)</f>
        <v>2022</v>
      </c>
      <c r="G93" s="40">
        <f>_xlfn.XLOOKUP($B93,'1'!$B:$B,'1'!G:G,)</f>
        <v>2021</v>
      </c>
      <c r="H93" s="40">
        <f>_xlfn.XLOOKUP($B93,'1'!$B:$B,'1'!H:H,)</f>
        <v>2023</v>
      </c>
      <c r="I93" s="40">
        <f>_xlfn.XLOOKUP($B93,'1'!$B:$B,'1'!I:I,)</f>
        <v>88.789299999999997</v>
      </c>
      <c r="J93" s="40">
        <f>_xlfn.XLOOKUP($B93,'1'!$B:$B,'1'!J:J,)</f>
        <v>100</v>
      </c>
      <c r="K93" s="629">
        <f>_xlfn.XLOOKUP($B93,'1'!$B:$B,'1'!K:K,)</f>
        <v>640619.25599999994</v>
      </c>
      <c r="L93" s="629">
        <f>_xlfn.XLOOKUP($B93,'1'!$B:$B,'1'!L:L,)</f>
        <v>721505.01918587042</v>
      </c>
      <c r="M93" s="40" t="str">
        <f>_xlfn.XLOOKUP($B93,'1'!$B:$B,'1'!M:M,)</f>
        <v>Willingness to Pay</v>
      </c>
      <c r="N93" s="326">
        <f>_xlfn.XLOOKUP($B93,'1'!$B:$B,'1'!N:N,)</f>
        <v>2.5714285714285698</v>
      </c>
      <c r="O93" s="40" t="str">
        <f>_xlfn.XLOOKUP($B93,'1'!$B:$B,'1'!O:O,)</f>
        <v>Yes</v>
      </c>
      <c r="P93" s="40" t="str">
        <f>_xlfn.XLOOKUP($B93,'1'!$B:$B,'1'!P:P,)</f>
        <v>Only value found in available WTP/WTA studies</v>
      </c>
      <c r="Q93" s="40">
        <f>_xlfn.XLOOKUP($B93,'1'!$B:$B,'1'!Q:Q,)</f>
        <v>134</v>
      </c>
      <c r="R93" s="40" t="str">
        <f>_xlfn.XLOOKUP($B93,'1'!$B:$B,'1'!R:R,)</f>
        <v>NERA / Wessex Water</v>
      </c>
      <c r="S93" s="40" t="str">
        <f>_xlfn.XLOOKUP($B93,'1'!$B:$B,'1'!S:S,)</f>
        <v>/</v>
      </c>
      <c r="T93" s="40">
        <f>_xlfn.XLOOKUP($B93,'1'!$B:$B,'1'!T:T,)</f>
        <v>2022</v>
      </c>
      <c r="U93" s="40" t="str">
        <f>_xlfn.XLOOKUP($B93,'1'!$B:$B,'1'!U:U,)</f>
        <v>England</v>
      </c>
      <c r="V93" s="40" t="str">
        <f>_xlfn.XLOOKUP($B93,'1'!$B:$B,'1'!V:V,)</f>
        <v>Wessex Water region</v>
      </c>
      <c r="W93" s="40" t="str">
        <f>_xlfn.XLOOKUP($B93,'1'!$B:$B,'1'!W:W,)</f>
        <v>Unknown</v>
      </c>
    </row>
    <row r="94" spans="2:23">
      <c r="B94" s="39" t="s">
        <v>984</v>
      </c>
      <c r="C94" s="40" t="str">
        <f>_xlfn.XLOOKUP($B94,'1'!$B:$B,'1'!C:C,)</f>
        <v>Drinking water quality (biological and chemical)</v>
      </c>
      <c r="D94" s="40" t="str">
        <f>_xlfn.XLOOKUP($B94,'1'!$B:$B,'1'!D:D,)</f>
        <v>WQ parameter sample exceeds PCV at WTW - health impact - higher estimate</v>
      </c>
      <c r="E94" s="40" t="str">
        <f>_xlfn.XLOOKUP($B94,'1'!$B:$B,'1'!E:E,)</f>
        <v>Quality of place</v>
      </c>
      <c r="F94" s="40">
        <f>_xlfn.XLOOKUP($B94,'1'!$B:$B,'1'!F:F,)</f>
        <v>2022</v>
      </c>
      <c r="G94" s="40">
        <f>_xlfn.XLOOKUP($B94,'1'!$B:$B,'1'!G:G,)</f>
        <v>2021</v>
      </c>
      <c r="H94" s="40">
        <f>_xlfn.XLOOKUP($B94,'1'!$B:$B,'1'!H:H,)</f>
        <v>2023</v>
      </c>
      <c r="I94" s="40">
        <f>_xlfn.XLOOKUP($B94,'1'!$B:$B,'1'!I:I,)</f>
        <v>88.789299999999997</v>
      </c>
      <c r="J94" s="40">
        <f>_xlfn.XLOOKUP($B94,'1'!$B:$B,'1'!J:J,)</f>
        <v>100</v>
      </c>
      <c r="K94" s="629">
        <f>_xlfn.XLOOKUP($B94,'1'!$B:$B,'1'!K:K,)</f>
        <v>640619.25599999994</v>
      </c>
      <c r="L94" s="629">
        <f>_xlfn.XLOOKUP($B94,'1'!$B:$B,'1'!L:L,)</f>
        <v>721505.01918587042</v>
      </c>
      <c r="M94" s="40" t="str">
        <f>_xlfn.XLOOKUP($B94,'1'!$B:$B,'1'!M:M,)</f>
        <v>Willingness to Pay</v>
      </c>
      <c r="N94" s="326">
        <f>_xlfn.XLOOKUP($B94,'1'!$B:$B,'1'!N:N,)</f>
        <v>2.5714285714285698</v>
      </c>
      <c r="O94" s="40" t="str">
        <f>_xlfn.XLOOKUP($B94,'1'!$B:$B,'1'!O:O,)</f>
        <v>Yes</v>
      </c>
      <c r="P94" s="40" t="str">
        <f>_xlfn.XLOOKUP($B94,'1'!$B:$B,'1'!P:P,)</f>
        <v>Only value found in available WTP/WTA studies</v>
      </c>
      <c r="Q94" s="40">
        <f>_xlfn.XLOOKUP($B94,'1'!$B:$B,'1'!Q:Q,)</f>
        <v>134</v>
      </c>
      <c r="R94" s="40" t="str">
        <f>_xlfn.XLOOKUP($B94,'1'!$B:$B,'1'!R:R,)</f>
        <v>NERA / Wessex Water</v>
      </c>
      <c r="S94" s="40" t="str">
        <f>_xlfn.XLOOKUP($B94,'1'!$B:$B,'1'!S:S,)</f>
        <v>/</v>
      </c>
      <c r="T94" s="40">
        <f>_xlfn.XLOOKUP($B94,'1'!$B:$B,'1'!T:T,)</f>
        <v>2022</v>
      </c>
      <c r="U94" s="40" t="str">
        <f>_xlfn.XLOOKUP($B94,'1'!$B:$B,'1'!U:U,)</f>
        <v>England</v>
      </c>
      <c r="V94" s="40" t="str">
        <f>_xlfn.XLOOKUP($B94,'1'!$B:$B,'1'!V:V,)</f>
        <v>Wessex Water region</v>
      </c>
      <c r="W94" s="40" t="str">
        <f>_xlfn.XLOOKUP($B94,'1'!$B:$B,'1'!W:W,)</f>
        <v>Unknown</v>
      </c>
    </row>
    <row r="95" spans="2:23">
      <c r="B95" s="39" t="s">
        <v>985</v>
      </c>
      <c r="C95" s="40" t="str">
        <f>_xlfn.XLOOKUP($B95,'1'!$B:$B,'1'!C:C,)</f>
        <v>Drinking water quality (biological and chemical)</v>
      </c>
      <c r="D95" s="40" t="str">
        <f>_xlfn.XLOOKUP($B95,'1'!$B:$B,'1'!D:D,)</f>
        <v>WQ parameter sample exceeds PCV at SR - no health impact - higher estimate</v>
      </c>
      <c r="E95" s="40" t="str">
        <f>_xlfn.XLOOKUP($B95,'1'!$B:$B,'1'!E:E,)</f>
        <v>Quality of place</v>
      </c>
      <c r="F95" s="40">
        <f>_xlfn.XLOOKUP($B95,'1'!$B:$B,'1'!F:F,)</f>
        <v>2022</v>
      </c>
      <c r="G95" s="40">
        <f>_xlfn.XLOOKUP($B95,'1'!$B:$B,'1'!G:G,)</f>
        <v>2021</v>
      </c>
      <c r="H95" s="40">
        <f>_xlfn.XLOOKUP($B95,'1'!$B:$B,'1'!H:H,)</f>
        <v>2023</v>
      </c>
      <c r="I95" s="40">
        <f>_xlfn.XLOOKUP($B95,'1'!$B:$B,'1'!I:I,)</f>
        <v>88.789299999999997</v>
      </c>
      <c r="J95" s="40">
        <f>_xlfn.XLOOKUP($B95,'1'!$B:$B,'1'!J:J,)</f>
        <v>100</v>
      </c>
      <c r="K95" s="629">
        <f>_xlfn.XLOOKUP($B95,'1'!$B:$B,'1'!K:K,)</f>
        <v>640619.25599999994</v>
      </c>
      <c r="L95" s="629">
        <f>_xlfn.XLOOKUP($B95,'1'!$B:$B,'1'!L:L,)</f>
        <v>721505.01918587042</v>
      </c>
      <c r="M95" s="40" t="str">
        <f>_xlfn.XLOOKUP($B95,'1'!$B:$B,'1'!M:M,)</f>
        <v>Willingness to Pay</v>
      </c>
      <c r="N95" s="326">
        <f>_xlfn.XLOOKUP($B95,'1'!$B:$B,'1'!N:N,)</f>
        <v>2.5714285714285698</v>
      </c>
      <c r="O95" s="40" t="str">
        <f>_xlfn.XLOOKUP($B95,'1'!$B:$B,'1'!O:O,)</f>
        <v>Yes</v>
      </c>
      <c r="P95" s="40" t="str">
        <f>_xlfn.XLOOKUP($B95,'1'!$B:$B,'1'!P:P,)</f>
        <v>Only value found in available WTP/WTA studies</v>
      </c>
      <c r="Q95" s="40">
        <f>_xlfn.XLOOKUP($B95,'1'!$B:$B,'1'!Q:Q,)</f>
        <v>134</v>
      </c>
      <c r="R95" s="40" t="str">
        <f>_xlfn.XLOOKUP($B95,'1'!$B:$B,'1'!R:R,)</f>
        <v>NERA / Wessex Water</v>
      </c>
      <c r="S95" s="40" t="str">
        <f>_xlfn.XLOOKUP($B95,'1'!$B:$B,'1'!S:S,)</f>
        <v>/</v>
      </c>
      <c r="T95" s="40">
        <f>_xlfn.XLOOKUP($B95,'1'!$B:$B,'1'!T:T,)</f>
        <v>2022</v>
      </c>
      <c r="U95" s="40" t="str">
        <f>_xlfn.XLOOKUP($B95,'1'!$B:$B,'1'!U:U,)</f>
        <v>England</v>
      </c>
      <c r="V95" s="40" t="str">
        <f>_xlfn.XLOOKUP($B95,'1'!$B:$B,'1'!V:V,)</f>
        <v>Wessex Water region</v>
      </c>
      <c r="W95" s="40" t="str">
        <f>_xlfn.XLOOKUP($B95,'1'!$B:$B,'1'!W:W,)</f>
        <v>Unknown</v>
      </c>
    </row>
    <row r="96" spans="2:23">
      <c r="B96" s="39" t="s">
        <v>986</v>
      </c>
      <c r="C96" s="40" t="str">
        <f>_xlfn.XLOOKUP($B96,'1'!$B:$B,'1'!C:C,)</f>
        <v>Drinking water quality (biological and chemical)</v>
      </c>
      <c r="D96" s="40" t="str">
        <f>_xlfn.XLOOKUP($B96,'1'!$B:$B,'1'!D:D,)</f>
        <v>WQ parameter sample exceeds PCV at SR - health impact - higher estimate</v>
      </c>
      <c r="E96" s="40" t="str">
        <f>_xlfn.XLOOKUP($B96,'1'!$B:$B,'1'!E:E,)</f>
        <v>Quality of place</v>
      </c>
      <c r="F96" s="40">
        <f>_xlfn.XLOOKUP($B96,'1'!$B:$B,'1'!F:F,)</f>
        <v>2022</v>
      </c>
      <c r="G96" s="40">
        <f>_xlfn.XLOOKUP($B96,'1'!$B:$B,'1'!G:G,)</f>
        <v>2021</v>
      </c>
      <c r="H96" s="40">
        <f>_xlfn.XLOOKUP($B96,'1'!$B:$B,'1'!H:H,)</f>
        <v>2023</v>
      </c>
      <c r="I96" s="40">
        <f>_xlfn.XLOOKUP($B96,'1'!$B:$B,'1'!I:I,)</f>
        <v>88.789299999999997</v>
      </c>
      <c r="J96" s="40">
        <f>_xlfn.XLOOKUP($B96,'1'!$B:$B,'1'!J:J,)</f>
        <v>100</v>
      </c>
      <c r="K96" s="629">
        <f>_xlfn.XLOOKUP($B96,'1'!$B:$B,'1'!K:K,)</f>
        <v>640619.25599999994</v>
      </c>
      <c r="L96" s="629">
        <f>_xlfn.XLOOKUP($B96,'1'!$B:$B,'1'!L:L,)</f>
        <v>721505.01918587042</v>
      </c>
      <c r="M96" s="40" t="str">
        <f>_xlfn.XLOOKUP($B96,'1'!$B:$B,'1'!M:M,)</f>
        <v>Willingness to Pay</v>
      </c>
      <c r="N96" s="326">
        <f>_xlfn.XLOOKUP($B96,'1'!$B:$B,'1'!N:N,)</f>
        <v>2.5714285714285698</v>
      </c>
      <c r="O96" s="40" t="str">
        <f>_xlfn.XLOOKUP($B96,'1'!$B:$B,'1'!O:O,)</f>
        <v>Yes</v>
      </c>
      <c r="P96" s="40" t="str">
        <f>_xlfn.XLOOKUP($B96,'1'!$B:$B,'1'!P:P,)</f>
        <v>Only value found in available WTP/WTA studies</v>
      </c>
      <c r="Q96" s="40">
        <f>_xlfn.XLOOKUP($B96,'1'!$B:$B,'1'!Q:Q,)</f>
        <v>134</v>
      </c>
      <c r="R96" s="40" t="str">
        <f>_xlfn.XLOOKUP($B96,'1'!$B:$B,'1'!R:R,)</f>
        <v>NERA / Wessex Water</v>
      </c>
      <c r="S96" s="40" t="str">
        <f>_xlfn.XLOOKUP($B96,'1'!$B:$B,'1'!S:S,)</f>
        <v>/</v>
      </c>
      <c r="T96" s="40">
        <f>_xlfn.XLOOKUP($B96,'1'!$B:$B,'1'!T:T,)</f>
        <v>2022</v>
      </c>
      <c r="U96" s="40" t="str">
        <f>_xlfn.XLOOKUP($B96,'1'!$B:$B,'1'!U:U,)</f>
        <v>England</v>
      </c>
      <c r="V96" s="40" t="str">
        <f>_xlfn.XLOOKUP($B96,'1'!$B:$B,'1'!V:V,)</f>
        <v>Wessex Water region</v>
      </c>
      <c r="W96" s="40" t="str">
        <f>_xlfn.XLOOKUP($B96,'1'!$B:$B,'1'!W:W,)</f>
        <v>Unknown</v>
      </c>
    </row>
    <row r="97" spans="2:23">
      <c r="B97" s="39" t="s">
        <v>987</v>
      </c>
      <c r="C97" s="40" t="str">
        <f>_xlfn.XLOOKUP($B97,'1'!$B:$B,'1'!C:C,)</f>
        <v>Drinking water quality (biological and chemical)</v>
      </c>
      <c r="D97" s="40" t="str">
        <f>_xlfn.XLOOKUP($B97,'1'!$B:$B,'1'!D:D,)</f>
        <v>WQ parameter sample exceeds PCV at Customer Property - no health impact - higher estimate</v>
      </c>
      <c r="E97" s="40" t="str">
        <f>_xlfn.XLOOKUP($B97,'1'!$B:$B,'1'!E:E,)</f>
        <v>Quality of place</v>
      </c>
      <c r="F97" s="40">
        <f>_xlfn.XLOOKUP($B97,'1'!$B:$B,'1'!F:F,)</f>
        <v>2022</v>
      </c>
      <c r="G97" s="40">
        <f>_xlfn.XLOOKUP($B97,'1'!$B:$B,'1'!G:G,)</f>
        <v>2021</v>
      </c>
      <c r="H97" s="40">
        <f>_xlfn.XLOOKUP($B97,'1'!$B:$B,'1'!H:H,)</f>
        <v>2023</v>
      </c>
      <c r="I97" s="40">
        <f>_xlfn.XLOOKUP($B97,'1'!$B:$B,'1'!I:I,)</f>
        <v>88.789299999999997</v>
      </c>
      <c r="J97" s="40">
        <f>_xlfn.XLOOKUP($B97,'1'!$B:$B,'1'!J:J,)</f>
        <v>100</v>
      </c>
      <c r="K97" s="629">
        <f>_xlfn.XLOOKUP($B97,'1'!$B:$B,'1'!K:K,)</f>
        <v>640619.25599999994</v>
      </c>
      <c r="L97" s="629">
        <f>_xlfn.XLOOKUP($B97,'1'!$B:$B,'1'!L:L,)</f>
        <v>721505.01918587042</v>
      </c>
      <c r="M97" s="40" t="str">
        <f>_xlfn.XLOOKUP($B97,'1'!$B:$B,'1'!M:M,)</f>
        <v>Willingness to Pay</v>
      </c>
      <c r="N97" s="326">
        <f>_xlfn.XLOOKUP($B97,'1'!$B:$B,'1'!N:N,)</f>
        <v>2.5714285714285698</v>
      </c>
      <c r="O97" s="40" t="str">
        <f>_xlfn.XLOOKUP($B97,'1'!$B:$B,'1'!O:O,)</f>
        <v>Yes</v>
      </c>
      <c r="P97" s="40" t="str">
        <f>_xlfn.XLOOKUP($B97,'1'!$B:$B,'1'!P:P,)</f>
        <v>Only value found in available WTP/WTA studies</v>
      </c>
      <c r="Q97" s="40">
        <f>_xlfn.XLOOKUP($B97,'1'!$B:$B,'1'!Q:Q,)</f>
        <v>134</v>
      </c>
      <c r="R97" s="40" t="str">
        <f>_xlfn.XLOOKUP($B97,'1'!$B:$B,'1'!R:R,)</f>
        <v>NERA / Wessex Water</v>
      </c>
      <c r="S97" s="40" t="str">
        <f>_xlfn.XLOOKUP($B97,'1'!$B:$B,'1'!S:S,)</f>
        <v>/</v>
      </c>
      <c r="T97" s="40">
        <f>_xlfn.XLOOKUP($B97,'1'!$B:$B,'1'!T:T,)</f>
        <v>2022</v>
      </c>
      <c r="U97" s="40" t="str">
        <f>_xlfn.XLOOKUP($B97,'1'!$B:$B,'1'!U:U,)</f>
        <v>England</v>
      </c>
      <c r="V97" s="40" t="str">
        <f>_xlfn.XLOOKUP($B97,'1'!$B:$B,'1'!V:V,)</f>
        <v>Wessex Water region</v>
      </c>
      <c r="W97" s="40" t="str">
        <f>_xlfn.XLOOKUP($B97,'1'!$B:$B,'1'!W:W,)</f>
        <v>Unknown</v>
      </c>
    </row>
    <row r="98" spans="2:23">
      <c r="B98" s="39" t="s">
        <v>988</v>
      </c>
      <c r="C98" s="40" t="str">
        <f>_xlfn.XLOOKUP($B98,'1'!$B:$B,'1'!C:C,)</f>
        <v>Drinking water quality (biological and chemical)</v>
      </c>
      <c r="D98" s="40" t="str">
        <f>_xlfn.XLOOKUP($B98,'1'!$B:$B,'1'!D:D,)</f>
        <v>WQ parameter sample exceeds PCV at Customer Property - health impact - higher estimate</v>
      </c>
      <c r="E98" s="40" t="str">
        <f>_xlfn.XLOOKUP($B98,'1'!$B:$B,'1'!E:E,)</f>
        <v>Quality of place</v>
      </c>
      <c r="F98" s="40">
        <f>_xlfn.XLOOKUP($B98,'1'!$B:$B,'1'!F:F,)</f>
        <v>2022</v>
      </c>
      <c r="G98" s="40">
        <f>_xlfn.XLOOKUP($B98,'1'!$B:$B,'1'!G:G,)</f>
        <v>2021</v>
      </c>
      <c r="H98" s="40">
        <f>_xlfn.XLOOKUP($B98,'1'!$B:$B,'1'!H:H,)</f>
        <v>2023</v>
      </c>
      <c r="I98" s="40">
        <f>_xlfn.XLOOKUP($B98,'1'!$B:$B,'1'!I:I,)</f>
        <v>88.789299999999997</v>
      </c>
      <c r="J98" s="40">
        <f>_xlfn.XLOOKUP($B98,'1'!$B:$B,'1'!J:J,)</f>
        <v>100</v>
      </c>
      <c r="K98" s="629">
        <f>_xlfn.XLOOKUP($B98,'1'!$B:$B,'1'!K:K,)</f>
        <v>640619.25599999994</v>
      </c>
      <c r="L98" s="629">
        <f>_xlfn.XLOOKUP($B98,'1'!$B:$B,'1'!L:L,)</f>
        <v>721505.01918587042</v>
      </c>
      <c r="M98" s="40" t="str">
        <f>_xlfn.XLOOKUP($B98,'1'!$B:$B,'1'!M:M,)</f>
        <v>Willingness to Pay</v>
      </c>
      <c r="N98" s="326">
        <f>_xlfn.XLOOKUP($B98,'1'!$B:$B,'1'!N:N,)</f>
        <v>2.5714285714285698</v>
      </c>
      <c r="O98" s="40" t="str">
        <f>_xlfn.XLOOKUP($B98,'1'!$B:$B,'1'!O:O,)</f>
        <v>Yes</v>
      </c>
      <c r="P98" s="40" t="str">
        <f>_xlfn.XLOOKUP($B98,'1'!$B:$B,'1'!P:P,)</f>
        <v>Only value found in available WTP/WTA studies</v>
      </c>
      <c r="Q98" s="40">
        <f>_xlfn.XLOOKUP($B98,'1'!$B:$B,'1'!Q:Q,)</f>
        <v>134</v>
      </c>
      <c r="R98" s="40" t="str">
        <f>_xlfn.XLOOKUP($B98,'1'!$B:$B,'1'!R:R,)</f>
        <v>NERA / Wessex Water</v>
      </c>
      <c r="S98" s="40" t="str">
        <f>_xlfn.XLOOKUP($B98,'1'!$B:$B,'1'!S:S,)</f>
        <v>/</v>
      </c>
      <c r="T98" s="40">
        <f>_xlfn.XLOOKUP($B98,'1'!$B:$B,'1'!T:T,)</f>
        <v>2022</v>
      </c>
      <c r="U98" s="40" t="str">
        <f>_xlfn.XLOOKUP($B98,'1'!$B:$B,'1'!U:U,)</f>
        <v>England</v>
      </c>
      <c r="V98" s="40" t="str">
        <f>_xlfn.XLOOKUP($B98,'1'!$B:$B,'1'!V:V,)</f>
        <v>Wessex Water region</v>
      </c>
      <c r="W98" s="40" t="str">
        <f>_xlfn.XLOOKUP($B98,'1'!$B:$B,'1'!W:W,)</f>
        <v>Unknown</v>
      </c>
    </row>
    <row r="99" spans="2:23">
      <c r="B99" s="39" t="s">
        <v>3284</v>
      </c>
      <c r="C99" s="40" t="str">
        <f>_xlfn.XLOOKUP($B99,'40'!$B:$B,'40'!C:C,)</f>
        <v>Employment</v>
      </c>
      <c r="D99" s="40" t="str">
        <f>_xlfn.XLOOKUP($B99,'40'!$B:$B,'40'!D:D,)</f>
        <v>People in apprenticeships</v>
      </c>
      <c r="E99" s="40" t="str">
        <f>_xlfn.XLOOKUP($B99,'40'!$B:$B,'40'!E:E,)</f>
        <v>Local Economy</v>
      </c>
      <c r="F99" s="40">
        <f>_xlfn.XLOOKUP($B99,'40'!$B:$B,'40'!F:F,)</f>
        <v>2021</v>
      </c>
      <c r="G99" s="40">
        <f>_xlfn.XLOOKUP($B99,'40'!$B:$B,'40'!G:G,)</f>
        <v>2021</v>
      </c>
      <c r="H99" s="40">
        <f>_xlfn.XLOOKUP($B99,'40'!$B:$B,'40'!H:H,)</f>
        <v>2023</v>
      </c>
      <c r="I99" s="40">
        <f>_xlfn.XLOOKUP($B99,'40'!$B:$B,'40'!I:I,)</f>
        <v>88.789299999999997</v>
      </c>
      <c r="J99" s="40">
        <f>_xlfn.XLOOKUP($B99,'40'!$B:$B,'40'!J:J,)</f>
        <v>100</v>
      </c>
      <c r="K99" s="629">
        <f>_xlfn.XLOOKUP($B99,'40'!$B:$B,'40'!K:K,)</f>
        <v>-33800</v>
      </c>
      <c r="L99" s="629">
        <f>_xlfn.XLOOKUP($B99,'40'!$B:$B,'40'!L:L,)</f>
        <v>-38067.650043417394</v>
      </c>
      <c r="M99" s="40" t="str">
        <f>_xlfn.XLOOKUP($B99,'40'!$B:$B,'40'!M:M,)</f>
        <v>GVA</v>
      </c>
      <c r="N99" s="326">
        <f>_xlfn.XLOOKUP($B99,'40'!$B:$B,'40'!N:N,)</f>
        <v>3</v>
      </c>
      <c r="O99" s="40" t="str">
        <f>_xlfn.XLOOKUP($B99,'40'!$B:$B,'40'!O:O,)</f>
        <v>Yes</v>
      </c>
      <c r="P99" s="40" t="str">
        <f>_xlfn.XLOOKUP($B99,'40'!$B:$B,'40'!P:P,)</f>
        <v>Best available</v>
      </c>
      <c r="Q99" s="40">
        <f>_xlfn.XLOOKUP($B99,'40'!$B:$B,'40'!Q:Q,)</f>
        <v>5</v>
      </c>
      <c r="R99" s="40" t="str">
        <f>_xlfn.XLOOKUP($B99,'40'!$B:$B,'40'!R:R,)</f>
        <v>St Martin's Group (2021) The real costs and benefits of apprenticeships - Technical data report</v>
      </c>
      <c r="S99" s="40" t="str">
        <f>_xlfn.XLOOKUP($B99,'40'!$B:$B,'40'!S:S,)</f>
        <v>/</v>
      </c>
      <c r="T99" s="40">
        <f>_xlfn.XLOOKUP($B99,'40'!$B:$B,'40'!T:T,)</f>
        <v>2021</v>
      </c>
      <c r="U99" s="40" t="str">
        <f>_xlfn.XLOOKUP($B99,'40'!$B:$B,'40'!U:U,)</f>
        <v>UK</v>
      </c>
      <c r="V99" s="40" t="str">
        <f>_xlfn.XLOOKUP($B99,'40'!$B:$B,'40'!V:V,)</f>
        <v>National average</v>
      </c>
      <c r="W99" s="40" t="str">
        <f>_xlfn.XLOOKUP($B99,'40'!$B:$B,'40'!W:W,)</f>
        <v>Unknown</v>
      </c>
    </row>
    <row r="100" spans="2:23">
      <c r="B100" s="39" t="s">
        <v>3285</v>
      </c>
      <c r="C100" s="40" t="str">
        <f>_xlfn.XLOOKUP($B100,'40'!$B:$B,'40'!C:C,)</f>
        <v>Employment</v>
      </c>
      <c r="D100" s="40" t="str">
        <f>_xlfn.XLOOKUP($B100,'40'!$B:$B,'40'!D:D,)</f>
        <v>People in graduate roles</v>
      </c>
      <c r="E100" s="40" t="str">
        <f>_xlfn.XLOOKUP($B100,'40'!$B:$B,'40'!E:E,)</f>
        <v>Local Economy</v>
      </c>
      <c r="F100" s="40">
        <f>_xlfn.XLOOKUP($B100,'40'!$B:$B,'40'!F:F,)</f>
        <v>2024</v>
      </c>
      <c r="G100" s="40">
        <f>_xlfn.XLOOKUP($B100,'40'!$B:$B,'40'!G:G,)</f>
        <v>2024</v>
      </c>
      <c r="H100" s="40">
        <f>_xlfn.XLOOKUP($B100,'40'!$B:$B,'40'!H:H,)</f>
        <v>2023</v>
      </c>
      <c r="I100" s="40">
        <f>_xlfn.XLOOKUP($B100,'40'!$B:$B,'40'!I:I,)</f>
        <v>101.52460002617836</v>
      </c>
      <c r="J100" s="40">
        <f>_xlfn.XLOOKUP($B100,'40'!$B:$B,'40'!J:J,)</f>
        <v>100</v>
      </c>
      <c r="K100" s="629">
        <f>_xlfn.XLOOKUP($B100,'40'!$B:$B,'40'!K:K,)</f>
        <v>-61729.3</v>
      </c>
      <c r="L100" s="629">
        <f>_xlfn.XLOOKUP($B100,'40'!$B:$B,'40'!L:L,)</f>
        <v>-60802.307996370291</v>
      </c>
      <c r="M100" s="40" t="str">
        <f>_xlfn.XLOOKUP($B100,'40'!$B:$B,'40'!M:M,)</f>
        <v>GVA</v>
      </c>
      <c r="N100" s="326">
        <f>_xlfn.XLOOKUP($B100,'40'!$B:$B,'40'!N:N,)</f>
        <v>3</v>
      </c>
      <c r="O100" s="40" t="str">
        <f>_xlfn.XLOOKUP($B100,'40'!$B:$B,'40'!O:O,)</f>
        <v>Yes</v>
      </c>
      <c r="P100" s="40" t="str">
        <f>_xlfn.XLOOKUP($B100,'40'!$B:$B,'40'!P:P,)</f>
        <v>Best available</v>
      </c>
      <c r="Q100" s="40">
        <f>_xlfn.XLOOKUP($B100,'40'!$B:$B,'40'!Q:Q,)</f>
        <v>6</v>
      </c>
      <c r="R100" s="40" t="str">
        <f>_xlfn.XLOOKUP($B100,'40'!$B:$B,'40'!R:R,)</f>
        <v>ONS Subregional productivity: labour productivity indices by city region</v>
      </c>
      <c r="S100" s="40" t="str">
        <f>_xlfn.XLOOKUP($B100,'40'!$B:$B,'40'!S:S,)</f>
        <v>No</v>
      </c>
      <c r="T100" s="40">
        <f>_xlfn.XLOOKUP($B100,'40'!$B:$B,'40'!T:T,)</f>
        <v>2024</v>
      </c>
      <c r="U100" s="40" t="str">
        <f>_xlfn.XLOOKUP($B100,'40'!$B:$B,'40'!U:U,)</f>
        <v>UK</v>
      </c>
      <c r="V100" s="40" t="str">
        <f>_xlfn.XLOOKUP($B100,'40'!$B:$B,'40'!V:V,)</f>
        <v>National average</v>
      </c>
      <c r="W100" s="40" t="str">
        <f>_xlfn.XLOOKUP($B100,'40'!$B:$B,'40'!W:W,)</f>
        <v>N/A</v>
      </c>
    </row>
    <row r="101" spans="2:23">
      <c r="B101" s="39" t="s">
        <v>3291</v>
      </c>
      <c r="C101" s="40" t="str">
        <f>_xlfn.XLOOKUP($B101,'40'!$B:$B,'40'!C:C,)</f>
        <v>Employment</v>
      </c>
      <c r="D101" s="40" t="str">
        <f>_xlfn.XLOOKUP($B101,'40'!$B:$B,'40'!D:D,)</f>
        <v>People in apprenticeships</v>
      </c>
      <c r="E101" s="40" t="str">
        <f>_xlfn.XLOOKUP($B101,'40'!$B:$B,'40'!E:E,)</f>
        <v>Skills and Knowledge</v>
      </c>
      <c r="F101" s="40">
        <f>_xlfn.XLOOKUP($B101,'40'!$B:$B,'40'!F:F,)</f>
        <v>2016</v>
      </c>
      <c r="G101" s="40">
        <f>_xlfn.XLOOKUP($B101,'40'!$B:$B,'40'!G:G,)</f>
        <v>2016</v>
      </c>
      <c r="H101" s="40">
        <f>_xlfn.XLOOKUP($B101,'40'!$B:$B,'40'!H:H,)</f>
        <v>2023</v>
      </c>
      <c r="I101" s="40">
        <f>_xlfn.XLOOKUP($B101,'40'!$B:$B,'40'!I:I,)</f>
        <v>79.790499999999994</v>
      </c>
      <c r="J101" s="40">
        <f>_xlfn.XLOOKUP($B101,'40'!$B:$B,'40'!J:J,)</f>
        <v>100</v>
      </c>
      <c r="K101" s="629">
        <f>_xlfn.XLOOKUP($B101,'40'!$B:$B,'40'!K:K,)</f>
        <v>-1124</v>
      </c>
      <c r="L101" s="629">
        <f>_xlfn.XLOOKUP($B101,'40'!$B:$B,'40'!L:L,)</f>
        <v>-1408.6890043300893</v>
      </c>
      <c r="M101" s="40" t="str">
        <f>_xlfn.XLOOKUP($B101,'40'!$B:$B,'40'!M:M,)</f>
        <v>a Social Return on Investment framework (SROI)</v>
      </c>
      <c r="N101" s="326">
        <f>_xlfn.XLOOKUP($B101,'40'!$B:$B,'40'!N:N,)</f>
        <v>2.5</v>
      </c>
      <c r="O101" s="40" t="str">
        <f>_xlfn.XLOOKUP($B101,'40'!$B:$B,'40'!O:O,)</f>
        <v>Yes</v>
      </c>
      <c r="P101" s="40" t="str">
        <f>_xlfn.XLOOKUP($B101,'40'!$B:$B,'40'!P:P,)</f>
        <v>Best available evidence</v>
      </c>
      <c r="Q101" s="40">
        <f>_xlfn.XLOOKUP($B101,'40'!$B:$B,'40'!Q:Q,)</f>
        <v>10</v>
      </c>
      <c r="R101" s="40" t="str">
        <f>_xlfn.XLOOKUP($B101,'40'!$B:$B,'40'!R:R,)</f>
        <v>EN:ABLE Communities CIO (2016) EN:ABLE Communities CIO Trustees' Annual Report for the period from 25 August 2015 to 31 July 2016</v>
      </c>
      <c r="S101" s="40" t="str">
        <f>_xlfn.XLOOKUP($B101,'40'!$B:$B,'40'!S:S,)</f>
        <v>No</v>
      </c>
      <c r="T101" s="40">
        <f>_xlfn.XLOOKUP($B101,'40'!$B:$B,'40'!T:T,)</f>
        <v>2016</v>
      </c>
      <c r="U101" s="40" t="str">
        <f>_xlfn.XLOOKUP($B101,'40'!$B:$B,'40'!U:U,)</f>
        <v>UK</v>
      </c>
      <c r="V101" s="40" t="str">
        <f>_xlfn.XLOOKUP($B101,'40'!$B:$B,'40'!V:V,)</f>
        <v>Yorkshire &amp; the Humber</v>
      </c>
      <c r="W101" s="40">
        <f>_xlfn.XLOOKUP($B101,'40'!$B:$B,'40'!W:W,)</f>
        <v>21</v>
      </c>
    </row>
    <row r="102" spans="2:23">
      <c r="B102" s="39" t="s">
        <v>3297</v>
      </c>
      <c r="C102" s="40" t="str">
        <f>_xlfn.XLOOKUP($B102,'40'!$B:$B,'40'!C:C,)</f>
        <v>Employment</v>
      </c>
      <c r="D102" s="40" t="str">
        <f>_xlfn.XLOOKUP($B102,'40'!$B:$B,'40'!D:D,)</f>
        <v>People in apprenticeships</v>
      </c>
      <c r="E102" s="40" t="str">
        <f>_xlfn.XLOOKUP($B102,'40'!$B:$B,'40'!E:E,)</f>
        <v>Health and wellbeing</v>
      </c>
      <c r="F102" s="40">
        <f>_xlfn.XLOOKUP($B102,'40'!$B:$B,'40'!F:F,)</f>
        <v>2016</v>
      </c>
      <c r="G102" s="40">
        <f>_xlfn.XLOOKUP($B102,'40'!$B:$B,'40'!G:G,)</f>
        <v>2016</v>
      </c>
      <c r="H102" s="40">
        <f>_xlfn.XLOOKUP($B102,'40'!$B:$B,'40'!H:H,)</f>
        <v>2023</v>
      </c>
      <c r="I102" s="40">
        <f>_xlfn.XLOOKUP($B102,'40'!$B:$B,'40'!I:I,)</f>
        <v>79.790499999999994</v>
      </c>
      <c r="J102" s="40">
        <f>_xlfn.XLOOKUP($B102,'40'!$B:$B,'40'!J:J,)</f>
        <v>100</v>
      </c>
      <c r="K102" s="629">
        <f>_xlfn.XLOOKUP($B102,'40'!$B:$B,'40'!K:K,)</f>
        <v>-1229</v>
      </c>
      <c r="L102" s="629">
        <f>_xlfn.XLOOKUP($B102,'40'!$B:$B,'40'!L:L,)</f>
        <v>-1540.2836177239146</v>
      </c>
      <c r="M102" s="40" t="str">
        <f>_xlfn.XLOOKUP($B102,'40'!$B:$B,'40'!M:M,)</f>
        <v>Social Return on Investment framework (SROI)</v>
      </c>
      <c r="N102" s="326">
        <f>_xlfn.XLOOKUP($B102,'40'!$B:$B,'40'!N:N,)</f>
        <v>2.5</v>
      </c>
      <c r="O102" s="40" t="str">
        <f>_xlfn.XLOOKUP($B102,'40'!$B:$B,'40'!O:O,)</f>
        <v>Yes</v>
      </c>
      <c r="P102" s="40" t="str">
        <f>_xlfn.XLOOKUP($B102,'40'!$B:$B,'40'!P:P,)</f>
        <v>Best available evidence</v>
      </c>
      <c r="Q102" s="40">
        <f>_xlfn.XLOOKUP($B102,'40'!$B:$B,'40'!Q:Q,)</f>
        <v>10</v>
      </c>
      <c r="R102" s="40" t="str">
        <f>_xlfn.XLOOKUP($B102,'40'!$B:$B,'40'!R:R,)</f>
        <v>EN:ABLE Communities CIO (2016) EN:ABLE Communities CIO Trustees' Annual Report for the period from 25 August 2015 to 31 July 2016</v>
      </c>
      <c r="S102" s="40" t="str">
        <f>_xlfn.XLOOKUP($B102,'40'!$B:$B,'40'!S:S,)</f>
        <v>/</v>
      </c>
      <c r="T102" s="40">
        <f>_xlfn.XLOOKUP($B102,'40'!$B:$B,'40'!T:T,)</f>
        <v>2016</v>
      </c>
      <c r="U102" s="40" t="str">
        <f>_xlfn.XLOOKUP($B102,'40'!$B:$B,'40'!U:U,)</f>
        <v>UK</v>
      </c>
      <c r="V102" s="40" t="str">
        <f>_xlfn.XLOOKUP($B102,'40'!$B:$B,'40'!V:V,)</f>
        <v>Yorkshire &amp; the Humber</v>
      </c>
      <c r="W102" s="40">
        <f>_xlfn.XLOOKUP($B102,'40'!$B:$B,'40'!W:W,)</f>
        <v>21</v>
      </c>
    </row>
    <row r="103" spans="2:23">
      <c r="B103" s="39" t="s">
        <v>3298</v>
      </c>
      <c r="C103" s="40" t="str">
        <f>_xlfn.XLOOKUP($B103,'40'!$B:$B,'40'!C:C,)</f>
        <v>Employment</v>
      </c>
      <c r="D103" s="40" t="str">
        <f>_xlfn.XLOOKUP($B103,'40'!$B:$B,'40'!D:D,)</f>
        <v>People in graduate roles</v>
      </c>
      <c r="E103" s="40" t="str">
        <f>_xlfn.XLOOKUP($B103,'40'!$B:$B,'40'!E:E,)</f>
        <v>Health and wellbeing</v>
      </c>
      <c r="F103" s="40">
        <f>_xlfn.XLOOKUP($B103,'40'!$B:$B,'40'!F:F,)</f>
        <v>2016</v>
      </c>
      <c r="G103" s="40">
        <f>_xlfn.XLOOKUP($B103,'40'!$B:$B,'40'!G:G,)</f>
        <v>2016</v>
      </c>
      <c r="H103" s="40">
        <f>_xlfn.XLOOKUP($B103,'40'!$B:$B,'40'!H:H,)</f>
        <v>2023</v>
      </c>
      <c r="I103" s="40">
        <f>_xlfn.XLOOKUP($B103,'40'!$B:$B,'40'!I:I,)</f>
        <v>79.790499999999994</v>
      </c>
      <c r="J103" s="40">
        <f>_xlfn.XLOOKUP($B103,'40'!$B:$B,'40'!J:J,)</f>
        <v>100</v>
      </c>
      <c r="K103" s="629">
        <f>_xlfn.XLOOKUP($B103,'40'!$B:$B,'40'!K:K,)</f>
        <v>-13446</v>
      </c>
      <c r="L103" s="629">
        <f>_xlfn.XLOOKUP($B103,'40'!$B:$B,'40'!L:L,)</f>
        <v>-16851.630206603542</v>
      </c>
      <c r="M103" s="40" t="str">
        <f>_xlfn.XLOOKUP($B103,'40'!$B:$B,'40'!M:M,)</f>
        <v>Social Return on Investment framework (SROI)</v>
      </c>
      <c r="N103" s="326">
        <f>_xlfn.XLOOKUP($B103,'40'!$B:$B,'40'!N:N,)</f>
        <v>2.5</v>
      </c>
      <c r="O103" s="40" t="str">
        <f>_xlfn.XLOOKUP($B103,'40'!$B:$B,'40'!O:O,)</f>
        <v>Yes</v>
      </c>
      <c r="P103" s="40" t="str">
        <f>_xlfn.XLOOKUP($B103,'40'!$B:$B,'40'!P:P,)</f>
        <v>Best available evidence</v>
      </c>
      <c r="Q103" s="40">
        <f>_xlfn.XLOOKUP($B103,'40'!$B:$B,'40'!Q:Q,)</f>
        <v>10</v>
      </c>
      <c r="R103" s="40" t="str">
        <f>_xlfn.XLOOKUP($B103,'40'!$B:$B,'40'!R:R,)</f>
        <v>EN:ABLE Communities CIO (2016) EN:ABLE Communities CIO Trustees' Annual Report for the period from 25 August 2015 to 31 July 2016</v>
      </c>
      <c r="S103" s="40" t="str">
        <f>_xlfn.XLOOKUP($B103,'40'!$B:$B,'40'!S:S,)</f>
        <v>/</v>
      </c>
      <c r="T103" s="40">
        <f>_xlfn.XLOOKUP($B103,'40'!$B:$B,'40'!T:T,)</f>
        <v>2016</v>
      </c>
      <c r="U103" s="40" t="str">
        <f>_xlfn.XLOOKUP($B103,'40'!$B:$B,'40'!U:U,)</f>
        <v>UK</v>
      </c>
      <c r="V103" s="40" t="str">
        <f>_xlfn.XLOOKUP($B103,'40'!$B:$B,'40'!V:V,)</f>
        <v>Yorkshire &amp; the Humber</v>
      </c>
      <c r="W103" s="40">
        <f>_xlfn.XLOOKUP($B103,'40'!$B:$B,'40'!W:W,)</f>
        <v>21</v>
      </c>
    </row>
    <row r="104" spans="2:23">
      <c r="B104" s="39" t="s">
        <v>3299</v>
      </c>
      <c r="C104" s="40" t="str">
        <f>_xlfn.XLOOKUP($B104,'40'!$B:$B,'40'!C:C,)</f>
        <v>Employment</v>
      </c>
      <c r="D104" s="40" t="str">
        <f>_xlfn.XLOOKUP($B104,'40'!$B:$B,'40'!D:D,)</f>
        <v>Employee training</v>
      </c>
      <c r="E104" s="40" t="str">
        <f>_xlfn.XLOOKUP($B104,'40'!$B:$B,'40'!E:E,)</f>
        <v>Health and wellbeing</v>
      </c>
      <c r="F104" s="40">
        <f>_xlfn.XLOOKUP($B104,'40'!$B:$B,'40'!F:F,)</f>
        <v>2016</v>
      </c>
      <c r="G104" s="40">
        <f>_xlfn.XLOOKUP($B104,'40'!$B:$B,'40'!G:G,)</f>
        <v>2016</v>
      </c>
      <c r="H104" s="40">
        <f>_xlfn.XLOOKUP($B104,'40'!$B:$B,'40'!H:H,)</f>
        <v>2023</v>
      </c>
      <c r="I104" s="40">
        <f>_xlfn.XLOOKUP($B104,'40'!$B:$B,'40'!I:I,)</f>
        <v>79.790499999999994</v>
      </c>
      <c r="J104" s="40">
        <f>_xlfn.XLOOKUP($B104,'40'!$B:$B,'40'!J:J,)</f>
        <v>100</v>
      </c>
      <c r="K104" s="629">
        <f>_xlfn.XLOOKUP($B104,'40'!$B:$B,'40'!K:K,)</f>
        <v>-1567</v>
      </c>
      <c r="L104" s="629">
        <f>_xlfn.XLOOKUP($B104,'40'!$B:$B,'40'!L:L,)</f>
        <v>-1963.8929446487991</v>
      </c>
      <c r="M104" s="40" t="str">
        <f>_xlfn.XLOOKUP($B104,'40'!$B:$B,'40'!M:M,)</f>
        <v>Social Return on Investment framework (SROI)</v>
      </c>
      <c r="N104" s="326">
        <f>_xlfn.XLOOKUP($B104,'40'!$B:$B,'40'!N:N,)</f>
        <v>2.5</v>
      </c>
      <c r="O104" s="40" t="str">
        <f>_xlfn.XLOOKUP($B104,'40'!$B:$B,'40'!O:O,)</f>
        <v>Yes</v>
      </c>
      <c r="P104" s="40" t="str">
        <f>_xlfn.XLOOKUP($B104,'40'!$B:$B,'40'!P:P,)</f>
        <v>Best available evidence</v>
      </c>
      <c r="Q104" s="40">
        <f>_xlfn.XLOOKUP($B104,'40'!$B:$B,'40'!Q:Q,)</f>
        <v>10</v>
      </c>
      <c r="R104" s="40" t="str">
        <f>_xlfn.XLOOKUP($B104,'40'!$B:$B,'40'!R:R,)</f>
        <v>EN:ABLE Communities CIO (2016) EN:ABLE Communities CIO Trustees' Annual Report for the period from 25 August 2015 to 31 July 2016</v>
      </c>
      <c r="S104" s="40" t="str">
        <f>_xlfn.XLOOKUP($B104,'40'!$B:$B,'40'!S:S,)</f>
        <v>/</v>
      </c>
      <c r="T104" s="40">
        <f>_xlfn.XLOOKUP($B104,'40'!$B:$B,'40'!T:T,)</f>
        <v>2016</v>
      </c>
      <c r="U104" s="40" t="str">
        <f>_xlfn.XLOOKUP($B104,'40'!$B:$B,'40'!U:U,)</f>
        <v>UK</v>
      </c>
      <c r="V104" s="40" t="str">
        <f>_xlfn.XLOOKUP($B104,'40'!$B:$B,'40'!V:V,)</f>
        <v>Yorkshire &amp; the Humber</v>
      </c>
      <c r="W104" s="40">
        <f>_xlfn.XLOOKUP($B104,'40'!$B:$B,'40'!W:W,)</f>
        <v>21</v>
      </c>
    </row>
    <row r="105" spans="2:23">
      <c r="B105" s="40" t="s">
        <v>3639</v>
      </c>
      <c r="C105" s="40" t="str">
        <f>_xlfn.XLOOKUP($B105,'41'!$B:$B,'41'!C:C,)</f>
        <v>Enabling growth</v>
      </c>
      <c r="D105" s="40" t="str">
        <f>_xlfn.XLOOKUP($B105,'41'!$B:$B,'41'!D:D,)</f>
        <v>Enabling residential development - East Midlands</v>
      </c>
      <c r="E105" s="40" t="str">
        <f>_xlfn.XLOOKUP($B105,'41'!$B:$B,'41'!E:E,)</f>
        <v>Local economy</v>
      </c>
      <c r="F105" s="40">
        <f>_xlfn.XLOOKUP($B105,'41'!$B:$B,'41'!F:F,)</f>
        <v>2020</v>
      </c>
      <c r="G105" s="40">
        <f>_xlfn.XLOOKUP($B105,'41'!$B:$B,'41'!G:G,)</f>
        <v>2019</v>
      </c>
      <c r="H105" s="40">
        <f>_xlfn.XLOOKUP($B105,'41'!$B:$B,'41'!H:H,)</f>
        <v>2023</v>
      </c>
      <c r="I105" s="40">
        <f>_xlfn.XLOOKUP($B105,'41'!$B:$B,'41'!I:I,)</f>
        <v>84.587599999999995</v>
      </c>
      <c r="J105" s="40">
        <f>_xlfn.XLOOKUP($B105,'41'!$B:$B,'41'!J:J,)</f>
        <v>100</v>
      </c>
      <c r="K105" s="629">
        <f>_xlfn.XLOOKUP($B105,'41'!$B:$B,'41'!K:K,)</f>
        <v>-1236486.4864864864</v>
      </c>
      <c r="L105" s="629">
        <f>_xlfn.XLOOKUP($B105,'41'!$B:$B,'41'!L:L,)</f>
        <v>-1461782.2074234125</v>
      </c>
      <c r="M105" s="40" t="str">
        <f>_xlfn.XLOOKUP($B105,'41'!$B:$B,'41'!M:M,)</f>
        <v>Uplift</v>
      </c>
      <c r="N105" s="326">
        <f>_xlfn.XLOOKUP($B105,'41'!$B:$B,'41'!N:N,)</f>
        <v>2.5714285714285698</v>
      </c>
      <c r="O105" s="40" t="str">
        <f>_xlfn.XLOOKUP($B105,'41'!$B:$B,'41'!O:O,)</f>
        <v>Yes</v>
      </c>
      <c r="P105" s="40" t="str">
        <f>_xlfn.XLOOKUP($B105,'41'!$B:$B,'41'!P:P,)</f>
        <v>UK government guidance and data with accompanying high confidence score</v>
      </c>
      <c r="Q105" s="40">
        <f>_xlfn.XLOOKUP($B105,'41'!$B:$B,'41'!Q:Q,)</f>
        <v>114</v>
      </c>
      <c r="R105" s="40" t="str">
        <f>_xlfn.XLOOKUP($B105,'41'!$B:$B,'41'!R:R,)</f>
        <v>ONS (2020) Land value estimates for policy appraisal 2019</v>
      </c>
      <c r="S105" s="40" t="str">
        <f>_xlfn.XLOOKUP($B105,'41'!$B:$B,'41'!S:S,)</f>
        <v>NA</v>
      </c>
      <c r="T105" s="40">
        <f>_xlfn.XLOOKUP($B105,'41'!$B:$B,'41'!T:T,)</f>
        <v>2020</v>
      </c>
      <c r="U105" s="40" t="str">
        <f>_xlfn.XLOOKUP($B105,'41'!$B:$B,'41'!U:U,)</f>
        <v xml:space="preserve">England </v>
      </c>
      <c r="V105" s="40" t="str">
        <f>_xlfn.XLOOKUP($B105,'41'!$B:$B,'41'!V:V,)</f>
        <v xml:space="preserve">England </v>
      </c>
      <c r="W105" s="40" t="str">
        <f>_xlfn.XLOOKUP($B105,'41'!$B:$B,'41'!W:W,)</f>
        <v>NA</v>
      </c>
    </row>
    <row r="106" spans="2:23">
      <c r="B106" s="40" t="s">
        <v>3640</v>
      </c>
      <c r="C106" s="40" t="str">
        <f>_xlfn.XLOOKUP($B106,'41'!$B:$B,'41'!C:C,)</f>
        <v>Enabling growth</v>
      </c>
      <c r="D106" s="40" t="str">
        <f>_xlfn.XLOOKUP($B106,'41'!$B:$B,'41'!D:D,)</f>
        <v>Enabling residential development - West Midlands</v>
      </c>
      <c r="E106" s="40" t="str">
        <f>_xlfn.XLOOKUP($B106,'41'!$B:$B,'41'!E:E,)</f>
        <v>Local economy</v>
      </c>
      <c r="F106" s="40">
        <f>_xlfn.XLOOKUP($B106,'41'!$B:$B,'41'!F:F,)</f>
        <v>2020</v>
      </c>
      <c r="G106" s="40">
        <f>_xlfn.XLOOKUP($B106,'41'!$B:$B,'41'!G:G,)</f>
        <v>2019</v>
      </c>
      <c r="H106" s="40">
        <f>_xlfn.XLOOKUP($B106,'41'!$B:$B,'41'!H:H,)</f>
        <v>2023</v>
      </c>
      <c r="I106" s="40">
        <f>_xlfn.XLOOKUP($B106,'41'!$B:$B,'41'!I:I,)</f>
        <v>84.587599999999995</v>
      </c>
      <c r="J106" s="40">
        <f>_xlfn.XLOOKUP($B106,'41'!$B:$B,'41'!J:J,)</f>
        <v>100</v>
      </c>
      <c r="K106" s="629">
        <f>_xlfn.XLOOKUP($B106,'41'!$B:$B,'41'!K:K,)</f>
        <v>-1990500</v>
      </c>
      <c r="L106" s="629">
        <f>_xlfn.XLOOKUP($B106,'41'!$B:$B,'41'!L:L,)</f>
        <v>-2353181.7902387585</v>
      </c>
      <c r="M106" s="40" t="str">
        <f>_xlfn.XLOOKUP($B106,'41'!$B:$B,'41'!M:M,)</f>
        <v>Uplift</v>
      </c>
      <c r="N106" s="326">
        <f>_xlfn.XLOOKUP($B106,'41'!$B:$B,'41'!N:N,)</f>
        <v>2.5714285714285698</v>
      </c>
      <c r="O106" s="40" t="str">
        <f>_xlfn.XLOOKUP($B106,'41'!$B:$B,'41'!O:O,)</f>
        <v>Yes</v>
      </c>
      <c r="P106" s="40" t="str">
        <f>_xlfn.XLOOKUP($B106,'41'!$B:$B,'41'!P:P,)</f>
        <v>UK government guidance and data with accompanying high confidence score</v>
      </c>
      <c r="Q106" s="40">
        <f>_xlfn.XLOOKUP($B106,'41'!$B:$B,'41'!Q:Q,)</f>
        <v>114</v>
      </c>
      <c r="R106" s="40" t="str">
        <f>_xlfn.XLOOKUP($B106,'41'!$B:$B,'41'!R:R,)</f>
        <v>ONS (2020) Land value estimates for policy appraisal 2019</v>
      </c>
      <c r="S106" s="40" t="str">
        <f>_xlfn.XLOOKUP($B106,'41'!$B:$B,'41'!S:S,)</f>
        <v>NA</v>
      </c>
      <c r="T106" s="40">
        <f>_xlfn.XLOOKUP($B106,'41'!$B:$B,'41'!T:T,)</f>
        <v>2020</v>
      </c>
      <c r="U106" s="40" t="str">
        <f>_xlfn.XLOOKUP($B106,'41'!$B:$B,'41'!U:U,)</f>
        <v xml:space="preserve">England </v>
      </c>
      <c r="V106" s="40" t="str">
        <f>_xlfn.XLOOKUP($B106,'41'!$B:$B,'41'!V:V,)</f>
        <v xml:space="preserve">England </v>
      </c>
      <c r="W106" s="40" t="str">
        <f>_xlfn.XLOOKUP($B106,'41'!$B:$B,'41'!W:W,)</f>
        <v>NA</v>
      </c>
    </row>
    <row r="107" spans="2:23">
      <c r="B107" s="40" t="s">
        <v>3641</v>
      </c>
      <c r="C107" s="40" t="str">
        <f>_xlfn.XLOOKUP($B107,'41'!$B:$B,'41'!C:C,)</f>
        <v>Enabling growth</v>
      </c>
      <c r="D107" s="40" t="str">
        <f>_xlfn.XLOOKUP($B107,'41'!$B:$B,'41'!D:D,)</f>
        <v xml:space="preserve">Enabling residential development - East </v>
      </c>
      <c r="E107" s="40" t="str">
        <f>_xlfn.XLOOKUP($B107,'41'!$B:$B,'41'!E:E,)</f>
        <v>Local economy</v>
      </c>
      <c r="F107" s="40">
        <f>_xlfn.XLOOKUP($B107,'41'!$B:$B,'41'!F:F,)</f>
        <v>2020</v>
      </c>
      <c r="G107" s="40">
        <f>_xlfn.XLOOKUP($B107,'41'!$B:$B,'41'!G:G,)</f>
        <v>2019</v>
      </c>
      <c r="H107" s="40">
        <f>_xlfn.XLOOKUP($B107,'41'!$B:$B,'41'!H:H,)</f>
        <v>2023</v>
      </c>
      <c r="I107" s="40">
        <f>_xlfn.XLOOKUP($B107,'41'!$B:$B,'41'!I:I,)</f>
        <v>84.587599999999995</v>
      </c>
      <c r="J107" s="40">
        <f>_xlfn.XLOOKUP($B107,'41'!$B:$B,'41'!J:J,)</f>
        <v>100</v>
      </c>
      <c r="K107" s="629">
        <f>_xlfn.XLOOKUP($B107,'41'!$B:$B,'41'!K:K,)</f>
        <v>-3691200</v>
      </c>
      <c r="L107" s="629">
        <f>_xlfn.XLOOKUP($B107,'41'!$B:$B,'41'!L:L,)</f>
        <v>-4363760.1728858603</v>
      </c>
      <c r="M107" s="40" t="str">
        <f>_xlfn.XLOOKUP($B107,'41'!$B:$B,'41'!M:M,)</f>
        <v>Uplift</v>
      </c>
      <c r="N107" s="326">
        <f>_xlfn.XLOOKUP($B107,'41'!$B:$B,'41'!N:N,)</f>
        <v>2.5714285714285698</v>
      </c>
      <c r="O107" s="40" t="str">
        <f>_xlfn.XLOOKUP($B107,'41'!$B:$B,'41'!O:O,)</f>
        <v>Yes</v>
      </c>
      <c r="P107" s="40" t="str">
        <f>_xlfn.XLOOKUP($B107,'41'!$B:$B,'41'!P:P,)</f>
        <v>UK government guidance and data with accompanying high confidence score</v>
      </c>
      <c r="Q107" s="40">
        <f>_xlfn.XLOOKUP($B107,'41'!$B:$B,'41'!Q:Q,)</f>
        <v>114</v>
      </c>
      <c r="R107" s="40" t="str">
        <f>_xlfn.XLOOKUP($B107,'41'!$B:$B,'41'!R:R,)</f>
        <v>ONS (2020) Land value estimates for policy appraisal 2019</v>
      </c>
      <c r="S107" s="40" t="str">
        <f>_xlfn.XLOOKUP($B107,'41'!$B:$B,'41'!S:S,)</f>
        <v>NA</v>
      </c>
      <c r="T107" s="40">
        <f>_xlfn.XLOOKUP($B107,'41'!$B:$B,'41'!T:T,)</f>
        <v>2020</v>
      </c>
      <c r="U107" s="40" t="str">
        <f>_xlfn.XLOOKUP($B107,'41'!$B:$B,'41'!U:U,)</f>
        <v xml:space="preserve">England </v>
      </c>
      <c r="V107" s="40" t="str">
        <f>_xlfn.XLOOKUP($B107,'41'!$B:$B,'41'!V:V,)</f>
        <v xml:space="preserve">England </v>
      </c>
      <c r="W107" s="40" t="str">
        <f>_xlfn.XLOOKUP($B107,'41'!$B:$B,'41'!W:W,)</f>
        <v>NA</v>
      </c>
    </row>
    <row r="108" spans="2:23">
      <c r="B108" s="40" t="s">
        <v>3642</v>
      </c>
      <c r="C108" s="40" t="str">
        <f>_xlfn.XLOOKUP($B108,'41'!$B:$B,'41'!C:C,)</f>
        <v>Enabling growth</v>
      </c>
      <c r="D108" s="40" t="str">
        <f>_xlfn.XLOOKUP($B108,'41'!$B:$B,'41'!D:D,)</f>
        <v>Enabling residential development - Yorkshire and the Humber</v>
      </c>
      <c r="E108" s="40" t="str">
        <f>_xlfn.XLOOKUP($B108,'41'!$B:$B,'41'!E:E,)</f>
        <v>Local economy</v>
      </c>
      <c r="F108" s="40">
        <f>_xlfn.XLOOKUP($B108,'41'!$B:$B,'41'!F:F,)</f>
        <v>2020</v>
      </c>
      <c r="G108" s="40">
        <f>_xlfn.XLOOKUP($B108,'41'!$B:$B,'41'!G:G,)</f>
        <v>2019</v>
      </c>
      <c r="H108" s="40">
        <f>_xlfn.XLOOKUP($B108,'41'!$B:$B,'41'!H:H,)</f>
        <v>2023</v>
      </c>
      <c r="I108" s="40">
        <f>_xlfn.XLOOKUP($B108,'41'!$B:$B,'41'!I:I,)</f>
        <v>84.587599999999995</v>
      </c>
      <c r="J108" s="40">
        <f>_xlfn.XLOOKUP($B108,'41'!$B:$B,'41'!J:J,)</f>
        <v>100</v>
      </c>
      <c r="K108" s="629">
        <f>_xlfn.XLOOKUP($B108,'41'!$B:$B,'41'!K:K,)</f>
        <v>-1405952.3809523811</v>
      </c>
      <c r="L108" s="629">
        <f>_xlfn.XLOOKUP($B108,'41'!$B:$B,'41'!L:L,)</f>
        <v>-1662125.8682742876</v>
      </c>
      <c r="M108" s="40" t="str">
        <f>_xlfn.XLOOKUP($B108,'41'!$B:$B,'41'!M:M,)</f>
        <v>Uplift</v>
      </c>
      <c r="N108" s="326">
        <f>_xlfn.XLOOKUP($B108,'41'!$B:$B,'41'!N:N,)</f>
        <v>2.5714285714285698</v>
      </c>
      <c r="O108" s="40" t="str">
        <f>_xlfn.XLOOKUP($B108,'41'!$B:$B,'41'!O:O,)</f>
        <v>Yes</v>
      </c>
      <c r="P108" s="40" t="str">
        <f>_xlfn.XLOOKUP($B108,'41'!$B:$B,'41'!P:P,)</f>
        <v>UK government guidance and data with accompanying high confidence score</v>
      </c>
      <c r="Q108" s="40">
        <f>_xlfn.XLOOKUP($B108,'41'!$B:$B,'41'!Q:Q,)</f>
        <v>114</v>
      </c>
      <c r="R108" s="40" t="str">
        <f>_xlfn.XLOOKUP($B108,'41'!$B:$B,'41'!R:R,)</f>
        <v>ONS (2020) Land value estimates for policy appraisal 2019</v>
      </c>
      <c r="S108" s="40" t="str">
        <f>_xlfn.XLOOKUP($B108,'41'!$B:$B,'41'!S:S,)</f>
        <v>NA</v>
      </c>
      <c r="T108" s="40">
        <f>_xlfn.XLOOKUP($B108,'41'!$B:$B,'41'!T:T,)</f>
        <v>2020</v>
      </c>
      <c r="U108" s="40" t="str">
        <f>_xlfn.XLOOKUP($B108,'41'!$B:$B,'41'!U:U,)</f>
        <v xml:space="preserve">England </v>
      </c>
      <c r="V108" s="40" t="str">
        <f>_xlfn.XLOOKUP($B108,'41'!$B:$B,'41'!V:V,)</f>
        <v xml:space="preserve">England </v>
      </c>
      <c r="W108" s="40" t="str">
        <f>_xlfn.XLOOKUP($B108,'41'!$B:$B,'41'!W:W,)</f>
        <v>NA</v>
      </c>
    </row>
    <row r="109" spans="2:23">
      <c r="B109" s="40" t="s">
        <v>3643</v>
      </c>
      <c r="C109" s="40" t="str">
        <f>_xlfn.XLOOKUP($B109,'41'!$B:$B,'41'!C:C,)</f>
        <v>Enabling growth</v>
      </c>
      <c r="D109" s="40" t="str">
        <f>_xlfn.XLOOKUP($B109,'41'!$B:$B,'41'!D:D,)</f>
        <v>Enabling residential development - North East</v>
      </c>
      <c r="E109" s="40" t="str">
        <f>_xlfn.XLOOKUP($B109,'41'!$B:$B,'41'!E:E,)</f>
        <v>Local economy</v>
      </c>
      <c r="F109" s="40">
        <f>_xlfn.XLOOKUP($B109,'41'!$B:$B,'41'!F:F,)</f>
        <v>2020</v>
      </c>
      <c r="G109" s="40">
        <f>_xlfn.XLOOKUP($B109,'41'!$B:$B,'41'!G:G,)</f>
        <v>2019</v>
      </c>
      <c r="H109" s="40">
        <f>_xlfn.XLOOKUP($B109,'41'!$B:$B,'41'!H:H,)</f>
        <v>2023</v>
      </c>
      <c r="I109" s="40">
        <f>_xlfn.XLOOKUP($B109,'41'!$B:$B,'41'!I:I,)</f>
        <v>84.587599999999995</v>
      </c>
      <c r="J109" s="40">
        <f>_xlfn.XLOOKUP($B109,'41'!$B:$B,'41'!J:J,)</f>
        <v>100</v>
      </c>
      <c r="K109" s="629">
        <f>_xlfn.XLOOKUP($B109,'41'!$B:$B,'41'!K:K,)</f>
        <v>-660416.66666666663</v>
      </c>
      <c r="L109" s="629">
        <f>_xlfn.XLOOKUP($B109,'41'!$B:$B,'41'!L:L,)</f>
        <v>-780748.79375542828</v>
      </c>
      <c r="M109" s="40" t="str">
        <f>_xlfn.XLOOKUP($B109,'41'!$B:$B,'41'!M:M,)</f>
        <v>Uplift</v>
      </c>
      <c r="N109" s="326">
        <f>_xlfn.XLOOKUP($B109,'41'!$B:$B,'41'!N:N,)</f>
        <v>2.5714285714285698</v>
      </c>
      <c r="O109" s="40" t="str">
        <f>_xlfn.XLOOKUP($B109,'41'!$B:$B,'41'!O:O,)</f>
        <v>Yes</v>
      </c>
      <c r="P109" s="40" t="str">
        <f>_xlfn.XLOOKUP($B109,'41'!$B:$B,'41'!P:P,)</f>
        <v>UK government guidance and data with accompanying high confidence score</v>
      </c>
      <c r="Q109" s="40">
        <f>_xlfn.XLOOKUP($B109,'41'!$B:$B,'41'!Q:Q,)</f>
        <v>114</v>
      </c>
      <c r="R109" s="40" t="str">
        <f>_xlfn.XLOOKUP($B109,'41'!$B:$B,'41'!R:R,)</f>
        <v>ONS (2020) Land value estimates for policy appraisal 2019</v>
      </c>
      <c r="S109" s="40" t="str">
        <f>_xlfn.XLOOKUP($B109,'41'!$B:$B,'41'!S:S,)</f>
        <v>NA</v>
      </c>
      <c r="T109" s="40">
        <f>_xlfn.XLOOKUP($B109,'41'!$B:$B,'41'!T:T,)</f>
        <v>2020</v>
      </c>
      <c r="U109" s="40" t="str">
        <f>_xlfn.XLOOKUP($B109,'41'!$B:$B,'41'!U:U,)</f>
        <v xml:space="preserve">England </v>
      </c>
      <c r="V109" s="40" t="str">
        <f>_xlfn.XLOOKUP($B109,'41'!$B:$B,'41'!V:V,)</f>
        <v xml:space="preserve">England </v>
      </c>
      <c r="W109" s="40" t="str">
        <f>_xlfn.XLOOKUP($B109,'41'!$B:$B,'41'!W:W,)</f>
        <v>NA</v>
      </c>
    </row>
    <row r="110" spans="2:23">
      <c r="B110" s="40" t="s">
        <v>3644</v>
      </c>
      <c r="C110" s="40" t="str">
        <f>_xlfn.XLOOKUP($B110,'41'!$B:$B,'41'!C:C,)</f>
        <v>Enabling growth</v>
      </c>
      <c r="D110" s="40" t="str">
        <f>_xlfn.XLOOKUP($B110,'41'!$B:$B,'41'!D:D,)</f>
        <v>Enabling residential development - North West</v>
      </c>
      <c r="E110" s="40" t="str">
        <f>_xlfn.XLOOKUP($B110,'41'!$B:$B,'41'!E:E,)</f>
        <v>Local economy</v>
      </c>
      <c r="F110" s="40">
        <f>_xlfn.XLOOKUP($B110,'41'!$B:$B,'41'!F:F,)</f>
        <v>2020</v>
      </c>
      <c r="G110" s="40">
        <f>_xlfn.XLOOKUP($B110,'41'!$B:$B,'41'!G:G,)</f>
        <v>2019</v>
      </c>
      <c r="H110" s="40">
        <f>_xlfn.XLOOKUP($B110,'41'!$B:$B,'41'!H:H,)</f>
        <v>2023</v>
      </c>
      <c r="I110" s="40">
        <f>_xlfn.XLOOKUP($B110,'41'!$B:$B,'41'!I:I,)</f>
        <v>84.587599999999995</v>
      </c>
      <c r="J110" s="40">
        <f>_xlfn.XLOOKUP($B110,'41'!$B:$B,'41'!J:J,)</f>
        <v>100</v>
      </c>
      <c r="K110" s="629">
        <f>_xlfn.XLOOKUP($B110,'41'!$B:$B,'41'!K:K,)</f>
        <v>-1283473.8717948718</v>
      </c>
      <c r="L110" s="629">
        <f>_xlfn.XLOOKUP($B110,'41'!$B:$B,'41'!L:L,)</f>
        <v>-1517330.9938984814</v>
      </c>
      <c r="M110" s="40" t="str">
        <f>_xlfn.XLOOKUP($B110,'41'!$B:$B,'41'!M:M,)</f>
        <v>Uplift</v>
      </c>
      <c r="N110" s="326">
        <f>_xlfn.XLOOKUP($B110,'41'!$B:$B,'41'!N:N,)</f>
        <v>2.5714285714285698</v>
      </c>
      <c r="O110" s="40" t="str">
        <f>_xlfn.XLOOKUP($B110,'41'!$B:$B,'41'!O:O,)</f>
        <v>Yes</v>
      </c>
      <c r="P110" s="40" t="str">
        <f>_xlfn.XLOOKUP($B110,'41'!$B:$B,'41'!P:P,)</f>
        <v>UK government guidance and data with accompanying high confidence score</v>
      </c>
      <c r="Q110" s="40">
        <f>_xlfn.XLOOKUP($B110,'41'!$B:$B,'41'!Q:Q,)</f>
        <v>114</v>
      </c>
      <c r="R110" s="40" t="str">
        <f>_xlfn.XLOOKUP($B110,'41'!$B:$B,'41'!R:R,)</f>
        <v>ONS (2020) Land value estimates for policy appraisal 2019</v>
      </c>
      <c r="S110" s="40" t="str">
        <f>_xlfn.XLOOKUP($B110,'41'!$B:$B,'41'!S:S,)</f>
        <v>NA</v>
      </c>
      <c r="T110" s="40">
        <f>_xlfn.XLOOKUP($B110,'41'!$B:$B,'41'!T:T,)</f>
        <v>2020</v>
      </c>
      <c r="U110" s="40" t="str">
        <f>_xlfn.XLOOKUP($B110,'41'!$B:$B,'41'!U:U,)</f>
        <v xml:space="preserve">England </v>
      </c>
      <c r="V110" s="40" t="str">
        <f>_xlfn.XLOOKUP($B110,'41'!$B:$B,'41'!V:V,)</f>
        <v xml:space="preserve">England </v>
      </c>
      <c r="W110" s="40" t="str">
        <f>_xlfn.XLOOKUP($B110,'41'!$B:$B,'41'!W:W,)</f>
        <v>NA</v>
      </c>
    </row>
    <row r="111" spans="2:23">
      <c r="B111" s="40" t="s">
        <v>3645</v>
      </c>
      <c r="C111" s="40" t="str">
        <f>_xlfn.XLOOKUP($B111,'41'!$B:$B,'41'!C:C,)</f>
        <v>Enabling growth</v>
      </c>
      <c r="D111" s="40" t="str">
        <f>_xlfn.XLOOKUP($B111,'41'!$B:$B,'41'!D:D,)</f>
        <v>Enabling residential development - South East</v>
      </c>
      <c r="E111" s="40" t="str">
        <f>_xlfn.XLOOKUP($B111,'41'!$B:$B,'41'!E:E,)</f>
        <v>Local economy</v>
      </c>
      <c r="F111" s="40">
        <f>_xlfn.XLOOKUP($B111,'41'!$B:$B,'41'!F:F,)</f>
        <v>2020</v>
      </c>
      <c r="G111" s="40">
        <f>_xlfn.XLOOKUP($B111,'41'!$B:$B,'41'!G:G,)</f>
        <v>2019</v>
      </c>
      <c r="H111" s="40">
        <f>_xlfn.XLOOKUP($B111,'41'!$B:$B,'41'!H:H,)</f>
        <v>2023</v>
      </c>
      <c r="I111" s="40">
        <f>_xlfn.XLOOKUP($B111,'41'!$B:$B,'41'!I:I,)</f>
        <v>84.587599999999995</v>
      </c>
      <c r="J111" s="40">
        <f>_xlfn.XLOOKUP($B111,'41'!$B:$B,'41'!J:J,)</f>
        <v>100</v>
      </c>
      <c r="K111" s="629">
        <f>_xlfn.XLOOKUP($B111,'41'!$B:$B,'41'!K:K,)</f>
        <v>-4745970.1492537316</v>
      </c>
      <c r="L111" s="629">
        <f>_xlfn.XLOOKUP($B111,'41'!$B:$B,'41'!L:L,)</f>
        <v>-5610716.1679179119</v>
      </c>
      <c r="M111" s="40" t="str">
        <f>_xlfn.XLOOKUP($B111,'41'!$B:$B,'41'!M:M,)</f>
        <v>Uplift</v>
      </c>
      <c r="N111" s="326">
        <f>_xlfn.XLOOKUP($B111,'41'!$B:$B,'41'!N:N,)</f>
        <v>2.5714285714285698</v>
      </c>
      <c r="O111" s="40" t="str">
        <f>_xlfn.XLOOKUP($B111,'41'!$B:$B,'41'!O:O,)</f>
        <v>Yes</v>
      </c>
      <c r="P111" s="40" t="str">
        <f>_xlfn.XLOOKUP($B111,'41'!$B:$B,'41'!P:P,)</f>
        <v>UK government guidance and data with accompanying high confidence score</v>
      </c>
      <c r="Q111" s="40">
        <f>_xlfn.XLOOKUP($B111,'41'!$B:$B,'41'!Q:Q,)</f>
        <v>114</v>
      </c>
      <c r="R111" s="40" t="str">
        <f>_xlfn.XLOOKUP($B111,'41'!$B:$B,'41'!R:R,)</f>
        <v>ONS (2020) Land value estimates for policy appraisal 2019</v>
      </c>
      <c r="S111" s="40" t="str">
        <f>_xlfn.XLOOKUP($B111,'41'!$B:$B,'41'!S:S,)</f>
        <v>NA</v>
      </c>
      <c r="T111" s="40">
        <f>_xlfn.XLOOKUP($B111,'41'!$B:$B,'41'!T:T,)</f>
        <v>2020</v>
      </c>
      <c r="U111" s="40" t="str">
        <f>_xlfn.XLOOKUP($B111,'41'!$B:$B,'41'!U:U,)</f>
        <v xml:space="preserve">England </v>
      </c>
      <c r="V111" s="40" t="str">
        <f>_xlfn.XLOOKUP($B111,'41'!$B:$B,'41'!V:V,)</f>
        <v xml:space="preserve">England </v>
      </c>
      <c r="W111" s="40" t="str">
        <f>_xlfn.XLOOKUP($B111,'41'!$B:$B,'41'!W:W,)</f>
        <v>NA</v>
      </c>
    </row>
    <row r="112" spans="2:23">
      <c r="B112" s="40" t="s">
        <v>3646</v>
      </c>
      <c r="C112" s="40" t="str">
        <f>_xlfn.XLOOKUP($B112,'41'!$B:$B,'41'!C:C,)</f>
        <v>Enabling growth</v>
      </c>
      <c r="D112" s="40" t="str">
        <f>_xlfn.XLOOKUP($B112,'41'!$B:$B,'41'!D:D,)</f>
        <v>Enabling residential development - South West</v>
      </c>
      <c r="E112" s="40" t="str">
        <f>_xlfn.XLOOKUP($B112,'41'!$B:$B,'41'!E:E,)</f>
        <v>Local economy</v>
      </c>
      <c r="F112" s="40">
        <f>_xlfn.XLOOKUP($B112,'41'!$B:$B,'41'!F:F,)</f>
        <v>2020</v>
      </c>
      <c r="G112" s="40">
        <f>_xlfn.XLOOKUP($B112,'41'!$B:$B,'41'!G:G,)</f>
        <v>2019</v>
      </c>
      <c r="H112" s="40">
        <f>_xlfn.XLOOKUP($B112,'41'!$B:$B,'41'!H:H,)</f>
        <v>2023</v>
      </c>
      <c r="I112" s="40">
        <f>_xlfn.XLOOKUP($B112,'41'!$B:$B,'41'!I:I,)</f>
        <v>84.587599999999995</v>
      </c>
      <c r="J112" s="40">
        <f>_xlfn.XLOOKUP($B112,'41'!$B:$B,'41'!J:J,)</f>
        <v>100</v>
      </c>
      <c r="K112" s="629">
        <f>_xlfn.XLOOKUP($B112,'41'!$B:$B,'41'!K:K,)</f>
        <v>-2480405.4054054054</v>
      </c>
      <c r="L112" s="629">
        <f>_xlfn.XLOOKUP($B112,'41'!$B:$B,'41'!L:L,)</f>
        <v>-2932351.0838531954</v>
      </c>
      <c r="M112" s="40" t="str">
        <f>_xlfn.XLOOKUP($B112,'41'!$B:$B,'41'!M:M,)</f>
        <v>Uplift</v>
      </c>
      <c r="N112" s="326">
        <f>_xlfn.XLOOKUP($B112,'41'!$B:$B,'41'!N:N,)</f>
        <v>2.5714285714285698</v>
      </c>
      <c r="O112" s="40" t="str">
        <f>_xlfn.XLOOKUP($B112,'41'!$B:$B,'41'!O:O,)</f>
        <v>Yes</v>
      </c>
      <c r="P112" s="40" t="str">
        <f>_xlfn.XLOOKUP($B112,'41'!$B:$B,'41'!P:P,)</f>
        <v>UK government guidance and data with accompanying high confidence score</v>
      </c>
      <c r="Q112" s="40">
        <f>_xlfn.XLOOKUP($B112,'41'!$B:$B,'41'!Q:Q,)</f>
        <v>114</v>
      </c>
      <c r="R112" s="40" t="str">
        <f>_xlfn.XLOOKUP($B112,'41'!$B:$B,'41'!R:R,)</f>
        <v>ONS (2020) Land value estimates for policy appraisal 2019</v>
      </c>
      <c r="S112" s="40" t="str">
        <f>_xlfn.XLOOKUP($B112,'41'!$B:$B,'41'!S:S,)</f>
        <v>NA</v>
      </c>
      <c r="T112" s="40">
        <f>_xlfn.XLOOKUP($B112,'41'!$B:$B,'41'!T:T,)</f>
        <v>2020</v>
      </c>
      <c r="U112" s="40" t="str">
        <f>_xlfn.XLOOKUP($B112,'41'!$B:$B,'41'!U:U,)</f>
        <v xml:space="preserve">England </v>
      </c>
      <c r="V112" s="40" t="str">
        <f>_xlfn.XLOOKUP($B112,'41'!$B:$B,'41'!V:V,)</f>
        <v xml:space="preserve">England </v>
      </c>
      <c r="W112" s="40" t="str">
        <f>_xlfn.XLOOKUP($B112,'41'!$B:$B,'41'!W:W,)</f>
        <v>NA</v>
      </c>
    </row>
    <row r="113" spans="2:23">
      <c r="B113" s="40" t="s">
        <v>3647</v>
      </c>
      <c r="C113" s="40" t="str">
        <f>_xlfn.XLOOKUP($B113,'41'!$B:$B,'41'!C:C,)</f>
        <v>Enabling growth</v>
      </c>
      <c r="D113" s="40" t="str">
        <f>_xlfn.XLOOKUP($B113,'41'!$B:$B,'41'!D:D,)</f>
        <v>Enabling residential development - London</v>
      </c>
      <c r="E113" s="40" t="str">
        <f>_xlfn.XLOOKUP($B113,'41'!$B:$B,'41'!E:E,)</f>
        <v>Local economy</v>
      </c>
      <c r="F113" s="40">
        <f>_xlfn.XLOOKUP($B113,'41'!$B:$B,'41'!F:F,)</f>
        <v>2020</v>
      </c>
      <c r="G113" s="40">
        <f>_xlfn.XLOOKUP($B113,'41'!$B:$B,'41'!G:G,)</f>
        <v>2019</v>
      </c>
      <c r="H113" s="40">
        <f>_xlfn.XLOOKUP($B113,'41'!$B:$B,'41'!H:H,)</f>
        <v>2023</v>
      </c>
      <c r="I113" s="40">
        <f>_xlfn.XLOOKUP($B113,'41'!$B:$B,'41'!I:I,)</f>
        <v>84.587599999999995</v>
      </c>
      <c r="J113" s="40">
        <f>_xlfn.XLOOKUP($B113,'41'!$B:$B,'41'!J:J,)</f>
        <v>100</v>
      </c>
      <c r="K113" s="629">
        <f>_xlfn.XLOOKUP($B113,'41'!$B:$B,'41'!K:K,)</f>
        <v>-35551363.636363633</v>
      </c>
      <c r="L113" s="629">
        <f>_xlfn.XLOOKUP($B113,'41'!$B:$B,'41'!L:L,)</f>
        <v>-42029048.745163165</v>
      </c>
      <c r="M113" s="40" t="str">
        <f>_xlfn.XLOOKUP($B113,'41'!$B:$B,'41'!M:M,)</f>
        <v>Uplift</v>
      </c>
      <c r="N113" s="326">
        <f>_xlfn.XLOOKUP($B113,'41'!$B:$B,'41'!N:N,)</f>
        <v>2.5714285714285698</v>
      </c>
      <c r="O113" s="40" t="str">
        <f>_xlfn.XLOOKUP($B113,'41'!$B:$B,'41'!O:O,)</f>
        <v>Yes</v>
      </c>
      <c r="P113" s="40" t="str">
        <f>_xlfn.XLOOKUP($B113,'41'!$B:$B,'41'!P:P,)</f>
        <v>UK government guidance and data with accompanying high confidence score</v>
      </c>
      <c r="Q113" s="40">
        <f>_xlfn.XLOOKUP($B113,'41'!$B:$B,'41'!Q:Q,)</f>
        <v>114</v>
      </c>
      <c r="R113" s="40" t="str">
        <f>_xlfn.XLOOKUP($B113,'41'!$B:$B,'41'!R:R,)</f>
        <v>ONS (2020) Land value estimates for policy appraisal 2019</v>
      </c>
      <c r="S113" s="40" t="str">
        <f>_xlfn.XLOOKUP($B113,'41'!$B:$B,'41'!S:S,)</f>
        <v>NA</v>
      </c>
      <c r="T113" s="40">
        <f>_xlfn.XLOOKUP($B113,'41'!$B:$B,'41'!T:T,)</f>
        <v>2020</v>
      </c>
      <c r="U113" s="40" t="str">
        <f>_xlfn.XLOOKUP($B113,'41'!$B:$B,'41'!U:U,)</f>
        <v xml:space="preserve">England </v>
      </c>
      <c r="V113" s="40" t="str">
        <f>_xlfn.XLOOKUP($B113,'41'!$B:$B,'41'!V:V,)</f>
        <v xml:space="preserve">England </v>
      </c>
      <c r="W113" s="40" t="str">
        <f>_xlfn.XLOOKUP($B113,'41'!$B:$B,'41'!W:W,)</f>
        <v>NA</v>
      </c>
    </row>
    <row r="114" spans="2:23">
      <c r="B114" s="40" t="s">
        <v>3648</v>
      </c>
      <c r="C114" s="40" t="str">
        <f>_xlfn.XLOOKUP($B114,'41'!$B:$B,'41'!C:C,)</f>
        <v>Enabling growth</v>
      </c>
      <c r="D114" s="40" t="str">
        <f>_xlfn.XLOOKUP($B114,'41'!$B:$B,'41'!D:D,)</f>
        <v>Enabling industrial development - East Midlands</v>
      </c>
      <c r="E114" s="40" t="str">
        <f>_xlfn.XLOOKUP($B114,'41'!$B:$B,'41'!E:E,)</f>
        <v>Local economy</v>
      </c>
      <c r="F114" s="40">
        <f>_xlfn.XLOOKUP($B114,'41'!$B:$B,'41'!F:F,)</f>
        <v>2020</v>
      </c>
      <c r="G114" s="40">
        <f>_xlfn.XLOOKUP($B114,'41'!$B:$B,'41'!G:G,)</f>
        <v>2019</v>
      </c>
      <c r="H114" s="40">
        <f>_xlfn.XLOOKUP($B114,'41'!$B:$B,'41'!H:H,)</f>
        <v>2023</v>
      </c>
      <c r="I114" s="40">
        <f>_xlfn.XLOOKUP($B114,'41'!$B:$B,'41'!I:I,)</f>
        <v>84.587599999999995</v>
      </c>
      <c r="J114" s="40">
        <f>_xlfn.XLOOKUP($B114,'41'!$B:$B,'41'!J:J,)</f>
        <v>100</v>
      </c>
      <c r="K114" s="629">
        <f>_xlfn.XLOOKUP($B114,'41'!$B:$B,'41'!K:K,)</f>
        <v>-494864.86486486485</v>
      </c>
      <c r="L114" s="629">
        <f>_xlfn.XLOOKUP($B114,'41'!$B:$B,'41'!L:L,)</f>
        <v>-585032.39820596029</v>
      </c>
      <c r="M114" s="40" t="str">
        <f>_xlfn.XLOOKUP($B114,'41'!$B:$B,'41'!M:M,)</f>
        <v>Uplift</v>
      </c>
      <c r="N114" s="326">
        <f>_xlfn.XLOOKUP($B114,'41'!$B:$B,'41'!N:N,)</f>
        <v>2.5714285714285698</v>
      </c>
      <c r="O114" s="40" t="str">
        <f>_xlfn.XLOOKUP($B114,'41'!$B:$B,'41'!O:O,)</f>
        <v>Yes</v>
      </c>
      <c r="P114" s="40" t="str">
        <f>_xlfn.XLOOKUP($B114,'41'!$B:$B,'41'!P:P,)</f>
        <v>UK government guidance and data with accompanying high confidence score</v>
      </c>
      <c r="Q114" s="40">
        <f>_xlfn.XLOOKUP($B114,'41'!$B:$B,'41'!Q:Q,)</f>
        <v>114</v>
      </c>
      <c r="R114" s="40" t="str">
        <f>_xlfn.XLOOKUP($B114,'41'!$B:$B,'41'!R:R,)</f>
        <v>ONS (2020) Land value estimates for policy appraisal 2019</v>
      </c>
      <c r="S114" s="40" t="str">
        <f>_xlfn.XLOOKUP($B114,'41'!$B:$B,'41'!S:S,)</f>
        <v xml:space="preserve"> </v>
      </c>
      <c r="T114" s="40">
        <f>_xlfn.XLOOKUP($B114,'41'!$B:$B,'41'!T:T,)</f>
        <v>2020</v>
      </c>
      <c r="U114" s="40" t="str">
        <f>_xlfn.XLOOKUP($B114,'41'!$B:$B,'41'!U:U,)</f>
        <v xml:space="preserve">England </v>
      </c>
      <c r="V114" s="40" t="str">
        <f>_xlfn.XLOOKUP($B114,'41'!$B:$B,'41'!V:V,)</f>
        <v xml:space="preserve">England </v>
      </c>
      <c r="W114" s="40">
        <f>_xlfn.XLOOKUP($B114,'41'!$B:$B,'41'!W:W,)</f>
        <v>0</v>
      </c>
    </row>
    <row r="115" spans="2:23">
      <c r="B115" s="40" t="s">
        <v>3649</v>
      </c>
      <c r="C115" s="40" t="str">
        <f>_xlfn.XLOOKUP($B115,'41'!$B:$B,'41'!C:C,)</f>
        <v>Enabling growth</v>
      </c>
      <c r="D115" s="40" t="str">
        <f>_xlfn.XLOOKUP($B115,'41'!$B:$B,'41'!D:D,)</f>
        <v>Enabling industrial development - West Midlands</v>
      </c>
      <c r="E115" s="40" t="str">
        <f>_xlfn.XLOOKUP($B115,'41'!$B:$B,'41'!E:E,)</f>
        <v>Local economy</v>
      </c>
      <c r="F115" s="40">
        <f>_xlfn.XLOOKUP($B115,'41'!$B:$B,'41'!F:F,)</f>
        <v>2020</v>
      </c>
      <c r="G115" s="40">
        <f>_xlfn.XLOOKUP($B115,'41'!$B:$B,'41'!G:G,)</f>
        <v>2019</v>
      </c>
      <c r="H115" s="40">
        <f>_xlfn.XLOOKUP($B115,'41'!$B:$B,'41'!H:H,)</f>
        <v>2023</v>
      </c>
      <c r="I115" s="40">
        <f>_xlfn.XLOOKUP($B115,'41'!$B:$B,'41'!I:I,)</f>
        <v>84.587599999999995</v>
      </c>
      <c r="J115" s="40">
        <f>_xlfn.XLOOKUP($B115,'41'!$B:$B,'41'!J:J,)</f>
        <v>100</v>
      </c>
      <c r="K115" s="629">
        <f>_xlfn.XLOOKUP($B115,'41'!$B:$B,'41'!K:K,)</f>
        <v>-631833.33333333337</v>
      </c>
      <c r="L115" s="629">
        <f>_xlfn.XLOOKUP($B115,'41'!$B:$B,'41'!L:L,)</f>
        <v>-746957.39485850581</v>
      </c>
      <c r="M115" s="40" t="str">
        <f>_xlfn.XLOOKUP($B115,'41'!$B:$B,'41'!M:M,)</f>
        <v>Uplift</v>
      </c>
      <c r="N115" s="326">
        <f>_xlfn.XLOOKUP($B115,'41'!$B:$B,'41'!N:N,)</f>
        <v>2.5714285714285698</v>
      </c>
      <c r="O115" s="40" t="str">
        <f>_xlfn.XLOOKUP($B115,'41'!$B:$B,'41'!O:O,)</f>
        <v>Yes</v>
      </c>
      <c r="P115" s="40" t="str">
        <f>_xlfn.XLOOKUP($B115,'41'!$B:$B,'41'!P:P,)</f>
        <v>UK government guidance and data with accompanying high confidence score</v>
      </c>
      <c r="Q115" s="40">
        <f>_xlfn.XLOOKUP($B115,'41'!$B:$B,'41'!Q:Q,)</f>
        <v>114</v>
      </c>
      <c r="R115" s="40" t="str">
        <f>_xlfn.XLOOKUP($B115,'41'!$B:$B,'41'!R:R,)</f>
        <v>ONS (2020) Land value estimates for policy appraisal 2019</v>
      </c>
      <c r="S115" s="40" t="str">
        <f>_xlfn.XLOOKUP($B115,'41'!$B:$B,'41'!S:S,)</f>
        <v xml:space="preserve"> </v>
      </c>
      <c r="T115" s="40">
        <f>_xlfn.XLOOKUP($B115,'41'!$B:$B,'41'!T:T,)</f>
        <v>2020</v>
      </c>
      <c r="U115" s="40" t="str">
        <f>_xlfn.XLOOKUP($B115,'41'!$B:$B,'41'!U:U,)</f>
        <v xml:space="preserve">England </v>
      </c>
      <c r="V115" s="40" t="str">
        <f>_xlfn.XLOOKUP($B115,'41'!$B:$B,'41'!V:V,)</f>
        <v xml:space="preserve">England </v>
      </c>
      <c r="W115" s="40">
        <f>_xlfn.XLOOKUP($B115,'41'!$B:$B,'41'!W:W,)</f>
        <v>0</v>
      </c>
    </row>
    <row r="116" spans="2:23">
      <c r="B116" s="40" t="s">
        <v>3650</v>
      </c>
      <c r="C116" s="40" t="str">
        <f>_xlfn.XLOOKUP($B116,'41'!$B:$B,'41'!C:C,)</f>
        <v>Enabling growth</v>
      </c>
      <c r="D116" s="40" t="str">
        <f>_xlfn.XLOOKUP($B116,'41'!$B:$B,'41'!D:D,)</f>
        <v xml:space="preserve">Enabling industrial development - East </v>
      </c>
      <c r="E116" s="40" t="str">
        <f>_xlfn.XLOOKUP($B116,'41'!$B:$B,'41'!E:E,)</f>
        <v>Local economy</v>
      </c>
      <c r="F116" s="40">
        <f>_xlfn.XLOOKUP($B116,'41'!$B:$B,'41'!F:F,)</f>
        <v>2020</v>
      </c>
      <c r="G116" s="40">
        <f>_xlfn.XLOOKUP($B116,'41'!$B:$B,'41'!G:G,)</f>
        <v>2019</v>
      </c>
      <c r="H116" s="40">
        <f>_xlfn.XLOOKUP($B116,'41'!$B:$B,'41'!H:H,)</f>
        <v>2023</v>
      </c>
      <c r="I116" s="40">
        <f>_xlfn.XLOOKUP($B116,'41'!$B:$B,'41'!I:I,)</f>
        <v>84.587599999999995</v>
      </c>
      <c r="J116" s="40">
        <f>_xlfn.XLOOKUP($B116,'41'!$B:$B,'41'!J:J,)</f>
        <v>100</v>
      </c>
      <c r="K116" s="629">
        <f>_xlfn.XLOOKUP($B116,'41'!$B:$B,'41'!K:K,)</f>
        <v>-845700</v>
      </c>
      <c r="L116" s="629">
        <f>_xlfn.XLOOKUP($B116,'41'!$B:$B,'41'!L:L,)</f>
        <v>-999791.93167792924</v>
      </c>
      <c r="M116" s="40" t="str">
        <f>_xlfn.XLOOKUP($B116,'41'!$B:$B,'41'!M:M,)</f>
        <v>Uplift</v>
      </c>
      <c r="N116" s="326">
        <f>_xlfn.XLOOKUP($B116,'41'!$B:$B,'41'!N:N,)</f>
        <v>2.5714285714285698</v>
      </c>
      <c r="O116" s="40" t="str">
        <f>_xlfn.XLOOKUP($B116,'41'!$B:$B,'41'!O:O,)</f>
        <v>Yes</v>
      </c>
      <c r="P116" s="40" t="str">
        <f>_xlfn.XLOOKUP($B116,'41'!$B:$B,'41'!P:P,)</f>
        <v>UK government guidance and data with accompanying high confidence score</v>
      </c>
      <c r="Q116" s="40">
        <f>_xlfn.XLOOKUP($B116,'41'!$B:$B,'41'!Q:Q,)</f>
        <v>114</v>
      </c>
      <c r="R116" s="40" t="str">
        <f>_xlfn.XLOOKUP($B116,'41'!$B:$B,'41'!R:R,)</f>
        <v>ONS (2020) Land value estimates for policy appraisal 2019</v>
      </c>
      <c r="S116" s="40" t="str">
        <f>_xlfn.XLOOKUP($B116,'41'!$B:$B,'41'!S:S,)</f>
        <v xml:space="preserve"> </v>
      </c>
      <c r="T116" s="40">
        <f>_xlfn.XLOOKUP($B116,'41'!$B:$B,'41'!T:T,)</f>
        <v>2020</v>
      </c>
      <c r="U116" s="40" t="str">
        <f>_xlfn.XLOOKUP($B116,'41'!$B:$B,'41'!U:U,)</f>
        <v xml:space="preserve">England </v>
      </c>
      <c r="V116" s="40" t="str">
        <f>_xlfn.XLOOKUP($B116,'41'!$B:$B,'41'!V:V,)</f>
        <v xml:space="preserve">England </v>
      </c>
      <c r="W116" s="40">
        <f>_xlfn.XLOOKUP($B116,'41'!$B:$B,'41'!W:W,)</f>
        <v>0</v>
      </c>
    </row>
    <row r="117" spans="2:23">
      <c r="B117" s="40" t="s">
        <v>3651</v>
      </c>
      <c r="C117" s="40" t="str">
        <f>_xlfn.XLOOKUP($B117,'41'!$B:$B,'41'!C:C,)</f>
        <v>Enabling growth</v>
      </c>
      <c r="D117" s="40" t="str">
        <f>_xlfn.XLOOKUP($B117,'41'!$B:$B,'41'!D:D,)</f>
        <v>Enabling industrial development - Yorkshire and the Humber</v>
      </c>
      <c r="E117" s="40" t="str">
        <f>_xlfn.XLOOKUP($B117,'41'!$B:$B,'41'!E:E,)</f>
        <v>Local economy</v>
      </c>
      <c r="F117" s="40">
        <f>_xlfn.XLOOKUP($B117,'41'!$B:$B,'41'!F:F,)</f>
        <v>2020</v>
      </c>
      <c r="G117" s="40">
        <f>_xlfn.XLOOKUP($B117,'41'!$B:$B,'41'!G:G,)</f>
        <v>2019</v>
      </c>
      <c r="H117" s="40">
        <f>_xlfn.XLOOKUP($B117,'41'!$B:$B,'41'!H:H,)</f>
        <v>2023</v>
      </c>
      <c r="I117" s="40">
        <f>_xlfn.XLOOKUP($B117,'41'!$B:$B,'41'!I:I,)</f>
        <v>84.587599999999995</v>
      </c>
      <c r="J117" s="40">
        <f>_xlfn.XLOOKUP($B117,'41'!$B:$B,'41'!J:J,)</f>
        <v>100</v>
      </c>
      <c r="K117" s="629">
        <f>_xlfn.XLOOKUP($B117,'41'!$B:$B,'41'!K:K,)</f>
        <v>-488809.52380952379</v>
      </c>
      <c r="L117" s="629">
        <f>_xlfn.XLOOKUP($B117,'41'!$B:$B,'41'!L:L,)</f>
        <v>-577873.73540509935</v>
      </c>
      <c r="M117" s="40" t="str">
        <f>_xlfn.XLOOKUP($B117,'41'!$B:$B,'41'!M:M,)</f>
        <v>Uplift</v>
      </c>
      <c r="N117" s="326">
        <f>_xlfn.XLOOKUP($B117,'41'!$B:$B,'41'!N:N,)</f>
        <v>2.5714285714285698</v>
      </c>
      <c r="O117" s="40" t="str">
        <f>_xlfn.XLOOKUP($B117,'41'!$B:$B,'41'!O:O,)</f>
        <v>Yes</v>
      </c>
      <c r="P117" s="40" t="str">
        <f>_xlfn.XLOOKUP($B117,'41'!$B:$B,'41'!P:P,)</f>
        <v>UK government guidance and data with accompanying high confidence score</v>
      </c>
      <c r="Q117" s="40">
        <f>_xlfn.XLOOKUP($B117,'41'!$B:$B,'41'!Q:Q,)</f>
        <v>114</v>
      </c>
      <c r="R117" s="40" t="str">
        <f>_xlfn.XLOOKUP($B117,'41'!$B:$B,'41'!R:R,)</f>
        <v>ONS (2020) Land value estimates for policy appraisal 2019</v>
      </c>
      <c r="S117" s="40" t="str">
        <f>_xlfn.XLOOKUP($B117,'41'!$B:$B,'41'!S:S,)</f>
        <v xml:space="preserve"> </v>
      </c>
      <c r="T117" s="40">
        <f>_xlfn.XLOOKUP($B117,'41'!$B:$B,'41'!T:T,)</f>
        <v>2020</v>
      </c>
      <c r="U117" s="40" t="str">
        <f>_xlfn.XLOOKUP($B117,'41'!$B:$B,'41'!U:U,)</f>
        <v xml:space="preserve">England </v>
      </c>
      <c r="V117" s="40" t="str">
        <f>_xlfn.XLOOKUP($B117,'41'!$B:$B,'41'!V:V,)</f>
        <v xml:space="preserve">England </v>
      </c>
      <c r="W117" s="40">
        <f>_xlfn.XLOOKUP($B117,'41'!$B:$B,'41'!W:W,)</f>
        <v>0</v>
      </c>
    </row>
    <row r="118" spans="2:23">
      <c r="B118" s="40" t="s">
        <v>3652</v>
      </c>
      <c r="C118" s="40" t="str">
        <f>_xlfn.XLOOKUP($B118,'41'!$B:$B,'41'!C:C,)</f>
        <v>Enabling growth</v>
      </c>
      <c r="D118" s="40" t="str">
        <f>_xlfn.XLOOKUP($B118,'41'!$B:$B,'41'!D:D,)</f>
        <v>Enabling industrial development - North East</v>
      </c>
      <c r="E118" s="40" t="str">
        <f>_xlfn.XLOOKUP($B118,'41'!$B:$B,'41'!E:E,)</f>
        <v>Local economy</v>
      </c>
      <c r="F118" s="40">
        <f>_xlfn.XLOOKUP($B118,'41'!$B:$B,'41'!F:F,)</f>
        <v>2020</v>
      </c>
      <c r="G118" s="40">
        <f>_xlfn.XLOOKUP($B118,'41'!$B:$B,'41'!G:G,)</f>
        <v>2019</v>
      </c>
      <c r="H118" s="40">
        <f>_xlfn.XLOOKUP($B118,'41'!$B:$B,'41'!H:H,)</f>
        <v>2023</v>
      </c>
      <c r="I118" s="40">
        <f>_xlfn.XLOOKUP($B118,'41'!$B:$B,'41'!I:I,)</f>
        <v>84.587599999999995</v>
      </c>
      <c r="J118" s="40">
        <f>_xlfn.XLOOKUP($B118,'41'!$B:$B,'41'!J:J,)</f>
        <v>100</v>
      </c>
      <c r="K118" s="629">
        <f>_xlfn.XLOOKUP($B118,'41'!$B:$B,'41'!K:K,)</f>
        <v>-190416.66666666666</v>
      </c>
      <c r="L118" s="629">
        <f>_xlfn.XLOOKUP($B118,'41'!$B:$B,'41'!L:L,)</f>
        <v>-225111.79731623392</v>
      </c>
      <c r="M118" s="40" t="str">
        <f>_xlfn.XLOOKUP($B118,'41'!$B:$B,'41'!M:M,)</f>
        <v>Uplift</v>
      </c>
      <c r="N118" s="326">
        <f>_xlfn.XLOOKUP($B118,'41'!$B:$B,'41'!N:N,)</f>
        <v>2.5714285714285698</v>
      </c>
      <c r="O118" s="40" t="str">
        <f>_xlfn.XLOOKUP($B118,'41'!$B:$B,'41'!O:O,)</f>
        <v>Yes</v>
      </c>
      <c r="P118" s="40" t="str">
        <f>_xlfn.XLOOKUP($B118,'41'!$B:$B,'41'!P:P,)</f>
        <v>UK government guidance and data with accompanying high confidence score</v>
      </c>
      <c r="Q118" s="40">
        <f>_xlfn.XLOOKUP($B118,'41'!$B:$B,'41'!Q:Q,)</f>
        <v>114</v>
      </c>
      <c r="R118" s="40" t="str">
        <f>_xlfn.XLOOKUP($B118,'41'!$B:$B,'41'!R:R,)</f>
        <v>ONS (2020) Land value estimates for policy appraisal 2019</v>
      </c>
      <c r="S118" s="40" t="str">
        <f>_xlfn.XLOOKUP($B118,'41'!$B:$B,'41'!S:S,)</f>
        <v xml:space="preserve"> </v>
      </c>
      <c r="T118" s="40">
        <f>_xlfn.XLOOKUP($B118,'41'!$B:$B,'41'!T:T,)</f>
        <v>2020</v>
      </c>
      <c r="U118" s="40" t="str">
        <f>_xlfn.XLOOKUP($B118,'41'!$B:$B,'41'!U:U,)</f>
        <v xml:space="preserve">England </v>
      </c>
      <c r="V118" s="40" t="str">
        <f>_xlfn.XLOOKUP($B118,'41'!$B:$B,'41'!V:V,)</f>
        <v xml:space="preserve">England </v>
      </c>
      <c r="W118" s="40">
        <f>_xlfn.XLOOKUP($B118,'41'!$B:$B,'41'!W:W,)</f>
        <v>0</v>
      </c>
    </row>
    <row r="119" spans="2:23">
      <c r="B119" s="40" t="s">
        <v>3653</v>
      </c>
      <c r="C119" s="40" t="str">
        <f>_xlfn.XLOOKUP($B119,'41'!$B:$B,'41'!C:C,)</f>
        <v>Enabling growth</v>
      </c>
      <c r="D119" s="40" t="str">
        <f>_xlfn.XLOOKUP($B119,'41'!$B:$B,'41'!D:D,)</f>
        <v>Enabling industrial development - North West</v>
      </c>
      <c r="E119" s="40" t="str">
        <f>_xlfn.XLOOKUP($B119,'41'!$B:$B,'41'!E:E,)</f>
        <v>Local economy</v>
      </c>
      <c r="F119" s="40">
        <f>_xlfn.XLOOKUP($B119,'41'!$B:$B,'41'!F:F,)</f>
        <v>2020</v>
      </c>
      <c r="G119" s="40">
        <f>_xlfn.XLOOKUP($B119,'41'!$B:$B,'41'!G:G,)</f>
        <v>2019</v>
      </c>
      <c r="H119" s="40">
        <f>_xlfn.XLOOKUP($B119,'41'!$B:$B,'41'!H:H,)</f>
        <v>2023</v>
      </c>
      <c r="I119" s="40">
        <f>_xlfn.XLOOKUP($B119,'41'!$B:$B,'41'!I:I,)</f>
        <v>84.587599999999995</v>
      </c>
      <c r="J119" s="40">
        <f>_xlfn.XLOOKUP($B119,'41'!$B:$B,'41'!J:J,)</f>
        <v>100</v>
      </c>
      <c r="K119" s="629">
        <f>_xlfn.XLOOKUP($B119,'41'!$B:$B,'41'!K:K,)</f>
        <v>-467179.48717948719</v>
      </c>
      <c r="L119" s="629">
        <f>_xlfn.XLOOKUP($B119,'41'!$B:$B,'41'!L:L,)</f>
        <v>-552302.56820087961</v>
      </c>
      <c r="M119" s="40" t="str">
        <f>_xlfn.XLOOKUP($B119,'41'!$B:$B,'41'!M:M,)</f>
        <v>Uplift</v>
      </c>
      <c r="N119" s="326">
        <f>_xlfn.XLOOKUP($B119,'41'!$B:$B,'41'!N:N,)</f>
        <v>2.5714285714285698</v>
      </c>
      <c r="O119" s="40" t="str">
        <f>_xlfn.XLOOKUP($B119,'41'!$B:$B,'41'!O:O,)</f>
        <v>Yes</v>
      </c>
      <c r="P119" s="40" t="str">
        <f>_xlfn.XLOOKUP($B119,'41'!$B:$B,'41'!P:P,)</f>
        <v>UK government guidance and data with accompanying high confidence score</v>
      </c>
      <c r="Q119" s="40">
        <f>_xlfn.XLOOKUP($B119,'41'!$B:$B,'41'!Q:Q,)</f>
        <v>114</v>
      </c>
      <c r="R119" s="40" t="str">
        <f>_xlfn.XLOOKUP($B119,'41'!$B:$B,'41'!R:R,)</f>
        <v>ONS (2020) Land value estimates for policy appraisal 2019</v>
      </c>
      <c r="S119" s="40" t="str">
        <f>_xlfn.XLOOKUP($B119,'41'!$B:$B,'41'!S:S,)</f>
        <v xml:space="preserve"> </v>
      </c>
      <c r="T119" s="40">
        <f>_xlfn.XLOOKUP($B119,'41'!$B:$B,'41'!T:T,)</f>
        <v>2020</v>
      </c>
      <c r="U119" s="40" t="str">
        <f>_xlfn.XLOOKUP($B119,'41'!$B:$B,'41'!U:U,)</f>
        <v xml:space="preserve">England </v>
      </c>
      <c r="V119" s="40" t="str">
        <f>_xlfn.XLOOKUP($B119,'41'!$B:$B,'41'!V:V,)</f>
        <v xml:space="preserve">England </v>
      </c>
      <c r="W119" s="40">
        <f>_xlfn.XLOOKUP($B119,'41'!$B:$B,'41'!W:W,)</f>
        <v>0</v>
      </c>
    </row>
    <row r="120" spans="2:23">
      <c r="B120" s="40" t="s">
        <v>3654</v>
      </c>
      <c r="C120" s="40" t="str">
        <f>_xlfn.XLOOKUP($B120,'41'!$B:$B,'41'!C:C,)</f>
        <v>Enabling growth</v>
      </c>
      <c r="D120" s="40" t="str">
        <f>_xlfn.XLOOKUP($B120,'41'!$B:$B,'41'!D:D,)</f>
        <v>Enabling industrial development - South East</v>
      </c>
      <c r="E120" s="40" t="str">
        <f>_xlfn.XLOOKUP($B120,'41'!$B:$B,'41'!E:E,)</f>
        <v>Local economy</v>
      </c>
      <c r="F120" s="40">
        <f>_xlfn.XLOOKUP($B120,'41'!$B:$B,'41'!F:F,)</f>
        <v>2020</v>
      </c>
      <c r="G120" s="40">
        <f>_xlfn.XLOOKUP($B120,'41'!$B:$B,'41'!G:G,)</f>
        <v>2019</v>
      </c>
      <c r="H120" s="40">
        <f>_xlfn.XLOOKUP($B120,'41'!$B:$B,'41'!H:H,)</f>
        <v>2023</v>
      </c>
      <c r="I120" s="40">
        <f>_xlfn.XLOOKUP($B120,'41'!$B:$B,'41'!I:I,)</f>
        <v>84.587599999999995</v>
      </c>
      <c r="J120" s="40">
        <f>_xlfn.XLOOKUP($B120,'41'!$B:$B,'41'!J:J,)</f>
        <v>100</v>
      </c>
      <c r="K120" s="629">
        <f>_xlfn.XLOOKUP($B120,'41'!$B:$B,'41'!K:K,)</f>
        <v>-1554104.4776119404</v>
      </c>
      <c r="L120" s="629">
        <f>_xlfn.XLOOKUP($B120,'41'!$B:$B,'41'!L:L,)</f>
        <v>-1837272.221474472</v>
      </c>
      <c r="M120" s="40" t="str">
        <f>_xlfn.XLOOKUP($B120,'41'!$B:$B,'41'!M:M,)</f>
        <v>Uplift</v>
      </c>
      <c r="N120" s="326">
        <f>_xlfn.XLOOKUP($B120,'41'!$B:$B,'41'!N:N,)</f>
        <v>2.5714285714285698</v>
      </c>
      <c r="O120" s="40" t="str">
        <f>_xlfn.XLOOKUP($B120,'41'!$B:$B,'41'!O:O,)</f>
        <v>Yes</v>
      </c>
      <c r="P120" s="40" t="str">
        <f>_xlfn.XLOOKUP($B120,'41'!$B:$B,'41'!P:P,)</f>
        <v>UK government guidance and data with accompanying high confidence score</v>
      </c>
      <c r="Q120" s="40">
        <f>_xlfn.XLOOKUP($B120,'41'!$B:$B,'41'!Q:Q,)</f>
        <v>114</v>
      </c>
      <c r="R120" s="40" t="str">
        <f>_xlfn.XLOOKUP($B120,'41'!$B:$B,'41'!R:R,)</f>
        <v>ONS (2020) Land value estimates for policy appraisal 2019</v>
      </c>
      <c r="S120" s="40" t="str">
        <f>_xlfn.XLOOKUP($B120,'41'!$B:$B,'41'!S:S,)</f>
        <v xml:space="preserve"> </v>
      </c>
      <c r="T120" s="40">
        <f>_xlfn.XLOOKUP($B120,'41'!$B:$B,'41'!T:T,)</f>
        <v>2020</v>
      </c>
      <c r="U120" s="40" t="str">
        <f>_xlfn.XLOOKUP($B120,'41'!$B:$B,'41'!U:U,)</f>
        <v xml:space="preserve">England </v>
      </c>
      <c r="V120" s="40" t="str">
        <f>_xlfn.XLOOKUP($B120,'41'!$B:$B,'41'!V:V,)</f>
        <v xml:space="preserve">England </v>
      </c>
      <c r="W120" s="40">
        <f>_xlfn.XLOOKUP($B120,'41'!$B:$B,'41'!W:W,)</f>
        <v>0</v>
      </c>
    </row>
    <row r="121" spans="2:23">
      <c r="B121" s="40" t="s">
        <v>3655</v>
      </c>
      <c r="C121" s="40" t="str">
        <f>_xlfn.XLOOKUP($B121,'41'!$B:$B,'41'!C:C,)</f>
        <v>Enabling growth</v>
      </c>
      <c r="D121" s="40" t="str">
        <f>_xlfn.XLOOKUP($B121,'41'!$B:$B,'41'!D:D,)</f>
        <v>Enabling industrial development - South West</v>
      </c>
      <c r="E121" s="40" t="str">
        <f>_xlfn.XLOOKUP($B121,'41'!$B:$B,'41'!E:E,)</f>
        <v>Local economy</v>
      </c>
      <c r="F121" s="40">
        <f>_xlfn.XLOOKUP($B121,'41'!$B:$B,'41'!F:F,)</f>
        <v>2020</v>
      </c>
      <c r="G121" s="40">
        <f>_xlfn.XLOOKUP($B121,'41'!$B:$B,'41'!G:G,)</f>
        <v>2019</v>
      </c>
      <c r="H121" s="40">
        <f>_xlfn.XLOOKUP($B121,'41'!$B:$B,'41'!H:H,)</f>
        <v>2023</v>
      </c>
      <c r="I121" s="40">
        <f>_xlfn.XLOOKUP($B121,'41'!$B:$B,'41'!I:I,)</f>
        <v>84.587599999999995</v>
      </c>
      <c r="J121" s="40">
        <f>_xlfn.XLOOKUP($B121,'41'!$B:$B,'41'!J:J,)</f>
        <v>100</v>
      </c>
      <c r="K121" s="629">
        <f>_xlfn.XLOOKUP($B121,'41'!$B:$B,'41'!K:K,)</f>
        <v>-686891.89189189184</v>
      </c>
      <c r="L121" s="629">
        <f>_xlfn.XLOOKUP($B121,'41'!$B:$B,'41'!L:L,)</f>
        <v>-812047.97380690777</v>
      </c>
      <c r="M121" s="40" t="str">
        <f>_xlfn.XLOOKUP($B121,'41'!$B:$B,'41'!M:M,)</f>
        <v>Uplift</v>
      </c>
      <c r="N121" s="326">
        <f>_xlfn.XLOOKUP($B121,'41'!$B:$B,'41'!N:N,)</f>
        <v>2.5714285714285698</v>
      </c>
      <c r="O121" s="40" t="str">
        <f>_xlfn.XLOOKUP($B121,'41'!$B:$B,'41'!O:O,)</f>
        <v>Yes</v>
      </c>
      <c r="P121" s="40" t="str">
        <f>_xlfn.XLOOKUP($B121,'41'!$B:$B,'41'!P:P,)</f>
        <v>UK government guidance and data with accompanying high confidence score</v>
      </c>
      <c r="Q121" s="40">
        <f>_xlfn.XLOOKUP($B121,'41'!$B:$B,'41'!Q:Q,)</f>
        <v>114</v>
      </c>
      <c r="R121" s="40" t="str">
        <f>_xlfn.XLOOKUP($B121,'41'!$B:$B,'41'!R:R,)</f>
        <v>ONS (2020) Land value estimates for policy appraisal 2019</v>
      </c>
      <c r="S121" s="40" t="str">
        <f>_xlfn.XLOOKUP($B121,'41'!$B:$B,'41'!S:S,)</f>
        <v xml:space="preserve"> </v>
      </c>
      <c r="T121" s="40">
        <f>_xlfn.XLOOKUP($B121,'41'!$B:$B,'41'!T:T,)</f>
        <v>2020</v>
      </c>
      <c r="U121" s="40" t="str">
        <f>_xlfn.XLOOKUP($B121,'41'!$B:$B,'41'!U:U,)</f>
        <v xml:space="preserve">England </v>
      </c>
      <c r="V121" s="40" t="str">
        <f>_xlfn.XLOOKUP($B121,'41'!$B:$B,'41'!V:V,)</f>
        <v xml:space="preserve">England </v>
      </c>
      <c r="W121" s="40">
        <f>_xlfn.XLOOKUP($B121,'41'!$B:$B,'41'!W:W,)</f>
        <v>0</v>
      </c>
    </row>
    <row r="122" spans="2:23">
      <c r="B122" s="40" t="s">
        <v>3656</v>
      </c>
      <c r="C122" s="40" t="str">
        <f>_xlfn.XLOOKUP($B122,'41'!$B:$B,'41'!C:C,)</f>
        <v>Enabling growth</v>
      </c>
      <c r="D122" s="40" t="str">
        <f>_xlfn.XLOOKUP($B122,'41'!$B:$B,'41'!D:D,)</f>
        <v>Enabling industrial development - London</v>
      </c>
      <c r="E122" s="40" t="str">
        <f>_xlfn.XLOOKUP($B122,'41'!$B:$B,'41'!E:E,)</f>
        <v>Local economy</v>
      </c>
      <c r="F122" s="40">
        <f>_xlfn.XLOOKUP($B122,'41'!$B:$B,'41'!F:F,)</f>
        <v>2020</v>
      </c>
      <c r="G122" s="40">
        <f>_xlfn.XLOOKUP($B122,'41'!$B:$B,'41'!G:G,)</f>
        <v>2019</v>
      </c>
      <c r="H122" s="40">
        <f>_xlfn.XLOOKUP($B122,'41'!$B:$B,'41'!H:H,)</f>
        <v>2023</v>
      </c>
      <c r="I122" s="40">
        <f>_xlfn.XLOOKUP($B122,'41'!$B:$B,'41'!I:I,)</f>
        <v>84.587599999999995</v>
      </c>
      <c r="J122" s="40">
        <f>_xlfn.XLOOKUP($B122,'41'!$B:$B,'41'!J:J,)</f>
        <v>100</v>
      </c>
      <c r="K122" s="629">
        <f>_xlfn.XLOOKUP($B122,'41'!$B:$B,'41'!K:K,)</f>
        <v>-5083333.333333333</v>
      </c>
      <c r="L122" s="629">
        <f>_xlfn.XLOOKUP($B122,'41'!$B:$B,'41'!L:L,)</f>
        <v>-6009549.0749629186</v>
      </c>
      <c r="M122" s="40" t="str">
        <f>_xlfn.XLOOKUP($B122,'41'!$B:$B,'41'!M:M,)</f>
        <v>Uplift</v>
      </c>
      <c r="N122" s="326">
        <f>_xlfn.XLOOKUP($B122,'41'!$B:$B,'41'!N:N,)</f>
        <v>2.5714285714285698</v>
      </c>
      <c r="O122" s="40" t="str">
        <f>_xlfn.XLOOKUP($B122,'41'!$B:$B,'41'!O:O,)</f>
        <v>Yes</v>
      </c>
      <c r="P122" s="40" t="str">
        <f>_xlfn.XLOOKUP($B122,'41'!$B:$B,'41'!P:P,)</f>
        <v>UK government guidance and data with accompanying high confidence score</v>
      </c>
      <c r="Q122" s="40">
        <f>_xlfn.XLOOKUP($B122,'41'!$B:$B,'41'!Q:Q,)</f>
        <v>114</v>
      </c>
      <c r="R122" s="40" t="str">
        <f>_xlfn.XLOOKUP($B122,'41'!$B:$B,'41'!R:R,)</f>
        <v>ONS (2020) Land value estimates for policy appraisal 2019</v>
      </c>
      <c r="S122" s="40" t="str">
        <f>_xlfn.XLOOKUP($B122,'41'!$B:$B,'41'!S:S,)</f>
        <v xml:space="preserve"> </v>
      </c>
      <c r="T122" s="40">
        <f>_xlfn.XLOOKUP($B122,'41'!$B:$B,'41'!T:T,)</f>
        <v>2020</v>
      </c>
      <c r="U122" s="40" t="str">
        <f>_xlfn.XLOOKUP($B122,'41'!$B:$B,'41'!U:U,)</f>
        <v xml:space="preserve">England </v>
      </c>
      <c r="V122" s="40" t="str">
        <f>_xlfn.XLOOKUP($B122,'41'!$B:$B,'41'!V:V,)</f>
        <v xml:space="preserve">England </v>
      </c>
      <c r="W122" s="40">
        <f>_xlfn.XLOOKUP($B122,'41'!$B:$B,'41'!W:W,)</f>
        <v>0</v>
      </c>
    </row>
    <row r="123" spans="2:23">
      <c r="B123" s="39" t="s">
        <v>1589</v>
      </c>
      <c r="C123" s="40" t="str">
        <f ca="1">_xlfn.XLOOKUP($B123,'17'!$B:$B,'17'!C:C,)</f>
        <v>External Flooding (non-sewer) - surface water</v>
      </c>
      <c r="D123" s="40" t="str">
        <f ca="1">_xlfn.XLOOKUP($B123,'17'!$B:$B,'17'!D:D,)</f>
        <v>External flooding of residential living space</v>
      </c>
      <c r="E123" s="40" t="str">
        <f ca="1">_xlfn.XLOOKUP($B123,'17'!$B:$B,'17'!E:E,)</f>
        <v>GHG</v>
      </c>
      <c r="F123" s="40">
        <f ca="1">_xlfn.XLOOKUP($B123,'17'!$B:$B,'17'!F:F,)</f>
        <v>2020</v>
      </c>
      <c r="G123" s="40">
        <f ca="1">_xlfn.XLOOKUP($B123,'17'!$B:$B,'17'!G:G,)</f>
        <v>2020</v>
      </c>
      <c r="H123" s="40">
        <f ca="1">_xlfn.XLOOKUP($B123,'17'!$B:$B,'17'!H:H,)</f>
        <v>2023</v>
      </c>
      <c r="I123" s="40">
        <f ca="1">_xlfn.XLOOKUP($B123,'17'!$B:$B,'17'!I:I,)</f>
        <v>89.073499999999996</v>
      </c>
      <c r="J123" s="40">
        <f ca="1">_xlfn.XLOOKUP($B123,'17'!$B:$B,'17'!J:J,)</f>
        <v>100</v>
      </c>
      <c r="K123" s="629">
        <f ca="1">_xlfn.XLOOKUP($B123,'17'!$B:$B,'17'!K:K,)</f>
        <v>3.7600000000000002</v>
      </c>
      <c r="L123" s="629">
        <f ca="1">_xlfn.XLOOKUP($B123,'17'!$B:$B,'17'!L:L,)</f>
        <v>4.2212330266577602</v>
      </c>
      <c r="M123" s="40" t="str">
        <f ca="1">_xlfn.XLOOKUP($B123,'17'!$B:$B,'17'!M:M,)</f>
        <v>Abatement cost</v>
      </c>
      <c r="N123" s="326">
        <f ca="1">_xlfn.XLOOKUP($B123,'17'!$B:$B,'17'!N:N,)</f>
        <v>2.8333333333333335</v>
      </c>
      <c r="O123" s="40" t="str">
        <f ca="1">_xlfn.XLOOKUP($B123,'17'!$B:$B,'17'!O:O,)</f>
        <v>Yes</v>
      </c>
      <c r="P123" s="40" t="str">
        <f ca="1">_xlfn.XLOOKUP($B123,'17'!$B:$B,'17'!P:P,)</f>
        <v>Uses UK-specific carbon values and recognised flood damage data</v>
      </c>
      <c r="Q123" s="40">
        <f ca="1">_xlfn.XLOOKUP($B123,'17'!$B:$B,'17'!Q:Q,)</f>
        <v>63</v>
      </c>
      <c r="R123" s="40" t="str">
        <f ca="1">_xlfn.XLOOKUP($B123,'17'!$B:$B,'17'!R:R,)</f>
        <v>EA (2020) Carbonomics report</v>
      </c>
      <c r="S123" s="40" t="str">
        <f ca="1">_xlfn.XLOOKUP($B123,'17'!$B:$B,'17'!S:S,)</f>
        <v>No</v>
      </c>
      <c r="T123" s="40">
        <f ca="1">_xlfn.XLOOKUP($B123,'17'!$B:$B,'17'!T:T,)</f>
        <v>2020</v>
      </c>
      <c r="U123" s="40" t="str">
        <f ca="1">_xlfn.XLOOKUP($B123,'17'!$B:$B,'17'!U:U,)</f>
        <v>UK</v>
      </c>
      <c r="V123" s="40" t="str">
        <f ca="1">_xlfn.XLOOKUP($B123,'17'!$B:$B,'17'!V:V,)</f>
        <v>UK wide</v>
      </c>
      <c r="W123" s="40" t="str">
        <f ca="1">_xlfn.XLOOKUP($B123,'17'!$B:$B,'17'!W:W,)</f>
        <v>/</v>
      </c>
    </row>
    <row r="124" spans="2:23">
      <c r="B124" s="39" t="s">
        <v>1596</v>
      </c>
      <c r="C124" s="40" t="str">
        <f ca="1">_xlfn.XLOOKUP($B124,'17'!$B:$B,'17'!C:C,)</f>
        <v>External Flooding (non-sewer) - surface water</v>
      </c>
      <c r="D124" s="40" t="str">
        <f ca="1">_xlfn.XLOOKUP($B124,'17'!$B:$B,'17'!D:D,)</f>
        <v>External flooding of residential living space</v>
      </c>
      <c r="E124" s="40" t="str">
        <f ca="1">_xlfn.XLOOKUP($B124,'17'!$B:$B,'17'!E:E,)</f>
        <v>Quality of place</v>
      </c>
      <c r="F124" s="40">
        <f ca="1">_xlfn.XLOOKUP($B124,'17'!$B:$B,'17'!F:F,)</f>
        <v>2024</v>
      </c>
      <c r="G124" s="40">
        <f ca="1">_xlfn.XLOOKUP($B124,'17'!$B:$B,'17'!G:G,)</f>
        <v>2024</v>
      </c>
      <c r="H124" s="40">
        <f ca="1">_xlfn.XLOOKUP($B124,'17'!$B:$B,'17'!H:H,)</f>
        <v>2023</v>
      </c>
      <c r="I124" s="40">
        <f ca="1">_xlfn.XLOOKUP($B124,'17'!$B:$B,'17'!I:I,)</f>
        <v>101.52460002617836</v>
      </c>
      <c r="J124" s="40">
        <f ca="1">_xlfn.XLOOKUP($B124,'17'!$B:$B,'17'!J:J,)</f>
        <v>100</v>
      </c>
      <c r="K124" s="629">
        <f ca="1">_xlfn.XLOOKUP($B124,'17'!$B:$B,'17'!K:K,)</f>
        <v>2918</v>
      </c>
      <c r="L124" s="629">
        <f ca="1">_xlfn.XLOOKUP($B124,'17'!$B:$B,'17'!L:L,)</f>
        <v>2874.1802471987939</v>
      </c>
      <c r="M124" s="40" t="str">
        <f ca="1">_xlfn.XLOOKUP($B124,'17'!$B:$B,'17'!M:M,)</f>
        <v>Statistical analysis of historical flood events</v>
      </c>
      <c r="N124" s="326">
        <f ca="1">_xlfn.XLOOKUP($B124,'17'!$B:$B,'17'!N:N,)</f>
        <v>3</v>
      </c>
      <c r="O124" s="40" t="str">
        <f ca="1">_xlfn.XLOOKUP($B124,'17'!$B:$B,'17'!O:O,)</f>
        <v>No</v>
      </c>
      <c r="P124" s="40" t="str">
        <f ca="1">_xlfn.XLOOKUP($B124,'17'!$B:$B,'17'!P:P,)</f>
        <v>These valuations are used in government economic analysis on flooding - funded by DEFRA and utilised by the Environment Agency. However they are not comparable to sewer flooding valuations so are not consistent</v>
      </c>
      <c r="Q124" s="40">
        <f ca="1">_xlfn.XLOOKUP($B124,'17'!$B:$B,'17'!Q:Q,)</f>
        <v>38</v>
      </c>
      <c r="R124" s="40" t="str">
        <f ca="1">_xlfn.XLOOKUP($B124,'17'!$B:$B,'17'!R:R,)</f>
        <v>MCM (2024) MCM Simplified benefit: cost appraisal tool for flood risk management</v>
      </c>
      <c r="S124" s="40" t="str">
        <f ca="1">_xlfn.XLOOKUP($B124,'17'!$B:$B,'17'!S:S,)</f>
        <v>No</v>
      </c>
      <c r="T124" s="40">
        <f ca="1">_xlfn.XLOOKUP($B124,'17'!$B:$B,'17'!T:T,)</f>
        <v>2024</v>
      </c>
      <c r="U124" s="40" t="str">
        <f ca="1">_xlfn.XLOOKUP($B124,'17'!$B:$B,'17'!U:U,)</f>
        <v>UK</v>
      </c>
      <c r="V124" s="40" t="str">
        <f ca="1">_xlfn.XLOOKUP($B124,'17'!$B:$B,'17'!V:V,)</f>
        <v>UK wide</v>
      </c>
      <c r="W124" s="40" t="str">
        <f ca="1">_xlfn.XLOOKUP($B124,'17'!$B:$B,'17'!W:W,)</f>
        <v>Unknown</v>
      </c>
    </row>
    <row r="125" spans="2:23">
      <c r="B125" s="39" t="s">
        <v>1605</v>
      </c>
      <c r="C125" s="40" t="str">
        <f ca="1">_xlfn.XLOOKUP($B125,'17'!$B:$B,'17'!C:C,)</f>
        <v>External Flooding (non-sewer) - surface water</v>
      </c>
      <c r="D125" s="40" t="str">
        <f ca="1">_xlfn.XLOOKUP($B125,'17'!$B:$B,'17'!D:D,)</f>
        <v>External flooding of social infrastructure (e.g. schools, hospitals)</v>
      </c>
      <c r="E125" s="40" t="str">
        <f ca="1">_xlfn.XLOOKUP($B125,'17'!$B:$B,'17'!E:E,)</f>
        <v>Local Economy</v>
      </c>
      <c r="F125" s="40">
        <f ca="1">_xlfn.XLOOKUP($B125,'17'!$B:$B,'17'!F:F,)</f>
        <v>2024</v>
      </c>
      <c r="G125" s="40">
        <f ca="1">_xlfn.XLOOKUP($B125,'17'!$B:$B,'17'!G:G,)</f>
        <v>2024</v>
      </c>
      <c r="H125" s="40">
        <f ca="1">_xlfn.XLOOKUP($B125,'17'!$B:$B,'17'!H:H,)</f>
        <v>2023</v>
      </c>
      <c r="I125" s="40">
        <f ca="1">_xlfn.XLOOKUP($B125,'17'!$B:$B,'17'!I:I,)</f>
        <v>101.52460002617836</v>
      </c>
      <c r="J125" s="40">
        <f ca="1">_xlfn.XLOOKUP($B125,'17'!$B:$B,'17'!J:J,)</f>
        <v>100</v>
      </c>
      <c r="K125" s="629">
        <f ca="1">_xlfn.XLOOKUP($B125,'17'!$B:$B,'17'!K:K,)</f>
        <v>893.49382424671546</v>
      </c>
      <c r="L125" s="629">
        <f ca="1">_xlfn.XLOOKUP($B125,'17'!$B:$B,'17'!L:L,)</f>
        <v>880.07618253736132</v>
      </c>
      <c r="M125" s="40" t="str">
        <f ca="1">_xlfn.XLOOKUP($B125,'17'!$B:$B,'17'!M:M,)</f>
        <v>Statistical analysis of historical flood events</v>
      </c>
      <c r="N125" s="326">
        <f ca="1">_xlfn.XLOOKUP($B125,'17'!$B:$B,'17'!N:N,)</f>
        <v>2.1428571428571401</v>
      </c>
      <c r="O125" s="40" t="str">
        <f ca="1">_xlfn.XLOOKUP($B125,'17'!$B:$B,'17'!O:O,)</f>
        <v>No</v>
      </c>
      <c r="P125" s="40" t="str">
        <f ca="1">_xlfn.XLOOKUP($B125,'17'!$B:$B,'17'!P:P,)</f>
        <v>These valuations are used in government economic analysis on flooding - funded by DEFRA and utilised by the Environment Agency. However they are not comparable to sewer flooding valuations so are not consistent</v>
      </c>
      <c r="Q125" s="40">
        <f ca="1">_xlfn.XLOOKUP($B125,'17'!$B:$B,'17'!Q:Q,)</f>
        <v>38</v>
      </c>
      <c r="R125" s="40" t="str">
        <f ca="1">_xlfn.XLOOKUP($B125,'17'!$B:$B,'17'!R:R,)</f>
        <v>MCM (2024) MCM Simplified benefit: cost appraisal tool for flood risk management</v>
      </c>
      <c r="S125" s="40" t="str">
        <f ca="1">_xlfn.XLOOKUP($B125,'17'!$B:$B,'17'!S:S,)</f>
        <v>No</v>
      </c>
      <c r="T125" s="40">
        <f ca="1">_xlfn.XLOOKUP($B125,'17'!$B:$B,'17'!T:T,)</f>
        <v>2024</v>
      </c>
      <c r="U125" s="40" t="str">
        <f ca="1">_xlfn.XLOOKUP($B125,'17'!$B:$B,'17'!U:U,)</f>
        <v>UK</v>
      </c>
      <c r="V125" s="40" t="str">
        <f ca="1">_xlfn.XLOOKUP($B125,'17'!$B:$B,'17'!V:V,)</f>
        <v>UK wide</v>
      </c>
      <c r="W125" s="40" t="str">
        <f ca="1">_xlfn.XLOOKUP($B125,'17'!$B:$B,'17'!W:W,)</f>
        <v>Unknown</v>
      </c>
    </row>
    <row r="126" spans="2:23">
      <c r="B126" s="39" t="s">
        <v>1606</v>
      </c>
      <c r="C126" s="40" t="str">
        <f ca="1">_xlfn.XLOOKUP($B126,'17'!$B:$B,'17'!C:C,)</f>
        <v>External Flooding (non-sewer) - surface water</v>
      </c>
      <c r="D126" s="40" t="str">
        <f ca="1">_xlfn.XLOOKUP($B126,'17'!$B:$B,'17'!D:D,)</f>
        <v>External flooding of commercial and industrial properties</v>
      </c>
      <c r="E126" s="40" t="str">
        <f ca="1">_xlfn.XLOOKUP($B126,'17'!$B:$B,'17'!E:E,)</f>
        <v>Local Economy</v>
      </c>
      <c r="F126" s="40">
        <f ca="1">_xlfn.XLOOKUP($B126,'17'!$B:$B,'17'!F:F,)</f>
        <v>2024</v>
      </c>
      <c r="G126" s="40">
        <f ca="1">_xlfn.XLOOKUP($B126,'17'!$B:$B,'17'!G:G,)</f>
        <v>2024</v>
      </c>
      <c r="H126" s="40">
        <f ca="1">_xlfn.XLOOKUP($B126,'17'!$B:$B,'17'!H:H,)</f>
        <v>2023</v>
      </c>
      <c r="I126" s="40">
        <f ca="1">_xlfn.XLOOKUP($B126,'17'!$B:$B,'17'!I:I,)</f>
        <v>101.52460002617836</v>
      </c>
      <c r="J126" s="40">
        <f ca="1">_xlfn.XLOOKUP($B126,'17'!$B:$B,'17'!J:J,)</f>
        <v>100</v>
      </c>
      <c r="K126" s="629">
        <f ca="1">_xlfn.XLOOKUP($B126,'17'!$B:$B,'17'!K:K,)</f>
        <v>2013.1334263133426</v>
      </c>
      <c r="L126" s="629">
        <f ca="1">_xlfn.XLOOKUP($B126,'17'!$B:$B,'17'!L:L,)</f>
        <v>1982.9021003719799</v>
      </c>
      <c r="M126" s="40" t="str">
        <f ca="1">_xlfn.XLOOKUP($B126,'17'!$B:$B,'17'!M:M,)</f>
        <v>Statistical analysis of historical flood events</v>
      </c>
      <c r="N126" s="326">
        <f ca="1">_xlfn.XLOOKUP($B126,'17'!$B:$B,'17'!N:N,)</f>
        <v>2.1428571428571401</v>
      </c>
      <c r="O126" s="40" t="str">
        <f ca="1">_xlfn.XLOOKUP($B126,'17'!$B:$B,'17'!O:O,)</f>
        <v>No</v>
      </c>
      <c r="P126" s="40" t="str">
        <f ca="1">_xlfn.XLOOKUP($B126,'17'!$B:$B,'17'!P:P,)</f>
        <v>These valuations are used in government economic analysis on flooding - funded by DEFRA and utilised by the Environment Agency. However they are not comparable to sewer flooding valuations so are not consistent</v>
      </c>
      <c r="Q126" s="40">
        <f ca="1">_xlfn.XLOOKUP($B126,'17'!$B:$B,'17'!Q:Q,)</f>
        <v>38</v>
      </c>
      <c r="R126" s="40" t="str">
        <f ca="1">_xlfn.XLOOKUP($B126,'17'!$B:$B,'17'!R:R,)</f>
        <v>MCM (2024) MCM Simplified benefit: cost appraisal tool for flood risk management</v>
      </c>
      <c r="S126" s="40" t="str">
        <f ca="1">_xlfn.XLOOKUP($B126,'17'!$B:$B,'17'!S:S,)</f>
        <v>No</v>
      </c>
      <c r="T126" s="40">
        <f ca="1">_xlfn.XLOOKUP($B126,'17'!$B:$B,'17'!T:T,)</f>
        <v>2024</v>
      </c>
      <c r="U126" s="40" t="str">
        <f ca="1">_xlfn.XLOOKUP($B126,'17'!$B:$B,'17'!U:U,)</f>
        <v>UK</v>
      </c>
      <c r="V126" s="40" t="str">
        <f ca="1">_xlfn.XLOOKUP($B126,'17'!$B:$B,'17'!V:V,)</f>
        <v>UK wide</v>
      </c>
      <c r="W126" s="40" t="str">
        <f ca="1">_xlfn.XLOOKUP($B126,'17'!$B:$B,'17'!W:W,)</f>
        <v>Unknown</v>
      </c>
    </row>
    <row r="127" spans="2:23">
      <c r="B127" s="39" t="s">
        <v>1613</v>
      </c>
      <c r="C127" s="40" t="str">
        <f ca="1">_xlfn.XLOOKUP($B127,'17'!$B:$B,'17'!C:C,)</f>
        <v>External Flooding (non-sewer) - surface water</v>
      </c>
      <c r="D127" s="40" t="str">
        <f ca="1">_xlfn.XLOOKUP($B127,'17'!$B:$B,'17'!D:D,)</f>
        <v>External flooding of residential living space</v>
      </c>
      <c r="E127" s="40" t="str">
        <f ca="1">_xlfn.XLOOKUP($B127,'17'!$B:$B,'17'!E:E,)</f>
        <v>Health and wellbeing</v>
      </c>
      <c r="F127" s="40">
        <f ca="1">_xlfn.XLOOKUP($B127,'17'!$B:$B,'17'!F:F,)</f>
        <v>2021</v>
      </c>
      <c r="G127" s="40">
        <f ca="1">_xlfn.XLOOKUP($B127,'17'!$B:$B,'17'!G:G,)</f>
        <v>2018</v>
      </c>
      <c r="H127" s="40">
        <f ca="1">_xlfn.XLOOKUP($B127,'17'!$B:$B,'17'!H:H,)</f>
        <v>2023</v>
      </c>
      <c r="I127" s="40">
        <f ca="1">_xlfn.XLOOKUP($B127,'17'!$B:$B,'17'!I:I,)</f>
        <v>82.835999999999999</v>
      </c>
      <c r="J127" s="40">
        <f ca="1">_xlfn.XLOOKUP($B127,'17'!$B:$B,'17'!J:J,)</f>
        <v>100</v>
      </c>
      <c r="K127" s="629">
        <f ca="1">_xlfn.XLOOKUP($B127,'17'!$B:$B,'17'!K:K,)</f>
        <v>583.01084348700601</v>
      </c>
      <c r="L127" s="629">
        <f ca="1">_xlfn.XLOOKUP($B127,'17'!$B:$B,'17'!L:L,)</f>
        <v>703.81337037882804</v>
      </c>
      <c r="M127" s="40" t="str">
        <f ca="1">_xlfn.XLOOKUP($B127,'17'!$B:$B,'17'!M:M,)</f>
        <v>Damage cost</v>
      </c>
      <c r="N127" s="326">
        <f ca="1">_xlfn.XLOOKUP($B127,'17'!$B:$B,'17'!N:N,)</f>
        <v>2.1428571428571401</v>
      </c>
      <c r="O127" s="40" t="str">
        <f ca="1">_xlfn.XLOOKUP($B127,'17'!$B:$B,'17'!O:O,)</f>
        <v>Yes</v>
      </c>
      <c r="P127" s="40" t="str">
        <f ca="1">_xlfn.XLOOKUP($B127,'17'!$B:$B,'17'!P:P,)</f>
        <v xml:space="preserve">The EA value is selected as it is recommended for use by the UK government for calculating flood related damages. </v>
      </c>
      <c r="Q127" s="40">
        <f ca="1">_xlfn.XLOOKUP($B127,'17'!$B:$B,'17'!Q:Q,)</f>
        <v>39</v>
      </c>
      <c r="R127" s="40" t="str">
        <f ca="1">_xlfn.XLOOKUP($B127,'17'!$B:$B,'17'!R:R,)</f>
        <v>Environment Agency (2021) Mental health costs of flooding and erosion</v>
      </c>
      <c r="S127" s="40" t="str">
        <f ca="1">_xlfn.XLOOKUP($B127,'17'!$B:$B,'17'!S:S,)</f>
        <v>No</v>
      </c>
      <c r="T127" s="40">
        <f ca="1">_xlfn.XLOOKUP($B127,'17'!$B:$B,'17'!T:T,)</f>
        <v>2021</v>
      </c>
      <c r="U127" s="40" t="str">
        <f ca="1">_xlfn.XLOOKUP($B127,'17'!$B:$B,'17'!U:U,)</f>
        <v>UK</v>
      </c>
      <c r="V127" s="40" t="str">
        <f ca="1">_xlfn.XLOOKUP($B127,'17'!$B:$B,'17'!V:V,)</f>
        <v>UK</v>
      </c>
      <c r="W127" s="40" t="str">
        <f ca="1">_xlfn.XLOOKUP($B127,'17'!$B:$B,'17'!W:W,)</f>
        <v>Unknown</v>
      </c>
    </row>
    <row r="128" spans="2:23">
      <c r="B128" s="39" t="s">
        <v>1595</v>
      </c>
      <c r="C128" s="40" t="str">
        <f ca="1">_xlfn.XLOOKUP($B128,'17'!$B:$B,'17'!C:C,)</f>
        <v>External Flooding (non-sewer) - surface water</v>
      </c>
      <c r="D128" s="40" t="str">
        <f ca="1">_xlfn.XLOOKUP($B128,'17'!$B:$B,'17'!D:D,)</f>
        <v>External flooding of residential living space</v>
      </c>
      <c r="E128" s="40" t="str">
        <f ca="1">_xlfn.XLOOKUP($B128,'17'!$B:$B,'17'!E:E,)</f>
        <v>Quality of place</v>
      </c>
      <c r="F128" s="40">
        <f ca="1">_xlfn.XLOOKUP($B128,'17'!$B:$B,'17'!F:F,)</f>
        <v>2023</v>
      </c>
      <c r="G128" s="40">
        <f ca="1">_xlfn.XLOOKUP($B128,'17'!$B:$B,'17'!G:G,)</f>
        <v>2023</v>
      </c>
      <c r="H128" s="40">
        <f ca="1">_xlfn.XLOOKUP($B128,'17'!$B:$B,'17'!H:H,)</f>
        <v>2023</v>
      </c>
      <c r="I128" s="40">
        <f ca="1">_xlfn.XLOOKUP($B128,'17'!$B:$B,'17'!I:I,)</f>
        <v>100</v>
      </c>
      <c r="J128" s="40">
        <f ca="1">_xlfn.XLOOKUP($B128,'17'!$B:$B,'17'!J:J,)</f>
        <v>100</v>
      </c>
      <c r="K128" s="629">
        <f ca="1">_xlfn.XLOOKUP($B128,'17'!$B:$B,'17'!K:K,)</f>
        <v>122.28833556490882</v>
      </c>
      <c r="L128" s="629">
        <f ca="1">_xlfn.XLOOKUP($B128,'17'!$B:$B,'17'!L:L,)</f>
        <v>122.28833556490882</v>
      </c>
      <c r="M128" s="40" t="str">
        <f ca="1">_xlfn.XLOOKUP($B128,'17'!$B:$B,'17'!M:M,)</f>
        <v>WTA scaled</v>
      </c>
      <c r="N128" s="326">
        <f ca="1">_xlfn.XLOOKUP($B128,'17'!$B:$B,'17'!N:N,)</f>
        <v>2.5714285714285698</v>
      </c>
      <c r="O128" s="40" t="str">
        <f ca="1">_xlfn.XLOOKUP($B128,'17'!$B:$B,'17'!O:O,)</f>
        <v>Yes</v>
      </c>
      <c r="P128" s="40" t="str">
        <f ca="1">_xlfn.XLOOKUP($B128,'17'!$B:$B,'17'!P:P,)</f>
        <v>Consistent with sewer flooding valuations and use of Ofwat study</v>
      </c>
      <c r="Q128" s="40">
        <f ca="1">_xlfn.XLOOKUP($B128,'17'!$B:$B,'17'!Q:Q,)</f>
        <v>16</v>
      </c>
      <c r="R128" s="40" t="str">
        <f ca="1">_xlfn.XLOOKUP($B128,'17'!$B:$B,'17'!R:R,)</f>
        <v>Ofwat (2023) PR24: Using collaborative customer research to set outcome delivery incentive rates</v>
      </c>
      <c r="S128" s="40">
        <f ca="1">_xlfn.XLOOKUP($B128,'17'!$B:$B,'17'!S:S,)</f>
        <v>0</v>
      </c>
      <c r="T128" s="40">
        <f ca="1">_xlfn.XLOOKUP($B128,'17'!$B:$B,'17'!T:T,)</f>
        <v>2023</v>
      </c>
      <c r="U128" s="40" t="str">
        <f ca="1">_xlfn.XLOOKUP($B128,'17'!$B:$B,'17'!U:U,)</f>
        <v>England and Wales</v>
      </c>
      <c r="V128" s="40" t="str">
        <f ca="1">_xlfn.XLOOKUP($B128,'17'!$B:$B,'17'!V:V,)</f>
        <v>England and Wales</v>
      </c>
      <c r="W128" s="40">
        <f ca="1">_xlfn.XLOOKUP($B128,'17'!$B:$B,'17'!W:W,)</f>
        <v>0</v>
      </c>
    </row>
    <row r="129" spans="2:23">
      <c r="B129" s="39" t="s">
        <v>1603</v>
      </c>
      <c r="C129" s="40" t="str">
        <f ca="1">_xlfn.XLOOKUP($B129,'17'!$B:$B,'17'!C:C,)</f>
        <v>External Flooding (non-sewer) - surface water</v>
      </c>
      <c r="D129" s="40" t="str">
        <f ca="1">_xlfn.XLOOKUP($B129,'17'!$B:$B,'17'!D:D,)</f>
        <v>External flooding of social infrastructure (e.g. schools, hospitals)</v>
      </c>
      <c r="E129" s="40" t="str">
        <f ca="1">_xlfn.XLOOKUP($B129,'17'!$B:$B,'17'!E:E,)</f>
        <v>Local Economy</v>
      </c>
      <c r="F129" s="40">
        <f ca="1">_xlfn.XLOOKUP($B129,'17'!$B:$B,'17'!F:F,)</f>
        <v>2023</v>
      </c>
      <c r="G129" s="40">
        <f ca="1">_xlfn.XLOOKUP($B129,'17'!$B:$B,'17'!G:G,)</f>
        <v>2023</v>
      </c>
      <c r="H129" s="40">
        <f ca="1">_xlfn.XLOOKUP($B129,'17'!$B:$B,'17'!H:H,)</f>
        <v>2023</v>
      </c>
      <c r="I129" s="40">
        <f ca="1">_xlfn.XLOOKUP($B129,'17'!$B:$B,'17'!I:I,)</f>
        <v>100</v>
      </c>
      <c r="J129" s="40">
        <f ca="1">_xlfn.XLOOKUP($B129,'17'!$B:$B,'17'!J:J,)</f>
        <v>100</v>
      </c>
      <c r="K129" s="629">
        <f ca="1">_xlfn.XLOOKUP($B129,'17'!$B:$B,'17'!K:K,)</f>
        <v>12590.154825306667</v>
      </c>
      <c r="L129" s="629">
        <f ca="1">_xlfn.XLOOKUP($B129,'17'!$B:$B,'17'!L:L,)</f>
        <v>12590.154825306667</v>
      </c>
      <c r="M129" s="40" t="str">
        <f ca="1">_xlfn.XLOOKUP($B129,'17'!$B:$B,'17'!M:M,)</f>
        <v>WTA scaled</v>
      </c>
      <c r="N129" s="326">
        <f ca="1">_xlfn.XLOOKUP($B129,'17'!$B:$B,'17'!N:N,)</f>
        <v>2.5714285714285698</v>
      </c>
      <c r="O129" s="40" t="str">
        <f ca="1">_xlfn.XLOOKUP($B129,'17'!$B:$B,'17'!O:O,)</f>
        <v>Yes</v>
      </c>
      <c r="P129" s="40" t="str">
        <f ca="1">_xlfn.XLOOKUP($B129,'17'!$B:$B,'17'!P:P,)</f>
        <v>Consistent with sewer flooding valuations and use of Ofwat study</v>
      </c>
      <c r="Q129" s="40">
        <f ca="1">_xlfn.XLOOKUP($B129,'17'!$B:$B,'17'!Q:Q,)</f>
        <v>16</v>
      </c>
      <c r="R129" s="40" t="str">
        <f ca="1">_xlfn.XLOOKUP($B129,'17'!$B:$B,'17'!R:R,)</f>
        <v>Ofwat (2023) PR24: Using collaborative customer research to set outcome delivery incentive rates</v>
      </c>
      <c r="S129" s="40">
        <f ca="1">_xlfn.XLOOKUP($B129,'17'!$B:$B,'17'!S:S,)</f>
        <v>0</v>
      </c>
      <c r="T129" s="40">
        <f ca="1">_xlfn.XLOOKUP($B129,'17'!$B:$B,'17'!T:T,)</f>
        <v>2023</v>
      </c>
      <c r="U129" s="40" t="str">
        <f ca="1">_xlfn.XLOOKUP($B129,'17'!$B:$B,'17'!U:U,)</f>
        <v>England and Wales</v>
      </c>
      <c r="V129" s="40" t="str">
        <f ca="1">_xlfn.XLOOKUP($B129,'17'!$B:$B,'17'!V:V,)</f>
        <v>England and Wales</v>
      </c>
      <c r="W129" s="40">
        <f ca="1">_xlfn.XLOOKUP($B129,'17'!$B:$B,'17'!W:W,)</f>
        <v>0</v>
      </c>
    </row>
    <row r="130" spans="2:23">
      <c r="B130" s="39" t="s">
        <v>1604</v>
      </c>
      <c r="C130" s="40" t="str">
        <f ca="1">_xlfn.XLOOKUP($B130,'17'!$B:$B,'17'!C:C,)</f>
        <v>External Flooding (non-sewer) - surface water</v>
      </c>
      <c r="D130" s="40" t="str">
        <f ca="1">_xlfn.XLOOKUP($B130,'17'!$B:$B,'17'!D:D,)</f>
        <v>External flooding of commercial and industrial properties</v>
      </c>
      <c r="E130" s="40" t="str">
        <f ca="1">_xlfn.XLOOKUP($B130,'17'!$B:$B,'17'!E:E,)</f>
        <v>Local Economy</v>
      </c>
      <c r="F130" s="40">
        <f ca="1">_xlfn.XLOOKUP($B130,'17'!$B:$B,'17'!F:F,)</f>
        <v>2023</v>
      </c>
      <c r="G130" s="40">
        <f ca="1">_xlfn.XLOOKUP($B130,'17'!$B:$B,'17'!G:G,)</f>
        <v>2023</v>
      </c>
      <c r="H130" s="40">
        <f ca="1">_xlfn.XLOOKUP($B130,'17'!$B:$B,'17'!H:H,)</f>
        <v>2023</v>
      </c>
      <c r="I130" s="40">
        <f ca="1">_xlfn.XLOOKUP($B130,'17'!$B:$B,'17'!I:I,)</f>
        <v>100</v>
      </c>
      <c r="J130" s="40">
        <f ca="1">_xlfn.XLOOKUP($B130,'17'!$B:$B,'17'!J:J,)</f>
        <v>100</v>
      </c>
      <c r="K130" s="629">
        <f ca="1">_xlfn.XLOOKUP($B130,'17'!$B:$B,'17'!K:K,)</f>
        <v>12590.154825306667</v>
      </c>
      <c r="L130" s="629">
        <f ca="1">_xlfn.XLOOKUP($B130,'17'!$B:$B,'17'!L:L,)</f>
        <v>12590.154825306667</v>
      </c>
      <c r="M130" s="40" t="str">
        <f ca="1">_xlfn.XLOOKUP($B130,'17'!$B:$B,'17'!M:M,)</f>
        <v>WTA scaled</v>
      </c>
      <c r="N130" s="326">
        <f ca="1">_xlfn.XLOOKUP($B130,'17'!$B:$B,'17'!N:N,)</f>
        <v>2.5714285714285698</v>
      </c>
      <c r="O130" s="40" t="str">
        <f ca="1">_xlfn.XLOOKUP($B130,'17'!$B:$B,'17'!O:O,)</f>
        <v>Yes</v>
      </c>
      <c r="P130" s="40" t="str">
        <f ca="1">_xlfn.XLOOKUP($B130,'17'!$B:$B,'17'!P:P,)</f>
        <v>Consistent with sewer flooding valuations and use of Ofwat study</v>
      </c>
      <c r="Q130" s="40">
        <f ca="1">_xlfn.XLOOKUP($B130,'17'!$B:$B,'17'!Q:Q,)</f>
        <v>16</v>
      </c>
      <c r="R130" s="40" t="str">
        <f ca="1">_xlfn.XLOOKUP($B130,'17'!$B:$B,'17'!R:R,)</f>
        <v>Ofwat (2023) PR24: Using collaborative customer research to set outcome delivery incentive rates</v>
      </c>
      <c r="S130" s="40">
        <f ca="1">_xlfn.XLOOKUP($B130,'17'!$B:$B,'17'!S:S,)</f>
        <v>0</v>
      </c>
      <c r="T130" s="40">
        <f ca="1">_xlfn.XLOOKUP($B130,'17'!$B:$B,'17'!T:T,)</f>
        <v>2023</v>
      </c>
      <c r="U130" s="40" t="str">
        <f ca="1">_xlfn.XLOOKUP($B130,'17'!$B:$B,'17'!U:U,)</f>
        <v>England and Wales</v>
      </c>
      <c r="V130" s="40" t="str">
        <f ca="1">_xlfn.XLOOKUP($B130,'17'!$B:$B,'17'!V:V,)</f>
        <v>England and Wales</v>
      </c>
      <c r="W130" s="40">
        <f ca="1">_xlfn.XLOOKUP($B130,'17'!$B:$B,'17'!W:W,)</f>
        <v>0</v>
      </c>
    </row>
    <row r="131" spans="2:23">
      <c r="B131" s="39" t="s">
        <v>1436</v>
      </c>
      <c r="C131" s="40" t="str">
        <f>_xlfn.XLOOKUP($B131,'15'!$B:$B,'15'!C:C,)</f>
        <v>External sewer flooding</v>
      </c>
      <c r="D131" s="40" t="str">
        <f>_xlfn.XLOOKUP($B131,'15'!$B:$B,'15'!D:D,)</f>
        <v>Hydraulic - External flooding of residential properties</v>
      </c>
      <c r="E131" s="40" t="str">
        <f>_xlfn.XLOOKUP($B131,'15'!$B:$B,'15'!E:E,)</f>
        <v>GHG</v>
      </c>
      <c r="F131" s="40">
        <f>_xlfn.XLOOKUP($B131,'15'!$B:$B,'15'!F:F,)</f>
        <v>2020</v>
      </c>
      <c r="G131" s="40">
        <f>_xlfn.XLOOKUP($B131,'15'!$B:$B,'15'!G:G,)</f>
        <v>2020</v>
      </c>
      <c r="H131" s="40">
        <f>_xlfn.XLOOKUP($B131,'15'!$B:$B,'15'!H:H,)</f>
        <v>2023</v>
      </c>
      <c r="I131" s="40">
        <f>_xlfn.XLOOKUP($B131,'15'!$B:$B,'15'!I:I,)</f>
        <v>89.073499999999996</v>
      </c>
      <c r="J131" s="40">
        <f>_xlfn.XLOOKUP($B131,'15'!$B:$B,'15'!J:J,)</f>
        <v>100</v>
      </c>
      <c r="K131" s="629">
        <f ca="1">_xlfn.XLOOKUP($B131,'15'!$B:$B,'15'!K:K,)</f>
        <v>3.7600000000000002</v>
      </c>
      <c r="L131" s="629">
        <f ca="1">_xlfn.XLOOKUP($B131,'15'!$B:$B,'15'!L:L,)</f>
        <v>4.2212330266577602</v>
      </c>
      <c r="M131" s="40" t="str">
        <f>_xlfn.XLOOKUP($B131,'15'!$B:$B,'15'!M:M,)</f>
        <v>Abatement cost</v>
      </c>
      <c r="N131" s="326">
        <f>_xlfn.XLOOKUP($B131,'15'!$B:$B,'15'!N:N,)</f>
        <v>3</v>
      </c>
      <c r="O131" s="40" t="str">
        <f>_xlfn.XLOOKUP($B131,'15'!$B:$B,'15'!O:O,)</f>
        <v>Yes</v>
      </c>
      <c r="P131" s="40">
        <f>_xlfn.XLOOKUP($B131,'15'!$B:$B,'15'!P:P,)</f>
        <v>0</v>
      </c>
      <c r="Q131" s="40">
        <f>_xlfn.XLOOKUP($B131,'15'!$B:$B,'15'!Q:Q,)</f>
        <v>63</v>
      </c>
      <c r="R131" s="40" t="str">
        <f>_xlfn.XLOOKUP($B131,'15'!$B:$B,'15'!R:R,)</f>
        <v>EA (2020) Carbonomics report</v>
      </c>
      <c r="S131" s="40">
        <f>_xlfn.XLOOKUP($B131,'15'!$B:$B,'15'!S:S,)</f>
        <v>0</v>
      </c>
      <c r="T131" s="40">
        <f>_xlfn.XLOOKUP($B131,'15'!$B:$B,'15'!T:T,)</f>
        <v>2020</v>
      </c>
      <c r="U131" s="40" t="str">
        <f>_xlfn.XLOOKUP($B131,'15'!$B:$B,'15'!U:U,)</f>
        <v>UK</v>
      </c>
      <c r="V131" s="40" t="str">
        <f>_xlfn.XLOOKUP($B131,'15'!$B:$B,'15'!V:V,)</f>
        <v>UK</v>
      </c>
      <c r="W131" s="40">
        <f>_xlfn.XLOOKUP($B131,'15'!$B:$B,'15'!W:W,)</f>
        <v>0</v>
      </c>
    </row>
    <row r="132" spans="2:23">
      <c r="B132" s="39" t="s">
        <v>1437</v>
      </c>
      <c r="C132" s="40" t="str">
        <f>_xlfn.XLOOKUP($B132,'15'!$B:$B,'15'!C:C,)</f>
        <v>External sewer flooding</v>
      </c>
      <c r="D132" s="40" t="str">
        <f>_xlfn.XLOOKUP($B132,'15'!$B:$B,'15'!D:D,)</f>
        <v>FOC - External flooding of residential properties</v>
      </c>
      <c r="E132" s="40" t="str">
        <f>_xlfn.XLOOKUP($B132,'15'!$B:$B,'15'!E:E,)</f>
        <v>GHG</v>
      </c>
      <c r="F132" s="40">
        <f>_xlfn.XLOOKUP($B132,'15'!$B:$B,'15'!F:F,)</f>
        <v>2020</v>
      </c>
      <c r="G132" s="40">
        <f>_xlfn.XLOOKUP($B132,'15'!$B:$B,'15'!G:G,)</f>
        <v>2020</v>
      </c>
      <c r="H132" s="40">
        <f>_xlfn.XLOOKUP($B132,'15'!$B:$B,'15'!H:H,)</f>
        <v>2023</v>
      </c>
      <c r="I132" s="40">
        <f>_xlfn.XLOOKUP($B132,'15'!$B:$B,'15'!I:I,)</f>
        <v>89.073499999999996</v>
      </c>
      <c r="J132" s="40">
        <f>_xlfn.XLOOKUP($B132,'15'!$B:$B,'15'!J:J,)</f>
        <v>100</v>
      </c>
      <c r="K132" s="629">
        <f ca="1">_xlfn.XLOOKUP($B132,'15'!$B:$B,'15'!K:K,)</f>
        <v>3.7600000000000002</v>
      </c>
      <c r="L132" s="629">
        <f ca="1">_xlfn.XLOOKUP($B132,'15'!$B:$B,'15'!L:L,)</f>
        <v>4.2212330266577602</v>
      </c>
      <c r="M132" s="40" t="str">
        <f>_xlfn.XLOOKUP($B132,'15'!$B:$B,'15'!M:M,)</f>
        <v>Abatement cost</v>
      </c>
      <c r="N132" s="326">
        <f>_xlfn.XLOOKUP($B132,'15'!$B:$B,'15'!N:N,)</f>
        <v>3</v>
      </c>
      <c r="O132" s="40" t="str">
        <f>_xlfn.XLOOKUP($B132,'15'!$B:$B,'15'!O:O,)</f>
        <v>Yes</v>
      </c>
      <c r="P132" s="40">
        <f>_xlfn.XLOOKUP($B132,'15'!$B:$B,'15'!P:P,)</f>
        <v>0</v>
      </c>
      <c r="Q132" s="40">
        <f>_xlfn.XLOOKUP($B132,'15'!$B:$B,'15'!Q:Q,)</f>
        <v>63</v>
      </c>
      <c r="R132" s="40" t="str">
        <f>_xlfn.XLOOKUP($B132,'15'!$B:$B,'15'!R:R,)</f>
        <v>EA (2020) Carbonomics report</v>
      </c>
      <c r="S132" s="40">
        <f>_xlfn.XLOOKUP($B132,'15'!$B:$B,'15'!S:S,)</f>
        <v>0</v>
      </c>
      <c r="T132" s="40">
        <f>_xlfn.XLOOKUP($B132,'15'!$B:$B,'15'!T:T,)</f>
        <v>2020</v>
      </c>
      <c r="U132" s="40" t="str">
        <f>_xlfn.XLOOKUP($B132,'15'!$B:$B,'15'!U:U,)</f>
        <v>UK</v>
      </c>
      <c r="V132" s="40" t="str">
        <f>_xlfn.XLOOKUP($B132,'15'!$B:$B,'15'!V:V,)</f>
        <v>UK</v>
      </c>
      <c r="W132" s="40">
        <f>_xlfn.XLOOKUP($B132,'15'!$B:$B,'15'!W:W,)</f>
        <v>0</v>
      </c>
    </row>
    <row r="133" spans="2:23">
      <c r="B133" s="39" t="s">
        <v>1439</v>
      </c>
      <c r="C133" s="40" t="str">
        <f>_xlfn.XLOOKUP($B133,'15'!$B:$B,'15'!C:C,)</f>
        <v>External sewer flooding</v>
      </c>
      <c r="D133" s="40" t="str">
        <f>_xlfn.XLOOKUP($B133,'15'!$B:$B,'15'!D:D,)</f>
        <v>Hydraulic - External flooding of residential properties</v>
      </c>
      <c r="E133" s="40" t="str">
        <f>_xlfn.XLOOKUP($B133,'15'!$B:$B,'15'!E:E,)</f>
        <v>Quality of place</v>
      </c>
      <c r="F133" s="40">
        <f>_xlfn.XLOOKUP($B133,'15'!$B:$B,'15'!F:F,)</f>
        <v>2023</v>
      </c>
      <c r="G133" s="40">
        <f>_xlfn.XLOOKUP($B133,'15'!$B:$B,'15'!G:G,)</f>
        <v>2023</v>
      </c>
      <c r="H133" s="40">
        <f>_xlfn.XLOOKUP($B133,'15'!$B:$B,'15'!H:H,)</f>
        <v>2023</v>
      </c>
      <c r="I133" s="40">
        <f>_xlfn.XLOOKUP($B133,'15'!$B:$B,'15'!I:I,)</f>
        <v>100</v>
      </c>
      <c r="J133" s="40">
        <f>_xlfn.XLOOKUP($B133,'15'!$B:$B,'15'!J:J,)</f>
        <v>100</v>
      </c>
      <c r="K133" s="629">
        <f>_xlfn.XLOOKUP($B133,'15'!$B:$B,'15'!K:K,)</f>
        <v>375</v>
      </c>
      <c r="L133" s="629">
        <f>_xlfn.XLOOKUP($B133,'15'!$B:$B,'15'!L:L,)</f>
        <v>375</v>
      </c>
      <c r="M133" s="40" t="str">
        <f>_xlfn.XLOOKUP($B133,'15'!$B:$B,'15'!M:M,)</f>
        <v>Willingness to Pay</v>
      </c>
      <c r="N133" s="326">
        <f>_xlfn.XLOOKUP($B133,'15'!$B:$B,'15'!N:N,)</f>
        <v>2.6666666666666665</v>
      </c>
      <c r="O133" s="40" t="str">
        <f>_xlfn.XLOOKUP($B133,'15'!$B:$B,'15'!O:O,)</f>
        <v>Yes</v>
      </c>
      <c r="P133" s="40">
        <f>_xlfn.XLOOKUP($B133,'15'!$B:$B,'15'!P:P,)</f>
        <v>0</v>
      </c>
      <c r="Q133" s="40">
        <f>_xlfn.XLOOKUP($B133,'15'!$B:$B,'15'!Q:Q,)</f>
        <v>16</v>
      </c>
      <c r="R133" s="40" t="str">
        <f>_xlfn.XLOOKUP($B133,'15'!$B:$B,'15'!R:R,)</f>
        <v>Ofwat (2023) PR24: Using collaborative customer research to set outcome delivery incentive rates</v>
      </c>
      <c r="S133" s="40">
        <f>_xlfn.XLOOKUP($B133,'15'!$B:$B,'15'!S:S,)</f>
        <v>0</v>
      </c>
      <c r="T133" s="40">
        <f>_xlfn.XLOOKUP($B133,'15'!$B:$B,'15'!T:T,)</f>
        <v>2023</v>
      </c>
      <c r="U133" s="40" t="str">
        <f>_xlfn.XLOOKUP($B133,'15'!$B:$B,'15'!U:U,)</f>
        <v>England and Wales</v>
      </c>
      <c r="V133" s="40" t="str">
        <f>_xlfn.XLOOKUP($B133,'15'!$B:$B,'15'!V:V,)</f>
        <v>England and Wales</v>
      </c>
      <c r="W133" s="40">
        <f>_xlfn.XLOOKUP($B133,'15'!$B:$B,'15'!W:W,)</f>
        <v>0</v>
      </c>
    </row>
    <row r="134" spans="2:23">
      <c r="B134" s="39" t="s">
        <v>1440</v>
      </c>
      <c r="C134" s="40" t="str">
        <f>_xlfn.XLOOKUP($B134,'15'!$B:$B,'15'!C:C,)</f>
        <v>External sewer flooding</v>
      </c>
      <c r="D134" s="40" t="str">
        <f>_xlfn.XLOOKUP($B134,'15'!$B:$B,'15'!D:D,)</f>
        <v>FOC - External flooding of residential properties</v>
      </c>
      <c r="E134" s="40" t="str">
        <f>_xlfn.XLOOKUP($B134,'15'!$B:$B,'15'!E:E,)</f>
        <v>Quality of place</v>
      </c>
      <c r="F134" s="40">
        <f>_xlfn.XLOOKUP($B134,'15'!$B:$B,'15'!F:F,)</f>
        <v>2023</v>
      </c>
      <c r="G134" s="40">
        <f>_xlfn.XLOOKUP($B134,'15'!$B:$B,'15'!G:G,)</f>
        <v>2023</v>
      </c>
      <c r="H134" s="40">
        <f>_xlfn.XLOOKUP($B134,'15'!$B:$B,'15'!H:H,)</f>
        <v>2023</v>
      </c>
      <c r="I134" s="40">
        <f>_xlfn.XLOOKUP($B134,'15'!$B:$B,'15'!I:I,)</f>
        <v>100</v>
      </c>
      <c r="J134" s="40">
        <f>_xlfn.XLOOKUP($B134,'15'!$B:$B,'15'!J:J,)</f>
        <v>100</v>
      </c>
      <c r="K134" s="629">
        <f>_xlfn.XLOOKUP($B134,'15'!$B:$B,'15'!K:K,)</f>
        <v>318</v>
      </c>
      <c r="L134" s="629">
        <f>_xlfn.XLOOKUP($B134,'15'!$B:$B,'15'!L:L,)</f>
        <v>318</v>
      </c>
      <c r="M134" s="40" t="str">
        <f>_xlfn.XLOOKUP($B134,'15'!$B:$B,'15'!M:M,)</f>
        <v>Willingness to Pay</v>
      </c>
      <c r="N134" s="326">
        <f>_xlfn.XLOOKUP($B134,'15'!$B:$B,'15'!N:N,)</f>
        <v>2.6666666666666665</v>
      </c>
      <c r="O134" s="40" t="str">
        <f>_xlfn.XLOOKUP($B134,'15'!$B:$B,'15'!O:O,)</f>
        <v>Yes</v>
      </c>
      <c r="P134" s="40">
        <f>_xlfn.XLOOKUP($B134,'15'!$B:$B,'15'!P:P,)</f>
        <v>0</v>
      </c>
      <c r="Q134" s="40">
        <f>_xlfn.XLOOKUP($B134,'15'!$B:$B,'15'!Q:Q,)</f>
        <v>16</v>
      </c>
      <c r="R134" s="40" t="str">
        <f>_xlfn.XLOOKUP($B134,'15'!$B:$B,'15'!R:R,)</f>
        <v>Ofwat (2023) PR24: Using collaborative customer research to set outcome delivery incentive rates</v>
      </c>
      <c r="S134" s="40">
        <f>_xlfn.XLOOKUP($B134,'15'!$B:$B,'15'!S:S,)</f>
        <v>0</v>
      </c>
      <c r="T134" s="40">
        <f>_xlfn.XLOOKUP($B134,'15'!$B:$B,'15'!T:T,)</f>
        <v>2023</v>
      </c>
      <c r="U134" s="40" t="str">
        <f>_xlfn.XLOOKUP($B134,'15'!$B:$B,'15'!U:U,)</f>
        <v>England and Wales</v>
      </c>
      <c r="V134" s="40" t="str">
        <f>_xlfn.XLOOKUP($B134,'15'!$B:$B,'15'!V:V,)</f>
        <v>England and Wales</v>
      </c>
      <c r="W134" s="40">
        <f>_xlfn.XLOOKUP($B134,'15'!$B:$B,'15'!W:W,)</f>
        <v>0</v>
      </c>
    </row>
    <row r="135" spans="2:23">
      <c r="B135" s="39" t="s">
        <v>1442</v>
      </c>
      <c r="C135" s="40" t="str">
        <f>_xlfn.XLOOKUP($B135,'15'!$B:$B,'15'!C:C,)</f>
        <v>External sewer flooding</v>
      </c>
      <c r="D135" s="40" t="str">
        <f>_xlfn.XLOOKUP($B135,'15'!$B:$B,'15'!D:D,)</f>
        <v>Hydraulic - External flooding of social infrastructure (e.g. schools, hospitals)</v>
      </c>
      <c r="E135" s="40" t="str">
        <f>_xlfn.XLOOKUP($B135,'15'!$B:$B,'15'!E:E,)</f>
        <v>Local economy</v>
      </c>
      <c r="F135" s="40">
        <f>_xlfn.XLOOKUP($B135,'15'!$B:$B,'15'!F:F,)</f>
        <v>2023</v>
      </c>
      <c r="G135" s="40">
        <f>_xlfn.XLOOKUP($B135,'15'!$B:$B,'15'!G:G,)</f>
        <v>2023</v>
      </c>
      <c r="H135" s="40">
        <f>_xlfn.XLOOKUP($B135,'15'!$B:$B,'15'!H:H,)</f>
        <v>2023</v>
      </c>
      <c r="I135" s="40">
        <f>_xlfn.XLOOKUP($B135,'15'!$B:$B,'15'!I:I,)</f>
        <v>100</v>
      </c>
      <c r="J135" s="40">
        <f>_xlfn.XLOOKUP($B135,'15'!$B:$B,'15'!J:J,)</f>
        <v>100</v>
      </c>
      <c r="K135" s="629">
        <f>_xlfn.XLOOKUP($B135,'15'!$B:$B,'15'!K:K,)</f>
        <v>38608</v>
      </c>
      <c r="L135" s="629">
        <f>_xlfn.XLOOKUP($B135,'15'!$B:$B,'15'!L:L,)</f>
        <v>38608</v>
      </c>
      <c r="M135" s="40" t="str">
        <f>_xlfn.XLOOKUP($B135,'15'!$B:$B,'15'!M:M,)</f>
        <v>Willingness to Pay</v>
      </c>
      <c r="N135" s="326">
        <f>_xlfn.XLOOKUP($B135,'15'!$B:$B,'15'!N:N,)</f>
        <v>2.6666666666666665</v>
      </c>
      <c r="O135" s="40" t="str">
        <f>_xlfn.XLOOKUP($B135,'15'!$B:$B,'15'!O:O,)</f>
        <v>Yes</v>
      </c>
      <c r="P135" s="40">
        <f>_xlfn.XLOOKUP($B135,'15'!$B:$B,'15'!P:P,)</f>
        <v>0</v>
      </c>
      <c r="Q135" s="40">
        <f>_xlfn.XLOOKUP($B135,'15'!$B:$B,'15'!Q:Q,)</f>
        <v>16</v>
      </c>
      <c r="R135" s="40" t="str">
        <f>_xlfn.XLOOKUP($B135,'15'!$B:$B,'15'!R:R,)</f>
        <v>Ofwat (2023) PR24: Using collaborative customer research to set outcome delivery incentive rates</v>
      </c>
      <c r="S135" s="40">
        <f>_xlfn.XLOOKUP($B135,'15'!$B:$B,'15'!S:S,)</f>
        <v>0</v>
      </c>
      <c r="T135" s="40">
        <f>_xlfn.XLOOKUP($B135,'15'!$B:$B,'15'!T:T,)</f>
        <v>2023</v>
      </c>
      <c r="U135" s="40" t="str">
        <f>_xlfn.XLOOKUP($B135,'15'!$B:$B,'15'!U:U,)</f>
        <v>England and Wales</v>
      </c>
      <c r="V135" s="40" t="str">
        <f>_xlfn.XLOOKUP($B135,'15'!$B:$B,'15'!V:V,)</f>
        <v>England and Wales</v>
      </c>
      <c r="W135" s="40">
        <f>_xlfn.XLOOKUP($B135,'15'!$B:$B,'15'!W:W,)</f>
        <v>0</v>
      </c>
    </row>
    <row r="136" spans="2:23">
      <c r="B136" s="39" t="s">
        <v>1443</v>
      </c>
      <c r="C136" s="40" t="str">
        <f>_xlfn.XLOOKUP($B136,'15'!$B:$B,'15'!C:C,)</f>
        <v>External sewer flooding</v>
      </c>
      <c r="D136" s="40" t="str">
        <f>_xlfn.XLOOKUP($B136,'15'!$B:$B,'15'!D:D,)</f>
        <v>Hydraulic - External flooding of commercial and industrial properties</v>
      </c>
      <c r="E136" s="40" t="str">
        <f>_xlfn.XLOOKUP($B136,'15'!$B:$B,'15'!E:E,)</f>
        <v>Local economy</v>
      </c>
      <c r="F136" s="40">
        <f>_xlfn.XLOOKUP($B136,'15'!$B:$B,'15'!F:F,)</f>
        <v>2023</v>
      </c>
      <c r="G136" s="40">
        <f>_xlfn.XLOOKUP($B136,'15'!$B:$B,'15'!G:G,)</f>
        <v>2023</v>
      </c>
      <c r="H136" s="40">
        <f>_xlfn.XLOOKUP($B136,'15'!$B:$B,'15'!H:H,)</f>
        <v>2023</v>
      </c>
      <c r="I136" s="40">
        <f>_xlfn.XLOOKUP($B136,'15'!$B:$B,'15'!I:I,)</f>
        <v>100</v>
      </c>
      <c r="J136" s="40">
        <f>_xlfn.XLOOKUP($B136,'15'!$B:$B,'15'!J:J,)</f>
        <v>100</v>
      </c>
      <c r="K136" s="629">
        <f>_xlfn.XLOOKUP($B136,'15'!$B:$B,'15'!K:K,)</f>
        <v>38608</v>
      </c>
      <c r="L136" s="629">
        <f>_xlfn.XLOOKUP($B136,'15'!$B:$B,'15'!L:L,)</f>
        <v>38608</v>
      </c>
      <c r="M136" s="40" t="str">
        <f>_xlfn.XLOOKUP($B136,'15'!$B:$B,'15'!M:M,)</f>
        <v>Willingness to Pay</v>
      </c>
      <c r="N136" s="326">
        <f>_xlfn.XLOOKUP($B136,'15'!$B:$B,'15'!N:N,)</f>
        <v>2.6666666666666665</v>
      </c>
      <c r="O136" s="40" t="str">
        <f>_xlfn.XLOOKUP($B136,'15'!$B:$B,'15'!O:O,)</f>
        <v>Yes</v>
      </c>
      <c r="P136" s="40">
        <f>_xlfn.XLOOKUP($B136,'15'!$B:$B,'15'!P:P,)</f>
        <v>0</v>
      </c>
      <c r="Q136" s="40">
        <f>_xlfn.XLOOKUP($B136,'15'!$B:$B,'15'!Q:Q,)</f>
        <v>16</v>
      </c>
      <c r="R136" s="40" t="str">
        <f>_xlfn.XLOOKUP($B136,'15'!$B:$B,'15'!R:R,)</f>
        <v>Ofwat (2023) PR24: Using collaborative customer research to set outcome delivery incentive rates</v>
      </c>
      <c r="S136" s="40">
        <f>_xlfn.XLOOKUP($B136,'15'!$B:$B,'15'!S:S,)</f>
        <v>0</v>
      </c>
      <c r="T136" s="40">
        <f>_xlfn.XLOOKUP($B136,'15'!$B:$B,'15'!T:T,)</f>
        <v>2023</v>
      </c>
      <c r="U136" s="40" t="str">
        <f>_xlfn.XLOOKUP($B136,'15'!$B:$B,'15'!U:U,)</f>
        <v>England and Wales</v>
      </c>
      <c r="V136" s="40" t="str">
        <f>_xlfn.XLOOKUP($B136,'15'!$B:$B,'15'!V:V,)</f>
        <v>England and Wales</v>
      </c>
      <c r="W136" s="40">
        <f>_xlfn.XLOOKUP($B136,'15'!$B:$B,'15'!W:W,)</f>
        <v>0</v>
      </c>
    </row>
    <row r="137" spans="2:23">
      <c r="B137" s="39" t="s">
        <v>1444</v>
      </c>
      <c r="C137" s="40" t="str">
        <f>_xlfn.XLOOKUP($B137,'15'!$B:$B,'15'!C:C,)</f>
        <v>External sewer flooding</v>
      </c>
      <c r="D137" s="40" t="str">
        <f>_xlfn.XLOOKUP($B137,'15'!$B:$B,'15'!D:D,)</f>
        <v>FOC - External flooding of social infrastructure (e.g. schools, hospitals)</v>
      </c>
      <c r="E137" s="40" t="str">
        <f>_xlfn.XLOOKUP($B137,'15'!$B:$B,'15'!E:E,)</f>
        <v>Local economy</v>
      </c>
      <c r="F137" s="40">
        <f>_xlfn.XLOOKUP($B137,'15'!$B:$B,'15'!F:F,)</f>
        <v>2023</v>
      </c>
      <c r="G137" s="40">
        <f>_xlfn.XLOOKUP($B137,'15'!$B:$B,'15'!G:G,)</f>
        <v>2023</v>
      </c>
      <c r="H137" s="40">
        <f>_xlfn.XLOOKUP($B137,'15'!$B:$B,'15'!H:H,)</f>
        <v>2023</v>
      </c>
      <c r="I137" s="40">
        <f>_xlfn.XLOOKUP($B137,'15'!$B:$B,'15'!I:I,)</f>
        <v>100</v>
      </c>
      <c r="J137" s="40">
        <f>_xlfn.XLOOKUP($B137,'15'!$B:$B,'15'!J:J,)</f>
        <v>100</v>
      </c>
      <c r="K137" s="629">
        <f>_xlfn.XLOOKUP($B137,'15'!$B:$B,'15'!K:K,)</f>
        <v>27371</v>
      </c>
      <c r="L137" s="629">
        <f>_xlfn.XLOOKUP($B137,'15'!$B:$B,'15'!L:L,)</f>
        <v>27371</v>
      </c>
      <c r="M137" s="40" t="str">
        <f>_xlfn.XLOOKUP($B137,'15'!$B:$B,'15'!M:M,)</f>
        <v>Willingness to Pay</v>
      </c>
      <c r="N137" s="326">
        <f>_xlfn.XLOOKUP($B137,'15'!$B:$B,'15'!N:N,)</f>
        <v>2.6666666666666665</v>
      </c>
      <c r="O137" s="40" t="str">
        <f>_xlfn.XLOOKUP($B137,'15'!$B:$B,'15'!O:O,)</f>
        <v>Yes</v>
      </c>
      <c r="P137" s="40">
        <f>_xlfn.XLOOKUP($B137,'15'!$B:$B,'15'!P:P,)</f>
        <v>0</v>
      </c>
      <c r="Q137" s="40">
        <f>_xlfn.XLOOKUP($B137,'15'!$B:$B,'15'!Q:Q,)</f>
        <v>16</v>
      </c>
      <c r="R137" s="40" t="str">
        <f>_xlfn.XLOOKUP($B137,'15'!$B:$B,'15'!R:R,)</f>
        <v>Ofwat (2023) PR24: Using collaborative customer research to set outcome delivery incentive rates</v>
      </c>
      <c r="S137" s="40">
        <f>_xlfn.XLOOKUP($B137,'15'!$B:$B,'15'!S:S,)</f>
        <v>0</v>
      </c>
      <c r="T137" s="40">
        <f>_xlfn.XLOOKUP($B137,'15'!$B:$B,'15'!T:T,)</f>
        <v>2023</v>
      </c>
      <c r="U137" s="40" t="str">
        <f>_xlfn.XLOOKUP($B137,'15'!$B:$B,'15'!U:U,)</f>
        <v>England and Wales</v>
      </c>
      <c r="V137" s="40" t="str">
        <f>_xlfn.XLOOKUP($B137,'15'!$B:$B,'15'!V:V,)</f>
        <v>England and Wales</v>
      </c>
      <c r="W137" s="40">
        <f>_xlfn.XLOOKUP($B137,'15'!$B:$B,'15'!W:W,)</f>
        <v>0</v>
      </c>
    </row>
    <row r="138" spans="2:23">
      <c r="B138" s="39" t="s">
        <v>1445</v>
      </c>
      <c r="C138" s="40" t="str">
        <f>_xlfn.XLOOKUP($B138,'15'!$B:$B,'15'!C:C,)</f>
        <v>External sewer flooding</v>
      </c>
      <c r="D138" s="40" t="str">
        <f>_xlfn.XLOOKUP($B138,'15'!$B:$B,'15'!D:D,)</f>
        <v>FOC - External flooding of commercial and industrial properties</v>
      </c>
      <c r="E138" s="40" t="str">
        <f>_xlfn.XLOOKUP($B138,'15'!$B:$B,'15'!E:E,)</f>
        <v>Local economy</v>
      </c>
      <c r="F138" s="40">
        <f>_xlfn.XLOOKUP($B138,'15'!$B:$B,'15'!F:F,)</f>
        <v>2023</v>
      </c>
      <c r="G138" s="40">
        <f>_xlfn.XLOOKUP($B138,'15'!$B:$B,'15'!G:G,)</f>
        <v>2023</v>
      </c>
      <c r="H138" s="40">
        <f>_xlfn.XLOOKUP($B138,'15'!$B:$B,'15'!H:H,)</f>
        <v>2023</v>
      </c>
      <c r="I138" s="40">
        <f>_xlfn.XLOOKUP($B138,'15'!$B:$B,'15'!I:I,)</f>
        <v>100</v>
      </c>
      <c r="J138" s="40">
        <f>_xlfn.XLOOKUP($B138,'15'!$B:$B,'15'!J:J,)</f>
        <v>100</v>
      </c>
      <c r="K138" s="629">
        <f>_xlfn.XLOOKUP($B138,'15'!$B:$B,'15'!K:K,)</f>
        <v>27371</v>
      </c>
      <c r="L138" s="629">
        <f>_xlfn.XLOOKUP($B138,'15'!$B:$B,'15'!L:L,)</f>
        <v>27371</v>
      </c>
      <c r="M138" s="40" t="str">
        <f>_xlfn.XLOOKUP($B138,'15'!$B:$B,'15'!M:M,)</f>
        <v>Willingness to Pay</v>
      </c>
      <c r="N138" s="326">
        <f>_xlfn.XLOOKUP($B138,'15'!$B:$B,'15'!N:N,)</f>
        <v>2.6666666666666665</v>
      </c>
      <c r="O138" s="40" t="str">
        <f>_xlfn.XLOOKUP($B138,'15'!$B:$B,'15'!O:O,)</f>
        <v>Yes</v>
      </c>
      <c r="P138" s="40">
        <f>_xlfn.XLOOKUP($B138,'15'!$B:$B,'15'!P:P,)</f>
        <v>0</v>
      </c>
      <c r="Q138" s="40">
        <f>_xlfn.XLOOKUP($B138,'15'!$B:$B,'15'!Q:Q,)</f>
        <v>16</v>
      </c>
      <c r="R138" s="40" t="str">
        <f>_xlfn.XLOOKUP($B138,'15'!$B:$B,'15'!R:R,)</f>
        <v>Ofwat (2023) PR24: Using collaborative customer research to set outcome delivery incentive rates</v>
      </c>
      <c r="S138" s="40">
        <f>_xlfn.XLOOKUP($B138,'15'!$B:$B,'15'!S:S,)</f>
        <v>0</v>
      </c>
      <c r="T138" s="40">
        <f>_xlfn.XLOOKUP($B138,'15'!$B:$B,'15'!T:T,)</f>
        <v>2023</v>
      </c>
      <c r="U138" s="40" t="str">
        <f>_xlfn.XLOOKUP($B138,'15'!$B:$B,'15'!U:U,)</f>
        <v>England and Wales</v>
      </c>
      <c r="V138" s="40" t="str">
        <f>_xlfn.XLOOKUP($B138,'15'!$B:$B,'15'!V:V,)</f>
        <v>England and Wales</v>
      </c>
      <c r="W138" s="40">
        <f>_xlfn.XLOOKUP($B138,'15'!$B:$B,'15'!W:W,)</f>
        <v>0</v>
      </c>
    </row>
    <row r="139" spans="2:23">
      <c r="B139" s="39" t="s">
        <v>1453</v>
      </c>
      <c r="C139" s="40" t="str">
        <f>_xlfn.XLOOKUP($B139,'15'!$B:$B,'15'!C:C,)</f>
        <v>External sewer flooding</v>
      </c>
      <c r="D139" s="40" t="str">
        <f>_xlfn.XLOOKUP($B139,'15'!$B:$B,'15'!D:D,)</f>
        <v>Hydraulic - External flooding of residential properties</v>
      </c>
      <c r="E139" s="40" t="str">
        <f>_xlfn.XLOOKUP($B139,'15'!$B:$B,'15'!E:E,)</f>
        <v>Health and wellbeing</v>
      </c>
      <c r="F139" s="40">
        <f>_xlfn.XLOOKUP($B139,'15'!$B:$B,'15'!F:F,)</f>
        <v>2021</v>
      </c>
      <c r="G139" s="40">
        <f>_xlfn.XLOOKUP($B139,'15'!$B:$B,'15'!G:G,)</f>
        <v>2021</v>
      </c>
      <c r="H139" s="40">
        <f>_xlfn.XLOOKUP($B139,'15'!$B:$B,'15'!H:H,)</f>
        <v>2023</v>
      </c>
      <c r="I139" s="40">
        <f>_xlfn.XLOOKUP($B139,'15'!$B:$B,'15'!I:I,)</f>
        <v>88.789299999999997</v>
      </c>
      <c r="J139" s="40">
        <f>_xlfn.XLOOKUP($B139,'15'!$B:$B,'15'!J:J,)</f>
        <v>100</v>
      </c>
      <c r="K139" s="629">
        <f>_xlfn.XLOOKUP($B139,'15'!$B:$B,'15'!K:K,)</f>
        <v>535.14141030737517</v>
      </c>
      <c r="L139" s="629">
        <f>_xlfn.XLOOKUP($B139,'15'!$B:$B,'15'!L:L,)</f>
        <v>602.70934708053244</v>
      </c>
      <c r="M139" s="40" t="str">
        <f>_xlfn.XLOOKUP($B139,'15'!$B:$B,'15'!M:M,)</f>
        <v>Avoided cost</v>
      </c>
      <c r="N139" s="326">
        <f>_xlfn.XLOOKUP($B139,'15'!$B:$B,'15'!N:N,)</f>
        <v>2.5</v>
      </c>
      <c r="O139" s="40" t="str">
        <f>_xlfn.XLOOKUP($B139,'15'!$B:$B,'15'!O:O,)</f>
        <v>Yes</v>
      </c>
      <c r="P139" s="40">
        <f>_xlfn.XLOOKUP($B139,'15'!$B:$B,'15'!P:P,)</f>
        <v>0</v>
      </c>
      <c r="Q139" s="40">
        <f>_xlfn.XLOOKUP($B139,'15'!$B:$B,'15'!Q:Q,)</f>
        <v>64</v>
      </c>
      <c r="R139" s="40" t="str">
        <f>_xlfn.XLOOKUP($B139,'15'!$B:$B,'15'!R:R,)</f>
        <v>EA Mental health costs of flooding and erosion (2021)</v>
      </c>
      <c r="S139" s="40" t="str">
        <f>_xlfn.XLOOKUP($B139,'15'!$B:$B,'15'!S:S,)</f>
        <v>FCERM Appraisal Guidance</v>
      </c>
      <c r="T139" s="40">
        <f>_xlfn.XLOOKUP($B139,'15'!$B:$B,'15'!T:T,)</f>
        <v>2021</v>
      </c>
      <c r="U139" s="40" t="str">
        <f>_xlfn.XLOOKUP($B139,'15'!$B:$B,'15'!U:U,)</f>
        <v>UK</v>
      </c>
      <c r="V139" s="40" t="str">
        <f>_xlfn.XLOOKUP($B139,'15'!$B:$B,'15'!V:V,)</f>
        <v>UK</v>
      </c>
      <c r="W139" s="40">
        <f>_xlfn.XLOOKUP($B139,'15'!$B:$B,'15'!W:W,)</f>
        <v>0</v>
      </c>
    </row>
    <row r="140" spans="2:23">
      <c r="B140" s="39" t="s">
        <v>1454</v>
      </c>
      <c r="C140" s="40" t="str">
        <f>_xlfn.XLOOKUP($B140,'15'!$B:$B,'15'!C:C,)</f>
        <v>External sewer flooding</v>
      </c>
      <c r="D140" s="40" t="str">
        <f>_xlfn.XLOOKUP($B140,'15'!$B:$B,'15'!D:D,)</f>
        <v>FOC - External flooding of residential properties</v>
      </c>
      <c r="E140" s="40" t="str">
        <f>_xlfn.XLOOKUP($B140,'15'!$B:$B,'15'!E:E,)</f>
        <v>Health and wellbeing</v>
      </c>
      <c r="F140" s="40">
        <f>_xlfn.XLOOKUP($B140,'15'!$B:$B,'15'!F:F,)</f>
        <v>2021</v>
      </c>
      <c r="G140" s="40">
        <f>_xlfn.XLOOKUP($B140,'15'!$B:$B,'15'!G:G,)</f>
        <v>2021</v>
      </c>
      <c r="H140" s="40">
        <f>_xlfn.XLOOKUP($B140,'15'!$B:$B,'15'!H:H,)</f>
        <v>2023</v>
      </c>
      <c r="I140" s="40">
        <f>_xlfn.XLOOKUP($B140,'15'!$B:$B,'15'!I:I,)</f>
        <v>88.789299999999997</v>
      </c>
      <c r="J140" s="40">
        <f>_xlfn.XLOOKUP($B140,'15'!$B:$B,'15'!J:J,)</f>
        <v>100</v>
      </c>
      <c r="K140" s="629">
        <f>_xlfn.XLOOKUP($B140,'15'!$B:$B,'15'!K:K,)</f>
        <v>453.7999159406541</v>
      </c>
      <c r="L140" s="629">
        <f>_xlfn.XLOOKUP($B140,'15'!$B:$B,'15'!L:L,)</f>
        <v>511.09752632429149</v>
      </c>
      <c r="M140" s="40" t="str">
        <f>_xlfn.XLOOKUP($B140,'15'!$B:$B,'15'!M:M,)</f>
        <v>Avoided cost</v>
      </c>
      <c r="N140" s="326">
        <f>_xlfn.XLOOKUP($B140,'15'!$B:$B,'15'!N:N,)</f>
        <v>2.5</v>
      </c>
      <c r="O140" s="40" t="str">
        <f>_xlfn.XLOOKUP($B140,'15'!$B:$B,'15'!O:O,)</f>
        <v>Yes</v>
      </c>
      <c r="P140" s="40">
        <f>_xlfn.XLOOKUP($B140,'15'!$B:$B,'15'!P:P,)</f>
        <v>0</v>
      </c>
      <c r="Q140" s="40">
        <f>_xlfn.XLOOKUP($B140,'15'!$B:$B,'15'!Q:Q,)</f>
        <v>64</v>
      </c>
      <c r="R140" s="40" t="str">
        <f>_xlfn.XLOOKUP($B140,'15'!$B:$B,'15'!R:R,)</f>
        <v>EA Mental health costs of flooding and erosion (2021)</v>
      </c>
      <c r="S140" s="40" t="str">
        <f>_xlfn.XLOOKUP($B140,'15'!$B:$B,'15'!S:S,)</f>
        <v>FCERM Appraisal Guidance</v>
      </c>
      <c r="T140" s="40">
        <f>_xlfn.XLOOKUP($B140,'15'!$B:$B,'15'!T:T,)</f>
        <v>2021</v>
      </c>
      <c r="U140" s="40" t="str">
        <f>_xlfn.XLOOKUP($B140,'15'!$B:$B,'15'!U:U,)</f>
        <v>UK</v>
      </c>
      <c r="V140" s="40" t="str">
        <f>_xlfn.XLOOKUP($B140,'15'!$B:$B,'15'!V:V,)</f>
        <v>UK</v>
      </c>
      <c r="W140" s="40">
        <f>_xlfn.XLOOKUP($B140,'15'!$B:$B,'15'!W:W,)</f>
        <v>0</v>
      </c>
    </row>
    <row r="141" spans="2:23">
      <c r="B141" s="40" t="s">
        <v>3043</v>
      </c>
      <c r="C141" s="40" t="str">
        <f>_xlfn.XLOOKUP($B141,'31'!$B:$B,'31'!C:C,)</f>
        <v>Greenhouse gas emissions</v>
      </c>
      <c r="D141" s="40" t="str">
        <f>_xlfn.XLOOKUP($B141,'31'!$B:$B,'31'!D:D,)</f>
        <v>GHG emissions - direct e.g. combustion (scope 1)</v>
      </c>
      <c r="E141" s="40" t="str">
        <f>_xlfn.XLOOKUP($B141,'31'!$B:$B,'31'!E:E,)</f>
        <v>GHG</v>
      </c>
      <c r="F141" s="40">
        <f>_xlfn.XLOOKUP($B141,'31'!$B:$B,'31'!F:F,)</f>
        <v>2021</v>
      </c>
      <c r="G141" s="40">
        <f>_xlfn.XLOOKUP($B141,'31'!$B:$B,'31'!G:G,)</f>
        <v>2020</v>
      </c>
      <c r="H141" s="40">
        <f>_xlfn.XLOOKUP($B141,'31'!$B:$B,'31'!H:H,)</f>
        <v>2023</v>
      </c>
      <c r="I141" s="40">
        <f>_xlfn.XLOOKUP($B141,'31'!$B:$B,'31'!I:I,)</f>
        <v>89.073499999999996</v>
      </c>
      <c r="J141" s="40">
        <f>_xlfn.XLOOKUP($B141,'31'!$B:$B,'31'!J:J,)</f>
        <v>100</v>
      </c>
      <c r="K141" s="629">
        <f ca="1">_xlfn.XLOOKUP($B141,'31'!$B:$B,'31'!K:K,)</f>
        <v>376</v>
      </c>
      <c r="L141" s="629">
        <f ca="1">_xlfn.XLOOKUP($B141,'31'!$B:$B,'31'!L:L,)</f>
        <v>422.12330266577601</v>
      </c>
      <c r="M141" s="40" t="str">
        <f>_xlfn.XLOOKUP($B141,'31'!$B:$B,'31'!M:M,)</f>
        <v>"Target-consistent" or "abatement cost" approach to carbon valuation</v>
      </c>
      <c r="N141" s="326">
        <f>_xlfn.XLOOKUP($B141,'31'!$B:$B,'31'!N:N,)</f>
        <v>3</v>
      </c>
      <c r="O141" s="40" t="str">
        <f>_xlfn.XLOOKUP($B141,'31'!$B:$B,'31'!O:O,)</f>
        <v>Yes</v>
      </c>
      <c r="P141" s="40" t="str">
        <f>_xlfn.XLOOKUP($B141,'31'!$B:$B,'31'!P:P,)</f>
        <v>UK government values</v>
      </c>
      <c r="Q141" s="40">
        <f>_xlfn.XLOOKUP($B141,'31'!$B:$B,'31'!Q:Q,)</f>
        <v>40</v>
      </c>
      <c r="R141" s="40" t="str">
        <f>_xlfn.XLOOKUP($B141,'31'!$B:$B,'31'!R:R,)</f>
        <v>BEIS (2021) Valuing greenhouse gas emissions in policy appraisal.</v>
      </c>
      <c r="S141" s="40" t="str">
        <f>_xlfn.XLOOKUP($B141,'31'!$B:$B,'31'!S:S,)</f>
        <v>ENCA</v>
      </c>
      <c r="T141" s="40">
        <f>_xlfn.XLOOKUP($B141,'31'!$B:$B,'31'!T:T,)</f>
        <v>2021</v>
      </c>
      <c r="U141" s="40" t="str">
        <f>_xlfn.XLOOKUP($B141,'31'!$B:$B,'31'!U:U,)</f>
        <v>UK</v>
      </c>
      <c r="V141" s="40" t="str">
        <f>_xlfn.XLOOKUP($B141,'31'!$B:$B,'31'!V:V,)</f>
        <v>UK</v>
      </c>
      <c r="W141" s="40" t="str">
        <f>_xlfn.XLOOKUP($B141,'31'!$B:$B,'31'!W:W,)</f>
        <v>N/A</v>
      </c>
    </row>
    <row r="142" spans="2:23">
      <c r="B142" s="40" t="s">
        <v>3044</v>
      </c>
      <c r="C142" s="40" t="str">
        <f>_xlfn.XLOOKUP($B142,'31'!$B:$B,'31'!C:C,)</f>
        <v>Greenhouse gas emissions</v>
      </c>
      <c r="D142" s="40" t="str">
        <f>_xlfn.XLOOKUP($B142,'31'!$B:$B,'31'!D:D,)</f>
        <v>GHG emissions - indirect electricity (scope 2)</v>
      </c>
      <c r="E142" s="40" t="str">
        <f>_xlfn.XLOOKUP($B142,'31'!$B:$B,'31'!E:E,)</f>
        <v>GHG</v>
      </c>
      <c r="F142" s="40">
        <f>_xlfn.XLOOKUP($B142,'31'!$B:$B,'31'!F:F,)</f>
        <v>2021</v>
      </c>
      <c r="G142" s="40">
        <f>_xlfn.XLOOKUP($B142,'31'!$B:$B,'31'!G:G,)</f>
        <v>2020</v>
      </c>
      <c r="H142" s="40">
        <f>_xlfn.XLOOKUP($B142,'31'!$B:$B,'31'!H:H,)</f>
        <v>2023</v>
      </c>
      <c r="I142" s="40">
        <f>_xlfn.XLOOKUP($B142,'31'!$B:$B,'31'!I:I,)</f>
        <v>89.073499999999996</v>
      </c>
      <c r="J142" s="40">
        <f>_xlfn.XLOOKUP($B142,'31'!$B:$B,'31'!J:J,)</f>
        <v>100</v>
      </c>
      <c r="K142" s="629">
        <f ca="1">_xlfn.XLOOKUP($B142,'31'!$B:$B,'31'!K:K,)</f>
        <v>376</v>
      </c>
      <c r="L142" s="629">
        <f ca="1">_xlfn.XLOOKUP($B142,'31'!$B:$B,'31'!L:L,)</f>
        <v>422.12330266577601</v>
      </c>
      <c r="M142" s="40" t="str">
        <f>_xlfn.XLOOKUP($B142,'31'!$B:$B,'31'!M:M,)</f>
        <v>"Target-consistent" or "abatement cost" approach to carbon valuation</v>
      </c>
      <c r="N142" s="326">
        <f>_xlfn.XLOOKUP($B142,'31'!$B:$B,'31'!N:N,)</f>
        <v>3</v>
      </c>
      <c r="O142" s="40" t="str">
        <f>_xlfn.XLOOKUP($B142,'31'!$B:$B,'31'!O:O,)</f>
        <v>Yes</v>
      </c>
      <c r="P142" s="40" t="str">
        <f>_xlfn.XLOOKUP($B142,'31'!$B:$B,'31'!P:P,)</f>
        <v>UK government values</v>
      </c>
      <c r="Q142" s="40">
        <f>_xlfn.XLOOKUP($B142,'31'!$B:$B,'31'!Q:Q,)</f>
        <v>40</v>
      </c>
      <c r="R142" s="40" t="str">
        <f>_xlfn.XLOOKUP($B142,'31'!$B:$B,'31'!R:R,)</f>
        <v>BEIS (2021) Valuing greenhouse gas emissions in policy appraisal.</v>
      </c>
      <c r="S142" s="40" t="str">
        <f>_xlfn.XLOOKUP($B142,'31'!$B:$B,'31'!S:S,)</f>
        <v>ENCA</v>
      </c>
      <c r="T142" s="40">
        <f>_xlfn.XLOOKUP($B142,'31'!$B:$B,'31'!T:T,)</f>
        <v>2021</v>
      </c>
      <c r="U142" s="40" t="str">
        <f>_xlfn.XLOOKUP($B142,'31'!$B:$B,'31'!U:U,)</f>
        <v>UK</v>
      </c>
      <c r="V142" s="40" t="str">
        <f>_xlfn.XLOOKUP($B142,'31'!$B:$B,'31'!V:V,)</f>
        <v>UK</v>
      </c>
      <c r="W142" s="40" t="str">
        <f>_xlfn.XLOOKUP($B142,'31'!$B:$B,'31'!W:W,)</f>
        <v>N/A</v>
      </c>
    </row>
    <row r="143" spans="2:23">
      <c r="B143" s="40" t="s">
        <v>3045</v>
      </c>
      <c r="C143" s="40" t="str">
        <f>_xlfn.XLOOKUP($B143,'31'!$B:$B,'31'!C:C,)</f>
        <v>Greenhouse gas emissions</v>
      </c>
      <c r="D143" s="40" t="str">
        <f>_xlfn.XLOOKUP($B143,'31'!$B:$B,'31'!D:D,)</f>
        <v>GHG emissions - indirect other (scope 3)</v>
      </c>
      <c r="E143" s="40" t="str">
        <f>_xlfn.XLOOKUP($B143,'31'!$B:$B,'31'!E:E,)</f>
        <v>GHG</v>
      </c>
      <c r="F143" s="40">
        <f>_xlfn.XLOOKUP($B143,'31'!$B:$B,'31'!F:F,)</f>
        <v>2021</v>
      </c>
      <c r="G143" s="40">
        <f>_xlfn.XLOOKUP($B143,'31'!$B:$B,'31'!G:G,)</f>
        <v>2020</v>
      </c>
      <c r="H143" s="40">
        <f>_xlfn.XLOOKUP($B143,'31'!$B:$B,'31'!H:H,)</f>
        <v>2023</v>
      </c>
      <c r="I143" s="40">
        <f>_xlfn.XLOOKUP($B143,'31'!$B:$B,'31'!I:I,)</f>
        <v>89.073499999999996</v>
      </c>
      <c r="J143" s="40">
        <f>_xlfn.XLOOKUP($B143,'31'!$B:$B,'31'!J:J,)</f>
        <v>100</v>
      </c>
      <c r="K143" s="629">
        <f ca="1">_xlfn.XLOOKUP($B143,'31'!$B:$B,'31'!K:K,)</f>
        <v>376</v>
      </c>
      <c r="L143" s="629">
        <f ca="1">_xlfn.XLOOKUP($B143,'31'!$B:$B,'31'!L:L,)</f>
        <v>422.12330266577601</v>
      </c>
      <c r="M143" s="40" t="str">
        <f>_xlfn.XLOOKUP($B143,'31'!$B:$B,'31'!M:M,)</f>
        <v>"Target-consistent" or "abatement cost" approach to carbon valuation</v>
      </c>
      <c r="N143" s="326">
        <f>_xlfn.XLOOKUP($B143,'31'!$B:$B,'31'!N:N,)</f>
        <v>3</v>
      </c>
      <c r="O143" s="40" t="str">
        <f>_xlfn.XLOOKUP($B143,'31'!$B:$B,'31'!O:O,)</f>
        <v>Yes</v>
      </c>
      <c r="P143" s="40" t="str">
        <f>_xlfn.XLOOKUP($B143,'31'!$B:$B,'31'!P:P,)</f>
        <v>UK government values</v>
      </c>
      <c r="Q143" s="40">
        <f>_xlfn.XLOOKUP($B143,'31'!$B:$B,'31'!Q:Q,)</f>
        <v>40</v>
      </c>
      <c r="R143" s="40" t="str">
        <f>_xlfn.XLOOKUP($B143,'31'!$B:$B,'31'!R:R,)</f>
        <v>BEIS (2021) Valuing greenhouse gas emissions in policy appraisal.</v>
      </c>
      <c r="S143" s="40" t="str">
        <f>_xlfn.XLOOKUP($B143,'31'!$B:$B,'31'!S:S,)</f>
        <v>ENCA</v>
      </c>
      <c r="T143" s="40">
        <f>_xlfn.XLOOKUP($B143,'31'!$B:$B,'31'!T:T,)</f>
        <v>2021</v>
      </c>
      <c r="U143" s="40" t="str">
        <f>_xlfn.XLOOKUP($B143,'31'!$B:$B,'31'!U:U,)</f>
        <v>UK</v>
      </c>
      <c r="V143" s="40" t="str">
        <f>_xlfn.XLOOKUP($B143,'31'!$B:$B,'31'!V:V,)</f>
        <v>UK</v>
      </c>
      <c r="W143" s="40" t="str">
        <f>_xlfn.XLOOKUP($B143,'31'!$B:$B,'31'!W:W,)</f>
        <v>N/A</v>
      </c>
    </row>
    <row r="144" spans="2:23">
      <c r="B144" s="39" t="s">
        <v>2644</v>
      </c>
      <c r="C144" s="40" t="str">
        <f>_xlfn.XLOOKUP($B144,'30'!$B:$B,'30'!C:C,)</f>
        <v>Habitat impact</v>
      </c>
      <c r="D144" s="40" t="str">
        <f>_xlfn.XLOOKUP($B144,'30'!$B:$B,'30'!D:D,)</f>
        <v>SuDS - high benefits</v>
      </c>
      <c r="E144" s="40" t="str">
        <f>_xlfn.XLOOKUP($B144,'30'!$B:$B,'30'!E:E,)</f>
        <v>Water resources</v>
      </c>
      <c r="F144" s="40">
        <f>_xlfn.XLOOKUP($B144,'30'!$B:$B,'30'!F:F,)</f>
        <v>2021</v>
      </c>
      <c r="G144" s="40">
        <f>_xlfn.XLOOKUP($B144,'30'!$B:$B,'30'!G:G,)</f>
        <v>2021</v>
      </c>
      <c r="H144" s="40">
        <f>_xlfn.XLOOKUP($B144,'30'!$B:$B,'30'!H:H,)</f>
        <v>2023</v>
      </c>
      <c r="I144" s="40">
        <f>_xlfn.XLOOKUP($B144,'30'!$B:$B,'30'!I:I,)</f>
        <v>88.789299999999997</v>
      </c>
      <c r="J144" s="40">
        <f>_xlfn.XLOOKUP($B144,'30'!$B:$B,'30'!J:J,)</f>
        <v>100</v>
      </c>
      <c r="K144" s="629">
        <f>_xlfn.XLOOKUP($B144,'30'!$B:$B,'30'!K:K,)</f>
        <v>-202</v>
      </c>
      <c r="L144" s="629">
        <f>_xlfn.XLOOKUP($B144,'30'!$B:$B,'30'!L:L,)</f>
        <v>-227.50489079202114</v>
      </c>
      <c r="M144" s="40" t="str">
        <f>_xlfn.XLOOKUP($B144,'30'!$B:$B,'30'!M:M,)</f>
        <v>Based on B£ST</v>
      </c>
      <c r="N144" s="326">
        <f>_xlfn.XLOOKUP($B144,'30'!$B:$B,'30'!N:N,)</f>
        <v>2.5714285714285698</v>
      </c>
      <c r="O144" s="40" t="str">
        <f>_xlfn.XLOOKUP($B144,'30'!$B:$B,'30'!O:O,)</f>
        <v>Yes</v>
      </c>
      <c r="P144" s="40" t="str">
        <f>_xlfn.XLOOKUP($B144,'30'!$B:$B,'30'!P:P,)</f>
        <v>This is a recent piece of work carried out for the Storm Overflow Evidence Project and is UK specific valuation</v>
      </c>
      <c r="Q144" s="40">
        <f>_xlfn.XLOOKUP($B144,'30'!$B:$B,'30'!Q:Q,)</f>
        <v>116</v>
      </c>
      <c r="R144" s="40" t="str">
        <f>_xlfn.XLOOKUP($B144,'30'!$B:$B,'30'!R:R,)</f>
        <v>Water UK / Stantec (2021) Storm overflow evidence project</v>
      </c>
      <c r="S144" s="40" t="str">
        <f>_xlfn.XLOOKUP($B144,'30'!$B:$B,'30'!S:S,)</f>
        <v>/</v>
      </c>
      <c r="T144" s="40">
        <f>_xlfn.XLOOKUP($B144,'30'!$B:$B,'30'!T:T,)</f>
        <v>2021</v>
      </c>
      <c r="U144" s="40" t="str">
        <f>_xlfn.XLOOKUP($B144,'30'!$B:$B,'30'!U:U,)</f>
        <v>UK</v>
      </c>
      <c r="V144" s="40" t="str">
        <f>_xlfn.XLOOKUP($B144,'30'!$B:$B,'30'!V:V,)</f>
        <v>UK</v>
      </c>
      <c r="W144" s="40" t="str">
        <f>_xlfn.XLOOKUP($B144,'30'!$B:$B,'30'!W:W,)</f>
        <v>/</v>
      </c>
    </row>
    <row r="145" spans="2:23">
      <c r="B145" s="39" t="s">
        <v>2646</v>
      </c>
      <c r="C145" s="40" t="str">
        <f>_xlfn.XLOOKUP($B145,'30'!$B:$B,'30'!C:C,)</f>
        <v>Habitat impact</v>
      </c>
      <c r="D145" s="40" t="str">
        <f>_xlfn.XLOOKUP($B145,'30'!$B:$B,'30'!D:D,)</f>
        <v>SuDS - medium benefits</v>
      </c>
      <c r="E145" s="40" t="str">
        <f>_xlfn.XLOOKUP($B145,'30'!$B:$B,'30'!E:E,)</f>
        <v>Water resources</v>
      </c>
      <c r="F145" s="40">
        <f>_xlfn.XLOOKUP($B145,'30'!$B:$B,'30'!F:F,)</f>
        <v>2021</v>
      </c>
      <c r="G145" s="40">
        <f>_xlfn.XLOOKUP($B145,'30'!$B:$B,'30'!G:G,)</f>
        <v>2021</v>
      </c>
      <c r="H145" s="40">
        <f>_xlfn.XLOOKUP($B145,'30'!$B:$B,'30'!H:H,)</f>
        <v>2023</v>
      </c>
      <c r="I145" s="40">
        <f>_xlfn.XLOOKUP($B145,'30'!$B:$B,'30'!I:I,)</f>
        <v>88.789299999999997</v>
      </c>
      <c r="J145" s="40">
        <f>_xlfn.XLOOKUP($B145,'30'!$B:$B,'30'!J:J,)</f>
        <v>100</v>
      </c>
      <c r="K145" s="629">
        <f>_xlfn.XLOOKUP($B145,'30'!$B:$B,'30'!K:K,)</f>
        <v>-126</v>
      </c>
      <c r="L145" s="629">
        <f>_xlfn.XLOOKUP($B145,'30'!$B:$B,'30'!L:L,)</f>
        <v>-141.90899128611218</v>
      </c>
      <c r="M145" s="40" t="str">
        <f>_xlfn.XLOOKUP($B145,'30'!$B:$B,'30'!M:M,)</f>
        <v>Based on B£ST</v>
      </c>
      <c r="N145" s="326">
        <f>_xlfn.XLOOKUP($B145,'30'!$B:$B,'30'!N:N,)</f>
        <v>2.5714285714285698</v>
      </c>
      <c r="O145" s="40" t="str">
        <f>_xlfn.XLOOKUP($B145,'30'!$B:$B,'30'!O:O,)</f>
        <v>Yes</v>
      </c>
      <c r="P145" s="40" t="str">
        <f>_xlfn.XLOOKUP($B145,'30'!$B:$B,'30'!P:P,)</f>
        <v>This is a recent piece of work carried out for the Storm Overflow Evidence Project and is UK specific valuation</v>
      </c>
      <c r="Q145" s="40">
        <f>_xlfn.XLOOKUP($B145,'30'!$B:$B,'30'!Q:Q,)</f>
        <v>116</v>
      </c>
      <c r="R145" s="40" t="str">
        <f>_xlfn.XLOOKUP($B145,'30'!$B:$B,'30'!R:R,)</f>
        <v>Water UK / Stantec (2021) Storm overflow evidence project</v>
      </c>
      <c r="S145" s="40" t="str">
        <f>_xlfn.XLOOKUP($B145,'30'!$B:$B,'30'!S:S,)</f>
        <v>/</v>
      </c>
      <c r="T145" s="40">
        <f>_xlfn.XLOOKUP($B145,'30'!$B:$B,'30'!T:T,)</f>
        <v>2021</v>
      </c>
      <c r="U145" s="40" t="str">
        <f>_xlfn.XLOOKUP($B145,'30'!$B:$B,'30'!U:U,)</f>
        <v>UK</v>
      </c>
      <c r="V145" s="40" t="str">
        <f>_xlfn.XLOOKUP($B145,'30'!$B:$B,'30'!V:V,)</f>
        <v>UK</v>
      </c>
      <c r="W145" s="40" t="str">
        <f>_xlfn.XLOOKUP($B145,'30'!$B:$B,'30'!W:W,)</f>
        <v>/</v>
      </c>
    </row>
    <row r="146" spans="2:23">
      <c r="B146" s="39" t="s">
        <v>2647</v>
      </c>
      <c r="C146" s="40" t="str">
        <f>_xlfn.XLOOKUP($B146,'30'!$B:$B,'30'!C:C,)</f>
        <v>Habitat impact</v>
      </c>
      <c r="D146" s="40" t="str">
        <f>_xlfn.XLOOKUP($B146,'30'!$B:$B,'30'!D:D,)</f>
        <v>SuDS - low benefits</v>
      </c>
      <c r="E146" s="40" t="str">
        <f>_xlfn.XLOOKUP($B146,'30'!$B:$B,'30'!E:E,)</f>
        <v>Water resources</v>
      </c>
      <c r="F146" s="40">
        <f>_xlfn.XLOOKUP($B146,'30'!$B:$B,'30'!F:F,)</f>
        <v>2021</v>
      </c>
      <c r="G146" s="40">
        <f>_xlfn.XLOOKUP($B146,'30'!$B:$B,'30'!G:G,)</f>
        <v>2021</v>
      </c>
      <c r="H146" s="40">
        <f>_xlfn.XLOOKUP($B146,'30'!$B:$B,'30'!H:H,)</f>
        <v>2023</v>
      </c>
      <c r="I146" s="40">
        <f>_xlfn.XLOOKUP($B146,'30'!$B:$B,'30'!I:I,)</f>
        <v>88.789299999999997</v>
      </c>
      <c r="J146" s="40">
        <f>_xlfn.XLOOKUP($B146,'30'!$B:$B,'30'!J:J,)</f>
        <v>100</v>
      </c>
      <c r="K146" s="629">
        <f>_xlfn.XLOOKUP($B146,'30'!$B:$B,'30'!K:K,)</f>
        <v>-50</v>
      </c>
      <c r="L146" s="629">
        <f>_xlfn.XLOOKUP($B146,'30'!$B:$B,'30'!L:L,)</f>
        <v>-56.313091780203251</v>
      </c>
      <c r="M146" s="40" t="str">
        <f>_xlfn.XLOOKUP($B146,'30'!$B:$B,'30'!M:M,)</f>
        <v>Based on B£ST</v>
      </c>
      <c r="N146" s="326">
        <f>_xlfn.XLOOKUP($B146,'30'!$B:$B,'30'!N:N,)</f>
        <v>2.5714285714285698</v>
      </c>
      <c r="O146" s="40" t="str">
        <f>_xlfn.XLOOKUP($B146,'30'!$B:$B,'30'!O:O,)</f>
        <v>Yes</v>
      </c>
      <c r="P146" s="40" t="str">
        <f>_xlfn.XLOOKUP($B146,'30'!$B:$B,'30'!P:P,)</f>
        <v>This is a recent piece of work carried out for the Storm Overflow Evidence Project and is UK specific valuation</v>
      </c>
      <c r="Q146" s="40">
        <f>_xlfn.XLOOKUP($B146,'30'!$B:$B,'30'!Q:Q,)</f>
        <v>116</v>
      </c>
      <c r="R146" s="40" t="str">
        <f>_xlfn.XLOOKUP($B146,'30'!$B:$B,'30'!R:R,)</f>
        <v>Water UK / Stantec (2021) Storm overflow evidence project</v>
      </c>
      <c r="S146" s="40" t="str">
        <f>_xlfn.XLOOKUP($B146,'30'!$B:$B,'30'!S:S,)</f>
        <v>/</v>
      </c>
      <c r="T146" s="40">
        <f>_xlfn.XLOOKUP($B146,'30'!$B:$B,'30'!T:T,)</f>
        <v>2021</v>
      </c>
      <c r="U146" s="40" t="str">
        <f>_xlfn.XLOOKUP($B146,'30'!$B:$B,'30'!U:U,)</f>
        <v>UK</v>
      </c>
      <c r="V146" s="40" t="str">
        <f>_xlfn.XLOOKUP($B146,'30'!$B:$B,'30'!V:V,)</f>
        <v>UK</v>
      </c>
      <c r="W146" s="40" t="str">
        <f>_xlfn.XLOOKUP($B146,'30'!$B:$B,'30'!W:W,)</f>
        <v>/</v>
      </c>
    </row>
    <row r="147" spans="2:23">
      <c r="B147" s="39" t="s">
        <v>2648</v>
      </c>
      <c r="C147" s="40" t="str">
        <f>_xlfn.XLOOKUP($B147,'30'!$B:$B,'30'!C:C,)</f>
        <v>Habitat impact</v>
      </c>
      <c r="D147" s="40" t="str">
        <f>_xlfn.XLOOKUP($B147,'30'!$B:$B,'30'!D:D,)</f>
        <v>Coastal margins --- good</v>
      </c>
      <c r="E147" s="40" t="str">
        <f>_xlfn.XLOOKUP($B147,'30'!$B:$B,'30'!E:E,)</f>
        <v>Water resources</v>
      </c>
      <c r="F147" s="40">
        <f>_xlfn.XLOOKUP($B147,'30'!$B:$B,'30'!F:F,)</f>
        <v>2011</v>
      </c>
      <c r="G147" s="40">
        <f>_xlfn.XLOOKUP($B147,'30'!$B:$B,'30'!G:G,)</f>
        <v>2010</v>
      </c>
      <c r="H147" s="40">
        <f>_xlfn.XLOOKUP($B147,'30'!$B:$B,'30'!H:H,)</f>
        <v>2023</v>
      </c>
      <c r="I147" s="40">
        <f>_xlfn.XLOOKUP($B147,'30'!$B:$B,'30'!I:I,)</f>
        <v>72.415099999999995</v>
      </c>
      <c r="J147" s="40">
        <f>_xlfn.XLOOKUP($B147,'30'!$B:$B,'30'!J:J,)</f>
        <v>100</v>
      </c>
      <c r="K147" s="629">
        <f>_xlfn.XLOOKUP($B147,'30'!$B:$B,'30'!K:K,)</f>
        <v>-14</v>
      </c>
      <c r="L147" s="629">
        <f>_xlfn.XLOOKUP($B147,'30'!$B:$B,'30'!L:L,)</f>
        <v>-19.332984418995487</v>
      </c>
      <c r="M147" s="40" t="str">
        <f>_xlfn.XLOOKUP($B147,'30'!$B:$B,'30'!M:M,)</f>
        <v>Cost of alternatives (sources of water)</v>
      </c>
      <c r="N147" s="326">
        <f>_xlfn.XLOOKUP($B147,'30'!$B:$B,'30'!N:N,)</f>
        <v>2.1428571428571401</v>
      </c>
      <c r="O147" s="40" t="str">
        <f>_xlfn.XLOOKUP($B147,'30'!$B:$B,'30'!O:O,)</f>
        <v>Yes</v>
      </c>
      <c r="P147" s="40" t="str">
        <f>_xlfn.XLOOKUP($B147,'30'!$B:$B,'30'!P:P,)</f>
        <v>This is the only value found available. We have decided to include as it is from a reputable source vetted by Defra</v>
      </c>
      <c r="Q147" s="40">
        <f>_xlfn.XLOOKUP($B147,'30'!$B:$B,'30'!Q:Q,)</f>
        <v>117</v>
      </c>
      <c r="R147" s="40" t="str">
        <f>_xlfn.XLOOKUP($B147,'30'!$B:$B,'30'!R:R,)</f>
        <v>Morris and Camino (2011) UK NEA Working Paper Economic Assessment of Freshwater, Wetland and Floodplain (FWF) Ecosystem Services</v>
      </c>
      <c r="S147" s="40" t="str">
        <f>_xlfn.XLOOKUP($B147,'30'!$B:$B,'30'!S:S,)</f>
        <v>ENCA</v>
      </c>
      <c r="T147" s="40">
        <f>_xlfn.XLOOKUP($B147,'30'!$B:$B,'30'!T:T,)</f>
        <v>2011</v>
      </c>
      <c r="U147" s="40" t="str">
        <f>_xlfn.XLOOKUP($B147,'30'!$B:$B,'30'!U:U,)</f>
        <v>UK</v>
      </c>
      <c r="V147" s="40" t="str">
        <f>_xlfn.XLOOKUP($B147,'30'!$B:$B,'30'!V:V,)</f>
        <v>UK</v>
      </c>
      <c r="W147" s="40" t="str">
        <f>_xlfn.XLOOKUP($B147,'30'!$B:$B,'30'!W:W,)</f>
        <v>/</v>
      </c>
    </row>
    <row r="148" spans="2:23">
      <c r="B148" s="39" t="s">
        <v>2649</v>
      </c>
      <c r="C148" s="40" t="str">
        <f>_xlfn.XLOOKUP($B148,'30'!$B:$B,'30'!C:C,)</f>
        <v>Habitat impact</v>
      </c>
      <c r="D148" s="40" t="str">
        <f>_xlfn.XLOOKUP($B148,'30'!$B:$B,'30'!D:D,)</f>
        <v>Coastal margins --- moderate</v>
      </c>
      <c r="E148" s="40" t="str">
        <f>_xlfn.XLOOKUP($B148,'30'!$B:$B,'30'!E:E,)</f>
        <v>Water resources</v>
      </c>
      <c r="F148" s="40">
        <f>_xlfn.XLOOKUP($B148,'30'!$B:$B,'30'!F:F,)</f>
        <v>2011</v>
      </c>
      <c r="G148" s="40">
        <f>_xlfn.XLOOKUP($B148,'30'!$B:$B,'30'!G:G,)</f>
        <v>2010</v>
      </c>
      <c r="H148" s="40">
        <f>_xlfn.XLOOKUP($B148,'30'!$B:$B,'30'!H:H,)</f>
        <v>2023</v>
      </c>
      <c r="I148" s="40">
        <f>_xlfn.XLOOKUP($B148,'30'!$B:$B,'30'!I:I,)</f>
        <v>72.415099999999995</v>
      </c>
      <c r="J148" s="40">
        <f>_xlfn.XLOOKUP($B148,'30'!$B:$B,'30'!J:J,)</f>
        <v>100</v>
      </c>
      <c r="K148" s="629">
        <f>_xlfn.XLOOKUP($B148,'30'!$B:$B,'30'!K:K,)</f>
        <v>-10.5</v>
      </c>
      <c r="L148" s="629">
        <f>_xlfn.XLOOKUP($B148,'30'!$B:$B,'30'!L:L,)</f>
        <v>-14.499738314246615</v>
      </c>
      <c r="M148" s="40" t="str">
        <f>_xlfn.XLOOKUP($B148,'30'!$B:$B,'30'!M:M,)</f>
        <v>Cost of alternatives (sources of water)</v>
      </c>
      <c r="N148" s="326">
        <f>_xlfn.XLOOKUP($B148,'30'!$B:$B,'30'!N:N,)</f>
        <v>2.1428571428571401</v>
      </c>
      <c r="O148" s="40" t="str">
        <f>_xlfn.XLOOKUP($B148,'30'!$B:$B,'30'!O:O,)</f>
        <v>Yes</v>
      </c>
      <c r="P148" s="40" t="str">
        <f>_xlfn.XLOOKUP($B148,'30'!$B:$B,'30'!P:P,)</f>
        <v>This is the only value found available. We have decided to include as it is from a reputable source vetted by Defra</v>
      </c>
      <c r="Q148" s="40">
        <f>_xlfn.XLOOKUP($B148,'30'!$B:$B,'30'!Q:Q,)</f>
        <v>117</v>
      </c>
      <c r="R148" s="40" t="str">
        <f>_xlfn.XLOOKUP($B148,'30'!$B:$B,'30'!R:R,)</f>
        <v>Morris and Camino (2011) UK NEA Working Paper Economic Assessment of Freshwater, Wetland and Floodplain (FWF) Ecosystem Services</v>
      </c>
      <c r="S148" s="40" t="str">
        <f>_xlfn.XLOOKUP($B148,'30'!$B:$B,'30'!S:S,)</f>
        <v>ENCA</v>
      </c>
      <c r="T148" s="40">
        <f>_xlfn.XLOOKUP($B148,'30'!$B:$B,'30'!T:T,)</f>
        <v>2011</v>
      </c>
      <c r="U148" s="40" t="str">
        <f>_xlfn.XLOOKUP($B148,'30'!$B:$B,'30'!U:U,)</f>
        <v>UK</v>
      </c>
      <c r="V148" s="40" t="str">
        <f>_xlfn.XLOOKUP($B148,'30'!$B:$B,'30'!V:V,)</f>
        <v>UK</v>
      </c>
      <c r="W148" s="40" t="str">
        <f>_xlfn.XLOOKUP($B148,'30'!$B:$B,'30'!W:W,)</f>
        <v>/</v>
      </c>
    </row>
    <row r="149" spans="2:23">
      <c r="B149" s="39" t="s">
        <v>2650</v>
      </c>
      <c r="C149" s="40" t="str">
        <f>_xlfn.XLOOKUP($B149,'30'!$B:$B,'30'!C:C,)</f>
        <v>Habitat impact</v>
      </c>
      <c r="D149" s="40" t="str">
        <f>_xlfn.XLOOKUP($B149,'30'!$B:$B,'30'!D:D,)</f>
        <v>Coastal margins --- poor</v>
      </c>
      <c r="E149" s="40" t="str">
        <f>_xlfn.XLOOKUP($B149,'30'!$B:$B,'30'!E:E,)</f>
        <v>Water resources</v>
      </c>
      <c r="F149" s="40">
        <f>_xlfn.XLOOKUP($B149,'30'!$B:$B,'30'!F:F,)</f>
        <v>2011</v>
      </c>
      <c r="G149" s="40">
        <f>_xlfn.XLOOKUP($B149,'30'!$B:$B,'30'!G:G,)</f>
        <v>2010</v>
      </c>
      <c r="H149" s="40">
        <f>_xlfn.XLOOKUP($B149,'30'!$B:$B,'30'!H:H,)</f>
        <v>2023</v>
      </c>
      <c r="I149" s="40">
        <f>_xlfn.XLOOKUP($B149,'30'!$B:$B,'30'!I:I,)</f>
        <v>72.415099999999995</v>
      </c>
      <c r="J149" s="40">
        <f>_xlfn.XLOOKUP($B149,'30'!$B:$B,'30'!J:J,)</f>
        <v>100</v>
      </c>
      <c r="K149" s="629">
        <f>_xlfn.XLOOKUP($B149,'30'!$B:$B,'30'!K:K,)</f>
        <v>-7</v>
      </c>
      <c r="L149" s="629">
        <f>_xlfn.XLOOKUP($B149,'30'!$B:$B,'30'!L:L,)</f>
        <v>-9.6664922094977435</v>
      </c>
      <c r="M149" s="40" t="str">
        <f>_xlfn.XLOOKUP($B149,'30'!$B:$B,'30'!M:M,)</f>
        <v>Cost of alternatives (sources of water)</v>
      </c>
      <c r="N149" s="326">
        <f>_xlfn.XLOOKUP($B149,'30'!$B:$B,'30'!N:N,)</f>
        <v>2.1428571428571401</v>
      </c>
      <c r="O149" s="40" t="str">
        <f>_xlfn.XLOOKUP($B149,'30'!$B:$B,'30'!O:O,)</f>
        <v>Yes</v>
      </c>
      <c r="P149" s="40" t="str">
        <f>_xlfn.XLOOKUP($B149,'30'!$B:$B,'30'!P:P,)</f>
        <v>This is the only value found available. We have decided to include as it is from a reputable source vetted by Defra</v>
      </c>
      <c r="Q149" s="40">
        <f>_xlfn.XLOOKUP($B149,'30'!$B:$B,'30'!Q:Q,)</f>
        <v>117</v>
      </c>
      <c r="R149" s="40" t="str">
        <f>_xlfn.XLOOKUP($B149,'30'!$B:$B,'30'!R:R,)</f>
        <v>Morris and Camino (2011) UK NEA Working Paper Economic Assessment of Freshwater, Wetland and Floodplain (FWF) Ecosystem Services</v>
      </c>
      <c r="S149" s="40" t="str">
        <f>_xlfn.XLOOKUP($B149,'30'!$B:$B,'30'!S:S,)</f>
        <v>ENCA</v>
      </c>
      <c r="T149" s="40">
        <f>_xlfn.XLOOKUP($B149,'30'!$B:$B,'30'!T:T,)</f>
        <v>2011</v>
      </c>
      <c r="U149" s="40" t="str">
        <f>_xlfn.XLOOKUP($B149,'30'!$B:$B,'30'!U:U,)</f>
        <v>UK</v>
      </c>
      <c r="V149" s="40" t="str">
        <f>_xlfn.XLOOKUP($B149,'30'!$B:$B,'30'!V:V,)</f>
        <v>UK</v>
      </c>
      <c r="W149" s="40" t="str">
        <f>_xlfn.XLOOKUP($B149,'30'!$B:$B,'30'!W:W,)</f>
        <v>/</v>
      </c>
    </row>
    <row r="150" spans="2:23">
      <c r="B150" s="39" t="s">
        <v>2726</v>
      </c>
      <c r="C150" s="40" t="str">
        <f>_xlfn.XLOOKUP($B150,'30'!$B:$B,'30'!C:C,)</f>
        <v>Habitat impact</v>
      </c>
      <c r="D150" s="40" t="str">
        <f>_xlfn.XLOOKUP($B150,'30'!$B:$B,'30'!D:D,)</f>
        <v>Farmland --- poor</v>
      </c>
      <c r="E150" s="40" t="str">
        <f>_xlfn.XLOOKUP($B150,'30'!$B:$B,'30'!E:E,)</f>
        <v>Water quality</v>
      </c>
      <c r="F150" s="40">
        <f>_xlfn.XLOOKUP($B150,'30'!$B:$B,'30'!F:F,)</f>
        <v>2011</v>
      </c>
      <c r="G150" s="40">
        <f>_xlfn.XLOOKUP($B150,'30'!$B:$B,'30'!G:G,)</f>
        <v>2009</v>
      </c>
      <c r="H150" s="40">
        <f>_xlfn.XLOOKUP($B150,'30'!$B:$B,'30'!H:H,)</f>
        <v>2023</v>
      </c>
      <c r="I150" s="40">
        <f>_xlfn.XLOOKUP($B150,'30'!$B:$B,'30'!I:I,)</f>
        <v>71.287800000000004</v>
      </c>
      <c r="J150" s="40">
        <f>_xlfn.XLOOKUP($B150,'30'!$B:$B,'30'!J:J,)</f>
        <v>100</v>
      </c>
      <c r="K150" s="629">
        <f>_xlfn.XLOOKUP($B150,'30'!$B:$B,'30'!K:K,)</f>
        <v>13.926663417025175</v>
      </c>
      <c r="L150" s="629">
        <f>_xlfn.XLOOKUP($B150,'30'!$B:$B,'30'!L:L,)</f>
        <v>19.535829997594504</v>
      </c>
      <c r="M150" s="40" t="str">
        <f>_xlfn.XLOOKUP($B150,'30'!$B:$B,'30'!M:M,)</f>
        <v>Avoided cost</v>
      </c>
      <c r="N150" s="326">
        <f>_xlfn.XLOOKUP($B150,'30'!$B:$B,'30'!N:N,)</f>
        <v>2.1428571428571401</v>
      </c>
      <c r="O150" s="40" t="str">
        <f>_xlfn.XLOOKUP($B150,'30'!$B:$B,'30'!O:O,)</f>
        <v>Yes</v>
      </c>
      <c r="P150" s="40" t="str">
        <f>_xlfn.XLOOKUP($B150,'30'!$B:$B,'30'!P:P,)</f>
        <v>This is the only value found available. We have decided to include as it is vetted by Defra.</v>
      </c>
      <c r="Q150" s="40">
        <f>_xlfn.XLOOKUP($B150,'30'!$B:$B,'30'!Q:Q,)</f>
        <v>118</v>
      </c>
      <c r="R150" s="40" t="str">
        <f>_xlfn.XLOOKUP($B150,'30'!$B:$B,'30'!R:R,)</f>
        <v>Cranfield University (2011) The total costs of soil degradation in England and Wales</v>
      </c>
      <c r="S150" s="40" t="str">
        <f>_xlfn.XLOOKUP($B150,'30'!$B:$B,'30'!S:S,)</f>
        <v>ENCA</v>
      </c>
      <c r="T150" s="40">
        <f>_xlfn.XLOOKUP($B150,'30'!$B:$B,'30'!T:T,)</f>
        <v>2011</v>
      </c>
      <c r="U150" s="40" t="str">
        <f>_xlfn.XLOOKUP($B150,'30'!$B:$B,'30'!U:U,)</f>
        <v>UK</v>
      </c>
      <c r="V150" s="40" t="str">
        <f>_xlfn.XLOOKUP($B150,'30'!$B:$B,'30'!V:V,)</f>
        <v>UK</v>
      </c>
      <c r="W150" s="40" t="str">
        <f>_xlfn.XLOOKUP($B150,'30'!$B:$B,'30'!W:W,)</f>
        <v>/</v>
      </c>
    </row>
    <row r="151" spans="2:23">
      <c r="B151" s="39" t="s">
        <v>2727</v>
      </c>
      <c r="C151" s="40" t="str">
        <f>_xlfn.XLOOKUP($B151,'30'!$B:$B,'30'!C:C,)</f>
        <v>Habitat impact</v>
      </c>
      <c r="D151" s="40" t="str">
        <f>_xlfn.XLOOKUP($B151,'30'!$B:$B,'30'!D:D,)</f>
        <v>Farmland --- moderate</v>
      </c>
      <c r="E151" s="40" t="str">
        <f>_xlfn.XLOOKUP($B151,'30'!$B:$B,'30'!E:E,)</f>
        <v>Water quality</v>
      </c>
      <c r="F151" s="40">
        <f>_xlfn.XLOOKUP($B151,'30'!$B:$B,'30'!F:F,)</f>
        <v>2011</v>
      </c>
      <c r="G151" s="40">
        <f>_xlfn.XLOOKUP($B151,'30'!$B:$B,'30'!G:G,)</f>
        <v>2009</v>
      </c>
      <c r="H151" s="40">
        <f>_xlfn.XLOOKUP($B151,'30'!$B:$B,'30'!H:H,)</f>
        <v>2023</v>
      </c>
      <c r="I151" s="40">
        <f>_xlfn.XLOOKUP($B151,'30'!$B:$B,'30'!I:I,)</f>
        <v>71.287800000000004</v>
      </c>
      <c r="J151" s="40">
        <f>_xlfn.XLOOKUP($B151,'30'!$B:$B,'30'!J:J,)</f>
        <v>100</v>
      </c>
      <c r="K151" s="629">
        <f>_xlfn.XLOOKUP($B151,'30'!$B:$B,'30'!K:K,)</f>
        <v>10.444997562768881</v>
      </c>
      <c r="L151" s="629">
        <f>_xlfn.XLOOKUP($B151,'30'!$B:$B,'30'!L:L,)</f>
        <v>14.651872498195877</v>
      </c>
      <c r="M151" s="40" t="str">
        <f>_xlfn.XLOOKUP($B151,'30'!$B:$B,'30'!M:M,)</f>
        <v>Avoided cost</v>
      </c>
      <c r="N151" s="326">
        <f>_xlfn.XLOOKUP($B151,'30'!$B:$B,'30'!N:N,)</f>
        <v>2.1428571428571401</v>
      </c>
      <c r="O151" s="40" t="str">
        <f>_xlfn.XLOOKUP($B151,'30'!$B:$B,'30'!O:O,)</f>
        <v>Yes</v>
      </c>
      <c r="P151" s="40" t="str">
        <f>_xlfn.XLOOKUP($B151,'30'!$B:$B,'30'!P:P,)</f>
        <v>This is the only value found available. We have decided to include as it is vetted by Defra.</v>
      </c>
      <c r="Q151" s="40">
        <f>_xlfn.XLOOKUP($B151,'30'!$B:$B,'30'!Q:Q,)</f>
        <v>118</v>
      </c>
      <c r="R151" s="40" t="str">
        <f>_xlfn.XLOOKUP($B151,'30'!$B:$B,'30'!R:R,)</f>
        <v>Cranfield University (2011) The total costs of soil degradation in England and Wales</v>
      </c>
      <c r="S151" s="40" t="str">
        <f>_xlfn.XLOOKUP($B151,'30'!$B:$B,'30'!S:S,)</f>
        <v>ENCA</v>
      </c>
      <c r="T151" s="40">
        <f>_xlfn.XLOOKUP($B151,'30'!$B:$B,'30'!T:T,)</f>
        <v>2011</v>
      </c>
      <c r="U151" s="40" t="str">
        <f>_xlfn.XLOOKUP($B151,'30'!$B:$B,'30'!U:U,)</f>
        <v>UK</v>
      </c>
      <c r="V151" s="40" t="str">
        <f>_xlfn.XLOOKUP($B151,'30'!$B:$B,'30'!V:V,)</f>
        <v>UK</v>
      </c>
      <c r="W151" s="40" t="str">
        <f>_xlfn.XLOOKUP($B151,'30'!$B:$B,'30'!W:W,)</f>
        <v>/</v>
      </c>
    </row>
    <row r="152" spans="2:23">
      <c r="B152" s="39" t="s">
        <v>2728</v>
      </c>
      <c r="C152" s="40" t="str">
        <f>_xlfn.XLOOKUP($B152,'30'!$B:$B,'30'!C:C,)</f>
        <v>Habitat impact</v>
      </c>
      <c r="D152" s="40" t="str">
        <f>_xlfn.XLOOKUP($B152,'30'!$B:$B,'30'!D:D,)</f>
        <v>Farmland --- good</v>
      </c>
      <c r="E152" s="40" t="str">
        <f>_xlfn.XLOOKUP($B152,'30'!$B:$B,'30'!E:E,)</f>
        <v>Water quality</v>
      </c>
      <c r="F152" s="40">
        <f>_xlfn.XLOOKUP($B152,'30'!$B:$B,'30'!F:F,)</f>
        <v>2011</v>
      </c>
      <c r="G152" s="40">
        <f>_xlfn.XLOOKUP($B152,'30'!$B:$B,'30'!G:G,)</f>
        <v>2009</v>
      </c>
      <c r="H152" s="40">
        <f>_xlfn.XLOOKUP($B152,'30'!$B:$B,'30'!H:H,)</f>
        <v>2023</v>
      </c>
      <c r="I152" s="40">
        <f>_xlfn.XLOOKUP($B152,'30'!$B:$B,'30'!I:I,)</f>
        <v>71.287800000000004</v>
      </c>
      <c r="J152" s="40">
        <f>_xlfn.XLOOKUP($B152,'30'!$B:$B,'30'!J:J,)</f>
        <v>100</v>
      </c>
      <c r="K152" s="629">
        <f>_xlfn.XLOOKUP($B152,'30'!$B:$B,'30'!K:K,)</f>
        <v>6.9633317085125874</v>
      </c>
      <c r="L152" s="629">
        <f>_xlfn.XLOOKUP($B152,'30'!$B:$B,'30'!L:L,)</f>
        <v>9.7679149987972522</v>
      </c>
      <c r="M152" s="40" t="str">
        <f>_xlfn.XLOOKUP($B152,'30'!$B:$B,'30'!M:M,)</f>
        <v>Avoided cost</v>
      </c>
      <c r="N152" s="326">
        <f>_xlfn.XLOOKUP($B152,'30'!$B:$B,'30'!N:N,)</f>
        <v>2.1428571428571401</v>
      </c>
      <c r="O152" s="40" t="str">
        <f>_xlfn.XLOOKUP($B152,'30'!$B:$B,'30'!O:O,)</f>
        <v>Yes</v>
      </c>
      <c r="P152" s="40" t="str">
        <f>_xlfn.XLOOKUP($B152,'30'!$B:$B,'30'!P:P,)</f>
        <v>This is the only value found available. We have decided to include as it is vetted by Defra.</v>
      </c>
      <c r="Q152" s="40">
        <f>_xlfn.XLOOKUP($B152,'30'!$B:$B,'30'!Q:Q,)</f>
        <v>118</v>
      </c>
      <c r="R152" s="40" t="str">
        <f>_xlfn.XLOOKUP($B152,'30'!$B:$B,'30'!R:R,)</f>
        <v>Cranfield University (2011) The total costs of soil degradation in England and Wales</v>
      </c>
      <c r="S152" s="40" t="str">
        <f>_xlfn.XLOOKUP($B152,'30'!$B:$B,'30'!S:S,)</f>
        <v>ENCA</v>
      </c>
      <c r="T152" s="40">
        <f>_xlfn.XLOOKUP($B152,'30'!$B:$B,'30'!T:T,)</f>
        <v>2011</v>
      </c>
      <c r="U152" s="40" t="str">
        <f>_xlfn.XLOOKUP($B152,'30'!$B:$B,'30'!U:U,)</f>
        <v>UK</v>
      </c>
      <c r="V152" s="40" t="str">
        <f>_xlfn.XLOOKUP($B152,'30'!$B:$B,'30'!V:V,)</f>
        <v>UK</v>
      </c>
      <c r="W152" s="40" t="str">
        <f>_xlfn.XLOOKUP($B152,'30'!$B:$B,'30'!W:W,)</f>
        <v>/</v>
      </c>
    </row>
    <row r="153" spans="2:23">
      <c r="B153" s="39" t="s">
        <v>2729</v>
      </c>
      <c r="C153" s="40" t="str">
        <f>_xlfn.XLOOKUP($B153,'30'!$B:$B,'30'!C:C,)</f>
        <v>Habitat impact</v>
      </c>
      <c r="D153" s="40" t="str">
        <f>_xlfn.XLOOKUP($B153,'30'!$B:$B,'30'!D:D,)</f>
        <v>Urban woodland --- poor</v>
      </c>
      <c r="E153" s="40" t="str">
        <f>_xlfn.XLOOKUP($B153,'30'!$B:$B,'30'!E:E,)</f>
        <v>Water quality</v>
      </c>
      <c r="F153" s="40">
        <f>_xlfn.XLOOKUP($B153,'30'!$B:$B,'30'!F:F,)</f>
        <v>2011</v>
      </c>
      <c r="G153" s="40">
        <f>_xlfn.XLOOKUP($B153,'30'!$B:$B,'30'!G:G,)</f>
        <v>2009</v>
      </c>
      <c r="H153" s="40">
        <f>_xlfn.XLOOKUP($B153,'30'!$B:$B,'30'!H:H,)</f>
        <v>2023</v>
      </c>
      <c r="I153" s="40">
        <f>_xlfn.XLOOKUP($B153,'30'!$B:$B,'30'!I:I,)</f>
        <v>71.287800000000004</v>
      </c>
      <c r="J153" s="40">
        <f>_xlfn.XLOOKUP($B153,'30'!$B:$B,'30'!J:J,)</f>
        <v>100</v>
      </c>
      <c r="K153" s="629">
        <f>_xlfn.XLOOKUP($B153,'30'!$B:$B,'30'!K:K,)</f>
        <v>0.38413491800729627</v>
      </c>
      <c r="L153" s="629">
        <f>_xlfn.XLOOKUP($B153,'30'!$B:$B,'30'!L:L,)</f>
        <v>0.5388508524702631</v>
      </c>
      <c r="M153" s="40" t="str">
        <f>_xlfn.XLOOKUP($B153,'30'!$B:$B,'30'!M:M,)</f>
        <v>Avoided cost</v>
      </c>
      <c r="N153" s="326">
        <f>_xlfn.XLOOKUP($B153,'30'!$B:$B,'30'!N:N,)</f>
        <v>2.1428571428571401</v>
      </c>
      <c r="O153" s="40" t="str">
        <f>_xlfn.XLOOKUP($B153,'30'!$B:$B,'30'!O:O,)</f>
        <v>No</v>
      </c>
      <c r="P153" s="40" t="str">
        <f>_xlfn.XLOOKUP($B153,'30'!$B:$B,'30'!P:P,)</f>
        <v>Agreed with User Group to avoid double counting with the Nutrient removal service measure.</v>
      </c>
      <c r="Q153" s="40">
        <f>_xlfn.XLOOKUP($B153,'30'!$B:$B,'30'!Q:Q,)</f>
        <v>118</v>
      </c>
      <c r="R153" s="40" t="str">
        <f>_xlfn.XLOOKUP($B153,'30'!$B:$B,'30'!R:R,)</f>
        <v>Cranfield University (2011) The total costs of soil degradation in England and Wales</v>
      </c>
      <c r="S153" s="40" t="str">
        <f>_xlfn.XLOOKUP($B153,'30'!$B:$B,'30'!S:S,)</f>
        <v>ENCA</v>
      </c>
      <c r="T153" s="40">
        <f>_xlfn.XLOOKUP($B153,'30'!$B:$B,'30'!T:T,)</f>
        <v>2011</v>
      </c>
      <c r="U153" s="40" t="str">
        <f>_xlfn.XLOOKUP($B153,'30'!$B:$B,'30'!U:U,)</f>
        <v>UK</v>
      </c>
      <c r="V153" s="40" t="str">
        <f>_xlfn.XLOOKUP($B153,'30'!$B:$B,'30'!V:V,)</f>
        <v>UK</v>
      </c>
      <c r="W153" s="40" t="str">
        <f>_xlfn.XLOOKUP($B153,'30'!$B:$B,'30'!W:W,)</f>
        <v>/</v>
      </c>
    </row>
    <row r="154" spans="2:23">
      <c r="B154" s="39" t="s">
        <v>2731</v>
      </c>
      <c r="C154" s="40" t="str">
        <f>_xlfn.XLOOKUP($B154,'30'!$B:$B,'30'!C:C,)</f>
        <v>Habitat impact</v>
      </c>
      <c r="D154" s="40" t="str">
        <f>_xlfn.XLOOKUP($B154,'30'!$B:$B,'30'!D:D,)</f>
        <v>Urban woodland --- moderate</v>
      </c>
      <c r="E154" s="40" t="str">
        <f>_xlfn.XLOOKUP($B154,'30'!$B:$B,'30'!E:E,)</f>
        <v>Water quality</v>
      </c>
      <c r="F154" s="40">
        <f>_xlfn.XLOOKUP($B154,'30'!$B:$B,'30'!F:F,)</f>
        <v>2011</v>
      </c>
      <c r="G154" s="40">
        <f>_xlfn.XLOOKUP($B154,'30'!$B:$B,'30'!G:G,)</f>
        <v>2009</v>
      </c>
      <c r="H154" s="40">
        <f>_xlfn.XLOOKUP($B154,'30'!$B:$B,'30'!H:H,)</f>
        <v>2023</v>
      </c>
      <c r="I154" s="40">
        <f>_xlfn.XLOOKUP($B154,'30'!$B:$B,'30'!I:I,)</f>
        <v>71.287800000000004</v>
      </c>
      <c r="J154" s="40">
        <f>_xlfn.XLOOKUP($B154,'30'!$B:$B,'30'!J:J,)</f>
        <v>100</v>
      </c>
      <c r="K154" s="629">
        <f>_xlfn.XLOOKUP($B154,'30'!$B:$B,'30'!K:K,)</f>
        <v>0.28810118850547217</v>
      </c>
      <c r="L154" s="629">
        <f>_xlfn.XLOOKUP($B154,'30'!$B:$B,'30'!L:L,)</f>
        <v>0.40413813935269732</v>
      </c>
      <c r="M154" s="40" t="str">
        <f>_xlfn.XLOOKUP($B154,'30'!$B:$B,'30'!M:M,)</f>
        <v>Avoided cost</v>
      </c>
      <c r="N154" s="326">
        <f>_xlfn.XLOOKUP($B154,'30'!$B:$B,'30'!N:N,)</f>
        <v>2.1428571428571401</v>
      </c>
      <c r="O154" s="40" t="str">
        <f>_xlfn.XLOOKUP($B154,'30'!$B:$B,'30'!O:O,)</f>
        <v>No</v>
      </c>
      <c r="P154" s="40" t="str">
        <f>_xlfn.XLOOKUP($B154,'30'!$B:$B,'30'!P:P,)</f>
        <v>Agreed with User Group to avoid double counting with the Nutrient removal service measure.</v>
      </c>
      <c r="Q154" s="40">
        <f>_xlfn.XLOOKUP($B154,'30'!$B:$B,'30'!Q:Q,)</f>
        <v>118</v>
      </c>
      <c r="R154" s="40" t="str">
        <f>_xlfn.XLOOKUP($B154,'30'!$B:$B,'30'!R:R,)</f>
        <v>Cranfield University (2011) The total costs of soil degradation in England and Wales</v>
      </c>
      <c r="S154" s="40" t="str">
        <f>_xlfn.XLOOKUP($B154,'30'!$B:$B,'30'!S:S,)</f>
        <v>ENCA</v>
      </c>
      <c r="T154" s="40">
        <f>_xlfn.XLOOKUP($B154,'30'!$B:$B,'30'!T:T,)</f>
        <v>2011</v>
      </c>
      <c r="U154" s="40" t="str">
        <f>_xlfn.XLOOKUP($B154,'30'!$B:$B,'30'!U:U,)</f>
        <v>UK</v>
      </c>
      <c r="V154" s="40" t="str">
        <f>_xlfn.XLOOKUP($B154,'30'!$B:$B,'30'!V:V,)</f>
        <v>UK</v>
      </c>
      <c r="W154" s="40" t="str">
        <f>_xlfn.XLOOKUP($B154,'30'!$B:$B,'30'!W:W,)</f>
        <v>/</v>
      </c>
    </row>
    <row r="155" spans="2:23">
      <c r="B155" s="39" t="s">
        <v>2732</v>
      </c>
      <c r="C155" s="40" t="str">
        <f>_xlfn.XLOOKUP($B155,'30'!$B:$B,'30'!C:C,)</f>
        <v>Habitat impact</v>
      </c>
      <c r="D155" s="40" t="str">
        <f>_xlfn.XLOOKUP($B155,'30'!$B:$B,'30'!D:D,)</f>
        <v>Urban woodland --- good</v>
      </c>
      <c r="E155" s="40" t="str">
        <f>_xlfn.XLOOKUP($B155,'30'!$B:$B,'30'!E:E,)</f>
        <v>Water quality</v>
      </c>
      <c r="F155" s="40">
        <f>_xlfn.XLOOKUP($B155,'30'!$B:$B,'30'!F:F,)</f>
        <v>2011</v>
      </c>
      <c r="G155" s="40">
        <f>_xlfn.XLOOKUP($B155,'30'!$B:$B,'30'!G:G,)</f>
        <v>2009</v>
      </c>
      <c r="H155" s="40">
        <f>_xlfn.XLOOKUP($B155,'30'!$B:$B,'30'!H:H,)</f>
        <v>2023</v>
      </c>
      <c r="I155" s="40">
        <f>_xlfn.XLOOKUP($B155,'30'!$B:$B,'30'!I:I,)</f>
        <v>71.287800000000004</v>
      </c>
      <c r="J155" s="40">
        <f>_xlfn.XLOOKUP($B155,'30'!$B:$B,'30'!J:J,)</f>
        <v>100</v>
      </c>
      <c r="K155" s="629">
        <f>_xlfn.XLOOKUP($B155,'30'!$B:$B,'30'!K:K,)</f>
        <v>0.19206745900364813</v>
      </c>
      <c r="L155" s="629">
        <f>_xlfn.XLOOKUP($B155,'30'!$B:$B,'30'!L:L,)</f>
        <v>0.26942542623513155</v>
      </c>
      <c r="M155" s="40" t="str">
        <f>_xlfn.XLOOKUP($B155,'30'!$B:$B,'30'!M:M,)</f>
        <v>Avoided cost</v>
      </c>
      <c r="N155" s="326">
        <f>_xlfn.XLOOKUP($B155,'30'!$B:$B,'30'!N:N,)</f>
        <v>2.1428571428571401</v>
      </c>
      <c r="O155" s="40" t="str">
        <f>_xlfn.XLOOKUP($B155,'30'!$B:$B,'30'!O:O,)</f>
        <v>No</v>
      </c>
      <c r="P155" s="40" t="str">
        <f>_xlfn.XLOOKUP($B155,'30'!$B:$B,'30'!P:P,)</f>
        <v>Agreed with User Group to avoid double counting with the Nutrient removal service measure.</v>
      </c>
      <c r="Q155" s="40">
        <f>_xlfn.XLOOKUP($B155,'30'!$B:$B,'30'!Q:Q,)</f>
        <v>118</v>
      </c>
      <c r="R155" s="40" t="str">
        <f>_xlfn.XLOOKUP($B155,'30'!$B:$B,'30'!R:R,)</f>
        <v>Cranfield University (2011) The total costs of soil degradation in England and Wales</v>
      </c>
      <c r="S155" s="40" t="str">
        <f>_xlfn.XLOOKUP($B155,'30'!$B:$B,'30'!S:S,)</f>
        <v>ENCA</v>
      </c>
      <c r="T155" s="40">
        <f>_xlfn.XLOOKUP($B155,'30'!$B:$B,'30'!T:T,)</f>
        <v>2011</v>
      </c>
      <c r="U155" s="40" t="str">
        <f>_xlfn.XLOOKUP($B155,'30'!$B:$B,'30'!U:U,)</f>
        <v>UK</v>
      </c>
      <c r="V155" s="40" t="str">
        <f>_xlfn.XLOOKUP($B155,'30'!$B:$B,'30'!V:V,)</f>
        <v>UK</v>
      </c>
      <c r="W155" s="40" t="str">
        <f>_xlfn.XLOOKUP($B155,'30'!$B:$B,'30'!W:W,)</f>
        <v>/</v>
      </c>
    </row>
    <row r="156" spans="2:23">
      <c r="B156" s="39" t="s">
        <v>2733</v>
      </c>
      <c r="C156" s="40" t="str">
        <f>_xlfn.XLOOKUP($B156,'30'!$B:$B,'30'!C:C,)</f>
        <v>Habitat impact</v>
      </c>
      <c r="D156" s="40" t="str">
        <f>_xlfn.XLOOKUP($B156,'30'!$B:$B,'30'!D:D,)</f>
        <v>Rural woodland --- poor</v>
      </c>
      <c r="E156" s="40" t="str">
        <f>_xlfn.XLOOKUP($B156,'30'!$B:$B,'30'!E:E,)</f>
        <v>Water quality</v>
      </c>
      <c r="F156" s="40">
        <f>_xlfn.XLOOKUP($B156,'30'!$B:$B,'30'!F:F,)</f>
        <v>2011</v>
      </c>
      <c r="G156" s="40">
        <f>_xlfn.XLOOKUP($B156,'30'!$B:$B,'30'!G:G,)</f>
        <v>2009</v>
      </c>
      <c r="H156" s="40">
        <f>_xlfn.XLOOKUP($B156,'30'!$B:$B,'30'!H:H,)</f>
        <v>2023</v>
      </c>
      <c r="I156" s="40">
        <f>_xlfn.XLOOKUP($B156,'30'!$B:$B,'30'!I:I,)</f>
        <v>71.287800000000004</v>
      </c>
      <c r="J156" s="40">
        <f>_xlfn.XLOOKUP($B156,'30'!$B:$B,'30'!J:J,)</f>
        <v>100</v>
      </c>
      <c r="K156" s="629">
        <f>_xlfn.XLOOKUP($B156,'30'!$B:$B,'30'!K:K,)</f>
        <v>0.38413491800729627</v>
      </c>
      <c r="L156" s="629">
        <f>_xlfn.XLOOKUP($B156,'30'!$B:$B,'30'!L:L,)</f>
        <v>0.5388508524702631</v>
      </c>
      <c r="M156" s="40" t="str">
        <f>_xlfn.XLOOKUP($B156,'30'!$B:$B,'30'!M:M,)</f>
        <v>Avoided cost</v>
      </c>
      <c r="N156" s="326">
        <f>_xlfn.XLOOKUP($B156,'30'!$B:$B,'30'!N:N,)</f>
        <v>2.1428571428571401</v>
      </c>
      <c r="O156" s="40" t="str">
        <f>_xlfn.XLOOKUP($B156,'30'!$B:$B,'30'!O:O,)</f>
        <v>No</v>
      </c>
      <c r="P156" s="40" t="str">
        <f>_xlfn.XLOOKUP($B156,'30'!$B:$B,'30'!P:P,)</f>
        <v>Agreed with User Group to avoid double counting with the Nutrient removal service measure.</v>
      </c>
      <c r="Q156" s="40">
        <f>_xlfn.XLOOKUP($B156,'30'!$B:$B,'30'!Q:Q,)</f>
        <v>118</v>
      </c>
      <c r="R156" s="40" t="str">
        <f>_xlfn.XLOOKUP($B156,'30'!$B:$B,'30'!R:R,)</f>
        <v>Cranfield University (2011) The total costs of soil degradation in England and Wales</v>
      </c>
      <c r="S156" s="40" t="str">
        <f>_xlfn.XLOOKUP($B156,'30'!$B:$B,'30'!S:S,)</f>
        <v>ENCA</v>
      </c>
      <c r="T156" s="40">
        <f>_xlfn.XLOOKUP($B156,'30'!$B:$B,'30'!T:T,)</f>
        <v>2011</v>
      </c>
      <c r="U156" s="40" t="str">
        <f>_xlfn.XLOOKUP($B156,'30'!$B:$B,'30'!U:U,)</f>
        <v>UK</v>
      </c>
      <c r="V156" s="40" t="str">
        <f>_xlfn.XLOOKUP($B156,'30'!$B:$B,'30'!V:V,)</f>
        <v>UK</v>
      </c>
      <c r="W156" s="40" t="str">
        <f>_xlfn.XLOOKUP($B156,'30'!$B:$B,'30'!W:W,)</f>
        <v>/</v>
      </c>
    </row>
    <row r="157" spans="2:23">
      <c r="B157" s="39" t="s">
        <v>2734</v>
      </c>
      <c r="C157" s="40" t="str">
        <f>_xlfn.XLOOKUP($B157,'30'!$B:$B,'30'!C:C,)</f>
        <v>Habitat impact</v>
      </c>
      <c r="D157" s="40" t="str">
        <f>_xlfn.XLOOKUP($B157,'30'!$B:$B,'30'!D:D,)</f>
        <v>Rural woodland --- moderate</v>
      </c>
      <c r="E157" s="40" t="str">
        <f>_xlfn.XLOOKUP($B157,'30'!$B:$B,'30'!E:E,)</f>
        <v>Water quality</v>
      </c>
      <c r="F157" s="40">
        <f>_xlfn.XLOOKUP($B157,'30'!$B:$B,'30'!F:F,)</f>
        <v>2011</v>
      </c>
      <c r="G157" s="40">
        <f>_xlfn.XLOOKUP($B157,'30'!$B:$B,'30'!G:G,)</f>
        <v>2009</v>
      </c>
      <c r="H157" s="40">
        <f>_xlfn.XLOOKUP($B157,'30'!$B:$B,'30'!H:H,)</f>
        <v>2023</v>
      </c>
      <c r="I157" s="40">
        <f>_xlfn.XLOOKUP($B157,'30'!$B:$B,'30'!I:I,)</f>
        <v>71.287800000000004</v>
      </c>
      <c r="J157" s="40">
        <f>_xlfn.XLOOKUP($B157,'30'!$B:$B,'30'!J:J,)</f>
        <v>100</v>
      </c>
      <c r="K157" s="629">
        <f>_xlfn.XLOOKUP($B157,'30'!$B:$B,'30'!K:K,)</f>
        <v>0.28810118850547217</v>
      </c>
      <c r="L157" s="629">
        <f>_xlfn.XLOOKUP($B157,'30'!$B:$B,'30'!L:L,)</f>
        <v>0.40413813935269732</v>
      </c>
      <c r="M157" s="40" t="str">
        <f>_xlfn.XLOOKUP($B157,'30'!$B:$B,'30'!M:M,)</f>
        <v>Avoided cost</v>
      </c>
      <c r="N157" s="326">
        <f>_xlfn.XLOOKUP($B157,'30'!$B:$B,'30'!N:N,)</f>
        <v>2.1428571428571401</v>
      </c>
      <c r="O157" s="40" t="str">
        <f>_xlfn.XLOOKUP($B157,'30'!$B:$B,'30'!O:O,)</f>
        <v>No</v>
      </c>
      <c r="P157" s="40" t="str">
        <f>_xlfn.XLOOKUP($B157,'30'!$B:$B,'30'!P:P,)</f>
        <v>Agreed with User Group to avoid double counting with the Nutrient removal service measure.</v>
      </c>
      <c r="Q157" s="40">
        <f>_xlfn.XLOOKUP($B157,'30'!$B:$B,'30'!Q:Q,)</f>
        <v>118</v>
      </c>
      <c r="R157" s="40" t="str">
        <f>_xlfn.XLOOKUP($B157,'30'!$B:$B,'30'!R:R,)</f>
        <v>Cranfield University (2011) The total costs of soil degradation in England and Wales</v>
      </c>
      <c r="S157" s="40" t="str">
        <f>_xlfn.XLOOKUP($B157,'30'!$B:$B,'30'!S:S,)</f>
        <v>ENCA</v>
      </c>
      <c r="T157" s="40">
        <f>_xlfn.XLOOKUP($B157,'30'!$B:$B,'30'!T:T,)</f>
        <v>2011</v>
      </c>
      <c r="U157" s="40" t="str">
        <f>_xlfn.XLOOKUP($B157,'30'!$B:$B,'30'!U:U,)</f>
        <v>UK</v>
      </c>
      <c r="V157" s="40" t="str">
        <f>_xlfn.XLOOKUP($B157,'30'!$B:$B,'30'!V:V,)</f>
        <v>UK</v>
      </c>
      <c r="W157" s="40" t="str">
        <f>_xlfn.XLOOKUP($B157,'30'!$B:$B,'30'!W:W,)</f>
        <v>/</v>
      </c>
    </row>
    <row r="158" spans="2:23">
      <c r="B158" s="39" t="s">
        <v>2735</v>
      </c>
      <c r="C158" s="40" t="str">
        <f>_xlfn.XLOOKUP($B158,'30'!$B:$B,'30'!C:C,)</f>
        <v>Habitat impact</v>
      </c>
      <c r="D158" s="40" t="str">
        <f>_xlfn.XLOOKUP($B158,'30'!$B:$B,'30'!D:D,)</f>
        <v>Rural woodland --- good</v>
      </c>
      <c r="E158" s="40" t="str">
        <f>_xlfn.XLOOKUP($B158,'30'!$B:$B,'30'!E:E,)</f>
        <v>Water quality</v>
      </c>
      <c r="F158" s="40">
        <f>_xlfn.XLOOKUP($B158,'30'!$B:$B,'30'!F:F,)</f>
        <v>2011</v>
      </c>
      <c r="G158" s="40">
        <f>_xlfn.XLOOKUP($B158,'30'!$B:$B,'30'!G:G,)</f>
        <v>2009</v>
      </c>
      <c r="H158" s="40">
        <f>_xlfn.XLOOKUP($B158,'30'!$B:$B,'30'!H:H,)</f>
        <v>2023</v>
      </c>
      <c r="I158" s="40">
        <f>_xlfn.XLOOKUP($B158,'30'!$B:$B,'30'!I:I,)</f>
        <v>71.287800000000004</v>
      </c>
      <c r="J158" s="40">
        <f>_xlfn.XLOOKUP($B158,'30'!$B:$B,'30'!J:J,)</f>
        <v>100</v>
      </c>
      <c r="K158" s="629">
        <f>_xlfn.XLOOKUP($B158,'30'!$B:$B,'30'!K:K,)</f>
        <v>0.19206745900364813</v>
      </c>
      <c r="L158" s="629">
        <f>_xlfn.XLOOKUP($B158,'30'!$B:$B,'30'!L:L,)</f>
        <v>0.26942542623513155</v>
      </c>
      <c r="M158" s="40" t="str">
        <f>_xlfn.XLOOKUP($B158,'30'!$B:$B,'30'!M:M,)</f>
        <v>Avoided cost</v>
      </c>
      <c r="N158" s="326">
        <f>_xlfn.XLOOKUP($B158,'30'!$B:$B,'30'!N:N,)</f>
        <v>2.1428571428571401</v>
      </c>
      <c r="O158" s="40" t="str">
        <f>_xlfn.XLOOKUP($B158,'30'!$B:$B,'30'!O:O,)</f>
        <v>No</v>
      </c>
      <c r="P158" s="40" t="str">
        <f>_xlfn.XLOOKUP($B158,'30'!$B:$B,'30'!P:P,)</f>
        <v>Agreed with User Group to avoid double counting with the Nutrient removal service measure.</v>
      </c>
      <c r="Q158" s="40">
        <f>_xlfn.XLOOKUP($B158,'30'!$B:$B,'30'!Q:Q,)</f>
        <v>118</v>
      </c>
      <c r="R158" s="40" t="str">
        <f>_xlfn.XLOOKUP($B158,'30'!$B:$B,'30'!R:R,)</f>
        <v>Cranfield University (2011) The total costs of soil degradation in England and Wales</v>
      </c>
      <c r="S158" s="40" t="str">
        <f>_xlfn.XLOOKUP($B158,'30'!$B:$B,'30'!S:S,)</f>
        <v>ENCA</v>
      </c>
      <c r="T158" s="40">
        <f>_xlfn.XLOOKUP($B158,'30'!$B:$B,'30'!T:T,)</f>
        <v>2011</v>
      </c>
      <c r="U158" s="40" t="str">
        <f>_xlfn.XLOOKUP($B158,'30'!$B:$B,'30'!U:U,)</f>
        <v>UK</v>
      </c>
      <c r="V158" s="40" t="str">
        <f>_xlfn.XLOOKUP($B158,'30'!$B:$B,'30'!V:V,)</f>
        <v>UK</v>
      </c>
      <c r="W158" s="40" t="str">
        <f>_xlfn.XLOOKUP($B158,'30'!$B:$B,'30'!W:W,)</f>
        <v>/</v>
      </c>
    </row>
    <row r="159" spans="2:23">
      <c r="B159" s="39" t="s">
        <v>2736</v>
      </c>
      <c r="C159" s="40" t="str">
        <f>_xlfn.XLOOKUP($B159,'30'!$B:$B,'30'!C:C,)</f>
        <v>Habitat impact</v>
      </c>
      <c r="D159" s="40" t="str">
        <f>_xlfn.XLOOKUP($B159,'30'!$B:$B,'30'!D:D,)</f>
        <v>Mountain moor &amp; heath --- poor</v>
      </c>
      <c r="E159" s="40" t="str">
        <f>_xlfn.XLOOKUP($B159,'30'!$B:$B,'30'!E:E,)</f>
        <v>Water quality</v>
      </c>
      <c r="F159" s="40">
        <f>_xlfn.XLOOKUP($B159,'30'!$B:$B,'30'!F:F,)</f>
        <v>2011</v>
      </c>
      <c r="G159" s="40">
        <f>_xlfn.XLOOKUP($B159,'30'!$B:$B,'30'!G:G,)</f>
        <v>2009</v>
      </c>
      <c r="H159" s="40">
        <f>_xlfn.XLOOKUP($B159,'30'!$B:$B,'30'!H:H,)</f>
        <v>2023</v>
      </c>
      <c r="I159" s="40">
        <f>_xlfn.XLOOKUP($B159,'30'!$B:$B,'30'!I:I,)</f>
        <v>71.287800000000004</v>
      </c>
      <c r="J159" s="40">
        <f>_xlfn.XLOOKUP($B159,'30'!$B:$B,'30'!J:J,)</f>
        <v>100</v>
      </c>
      <c r="K159" s="629">
        <f>_xlfn.XLOOKUP($B159,'30'!$B:$B,'30'!K:K,)</f>
        <v>0.38413491800729627</v>
      </c>
      <c r="L159" s="629">
        <f>_xlfn.XLOOKUP($B159,'30'!$B:$B,'30'!L:L,)</f>
        <v>0.5388508524702631</v>
      </c>
      <c r="M159" s="40" t="str">
        <f>_xlfn.XLOOKUP($B159,'30'!$B:$B,'30'!M:M,)</f>
        <v>Avoided cost</v>
      </c>
      <c r="N159" s="326">
        <f>_xlfn.XLOOKUP($B159,'30'!$B:$B,'30'!N:N,)</f>
        <v>2.1428571428571401</v>
      </c>
      <c r="O159" s="40" t="str">
        <f>_xlfn.XLOOKUP($B159,'30'!$B:$B,'30'!O:O,)</f>
        <v>Yes</v>
      </c>
      <c r="P159" s="40" t="str">
        <f>_xlfn.XLOOKUP($B159,'30'!$B:$B,'30'!P:P,)</f>
        <v>This is the only value found available. We have decided to include as it is vetted by Defra.</v>
      </c>
      <c r="Q159" s="40">
        <f>_xlfn.XLOOKUP($B159,'30'!$B:$B,'30'!Q:Q,)</f>
        <v>118</v>
      </c>
      <c r="R159" s="40" t="str">
        <f>_xlfn.XLOOKUP($B159,'30'!$B:$B,'30'!R:R,)</f>
        <v>Cranfield University (2011) The total costs of soil degradation in England and Wales</v>
      </c>
      <c r="S159" s="40" t="str">
        <f>_xlfn.XLOOKUP($B159,'30'!$B:$B,'30'!S:S,)</f>
        <v>ENCA</v>
      </c>
      <c r="T159" s="40">
        <f>_xlfn.XLOOKUP($B159,'30'!$B:$B,'30'!T:T,)</f>
        <v>2011</v>
      </c>
      <c r="U159" s="40" t="str">
        <f>_xlfn.XLOOKUP($B159,'30'!$B:$B,'30'!U:U,)</f>
        <v>UK</v>
      </c>
      <c r="V159" s="40" t="str">
        <f>_xlfn.XLOOKUP($B159,'30'!$B:$B,'30'!V:V,)</f>
        <v>UK</v>
      </c>
      <c r="W159" s="40" t="str">
        <f>_xlfn.XLOOKUP($B159,'30'!$B:$B,'30'!W:W,)</f>
        <v>/</v>
      </c>
    </row>
    <row r="160" spans="2:23">
      <c r="B160" s="39" t="s">
        <v>2737</v>
      </c>
      <c r="C160" s="40" t="str">
        <f>_xlfn.XLOOKUP($B160,'30'!$B:$B,'30'!C:C,)</f>
        <v>Habitat impact</v>
      </c>
      <c r="D160" s="40" t="str">
        <f>_xlfn.XLOOKUP($B160,'30'!$B:$B,'30'!D:D,)</f>
        <v>Mountain moor &amp; heath --- moderate</v>
      </c>
      <c r="E160" s="40" t="str">
        <f>_xlfn.XLOOKUP($B160,'30'!$B:$B,'30'!E:E,)</f>
        <v>Water quality</v>
      </c>
      <c r="F160" s="40">
        <f>_xlfn.XLOOKUP($B160,'30'!$B:$B,'30'!F:F,)</f>
        <v>2011</v>
      </c>
      <c r="G160" s="40">
        <f>_xlfn.XLOOKUP($B160,'30'!$B:$B,'30'!G:G,)</f>
        <v>2009</v>
      </c>
      <c r="H160" s="40">
        <f>_xlfn.XLOOKUP($B160,'30'!$B:$B,'30'!H:H,)</f>
        <v>2023</v>
      </c>
      <c r="I160" s="40">
        <f>_xlfn.XLOOKUP($B160,'30'!$B:$B,'30'!I:I,)</f>
        <v>71.287800000000004</v>
      </c>
      <c r="J160" s="40">
        <f>_xlfn.XLOOKUP($B160,'30'!$B:$B,'30'!J:J,)</f>
        <v>100</v>
      </c>
      <c r="K160" s="629">
        <f>_xlfn.XLOOKUP($B160,'30'!$B:$B,'30'!K:K,)</f>
        <v>0.28810118850547217</v>
      </c>
      <c r="L160" s="629">
        <f>_xlfn.XLOOKUP($B160,'30'!$B:$B,'30'!L:L,)</f>
        <v>0.40413813935269732</v>
      </c>
      <c r="M160" s="40" t="str">
        <f>_xlfn.XLOOKUP($B160,'30'!$B:$B,'30'!M:M,)</f>
        <v>Avoided cost</v>
      </c>
      <c r="N160" s="326">
        <f>_xlfn.XLOOKUP($B160,'30'!$B:$B,'30'!N:N,)</f>
        <v>2.1428571428571401</v>
      </c>
      <c r="O160" s="40" t="str">
        <f>_xlfn.XLOOKUP($B160,'30'!$B:$B,'30'!O:O,)</f>
        <v>Yes</v>
      </c>
      <c r="P160" s="40" t="str">
        <f>_xlfn.XLOOKUP($B160,'30'!$B:$B,'30'!P:P,)</f>
        <v>This is the only value found available. We have decided to include as it is vetted by Defra.</v>
      </c>
      <c r="Q160" s="40">
        <f>_xlfn.XLOOKUP($B160,'30'!$B:$B,'30'!Q:Q,)</f>
        <v>118</v>
      </c>
      <c r="R160" s="40" t="str">
        <f>_xlfn.XLOOKUP($B160,'30'!$B:$B,'30'!R:R,)</f>
        <v>Cranfield University (2011) The total costs of soil degradation in England and Wales</v>
      </c>
      <c r="S160" s="40" t="str">
        <f>_xlfn.XLOOKUP($B160,'30'!$B:$B,'30'!S:S,)</f>
        <v>ENCA</v>
      </c>
      <c r="T160" s="40">
        <f>_xlfn.XLOOKUP($B160,'30'!$B:$B,'30'!T:T,)</f>
        <v>2011</v>
      </c>
      <c r="U160" s="40" t="str">
        <f>_xlfn.XLOOKUP($B160,'30'!$B:$B,'30'!U:U,)</f>
        <v>UK</v>
      </c>
      <c r="V160" s="40" t="str">
        <f>_xlfn.XLOOKUP($B160,'30'!$B:$B,'30'!V:V,)</f>
        <v>UK</v>
      </c>
      <c r="W160" s="40" t="str">
        <f>_xlfn.XLOOKUP($B160,'30'!$B:$B,'30'!W:W,)</f>
        <v>/</v>
      </c>
    </row>
    <row r="161" spans="2:23">
      <c r="B161" s="39" t="s">
        <v>2738</v>
      </c>
      <c r="C161" s="40" t="str">
        <f>_xlfn.XLOOKUP($B161,'30'!$B:$B,'30'!C:C,)</f>
        <v>Habitat impact</v>
      </c>
      <c r="D161" s="40" t="str">
        <f>_xlfn.XLOOKUP($B161,'30'!$B:$B,'30'!D:D,)</f>
        <v>Mountain moor &amp; heath --- good</v>
      </c>
      <c r="E161" s="40" t="str">
        <f>_xlfn.XLOOKUP($B161,'30'!$B:$B,'30'!E:E,)</f>
        <v>Water quality</v>
      </c>
      <c r="F161" s="40">
        <f>_xlfn.XLOOKUP($B161,'30'!$B:$B,'30'!F:F,)</f>
        <v>2011</v>
      </c>
      <c r="G161" s="40">
        <f>_xlfn.XLOOKUP($B161,'30'!$B:$B,'30'!G:G,)</f>
        <v>2009</v>
      </c>
      <c r="H161" s="40">
        <f>_xlfn.XLOOKUP($B161,'30'!$B:$B,'30'!H:H,)</f>
        <v>2023</v>
      </c>
      <c r="I161" s="40">
        <f>_xlfn.XLOOKUP($B161,'30'!$B:$B,'30'!I:I,)</f>
        <v>71.287800000000004</v>
      </c>
      <c r="J161" s="40">
        <f>_xlfn.XLOOKUP($B161,'30'!$B:$B,'30'!J:J,)</f>
        <v>100</v>
      </c>
      <c r="K161" s="629">
        <f>_xlfn.XLOOKUP($B161,'30'!$B:$B,'30'!K:K,)</f>
        <v>0.19206745900364813</v>
      </c>
      <c r="L161" s="629">
        <f>_xlfn.XLOOKUP($B161,'30'!$B:$B,'30'!L:L,)</f>
        <v>0.26942542623513155</v>
      </c>
      <c r="M161" s="40" t="str">
        <f>_xlfn.XLOOKUP($B161,'30'!$B:$B,'30'!M:M,)</f>
        <v>Avoided cost</v>
      </c>
      <c r="N161" s="326">
        <f>_xlfn.XLOOKUP($B161,'30'!$B:$B,'30'!N:N,)</f>
        <v>2.1428571428571401</v>
      </c>
      <c r="O161" s="40" t="str">
        <f>_xlfn.XLOOKUP($B161,'30'!$B:$B,'30'!O:O,)</f>
        <v>Yes</v>
      </c>
      <c r="P161" s="40" t="str">
        <f>_xlfn.XLOOKUP($B161,'30'!$B:$B,'30'!P:P,)</f>
        <v>This is the only value found available. We have decided to include as it is vetted by Defra.</v>
      </c>
      <c r="Q161" s="40">
        <f>_xlfn.XLOOKUP($B161,'30'!$B:$B,'30'!Q:Q,)</f>
        <v>118</v>
      </c>
      <c r="R161" s="40" t="str">
        <f>_xlfn.XLOOKUP($B161,'30'!$B:$B,'30'!R:R,)</f>
        <v>Cranfield University (2011) The total costs of soil degradation in England and Wales</v>
      </c>
      <c r="S161" s="40" t="str">
        <f>_xlfn.XLOOKUP($B161,'30'!$B:$B,'30'!S:S,)</f>
        <v>ENCA</v>
      </c>
      <c r="T161" s="40">
        <f>_xlfn.XLOOKUP($B161,'30'!$B:$B,'30'!T:T,)</f>
        <v>2011</v>
      </c>
      <c r="U161" s="40" t="str">
        <f>_xlfn.XLOOKUP($B161,'30'!$B:$B,'30'!U:U,)</f>
        <v>UK</v>
      </c>
      <c r="V161" s="40" t="str">
        <f>_xlfn.XLOOKUP($B161,'30'!$B:$B,'30'!V:V,)</f>
        <v>UK</v>
      </c>
      <c r="W161" s="40" t="str">
        <f>_xlfn.XLOOKUP($B161,'30'!$B:$B,'30'!W:W,)</f>
        <v>/</v>
      </c>
    </row>
    <row r="162" spans="2:23">
      <c r="B162" s="39" t="s">
        <v>2739</v>
      </c>
      <c r="C162" s="40" t="str">
        <f>_xlfn.XLOOKUP($B162,'30'!$B:$B,'30'!C:C,)</f>
        <v>Habitat impact</v>
      </c>
      <c r="D162" s="40" t="str">
        <f>_xlfn.XLOOKUP($B162,'30'!$B:$B,'30'!D:D,)</f>
        <v>Urban wetland ---  good</v>
      </c>
      <c r="E162" s="40" t="str">
        <f>_xlfn.XLOOKUP($B162,'30'!$B:$B,'30'!E:E,)</f>
        <v>Water quality</v>
      </c>
      <c r="F162" s="40">
        <f>_xlfn.XLOOKUP($B162,'30'!$B:$B,'30'!F:F,)</f>
        <v>2011</v>
      </c>
      <c r="G162" s="40">
        <f>_xlfn.XLOOKUP($B162,'30'!$B:$B,'30'!G:G,)</f>
        <v>2010</v>
      </c>
      <c r="H162" s="40">
        <f>_xlfn.XLOOKUP($B162,'30'!$B:$B,'30'!H:H,)</f>
        <v>2023</v>
      </c>
      <c r="I162" s="40">
        <f>_xlfn.XLOOKUP($B162,'30'!$B:$B,'30'!I:I,)</f>
        <v>72.415099999999995</v>
      </c>
      <c r="J162" s="40">
        <f>_xlfn.XLOOKUP($B162,'30'!$B:$B,'30'!J:J,)</f>
        <v>100</v>
      </c>
      <c r="K162" s="629">
        <f>_xlfn.XLOOKUP($B162,'30'!$B:$B,'30'!K:K,)</f>
        <v>-364</v>
      </c>
      <c r="L162" s="629">
        <f>_xlfn.XLOOKUP($B162,'30'!$B:$B,'30'!L:L,)</f>
        <v>-502.65759489388262</v>
      </c>
      <c r="M162" s="40" t="str">
        <f>_xlfn.XLOOKUP($B162,'30'!$B:$B,'30'!M:M,)</f>
        <v>Unclear</v>
      </c>
      <c r="N162" s="326">
        <f>_xlfn.XLOOKUP($B162,'30'!$B:$B,'30'!N:N,)</f>
        <v>2.1428571428571401</v>
      </c>
      <c r="O162" s="40" t="str">
        <f>_xlfn.XLOOKUP($B162,'30'!$B:$B,'30'!O:O,)</f>
        <v>No</v>
      </c>
      <c r="P162" s="40" t="str">
        <f>_xlfn.XLOOKUP($B162,'30'!$B:$B,'30'!P:P,)</f>
        <v>Agreed with User Group to avoid double counting with the Nutrient removal service measure.</v>
      </c>
      <c r="Q162" s="40">
        <f>_xlfn.XLOOKUP($B162,'30'!$B:$B,'30'!Q:Q,)</f>
        <v>117</v>
      </c>
      <c r="R162" s="40" t="str">
        <f>_xlfn.XLOOKUP($B162,'30'!$B:$B,'30'!R:R,)</f>
        <v>Morris and Camino (2011) UK NEA Working Paper Economic Assessment of Freshwater, Wetland and Floodplain (FWF) Ecosystem Services</v>
      </c>
      <c r="S162" s="40" t="str">
        <f>_xlfn.XLOOKUP($B162,'30'!$B:$B,'30'!S:S,)</f>
        <v>ENCA</v>
      </c>
      <c r="T162" s="40">
        <f>_xlfn.XLOOKUP($B162,'30'!$B:$B,'30'!T:T,)</f>
        <v>2011</v>
      </c>
      <c r="U162" s="40" t="str">
        <f>_xlfn.XLOOKUP($B162,'30'!$B:$B,'30'!U:U,)</f>
        <v>UK</v>
      </c>
      <c r="V162" s="40" t="str">
        <f>_xlfn.XLOOKUP($B162,'30'!$B:$B,'30'!V:V,)</f>
        <v>UK</v>
      </c>
      <c r="W162" s="40" t="str">
        <f>_xlfn.XLOOKUP($B162,'30'!$B:$B,'30'!W:W,)</f>
        <v>/</v>
      </c>
    </row>
    <row r="163" spans="2:23">
      <c r="B163" s="39" t="s">
        <v>2740</v>
      </c>
      <c r="C163" s="40" t="str">
        <f>_xlfn.XLOOKUP($B163,'30'!$B:$B,'30'!C:C,)</f>
        <v>Habitat impact</v>
      </c>
      <c r="D163" s="40" t="str">
        <f>_xlfn.XLOOKUP($B163,'30'!$B:$B,'30'!D:D,)</f>
        <v>Urban wetland --- moderate</v>
      </c>
      <c r="E163" s="40" t="str">
        <f>_xlfn.XLOOKUP($B163,'30'!$B:$B,'30'!E:E,)</f>
        <v>Water quality</v>
      </c>
      <c r="F163" s="40">
        <f>_xlfn.XLOOKUP($B163,'30'!$B:$B,'30'!F:F,)</f>
        <v>2011</v>
      </c>
      <c r="G163" s="40">
        <f>_xlfn.XLOOKUP($B163,'30'!$B:$B,'30'!G:G,)</f>
        <v>2010</v>
      </c>
      <c r="H163" s="40">
        <f>_xlfn.XLOOKUP($B163,'30'!$B:$B,'30'!H:H,)</f>
        <v>2023</v>
      </c>
      <c r="I163" s="40">
        <f>_xlfn.XLOOKUP($B163,'30'!$B:$B,'30'!I:I,)</f>
        <v>72.415099999999995</v>
      </c>
      <c r="J163" s="40">
        <f>_xlfn.XLOOKUP($B163,'30'!$B:$B,'30'!J:J,)</f>
        <v>100</v>
      </c>
      <c r="K163" s="629">
        <f>_xlfn.XLOOKUP($B163,'30'!$B:$B,'30'!K:K,)</f>
        <v>-273</v>
      </c>
      <c r="L163" s="629">
        <f>_xlfn.XLOOKUP($B163,'30'!$B:$B,'30'!L:L,)</f>
        <v>-376.99319617041198</v>
      </c>
      <c r="M163" s="40" t="str">
        <f>_xlfn.XLOOKUP($B163,'30'!$B:$B,'30'!M:M,)</f>
        <v>Unclear</v>
      </c>
      <c r="N163" s="326">
        <f>_xlfn.XLOOKUP($B163,'30'!$B:$B,'30'!N:N,)</f>
        <v>2.1428571428571401</v>
      </c>
      <c r="O163" s="40" t="str">
        <f>_xlfn.XLOOKUP($B163,'30'!$B:$B,'30'!O:O,)</f>
        <v>No</v>
      </c>
      <c r="P163" s="40" t="str">
        <f>_xlfn.XLOOKUP($B163,'30'!$B:$B,'30'!P:P,)</f>
        <v>Agreed with User Group to avoid double counting with the Nutrient removal service measure.</v>
      </c>
      <c r="Q163" s="40">
        <f>_xlfn.XLOOKUP($B163,'30'!$B:$B,'30'!Q:Q,)</f>
        <v>117</v>
      </c>
      <c r="R163" s="40" t="str">
        <f>_xlfn.XLOOKUP($B163,'30'!$B:$B,'30'!R:R,)</f>
        <v>Morris and Camino (2011) UK NEA Working Paper Economic Assessment of Freshwater, Wetland and Floodplain (FWF) Ecosystem Services</v>
      </c>
      <c r="S163" s="40" t="str">
        <f>_xlfn.XLOOKUP($B163,'30'!$B:$B,'30'!S:S,)</f>
        <v>ENCA</v>
      </c>
      <c r="T163" s="40">
        <f>_xlfn.XLOOKUP($B163,'30'!$B:$B,'30'!T:T,)</f>
        <v>2011</v>
      </c>
      <c r="U163" s="40" t="str">
        <f>_xlfn.XLOOKUP($B163,'30'!$B:$B,'30'!U:U,)</f>
        <v>UK</v>
      </c>
      <c r="V163" s="40" t="str">
        <f>_xlfn.XLOOKUP($B163,'30'!$B:$B,'30'!V:V,)</f>
        <v>UK</v>
      </c>
      <c r="W163" s="40" t="str">
        <f>_xlfn.XLOOKUP($B163,'30'!$B:$B,'30'!W:W,)</f>
        <v>/</v>
      </c>
    </row>
    <row r="164" spans="2:23">
      <c r="B164" s="39" t="s">
        <v>2741</v>
      </c>
      <c r="C164" s="40" t="str">
        <f>_xlfn.XLOOKUP($B164,'30'!$B:$B,'30'!C:C,)</f>
        <v>Habitat impact</v>
      </c>
      <c r="D164" s="40" t="str">
        <f>_xlfn.XLOOKUP($B164,'30'!$B:$B,'30'!D:D,)</f>
        <v>Urban wetland --- poor</v>
      </c>
      <c r="E164" s="40" t="str">
        <f>_xlfn.XLOOKUP($B164,'30'!$B:$B,'30'!E:E,)</f>
        <v>Water quality</v>
      </c>
      <c r="F164" s="40">
        <f>_xlfn.XLOOKUP($B164,'30'!$B:$B,'30'!F:F,)</f>
        <v>2011</v>
      </c>
      <c r="G164" s="40">
        <f>_xlfn.XLOOKUP($B164,'30'!$B:$B,'30'!G:G,)</f>
        <v>2010</v>
      </c>
      <c r="H164" s="40">
        <f>_xlfn.XLOOKUP($B164,'30'!$B:$B,'30'!H:H,)</f>
        <v>2023</v>
      </c>
      <c r="I164" s="40">
        <f>_xlfn.XLOOKUP($B164,'30'!$B:$B,'30'!I:I,)</f>
        <v>72.415099999999995</v>
      </c>
      <c r="J164" s="40">
        <f>_xlfn.XLOOKUP($B164,'30'!$B:$B,'30'!J:J,)</f>
        <v>100</v>
      </c>
      <c r="K164" s="629">
        <f>_xlfn.XLOOKUP($B164,'30'!$B:$B,'30'!K:K,)</f>
        <v>-182</v>
      </c>
      <c r="L164" s="629">
        <f>_xlfn.XLOOKUP($B164,'30'!$B:$B,'30'!L:L,)</f>
        <v>-251.32879744694131</v>
      </c>
      <c r="M164" s="40" t="str">
        <f>_xlfn.XLOOKUP($B164,'30'!$B:$B,'30'!M:M,)</f>
        <v>Unclear</v>
      </c>
      <c r="N164" s="326">
        <f>_xlfn.XLOOKUP($B164,'30'!$B:$B,'30'!N:N,)</f>
        <v>2.1428571428571401</v>
      </c>
      <c r="O164" s="40" t="str">
        <f>_xlfn.XLOOKUP($B164,'30'!$B:$B,'30'!O:O,)</f>
        <v>No</v>
      </c>
      <c r="P164" s="40" t="str">
        <f>_xlfn.XLOOKUP($B164,'30'!$B:$B,'30'!P:P,)</f>
        <v>Agreed with User Group to avoid double counting with the Nutrient removal service measure.</v>
      </c>
      <c r="Q164" s="40">
        <f>_xlfn.XLOOKUP($B164,'30'!$B:$B,'30'!Q:Q,)</f>
        <v>117</v>
      </c>
      <c r="R164" s="40" t="str">
        <f>_xlfn.XLOOKUP($B164,'30'!$B:$B,'30'!R:R,)</f>
        <v>Morris and Camino (2011) UK NEA Working Paper Economic Assessment of Freshwater, Wetland and Floodplain (FWF) Ecosystem Services</v>
      </c>
      <c r="S164" s="40" t="str">
        <f>_xlfn.XLOOKUP($B164,'30'!$B:$B,'30'!S:S,)</f>
        <v>ENCA</v>
      </c>
      <c r="T164" s="40">
        <f>_xlfn.XLOOKUP($B164,'30'!$B:$B,'30'!T:T,)</f>
        <v>2011</v>
      </c>
      <c r="U164" s="40" t="str">
        <f>_xlfn.XLOOKUP($B164,'30'!$B:$B,'30'!U:U,)</f>
        <v>UK</v>
      </c>
      <c r="V164" s="40" t="str">
        <f>_xlfn.XLOOKUP($B164,'30'!$B:$B,'30'!V:V,)</f>
        <v>UK</v>
      </c>
      <c r="W164" s="40" t="str">
        <f>_xlfn.XLOOKUP($B164,'30'!$B:$B,'30'!W:W,)</f>
        <v>/</v>
      </c>
    </row>
    <row r="165" spans="2:23">
      <c r="B165" s="39" t="s">
        <v>2742</v>
      </c>
      <c r="C165" s="40" t="str">
        <f>_xlfn.XLOOKUP($B165,'30'!$B:$B,'30'!C:C,)</f>
        <v>Habitat impact</v>
      </c>
      <c r="D165" s="40" t="str">
        <f>_xlfn.XLOOKUP($B165,'30'!$B:$B,'30'!D:D,)</f>
        <v>Rural wetland --- good</v>
      </c>
      <c r="E165" s="40" t="str">
        <f>_xlfn.XLOOKUP($B165,'30'!$B:$B,'30'!E:E,)</f>
        <v>Water quality</v>
      </c>
      <c r="F165" s="40">
        <f>_xlfn.XLOOKUP($B165,'30'!$B:$B,'30'!F:F,)</f>
        <v>2011</v>
      </c>
      <c r="G165" s="40">
        <f>_xlfn.XLOOKUP($B165,'30'!$B:$B,'30'!G:G,)</f>
        <v>2010</v>
      </c>
      <c r="H165" s="40">
        <f>_xlfn.XLOOKUP($B165,'30'!$B:$B,'30'!H:H,)</f>
        <v>2023</v>
      </c>
      <c r="I165" s="40">
        <f>_xlfn.XLOOKUP($B165,'30'!$B:$B,'30'!I:I,)</f>
        <v>72.415099999999995</v>
      </c>
      <c r="J165" s="40">
        <f>_xlfn.XLOOKUP($B165,'30'!$B:$B,'30'!J:J,)</f>
        <v>100</v>
      </c>
      <c r="K165" s="629">
        <f>_xlfn.XLOOKUP($B165,'30'!$B:$B,'30'!K:K,)</f>
        <v>-364</v>
      </c>
      <c r="L165" s="629">
        <f>_xlfn.XLOOKUP($B165,'30'!$B:$B,'30'!L:L,)</f>
        <v>-502.65759489388262</v>
      </c>
      <c r="M165" s="40" t="str">
        <f>_xlfn.XLOOKUP($B165,'30'!$B:$B,'30'!M:M,)</f>
        <v>Unclear</v>
      </c>
      <c r="N165" s="326">
        <f>_xlfn.XLOOKUP($B165,'30'!$B:$B,'30'!N:N,)</f>
        <v>2.1428571428571401</v>
      </c>
      <c r="O165" s="40" t="str">
        <f>_xlfn.XLOOKUP($B165,'30'!$B:$B,'30'!O:O,)</f>
        <v>No</v>
      </c>
      <c r="P165" s="40" t="str">
        <f>_xlfn.XLOOKUP($B165,'30'!$B:$B,'30'!P:P,)</f>
        <v>Agreed with User Group to avoid double counting with the Nutrient removal service measure.</v>
      </c>
      <c r="Q165" s="40">
        <f>_xlfn.XLOOKUP($B165,'30'!$B:$B,'30'!Q:Q,)</f>
        <v>117</v>
      </c>
      <c r="R165" s="40" t="str">
        <f>_xlfn.XLOOKUP($B165,'30'!$B:$B,'30'!R:R,)</f>
        <v>Morris and Camino (2011) UK NEA Working Paper Economic Assessment of Freshwater, Wetland and Floodplain (FWF) Ecosystem Services</v>
      </c>
      <c r="S165" s="40" t="str">
        <f>_xlfn.XLOOKUP($B165,'30'!$B:$B,'30'!S:S,)</f>
        <v>ENCA</v>
      </c>
      <c r="T165" s="40">
        <f>_xlfn.XLOOKUP($B165,'30'!$B:$B,'30'!T:T,)</f>
        <v>2011</v>
      </c>
      <c r="U165" s="40" t="str">
        <f>_xlfn.XLOOKUP($B165,'30'!$B:$B,'30'!U:U,)</f>
        <v>UK</v>
      </c>
      <c r="V165" s="40" t="str">
        <f>_xlfn.XLOOKUP($B165,'30'!$B:$B,'30'!V:V,)</f>
        <v>UK</v>
      </c>
      <c r="W165" s="40" t="str">
        <f>_xlfn.XLOOKUP($B165,'30'!$B:$B,'30'!W:W,)</f>
        <v>/</v>
      </c>
    </row>
    <row r="166" spans="2:23">
      <c r="B166" s="39" t="s">
        <v>2743</v>
      </c>
      <c r="C166" s="40" t="str">
        <f>_xlfn.XLOOKUP($B166,'30'!$B:$B,'30'!C:C,)</f>
        <v>Habitat impact</v>
      </c>
      <c r="D166" s="40" t="str">
        <f>_xlfn.XLOOKUP($B166,'30'!$B:$B,'30'!D:D,)</f>
        <v>Rural wetland --- moderate</v>
      </c>
      <c r="E166" s="40" t="str">
        <f>_xlfn.XLOOKUP($B166,'30'!$B:$B,'30'!E:E,)</f>
        <v>Water quality</v>
      </c>
      <c r="F166" s="40">
        <f>_xlfn.XLOOKUP($B166,'30'!$B:$B,'30'!F:F,)</f>
        <v>2011</v>
      </c>
      <c r="G166" s="40">
        <f>_xlfn.XLOOKUP($B166,'30'!$B:$B,'30'!G:G,)</f>
        <v>2010</v>
      </c>
      <c r="H166" s="40">
        <f>_xlfn.XLOOKUP($B166,'30'!$B:$B,'30'!H:H,)</f>
        <v>2023</v>
      </c>
      <c r="I166" s="40">
        <f>_xlfn.XLOOKUP($B166,'30'!$B:$B,'30'!I:I,)</f>
        <v>72.415099999999995</v>
      </c>
      <c r="J166" s="40">
        <f>_xlfn.XLOOKUP($B166,'30'!$B:$B,'30'!J:J,)</f>
        <v>100</v>
      </c>
      <c r="K166" s="629">
        <f>_xlfn.XLOOKUP($B166,'30'!$B:$B,'30'!K:K,)</f>
        <v>-273</v>
      </c>
      <c r="L166" s="629">
        <f>_xlfn.XLOOKUP($B166,'30'!$B:$B,'30'!L:L,)</f>
        <v>-376.99319617041198</v>
      </c>
      <c r="M166" s="40" t="str">
        <f>_xlfn.XLOOKUP($B166,'30'!$B:$B,'30'!M:M,)</f>
        <v>Unclear</v>
      </c>
      <c r="N166" s="326">
        <f>_xlfn.XLOOKUP($B166,'30'!$B:$B,'30'!N:N,)</f>
        <v>2.1428571428571401</v>
      </c>
      <c r="O166" s="40" t="str">
        <f>_xlfn.XLOOKUP($B166,'30'!$B:$B,'30'!O:O,)</f>
        <v>No</v>
      </c>
      <c r="P166" s="40" t="str">
        <f>_xlfn.XLOOKUP($B166,'30'!$B:$B,'30'!P:P,)</f>
        <v>Agreed with User Group to avoid double counting with the Nutrient removal service measure.</v>
      </c>
      <c r="Q166" s="40">
        <f>_xlfn.XLOOKUP($B166,'30'!$B:$B,'30'!Q:Q,)</f>
        <v>117</v>
      </c>
      <c r="R166" s="40" t="str">
        <f>_xlfn.XLOOKUP($B166,'30'!$B:$B,'30'!R:R,)</f>
        <v>Morris and Camino (2011) UK NEA Working Paper Economic Assessment of Freshwater, Wetland and Floodplain (FWF) Ecosystem Services</v>
      </c>
      <c r="S166" s="40" t="str">
        <f>_xlfn.XLOOKUP($B166,'30'!$B:$B,'30'!S:S,)</f>
        <v>ENCA</v>
      </c>
      <c r="T166" s="40">
        <f>_xlfn.XLOOKUP($B166,'30'!$B:$B,'30'!T:T,)</f>
        <v>2011</v>
      </c>
      <c r="U166" s="40" t="str">
        <f>_xlfn.XLOOKUP($B166,'30'!$B:$B,'30'!U:U,)</f>
        <v>UK</v>
      </c>
      <c r="V166" s="40" t="str">
        <f>_xlfn.XLOOKUP($B166,'30'!$B:$B,'30'!V:V,)</f>
        <v>UK</v>
      </c>
      <c r="W166" s="40" t="str">
        <f>_xlfn.XLOOKUP($B166,'30'!$B:$B,'30'!W:W,)</f>
        <v>/</v>
      </c>
    </row>
    <row r="167" spans="2:23">
      <c r="B167" s="39" t="s">
        <v>2744</v>
      </c>
      <c r="C167" s="40" t="str">
        <f>_xlfn.XLOOKUP($B167,'30'!$B:$B,'30'!C:C,)</f>
        <v>Habitat impact</v>
      </c>
      <c r="D167" s="40" t="str">
        <f>_xlfn.XLOOKUP($B167,'30'!$B:$B,'30'!D:D,)</f>
        <v>Rural wetland --- poor</v>
      </c>
      <c r="E167" s="40" t="str">
        <f>_xlfn.XLOOKUP($B167,'30'!$B:$B,'30'!E:E,)</f>
        <v>Water quality</v>
      </c>
      <c r="F167" s="40">
        <f>_xlfn.XLOOKUP($B167,'30'!$B:$B,'30'!F:F,)</f>
        <v>2011</v>
      </c>
      <c r="G167" s="40">
        <f>_xlfn.XLOOKUP($B167,'30'!$B:$B,'30'!G:G,)</f>
        <v>2010</v>
      </c>
      <c r="H167" s="40">
        <f>_xlfn.XLOOKUP($B167,'30'!$B:$B,'30'!H:H,)</f>
        <v>2023</v>
      </c>
      <c r="I167" s="40">
        <f>_xlfn.XLOOKUP($B167,'30'!$B:$B,'30'!I:I,)</f>
        <v>72.415099999999995</v>
      </c>
      <c r="J167" s="40">
        <f>_xlfn.XLOOKUP($B167,'30'!$B:$B,'30'!J:J,)</f>
        <v>100</v>
      </c>
      <c r="K167" s="629">
        <f>_xlfn.XLOOKUP($B167,'30'!$B:$B,'30'!K:K,)</f>
        <v>-182</v>
      </c>
      <c r="L167" s="629">
        <f>_xlfn.XLOOKUP($B167,'30'!$B:$B,'30'!L:L,)</f>
        <v>-251.32879744694131</v>
      </c>
      <c r="M167" s="40" t="str">
        <f>_xlfn.XLOOKUP($B167,'30'!$B:$B,'30'!M:M,)</f>
        <v>Unclear</v>
      </c>
      <c r="N167" s="326">
        <f>_xlfn.XLOOKUP($B167,'30'!$B:$B,'30'!N:N,)</f>
        <v>2.1428571428571401</v>
      </c>
      <c r="O167" s="40" t="str">
        <f>_xlfn.XLOOKUP($B167,'30'!$B:$B,'30'!O:O,)</f>
        <v>No</v>
      </c>
      <c r="P167" s="40" t="str">
        <f>_xlfn.XLOOKUP($B167,'30'!$B:$B,'30'!P:P,)</f>
        <v>Agreed with User Group to avoid double counting with the Nutrient removal service measure.</v>
      </c>
      <c r="Q167" s="40">
        <f>_xlfn.XLOOKUP($B167,'30'!$B:$B,'30'!Q:Q,)</f>
        <v>117</v>
      </c>
      <c r="R167" s="40" t="str">
        <f>_xlfn.XLOOKUP($B167,'30'!$B:$B,'30'!R:R,)</f>
        <v>Morris and Camino (2011) UK NEA Working Paper Economic Assessment of Freshwater, Wetland and Floodplain (FWF) Ecosystem Services</v>
      </c>
      <c r="S167" s="40" t="str">
        <f>_xlfn.XLOOKUP($B167,'30'!$B:$B,'30'!S:S,)</f>
        <v>ENCA</v>
      </c>
      <c r="T167" s="40">
        <f>_xlfn.XLOOKUP($B167,'30'!$B:$B,'30'!T:T,)</f>
        <v>2011</v>
      </c>
      <c r="U167" s="40" t="str">
        <f>_xlfn.XLOOKUP($B167,'30'!$B:$B,'30'!U:U,)</f>
        <v>UK</v>
      </c>
      <c r="V167" s="40" t="str">
        <f>_xlfn.XLOOKUP($B167,'30'!$B:$B,'30'!V:V,)</f>
        <v>UK</v>
      </c>
      <c r="W167" s="40" t="str">
        <f>_xlfn.XLOOKUP($B167,'30'!$B:$B,'30'!W:W,)</f>
        <v>/</v>
      </c>
    </row>
    <row r="168" spans="2:23">
      <c r="B168" s="39" t="s">
        <v>2745</v>
      </c>
      <c r="C168" s="40" t="str">
        <f>_xlfn.XLOOKUP($B168,'30'!$B:$B,'30'!C:C,)</f>
        <v>Habitat impact</v>
      </c>
      <c r="D168" s="40" t="str">
        <f>_xlfn.XLOOKUP($B168,'30'!$B:$B,'30'!D:D,)</f>
        <v>Coastal margins --- good</v>
      </c>
      <c r="E168" s="40" t="str">
        <f>_xlfn.XLOOKUP($B168,'30'!$B:$B,'30'!E:E,)</f>
        <v>Water quality</v>
      </c>
      <c r="F168" s="40">
        <f>_xlfn.XLOOKUP($B168,'30'!$B:$B,'30'!F:F,)</f>
        <v>2011</v>
      </c>
      <c r="G168" s="40">
        <f>_xlfn.XLOOKUP($B168,'30'!$B:$B,'30'!G:G,)</f>
        <v>2010</v>
      </c>
      <c r="H168" s="40">
        <f>_xlfn.XLOOKUP($B168,'30'!$B:$B,'30'!H:H,)</f>
        <v>2023</v>
      </c>
      <c r="I168" s="40">
        <f>_xlfn.XLOOKUP($B168,'30'!$B:$B,'30'!I:I,)</f>
        <v>72.415099999999995</v>
      </c>
      <c r="J168" s="40">
        <f>_xlfn.XLOOKUP($B168,'30'!$B:$B,'30'!J:J,)</f>
        <v>100</v>
      </c>
      <c r="K168" s="629">
        <f>_xlfn.XLOOKUP($B168,'30'!$B:$B,'30'!K:K,)</f>
        <v>-2234.5</v>
      </c>
      <c r="L168" s="629">
        <f>_xlfn.XLOOKUP($B168,'30'!$B:$B,'30'!L:L,)</f>
        <v>-3085.6824060175295</v>
      </c>
      <c r="M168" s="40" t="str">
        <f>_xlfn.XLOOKUP($B168,'30'!$B:$B,'30'!M:M,)</f>
        <v>Unclear</v>
      </c>
      <c r="N168" s="326">
        <f>_xlfn.XLOOKUP($B168,'30'!$B:$B,'30'!N:N,)</f>
        <v>2.1428571428571401</v>
      </c>
      <c r="O168" s="40" t="str">
        <f>_xlfn.XLOOKUP($B168,'30'!$B:$B,'30'!O:O,)</f>
        <v>Yes</v>
      </c>
      <c r="P168" s="40" t="str">
        <f>_xlfn.XLOOKUP($B168,'30'!$B:$B,'30'!P:P,)</f>
        <v>This is the only value found available. We have decided to include as it is vetted by Defra.</v>
      </c>
      <c r="Q168" s="40">
        <f>_xlfn.XLOOKUP($B168,'30'!$B:$B,'30'!Q:Q,)</f>
        <v>117</v>
      </c>
      <c r="R168" s="40" t="str">
        <f>_xlfn.XLOOKUP($B168,'30'!$B:$B,'30'!R:R,)</f>
        <v>Morris and Camino (2011) UK NEA Working Paper Economic Assessment of Freshwater, Wetland and Floodplain (FWF) Ecosystem Services</v>
      </c>
      <c r="S168" s="40" t="str">
        <f>_xlfn.XLOOKUP($B168,'30'!$B:$B,'30'!S:S,)</f>
        <v>ENCA</v>
      </c>
      <c r="T168" s="40">
        <f>_xlfn.XLOOKUP($B168,'30'!$B:$B,'30'!T:T,)</f>
        <v>2011</v>
      </c>
      <c r="U168" s="40" t="str">
        <f>_xlfn.XLOOKUP($B168,'30'!$B:$B,'30'!U:U,)</f>
        <v>UK</v>
      </c>
      <c r="V168" s="40" t="str">
        <f>_xlfn.XLOOKUP($B168,'30'!$B:$B,'30'!V:V,)</f>
        <v>UK</v>
      </c>
      <c r="W168" s="40" t="str">
        <f>_xlfn.XLOOKUP($B168,'30'!$B:$B,'30'!W:W,)</f>
        <v>/</v>
      </c>
    </row>
    <row r="169" spans="2:23">
      <c r="B169" s="39" t="s">
        <v>2746</v>
      </c>
      <c r="C169" s="40" t="str">
        <f>_xlfn.XLOOKUP($B169,'30'!$B:$B,'30'!C:C,)</f>
        <v>Habitat impact</v>
      </c>
      <c r="D169" s="40" t="str">
        <f>_xlfn.XLOOKUP($B169,'30'!$B:$B,'30'!D:D,)</f>
        <v>Coastal margins --- moderate</v>
      </c>
      <c r="E169" s="40" t="str">
        <f>_xlfn.XLOOKUP($B169,'30'!$B:$B,'30'!E:E,)</f>
        <v>Water quality</v>
      </c>
      <c r="F169" s="40">
        <f>_xlfn.XLOOKUP($B169,'30'!$B:$B,'30'!F:F,)</f>
        <v>2011</v>
      </c>
      <c r="G169" s="40">
        <f>_xlfn.XLOOKUP($B169,'30'!$B:$B,'30'!G:G,)</f>
        <v>2010</v>
      </c>
      <c r="H169" s="40">
        <f>_xlfn.XLOOKUP($B169,'30'!$B:$B,'30'!H:H,)</f>
        <v>2023</v>
      </c>
      <c r="I169" s="40">
        <f>_xlfn.XLOOKUP($B169,'30'!$B:$B,'30'!I:I,)</f>
        <v>72.415099999999995</v>
      </c>
      <c r="J169" s="40">
        <f>_xlfn.XLOOKUP($B169,'30'!$B:$B,'30'!J:J,)</f>
        <v>100</v>
      </c>
      <c r="K169" s="629">
        <f>_xlfn.XLOOKUP($B169,'30'!$B:$B,'30'!K:K,)</f>
        <v>-1675.875</v>
      </c>
      <c r="L169" s="629">
        <f>_xlfn.XLOOKUP($B169,'30'!$B:$B,'30'!L:L,)</f>
        <v>-2314.2618045131471</v>
      </c>
      <c r="M169" s="40" t="str">
        <f>_xlfn.XLOOKUP($B169,'30'!$B:$B,'30'!M:M,)</f>
        <v>Unclear</v>
      </c>
      <c r="N169" s="326">
        <f>_xlfn.XLOOKUP($B169,'30'!$B:$B,'30'!N:N,)</f>
        <v>2.1428571428571401</v>
      </c>
      <c r="O169" s="40" t="str">
        <f>_xlfn.XLOOKUP($B169,'30'!$B:$B,'30'!O:O,)</f>
        <v>Yes</v>
      </c>
      <c r="P169" s="40" t="str">
        <f>_xlfn.XLOOKUP($B169,'30'!$B:$B,'30'!P:P,)</f>
        <v>This is the only value found available. We have decided to include as it is vetted by Defra.</v>
      </c>
      <c r="Q169" s="40">
        <f>_xlfn.XLOOKUP($B169,'30'!$B:$B,'30'!Q:Q,)</f>
        <v>117</v>
      </c>
      <c r="R169" s="40" t="str">
        <f>_xlfn.XLOOKUP($B169,'30'!$B:$B,'30'!R:R,)</f>
        <v>Morris and Camino (2011) UK NEA Working Paper Economic Assessment of Freshwater, Wetland and Floodplain (FWF) Ecosystem Services</v>
      </c>
      <c r="S169" s="40" t="str">
        <f>_xlfn.XLOOKUP($B169,'30'!$B:$B,'30'!S:S,)</f>
        <v>ENCA</v>
      </c>
      <c r="T169" s="40">
        <f>_xlfn.XLOOKUP($B169,'30'!$B:$B,'30'!T:T,)</f>
        <v>2011</v>
      </c>
      <c r="U169" s="40" t="str">
        <f>_xlfn.XLOOKUP($B169,'30'!$B:$B,'30'!U:U,)</f>
        <v>UK</v>
      </c>
      <c r="V169" s="40" t="str">
        <f>_xlfn.XLOOKUP($B169,'30'!$B:$B,'30'!V:V,)</f>
        <v>UK</v>
      </c>
      <c r="W169" s="40" t="str">
        <f>_xlfn.XLOOKUP($B169,'30'!$B:$B,'30'!W:W,)</f>
        <v>/</v>
      </c>
    </row>
    <row r="170" spans="2:23">
      <c r="B170" s="39" t="s">
        <v>2747</v>
      </c>
      <c r="C170" s="40" t="str">
        <f>_xlfn.XLOOKUP($B170,'30'!$B:$B,'30'!C:C,)</f>
        <v>Habitat impact</v>
      </c>
      <c r="D170" s="40" t="str">
        <f>_xlfn.XLOOKUP($B170,'30'!$B:$B,'30'!D:D,)</f>
        <v>Coastal margins --- poor</v>
      </c>
      <c r="E170" s="40" t="str">
        <f>_xlfn.XLOOKUP($B170,'30'!$B:$B,'30'!E:E,)</f>
        <v>Water quality</v>
      </c>
      <c r="F170" s="40">
        <f>_xlfn.XLOOKUP($B170,'30'!$B:$B,'30'!F:F,)</f>
        <v>2011</v>
      </c>
      <c r="G170" s="40">
        <f>_xlfn.XLOOKUP($B170,'30'!$B:$B,'30'!G:G,)</f>
        <v>2010</v>
      </c>
      <c r="H170" s="40">
        <f>_xlfn.XLOOKUP($B170,'30'!$B:$B,'30'!H:H,)</f>
        <v>2023</v>
      </c>
      <c r="I170" s="40">
        <f>_xlfn.XLOOKUP($B170,'30'!$B:$B,'30'!I:I,)</f>
        <v>72.415099999999995</v>
      </c>
      <c r="J170" s="40">
        <f>_xlfn.XLOOKUP($B170,'30'!$B:$B,'30'!J:J,)</f>
        <v>100</v>
      </c>
      <c r="K170" s="629">
        <f>_xlfn.XLOOKUP($B170,'30'!$B:$B,'30'!K:K,)</f>
        <v>-1117.25</v>
      </c>
      <c r="L170" s="629">
        <f>_xlfn.XLOOKUP($B170,'30'!$B:$B,'30'!L:L,)</f>
        <v>-1542.8412030087648</v>
      </c>
      <c r="M170" s="40" t="str">
        <f>_xlfn.XLOOKUP($B170,'30'!$B:$B,'30'!M:M,)</f>
        <v>Unclear</v>
      </c>
      <c r="N170" s="326">
        <f>_xlfn.XLOOKUP($B170,'30'!$B:$B,'30'!N:N,)</f>
        <v>2.1428571428571401</v>
      </c>
      <c r="O170" s="40" t="str">
        <f>_xlfn.XLOOKUP($B170,'30'!$B:$B,'30'!O:O,)</f>
        <v>Yes</v>
      </c>
      <c r="P170" s="40" t="str">
        <f>_xlfn.XLOOKUP($B170,'30'!$B:$B,'30'!P:P,)</f>
        <v>This is the only value found available. We have decided to include as it is vetted by Defra.</v>
      </c>
      <c r="Q170" s="40">
        <f>_xlfn.XLOOKUP($B170,'30'!$B:$B,'30'!Q:Q,)</f>
        <v>117</v>
      </c>
      <c r="R170" s="40" t="str">
        <f>_xlfn.XLOOKUP($B170,'30'!$B:$B,'30'!R:R,)</f>
        <v>Morris and Camino (2011) UK NEA Working Paper Economic Assessment of Freshwater, Wetland and Floodplain (FWF) Ecosystem Services</v>
      </c>
      <c r="S170" s="40" t="str">
        <f>_xlfn.XLOOKUP($B170,'30'!$B:$B,'30'!S:S,)</f>
        <v>ENCA</v>
      </c>
      <c r="T170" s="40">
        <f>_xlfn.XLOOKUP($B170,'30'!$B:$B,'30'!T:T,)</f>
        <v>2011</v>
      </c>
      <c r="U170" s="40" t="str">
        <f>_xlfn.XLOOKUP($B170,'30'!$B:$B,'30'!U:U,)</f>
        <v>UK</v>
      </c>
      <c r="V170" s="40" t="str">
        <f>_xlfn.XLOOKUP($B170,'30'!$B:$B,'30'!V:V,)</f>
        <v>UK</v>
      </c>
      <c r="W170" s="40" t="str">
        <f>_xlfn.XLOOKUP($B170,'30'!$B:$B,'30'!W:W,)</f>
        <v>/</v>
      </c>
    </row>
    <row r="171" spans="2:23">
      <c r="B171" s="39" t="s">
        <v>2794</v>
      </c>
      <c r="C171" s="40" t="str">
        <f>_xlfn.XLOOKUP($B171,'30'!$B:$B,'30'!C:C,)</f>
        <v>Habitat impact</v>
      </c>
      <c r="D171" s="40" t="str">
        <f>_xlfn.XLOOKUP($B171,'30'!$B:$B,'30'!D:D,)</f>
        <v>Urban woodland --- good</v>
      </c>
      <c r="E171" s="40" t="str">
        <f>_xlfn.XLOOKUP($B171,'30'!$B:$B,'30'!E:E,)</f>
        <v>Air quality</v>
      </c>
      <c r="F171" s="40">
        <f>_xlfn.XLOOKUP($B171,'30'!$B:$B,'30'!F:F,)</f>
        <v>2024</v>
      </c>
      <c r="G171" s="40">
        <f>_xlfn.XLOOKUP($B171,'30'!$B:$B,'30'!G:G,)</f>
        <v>2023</v>
      </c>
      <c r="H171" s="40">
        <f>_xlfn.XLOOKUP($B171,'30'!$B:$B,'30'!H:H,)</f>
        <v>2023</v>
      </c>
      <c r="I171" s="40">
        <f>_xlfn.XLOOKUP($B171,'30'!$B:$B,'30'!I:I,)</f>
        <v>100</v>
      </c>
      <c r="J171" s="40">
        <f>_xlfn.XLOOKUP($B171,'30'!$B:$B,'30'!J:J,)</f>
        <v>100</v>
      </c>
      <c r="K171" s="629">
        <f>_xlfn.XLOOKUP($B171,'30'!$B:$B,'30'!K:K,)</f>
        <v>-5761.5154639175262</v>
      </c>
      <c r="L171" s="629">
        <f>_xlfn.XLOOKUP($B171,'30'!$B:$B,'30'!L:L,)</f>
        <v>-5761.5154639175262</v>
      </c>
      <c r="M171" s="40" t="str">
        <f>_xlfn.XLOOKUP($B171,'30'!$B:$B,'30'!M:M,)</f>
        <v>QALY</v>
      </c>
      <c r="N171" s="326">
        <f>_xlfn.XLOOKUP($B171,'30'!$B:$B,'30'!N:N,)</f>
        <v>2.1428571428571401</v>
      </c>
      <c r="O171" s="40" t="str">
        <f>_xlfn.XLOOKUP($B171,'30'!$B:$B,'30'!O:O,)</f>
        <v>Yes</v>
      </c>
      <c r="P171" s="40" t="str">
        <f>_xlfn.XLOOKUP($B171,'30'!$B:$B,'30'!P:P,)</f>
        <v>Recently published values, geographically relevant, quoted in ENCA</v>
      </c>
      <c r="Q171" s="40">
        <f>_xlfn.XLOOKUP($B171,'30'!$B:$B,'30'!Q:Q,)</f>
        <v>120</v>
      </c>
      <c r="R171" s="40" t="str">
        <f>_xlfn.XLOOKUP($B171,'30'!$B:$B,'30'!R:R,)</f>
        <v>ONS (2024) UK Natural Capital Accounts: 2024 - detailed summary tables</v>
      </c>
      <c r="S171" s="40" t="str">
        <f>_xlfn.XLOOKUP($B171,'30'!$B:$B,'30'!S:S,)</f>
        <v>ENCA</v>
      </c>
      <c r="T171" s="40">
        <f>_xlfn.XLOOKUP($B171,'30'!$B:$B,'30'!T:T,)</f>
        <v>2024</v>
      </c>
      <c r="U171" s="40" t="str">
        <f>_xlfn.XLOOKUP($B171,'30'!$B:$B,'30'!U:U,)</f>
        <v>UK</v>
      </c>
      <c r="V171" s="40" t="str">
        <f>_xlfn.XLOOKUP($B171,'30'!$B:$B,'30'!V:V,)</f>
        <v>UK</v>
      </c>
      <c r="W171" s="40" t="str">
        <f>_xlfn.XLOOKUP($B171,'30'!$B:$B,'30'!W:W,)</f>
        <v>/</v>
      </c>
    </row>
    <row r="172" spans="2:23">
      <c r="B172" s="39" t="s">
        <v>2795</v>
      </c>
      <c r="C172" s="40" t="str">
        <f>_xlfn.XLOOKUP($B172,'30'!$B:$B,'30'!C:C,)</f>
        <v>Habitat impact</v>
      </c>
      <c r="D172" s="40" t="str">
        <f>_xlfn.XLOOKUP($B172,'30'!$B:$B,'30'!D:D,)</f>
        <v>Urban woodland --- moderate</v>
      </c>
      <c r="E172" s="40" t="str">
        <f>_xlfn.XLOOKUP($B172,'30'!$B:$B,'30'!E:E,)</f>
        <v>Air quality</v>
      </c>
      <c r="F172" s="40">
        <f>_xlfn.XLOOKUP($B172,'30'!$B:$B,'30'!F:F,)</f>
        <v>2024</v>
      </c>
      <c r="G172" s="40">
        <f>_xlfn.XLOOKUP($B172,'30'!$B:$B,'30'!G:G,)</f>
        <v>2023</v>
      </c>
      <c r="H172" s="40">
        <f>_xlfn.XLOOKUP($B172,'30'!$B:$B,'30'!H:H,)</f>
        <v>2023</v>
      </c>
      <c r="I172" s="40">
        <f>_xlfn.XLOOKUP($B172,'30'!$B:$B,'30'!I:I,)</f>
        <v>100</v>
      </c>
      <c r="J172" s="40">
        <f>_xlfn.XLOOKUP($B172,'30'!$B:$B,'30'!J:J,)</f>
        <v>100</v>
      </c>
      <c r="K172" s="629">
        <f>_xlfn.XLOOKUP($B172,'30'!$B:$B,'30'!K:K,)</f>
        <v>-4321.1365979381444</v>
      </c>
      <c r="L172" s="629">
        <f>_xlfn.XLOOKUP($B172,'30'!$B:$B,'30'!L:L,)</f>
        <v>-4321.1365979381444</v>
      </c>
      <c r="M172" s="40" t="str">
        <f>_xlfn.XLOOKUP($B172,'30'!$B:$B,'30'!M:M,)</f>
        <v>QALY</v>
      </c>
      <c r="N172" s="326">
        <f>_xlfn.XLOOKUP($B172,'30'!$B:$B,'30'!N:N,)</f>
        <v>2.1428571428571401</v>
      </c>
      <c r="O172" s="40" t="str">
        <f>_xlfn.XLOOKUP($B172,'30'!$B:$B,'30'!O:O,)</f>
        <v>Yes</v>
      </c>
      <c r="P172" s="40" t="str">
        <f>_xlfn.XLOOKUP($B172,'30'!$B:$B,'30'!P:P,)</f>
        <v>Recently published values, geographically relevant, quoted in ENCA</v>
      </c>
      <c r="Q172" s="40">
        <f>_xlfn.XLOOKUP($B172,'30'!$B:$B,'30'!Q:Q,)</f>
        <v>120</v>
      </c>
      <c r="R172" s="40" t="str">
        <f>_xlfn.XLOOKUP($B172,'30'!$B:$B,'30'!R:R,)</f>
        <v>ONS (2024) UK Natural Capital Accounts: 2024 - detailed summary tables</v>
      </c>
      <c r="S172" s="40" t="str">
        <f>_xlfn.XLOOKUP($B172,'30'!$B:$B,'30'!S:S,)</f>
        <v>ENCA</v>
      </c>
      <c r="T172" s="40">
        <f>_xlfn.XLOOKUP($B172,'30'!$B:$B,'30'!T:T,)</f>
        <v>2024</v>
      </c>
      <c r="U172" s="40" t="str">
        <f>_xlfn.XLOOKUP($B172,'30'!$B:$B,'30'!U:U,)</f>
        <v>UK</v>
      </c>
      <c r="V172" s="40" t="str">
        <f>_xlfn.XLOOKUP($B172,'30'!$B:$B,'30'!V:V,)</f>
        <v>UK</v>
      </c>
      <c r="W172" s="40" t="str">
        <f>_xlfn.XLOOKUP($B172,'30'!$B:$B,'30'!W:W,)</f>
        <v>/</v>
      </c>
    </row>
    <row r="173" spans="2:23">
      <c r="B173" s="39" t="s">
        <v>2796</v>
      </c>
      <c r="C173" s="40" t="str">
        <f>_xlfn.XLOOKUP($B173,'30'!$B:$B,'30'!C:C,)</f>
        <v>Habitat impact</v>
      </c>
      <c r="D173" s="40" t="str">
        <f>_xlfn.XLOOKUP($B173,'30'!$B:$B,'30'!D:D,)</f>
        <v>Urban woodland --- poor</v>
      </c>
      <c r="E173" s="40" t="str">
        <f>_xlfn.XLOOKUP($B173,'30'!$B:$B,'30'!E:E,)</f>
        <v>Air quality</v>
      </c>
      <c r="F173" s="40">
        <f>_xlfn.XLOOKUP($B173,'30'!$B:$B,'30'!F:F,)</f>
        <v>2024</v>
      </c>
      <c r="G173" s="40">
        <f>_xlfn.XLOOKUP($B173,'30'!$B:$B,'30'!G:G,)</f>
        <v>2023</v>
      </c>
      <c r="H173" s="40">
        <f>_xlfn.XLOOKUP($B173,'30'!$B:$B,'30'!H:H,)</f>
        <v>2023</v>
      </c>
      <c r="I173" s="40">
        <f>_xlfn.XLOOKUP($B173,'30'!$B:$B,'30'!I:I,)</f>
        <v>100</v>
      </c>
      <c r="J173" s="40">
        <f>_xlfn.XLOOKUP($B173,'30'!$B:$B,'30'!J:J,)</f>
        <v>100</v>
      </c>
      <c r="K173" s="629">
        <f>_xlfn.XLOOKUP($B173,'30'!$B:$B,'30'!K:K,)</f>
        <v>-2880.7577319587631</v>
      </c>
      <c r="L173" s="629">
        <f>_xlfn.XLOOKUP($B173,'30'!$B:$B,'30'!L:L,)</f>
        <v>-2880.7577319587631</v>
      </c>
      <c r="M173" s="40" t="str">
        <f>_xlfn.XLOOKUP($B173,'30'!$B:$B,'30'!M:M,)</f>
        <v>QALY</v>
      </c>
      <c r="N173" s="326">
        <f>_xlfn.XLOOKUP($B173,'30'!$B:$B,'30'!N:N,)</f>
        <v>2.1428571428571401</v>
      </c>
      <c r="O173" s="40" t="str">
        <f>_xlfn.XLOOKUP($B173,'30'!$B:$B,'30'!O:O,)</f>
        <v>Yes</v>
      </c>
      <c r="P173" s="40" t="str">
        <f>_xlfn.XLOOKUP($B173,'30'!$B:$B,'30'!P:P,)</f>
        <v>Recently published values, geographically relevant, quoted in ENCA</v>
      </c>
      <c r="Q173" s="40">
        <f>_xlfn.XLOOKUP($B173,'30'!$B:$B,'30'!Q:Q,)</f>
        <v>120</v>
      </c>
      <c r="R173" s="40" t="str">
        <f>_xlfn.XLOOKUP($B173,'30'!$B:$B,'30'!R:R,)</f>
        <v>ONS (2024) UK Natural Capital Accounts: 2024 - detailed summary tables</v>
      </c>
      <c r="S173" s="40" t="str">
        <f>_xlfn.XLOOKUP($B173,'30'!$B:$B,'30'!S:S,)</f>
        <v>ENCA</v>
      </c>
      <c r="T173" s="40">
        <f>_xlfn.XLOOKUP($B173,'30'!$B:$B,'30'!T:T,)</f>
        <v>2024</v>
      </c>
      <c r="U173" s="40" t="str">
        <f>_xlfn.XLOOKUP($B173,'30'!$B:$B,'30'!U:U,)</f>
        <v>UK</v>
      </c>
      <c r="V173" s="40" t="str">
        <f>_xlfn.XLOOKUP($B173,'30'!$B:$B,'30'!V:V,)</f>
        <v>UK</v>
      </c>
      <c r="W173" s="40" t="str">
        <f>_xlfn.XLOOKUP($B173,'30'!$B:$B,'30'!W:W,)</f>
        <v>/</v>
      </c>
    </row>
    <row r="174" spans="2:23">
      <c r="B174" s="39" t="s">
        <v>2797</v>
      </c>
      <c r="C174" s="40" t="str">
        <f>_xlfn.XLOOKUP($B174,'30'!$B:$B,'30'!C:C,)</f>
        <v>Habitat impact</v>
      </c>
      <c r="D174" s="40" t="str">
        <f>_xlfn.XLOOKUP($B174,'30'!$B:$B,'30'!D:D,)</f>
        <v>Urban wetland ---  good</v>
      </c>
      <c r="E174" s="40" t="str">
        <f>_xlfn.XLOOKUP($B174,'30'!$B:$B,'30'!E:E,)</f>
        <v>Air quality</v>
      </c>
      <c r="F174" s="40">
        <f>_xlfn.XLOOKUP($B174,'30'!$B:$B,'30'!F:F,)</f>
        <v>2024</v>
      </c>
      <c r="G174" s="40">
        <f>_xlfn.XLOOKUP($B174,'30'!$B:$B,'30'!G:G,)</f>
        <v>2023</v>
      </c>
      <c r="H174" s="40">
        <f>_xlfn.XLOOKUP($B174,'30'!$B:$B,'30'!H:H,)</f>
        <v>2023</v>
      </c>
      <c r="I174" s="40">
        <f>_xlfn.XLOOKUP($B174,'30'!$B:$B,'30'!I:I,)</f>
        <v>100</v>
      </c>
      <c r="J174" s="40">
        <f>_xlfn.XLOOKUP($B174,'30'!$B:$B,'30'!J:J,)</f>
        <v>100</v>
      </c>
      <c r="K174" s="629">
        <f>_xlfn.XLOOKUP($B174,'30'!$B:$B,'30'!K:K,)</f>
        <v>-16.670634920634921</v>
      </c>
      <c r="L174" s="629">
        <f>_xlfn.XLOOKUP($B174,'30'!$B:$B,'30'!L:L,)</f>
        <v>-16.670634920634921</v>
      </c>
      <c r="M174" s="40" t="str">
        <f>_xlfn.XLOOKUP($B174,'30'!$B:$B,'30'!M:M,)</f>
        <v>QALY</v>
      </c>
      <c r="N174" s="326">
        <f>_xlfn.XLOOKUP($B174,'30'!$B:$B,'30'!N:N,)</f>
        <v>2.1428571428571401</v>
      </c>
      <c r="O174" s="40" t="str">
        <f>_xlfn.XLOOKUP($B174,'30'!$B:$B,'30'!O:O,)</f>
        <v>Yes</v>
      </c>
      <c r="P174" s="40" t="str">
        <f>_xlfn.XLOOKUP($B174,'30'!$B:$B,'30'!P:P,)</f>
        <v>Recently published values, geographically relevant, quoted in ENCA</v>
      </c>
      <c r="Q174" s="40">
        <f>_xlfn.XLOOKUP($B174,'30'!$B:$B,'30'!Q:Q,)</f>
        <v>120</v>
      </c>
      <c r="R174" s="40" t="str">
        <f>_xlfn.XLOOKUP($B174,'30'!$B:$B,'30'!R:R,)</f>
        <v>ONS (2024) UK Natural Capital Accounts: 2024 - detailed summary tables</v>
      </c>
      <c r="S174" s="40" t="str">
        <f>_xlfn.XLOOKUP($B174,'30'!$B:$B,'30'!S:S,)</f>
        <v>ENCA</v>
      </c>
      <c r="T174" s="40">
        <f>_xlfn.XLOOKUP($B174,'30'!$B:$B,'30'!T:T,)</f>
        <v>2024</v>
      </c>
      <c r="U174" s="40" t="str">
        <f>_xlfn.XLOOKUP($B174,'30'!$B:$B,'30'!U:U,)</f>
        <v>UK</v>
      </c>
      <c r="V174" s="40" t="str">
        <f>_xlfn.XLOOKUP($B174,'30'!$B:$B,'30'!V:V,)</f>
        <v>UK</v>
      </c>
      <c r="W174" s="40" t="str">
        <f>_xlfn.XLOOKUP($B174,'30'!$B:$B,'30'!W:W,)</f>
        <v>/</v>
      </c>
    </row>
    <row r="175" spans="2:23">
      <c r="B175" s="39" t="s">
        <v>2798</v>
      </c>
      <c r="C175" s="40" t="str">
        <f>_xlfn.XLOOKUP($B175,'30'!$B:$B,'30'!C:C,)</f>
        <v>Habitat impact</v>
      </c>
      <c r="D175" s="40" t="str">
        <f>_xlfn.XLOOKUP($B175,'30'!$B:$B,'30'!D:D,)</f>
        <v>Urban wetland --- moderate</v>
      </c>
      <c r="E175" s="40" t="str">
        <f>_xlfn.XLOOKUP($B175,'30'!$B:$B,'30'!E:E,)</f>
        <v>Air quality</v>
      </c>
      <c r="F175" s="40">
        <f>_xlfn.XLOOKUP($B175,'30'!$B:$B,'30'!F:F,)</f>
        <v>2024</v>
      </c>
      <c r="G175" s="40">
        <f>_xlfn.XLOOKUP($B175,'30'!$B:$B,'30'!G:G,)</f>
        <v>2023</v>
      </c>
      <c r="H175" s="40">
        <f>_xlfn.XLOOKUP($B175,'30'!$B:$B,'30'!H:H,)</f>
        <v>2023</v>
      </c>
      <c r="I175" s="40">
        <f>_xlfn.XLOOKUP($B175,'30'!$B:$B,'30'!I:I,)</f>
        <v>100</v>
      </c>
      <c r="J175" s="40">
        <f>_xlfn.XLOOKUP($B175,'30'!$B:$B,'30'!J:J,)</f>
        <v>100</v>
      </c>
      <c r="K175" s="629">
        <f>_xlfn.XLOOKUP($B175,'30'!$B:$B,'30'!K:K,)</f>
        <v>-12.50297619047619</v>
      </c>
      <c r="L175" s="629">
        <f>_xlfn.XLOOKUP($B175,'30'!$B:$B,'30'!L:L,)</f>
        <v>-12.50297619047619</v>
      </c>
      <c r="M175" s="40" t="str">
        <f>_xlfn.XLOOKUP($B175,'30'!$B:$B,'30'!M:M,)</f>
        <v>QALY</v>
      </c>
      <c r="N175" s="326">
        <f>_xlfn.XLOOKUP($B175,'30'!$B:$B,'30'!N:N,)</f>
        <v>2.1428571428571401</v>
      </c>
      <c r="O175" s="40" t="str">
        <f>_xlfn.XLOOKUP($B175,'30'!$B:$B,'30'!O:O,)</f>
        <v>Yes</v>
      </c>
      <c r="P175" s="40" t="str">
        <f>_xlfn.XLOOKUP($B175,'30'!$B:$B,'30'!P:P,)</f>
        <v>Recently published values, geographically relevant, quoted in ENCA</v>
      </c>
      <c r="Q175" s="40">
        <f>_xlfn.XLOOKUP($B175,'30'!$B:$B,'30'!Q:Q,)</f>
        <v>120</v>
      </c>
      <c r="R175" s="40" t="str">
        <f>_xlfn.XLOOKUP($B175,'30'!$B:$B,'30'!R:R,)</f>
        <v>ONS (2024) UK Natural Capital Accounts: 2024 - detailed summary tables</v>
      </c>
      <c r="S175" s="40" t="str">
        <f>_xlfn.XLOOKUP($B175,'30'!$B:$B,'30'!S:S,)</f>
        <v>ENCA</v>
      </c>
      <c r="T175" s="40">
        <f>_xlfn.XLOOKUP($B175,'30'!$B:$B,'30'!T:T,)</f>
        <v>2024</v>
      </c>
      <c r="U175" s="40" t="str">
        <f>_xlfn.XLOOKUP($B175,'30'!$B:$B,'30'!U:U,)</f>
        <v>UK</v>
      </c>
      <c r="V175" s="40" t="str">
        <f>_xlfn.XLOOKUP($B175,'30'!$B:$B,'30'!V:V,)</f>
        <v>UK</v>
      </c>
      <c r="W175" s="40" t="str">
        <f>_xlfn.XLOOKUP($B175,'30'!$B:$B,'30'!W:W,)</f>
        <v>/</v>
      </c>
    </row>
    <row r="176" spans="2:23">
      <c r="B176" s="39" t="s">
        <v>2799</v>
      </c>
      <c r="C176" s="40" t="str">
        <f>_xlfn.XLOOKUP($B176,'30'!$B:$B,'30'!C:C,)</f>
        <v>Habitat impact</v>
      </c>
      <c r="D176" s="40" t="str">
        <f>_xlfn.XLOOKUP($B176,'30'!$B:$B,'30'!D:D,)</f>
        <v>Urban wetland --- poor</v>
      </c>
      <c r="E176" s="40" t="str">
        <f>_xlfn.XLOOKUP($B176,'30'!$B:$B,'30'!E:E,)</f>
        <v>Air quality</v>
      </c>
      <c r="F176" s="40">
        <f>_xlfn.XLOOKUP($B176,'30'!$B:$B,'30'!F:F,)</f>
        <v>2024</v>
      </c>
      <c r="G176" s="40">
        <f>_xlfn.XLOOKUP($B176,'30'!$B:$B,'30'!G:G,)</f>
        <v>2023</v>
      </c>
      <c r="H176" s="40">
        <f>_xlfn.XLOOKUP($B176,'30'!$B:$B,'30'!H:H,)</f>
        <v>2023</v>
      </c>
      <c r="I176" s="40">
        <f>_xlfn.XLOOKUP($B176,'30'!$B:$B,'30'!I:I,)</f>
        <v>100</v>
      </c>
      <c r="J176" s="40">
        <f>_xlfn.XLOOKUP($B176,'30'!$B:$B,'30'!J:J,)</f>
        <v>100</v>
      </c>
      <c r="K176" s="629">
        <f>_xlfn.XLOOKUP($B176,'30'!$B:$B,'30'!K:K,)</f>
        <v>-8.3353174603174605</v>
      </c>
      <c r="L176" s="629">
        <f>_xlfn.XLOOKUP($B176,'30'!$B:$B,'30'!L:L,)</f>
        <v>-8.3353174603174605</v>
      </c>
      <c r="M176" s="40" t="str">
        <f>_xlfn.XLOOKUP($B176,'30'!$B:$B,'30'!M:M,)</f>
        <v>QALY</v>
      </c>
      <c r="N176" s="326">
        <f>_xlfn.XLOOKUP($B176,'30'!$B:$B,'30'!N:N,)</f>
        <v>2.1428571428571401</v>
      </c>
      <c r="O176" s="40" t="str">
        <f>_xlfn.XLOOKUP($B176,'30'!$B:$B,'30'!O:O,)</f>
        <v>Yes</v>
      </c>
      <c r="P176" s="40" t="str">
        <f>_xlfn.XLOOKUP($B176,'30'!$B:$B,'30'!P:P,)</f>
        <v>Recently published values, geographically relevant, quoted in ENCA</v>
      </c>
      <c r="Q176" s="40">
        <f>_xlfn.XLOOKUP($B176,'30'!$B:$B,'30'!Q:Q,)</f>
        <v>120</v>
      </c>
      <c r="R176" s="40" t="str">
        <f>_xlfn.XLOOKUP($B176,'30'!$B:$B,'30'!R:R,)</f>
        <v>ONS (2024) UK Natural Capital Accounts: 2024 - detailed summary tables</v>
      </c>
      <c r="S176" s="40" t="str">
        <f>_xlfn.XLOOKUP($B176,'30'!$B:$B,'30'!S:S,)</f>
        <v>ENCA</v>
      </c>
      <c r="T176" s="40">
        <f>_xlfn.XLOOKUP($B176,'30'!$B:$B,'30'!T:T,)</f>
        <v>2024</v>
      </c>
      <c r="U176" s="40" t="str">
        <f>_xlfn.XLOOKUP($B176,'30'!$B:$B,'30'!U:U,)</f>
        <v>UK</v>
      </c>
      <c r="V176" s="40" t="str">
        <f>_xlfn.XLOOKUP($B176,'30'!$B:$B,'30'!V:V,)</f>
        <v>UK</v>
      </c>
      <c r="W176" s="40" t="str">
        <f>_xlfn.XLOOKUP($B176,'30'!$B:$B,'30'!W:W,)</f>
        <v>/</v>
      </c>
    </row>
    <row r="177" spans="2:23">
      <c r="B177" s="39" t="s">
        <v>2800</v>
      </c>
      <c r="C177" s="40" t="str">
        <f>_xlfn.XLOOKUP($B177,'30'!$B:$B,'30'!C:C,)</f>
        <v>Habitat impact</v>
      </c>
      <c r="D177" s="40" t="str">
        <f>_xlfn.XLOOKUP($B177,'30'!$B:$B,'30'!D:D,)</f>
        <v>Urban grassland (greenspace) --- good</v>
      </c>
      <c r="E177" s="40" t="str">
        <f>_xlfn.XLOOKUP($B177,'30'!$B:$B,'30'!E:E,)</f>
        <v>Air quality</v>
      </c>
      <c r="F177" s="40">
        <f>_xlfn.XLOOKUP($B177,'30'!$B:$B,'30'!F:F,)</f>
        <v>2024</v>
      </c>
      <c r="G177" s="40">
        <f>_xlfn.XLOOKUP($B177,'30'!$B:$B,'30'!G:G,)</f>
        <v>2023</v>
      </c>
      <c r="H177" s="40">
        <f>_xlfn.XLOOKUP($B177,'30'!$B:$B,'30'!H:H,)</f>
        <v>2023</v>
      </c>
      <c r="I177" s="40">
        <f>_xlfn.XLOOKUP($B177,'30'!$B:$B,'30'!I:I,)</f>
        <v>100</v>
      </c>
      <c r="J177" s="40">
        <f>_xlfn.XLOOKUP($B177,'30'!$B:$B,'30'!J:J,)</f>
        <v>100</v>
      </c>
      <c r="K177" s="629">
        <f>_xlfn.XLOOKUP($B177,'30'!$B:$B,'30'!K:K,)</f>
        <v>-587.492718446602</v>
      </c>
      <c r="L177" s="629">
        <f>_xlfn.XLOOKUP($B177,'30'!$B:$B,'30'!L:L,)</f>
        <v>-587.492718446602</v>
      </c>
      <c r="M177" s="40" t="str">
        <f>_xlfn.XLOOKUP($B177,'30'!$B:$B,'30'!M:M,)</f>
        <v>QALY</v>
      </c>
      <c r="N177" s="326">
        <f>_xlfn.XLOOKUP($B177,'30'!$B:$B,'30'!N:N,)</f>
        <v>2.1428571428571401</v>
      </c>
      <c r="O177" s="40" t="str">
        <f>_xlfn.XLOOKUP($B177,'30'!$B:$B,'30'!O:O,)</f>
        <v>Yes</v>
      </c>
      <c r="P177" s="40" t="str">
        <f>_xlfn.XLOOKUP($B177,'30'!$B:$B,'30'!P:P,)</f>
        <v>Recently published values, geographically relevant, quoted in ENCA</v>
      </c>
      <c r="Q177" s="40">
        <f>_xlfn.XLOOKUP($B177,'30'!$B:$B,'30'!Q:Q,)</f>
        <v>120</v>
      </c>
      <c r="R177" s="40" t="str">
        <f>_xlfn.XLOOKUP($B177,'30'!$B:$B,'30'!R:R,)</f>
        <v>ONS (2024) UK Natural Capital Accounts: 2024 - detailed summary tables</v>
      </c>
      <c r="S177" s="40" t="str">
        <f>_xlfn.XLOOKUP($B177,'30'!$B:$B,'30'!S:S,)</f>
        <v>ENCA</v>
      </c>
      <c r="T177" s="40">
        <f>_xlfn.XLOOKUP($B177,'30'!$B:$B,'30'!T:T,)</f>
        <v>2024</v>
      </c>
      <c r="U177" s="40" t="str">
        <f>_xlfn.XLOOKUP($B177,'30'!$B:$B,'30'!U:U,)</f>
        <v>UK</v>
      </c>
      <c r="V177" s="40" t="str">
        <f>_xlfn.XLOOKUP($B177,'30'!$B:$B,'30'!V:V,)</f>
        <v>UK</v>
      </c>
      <c r="W177" s="40" t="str">
        <f>_xlfn.XLOOKUP($B177,'30'!$B:$B,'30'!W:W,)</f>
        <v>/</v>
      </c>
    </row>
    <row r="178" spans="2:23">
      <c r="B178" s="39" t="s">
        <v>2801</v>
      </c>
      <c r="C178" s="40" t="str">
        <f>_xlfn.XLOOKUP($B178,'30'!$B:$B,'30'!C:C,)</f>
        <v>Habitat impact</v>
      </c>
      <c r="D178" s="40" t="str">
        <f>_xlfn.XLOOKUP($B178,'30'!$B:$B,'30'!D:D,)</f>
        <v>Urban grassland (greenspace) --- moderate</v>
      </c>
      <c r="E178" s="40" t="str">
        <f>_xlfn.XLOOKUP($B178,'30'!$B:$B,'30'!E:E,)</f>
        <v>Air quality</v>
      </c>
      <c r="F178" s="40">
        <f>_xlfn.XLOOKUP($B178,'30'!$B:$B,'30'!F:F,)</f>
        <v>2024</v>
      </c>
      <c r="G178" s="40">
        <f>_xlfn.XLOOKUP($B178,'30'!$B:$B,'30'!G:G,)</f>
        <v>2023</v>
      </c>
      <c r="H178" s="40">
        <f>_xlfn.XLOOKUP($B178,'30'!$B:$B,'30'!H:H,)</f>
        <v>2023</v>
      </c>
      <c r="I178" s="40">
        <f>_xlfn.XLOOKUP($B178,'30'!$B:$B,'30'!I:I,)</f>
        <v>100</v>
      </c>
      <c r="J178" s="40">
        <f>_xlfn.XLOOKUP($B178,'30'!$B:$B,'30'!J:J,)</f>
        <v>100</v>
      </c>
      <c r="K178" s="629">
        <f>_xlfn.XLOOKUP($B178,'30'!$B:$B,'30'!K:K,)</f>
        <v>-440.61953883495153</v>
      </c>
      <c r="L178" s="629">
        <f>_xlfn.XLOOKUP($B178,'30'!$B:$B,'30'!L:L,)</f>
        <v>-440.61953883495153</v>
      </c>
      <c r="M178" s="40" t="str">
        <f>_xlfn.XLOOKUP($B178,'30'!$B:$B,'30'!M:M,)</f>
        <v>QALY</v>
      </c>
      <c r="N178" s="326">
        <f>_xlfn.XLOOKUP($B178,'30'!$B:$B,'30'!N:N,)</f>
        <v>2.1428571428571401</v>
      </c>
      <c r="O178" s="40" t="str">
        <f>_xlfn.XLOOKUP($B178,'30'!$B:$B,'30'!O:O,)</f>
        <v>Yes</v>
      </c>
      <c r="P178" s="40" t="str">
        <f>_xlfn.XLOOKUP($B178,'30'!$B:$B,'30'!P:P,)</f>
        <v>Recently published values, geographically relevant, quoted in ENCA</v>
      </c>
      <c r="Q178" s="40">
        <f>_xlfn.XLOOKUP($B178,'30'!$B:$B,'30'!Q:Q,)</f>
        <v>120</v>
      </c>
      <c r="R178" s="40" t="str">
        <f>_xlfn.XLOOKUP($B178,'30'!$B:$B,'30'!R:R,)</f>
        <v>ONS (2024) UK Natural Capital Accounts: 2024 - detailed summary tables</v>
      </c>
      <c r="S178" s="40" t="str">
        <f>_xlfn.XLOOKUP($B178,'30'!$B:$B,'30'!S:S,)</f>
        <v>ENCA</v>
      </c>
      <c r="T178" s="40">
        <f>_xlfn.XLOOKUP($B178,'30'!$B:$B,'30'!T:T,)</f>
        <v>2024</v>
      </c>
      <c r="U178" s="40" t="str">
        <f>_xlfn.XLOOKUP($B178,'30'!$B:$B,'30'!U:U,)</f>
        <v>UK</v>
      </c>
      <c r="V178" s="40" t="str">
        <f>_xlfn.XLOOKUP($B178,'30'!$B:$B,'30'!V:V,)</f>
        <v>UK</v>
      </c>
      <c r="W178" s="40" t="str">
        <f>_xlfn.XLOOKUP($B178,'30'!$B:$B,'30'!W:W,)</f>
        <v>/</v>
      </c>
    </row>
    <row r="179" spans="2:23">
      <c r="B179" s="39" t="s">
        <v>2802</v>
      </c>
      <c r="C179" s="40" t="str">
        <f>_xlfn.XLOOKUP($B179,'30'!$B:$B,'30'!C:C,)</f>
        <v>Habitat impact</v>
      </c>
      <c r="D179" s="40" t="str">
        <f>_xlfn.XLOOKUP($B179,'30'!$B:$B,'30'!D:D,)</f>
        <v>Urban grassland (greenspace) --- poor</v>
      </c>
      <c r="E179" s="40" t="str">
        <f>_xlfn.XLOOKUP($B179,'30'!$B:$B,'30'!E:E,)</f>
        <v>Air quality</v>
      </c>
      <c r="F179" s="40">
        <f>_xlfn.XLOOKUP($B179,'30'!$B:$B,'30'!F:F,)</f>
        <v>2024</v>
      </c>
      <c r="G179" s="40">
        <f>_xlfn.XLOOKUP($B179,'30'!$B:$B,'30'!G:G,)</f>
        <v>2023</v>
      </c>
      <c r="H179" s="40">
        <f>_xlfn.XLOOKUP($B179,'30'!$B:$B,'30'!H:H,)</f>
        <v>2023</v>
      </c>
      <c r="I179" s="40">
        <f>_xlfn.XLOOKUP($B179,'30'!$B:$B,'30'!I:I,)</f>
        <v>100</v>
      </c>
      <c r="J179" s="40">
        <f>_xlfn.XLOOKUP($B179,'30'!$B:$B,'30'!J:J,)</f>
        <v>100</v>
      </c>
      <c r="K179" s="629">
        <f>_xlfn.XLOOKUP($B179,'30'!$B:$B,'30'!K:K,)</f>
        <v>-293.746359223301</v>
      </c>
      <c r="L179" s="629">
        <f>_xlfn.XLOOKUP($B179,'30'!$B:$B,'30'!L:L,)</f>
        <v>-293.746359223301</v>
      </c>
      <c r="M179" s="40" t="str">
        <f>_xlfn.XLOOKUP($B179,'30'!$B:$B,'30'!M:M,)</f>
        <v>QALY</v>
      </c>
      <c r="N179" s="326">
        <f>_xlfn.XLOOKUP($B179,'30'!$B:$B,'30'!N:N,)</f>
        <v>2.1428571428571401</v>
      </c>
      <c r="O179" s="40" t="str">
        <f>_xlfn.XLOOKUP($B179,'30'!$B:$B,'30'!O:O,)</f>
        <v>Yes</v>
      </c>
      <c r="P179" s="40" t="str">
        <f>_xlfn.XLOOKUP($B179,'30'!$B:$B,'30'!P:P,)</f>
        <v>Recently published values, geographically relevant, quoted in ENCA</v>
      </c>
      <c r="Q179" s="40">
        <f>_xlfn.XLOOKUP($B179,'30'!$B:$B,'30'!Q:Q,)</f>
        <v>120</v>
      </c>
      <c r="R179" s="40" t="str">
        <f>_xlfn.XLOOKUP($B179,'30'!$B:$B,'30'!R:R,)</f>
        <v>ONS (2024) UK Natural Capital Accounts: 2024 - detailed summary tables</v>
      </c>
      <c r="S179" s="40" t="str">
        <f>_xlfn.XLOOKUP($B179,'30'!$B:$B,'30'!S:S,)</f>
        <v>ENCA</v>
      </c>
      <c r="T179" s="40">
        <f>_xlfn.XLOOKUP($B179,'30'!$B:$B,'30'!T:T,)</f>
        <v>2024</v>
      </c>
      <c r="U179" s="40" t="str">
        <f>_xlfn.XLOOKUP($B179,'30'!$B:$B,'30'!U:U,)</f>
        <v>UK</v>
      </c>
      <c r="V179" s="40" t="str">
        <f>_xlfn.XLOOKUP($B179,'30'!$B:$B,'30'!V:V,)</f>
        <v>UK</v>
      </c>
      <c r="W179" s="40" t="str">
        <f>_xlfn.XLOOKUP($B179,'30'!$B:$B,'30'!W:W,)</f>
        <v>/</v>
      </c>
    </row>
    <row r="180" spans="2:23">
      <c r="B180" s="39" t="s">
        <v>2803</v>
      </c>
      <c r="C180" s="40" t="str">
        <f>_xlfn.XLOOKUP($B180,'30'!$B:$B,'30'!C:C,)</f>
        <v>Habitat impact</v>
      </c>
      <c r="D180" s="40" t="str">
        <f>_xlfn.XLOOKUP($B180,'30'!$B:$B,'30'!D:D,)</f>
        <v>Rural woodland --- good</v>
      </c>
      <c r="E180" s="40" t="str">
        <f>_xlfn.XLOOKUP($B180,'30'!$B:$B,'30'!E:E,)</f>
        <v>Air quality</v>
      </c>
      <c r="F180" s="40">
        <f>_xlfn.XLOOKUP($B180,'30'!$B:$B,'30'!F:F,)</f>
        <v>2024</v>
      </c>
      <c r="G180" s="40">
        <f>_xlfn.XLOOKUP($B180,'30'!$B:$B,'30'!G:G,)</f>
        <v>2023</v>
      </c>
      <c r="H180" s="40">
        <f>_xlfn.XLOOKUP($B180,'30'!$B:$B,'30'!H:H,)</f>
        <v>2023</v>
      </c>
      <c r="I180" s="40">
        <f>_xlfn.XLOOKUP($B180,'30'!$B:$B,'30'!I:I,)</f>
        <v>100</v>
      </c>
      <c r="J180" s="40">
        <f>_xlfn.XLOOKUP($B180,'30'!$B:$B,'30'!J:J,)</f>
        <v>100</v>
      </c>
      <c r="K180" s="629">
        <f>_xlfn.XLOOKUP($B180,'30'!$B:$B,'30'!K:K,)</f>
        <v>-589.10683012259199</v>
      </c>
      <c r="L180" s="629">
        <f>_xlfn.XLOOKUP($B180,'30'!$B:$B,'30'!L:L,)</f>
        <v>-589.10683012259199</v>
      </c>
      <c r="M180" s="40" t="str">
        <f>_xlfn.XLOOKUP($B180,'30'!$B:$B,'30'!M:M,)</f>
        <v>QALY</v>
      </c>
      <c r="N180" s="326">
        <f>_xlfn.XLOOKUP($B180,'30'!$B:$B,'30'!N:N,)</f>
        <v>2.1428571428571401</v>
      </c>
      <c r="O180" s="40" t="str">
        <f>_xlfn.XLOOKUP($B180,'30'!$B:$B,'30'!O:O,)</f>
        <v>Yes</v>
      </c>
      <c r="P180" s="40" t="str">
        <f>_xlfn.XLOOKUP($B180,'30'!$B:$B,'30'!P:P,)</f>
        <v>Recently published values, geographically relevant, quoted in ENCA</v>
      </c>
      <c r="Q180" s="40">
        <f>_xlfn.XLOOKUP($B180,'30'!$B:$B,'30'!Q:Q,)</f>
        <v>120</v>
      </c>
      <c r="R180" s="40" t="str">
        <f>_xlfn.XLOOKUP($B180,'30'!$B:$B,'30'!R:R,)</f>
        <v>ONS (2024) UK Natural Capital Accounts: 2024 - detailed summary tables</v>
      </c>
      <c r="S180" s="40" t="str">
        <f>_xlfn.XLOOKUP($B180,'30'!$B:$B,'30'!S:S,)</f>
        <v>ENCA</v>
      </c>
      <c r="T180" s="40">
        <f>_xlfn.XLOOKUP($B180,'30'!$B:$B,'30'!T:T,)</f>
        <v>2024</v>
      </c>
      <c r="U180" s="40" t="str">
        <f>_xlfn.XLOOKUP($B180,'30'!$B:$B,'30'!U:U,)</f>
        <v>UK</v>
      </c>
      <c r="V180" s="40" t="str">
        <f>_xlfn.XLOOKUP($B180,'30'!$B:$B,'30'!V:V,)</f>
        <v>UK</v>
      </c>
      <c r="W180" s="40" t="str">
        <f>_xlfn.XLOOKUP($B180,'30'!$B:$B,'30'!W:W,)</f>
        <v>/</v>
      </c>
    </row>
    <row r="181" spans="2:23">
      <c r="B181" s="39" t="s">
        <v>2804</v>
      </c>
      <c r="C181" s="40" t="str">
        <f>_xlfn.XLOOKUP($B181,'30'!$B:$B,'30'!C:C,)</f>
        <v>Habitat impact</v>
      </c>
      <c r="D181" s="40" t="str">
        <f>_xlfn.XLOOKUP($B181,'30'!$B:$B,'30'!D:D,)</f>
        <v>Rural woodland --- moderate</v>
      </c>
      <c r="E181" s="40" t="str">
        <f>_xlfn.XLOOKUP($B181,'30'!$B:$B,'30'!E:E,)</f>
        <v>Air quality</v>
      </c>
      <c r="F181" s="40">
        <f>_xlfn.XLOOKUP($B181,'30'!$B:$B,'30'!F:F,)</f>
        <v>2024</v>
      </c>
      <c r="G181" s="40">
        <f>_xlfn.XLOOKUP($B181,'30'!$B:$B,'30'!G:G,)</f>
        <v>2023</v>
      </c>
      <c r="H181" s="40">
        <f>_xlfn.XLOOKUP($B181,'30'!$B:$B,'30'!H:H,)</f>
        <v>2023</v>
      </c>
      <c r="I181" s="40">
        <f>_xlfn.XLOOKUP($B181,'30'!$B:$B,'30'!I:I,)</f>
        <v>100</v>
      </c>
      <c r="J181" s="40">
        <f>_xlfn.XLOOKUP($B181,'30'!$B:$B,'30'!J:J,)</f>
        <v>100</v>
      </c>
      <c r="K181" s="629">
        <f>_xlfn.XLOOKUP($B181,'30'!$B:$B,'30'!K:K,)</f>
        <v>-441.83012259194402</v>
      </c>
      <c r="L181" s="629">
        <f>_xlfn.XLOOKUP($B181,'30'!$B:$B,'30'!L:L,)</f>
        <v>-441.83012259194402</v>
      </c>
      <c r="M181" s="40" t="str">
        <f>_xlfn.XLOOKUP($B181,'30'!$B:$B,'30'!M:M,)</f>
        <v>QALY</v>
      </c>
      <c r="N181" s="326">
        <f>_xlfn.XLOOKUP($B181,'30'!$B:$B,'30'!N:N,)</f>
        <v>2.1428571428571401</v>
      </c>
      <c r="O181" s="40" t="str">
        <f>_xlfn.XLOOKUP($B181,'30'!$B:$B,'30'!O:O,)</f>
        <v>Yes</v>
      </c>
      <c r="P181" s="40" t="str">
        <f>_xlfn.XLOOKUP($B181,'30'!$B:$B,'30'!P:P,)</f>
        <v>Recently published values, geographically relevant, quoted in ENCA</v>
      </c>
      <c r="Q181" s="40">
        <f>_xlfn.XLOOKUP($B181,'30'!$B:$B,'30'!Q:Q,)</f>
        <v>120</v>
      </c>
      <c r="R181" s="40" t="str">
        <f>_xlfn.XLOOKUP($B181,'30'!$B:$B,'30'!R:R,)</f>
        <v>ONS (2024) UK Natural Capital Accounts: 2024 - detailed summary tables</v>
      </c>
      <c r="S181" s="40" t="str">
        <f>_xlfn.XLOOKUP($B181,'30'!$B:$B,'30'!S:S,)</f>
        <v>ENCA</v>
      </c>
      <c r="T181" s="40">
        <f>_xlfn.XLOOKUP($B181,'30'!$B:$B,'30'!T:T,)</f>
        <v>2024</v>
      </c>
      <c r="U181" s="40" t="str">
        <f>_xlfn.XLOOKUP($B181,'30'!$B:$B,'30'!U:U,)</f>
        <v>UK</v>
      </c>
      <c r="V181" s="40" t="str">
        <f>_xlfn.XLOOKUP($B181,'30'!$B:$B,'30'!V:V,)</f>
        <v>UK</v>
      </c>
      <c r="W181" s="40" t="str">
        <f>_xlfn.XLOOKUP($B181,'30'!$B:$B,'30'!W:W,)</f>
        <v>/</v>
      </c>
    </row>
    <row r="182" spans="2:23">
      <c r="B182" s="39" t="s">
        <v>2805</v>
      </c>
      <c r="C182" s="40" t="str">
        <f>_xlfn.XLOOKUP($B182,'30'!$B:$B,'30'!C:C,)</f>
        <v>Habitat impact</v>
      </c>
      <c r="D182" s="40" t="str">
        <f>_xlfn.XLOOKUP($B182,'30'!$B:$B,'30'!D:D,)</f>
        <v>Rural woodland --- poor</v>
      </c>
      <c r="E182" s="40" t="str">
        <f>_xlfn.XLOOKUP($B182,'30'!$B:$B,'30'!E:E,)</f>
        <v>Air quality</v>
      </c>
      <c r="F182" s="40">
        <f>_xlfn.XLOOKUP($B182,'30'!$B:$B,'30'!F:F,)</f>
        <v>2024</v>
      </c>
      <c r="G182" s="40">
        <f>_xlfn.XLOOKUP($B182,'30'!$B:$B,'30'!G:G,)</f>
        <v>2023</v>
      </c>
      <c r="H182" s="40">
        <f>_xlfn.XLOOKUP($B182,'30'!$B:$B,'30'!H:H,)</f>
        <v>2023</v>
      </c>
      <c r="I182" s="40">
        <f>_xlfn.XLOOKUP($B182,'30'!$B:$B,'30'!I:I,)</f>
        <v>100</v>
      </c>
      <c r="J182" s="40">
        <f>_xlfn.XLOOKUP($B182,'30'!$B:$B,'30'!J:J,)</f>
        <v>100</v>
      </c>
      <c r="K182" s="629">
        <f>_xlfn.XLOOKUP($B182,'30'!$B:$B,'30'!K:K,)</f>
        <v>-294.55341506129599</v>
      </c>
      <c r="L182" s="629">
        <f>_xlfn.XLOOKUP($B182,'30'!$B:$B,'30'!L:L,)</f>
        <v>-294.55341506129599</v>
      </c>
      <c r="M182" s="40" t="str">
        <f>_xlfn.XLOOKUP($B182,'30'!$B:$B,'30'!M:M,)</f>
        <v>QALY</v>
      </c>
      <c r="N182" s="326">
        <f>_xlfn.XLOOKUP($B182,'30'!$B:$B,'30'!N:N,)</f>
        <v>2.1428571428571401</v>
      </c>
      <c r="O182" s="40" t="str">
        <f>_xlfn.XLOOKUP($B182,'30'!$B:$B,'30'!O:O,)</f>
        <v>Yes</v>
      </c>
      <c r="P182" s="40" t="str">
        <f>_xlfn.XLOOKUP($B182,'30'!$B:$B,'30'!P:P,)</f>
        <v>Recently published values, geographically relevant, quoted in ENCA</v>
      </c>
      <c r="Q182" s="40">
        <f>_xlfn.XLOOKUP($B182,'30'!$B:$B,'30'!Q:Q,)</f>
        <v>120</v>
      </c>
      <c r="R182" s="40" t="str">
        <f>_xlfn.XLOOKUP($B182,'30'!$B:$B,'30'!R:R,)</f>
        <v>ONS (2024) UK Natural Capital Accounts: 2024 - detailed summary tables</v>
      </c>
      <c r="S182" s="40" t="str">
        <f>_xlfn.XLOOKUP($B182,'30'!$B:$B,'30'!S:S,)</f>
        <v>ENCA</v>
      </c>
      <c r="T182" s="40">
        <f>_xlfn.XLOOKUP($B182,'30'!$B:$B,'30'!T:T,)</f>
        <v>2024</v>
      </c>
      <c r="U182" s="40" t="str">
        <f>_xlfn.XLOOKUP($B182,'30'!$B:$B,'30'!U:U,)</f>
        <v>UK</v>
      </c>
      <c r="V182" s="40" t="str">
        <f>_xlfn.XLOOKUP($B182,'30'!$B:$B,'30'!V:V,)</f>
        <v>UK</v>
      </c>
      <c r="W182" s="40" t="str">
        <f>_xlfn.XLOOKUP($B182,'30'!$B:$B,'30'!W:W,)</f>
        <v>/</v>
      </c>
    </row>
    <row r="183" spans="2:23">
      <c r="B183" s="39" t="s">
        <v>2806</v>
      </c>
      <c r="C183" s="40" t="str">
        <f>_xlfn.XLOOKUP($B183,'30'!$B:$B,'30'!C:C,)</f>
        <v>Habitat impact</v>
      </c>
      <c r="D183" s="40" t="str">
        <f>_xlfn.XLOOKUP($B183,'30'!$B:$B,'30'!D:D,)</f>
        <v>Rural wetland --- good</v>
      </c>
      <c r="E183" s="40" t="str">
        <f>_xlfn.XLOOKUP($B183,'30'!$B:$B,'30'!E:E,)</f>
        <v>Air quality</v>
      </c>
      <c r="F183" s="40">
        <f>_xlfn.XLOOKUP($B183,'30'!$B:$B,'30'!F:F,)</f>
        <v>2024</v>
      </c>
      <c r="G183" s="40">
        <f>_xlfn.XLOOKUP($B183,'30'!$B:$B,'30'!G:G,)</f>
        <v>2023</v>
      </c>
      <c r="H183" s="40">
        <f>_xlfn.XLOOKUP($B183,'30'!$B:$B,'30'!H:H,)</f>
        <v>2023</v>
      </c>
      <c r="I183" s="40">
        <f>_xlfn.XLOOKUP($B183,'30'!$B:$B,'30'!I:I,)</f>
        <v>100</v>
      </c>
      <c r="J183" s="40">
        <f>_xlfn.XLOOKUP($B183,'30'!$B:$B,'30'!J:J,)</f>
        <v>100</v>
      </c>
      <c r="K183" s="629">
        <f>_xlfn.XLOOKUP($B183,'30'!$B:$B,'30'!K:K,)</f>
        <v>-16.670634920634921</v>
      </c>
      <c r="L183" s="629">
        <f>_xlfn.XLOOKUP($B183,'30'!$B:$B,'30'!L:L,)</f>
        <v>-16.670634920634921</v>
      </c>
      <c r="M183" s="40" t="str">
        <f>_xlfn.XLOOKUP($B183,'30'!$B:$B,'30'!M:M,)</f>
        <v>QALY</v>
      </c>
      <c r="N183" s="326">
        <f>_xlfn.XLOOKUP($B183,'30'!$B:$B,'30'!N:N,)</f>
        <v>2.1428571428571401</v>
      </c>
      <c r="O183" s="40" t="str">
        <f>_xlfn.XLOOKUP($B183,'30'!$B:$B,'30'!O:O,)</f>
        <v>Yes</v>
      </c>
      <c r="P183" s="40" t="str">
        <f>_xlfn.XLOOKUP($B183,'30'!$B:$B,'30'!P:P,)</f>
        <v>Recently published values, geographically relevant, quoted in ENCA</v>
      </c>
      <c r="Q183" s="40">
        <f>_xlfn.XLOOKUP($B183,'30'!$B:$B,'30'!Q:Q,)</f>
        <v>120</v>
      </c>
      <c r="R183" s="40" t="str">
        <f>_xlfn.XLOOKUP($B183,'30'!$B:$B,'30'!R:R,)</f>
        <v>ONS (2024) UK Natural Capital Accounts: 2024 - detailed summary tables</v>
      </c>
      <c r="S183" s="40" t="str">
        <f>_xlfn.XLOOKUP($B183,'30'!$B:$B,'30'!S:S,)</f>
        <v>ENCA</v>
      </c>
      <c r="T183" s="40">
        <f>_xlfn.XLOOKUP($B183,'30'!$B:$B,'30'!T:T,)</f>
        <v>2024</v>
      </c>
      <c r="U183" s="40" t="str">
        <f>_xlfn.XLOOKUP($B183,'30'!$B:$B,'30'!U:U,)</f>
        <v>UK</v>
      </c>
      <c r="V183" s="40" t="str">
        <f>_xlfn.XLOOKUP($B183,'30'!$B:$B,'30'!V:V,)</f>
        <v>UK</v>
      </c>
      <c r="W183" s="40" t="str">
        <f>_xlfn.XLOOKUP($B183,'30'!$B:$B,'30'!W:W,)</f>
        <v>/</v>
      </c>
    </row>
    <row r="184" spans="2:23">
      <c r="B184" s="39" t="s">
        <v>2807</v>
      </c>
      <c r="C184" s="40" t="str">
        <f>_xlfn.XLOOKUP($B184,'30'!$B:$B,'30'!C:C,)</f>
        <v>Habitat impact</v>
      </c>
      <c r="D184" s="40" t="str">
        <f>_xlfn.XLOOKUP($B184,'30'!$B:$B,'30'!D:D,)</f>
        <v>Rural wetland --- moderate</v>
      </c>
      <c r="E184" s="40" t="str">
        <f>_xlfn.XLOOKUP($B184,'30'!$B:$B,'30'!E:E,)</f>
        <v>Air quality</v>
      </c>
      <c r="F184" s="40">
        <f>_xlfn.XLOOKUP($B184,'30'!$B:$B,'30'!F:F,)</f>
        <v>2024</v>
      </c>
      <c r="G184" s="40">
        <f>_xlfn.XLOOKUP($B184,'30'!$B:$B,'30'!G:G,)</f>
        <v>2023</v>
      </c>
      <c r="H184" s="40">
        <f>_xlfn.XLOOKUP($B184,'30'!$B:$B,'30'!H:H,)</f>
        <v>2023</v>
      </c>
      <c r="I184" s="40">
        <f>_xlfn.XLOOKUP($B184,'30'!$B:$B,'30'!I:I,)</f>
        <v>100</v>
      </c>
      <c r="J184" s="40">
        <f>_xlfn.XLOOKUP($B184,'30'!$B:$B,'30'!J:J,)</f>
        <v>100</v>
      </c>
      <c r="K184" s="629">
        <f>_xlfn.XLOOKUP($B184,'30'!$B:$B,'30'!K:K,)</f>
        <v>-12.50297619047619</v>
      </c>
      <c r="L184" s="629">
        <f>_xlfn.XLOOKUP($B184,'30'!$B:$B,'30'!L:L,)</f>
        <v>-12.50297619047619</v>
      </c>
      <c r="M184" s="40" t="str">
        <f>_xlfn.XLOOKUP($B184,'30'!$B:$B,'30'!M:M,)</f>
        <v>QALY</v>
      </c>
      <c r="N184" s="326">
        <f>_xlfn.XLOOKUP($B184,'30'!$B:$B,'30'!N:N,)</f>
        <v>2.1428571428571401</v>
      </c>
      <c r="O184" s="40" t="str">
        <f>_xlfn.XLOOKUP($B184,'30'!$B:$B,'30'!O:O,)</f>
        <v>Yes</v>
      </c>
      <c r="P184" s="40" t="str">
        <f>_xlfn.XLOOKUP($B184,'30'!$B:$B,'30'!P:P,)</f>
        <v>Recently published values, geographically relevant, quoted in ENCA</v>
      </c>
      <c r="Q184" s="40">
        <f>_xlfn.XLOOKUP($B184,'30'!$B:$B,'30'!Q:Q,)</f>
        <v>120</v>
      </c>
      <c r="R184" s="40" t="str">
        <f>_xlfn.XLOOKUP($B184,'30'!$B:$B,'30'!R:R,)</f>
        <v>ONS (2024) UK Natural Capital Accounts: 2024 - detailed summary tables</v>
      </c>
      <c r="S184" s="40" t="str">
        <f>_xlfn.XLOOKUP($B184,'30'!$B:$B,'30'!S:S,)</f>
        <v>ENCA</v>
      </c>
      <c r="T184" s="40">
        <f>_xlfn.XLOOKUP($B184,'30'!$B:$B,'30'!T:T,)</f>
        <v>2024</v>
      </c>
      <c r="U184" s="40" t="str">
        <f>_xlfn.XLOOKUP($B184,'30'!$B:$B,'30'!U:U,)</f>
        <v>UK</v>
      </c>
      <c r="V184" s="40" t="str">
        <f>_xlfn.XLOOKUP($B184,'30'!$B:$B,'30'!V:V,)</f>
        <v>UK</v>
      </c>
      <c r="W184" s="40" t="str">
        <f>_xlfn.XLOOKUP($B184,'30'!$B:$B,'30'!W:W,)</f>
        <v>/</v>
      </c>
    </row>
    <row r="185" spans="2:23">
      <c r="B185" s="39" t="s">
        <v>2808</v>
      </c>
      <c r="C185" s="40" t="str">
        <f>_xlfn.XLOOKUP($B185,'30'!$B:$B,'30'!C:C,)</f>
        <v>Habitat impact</v>
      </c>
      <c r="D185" s="40" t="str">
        <f>_xlfn.XLOOKUP($B185,'30'!$B:$B,'30'!D:D,)</f>
        <v>Rural wetland --- poor</v>
      </c>
      <c r="E185" s="40" t="str">
        <f>_xlfn.XLOOKUP($B185,'30'!$B:$B,'30'!E:E,)</f>
        <v>Air quality</v>
      </c>
      <c r="F185" s="40">
        <f>_xlfn.XLOOKUP($B185,'30'!$B:$B,'30'!F:F,)</f>
        <v>2024</v>
      </c>
      <c r="G185" s="40">
        <f>_xlfn.XLOOKUP($B185,'30'!$B:$B,'30'!G:G,)</f>
        <v>2023</v>
      </c>
      <c r="H185" s="40">
        <f>_xlfn.XLOOKUP($B185,'30'!$B:$B,'30'!H:H,)</f>
        <v>2023</v>
      </c>
      <c r="I185" s="40">
        <f>_xlfn.XLOOKUP($B185,'30'!$B:$B,'30'!I:I,)</f>
        <v>100</v>
      </c>
      <c r="J185" s="40">
        <f>_xlfn.XLOOKUP($B185,'30'!$B:$B,'30'!J:J,)</f>
        <v>100</v>
      </c>
      <c r="K185" s="629">
        <f>_xlfn.XLOOKUP($B185,'30'!$B:$B,'30'!K:K,)</f>
        <v>-8.3353174603174605</v>
      </c>
      <c r="L185" s="629">
        <f>_xlfn.XLOOKUP($B185,'30'!$B:$B,'30'!L:L,)</f>
        <v>-8.3353174603174605</v>
      </c>
      <c r="M185" s="40" t="str">
        <f>_xlfn.XLOOKUP($B185,'30'!$B:$B,'30'!M:M,)</f>
        <v>QALY</v>
      </c>
      <c r="N185" s="326">
        <f>_xlfn.XLOOKUP($B185,'30'!$B:$B,'30'!N:N,)</f>
        <v>2.1428571428571401</v>
      </c>
      <c r="O185" s="40" t="str">
        <f>_xlfn.XLOOKUP($B185,'30'!$B:$B,'30'!O:O,)</f>
        <v>Yes</v>
      </c>
      <c r="P185" s="40" t="str">
        <f>_xlfn.XLOOKUP($B185,'30'!$B:$B,'30'!P:P,)</f>
        <v>Recently published values, geographically relevant, quoted in ENCA</v>
      </c>
      <c r="Q185" s="40">
        <f>_xlfn.XLOOKUP($B185,'30'!$B:$B,'30'!Q:Q,)</f>
        <v>120</v>
      </c>
      <c r="R185" s="40" t="str">
        <f>_xlfn.XLOOKUP($B185,'30'!$B:$B,'30'!R:R,)</f>
        <v>ONS (2024) UK Natural Capital Accounts: 2024 - detailed summary tables</v>
      </c>
      <c r="S185" s="40" t="str">
        <f>_xlfn.XLOOKUP($B185,'30'!$B:$B,'30'!S:S,)</f>
        <v>ENCA</v>
      </c>
      <c r="T185" s="40">
        <f>_xlfn.XLOOKUP($B185,'30'!$B:$B,'30'!T:T,)</f>
        <v>2024</v>
      </c>
      <c r="U185" s="40" t="str">
        <f>_xlfn.XLOOKUP($B185,'30'!$B:$B,'30'!U:U,)</f>
        <v>UK</v>
      </c>
      <c r="V185" s="40" t="str">
        <f>_xlfn.XLOOKUP($B185,'30'!$B:$B,'30'!V:V,)</f>
        <v>UK</v>
      </c>
      <c r="W185" s="40" t="str">
        <f>_xlfn.XLOOKUP($B185,'30'!$B:$B,'30'!W:W,)</f>
        <v>/</v>
      </c>
    </row>
    <row r="186" spans="2:23">
      <c r="B186" s="39" t="s">
        <v>2809</v>
      </c>
      <c r="C186" s="40" t="str">
        <f>_xlfn.XLOOKUP($B186,'30'!$B:$B,'30'!C:C,)</f>
        <v>Habitat impact</v>
      </c>
      <c r="D186" s="40" t="str">
        <f>_xlfn.XLOOKUP($B186,'30'!$B:$B,'30'!D:D,)</f>
        <v>Rural grassland --- good</v>
      </c>
      <c r="E186" s="40" t="str">
        <f>_xlfn.XLOOKUP($B186,'30'!$B:$B,'30'!E:E,)</f>
        <v>Air quality</v>
      </c>
      <c r="F186" s="40">
        <f>_xlfn.XLOOKUP($B186,'30'!$B:$B,'30'!F:F,)</f>
        <v>2024</v>
      </c>
      <c r="G186" s="40">
        <f>_xlfn.XLOOKUP($B186,'30'!$B:$B,'30'!G:G,)</f>
        <v>2023</v>
      </c>
      <c r="H186" s="40">
        <f>_xlfn.XLOOKUP($B186,'30'!$B:$B,'30'!H:H,)</f>
        <v>2023</v>
      </c>
      <c r="I186" s="40">
        <f>_xlfn.XLOOKUP($B186,'30'!$B:$B,'30'!I:I,)</f>
        <v>100</v>
      </c>
      <c r="J186" s="40">
        <f>_xlfn.XLOOKUP($B186,'30'!$B:$B,'30'!J:J,)</f>
        <v>100</v>
      </c>
      <c r="K186" s="629">
        <f>_xlfn.XLOOKUP($B186,'30'!$B:$B,'30'!K:K,)</f>
        <v>-17.747478822105688</v>
      </c>
      <c r="L186" s="629">
        <f>_xlfn.XLOOKUP($B186,'30'!$B:$B,'30'!L:L,)</f>
        <v>-17.747478822105688</v>
      </c>
      <c r="M186" s="40" t="str">
        <f>_xlfn.XLOOKUP($B186,'30'!$B:$B,'30'!M:M,)</f>
        <v>QALY</v>
      </c>
      <c r="N186" s="326">
        <f>_xlfn.XLOOKUP($B186,'30'!$B:$B,'30'!N:N,)</f>
        <v>2.1428571428571401</v>
      </c>
      <c r="O186" s="40" t="str">
        <f>_xlfn.XLOOKUP($B186,'30'!$B:$B,'30'!O:O,)</f>
        <v>Yes</v>
      </c>
      <c r="P186" s="40" t="str">
        <f>_xlfn.XLOOKUP($B186,'30'!$B:$B,'30'!P:P,)</f>
        <v>Recently published values, geographically relevant, quoted in ENCA</v>
      </c>
      <c r="Q186" s="40">
        <f>_xlfn.XLOOKUP($B186,'30'!$B:$B,'30'!Q:Q,)</f>
        <v>120</v>
      </c>
      <c r="R186" s="40" t="str">
        <f>_xlfn.XLOOKUP($B186,'30'!$B:$B,'30'!R:R,)</f>
        <v>ONS (2024) UK Natural Capital Accounts: 2024 - detailed summary tables</v>
      </c>
      <c r="S186" s="40" t="str">
        <f>_xlfn.XLOOKUP($B186,'30'!$B:$B,'30'!S:S,)</f>
        <v>ENCA</v>
      </c>
      <c r="T186" s="40">
        <f>_xlfn.XLOOKUP($B186,'30'!$B:$B,'30'!T:T,)</f>
        <v>2024</v>
      </c>
      <c r="U186" s="40" t="str">
        <f>_xlfn.XLOOKUP($B186,'30'!$B:$B,'30'!U:U,)</f>
        <v>UK</v>
      </c>
      <c r="V186" s="40" t="str">
        <f>_xlfn.XLOOKUP($B186,'30'!$B:$B,'30'!V:V,)</f>
        <v>UK</v>
      </c>
      <c r="W186" s="40" t="str">
        <f>_xlfn.XLOOKUP($B186,'30'!$B:$B,'30'!W:W,)</f>
        <v>/</v>
      </c>
    </row>
    <row r="187" spans="2:23">
      <c r="B187" s="39" t="s">
        <v>2810</v>
      </c>
      <c r="C187" s="40" t="str">
        <f>_xlfn.XLOOKUP($B187,'30'!$B:$B,'30'!C:C,)</f>
        <v>Habitat impact</v>
      </c>
      <c r="D187" s="40" t="str">
        <f>_xlfn.XLOOKUP($B187,'30'!$B:$B,'30'!D:D,)</f>
        <v>Rural grassland --- moderate</v>
      </c>
      <c r="E187" s="40" t="str">
        <f>_xlfn.XLOOKUP($B187,'30'!$B:$B,'30'!E:E,)</f>
        <v>Air quality</v>
      </c>
      <c r="F187" s="40">
        <f>_xlfn.XLOOKUP($B187,'30'!$B:$B,'30'!F:F,)</f>
        <v>2024</v>
      </c>
      <c r="G187" s="40">
        <f>_xlfn.XLOOKUP($B187,'30'!$B:$B,'30'!G:G,)</f>
        <v>2023</v>
      </c>
      <c r="H187" s="40">
        <f>_xlfn.XLOOKUP($B187,'30'!$B:$B,'30'!H:H,)</f>
        <v>2023</v>
      </c>
      <c r="I187" s="40">
        <f>_xlfn.XLOOKUP($B187,'30'!$B:$B,'30'!I:I,)</f>
        <v>100</v>
      </c>
      <c r="J187" s="40">
        <f>_xlfn.XLOOKUP($B187,'30'!$B:$B,'30'!J:J,)</f>
        <v>100</v>
      </c>
      <c r="K187" s="629">
        <f>_xlfn.XLOOKUP($B187,'30'!$B:$B,'30'!K:K,)</f>
        <v>-13.310609116579265</v>
      </c>
      <c r="L187" s="629">
        <f>_xlfn.XLOOKUP($B187,'30'!$B:$B,'30'!L:L,)</f>
        <v>-13.310609116579265</v>
      </c>
      <c r="M187" s="40" t="str">
        <f>_xlfn.XLOOKUP($B187,'30'!$B:$B,'30'!M:M,)</f>
        <v>QALY</v>
      </c>
      <c r="N187" s="326">
        <f>_xlfn.XLOOKUP($B187,'30'!$B:$B,'30'!N:N,)</f>
        <v>2.1428571428571401</v>
      </c>
      <c r="O187" s="40" t="str">
        <f>_xlfn.XLOOKUP($B187,'30'!$B:$B,'30'!O:O,)</f>
        <v>Yes</v>
      </c>
      <c r="P187" s="40" t="str">
        <f>_xlfn.XLOOKUP($B187,'30'!$B:$B,'30'!P:P,)</f>
        <v>Recently published values, geographically relevant, quoted in ENCA</v>
      </c>
      <c r="Q187" s="40">
        <f>_xlfn.XLOOKUP($B187,'30'!$B:$B,'30'!Q:Q,)</f>
        <v>120</v>
      </c>
      <c r="R187" s="40" t="str">
        <f>_xlfn.XLOOKUP($B187,'30'!$B:$B,'30'!R:R,)</f>
        <v>ONS (2024) UK Natural Capital Accounts: 2024 - detailed summary tables</v>
      </c>
      <c r="S187" s="40" t="str">
        <f>_xlfn.XLOOKUP($B187,'30'!$B:$B,'30'!S:S,)</f>
        <v>ENCA</v>
      </c>
      <c r="T187" s="40">
        <f>_xlfn.XLOOKUP($B187,'30'!$B:$B,'30'!T:T,)</f>
        <v>2024</v>
      </c>
      <c r="U187" s="40" t="str">
        <f>_xlfn.XLOOKUP($B187,'30'!$B:$B,'30'!U:U,)</f>
        <v>UK</v>
      </c>
      <c r="V187" s="40" t="str">
        <f>_xlfn.XLOOKUP($B187,'30'!$B:$B,'30'!V:V,)</f>
        <v>UK</v>
      </c>
      <c r="W187" s="40" t="str">
        <f>_xlfn.XLOOKUP($B187,'30'!$B:$B,'30'!W:W,)</f>
        <v>/</v>
      </c>
    </row>
    <row r="188" spans="2:23">
      <c r="B188" s="39" t="s">
        <v>2811</v>
      </c>
      <c r="C188" s="40" t="str">
        <f>_xlfn.XLOOKUP($B188,'30'!$B:$B,'30'!C:C,)</f>
        <v>Habitat impact</v>
      </c>
      <c r="D188" s="40" t="str">
        <f>_xlfn.XLOOKUP($B188,'30'!$B:$B,'30'!D:D,)</f>
        <v>Rural grassland --- poor</v>
      </c>
      <c r="E188" s="40" t="str">
        <f>_xlfn.XLOOKUP($B188,'30'!$B:$B,'30'!E:E,)</f>
        <v>Air quality</v>
      </c>
      <c r="F188" s="40">
        <f>_xlfn.XLOOKUP($B188,'30'!$B:$B,'30'!F:F,)</f>
        <v>2024</v>
      </c>
      <c r="G188" s="40">
        <f>_xlfn.XLOOKUP($B188,'30'!$B:$B,'30'!G:G,)</f>
        <v>2023</v>
      </c>
      <c r="H188" s="40">
        <f>_xlfn.XLOOKUP($B188,'30'!$B:$B,'30'!H:H,)</f>
        <v>2023</v>
      </c>
      <c r="I188" s="40">
        <f>_xlfn.XLOOKUP($B188,'30'!$B:$B,'30'!I:I,)</f>
        <v>100</v>
      </c>
      <c r="J188" s="40">
        <f>_xlfn.XLOOKUP($B188,'30'!$B:$B,'30'!J:J,)</f>
        <v>100</v>
      </c>
      <c r="K188" s="629">
        <f>_xlfn.XLOOKUP($B188,'30'!$B:$B,'30'!K:K,)</f>
        <v>-8.8737394110528438</v>
      </c>
      <c r="L188" s="629">
        <f>_xlfn.XLOOKUP($B188,'30'!$B:$B,'30'!L:L,)</f>
        <v>-8.8737394110528438</v>
      </c>
      <c r="M188" s="40" t="str">
        <f>_xlfn.XLOOKUP($B188,'30'!$B:$B,'30'!M:M,)</f>
        <v>QALY</v>
      </c>
      <c r="N188" s="326">
        <f>_xlfn.XLOOKUP($B188,'30'!$B:$B,'30'!N:N,)</f>
        <v>2.1428571428571401</v>
      </c>
      <c r="O188" s="40" t="str">
        <f>_xlfn.XLOOKUP($B188,'30'!$B:$B,'30'!O:O,)</f>
        <v>Yes</v>
      </c>
      <c r="P188" s="40" t="str">
        <f>_xlfn.XLOOKUP($B188,'30'!$B:$B,'30'!P:P,)</f>
        <v>Recently published values, geographically relevant, quoted in ENCA</v>
      </c>
      <c r="Q188" s="40">
        <f>_xlfn.XLOOKUP($B188,'30'!$B:$B,'30'!Q:Q,)</f>
        <v>120</v>
      </c>
      <c r="R188" s="40" t="str">
        <f>_xlfn.XLOOKUP($B188,'30'!$B:$B,'30'!R:R,)</f>
        <v>ONS (2024) UK Natural Capital Accounts: 2024 - detailed summary tables</v>
      </c>
      <c r="S188" s="40" t="str">
        <f>_xlfn.XLOOKUP($B188,'30'!$B:$B,'30'!S:S,)</f>
        <v>ENCA</v>
      </c>
      <c r="T188" s="40">
        <f>_xlfn.XLOOKUP($B188,'30'!$B:$B,'30'!T:T,)</f>
        <v>2024</v>
      </c>
      <c r="U188" s="40" t="str">
        <f>_xlfn.XLOOKUP($B188,'30'!$B:$B,'30'!U:U,)</f>
        <v>UK</v>
      </c>
      <c r="V188" s="40" t="str">
        <f>_xlfn.XLOOKUP($B188,'30'!$B:$B,'30'!V:V,)</f>
        <v>UK</v>
      </c>
      <c r="W188" s="40" t="str">
        <f>_xlfn.XLOOKUP($B188,'30'!$B:$B,'30'!W:W,)</f>
        <v>/</v>
      </c>
    </row>
    <row r="189" spans="2:23">
      <c r="B189" s="39" t="s">
        <v>2812</v>
      </c>
      <c r="C189" s="40" t="str">
        <f>_xlfn.XLOOKUP($B189,'30'!$B:$B,'30'!C:C,)</f>
        <v>Habitat impact</v>
      </c>
      <c r="D189" s="40" t="str">
        <f>_xlfn.XLOOKUP($B189,'30'!$B:$B,'30'!D:D,)</f>
        <v>Farmland --- good</v>
      </c>
      <c r="E189" s="40" t="str">
        <f>_xlfn.XLOOKUP($B189,'30'!$B:$B,'30'!E:E,)</f>
        <v>Air quality</v>
      </c>
      <c r="F189" s="40">
        <f>_xlfn.XLOOKUP($B189,'30'!$B:$B,'30'!F:F,)</f>
        <v>2024</v>
      </c>
      <c r="G189" s="40">
        <f>_xlfn.XLOOKUP($B189,'30'!$B:$B,'30'!G:G,)</f>
        <v>2023</v>
      </c>
      <c r="H189" s="40">
        <f>_xlfn.XLOOKUP($B189,'30'!$B:$B,'30'!H:H,)</f>
        <v>2023</v>
      </c>
      <c r="I189" s="40">
        <f>_xlfn.XLOOKUP($B189,'30'!$B:$B,'30'!I:I,)</f>
        <v>100</v>
      </c>
      <c r="J189" s="40">
        <f>_xlfn.XLOOKUP($B189,'30'!$B:$B,'30'!J:J,)</f>
        <v>100</v>
      </c>
      <c r="K189" s="629">
        <f>_xlfn.XLOOKUP($B189,'30'!$B:$B,'30'!K:K,)</f>
        <v>-34.662912308930011</v>
      </c>
      <c r="L189" s="629">
        <f>_xlfn.XLOOKUP($B189,'30'!$B:$B,'30'!L:L,)</f>
        <v>-34.662912308930011</v>
      </c>
      <c r="M189" s="40" t="str">
        <f>_xlfn.XLOOKUP($B189,'30'!$B:$B,'30'!M:M,)</f>
        <v>QALY</v>
      </c>
      <c r="N189" s="326">
        <f>_xlfn.XLOOKUP($B189,'30'!$B:$B,'30'!N:N,)</f>
        <v>2.1428571428571401</v>
      </c>
      <c r="O189" s="40" t="str">
        <f>_xlfn.XLOOKUP($B189,'30'!$B:$B,'30'!O:O,)</f>
        <v>Yes</v>
      </c>
      <c r="P189" s="40" t="str">
        <f>_xlfn.XLOOKUP($B189,'30'!$B:$B,'30'!P:P,)</f>
        <v>Recently published values, geographically relevant, quoted in ENCA</v>
      </c>
      <c r="Q189" s="40">
        <f>_xlfn.XLOOKUP($B189,'30'!$B:$B,'30'!Q:Q,)</f>
        <v>120</v>
      </c>
      <c r="R189" s="40" t="str">
        <f>_xlfn.XLOOKUP($B189,'30'!$B:$B,'30'!R:R,)</f>
        <v>ONS (2024) UK Natural Capital Accounts: 2024 - detailed summary tables</v>
      </c>
      <c r="S189" s="40" t="str">
        <f>_xlfn.XLOOKUP($B189,'30'!$B:$B,'30'!S:S,)</f>
        <v>ENCA</v>
      </c>
      <c r="T189" s="40">
        <f>_xlfn.XLOOKUP($B189,'30'!$B:$B,'30'!T:T,)</f>
        <v>2024</v>
      </c>
      <c r="U189" s="40" t="str">
        <f>_xlfn.XLOOKUP($B189,'30'!$B:$B,'30'!U:U,)</f>
        <v>UK</v>
      </c>
      <c r="V189" s="40" t="str">
        <f>_xlfn.XLOOKUP($B189,'30'!$B:$B,'30'!V:V,)</f>
        <v>UK</v>
      </c>
      <c r="W189" s="40" t="str">
        <f>_xlfn.XLOOKUP($B189,'30'!$B:$B,'30'!W:W,)</f>
        <v>/</v>
      </c>
    </row>
    <row r="190" spans="2:23">
      <c r="B190" s="39" t="s">
        <v>2813</v>
      </c>
      <c r="C190" s="40" t="str">
        <f>_xlfn.XLOOKUP($B190,'30'!$B:$B,'30'!C:C,)</f>
        <v>Habitat impact</v>
      </c>
      <c r="D190" s="40" t="str">
        <f>_xlfn.XLOOKUP($B190,'30'!$B:$B,'30'!D:D,)</f>
        <v>Farmland --- moderate</v>
      </c>
      <c r="E190" s="40" t="str">
        <f>_xlfn.XLOOKUP($B190,'30'!$B:$B,'30'!E:E,)</f>
        <v>Air quality</v>
      </c>
      <c r="F190" s="40">
        <f>_xlfn.XLOOKUP($B190,'30'!$B:$B,'30'!F:F,)</f>
        <v>2024</v>
      </c>
      <c r="G190" s="40">
        <f>_xlfn.XLOOKUP($B190,'30'!$B:$B,'30'!G:G,)</f>
        <v>2023</v>
      </c>
      <c r="H190" s="40">
        <f>_xlfn.XLOOKUP($B190,'30'!$B:$B,'30'!H:H,)</f>
        <v>2023</v>
      </c>
      <c r="I190" s="40">
        <f>_xlfn.XLOOKUP($B190,'30'!$B:$B,'30'!I:I,)</f>
        <v>100</v>
      </c>
      <c r="J190" s="40">
        <f>_xlfn.XLOOKUP($B190,'30'!$B:$B,'30'!J:J,)</f>
        <v>100</v>
      </c>
      <c r="K190" s="629">
        <f>_xlfn.XLOOKUP($B190,'30'!$B:$B,'30'!K:K,)</f>
        <v>-25.99718423169751</v>
      </c>
      <c r="L190" s="629">
        <f>_xlfn.XLOOKUP($B190,'30'!$B:$B,'30'!L:L,)</f>
        <v>-25.99718423169751</v>
      </c>
      <c r="M190" s="40" t="str">
        <f>_xlfn.XLOOKUP($B190,'30'!$B:$B,'30'!M:M,)</f>
        <v>QALY</v>
      </c>
      <c r="N190" s="326">
        <f>_xlfn.XLOOKUP($B190,'30'!$B:$B,'30'!N:N,)</f>
        <v>2.1428571428571401</v>
      </c>
      <c r="O190" s="40" t="str">
        <f>_xlfn.XLOOKUP($B190,'30'!$B:$B,'30'!O:O,)</f>
        <v>Yes</v>
      </c>
      <c r="P190" s="40" t="str">
        <f>_xlfn.XLOOKUP($B190,'30'!$B:$B,'30'!P:P,)</f>
        <v>Recently published values, geographically relevant, quoted in ENCA</v>
      </c>
      <c r="Q190" s="40">
        <f>_xlfn.XLOOKUP($B190,'30'!$B:$B,'30'!Q:Q,)</f>
        <v>120</v>
      </c>
      <c r="R190" s="40" t="str">
        <f>_xlfn.XLOOKUP($B190,'30'!$B:$B,'30'!R:R,)</f>
        <v>ONS (2024) UK Natural Capital Accounts: 2024 - detailed summary tables</v>
      </c>
      <c r="S190" s="40" t="str">
        <f>_xlfn.XLOOKUP($B190,'30'!$B:$B,'30'!S:S,)</f>
        <v>ENCA</v>
      </c>
      <c r="T190" s="40">
        <f>_xlfn.XLOOKUP($B190,'30'!$B:$B,'30'!T:T,)</f>
        <v>2024</v>
      </c>
      <c r="U190" s="40" t="str">
        <f>_xlfn.XLOOKUP($B190,'30'!$B:$B,'30'!U:U,)</f>
        <v>UK</v>
      </c>
      <c r="V190" s="40" t="str">
        <f>_xlfn.XLOOKUP($B190,'30'!$B:$B,'30'!V:V,)</f>
        <v>UK</v>
      </c>
      <c r="W190" s="40" t="str">
        <f>_xlfn.XLOOKUP($B190,'30'!$B:$B,'30'!W:W,)</f>
        <v>/</v>
      </c>
    </row>
    <row r="191" spans="2:23">
      <c r="B191" s="39" t="s">
        <v>2814</v>
      </c>
      <c r="C191" s="40" t="str">
        <f>_xlfn.XLOOKUP($B191,'30'!$B:$B,'30'!C:C,)</f>
        <v>Habitat impact</v>
      </c>
      <c r="D191" s="40" t="str">
        <f>_xlfn.XLOOKUP($B191,'30'!$B:$B,'30'!D:D,)</f>
        <v>Farmland --- poor</v>
      </c>
      <c r="E191" s="40" t="str">
        <f>_xlfn.XLOOKUP($B191,'30'!$B:$B,'30'!E:E,)</f>
        <v>Air quality</v>
      </c>
      <c r="F191" s="40">
        <f>_xlfn.XLOOKUP($B191,'30'!$B:$B,'30'!F:F,)</f>
        <v>2024</v>
      </c>
      <c r="G191" s="40">
        <f>_xlfn.XLOOKUP($B191,'30'!$B:$B,'30'!G:G,)</f>
        <v>2023</v>
      </c>
      <c r="H191" s="40">
        <f>_xlfn.XLOOKUP($B191,'30'!$B:$B,'30'!H:H,)</f>
        <v>2023</v>
      </c>
      <c r="I191" s="40">
        <f>_xlfn.XLOOKUP($B191,'30'!$B:$B,'30'!I:I,)</f>
        <v>100</v>
      </c>
      <c r="J191" s="40">
        <f>_xlfn.XLOOKUP($B191,'30'!$B:$B,'30'!J:J,)</f>
        <v>100</v>
      </c>
      <c r="K191" s="629">
        <f>_xlfn.XLOOKUP($B191,'30'!$B:$B,'30'!K:K,)</f>
        <v>-17.331456154465005</v>
      </c>
      <c r="L191" s="629">
        <f>_xlfn.XLOOKUP($B191,'30'!$B:$B,'30'!L:L,)</f>
        <v>-17.331456154465005</v>
      </c>
      <c r="M191" s="40" t="str">
        <f>_xlfn.XLOOKUP($B191,'30'!$B:$B,'30'!M:M,)</f>
        <v>QALY</v>
      </c>
      <c r="N191" s="326">
        <f>_xlfn.XLOOKUP($B191,'30'!$B:$B,'30'!N:N,)</f>
        <v>2.1428571428571401</v>
      </c>
      <c r="O191" s="40" t="str">
        <f>_xlfn.XLOOKUP($B191,'30'!$B:$B,'30'!O:O,)</f>
        <v>Yes</v>
      </c>
      <c r="P191" s="40" t="str">
        <f>_xlfn.XLOOKUP($B191,'30'!$B:$B,'30'!P:P,)</f>
        <v>Recently published values, geographically relevant, quoted in ENCA</v>
      </c>
      <c r="Q191" s="40">
        <f>_xlfn.XLOOKUP($B191,'30'!$B:$B,'30'!Q:Q,)</f>
        <v>120</v>
      </c>
      <c r="R191" s="40" t="str">
        <f>_xlfn.XLOOKUP($B191,'30'!$B:$B,'30'!R:R,)</f>
        <v>ONS (2024) UK Natural Capital Accounts: 2024 - detailed summary tables</v>
      </c>
      <c r="S191" s="40" t="str">
        <f>_xlfn.XLOOKUP($B191,'30'!$B:$B,'30'!S:S,)</f>
        <v>ENCA</v>
      </c>
      <c r="T191" s="40">
        <f>_xlfn.XLOOKUP($B191,'30'!$B:$B,'30'!T:T,)</f>
        <v>2024</v>
      </c>
      <c r="U191" s="40" t="str">
        <f>_xlfn.XLOOKUP($B191,'30'!$B:$B,'30'!U:U,)</f>
        <v>UK</v>
      </c>
      <c r="V191" s="40" t="str">
        <f>_xlfn.XLOOKUP($B191,'30'!$B:$B,'30'!V:V,)</f>
        <v>UK</v>
      </c>
      <c r="W191" s="40" t="str">
        <f>_xlfn.XLOOKUP($B191,'30'!$B:$B,'30'!W:W,)</f>
        <v>/</v>
      </c>
    </row>
    <row r="192" spans="2:23">
      <c r="B192" s="39" t="s">
        <v>2815</v>
      </c>
      <c r="C192" s="40" t="str">
        <f>_xlfn.XLOOKUP($B192,'30'!$B:$B,'30'!C:C,)</f>
        <v>Habitat impact</v>
      </c>
      <c r="D192" s="40" t="str">
        <f>_xlfn.XLOOKUP($B192,'30'!$B:$B,'30'!D:D,)</f>
        <v>Mountain moor &amp; heath --- good</v>
      </c>
      <c r="E192" s="40" t="str">
        <f>_xlfn.XLOOKUP($B192,'30'!$B:$B,'30'!E:E,)</f>
        <v>Air quality</v>
      </c>
      <c r="F192" s="40">
        <f>_xlfn.XLOOKUP($B192,'30'!$B:$B,'30'!F:F,)</f>
        <v>2024</v>
      </c>
      <c r="G192" s="40">
        <f>_xlfn.XLOOKUP($B192,'30'!$B:$B,'30'!G:G,)</f>
        <v>2023</v>
      </c>
      <c r="H192" s="40">
        <f>_xlfn.XLOOKUP($B192,'30'!$B:$B,'30'!H:H,)</f>
        <v>2023</v>
      </c>
      <c r="I192" s="40">
        <f>_xlfn.XLOOKUP($B192,'30'!$B:$B,'30'!I:I,)</f>
        <v>100</v>
      </c>
      <c r="J192" s="40">
        <f>_xlfn.XLOOKUP($B192,'30'!$B:$B,'30'!J:J,)</f>
        <v>100</v>
      </c>
      <c r="K192" s="629">
        <f>_xlfn.XLOOKUP($B192,'30'!$B:$B,'30'!K:K,)</f>
        <v>-10.21331636980492</v>
      </c>
      <c r="L192" s="629">
        <f>_xlfn.XLOOKUP($B192,'30'!$B:$B,'30'!L:L,)</f>
        <v>-10.21331636980492</v>
      </c>
      <c r="M192" s="40" t="str">
        <f>_xlfn.XLOOKUP($B192,'30'!$B:$B,'30'!M:M,)</f>
        <v>QALY</v>
      </c>
      <c r="N192" s="326">
        <f>_xlfn.XLOOKUP($B192,'30'!$B:$B,'30'!N:N,)</f>
        <v>2.1428571428571401</v>
      </c>
      <c r="O192" s="40" t="str">
        <f>_xlfn.XLOOKUP($B192,'30'!$B:$B,'30'!O:O,)</f>
        <v>Yes</v>
      </c>
      <c r="P192" s="40" t="str">
        <f>_xlfn.XLOOKUP($B192,'30'!$B:$B,'30'!P:P,)</f>
        <v>Recently published values, geographically relevant, quoted in ENCA</v>
      </c>
      <c r="Q192" s="40">
        <f>_xlfn.XLOOKUP($B192,'30'!$B:$B,'30'!Q:Q,)</f>
        <v>120</v>
      </c>
      <c r="R192" s="40" t="str">
        <f>_xlfn.XLOOKUP($B192,'30'!$B:$B,'30'!R:R,)</f>
        <v>ONS (2024) UK Natural Capital Accounts: 2024 - detailed summary tables</v>
      </c>
      <c r="S192" s="40" t="str">
        <f>_xlfn.XLOOKUP($B192,'30'!$B:$B,'30'!S:S,)</f>
        <v>ENCA</v>
      </c>
      <c r="T192" s="40">
        <f>_xlfn.XLOOKUP($B192,'30'!$B:$B,'30'!T:T,)</f>
        <v>2024</v>
      </c>
      <c r="U192" s="40" t="str">
        <f>_xlfn.XLOOKUP($B192,'30'!$B:$B,'30'!U:U,)</f>
        <v>UK</v>
      </c>
      <c r="V192" s="40" t="str">
        <f>_xlfn.XLOOKUP($B192,'30'!$B:$B,'30'!V:V,)</f>
        <v>UK</v>
      </c>
      <c r="W192" s="40" t="str">
        <f>_xlfn.XLOOKUP($B192,'30'!$B:$B,'30'!W:W,)</f>
        <v>/</v>
      </c>
    </row>
    <row r="193" spans="2:23">
      <c r="B193" s="39" t="s">
        <v>2816</v>
      </c>
      <c r="C193" s="40" t="str">
        <f>_xlfn.XLOOKUP($B193,'30'!$B:$B,'30'!C:C,)</f>
        <v>Habitat impact</v>
      </c>
      <c r="D193" s="40" t="str">
        <f>_xlfn.XLOOKUP($B193,'30'!$B:$B,'30'!D:D,)</f>
        <v>Mountain moor &amp; heath --- moderate</v>
      </c>
      <c r="E193" s="40" t="str">
        <f>_xlfn.XLOOKUP($B193,'30'!$B:$B,'30'!E:E,)</f>
        <v>Air quality</v>
      </c>
      <c r="F193" s="40">
        <f>_xlfn.XLOOKUP($B193,'30'!$B:$B,'30'!F:F,)</f>
        <v>2024</v>
      </c>
      <c r="G193" s="40">
        <f>_xlfn.XLOOKUP($B193,'30'!$B:$B,'30'!G:G,)</f>
        <v>2023</v>
      </c>
      <c r="H193" s="40">
        <f>_xlfn.XLOOKUP($B193,'30'!$B:$B,'30'!H:H,)</f>
        <v>2023</v>
      </c>
      <c r="I193" s="40">
        <f>_xlfn.XLOOKUP($B193,'30'!$B:$B,'30'!I:I,)</f>
        <v>100</v>
      </c>
      <c r="J193" s="40">
        <f>_xlfn.XLOOKUP($B193,'30'!$B:$B,'30'!J:J,)</f>
        <v>100</v>
      </c>
      <c r="K193" s="629">
        <f>_xlfn.XLOOKUP($B193,'30'!$B:$B,'30'!K:K,)</f>
        <v>-7.6599872773536894</v>
      </c>
      <c r="L193" s="629">
        <f>_xlfn.XLOOKUP($B193,'30'!$B:$B,'30'!L:L,)</f>
        <v>-7.6599872773536894</v>
      </c>
      <c r="M193" s="40" t="str">
        <f>_xlfn.XLOOKUP($B193,'30'!$B:$B,'30'!M:M,)</f>
        <v>QALY</v>
      </c>
      <c r="N193" s="326">
        <f>_xlfn.XLOOKUP($B193,'30'!$B:$B,'30'!N:N,)</f>
        <v>2.1428571428571401</v>
      </c>
      <c r="O193" s="40" t="str">
        <f>_xlfn.XLOOKUP($B193,'30'!$B:$B,'30'!O:O,)</f>
        <v>Yes</v>
      </c>
      <c r="P193" s="40" t="str">
        <f>_xlfn.XLOOKUP($B193,'30'!$B:$B,'30'!P:P,)</f>
        <v>Recently published values, geographically relevant, quoted in ENCA</v>
      </c>
      <c r="Q193" s="40">
        <f>_xlfn.XLOOKUP($B193,'30'!$B:$B,'30'!Q:Q,)</f>
        <v>120</v>
      </c>
      <c r="R193" s="40" t="str">
        <f>_xlfn.XLOOKUP($B193,'30'!$B:$B,'30'!R:R,)</f>
        <v>ONS (2024) UK Natural Capital Accounts: 2024 - detailed summary tables</v>
      </c>
      <c r="S193" s="40" t="str">
        <f>_xlfn.XLOOKUP($B193,'30'!$B:$B,'30'!S:S,)</f>
        <v>ENCA</v>
      </c>
      <c r="T193" s="40">
        <f>_xlfn.XLOOKUP($B193,'30'!$B:$B,'30'!T:T,)</f>
        <v>2024</v>
      </c>
      <c r="U193" s="40" t="str">
        <f>_xlfn.XLOOKUP($B193,'30'!$B:$B,'30'!U:U,)</f>
        <v>UK</v>
      </c>
      <c r="V193" s="40" t="str">
        <f>_xlfn.XLOOKUP($B193,'30'!$B:$B,'30'!V:V,)</f>
        <v>UK</v>
      </c>
      <c r="W193" s="40" t="str">
        <f>_xlfn.XLOOKUP($B193,'30'!$B:$B,'30'!W:W,)</f>
        <v>/</v>
      </c>
    </row>
    <row r="194" spans="2:23">
      <c r="B194" s="39" t="s">
        <v>2817</v>
      </c>
      <c r="C194" s="40" t="str">
        <f>_xlfn.XLOOKUP($B194,'30'!$B:$B,'30'!C:C,)</f>
        <v>Habitat impact</v>
      </c>
      <c r="D194" s="40" t="str">
        <f>_xlfn.XLOOKUP($B194,'30'!$B:$B,'30'!D:D,)</f>
        <v>Mountain moor &amp; heath --- poor</v>
      </c>
      <c r="E194" s="40" t="str">
        <f>_xlfn.XLOOKUP($B194,'30'!$B:$B,'30'!E:E,)</f>
        <v>Air quality</v>
      </c>
      <c r="F194" s="40">
        <f>_xlfn.XLOOKUP($B194,'30'!$B:$B,'30'!F:F,)</f>
        <v>2024</v>
      </c>
      <c r="G194" s="40">
        <f>_xlfn.XLOOKUP($B194,'30'!$B:$B,'30'!G:G,)</f>
        <v>2023</v>
      </c>
      <c r="H194" s="40">
        <f>_xlfn.XLOOKUP($B194,'30'!$B:$B,'30'!H:H,)</f>
        <v>2023</v>
      </c>
      <c r="I194" s="40">
        <f>_xlfn.XLOOKUP($B194,'30'!$B:$B,'30'!I:I,)</f>
        <v>100</v>
      </c>
      <c r="J194" s="40">
        <f>_xlfn.XLOOKUP($B194,'30'!$B:$B,'30'!J:J,)</f>
        <v>100</v>
      </c>
      <c r="K194" s="629">
        <f>_xlfn.XLOOKUP($B194,'30'!$B:$B,'30'!K:K,)</f>
        <v>-5.1066581849024599</v>
      </c>
      <c r="L194" s="629">
        <f>_xlfn.XLOOKUP($B194,'30'!$B:$B,'30'!L:L,)</f>
        <v>-5.1066581849024599</v>
      </c>
      <c r="M194" s="40" t="str">
        <f>_xlfn.XLOOKUP($B194,'30'!$B:$B,'30'!M:M,)</f>
        <v>QALY</v>
      </c>
      <c r="N194" s="326">
        <f>_xlfn.XLOOKUP($B194,'30'!$B:$B,'30'!N:N,)</f>
        <v>2.1428571428571401</v>
      </c>
      <c r="O194" s="40" t="str">
        <f>_xlfn.XLOOKUP($B194,'30'!$B:$B,'30'!O:O,)</f>
        <v>Yes</v>
      </c>
      <c r="P194" s="40" t="str">
        <f>_xlfn.XLOOKUP($B194,'30'!$B:$B,'30'!P:P,)</f>
        <v>Recently published values, geographically relevant, quoted in ENCA</v>
      </c>
      <c r="Q194" s="40">
        <f>_xlfn.XLOOKUP($B194,'30'!$B:$B,'30'!Q:Q,)</f>
        <v>120</v>
      </c>
      <c r="R194" s="40" t="str">
        <f>_xlfn.XLOOKUP($B194,'30'!$B:$B,'30'!R:R,)</f>
        <v>ONS (2024) UK Natural Capital Accounts: 2024 - detailed summary tables</v>
      </c>
      <c r="S194" s="40" t="str">
        <f>_xlfn.XLOOKUP($B194,'30'!$B:$B,'30'!S:S,)</f>
        <v>ENCA</v>
      </c>
      <c r="T194" s="40">
        <f>_xlfn.XLOOKUP($B194,'30'!$B:$B,'30'!T:T,)</f>
        <v>2024</v>
      </c>
      <c r="U194" s="40" t="str">
        <f>_xlfn.XLOOKUP($B194,'30'!$B:$B,'30'!U:U,)</f>
        <v>UK</v>
      </c>
      <c r="V194" s="40" t="str">
        <f>_xlfn.XLOOKUP($B194,'30'!$B:$B,'30'!V:V,)</f>
        <v>UK</v>
      </c>
      <c r="W194" s="40" t="str">
        <f>_xlfn.XLOOKUP($B194,'30'!$B:$B,'30'!W:W,)</f>
        <v>/</v>
      </c>
    </row>
    <row r="195" spans="2:23">
      <c r="B195" s="39" t="s">
        <v>2818</v>
      </c>
      <c r="C195" s="40" t="str">
        <f>_xlfn.XLOOKUP($B195,'30'!$B:$B,'30'!C:C,)</f>
        <v>Habitat impact</v>
      </c>
      <c r="D195" s="40" t="str">
        <f>_xlfn.XLOOKUP($B195,'30'!$B:$B,'30'!D:D,)</f>
        <v>Peatland --- good</v>
      </c>
      <c r="E195" s="40" t="str">
        <f>_xlfn.XLOOKUP($B195,'30'!$B:$B,'30'!E:E,)</f>
        <v>Air quality</v>
      </c>
      <c r="F195" s="40">
        <f>_xlfn.XLOOKUP($B195,'30'!$B:$B,'30'!F:F,)</f>
        <v>2024</v>
      </c>
      <c r="G195" s="40">
        <f>_xlfn.XLOOKUP($B195,'30'!$B:$B,'30'!G:G,)</f>
        <v>2023</v>
      </c>
      <c r="H195" s="40">
        <f>_xlfn.XLOOKUP($B195,'30'!$B:$B,'30'!H:H,)</f>
        <v>2023</v>
      </c>
      <c r="I195" s="40">
        <f>_xlfn.XLOOKUP($B195,'30'!$B:$B,'30'!I:I,)</f>
        <v>100</v>
      </c>
      <c r="J195" s="40">
        <f>_xlfn.XLOOKUP($B195,'30'!$B:$B,'30'!J:J,)</f>
        <v>100</v>
      </c>
      <c r="K195" s="629">
        <f>_xlfn.XLOOKUP($B195,'30'!$B:$B,'30'!K:K,)</f>
        <v>-10.21331636980492</v>
      </c>
      <c r="L195" s="629">
        <f>_xlfn.XLOOKUP($B195,'30'!$B:$B,'30'!L:L,)</f>
        <v>-10.21331636980492</v>
      </c>
      <c r="M195" s="40" t="str">
        <f>_xlfn.XLOOKUP($B195,'30'!$B:$B,'30'!M:M,)</f>
        <v>QALY</v>
      </c>
      <c r="N195" s="326">
        <f>_xlfn.XLOOKUP($B195,'30'!$B:$B,'30'!N:N,)</f>
        <v>2.1428571428571401</v>
      </c>
      <c r="O195" s="40" t="str">
        <f>_xlfn.XLOOKUP($B195,'30'!$B:$B,'30'!O:O,)</f>
        <v>Yes</v>
      </c>
      <c r="P195" s="40" t="str">
        <f>_xlfn.XLOOKUP($B195,'30'!$B:$B,'30'!P:P,)</f>
        <v>Recently published values, geographically relevant, quoted in ENCA</v>
      </c>
      <c r="Q195" s="40">
        <f>_xlfn.XLOOKUP($B195,'30'!$B:$B,'30'!Q:Q,)</f>
        <v>120</v>
      </c>
      <c r="R195" s="40" t="str">
        <f>_xlfn.XLOOKUP($B195,'30'!$B:$B,'30'!R:R,)</f>
        <v>ONS (2024) UK Natural Capital Accounts: 2024 - detailed summary tables</v>
      </c>
      <c r="S195" s="40" t="str">
        <f>_xlfn.XLOOKUP($B195,'30'!$B:$B,'30'!S:S,)</f>
        <v>ENCA</v>
      </c>
      <c r="T195" s="40">
        <f>_xlfn.XLOOKUP($B195,'30'!$B:$B,'30'!T:T,)</f>
        <v>2024</v>
      </c>
      <c r="U195" s="40" t="str">
        <f>_xlfn.XLOOKUP($B195,'30'!$B:$B,'30'!U:U,)</f>
        <v>UK</v>
      </c>
      <c r="V195" s="40" t="str">
        <f>_xlfn.XLOOKUP($B195,'30'!$B:$B,'30'!V:V,)</f>
        <v>UK</v>
      </c>
      <c r="W195" s="40" t="str">
        <f>_xlfn.XLOOKUP($B195,'30'!$B:$B,'30'!W:W,)</f>
        <v>/</v>
      </c>
    </row>
    <row r="196" spans="2:23">
      <c r="B196" s="39" t="s">
        <v>2819</v>
      </c>
      <c r="C196" s="40" t="str">
        <f>_xlfn.XLOOKUP($B196,'30'!$B:$B,'30'!C:C,)</f>
        <v>Habitat impact</v>
      </c>
      <c r="D196" s="40" t="str">
        <f>_xlfn.XLOOKUP($B196,'30'!$B:$B,'30'!D:D,)</f>
        <v>Peatland --- moderate</v>
      </c>
      <c r="E196" s="40" t="str">
        <f>_xlfn.XLOOKUP($B196,'30'!$B:$B,'30'!E:E,)</f>
        <v>Air quality</v>
      </c>
      <c r="F196" s="40">
        <f>_xlfn.XLOOKUP($B196,'30'!$B:$B,'30'!F:F,)</f>
        <v>2024</v>
      </c>
      <c r="G196" s="40">
        <f>_xlfn.XLOOKUP($B196,'30'!$B:$B,'30'!G:G,)</f>
        <v>2023</v>
      </c>
      <c r="H196" s="40">
        <f>_xlfn.XLOOKUP($B196,'30'!$B:$B,'30'!H:H,)</f>
        <v>2023</v>
      </c>
      <c r="I196" s="40">
        <f>_xlfn.XLOOKUP($B196,'30'!$B:$B,'30'!I:I,)</f>
        <v>100</v>
      </c>
      <c r="J196" s="40">
        <f>_xlfn.XLOOKUP($B196,'30'!$B:$B,'30'!J:J,)</f>
        <v>100</v>
      </c>
      <c r="K196" s="629">
        <f>_xlfn.XLOOKUP($B196,'30'!$B:$B,'30'!K:K,)</f>
        <v>-7.6599872773536894</v>
      </c>
      <c r="L196" s="629">
        <f>_xlfn.XLOOKUP($B196,'30'!$B:$B,'30'!L:L,)</f>
        <v>-7.6599872773536894</v>
      </c>
      <c r="M196" s="40" t="str">
        <f>_xlfn.XLOOKUP($B196,'30'!$B:$B,'30'!M:M,)</f>
        <v>QALY</v>
      </c>
      <c r="N196" s="326">
        <f>_xlfn.XLOOKUP($B196,'30'!$B:$B,'30'!N:N,)</f>
        <v>2.1428571428571401</v>
      </c>
      <c r="O196" s="40" t="str">
        <f>_xlfn.XLOOKUP($B196,'30'!$B:$B,'30'!O:O,)</f>
        <v>Yes</v>
      </c>
      <c r="P196" s="40" t="str">
        <f>_xlfn.XLOOKUP($B196,'30'!$B:$B,'30'!P:P,)</f>
        <v>Recently published values, geographically relevant, quoted in ENCA</v>
      </c>
      <c r="Q196" s="40">
        <f>_xlfn.XLOOKUP($B196,'30'!$B:$B,'30'!Q:Q,)</f>
        <v>120</v>
      </c>
      <c r="R196" s="40" t="str">
        <f>_xlfn.XLOOKUP($B196,'30'!$B:$B,'30'!R:R,)</f>
        <v>ONS (2024) UK Natural Capital Accounts: 2024 - detailed summary tables</v>
      </c>
      <c r="S196" s="40" t="str">
        <f>_xlfn.XLOOKUP($B196,'30'!$B:$B,'30'!S:S,)</f>
        <v>ENCA</v>
      </c>
      <c r="T196" s="40">
        <f>_xlfn.XLOOKUP($B196,'30'!$B:$B,'30'!T:T,)</f>
        <v>2024</v>
      </c>
      <c r="U196" s="40" t="str">
        <f>_xlfn.XLOOKUP($B196,'30'!$B:$B,'30'!U:U,)</f>
        <v>UK</v>
      </c>
      <c r="V196" s="40" t="str">
        <f>_xlfn.XLOOKUP($B196,'30'!$B:$B,'30'!V:V,)</f>
        <v>UK</v>
      </c>
      <c r="W196" s="40" t="str">
        <f>_xlfn.XLOOKUP($B196,'30'!$B:$B,'30'!W:W,)</f>
        <v>/</v>
      </c>
    </row>
    <row r="197" spans="2:23">
      <c r="B197" s="39" t="s">
        <v>2820</v>
      </c>
      <c r="C197" s="40" t="str">
        <f>_xlfn.XLOOKUP($B197,'30'!$B:$B,'30'!C:C,)</f>
        <v>Habitat impact</v>
      </c>
      <c r="D197" s="40" t="str">
        <f>_xlfn.XLOOKUP($B197,'30'!$B:$B,'30'!D:D,)</f>
        <v>Peatland --- poor</v>
      </c>
      <c r="E197" s="40" t="str">
        <f>_xlfn.XLOOKUP($B197,'30'!$B:$B,'30'!E:E,)</f>
        <v>Air quality</v>
      </c>
      <c r="F197" s="40">
        <f>_xlfn.XLOOKUP($B197,'30'!$B:$B,'30'!F:F,)</f>
        <v>2024</v>
      </c>
      <c r="G197" s="40">
        <f>_xlfn.XLOOKUP($B197,'30'!$B:$B,'30'!G:G,)</f>
        <v>2023</v>
      </c>
      <c r="H197" s="40">
        <f>_xlfn.XLOOKUP($B197,'30'!$B:$B,'30'!H:H,)</f>
        <v>2023</v>
      </c>
      <c r="I197" s="40">
        <f>_xlfn.XLOOKUP($B197,'30'!$B:$B,'30'!I:I,)</f>
        <v>100</v>
      </c>
      <c r="J197" s="40">
        <f>_xlfn.XLOOKUP($B197,'30'!$B:$B,'30'!J:J,)</f>
        <v>100</v>
      </c>
      <c r="K197" s="629">
        <f>_xlfn.XLOOKUP($B197,'30'!$B:$B,'30'!K:K,)</f>
        <v>-5.1066581849024599</v>
      </c>
      <c r="L197" s="629">
        <f>_xlfn.XLOOKUP($B197,'30'!$B:$B,'30'!L:L,)</f>
        <v>-5.1066581849024599</v>
      </c>
      <c r="M197" s="40" t="str">
        <f>_xlfn.XLOOKUP($B197,'30'!$B:$B,'30'!M:M,)</f>
        <v>QALY</v>
      </c>
      <c r="N197" s="326">
        <f>_xlfn.XLOOKUP($B197,'30'!$B:$B,'30'!N:N,)</f>
        <v>2.1428571428571401</v>
      </c>
      <c r="O197" s="40" t="str">
        <f>_xlfn.XLOOKUP($B197,'30'!$B:$B,'30'!O:O,)</f>
        <v>Yes</v>
      </c>
      <c r="P197" s="40" t="str">
        <f>_xlfn.XLOOKUP($B197,'30'!$B:$B,'30'!P:P,)</f>
        <v>Recently published values, geographically relevant, quoted in ENCA</v>
      </c>
      <c r="Q197" s="40">
        <f>_xlfn.XLOOKUP($B197,'30'!$B:$B,'30'!Q:Q,)</f>
        <v>120</v>
      </c>
      <c r="R197" s="40" t="str">
        <f>_xlfn.XLOOKUP($B197,'30'!$B:$B,'30'!R:R,)</f>
        <v>ONS (2024) UK Natural Capital Accounts: 2024 - detailed summary tables</v>
      </c>
      <c r="S197" s="40" t="str">
        <f>_xlfn.XLOOKUP($B197,'30'!$B:$B,'30'!S:S,)</f>
        <v>ENCA</v>
      </c>
      <c r="T197" s="40">
        <f>_xlfn.XLOOKUP($B197,'30'!$B:$B,'30'!T:T,)</f>
        <v>2024</v>
      </c>
      <c r="U197" s="40" t="str">
        <f>_xlfn.XLOOKUP($B197,'30'!$B:$B,'30'!U:U,)</f>
        <v>UK</v>
      </c>
      <c r="V197" s="40" t="str">
        <f>_xlfn.XLOOKUP($B197,'30'!$B:$B,'30'!V:V,)</f>
        <v>UK</v>
      </c>
      <c r="W197" s="40" t="str">
        <f>_xlfn.XLOOKUP($B197,'30'!$B:$B,'30'!W:W,)</f>
        <v>/</v>
      </c>
    </row>
    <row r="198" spans="2:23">
      <c r="B198" s="39" t="s">
        <v>2821</v>
      </c>
      <c r="C198" s="40" t="str">
        <f>_xlfn.XLOOKUP($B198,'30'!$B:$B,'30'!C:C,)</f>
        <v>Habitat impact</v>
      </c>
      <c r="D198" s="40" t="str">
        <f>_xlfn.XLOOKUP($B198,'30'!$B:$B,'30'!D:D,)</f>
        <v>Coastal margins --- good</v>
      </c>
      <c r="E198" s="40" t="str">
        <f>_xlfn.XLOOKUP($B198,'30'!$B:$B,'30'!E:E,)</f>
        <v>Air quality</v>
      </c>
      <c r="F198" s="40">
        <f>_xlfn.XLOOKUP($B198,'30'!$B:$B,'30'!F:F,)</f>
        <v>2024</v>
      </c>
      <c r="G198" s="40">
        <f>_xlfn.XLOOKUP($B198,'30'!$B:$B,'30'!G:G,)</f>
        <v>2023</v>
      </c>
      <c r="H198" s="40">
        <f>_xlfn.XLOOKUP($B198,'30'!$B:$B,'30'!H:H,)</f>
        <v>2023</v>
      </c>
      <c r="I198" s="40">
        <f>_xlfn.XLOOKUP($B198,'30'!$B:$B,'30'!I:I,)</f>
        <v>100</v>
      </c>
      <c r="J198" s="40">
        <f>_xlfn.XLOOKUP($B198,'30'!$B:$B,'30'!J:J,)</f>
        <v>100</v>
      </c>
      <c r="K198" s="629">
        <f>_xlfn.XLOOKUP($B198,'30'!$B:$B,'30'!K:K,)</f>
        <v>-151.92592592592595</v>
      </c>
      <c r="L198" s="629">
        <f>_xlfn.XLOOKUP($B198,'30'!$B:$B,'30'!L:L,)</f>
        <v>-151.92592592592595</v>
      </c>
      <c r="M198" s="40" t="str">
        <f>_xlfn.XLOOKUP($B198,'30'!$B:$B,'30'!M:M,)</f>
        <v>QALY</v>
      </c>
      <c r="N198" s="326">
        <f>_xlfn.XLOOKUP($B198,'30'!$B:$B,'30'!N:N,)</f>
        <v>2.1428571428571401</v>
      </c>
      <c r="O198" s="40" t="str">
        <f>_xlfn.XLOOKUP($B198,'30'!$B:$B,'30'!O:O,)</f>
        <v>Yes</v>
      </c>
      <c r="P198" s="40" t="str">
        <f>_xlfn.XLOOKUP($B198,'30'!$B:$B,'30'!P:P,)</f>
        <v>Recently published values, geographically relevant, quoted in ENCA</v>
      </c>
      <c r="Q198" s="40">
        <f>_xlfn.XLOOKUP($B198,'30'!$B:$B,'30'!Q:Q,)</f>
        <v>120</v>
      </c>
      <c r="R198" s="40" t="str">
        <f>_xlfn.XLOOKUP($B198,'30'!$B:$B,'30'!R:R,)</f>
        <v>ONS (2024) UK Natural Capital Accounts: 2024 - detailed summary tables</v>
      </c>
      <c r="S198" s="40" t="str">
        <f>_xlfn.XLOOKUP($B198,'30'!$B:$B,'30'!S:S,)</f>
        <v>ENCA</v>
      </c>
      <c r="T198" s="40">
        <f>_xlfn.XLOOKUP($B198,'30'!$B:$B,'30'!T:T,)</f>
        <v>2024</v>
      </c>
      <c r="U198" s="40" t="str">
        <f>_xlfn.XLOOKUP($B198,'30'!$B:$B,'30'!U:U,)</f>
        <v>UK</v>
      </c>
      <c r="V198" s="40" t="str">
        <f>_xlfn.XLOOKUP($B198,'30'!$B:$B,'30'!V:V,)</f>
        <v>UK</v>
      </c>
      <c r="W198" s="40" t="str">
        <f>_xlfn.XLOOKUP($B198,'30'!$B:$B,'30'!W:W,)</f>
        <v>/</v>
      </c>
    </row>
    <row r="199" spans="2:23">
      <c r="B199" s="39" t="s">
        <v>2822</v>
      </c>
      <c r="C199" s="40" t="str">
        <f>_xlfn.XLOOKUP($B199,'30'!$B:$B,'30'!C:C,)</f>
        <v>Habitat impact</v>
      </c>
      <c r="D199" s="40" t="str">
        <f>_xlfn.XLOOKUP($B199,'30'!$B:$B,'30'!D:D,)</f>
        <v>Coastal margins --- moderate</v>
      </c>
      <c r="E199" s="40" t="str">
        <f>_xlfn.XLOOKUP($B199,'30'!$B:$B,'30'!E:E,)</f>
        <v>Air quality</v>
      </c>
      <c r="F199" s="40">
        <f>_xlfn.XLOOKUP($B199,'30'!$B:$B,'30'!F:F,)</f>
        <v>2024</v>
      </c>
      <c r="G199" s="40">
        <f>_xlfn.XLOOKUP($B199,'30'!$B:$B,'30'!G:G,)</f>
        <v>2023</v>
      </c>
      <c r="H199" s="40">
        <f>_xlfn.XLOOKUP($B199,'30'!$B:$B,'30'!H:H,)</f>
        <v>2023</v>
      </c>
      <c r="I199" s="40">
        <f>_xlfn.XLOOKUP($B199,'30'!$B:$B,'30'!I:I,)</f>
        <v>100</v>
      </c>
      <c r="J199" s="40">
        <f>_xlfn.XLOOKUP($B199,'30'!$B:$B,'30'!J:J,)</f>
        <v>100</v>
      </c>
      <c r="K199" s="629">
        <f>_xlfn.XLOOKUP($B199,'30'!$B:$B,'30'!K:K,)</f>
        <v>-113.94444444444446</v>
      </c>
      <c r="L199" s="629">
        <f>_xlfn.XLOOKUP($B199,'30'!$B:$B,'30'!L:L,)</f>
        <v>-113.94444444444446</v>
      </c>
      <c r="M199" s="40" t="str">
        <f>_xlfn.XLOOKUP($B199,'30'!$B:$B,'30'!M:M,)</f>
        <v>QALY</v>
      </c>
      <c r="N199" s="326">
        <f>_xlfn.XLOOKUP($B199,'30'!$B:$B,'30'!N:N,)</f>
        <v>2.1428571428571401</v>
      </c>
      <c r="O199" s="40" t="str">
        <f>_xlfn.XLOOKUP($B199,'30'!$B:$B,'30'!O:O,)</f>
        <v>Yes</v>
      </c>
      <c r="P199" s="40" t="str">
        <f>_xlfn.XLOOKUP($B199,'30'!$B:$B,'30'!P:P,)</f>
        <v>Recently published values, geographically relevant, quoted in ENCA</v>
      </c>
      <c r="Q199" s="40">
        <f>_xlfn.XLOOKUP($B199,'30'!$B:$B,'30'!Q:Q,)</f>
        <v>120</v>
      </c>
      <c r="R199" s="40" t="str">
        <f>_xlfn.XLOOKUP($B199,'30'!$B:$B,'30'!R:R,)</f>
        <v>ONS (2024) UK Natural Capital Accounts: 2024 - detailed summary tables</v>
      </c>
      <c r="S199" s="40" t="str">
        <f>_xlfn.XLOOKUP($B199,'30'!$B:$B,'30'!S:S,)</f>
        <v>ENCA</v>
      </c>
      <c r="T199" s="40">
        <f>_xlfn.XLOOKUP($B199,'30'!$B:$B,'30'!T:T,)</f>
        <v>2024</v>
      </c>
      <c r="U199" s="40" t="str">
        <f>_xlfn.XLOOKUP($B199,'30'!$B:$B,'30'!U:U,)</f>
        <v>UK</v>
      </c>
      <c r="V199" s="40" t="str">
        <f>_xlfn.XLOOKUP($B199,'30'!$B:$B,'30'!V:V,)</f>
        <v>UK</v>
      </c>
      <c r="W199" s="40" t="str">
        <f>_xlfn.XLOOKUP($B199,'30'!$B:$B,'30'!W:W,)</f>
        <v>/</v>
      </c>
    </row>
    <row r="200" spans="2:23">
      <c r="B200" s="39" t="s">
        <v>2823</v>
      </c>
      <c r="C200" s="40" t="str">
        <f>_xlfn.XLOOKUP($B200,'30'!$B:$B,'30'!C:C,)</f>
        <v>Habitat impact</v>
      </c>
      <c r="D200" s="40" t="str">
        <f>_xlfn.XLOOKUP($B200,'30'!$B:$B,'30'!D:D,)</f>
        <v>Coastal margins --- poor</v>
      </c>
      <c r="E200" s="40" t="str">
        <f>_xlfn.XLOOKUP($B200,'30'!$B:$B,'30'!E:E,)</f>
        <v>Air quality</v>
      </c>
      <c r="F200" s="40">
        <f>_xlfn.XLOOKUP($B200,'30'!$B:$B,'30'!F:F,)</f>
        <v>2024</v>
      </c>
      <c r="G200" s="40">
        <f>_xlfn.XLOOKUP($B200,'30'!$B:$B,'30'!G:G,)</f>
        <v>2023</v>
      </c>
      <c r="H200" s="40">
        <f>_xlfn.XLOOKUP($B200,'30'!$B:$B,'30'!H:H,)</f>
        <v>2023</v>
      </c>
      <c r="I200" s="40">
        <f>_xlfn.XLOOKUP($B200,'30'!$B:$B,'30'!I:I,)</f>
        <v>100</v>
      </c>
      <c r="J200" s="40">
        <f>_xlfn.XLOOKUP($B200,'30'!$B:$B,'30'!J:J,)</f>
        <v>100</v>
      </c>
      <c r="K200" s="629">
        <f>_xlfn.XLOOKUP($B200,'30'!$B:$B,'30'!K:K,)</f>
        <v>-75.962962962962976</v>
      </c>
      <c r="L200" s="629">
        <f>_xlfn.XLOOKUP($B200,'30'!$B:$B,'30'!L:L,)</f>
        <v>-75.962962962962976</v>
      </c>
      <c r="M200" s="40" t="str">
        <f>_xlfn.XLOOKUP($B200,'30'!$B:$B,'30'!M:M,)</f>
        <v>QALY</v>
      </c>
      <c r="N200" s="326">
        <f>_xlfn.XLOOKUP($B200,'30'!$B:$B,'30'!N:N,)</f>
        <v>2.1428571428571401</v>
      </c>
      <c r="O200" s="40" t="str">
        <f>_xlfn.XLOOKUP($B200,'30'!$B:$B,'30'!O:O,)</f>
        <v>Yes</v>
      </c>
      <c r="P200" s="40" t="str">
        <f>_xlfn.XLOOKUP($B200,'30'!$B:$B,'30'!P:P,)</f>
        <v>Recently published values, geographically relevant, quoted in ENCA</v>
      </c>
      <c r="Q200" s="40">
        <f>_xlfn.XLOOKUP($B200,'30'!$B:$B,'30'!Q:Q,)</f>
        <v>120</v>
      </c>
      <c r="R200" s="40" t="str">
        <f>_xlfn.XLOOKUP($B200,'30'!$B:$B,'30'!R:R,)</f>
        <v>ONS (2024) UK Natural Capital Accounts: 2024 - detailed summary tables</v>
      </c>
      <c r="S200" s="40" t="str">
        <f>_xlfn.XLOOKUP($B200,'30'!$B:$B,'30'!S:S,)</f>
        <v>ENCA</v>
      </c>
      <c r="T200" s="40">
        <f>_xlfn.XLOOKUP($B200,'30'!$B:$B,'30'!T:T,)</f>
        <v>2024</v>
      </c>
      <c r="U200" s="40" t="str">
        <f>_xlfn.XLOOKUP($B200,'30'!$B:$B,'30'!U:U,)</f>
        <v>UK</v>
      </c>
      <c r="V200" s="40" t="str">
        <f>_xlfn.XLOOKUP($B200,'30'!$B:$B,'30'!V:V,)</f>
        <v>UK</v>
      </c>
      <c r="W200" s="40" t="str">
        <f>_xlfn.XLOOKUP($B200,'30'!$B:$B,'30'!W:W,)</f>
        <v>/</v>
      </c>
    </row>
    <row r="201" spans="2:23">
      <c r="B201" s="39" t="s">
        <v>2885</v>
      </c>
      <c r="C201" s="40" t="str">
        <f>_xlfn.XLOOKUP($B201,'30'!$B:$B,'30'!C:C,)</f>
        <v>Habitat impact</v>
      </c>
      <c r="D201" s="40" t="str">
        <f>_xlfn.XLOOKUP($B201,'30'!$B:$B,'30'!D:D,)</f>
        <v>SuDS - low benefits</v>
      </c>
      <c r="E201" s="40" t="str">
        <f>_xlfn.XLOOKUP($B201,'30'!$B:$B,'30'!E:E,)</f>
        <v>GHG</v>
      </c>
      <c r="F201" s="40">
        <f>_xlfn.XLOOKUP($B201,'30'!$B:$B,'30'!F:F,)</f>
        <v>2021</v>
      </c>
      <c r="G201" s="40">
        <f>_xlfn.XLOOKUP($B201,'30'!$B:$B,'30'!G:G,)</f>
        <v>2021</v>
      </c>
      <c r="H201" s="40">
        <f>_xlfn.XLOOKUP($B201,'30'!$B:$B,'30'!H:H,)</f>
        <v>2023</v>
      </c>
      <c r="I201" s="40">
        <f>_xlfn.XLOOKUP($B201,'30'!$B:$B,'30'!I:I,)</f>
        <v>88.789299999999997</v>
      </c>
      <c r="J201" s="40">
        <f>_xlfn.XLOOKUP($B201,'30'!$B:$B,'30'!J:J,)</f>
        <v>100</v>
      </c>
      <c r="K201" s="629">
        <f>_xlfn.XLOOKUP($B201,'30'!$B:$B,'30'!K:K,)</f>
        <v>-37</v>
      </c>
      <c r="L201" s="629">
        <f>_xlfn.XLOOKUP($B201,'30'!$B:$B,'30'!L:L,)</f>
        <v>-41.671687917350404</v>
      </c>
      <c r="M201" s="40" t="str">
        <f>_xlfn.XLOOKUP($B201,'30'!$B:$B,'30'!M:M,)</f>
        <v>Calculated using B£ST</v>
      </c>
      <c r="N201" s="326">
        <f>_xlfn.XLOOKUP($B201,'30'!$B:$B,'30'!N:N,)</f>
        <v>2.5714285714285698</v>
      </c>
      <c r="O201" s="40" t="str">
        <f>_xlfn.XLOOKUP($B201,'30'!$B:$B,'30'!O:O,)</f>
        <v>Yes</v>
      </c>
      <c r="P201" s="40" t="str">
        <f>_xlfn.XLOOKUP($B201,'30'!$B:$B,'30'!P:P,)</f>
        <v>Recently completed, geographically relevant</v>
      </c>
      <c r="Q201" s="40">
        <f>_xlfn.XLOOKUP($B201,'30'!$B:$B,'30'!Q:Q,)</f>
        <v>116</v>
      </c>
      <c r="R201" s="40" t="str">
        <f>_xlfn.XLOOKUP($B201,'30'!$B:$B,'30'!R:R,)</f>
        <v>Water UK / Stantec (2021) Storm overflow evidence project</v>
      </c>
      <c r="S201" s="40" t="str">
        <f>_xlfn.XLOOKUP($B201,'30'!$B:$B,'30'!S:S,)</f>
        <v>/</v>
      </c>
      <c r="T201" s="40">
        <f>_xlfn.XLOOKUP($B201,'30'!$B:$B,'30'!T:T,)</f>
        <v>2021</v>
      </c>
      <c r="U201" s="40" t="str">
        <f>_xlfn.XLOOKUP($B201,'30'!$B:$B,'30'!U:U,)</f>
        <v>UK</v>
      </c>
      <c r="V201" s="40" t="str">
        <f>_xlfn.XLOOKUP($B201,'30'!$B:$B,'30'!V:V,)</f>
        <v>UK</v>
      </c>
      <c r="W201" s="40" t="str">
        <f>_xlfn.XLOOKUP($B201,'30'!$B:$B,'30'!W:W,)</f>
        <v>/</v>
      </c>
    </row>
    <row r="202" spans="2:23">
      <c r="B202" s="39" t="s">
        <v>2886</v>
      </c>
      <c r="C202" s="40" t="str">
        <f>_xlfn.XLOOKUP($B202,'30'!$B:$B,'30'!C:C,)</f>
        <v>Habitat impact</v>
      </c>
      <c r="D202" s="40" t="str">
        <f>_xlfn.XLOOKUP($B202,'30'!$B:$B,'30'!D:D,)</f>
        <v>SuDS - high benefits</v>
      </c>
      <c r="E202" s="40" t="str">
        <f>_xlfn.XLOOKUP($B202,'30'!$B:$B,'30'!E:E,)</f>
        <v>GHG</v>
      </c>
      <c r="F202" s="40">
        <f>_xlfn.XLOOKUP($B202,'30'!$B:$B,'30'!F:F,)</f>
        <v>2021</v>
      </c>
      <c r="G202" s="40">
        <f>_xlfn.XLOOKUP($B202,'30'!$B:$B,'30'!G:G,)</f>
        <v>2021</v>
      </c>
      <c r="H202" s="40">
        <f>_xlfn.XLOOKUP($B202,'30'!$B:$B,'30'!H:H,)</f>
        <v>2023</v>
      </c>
      <c r="I202" s="40">
        <f>_xlfn.XLOOKUP($B202,'30'!$B:$B,'30'!I:I,)</f>
        <v>88.789299999999997</v>
      </c>
      <c r="J202" s="40">
        <f>_xlfn.XLOOKUP($B202,'30'!$B:$B,'30'!J:J,)</f>
        <v>100</v>
      </c>
      <c r="K202" s="629">
        <f>_xlfn.XLOOKUP($B202,'30'!$B:$B,'30'!K:K,)</f>
        <v>-66</v>
      </c>
      <c r="L202" s="629">
        <f>_xlfn.XLOOKUP($B202,'30'!$B:$B,'30'!L:L,)</f>
        <v>-74.333281149868284</v>
      </c>
      <c r="M202" s="40" t="str">
        <f>_xlfn.XLOOKUP($B202,'30'!$B:$B,'30'!M:M,)</f>
        <v>Calculated using B£ST</v>
      </c>
      <c r="N202" s="326">
        <f>_xlfn.XLOOKUP($B202,'30'!$B:$B,'30'!N:N,)</f>
        <v>2.5714285714285698</v>
      </c>
      <c r="O202" s="40" t="str">
        <f>_xlfn.XLOOKUP($B202,'30'!$B:$B,'30'!O:O,)</f>
        <v>Yes</v>
      </c>
      <c r="P202" s="40" t="str">
        <f>_xlfn.XLOOKUP($B202,'30'!$B:$B,'30'!P:P,)</f>
        <v>Recently completed, geographically relevant</v>
      </c>
      <c r="Q202" s="40">
        <f>_xlfn.XLOOKUP($B202,'30'!$B:$B,'30'!Q:Q,)</f>
        <v>116</v>
      </c>
      <c r="R202" s="40" t="str">
        <f>_xlfn.XLOOKUP($B202,'30'!$B:$B,'30'!R:R,)</f>
        <v>Water UK / Stantec (2021) Storm overflow evidence project</v>
      </c>
      <c r="S202" s="40" t="str">
        <f>_xlfn.XLOOKUP($B202,'30'!$B:$B,'30'!S:S,)</f>
        <v>/</v>
      </c>
      <c r="T202" s="40">
        <f>_xlfn.XLOOKUP($B202,'30'!$B:$B,'30'!T:T,)</f>
        <v>2021</v>
      </c>
      <c r="U202" s="40" t="str">
        <f>_xlfn.XLOOKUP($B202,'30'!$B:$B,'30'!U:U,)</f>
        <v>UK</v>
      </c>
      <c r="V202" s="40" t="str">
        <f>_xlfn.XLOOKUP($B202,'30'!$B:$B,'30'!V:V,)</f>
        <v>UK</v>
      </c>
      <c r="W202" s="40" t="str">
        <f>_xlfn.XLOOKUP($B202,'30'!$B:$B,'30'!W:W,)</f>
        <v>/</v>
      </c>
    </row>
    <row r="203" spans="2:23">
      <c r="B203" s="39" t="s">
        <v>2887</v>
      </c>
      <c r="C203" s="40" t="str">
        <f>_xlfn.XLOOKUP($B203,'30'!$B:$B,'30'!C:C,)</f>
        <v>Habitat impact</v>
      </c>
      <c r="D203" s="40" t="str">
        <f>_xlfn.XLOOKUP($B203,'30'!$B:$B,'30'!D:D,)</f>
        <v>SuDS - medium benefits</v>
      </c>
      <c r="E203" s="40" t="str">
        <f>_xlfn.XLOOKUP($B203,'30'!$B:$B,'30'!E:E,)</f>
        <v>GHG</v>
      </c>
      <c r="F203" s="40">
        <f>_xlfn.XLOOKUP($B203,'30'!$B:$B,'30'!F:F,)</f>
        <v>2021</v>
      </c>
      <c r="G203" s="40">
        <f>_xlfn.XLOOKUP($B203,'30'!$B:$B,'30'!G:G,)</f>
        <v>2021</v>
      </c>
      <c r="H203" s="40">
        <f>_xlfn.XLOOKUP($B203,'30'!$B:$B,'30'!H:H,)</f>
        <v>2023</v>
      </c>
      <c r="I203" s="40">
        <f>_xlfn.XLOOKUP($B203,'30'!$B:$B,'30'!I:I,)</f>
        <v>88.789299999999997</v>
      </c>
      <c r="J203" s="40">
        <f>_xlfn.XLOOKUP($B203,'30'!$B:$B,'30'!J:J,)</f>
        <v>100</v>
      </c>
      <c r="K203" s="629">
        <f>_xlfn.XLOOKUP($B203,'30'!$B:$B,'30'!K:K,)</f>
        <v>-51.5</v>
      </c>
      <c r="L203" s="629">
        <f>_xlfn.XLOOKUP($B203,'30'!$B:$B,'30'!L:L,)</f>
        <v>-58.002484533609348</v>
      </c>
      <c r="M203" s="40" t="str">
        <f>_xlfn.XLOOKUP($B203,'30'!$B:$B,'30'!M:M,)</f>
        <v>Calculated using B£ST</v>
      </c>
      <c r="N203" s="326">
        <f>_xlfn.XLOOKUP($B203,'30'!$B:$B,'30'!N:N,)</f>
        <v>2.5714285714285698</v>
      </c>
      <c r="O203" s="40" t="str">
        <f>_xlfn.XLOOKUP($B203,'30'!$B:$B,'30'!O:O,)</f>
        <v>Yes</v>
      </c>
      <c r="P203" s="40" t="str">
        <f>_xlfn.XLOOKUP($B203,'30'!$B:$B,'30'!P:P,)</f>
        <v>Recently completed, geographically relevant</v>
      </c>
      <c r="Q203" s="40">
        <f>_xlfn.XLOOKUP($B203,'30'!$B:$B,'30'!Q:Q,)</f>
        <v>116</v>
      </c>
      <c r="R203" s="40" t="str">
        <f>_xlfn.XLOOKUP($B203,'30'!$B:$B,'30'!R:R,)</f>
        <v>Water UK / Stantec (2021) Storm overflow evidence project</v>
      </c>
      <c r="S203" s="40" t="str">
        <f>_xlfn.XLOOKUP($B203,'30'!$B:$B,'30'!S:S,)</f>
        <v>/</v>
      </c>
      <c r="T203" s="40">
        <f>_xlfn.XLOOKUP($B203,'30'!$B:$B,'30'!T:T,)</f>
        <v>2021</v>
      </c>
      <c r="U203" s="40" t="str">
        <f>_xlfn.XLOOKUP($B203,'30'!$B:$B,'30'!U:U,)</f>
        <v>UK</v>
      </c>
      <c r="V203" s="40" t="str">
        <f>_xlfn.XLOOKUP($B203,'30'!$B:$B,'30'!V:V,)</f>
        <v>UK</v>
      </c>
      <c r="W203" s="40" t="str">
        <f>_xlfn.XLOOKUP($B203,'30'!$B:$B,'30'!W:W,)</f>
        <v>/</v>
      </c>
    </row>
    <row r="204" spans="2:23">
      <c r="B204" s="39" t="s">
        <v>2888</v>
      </c>
      <c r="C204" s="40" t="str">
        <f>_xlfn.XLOOKUP($B204,'30'!$B:$B,'30'!C:C,)</f>
        <v>Habitat impact</v>
      </c>
      <c r="D204" s="40" t="str">
        <f>_xlfn.XLOOKUP($B204,'30'!$B:$B,'30'!D:D,)</f>
        <v>Urban woodland --- good</v>
      </c>
      <c r="E204" s="40" t="str">
        <f>_xlfn.XLOOKUP($B204,'30'!$B:$B,'30'!E:E,)</f>
        <v>GHG</v>
      </c>
      <c r="F204" s="40">
        <f>_xlfn.XLOOKUP($B204,'30'!$B:$B,'30'!F:F,)</f>
        <v>2021</v>
      </c>
      <c r="G204" s="40">
        <f>_xlfn.XLOOKUP($B204,'30'!$B:$B,'30'!G:G,)</f>
        <v>2020</v>
      </c>
      <c r="H204" s="40">
        <f>_xlfn.XLOOKUP($B204,'30'!$B:$B,'30'!H:H,)</f>
        <v>2023</v>
      </c>
      <c r="I204" s="40">
        <f>_xlfn.XLOOKUP($B204,'30'!$B:$B,'30'!I:I,)</f>
        <v>89.073499999999996</v>
      </c>
      <c r="J204" s="40">
        <f>_xlfn.XLOOKUP($B204,'30'!$B:$B,'30'!J:J,)</f>
        <v>100</v>
      </c>
      <c r="K204" s="629">
        <f ca="1">_xlfn.XLOOKUP($B204,'30'!$B:$B,'30'!K:K,)</f>
        <v>-2259.1333333333332</v>
      </c>
      <c r="L204" s="629">
        <f ca="1">_xlfn.XLOOKUP($B204,'30'!$B:$B,'30'!L:L,)</f>
        <v>-2536.2575101835373</v>
      </c>
      <c r="M204" s="40" t="str">
        <f>_xlfn.XLOOKUP($B204,'30'!$B:$B,'30'!M:M,)</f>
        <v>Carbon valuation</v>
      </c>
      <c r="N204" s="326">
        <f>_xlfn.XLOOKUP($B204,'30'!$B:$B,'30'!N:N,)</f>
        <v>2.1428571428571401</v>
      </c>
      <c r="O204" s="40" t="str">
        <f>_xlfn.XLOOKUP($B204,'30'!$B:$B,'30'!O:O,)</f>
        <v>Yes</v>
      </c>
      <c r="P204" s="40" t="str">
        <f>_xlfn.XLOOKUP($B204,'30'!$B:$B,'30'!P:P,)</f>
        <v>UK government carbon values</v>
      </c>
      <c r="Q204" s="40">
        <f>_xlfn.XLOOKUP($B204,'30'!$B:$B,'30'!Q:Q,)</f>
        <v>40</v>
      </c>
      <c r="R204" s="40" t="str">
        <f>_xlfn.XLOOKUP($B204,'30'!$B:$B,'30'!R:R,)</f>
        <v>BEIS (2021) Valuing greenhouse gas emissions in policy appraisal</v>
      </c>
      <c r="S204" s="40" t="str">
        <f>_xlfn.XLOOKUP($B204,'30'!$B:$B,'30'!S:S,)</f>
        <v>ENCA</v>
      </c>
      <c r="T204" s="40">
        <f>_xlfn.XLOOKUP($B204,'30'!$B:$B,'30'!T:T,)</f>
        <v>2021</v>
      </c>
      <c r="U204" s="40" t="str">
        <f>_xlfn.XLOOKUP($B204,'30'!$B:$B,'30'!U:U,)</f>
        <v>UK</v>
      </c>
      <c r="V204" s="40" t="str">
        <f>_xlfn.XLOOKUP($B204,'30'!$B:$B,'30'!V:V,)</f>
        <v>UK</v>
      </c>
      <c r="W204" s="40" t="str">
        <f>_xlfn.XLOOKUP($B204,'30'!$B:$B,'30'!W:W,)</f>
        <v>N/A</v>
      </c>
    </row>
    <row r="205" spans="2:23">
      <c r="B205" s="39" t="s">
        <v>2889</v>
      </c>
      <c r="C205" s="40" t="str">
        <f>_xlfn.XLOOKUP($B205,'30'!$B:$B,'30'!C:C,)</f>
        <v>Habitat impact</v>
      </c>
      <c r="D205" s="40" t="str">
        <f>_xlfn.XLOOKUP($B205,'30'!$B:$B,'30'!D:D,)</f>
        <v>Urban woodland --- moderate</v>
      </c>
      <c r="E205" s="40" t="str">
        <f>_xlfn.XLOOKUP($B205,'30'!$B:$B,'30'!E:E,)</f>
        <v>GHG</v>
      </c>
      <c r="F205" s="40">
        <f>_xlfn.XLOOKUP($B205,'30'!$B:$B,'30'!F:F,)</f>
        <v>2021</v>
      </c>
      <c r="G205" s="40">
        <f>_xlfn.XLOOKUP($B205,'30'!$B:$B,'30'!G:G,)</f>
        <v>2020</v>
      </c>
      <c r="H205" s="40">
        <f>_xlfn.XLOOKUP($B205,'30'!$B:$B,'30'!H:H,)</f>
        <v>2023</v>
      </c>
      <c r="I205" s="40">
        <f>_xlfn.XLOOKUP($B205,'30'!$B:$B,'30'!I:I,)</f>
        <v>89.073499999999996</v>
      </c>
      <c r="J205" s="40">
        <f>_xlfn.XLOOKUP($B205,'30'!$B:$B,'30'!J:J,)</f>
        <v>100</v>
      </c>
      <c r="K205" s="629">
        <f ca="1">_xlfn.XLOOKUP($B205,'30'!$B:$B,'30'!K:K,)</f>
        <v>-1694.35</v>
      </c>
      <c r="L205" s="629">
        <f ca="1">_xlfn.XLOOKUP($B205,'30'!$B:$B,'30'!L:L,)</f>
        <v>-1902.193132637653</v>
      </c>
      <c r="M205" s="40" t="str">
        <f>_xlfn.XLOOKUP($B205,'30'!$B:$B,'30'!M:M,)</f>
        <v>Carbon valuation</v>
      </c>
      <c r="N205" s="326">
        <f>_xlfn.XLOOKUP($B205,'30'!$B:$B,'30'!N:N,)</f>
        <v>2.1428571428571401</v>
      </c>
      <c r="O205" s="40" t="str">
        <f>_xlfn.XLOOKUP($B205,'30'!$B:$B,'30'!O:O,)</f>
        <v>Yes</v>
      </c>
      <c r="P205" s="40" t="str">
        <f>_xlfn.XLOOKUP($B205,'30'!$B:$B,'30'!P:P,)</f>
        <v>UK government carbon values</v>
      </c>
      <c r="Q205" s="40">
        <f>_xlfn.XLOOKUP($B205,'30'!$B:$B,'30'!Q:Q,)</f>
        <v>40</v>
      </c>
      <c r="R205" s="40" t="str">
        <f>_xlfn.XLOOKUP($B205,'30'!$B:$B,'30'!R:R,)</f>
        <v>BEIS (2021) Valuing greenhouse gas emissions in policy appraisal</v>
      </c>
      <c r="S205" s="40" t="str">
        <f>_xlfn.XLOOKUP($B205,'30'!$B:$B,'30'!S:S,)</f>
        <v>ENCA</v>
      </c>
      <c r="T205" s="40">
        <f>_xlfn.XLOOKUP($B205,'30'!$B:$B,'30'!T:T,)</f>
        <v>2021</v>
      </c>
      <c r="U205" s="40" t="str">
        <f>_xlfn.XLOOKUP($B205,'30'!$B:$B,'30'!U:U,)</f>
        <v>UK</v>
      </c>
      <c r="V205" s="40" t="str">
        <f>_xlfn.XLOOKUP($B205,'30'!$B:$B,'30'!V:V,)</f>
        <v>UK</v>
      </c>
      <c r="W205" s="40" t="str">
        <f>_xlfn.XLOOKUP($B205,'30'!$B:$B,'30'!W:W,)</f>
        <v>N/A</v>
      </c>
    </row>
    <row r="206" spans="2:23">
      <c r="B206" s="39" t="s">
        <v>2890</v>
      </c>
      <c r="C206" s="40" t="str">
        <f>_xlfn.XLOOKUP($B206,'30'!$B:$B,'30'!C:C,)</f>
        <v>Habitat impact</v>
      </c>
      <c r="D206" s="40" t="str">
        <f>_xlfn.XLOOKUP($B206,'30'!$B:$B,'30'!D:D,)</f>
        <v>Urban woodland --- poor</v>
      </c>
      <c r="E206" s="40" t="str">
        <f>_xlfn.XLOOKUP($B206,'30'!$B:$B,'30'!E:E,)</f>
        <v>GHG</v>
      </c>
      <c r="F206" s="40">
        <f>_xlfn.XLOOKUP($B206,'30'!$B:$B,'30'!F:F,)</f>
        <v>2021</v>
      </c>
      <c r="G206" s="40">
        <f>_xlfn.XLOOKUP($B206,'30'!$B:$B,'30'!G:G,)</f>
        <v>2020</v>
      </c>
      <c r="H206" s="40">
        <f>_xlfn.XLOOKUP($B206,'30'!$B:$B,'30'!H:H,)</f>
        <v>2023</v>
      </c>
      <c r="I206" s="40">
        <f>_xlfn.XLOOKUP($B206,'30'!$B:$B,'30'!I:I,)</f>
        <v>89.073499999999996</v>
      </c>
      <c r="J206" s="40">
        <f>_xlfn.XLOOKUP($B206,'30'!$B:$B,'30'!J:J,)</f>
        <v>100</v>
      </c>
      <c r="K206" s="629">
        <f ca="1">_xlfn.XLOOKUP($B206,'30'!$B:$B,'30'!K:K,)</f>
        <v>-1129.5666666666666</v>
      </c>
      <c r="L206" s="629">
        <f ca="1">_xlfn.XLOOKUP($B206,'30'!$B:$B,'30'!L:L,)</f>
        <v>-1268.1287550917687</v>
      </c>
      <c r="M206" s="40" t="str">
        <f>_xlfn.XLOOKUP($B206,'30'!$B:$B,'30'!M:M,)</f>
        <v>Carbon valuation</v>
      </c>
      <c r="N206" s="326">
        <f>_xlfn.XLOOKUP($B206,'30'!$B:$B,'30'!N:N,)</f>
        <v>2.1428571428571401</v>
      </c>
      <c r="O206" s="40" t="str">
        <f>_xlfn.XLOOKUP($B206,'30'!$B:$B,'30'!O:O,)</f>
        <v>Yes</v>
      </c>
      <c r="P206" s="40" t="str">
        <f>_xlfn.XLOOKUP($B206,'30'!$B:$B,'30'!P:P,)</f>
        <v>UK government carbon values</v>
      </c>
      <c r="Q206" s="40">
        <f>_xlfn.XLOOKUP($B206,'30'!$B:$B,'30'!Q:Q,)</f>
        <v>40</v>
      </c>
      <c r="R206" s="40" t="str">
        <f>_xlfn.XLOOKUP($B206,'30'!$B:$B,'30'!R:R,)</f>
        <v>BEIS (2021) Valuing greenhouse gas emissions in policy appraisal</v>
      </c>
      <c r="S206" s="40" t="str">
        <f>_xlfn.XLOOKUP($B206,'30'!$B:$B,'30'!S:S,)</f>
        <v>ENCA</v>
      </c>
      <c r="T206" s="40">
        <f>_xlfn.XLOOKUP($B206,'30'!$B:$B,'30'!T:T,)</f>
        <v>2021</v>
      </c>
      <c r="U206" s="40" t="str">
        <f>_xlfn.XLOOKUP($B206,'30'!$B:$B,'30'!U:U,)</f>
        <v>UK</v>
      </c>
      <c r="V206" s="40" t="str">
        <f>_xlfn.XLOOKUP($B206,'30'!$B:$B,'30'!V:V,)</f>
        <v>UK</v>
      </c>
      <c r="W206" s="40" t="str">
        <f>_xlfn.XLOOKUP($B206,'30'!$B:$B,'30'!W:W,)</f>
        <v>N/A</v>
      </c>
    </row>
    <row r="207" spans="2:23">
      <c r="B207" s="39" t="s">
        <v>2891</v>
      </c>
      <c r="C207" s="40" t="str">
        <f>_xlfn.XLOOKUP($B207,'30'!$B:$B,'30'!C:C,)</f>
        <v>Habitat impact</v>
      </c>
      <c r="D207" s="40" t="str">
        <f>_xlfn.XLOOKUP($B207,'30'!$B:$B,'30'!D:D,)</f>
        <v>Urban wetland ---  good</v>
      </c>
      <c r="E207" s="40" t="str">
        <f>_xlfn.XLOOKUP($B207,'30'!$B:$B,'30'!E:E,)</f>
        <v>GHG</v>
      </c>
      <c r="F207" s="40">
        <f>_xlfn.XLOOKUP($B207,'30'!$B:$B,'30'!F:F,)</f>
        <v>2021</v>
      </c>
      <c r="G207" s="40">
        <f>_xlfn.XLOOKUP($B207,'30'!$B:$B,'30'!G:G,)</f>
        <v>2020</v>
      </c>
      <c r="H207" s="40">
        <f>_xlfn.XLOOKUP($B207,'30'!$B:$B,'30'!H:H,)</f>
        <v>2023</v>
      </c>
      <c r="I207" s="40">
        <f>_xlfn.XLOOKUP($B207,'30'!$B:$B,'30'!I:I,)</f>
        <v>89.073499999999996</v>
      </c>
      <c r="J207" s="40">
        <f>_xlfn.XLOOKUP($B207,'30'!$B:$B,'30'!J:J,)</f>
        <v>100</v>
      </c>
      <c r="K207" s="629">
        <f ca="1">_xlfn.XLOOKUP($B207,'30'!$B:$B,'30'!K:K,)</f>
        <v>-6061.1200000000008</v>
      </c>
      <c r="L207" s="629">
        <f ca="1">_xlfn.XLOOKUP($B207,'30'!$B:$B,'30'!L:L,)</f>
        <v>-6804.6276389723107</v>
      </c>
      <c r="M207" s="40" t="str">
        <f>_xlfn.XLOOKUP($B207,'30'!$B:$B,'30'!M:M,)</f>
        <v>Carbon valuation</v>
      </c>
      <c r="N207" s="326">
        <f>_xlfn.XLOOKUP($B207,'30'!$B:$B,'30'!N:N,)</f>
        <v>2.1428571428571401</v>
      </c>
      <c r="O207" s="40" t="str">
        <f>_xlfn.XLOOKUP($B207,'30'!$B:$B,'30'!O:O,)</f>
        <v>Yes</v>
      </c>
      <c r="P207" s="40" t="str">
        <f>_xlfn.XLOOKUP($B207,'30'!$B:$B,'30'!P:P,)</f>
        <v>UK government carbon values</v>
      </c>
      <c r="Q207" s="40">
        <f>_xlfn.XLOOKUP($B207,'30'!$B:$B,'30'!Q:Q,)</f>
        <v>40</v>
      </c>
      <c r="R207" s="40" t="str">
        <f>_xlfn.XLOOKUP($B207,'30'!$B:$B,'30'!R:R,)</f>
        <v>BEIS (2021) Valuing greenhouse gas emissions in policy appraisal</v>
      </c>
      <c r="S207" s="40" t="str">
        <f>_xlfn.XLOOKUP($B207,'30'!$B:$B,'30'!S:S,)</f>
        <v>ENCA</v>
      </c>
      <c r="T207" s="40">
        <f>_xlfn.XLOOKUP($B207,'30'!$B:$B,'30'!T:T,)</f>
        <v>2021</v>
      </c>
      <c r="U207" s="40" t="str">
        <f>_xlfn.XLOOKUP($B207,'30'!$B:$B,'30'!U:U,)</f>
        <v>UK</v>
      </c>
      <c r="V207" s="40" t="str">
        <f>_xlfn.XLOOKUP($B207,'30'!$B:$B,'30'!V:V,)</f>
        <v>UK</v>
      </c>
      <c r="W207" s="40" t="str">
        <f>_xlfn.XLOOKUP($B207,'30'!$B:$B,'30'!W:W,)</f>
        <v>N/A</v>
      </c>
    </row>
    <row r="208" spans="2:23">
      <c r="B208" s="39" t="s">
        <v>2892</v>
      </c>
      <c r="C208" s="40" t="str">
        <f>_xlfn.XLOOKUP($B208,'30'!$B:$B,'30'!C:C,)</f>
        <v>Habitat impact</v>
      </c>
      <c r="D208" s="40" t="str">
        <f>_xlfn.XLOOKUP($B208,'30'!$B:$B,'30'!D:D,)</f>
        <v>Urban wetland --- moderate</v>
      </c>
      <c r="E208" s="40" t="str">
        <f>_xlfn.XLOOKUP($B208,'30'!$B:$B,'30'!E:E,)</f>
        <v>GHG</v>
      </c>
      <c r="F208" s="40">
        <f>_xlfn.XLOOKUP($B208,'30'!$B:$B,'30'!F:F,)</f>
        <v>2021</v>
      </c>
      <c r="G208" s="40">
        <f>_xlfn.XLOOKUP($B208,'30'!$B:$B,'30'!G:G,)</f>
        <v>2020</v>
      </c>
      <c r="H208" s="40">
        <f>_xlfn.XLOOKUP($B208,'30'!$B:$B,'30'!H:H,)</f>
        <v>2023</v>
      </c>
      <c r="I208" s="40">
        <f>_xlfn.XLOOKUP($B208,'30'!$B:$B,'30'!I:I,)</f>
        <v>89.073499999999996</v>
      </c>
      <c r="J208" s="40">
        <f>_xlfn.XLOOKUP($B208,'30'!$B:$B,'30'!J:J,)</f>
        <v>100</v>
      </c>
      <c r="K208" s="629">
        <f ca="1">_xlfn.XLOOKUP($B208,'30'!$B:$B,'30'!K:K,)</f>
        <v>-4545.84</v>
      </c>
      <c r="L208" s="629">
        <f ca="1">_xlfn.XLOOKUP($B208,'30'!$B:$B,'30'!L:L,)</f>
        <v>-5103.4707292292323</v>
      </c>
      <c r="M208" s="40" t="str">
        <f>_xlfn.XLOOKUP($B208,'30'!$B:$B,'30'!M:M,)</f>
        <v>Carbon valuation</v>
      </c>
      <c r="N208" s="326">
        <f>_xlfn.XLOOKUP($B208,'30'!$B:$B,'30'!N:N,)</f>
        <v>2.1428571428571401</v>
      </c>
      <c r="O208" s="40" t="str">
        <f>_xlfn.XLOOKUP($B208,'30'!$B:$B,'30'!O:O,)</f>
        <v>Yes</v>
      </c>
      <c r="P208" s="40" t="str">
        <f>_xlfn.XLOOKUP($B208,'30'!$B:$B,'30'!P:P,)</f>
        <v>UK government carbon values</v>
      </c>
      <c r="Q208" s="40">
        <f>_xlfn.XLOOKUP($B208,'30'!$B:$B,'30'!Q:Q,)</f>
        <v>40</v>
      </c>
      <c r="R208" s="40" t="str">
        <f>_xlfn.XLOOKUP($B208,'30'!$B:$B,'30'!R:R,)</f>
        <v>BEIS (2021) Valuing greenhouse gas emissions in policy appraisal</v>
      </c>
      <c r="S208" s="40" t="str">
        <f>_xlfn.XLOOKUP($B208,'30'!$B:$B,'30'!S:S,)</f>
        <v>ENCA</v>
      </c>
      <c r="T208" s="40">
        <f>_xlfn.XLOOKUP($B208,'30'!$B:$B,'30'!T:T,)</f>
        <v>2021</v>
      </c>
      <c r="U208" s="40" t="str">
        <f>_xlfn.XLOOKUP($B208,'30'!$B:$B,'30'!U:U,)</f>
        <v>UK</v>
      </c>
      <c r="V208" s="40" t="str">
        <f>_xlfn.XLOOKUP($B208,'30'!$B:$B,'30'!V:V,)</f>
        <v>UK</v>
      </c>
      <c r="W208" s="40" t="str">
        <f>_xlfn.XLOOKUP($B208,'30'!$B:$B,'30'!W:W,)</f>
        <v>N/A</v>
      </c>
    </row>
    <row r="209" spans="2:23">
      <c r="B209" s="39" t="s">
        <v>2893</v>
      </c>
      <c r="C209" s="40" t="str">
        <f>_xlfn.XLOOKUP($B209,'30'!$B:$B,'30'!C:C,)</f>
        <v>Habitat impact</v>
      </c>
      <c r="D209" s="40" t="str">
        <f>_xlfn.XLOOKUP($B209,'30'!$B:$B,'30'!D:D,)</f>
        <v>Urban wetland --- poor</v>
      </c>
      <c r="E209" s="40" t="str">
        <f>_xlfn.XLOOKUP($B209,'30'!$B:$B,'30'!E:E,)</f>
        <v>GHG</v>
      </c>
      <c r="F209" s="40">
        <f>_xlfn.XLOOKUP($B209,'30'!$B:$B,'30'!F:F,)</f>
        <v>2021</v>
      </c>
      <c r="G209" s="40">
        <f>_xlfn.XLOOKUP($B209,'30'!$B:$B,'30'!G:G,)</f>
        <v>2020</v>
      </c>
      <c r="H209" s="40">
        <f>_xlfn.XLOOKUP($B209,'30'!$B:$B,'30'!H:H,)</f>
        <v>2023</v>
      </c>
      <c r="I209" s="40">
        <f>_xlfn.XLOOKUP($B209,'30'!$B:$B,'30'!I:I,)</f>
        <v>89.073499999999996</v>
      </c>
      <c r="J209" s="40">
        <f>_xlfn.XLOOKUP($B209,'30'!$B:$B,'30'!J:J,)</f>
        <v>100</v>
      </c>
      <c r="K209" s="629">
        <f ca="1">_xlfn.XLOOKUP($B209,'30'!$B:$B,'30'!K:K,)</f>
        <v>-3030.5600000000004</v>
      </c>
      <c r="L209" s="629">
        <f ca="1">_xlfn.XLOOKUP($B209,'30'!$B:$B,'30'!L:L,)</f>
        <v>-3402.3138194861554</v>
      </c>
      <c r="M209" s="40" t="str">
        <f>_xlfn.XLOOKUP($B209,'30'!$B:$B,'30'!M:M,)</f>
        <v>Carbon valuation</v>
      </c>
      <c r="N209" s="326">
        <f>_xlfn.XLOOKUP($B209,'30'!$B:$B,'30'!N:N,)</f>
        <v>2.1428571428571401</v>
      </c>
      <c r="O209" s="40" t="str">
        <f>_xlfn.XLOOKUP($B209,'30'!$B:$B,'30'!O:O,)</f>
        <v>Yes</v>
      </c>
      <c r="P209" s="40" t="str">
        <f>_xlfn.XLOOKUP($B209,'30'!$B:$B,'30'!P:P,)</f>
        <v>UK government carbon values</v>
      </c>
      <c r="Q209" s="40">
        <f>_xlfn.XLOOKUP($B209,'30'!$B:$B,'30'!Q:Q,)</f>
        <v>40</v>
      </c>
      <c r="R209" s="40" t="str">
        <f>_xlfn.XLOOKUP($B209,'30'!$B:$B,'30'!R:R,)</f>
        <v>BEIS (2021) Valuing greenhouse gas emissions in policy appraisal</v>
      </c>
      <c r="S209" s="40" t="str">
        <f>_xlfn.XLOOKUP($B209,'30'!$B:$B,'30'!S:S,)</f>
        <v>ENCA</v>
      </c>
      <c r="T209" s="40">
        <f>_xlfn.XLOOKUP($B209,'30'!$B:$B,'30'!T:T,)</f>
        <v>2021</v>
      </c>
      <c r="U209" s="40" t="str">
        <f>_xlfn.XLOOKUP($B209,'30'!$B:$B,'30'!U:U,)</f>
        <v>UK</v>
      </c>
      <c r="V209" s="40" t="str">
        <f>_xlfn.XLOOKUP($B209,'30'!$B:$B,'30'!V:V,)</f>
        <v>UK</v>
      </c>
      <c r="W209" s="40" t="str">
        <f>_xlfn.XLOOKUP($B209,'30'!$B:$B,'30'!W:W,)</f>
        <v>N/A</v>
      </c>
    </row>
    <row r="210" spans="2:23">
      <c r="B210" s="39" t="s">
        <v>2894</v>
      </c>
      <c r="C210" s="40" t="str">
        <f>_xlfn.XLOOKUP($B210,'30'!$B:$B,'30'!C:C,)</f>
        <v>Habitat impact</v>
      </c>
      <c r="D210" s="40" t="str">
        <f>_xlfn.XLOOKUP($B210,'30'!$B:$B,'30'!D:D,)</f>
        <v>Urban grassland (greenspace) --- good</v>
      </c>
      <c r="E210" s="40" t="str">
        <f>_xlfn.XLOOKUP($B210,'30'!$B:$B,'30'!E:E,)</f>
        <v>GHG</v>
      </c>
      <c r="F210" s="40">
        <f>_xlfn.XLOOKUP($B210,'30'!$B:$B,'30'!F:F,)</f>
        <v>2021</v>
      </c>
      <c r="G210" s="40">
        <f>_xlfn.XLOOKUP($B210,'30'!$B:$B,'30'!G:G,)</f>
        <v>2020</v>
      </c>
      <c r="H210" s="40">
        <f>_xlfn.XLOOKUP($B210,'30'!$B:$B,'30'!H:H,)</f>
        <v>2023</v>
      </c>
      <c r="I210" s="40">
        <f>_xlfn.XLOOKUP($B210,'30'!$B:$B,'30'!I:I,)</f>
        <v>89.073499999999996</v>
      </c>
      <c r="J210" s="40">
        <f>_xlfn.XLOOKUP($B210,'30'!$B:$B,'30'!J:J,)</f>
        <v>100</v>
      </c>
      <c r="K210" s="629">
        <f ca="1">_xlfn.XLOOKUP($B210,'30'!$B:$B,'30'!K:K,)</f>
        <v>-597.84</v>
      </c>
      <c r="L210" s="629">
        <f ca="1">_xlfn.XLOOKUP($B210,'30'!$B:$B,'30'!L:L,)</f>
        <v>-671.17605123858391</v>
      </c>
      <c r="M210" s="40" t="str">
        <f>_xlfn.XLOOKUP($B210,'30'!$B:$B,'30'!M:M,)</f>
        <v>Carbon valuation</v>
      </c>
      <c r="N210" s="326">
        <f>_xlfn.XLOOKUP($B210,'30'!$B:$B,'30'!N:N,)</f>
        <v>2.1428571428571401</v>
      </c>
      <c r="O210" s="40" t="str">
        <f>_xlfn.XLOOKUP($B210,'30'!$B:$B,'30'!O:O,)</f>
        <v>Yes</v>
      </c>
      <c r="P210" s="40" t="str">
        <f>_xlfn.XLOOKUP($B210,'30'!$B:$B,'30'!P:P,)</f>
        <v>UK government carbon values</v>
      </c>
      <c r="Q210" s="40">
        <f>_xlfn.XLOOKUP($B210,'30'!$B:$B,'30'!Q:Q,)</f>
        <v>40</v>
      </c>
      <c r="R210" s="40" t="str">
        <f>_xlfn.XLOOKUP($B210,'30'!$B:$B,'30'!R:R,)</f>
        <v>BEIS (2021) Valuing greenhouse gas emissions in policy appraisal</v>
      </c>
      <c r="S210" s="40" t="str">
        <f>_xlfn.XLOOKUP($B210,'30'!$B:$B,'30'!S:S,)</f>
        <v>ENCA</v>
      </c>
      <c r="T210" s="40">
        <f>_xlfn.XLOOKUP($B210,'30'!$B:$B,'30'!T:T,)</f>
        <v>2021</v>
      </c>
      <c r="U210" s="40" t="str">
        <f>_xlfn.XLOOKUP($B210,'30'!$B:$B,'30'!U:U,)</f>
        <v>UK</v>
      </c>
      <c r="V210" s="40" t="str">
        <f>_xlfn.XLOOKUP($B210,'30'!$B:$B,'30'!V:V,)</f>
        <v>UK</v>
      </c>
      <c r="W210" s="40" t="str">
        <f>_xlfn.XLOOKUP($B210,'30'!$B:$B,'30'!W:W,)</f>
        <v>N/A</v>
      </c>
    </row>
    <row r="211" spans="2:23">
      <c r="B211" s="39" t="s">
        <v>2895</v>
      </c>
      <c r="C211" s="40" t="str">
        <f>_xlfn.XLOOKUP($B211,'30'!$B:$B,'30'!C:C,)</f>
        <v>Habitat impact</v>
      </c>
      <c r="D211" s="40" t="str">
        <f>_xlfn.XLOOKUP($B211,'30'!$B:$B,'30'!D:D,)</f>
        <v>Urban grassland (greenspace) --- moderate</v>
      </c>
      <c r="E211" s="40" t="str">
        <f>_xlfn.XLOOKUP($B211,'30'!$B:$B,'30'!E:E,)</f>
        <v>GHG</v>
      </c>
      <c r="F211" s="40">
        <f>_xlfn.XLOOKUP($B211,'30'!$B:$B,'30'!F:F,)</f>
        <v>2021</v>
      </c>
      <c r="G211" s="40">
        <f>_xlfn.XLOOKUP($B211,'30'!$B:$B,'30'!G:G,)</f>
        <v>2020</v>
      </c>
      <c r="H211" s="40">
        <f>_xlfn.XLOOKUP($B211,'30'!$B:$B,'30'!H:H,)</f>
        <v>2023</v>
      </c>
      <c r="I211" s="40">
        <f>_xlfn.XLOOKUP($B211,'30'!$B:$B,'30'!I:I,)</f>
        <v>89.073499999999996</v>
      </c>
      <c r="J211" s="40">
        <f>_xlfn.XLOOKUP($B211,'30'!$B:$B,'30'!J:J,)</f>
        <v>100</v>
      </c>
      <c r="K211" s="629">
        <f ca="1">_xlfn.XLOOKUP($B211,'30'!$B:$B,'30'!K:K,)</f>
        <v>-448.38</v>
      </c>
      <c r="L211" s="629">
        <f ca="1">_xlfn.XLOOKUP($B211,'30'!$B:$B,'30'!L:L,)</f>
        <v>-503.3820384289379</v>
      </c>
      <c r="M211" s="40" t="str">
        <f>_xlfn.XLOOKUP($B211,'30'!$B:$B,'30'!M:M,)</f>
        <v>Carbon valuation</v>
      </c>
      <c r="N211" s="326">
        <f>_xlfn.XLOOKUP($B211,'30'!$B:$B,'30'!N:N,)</f>
        <v>2.1428571428571401</v>
      </c>
      <c r="O211" s="40" t="str">
        <f>_xlfn.XLOOKUP($B211,'30'!$B:$B,'30'!O:O,)</f>
        <v>Yes</v>
      </c>
      <c r="P211" s="40" t="str">
        <f>_xlfn.XLOOKUP($B211,'30'!$B:$B,'30'!P:P,)</f>
        <v>UK government carbon values</v>
      </c>
      <c r="Q211" s="40">
        <f>_xlfn.XLOOKUP($B211,'30'!$B:$B,'30'!Q:Q,)</f>
        <v>40</v>
      </c>
      <c r="R211" s="40" t="str">
        <f>_xlfn.XLOOKUP($B211,'30'!$B:$B,'30'!R:R,)</f>
        <v>BEIS (2021) Valuing greenhouse gas emissions in policy appraisal</v>
      </c>
      <c r="S211" s="40" t="str">
        <f>_xlfn.XLOOKUP($B211,'30'!$B:$B,'30'!S:S,)</f>
        <v>ENCA</v>
      </c>
      <c r="T211" s="40">
        <f>_xlfn.XLOOKUP($B211,'30'!$B:$B,'30'!T:T,)</f>
        <v>2021</v>
      </c>
      <c r="U211" s="40" t="str">
        <f>_xlfn.XLOOKUP($B211,'30'!$B:$B,'30'!U:U,)</f>
        <v>UK</v>
      </c>
      <c r="V211" s="40" t="str">
        <f>_xlfn.XLOOKUP($B211,'30'!$B:$B,'30'!V:V,)</f>
        <v>UK</v>
      </c>
      <c r="W211" s="40" t="str">
        <f>_xlfn.XLOOKUP($B211,'30'!$B:$B,'30'!W:W,)</f>
        <v>N/A</v>
      </c>
    </row>
    <row r="212" spans="2:23">
      <c r="B212" s="39" t="s">
        <v>2896</v>
      </c>
      <c r="C212" s="40" t="str">
        <f>_xlfn.XLOOKUP($B212,'30'!$B:$B,'30'!C:C,)</f>
        <v>Habitat impact</v>
      </c>
      <c r="D212" s="40" t="str">
        <f>_xlfn.XLOOKUP($B212,'30'!$B:$B,'30'!D:D,)</f>
        <v>Urban grassland (greenspace) --- poor</v>
      </c>
      <c r="E212" s="40" t="str">
        <f>_xlfn.XLOOKUP($B212,'30'!$B:$B,'30'!E:E,)</f>
        <v>GHG</v>
      </c>
      <c r="F212" s="40">
        <f>_xlfn.XLOOKUP($B212,'30'!$B:$B,'30'!F:F,)</f>
        <v>2021</v>
      </c>
      <c r="G212" s="40">
        <f>_xlfn.XLOOKUP($B212,'30'!$B:$B,'30'!G:G,)</f>
        <v>2020</v>
      </c>
      <c r="H212" s="40">
        <f>_xlfn.XLOOKUP($B212,'30'!$B:$B,'30'!H:H,)</f>
        <v>2023</v>
      </c>
      <c r="I212" s="40">
        <f>_xlfn.XLOOKUP($B212,'30'!$B:$B,'30'!I:I,)</f>
        <v>89.073499999999996</v>
      </c>
      <c r="J212" s="40">
        <f>_xlfn.XLOOKUP($B212,'30'!$B:$B,'30'!J:J,)</f>
        <v>100</v>
      </c>
      <c r="K212" s="629">
        <f ca="1">_xlfn.XLOOKUP($B212,'30'!$B:$B,'30'!K:K,)</f>
        <v>-298.92</v>
      </c>
      <c r="L212" s="629">
        <f ca="1">_xlfn.XLOOKUP($B212,'30'!$B:$B,'30'!L:L,)</f>
        <v>-335.58802561929195</v>
      </c>
      <c r="M212" s="40" t="str">
        <f>_xlfn.XLOOKUP($B212,'30'!$B:$B,'30'!M:M,)</f>
        <v>Carbon valuation</v>
      </c>
      <c r="N212" s="326">
        <f>_xlfn.XLOOKUP($B212,'30'!$B:$B,'30'!N:N,)</f>
        <v>2.1428571428571401</v>
      </c>
      <c r="O212" s="40" t="str">
        <f>_xlfn.XLOOKUP($B212,'30'!$B:$B,'30'!O:O,)</f>
        <v>Yes</v>
      </c>
      <c r="P212" s="40" t="str">
        <f>_xlfn.XLOOKUP($B212,'30'!$B:$B,'30'!P:P,)</f>
        <v>UK government carbon values</v>
      </c>
      <c r="Q212" s="40">
        <f>_xlfn.XLOOKUP($B212,'30'!$B:$B,'30'!Q:Q,)</f>
        <v>40</v>
      </c>
      <c r="R212" s="40" t="str">
        <f>_xlfn.XLOOKUP($B212,'30'!$B:$B,'30'!R:R,)</f>
        <v>BEIS (2021) Valuing greenhouse gas emissions in policy appraisal</v>
      </c>
      <c r="S212" s="40" t="str">
        <f>_xlfn.XLOOKUP($B212,'30'!$B:$B,'30'!S:S,)</f>
        <v>ENCA</v>
      </c>
      <c r="T212" s="40">
        <f>_xlfn.XLOOKUP($B212,'30'!$B:$B,'30'!T:T,)</f>
        <v>2021</v>
      </c>
      <c r="U212" s="40" t="str">
        <f>_xlfn.XLOOKUP($B212,'30'!$B:$B,'30'!U:U,)</f>
        <v>UK</v>
      </c>
      <c r="V212" s="40" t="str">
        <f>_xlfn.XLOOKUP($B212,'30'!$B:$B,'30'!V:V,)</f>
        <v>UK</v>
      </c>
      <c r="W212" s="40" t="str">
        <f>_xlfn.XLOOKUP($B212,'30'!$B:$B,'30'!W:W,)</f>
        <v>N/A</v>
      </c>
    </row>
    <row r="213" spans="2:23">
      <c r="B213" s="39" t="s">
        <v>2897</v>
      </c>
      <c r="C213" s="40" t="str">
        <f>_xlfn.XLOOKUP($B213,'30'!$B:$B,'30'!C:C,)</f>
        <v>Habitat impact</v>
      </c>
      <c r="D213" s="40" t="str">
        <f>_xlfn.XLOOKUP($B213,'30'!$B:$B,'30'!D:D,)</f>
        <v>Rural woodland --- good</v>
      </c>
      <c r="E213" s="40" t="str">
        <f>_xlfn.XLOOKUP($B213,'30'!$B:$B,'30'!E:E,)</f>
        <v>GHG</v>
      </c>
      <c r="F213" s="40">
        <f>_xlfn.XLOOKUP($B213,'30'!$B:$B,'30'!F:F,)</f>
        <v>2021</v>
      </c>
      <c r="G213" s="40">
        <f>_xlfn.XLOOKUP($B213,'30'!$B:$B,'30'!G:G,)</f>
        <v>2020</v>
      </c>
      <c r="H213" s="40">
        <f>_xlfn.XLOOKUP($B213,'30'!$B:$B,'30'!H:H,)</f>
        <v>2023</v>
      </c>
      <c r="I213" s="40">
        <f>_xlfn.XLOOKUP($B213,'30'!$B:$B,'30'!I:I,)</f>
        <v>89.073499999999996</v>
      </c>
      <c r="J213" s="40">
        <f>_xlfn.XLOOKUP($B213,'30'!$B:$B,'30'!J:J,)</f>
        <v>100</v>
      </c>
      <c r="K213" s="629">
        <f ca="1">_xlfn.XLOOKUP($B213,'30'!$B:$B,'30'!K:K,)</f>
        <v>-2259.1333333333332</v>
      </c>
      <c r="L213" s="629">
        <f ca="1">_xlfn.XLOOKUP($B213,'30'!$B:$B,'30'!L:L,)</f>
        <v>-2536.2575101835373</v>
      </c>
      <c r="M213" s="40" t="str">
        <f>_xlfn.XLOOKUP($B213,'30'!$B:$B,'30'!M:M,)</f>
        <v>Carbon valuation</v>
      </c>
      <c r="N213" s="326">
        <f>_xlfn.XLOOKUP($B213,'30'!$B:$B,'30'!N:N,)</f>
        <v>2.1428571428571401</v>
      </c>
      <c r="O213" s="40" t="str">
        <f>_xlfn.XLOOKUP($B213,'30'!$B:$B,'30'!O:O,)</f>
        <v>Yes</v>
      </c>
      <c r="P213" s="40" t="str">
        <f>_xlfn.XLOOKUP($B213,'30'!$B:$B,'30'!P:P,)</f>
        <v>UK government carbon values</v>
      </c>
      <c r="Q213" s="40">
        <f>_xlfn.XLOOKUP($B213,'30'!$B:$B,'30'!Q:Q,)</f>
        <v>40</v>
      </c>
      <c r="R213" s="40" t="str">
        <f>_xlfn.XLOOKUP($B213,'30'!$B:$B,'30'!R:R,)</f>
        <v>BEIS (2021) Valuing greenhouse gas emissions in policy appraisal</v>
      </c>
      <c r="S213" s="40" t="str">
        <f>_xlfn.XLOOKUP($B213,'30'!$B:$B,'30'!S:S,)</f>
        <v>ENCA</v>
      </c>
      <c r="T213" s="40">
        <f>_xlfn.XLOOKUP($B213,'30'!$B:$B,'30'!T:T,)</f>
        <v>2021</v>
      </c>
      <c r="U213" s="40" t="str">
        <f>_xlfn.XLOOKUP($B213,'30'!$B:$B,'30'!U:U,)</f>
        <v>UK</v>
      </c>
      <c r="V213" s="40" t="str">
        <f>_xlfn.XLOOKUP($B213,'30'!$B:$B,'30'!V:V,)</f>
        <v>UK</v>
      </c>
      <c r="W213" s="40" t="str">
        <f>_xlfn.XLOOKUP($B213,'30'!$B:$B,'30'!W:W,)</f>
        <v>N/A</v>
      </c>
    </row>
    <row r="214" spans="2:23">
      <c r="B214" s="39" t="s">
        <v>2898</v>
      </c>
      <c r="C214" s="40" t="str">
        <f>_xlfn.XLOOKUP($B214,'30'!$B:$B,'30'!C:C,)</f>
        <v>Habitat impact</v>
      </c>
      <c r="D214" s="40" t="str">
        <f>_xlfn.XLOOKUP($B214,'30'!$B:$B,'30'!D:D,)</f>
        <v>Rural woodland --- moderate</v>
      </c>
      <c r="E214" s="40" t="str">
        <f>_xlfn.XLOOKUP($B214,'30'!$B:$B,'30'!E:E,)</f>
        <v>GHG</v>
      </c>
      <c r="F214" s="40">
        <f>_xlfn.XLOOKUP($B214,'30'!$B:$B,'30'!F:F,)</f>
        <v>2021</v>
      </c>
      <c r="G214" s="40">
        <f>_xlfn.XLOOKUP($B214,'30'!$B:$B,'30'!G:G,)</f>
        <v>2020</v>
      </c>
      <c r="H214" s="40">
        <f>_xlfn.XLOOKUP($B214,'30'!$B:$B,'30'!H:H,)</f>
        <v>2023</v>
      </c>
      <c r="I214" s="40">
        <f>_xlfn.XLOOKUP($B214,'30'!$B:$B,'30'!I:I,)</f>
        <v>89.073499999999996</v>
      </c>
      <c r="J214" s="40">
        <f>_xlfn.XLOOKUP($B214,'30'!$B:$B,'30'!J:J,)</f>
        <v>100</v>
      </c>
      <c r="K214" s="629">
        <f ca="1">_xlfn.XLOOKUP($B214,'30'!$B:$B,'30'!K:K,)</f>
        <v>-1694.35</v>
      </c>
      <c r="L214" s="629">
        <f ca="1">_xlfn.XLOOKUP($B214,'30'!$B:$B,'30'!L:L,)</f>
        <v>-1902.193132637653</v>
      </c>
      <c r="M214" s="40" t="str">
        <f>_xlfn.XLOOKUP($B214,'30'!$B:$B,'30'!M:M,)</f>
        <v>Carbon valuation</v>
      </c>
      <c r="N214" s="326">
        <f>_xlfn.XLOOKUP($B214,'30'!$B:$B,'30'!N:N,)</f>
        <v>2.1428571428571401</v>
      </c>
      <c r="O214" s="40" t="str">
        <f>_xlfn.XLOOKUP($B214,'30'!$B:$B,'30'!O:O,)</f>
        <v>Yes</v>
      </c>
      <c r="P214" s="40" t="str">
        <f>_xlfn.XLOOKUP($B214,'30'!$B:$B,'30'!P:P,)</f>
        <v>UK government carbon values</v>
      </c>
      <c r="Q214" s="40">
        <f>_xlfn.XLOOKUP($B214,'30'!$B:$B,'30'!Q:Q,)</f>
        <v>40</v>
      </c>
      <c r="R214" s="40" t="str">
        <f>_xlfn.XLOOKUP($B214,'30'!$B:$B,'30'!R:R,)</f>
        <v>BEIS (2021) Valuing greenhouse gas emissions in policy appraisal</v>
      </c>
      <c r="S214" s="40" t="str">
        <f>_xlfn.XLOOKUP($B214,'30'!$B:$B,'30'!S:S,)</f>
        <v>ENCA</v>
      </c>
      <c r="T214" s="40">
        <f>_xlfn.XLOOKUP($B214,'30'!$B:$B,'30'!T:T,)</f>
        <v>2021</v>
      </c>
      <c r="U214" s="40" t="str">
        <f>_xlfn.XLOOKUP($B214,'30'!$B:$B,'30'!U:U,)</f>
        <v>UK</v>
      </c>
      <c r="V214" s="40" t="str">
        <f>_xlfn.XLOOKUP($B214,'30'!$B:$B,'30'!V:V,)</f>
        <v>UK</v>
      </c>
      <c r="W214" s="40" t="str">
        <f>_xlfn.XLOOKUP($B214,'30'!$B:$B,'30'!W:W,)</f>
        <v>N/A</v>
      </c>
    </row>
    <row r="215" spans="2:23">
      <c r="B215" s="39" t="s">
        <v>2899</v>
      </c>
      <c r="C215" s="40" t="str">
        <f>_xlfn.XLOOKUP($B215,'30'!$B:$B,'30'!C:C,)</f>
        <v>Habitat impact</v>
      </c>
      <c r="D215" s="40" t="str">
        <f>_xlfn.XLOOKUP($B215,'30'!$B:$B,'30'!D:D,)</f>
        <v>Rural woodland --- poor</v>
      </c>
      <c r="E215" s="40" t="str">
        <f>_xlfn.XLOOKUP($B215,'30'!$B:$B,'30'!E:E,)</f>
        <v>GHG</v>
      </c>
      <c r="F215" s="40">
        <f>_xlfn.XLOOKUP($B215,'30'!$B:$B,'30'!F:F,)</f>
        <v>2021</v>
      </c>
      <c r="G215" s="40">
        <f>_xlfn.XLOOKUP($B215,'30'!$B:$B,'30'!G:G,)</f>
        <v>2020</v>
      </c>
      <c r="H215" s="40">
        <f>_xlfn.XLOOKUP($B215,'30'!$B:$B,'30'!H:H,)</f>
        <v>2023</v>
      </c>
      <c r="I215" s="40">
        <f>_xlfn.XLOOKUP($B215,'30'!$B:$B,'30'!I:I,)</f>
        <v>89.073499999999996</v>
      </c>
      <c r="J215" s="40">
        <f>_xlfn.XLOOKUP($B215,'30'!$B:$B,'30'!J:J,)</f>
        <v>100</v>
      </c>
      <c r="K215" s="629">
        <f ca="1">_xlfn.XLOOKUP($B215,'30'!$B:$B,'30'!K:K,)</f>
        <v>-1129.5666666666666</v>
      </c>
      <c r="L215" s="629">
        <f ca="1">_xlfn.XLOOKUP($B215,'30'!$B:$B,'30'!L:L,)</f>
        <v>-1268.1287550917687</v>
      </c>
      <c r="M215" s="40" t="str">
        <f>_xlfn.XLOOKUP($B215,'30'!$B:$B,'30'!M:M,)</f>
        <v>Carbon valuation</v>
      </c>
      <c r="N215" s="326">
        <f>_xlfn.XLOOKUP($B215,'30'!$B:$B,'30'!N:N,)</f>
        <v>2.1428571428571401</v>
      </c>
      <c r="O215" s="40" t="str">
        <f>_xlfn.XLOOKUP($B215,'30'!$B:$B,'30'!O:O,)</f>
        <v>Yes</v>
      </c>
      <c r="P215" s="40" t="str">
        <f>_xlfn.XLOOKUP($B215,'30'!$B:$B,'30'!P:P,)</f>
        <v>UK government carbon values</v>
      </c>
      <c r="Q215" s="40">
        <f>_xlfn.XLOOKUP($B215,'30'!$B:$B,'30'!Q:Q,)</f>
        <v>40</v>
      </c>
      <c r="R215" s="40" t="str">
        <f>_xlfn.XLOOKUP($B215,'30'!$B:$B,'30'!R:R,)</f>
        <v>BEIS (2021) Valuing greenhouse gas emissions in policy appraisal</v>
      </c>
      <c r="S215" s="40" t="str">
        <f>_xlfn.XLOOKUP($B215,'30'!$B:$B,'30'!S:S,)</f>
        <v>ENCA</v>
      </c>
      <c r="T215" s="40">
        <f>_xlfn.XLOOKUP($B215,'30'!$B:$B,'30'!T:T,)</f>
        <v>2021</v>
      </c>
      <c r="U215" s="40" t="str">
        <f>_xlfn.XLOOKUP($B215,'30'!$B:$B,'30'!U:U,)</f>
        <v>UK</v>
      </c>
      <c r="V215" s="40" t="str">
        <f>_xlfn.XLOOKUP($B215,'30'!$B:$B,'30'!V:V,)</f>
        <v>UK</v>
      </c>
      <c r="W215" s="40" t="str">
        <f>_xlfn.XLOOKUP($B215,'30'!$B:$B,'30'!W:W,)</f>
        <v>N/A</v>
      </c>
    </row>
    <row r="216" spans="2:23">
      <c r="B216" s="39" t="s">
        <v>2900</v>
      </c>
      <c r="C216" s="40" t="str">
        <f>_xlfn.XLOOKUP($B216,'30'!$B:$B,'30'!C:C,)</f>
        <v>Habitat impact</v>
      </c>
      <c r="D216" s="40" t="str">
        <f>_xlfn.XLOOKUP($B216,'30'!$B:$B,'30'!D:D,)</f>
        <v>Rural wetland --- good</v>
      </c>
      <c r="E216" s="40" t="str">
        <f>_xlfn.XLOOKUP($B216,'30'!$B:$B,'30'!E:E,)</f>
        <v>GHG</v>
      </c>
      <c r="F216" s="40">
        <f>_xlfn.XLOOKUP($B216,'30'!$B:$B,'30'!F:F,)</f>
        <v>2021</v>
      </c>
      <c r="G216" s="40">
        <f>_xlfn.XLOOKUP($B216,'30'!$B:$B,'30'!G:G,)</f>
        <v>2020</v>
      </c>
      <c r="H216" s="40">
        <f>_xlfn.XLOOKUP($B216,'30'!$B:$B,'30'!H:H,)</f>
        <v>2023</v>
      </c>
      <c r="I216" s="40">
        <f>_xlfn.XLOOKUP($B216,'30'!$B:$B,'30'!I:I,)</f>
        <v>89.073499999999996</v>
      </c>
      <c r="J216" s="40">
        <f>_xlfn.XLOOKUP($B216,'30'!$B:$B,'30'!J:J,)</f>
        <v>100</v>
      </c>
      <c r="K216" s="629">
        <f ca="1">_xlfn.XLOOKUP($B216,'30'!$B:$B,'30'!K:K,)</f>
        <v>-6061.1200000000008</v>
      </c>
      <c r="L216" s="629">
        <f ca="1">_xlfn.XLOOKUP($B216,'30'!$B:$B,'30'!L:L,)</f>
        <v>-6804.6276389723107</v>
      </c>
      <c r="M216" s="40" t="str">
        <f>_xlfn.XLOOKUP($B216,'30'!$B:$B,'30'!M:M,)</f>
        <v>Carbon valuation</v>
      </c>
      <c r="N216" s="326">
        <f>_xlfn.XLOOKUP($B216,'30'!$B:$B,'30'!N:N,)</f>
        <v>2.1428571428571401</v>
      </c>
      <c r="O216" s="40" t="str">
        <f>_xlfn.XLOOKUP($B216,'30'!$B:$B,'30'!O:O,)</f>
        <v>Yes</v>
      </c>
      <c r="P216" s="40" t="str">
        <f>_xlfn.XLOOKUP($B216,'30'!$B:$B,'30'!P:P,)</f>
        <v>UK government carbon values</v>
      </c>
      <c r="Q216" s="40">
        <f>_xlfn.XLOOKUP($B216,'30'!$B:$B,'30'!Q:Q,)</f>
        <v>40</v>
      </c>
      <c r="R216" s="40" t="str">
        <f>_xlfn.XLOOKUP($B216,'30'!$B:$B,'30'!R:R,)</f>
        <v>BEIS (2021) Valuing greenhouse gas emissions in policy appraisal</v>
      </c>
      <c r="S216" s="40" t="str">
        <f>_xlfn.XLOOKUP($B216,'30'!$B:$B,'30'!S:S,)</f>
        <v>ENCA</v>
      </c>
      <c r="T216" s="40">
        <f>_xlfn.XLOOKUP($B216,'30'!$B:$B,'30'!T:T,)</f>
        <v>2021</v>
      </c>
      <c r="U216" s="40" t="str">
        <f>_xlfn.XLOOKUP($B216,'30'!$B:$B,'30'!U:U,)</f>
        <v>UK</v>
      </c>
      <c r="V216" s="40" t="str">
        <f>_xlfn.XLOOKUP($B216,'30'!$B:$B,'30'!V:V,)</f>
        <v>UK</v>
      </c>
      <c r="W216" s="40" t="str">
        <f>_xlfn.XLOOKUP($B216,'30'!$B:$B,'30'!W:W,)</f>
        <v>N/A</v>
      </c>
    </row>
    <row r="217" spans="2:23">
      <c r="B217" s="39" t="s">
        <v>2901</v>
      </c>
      <c r="C217" s="40" t="str">
        <f>_xlfn.XLOOKUP($B217,'30'!$B:$B,'30'!C:C,)</f>
        <v>Habitat impact</v>
      </c>
      <c r="D217" s="40" t="str">
        <f>_xlfn.XLOOKUP($B217,'30'!$B:$B,'30'!D:D,)</f>
        <v>Rural wetland --- moderate</v>
      </c>
      <c r="E217" s="40" t="str">
        <f>_xlfn.XLOOKUP($B217,'30'!$B:$B,'30'!E:E,)</f>
        <v>GHG</v>
      </c>
      <c r="F217" s="40">
        <f>_xlfn.XLOOKUP($B217,'30'!$B:$B,'30'!F:F,)</f>
        <v>2021</v>
      </c>
      <c r="G217" s="40">
        <f>_xlfn.XLOOKUP($B217,'30'!$B:$B,'30'!G:G,)</f>
        <v>2020</v>
      </c>
      <c r="H217" s="40">
        <f>_xlfn.XLOOKUP($B217,'30'!$B:$B,'30'!H:H,)</f>
        <v>2023</v>
      </c>
      <c r="I217" s="40">
        <f>_xlfn.XLOOKUP($B217,'30'!$B:$B,'30'!I:I,)</f>
        <v>89.073499999999996</v>
      </c>
      <c r="J217" s="40">
        <f>_xlfn.XLOOKUP($B217,'30'!$B:$B,'30'!J:J,)</f>
        <v>100</v>
      </c>
      <c r="K217" s="629">
        <f ca="1">_xlfn.XLOOKUP($B217,'30'!$B:$B,'30'!K:K,)</f>
        <v>-4545.84</v>
      </c>
      <c r="L217" s="629">
        <f ca="1">_xlfn.XLOOKUP($B217,'30'!$B:$B,'30'!L:L,)</f>
        <v>-5103.4707292292323</v>
      </c>
      <c r="M217" s="40" t="str">
        <f>_xlfn.XLOOKUP($B217,'30'!$B:$B,'30'!M:M,)</f>
        <v>Carbon valuation</v>
      </c>
      <c r="N217" s="326">
        <f>_xlfn.XLOOKUP($B217,'30'!$B:$B,'30'!N:N,)</f>
        <v>2.1428571428571401</v>
      </c>
      <c r="O217" s="40" t="str">
        <f>_xlfn.XLOOKUP($B217,'30'!$B:$B,'30'!O:O,)</f>
        <v>Yes</v>
      </c>
      <c r="P217" s="40" t="str">
        <f>_xlfn.XLOOKUP($B217,'30'!$B:$B,'30'!P:P,)</f>
        <v>UK government carbon values</v>
      </c>
      <c r="Q217" s="40">
        <f>_xlfn.XLOOKUP($B217,'30'!$B:$B,'30'!Q:Q,)</f>
        <v>40</v>
      </c>
      <c r="R217" s="40" t="str">
        <f>_xlfn.XLOOKUP($B217,'30'!$B:$B,'30'!R:R,)</f>
        <v>BEIS (2021) Valuing greenhouse gas emissions in policy appraisal</v>
      </c>
      <c r="S217" s="40" t="str">
        <f>_xlfn.XLOOKUP($B217,'30'!$B:$B,'30'!S:S,)</f>
        <v>ENCA</v>
      </c>
      <c r="T217" s="40">
        <f>_xlfn.XLOOKUP($B217,'30'!$B:$B,'30'!T:T,)</f>
        <v>2021</v>
      </c>
      <c r="U217" s="40" t="str">
        <f>_xlfn.XLOOKUP($B217,'30'!$B:$B,'30'!U:U,)</f>
        <v>UK</v>
      </c>
      <c r="V217" s="40" t="str">
        <f>_xlfn.XLOOKUP($B217,'30'!$B:$B,'30'!V:V,)</f>
        <v>UK</v>
      </c>
      <c r="W217" s="40" t="str">
        <f>_xlfn.XLOOKUP($B217,'30'!$B:$B,'30'!W:W,)</f>
        <v>N/A</v>
      </c>
    </row>
    <row r="218" spans="2:23">
      <c r="B218" s="39" t="s">
        <v>2902</v>
      </c>
      <c r="C218" s="40" t="str">
        <f>_xlfn.XLOOKUP($B218,'30'!$B:$B,'30'!C:C,)</f>
        <v>Habitat impact</v>
      </c>
      <c r="D218" s="40" t="str">
        <f>_xlfn.XLOOKUP($B218,'30'!$B:$B,'30'!D:D,)</f>
        <v>Rural wetland --- poor</v>
      </c>
      <c r="E218" s="40" t="str">
        <f>_xlfn.XLOOKUP($B218,'30'!$B:$B,'30'!E:E,)</f>
        <v>GHG</v>
      </c>
      <c r="F218" s="40">
        <f>_xlfn.XLOOKUP($B218,'30'!$B:$B,'30'!F:F,)</f>
        <v>2021</v>
      </c>
      <c r="G218" s="40">
        <f>_xlfn.XLOOKUP($B218,'30'!$B:$B,'30'!G:G,)</f>
        <v>2020</v>
      </c>
      <c r="H218" s="40">
        <f>_xlfn.XLOOKUP($B218,'30'!$B:$B,'30'!H:H,)</f>
        <v>2023</v>
      </c>
      <c r="I218" s="40">
        <f>_xlfn.XLOOKUP($B218,'30'!$B:$B,'30'!I:I,)</f>
        <v>89.073499999999996</v>
      </c>
      <c r="J218" s="40">
        <f>_xlfn.XLOOKUP($B218,'30'!$B:$B,'30'!J:J,)</f>
        <v>100</v>
      </c>
      <c r="K218" s="629">
        <f ca="1">_xlfn.XLOOKUP($B218,'30'!$B:$B,'30'!K:K,)</f>
        <v>-3030.5600000000004</v>
      </c>
      <c r="L218" s="629">
        <f ca="1">_xlfn.XLOOKUP($B218,'30'!$B:$B,'30'!L:L,)</f>
        <v>-3402.3138194861554</v>
      </c>
      <c r="M218" s="40" t="str">
        <f>_xlfn.XLOOKUP($B218,'30'!$B:$B,'30'!M:M,)</f>
        <v>Carbon valuation</v>
      </c>
      <c r="N218" s="326">
        <f>_xlfn.XLOOKUP($B218,'30'!$B:$B,'30'!N:N,)</f>
        <v>2.1428571428571401</v>
      </c>
      <c r="O218" s="40" t="str">
        <f>_xlfn.XLOOKUP($B218,'30'!$B:$B,'30'!O:O,)</f>
        <v>Yes</v>
      </c>
      <c r="P218" s="40" t="str">
        <f>_xlfn.XLOOKUP($B218,'30'!$B:$B,'30'!P:P,)</f>
        <v>UK government carbon values</v>
      </c>
      <c r="Q218" s="40">
        <f>_xlfn.XLOOKUP($B218,'30'!$B:$B,'30'!Q:Q,)</f>
        <v>40</v>
      </c>
      <c r="R218" s="40" t="str">
        <f>_xlfn.XLOOKUP($B218,'30'!$B:$B,'30'!R:R,)</f>
        <v>BEIS (2021) Valuing greenhouse gas emissions in policy appraisal</v>
      </c>
      <c r="S218" s="40" t="str">
        <f>_xlfn.XLOOKUP($B218,'30'!$B:$B,'30'!S:S,)</f>
        <v>ENCA</v>
      </c>
      <c r="T218" s="40">
        <f>_xlfn.XLOOKUP($B218,'30'!$B:$B,'30'!T:T,)</f>
        <v>2021</v>
      </c>
      <c r="U218" s="40" t="str">
        <f>_xlfn.XLOOKUP($B218,'30'!$B:$B,'30'!U:U,)</f>
        <v>UK</v>
      </c>
      <c r="V218" s="40" t="str">
        <f>_xlfn.XLOOKUP($B218,'30'!$B:$B,'30'!V:V,)</f>
        <v>UK</v>
      </c>
      <c r="W218" s="40" t="str">
        <f>_xlfn.XLOOKUP($B218,'30'!$B:$B,'30'!W:W,)</f>
        <v>N/A</v>
      </c>
    </row>
    <row r="219" spans="2:23">
      <c r="B219" s="39" t="s">
        <v>2903</v>
      </c>
      <c r="C219" s="40" t="str">
        <f>_xlfn.XLOOKUP($B219,'30'!$B:$B,'30'!C:C,)</f>
        <v>Habitat impact</v>
      </c>
      <c r="D219" s="40" t="str">
        <f>_xlfn.XLOOKUP($B219,'30'!$B:$B,'30'!D:D,)</f>
        <v>Rural grassland --- good</v>
      </c>
      <c r="E219" s="40" t="str">
        <f>_xlfn.XLOOKUP($B219,'30'!$B:$B,'30'!E:E,)</f>
        <v>GHG</v>
      </c>
      <c r="F219" s="40">
        <f>_xlfn.XLOOKUP($B219,'30'!$B:$B,'30'!F:F,)</f>
        <v>2021</v>
      </c>
      <c r="G219" s="40">
        <f>_xlfn.XLOOKUP($B219,'30'!$B:$B,'30'!G:G,)</f>
        <v>2020</v>
      </c>
      <c r="H219" s="40">
        <f>_xlfn.XLOOKUP($B219,'30'!$B:$B,'30'!H:H,)</f>
        <v>2023</v>
      </c>
      <c r="I219" s="40">
        <f>_xlfn.XLOOKUP($B219,'30'!$B:$B,'30'!I:I,)</f>
        <v>89.073499999999996</v>
      </c>
      <c r="J219" s="40">
        <f>_xlfn.XLOOKUP($B219,'30'!$B:$B,'30'!J:J,)</f>
        <v>100</v>
      </c>
      <c r="K219" s="629">
        <f ca="1">_xlfn.XLOOKUP($B219,'30'!$B:$B,'30'!K:K,)</f>
        <v>-597.84</v>
      </c>
      <c r="L219" s="629">
        <f ca="1">_xlfn.XLOOKUP($B219,'30'!$B:$B,'30'!L:L,)</f>
        <v>-671.17605123858391</v>
      </c>
      <c r="M219" s="40" t="str">
        <f>_xlfn.XLOOKUP($B219,'30'!$B:$B,'30'!M:M,)</f>
        <v>Carbon valuation</v>
      </c>
      <c r="N219" s="326">
        <f>_xlfn.XLOOKUP($B219,'30'!$B:$B,'30'!N:N,)</f>
        <v>2.1428571428571401</v>
      </c>
      <c r="O219" s="40" t="str">
        <f>_xlfn.XLOOKUP($B219,'30'!$B:$B,'30'!O:O,)</f>
        <v>Yes</v>
      </c>
      <c r="P219" s="40" t="str">
        <f>_xlfn.XLOOKUP($B219,'30'!$B:$B,'30'!P:P,)</f>
        <v>UK government carbon values</v>
      </c>
      <c r="Q219" s="40">
        <f>_xlfn.XLOOKUP($B219,'30'!$B:$B,'30'!Q:Q,)</f>
        <v>40</v>
      </c>
      <c r="R219" s="40" t="str">
        <f>_xlfn.XLOOKUP($B219,'30'!$B:$B,'30'!R:R,)</f>
        <v>BEIS (2021) Valuing greenhouse gas emissions in policy appraisal</v>
      </c>
      <c r="S219" s="40" t="str">
        <f>_xlfn.XLOOKUP($B219,'30'!$B:$B,'30'!S:S,)</f>
        <v>ENCA</v>
      </c>
      <c r="T219" s="40">
        <f>_xlfn.XLOOKUP($B219,'30'!$B:$B,'30'!T:T,)</f>
        <v>2021</v>
      </c>
      <c r="U219" s="40" t="str">
        <f>_xlfn.XLOOKUP($B219,'30'!$B:$B,'30'!U:U,)</f>
        <v>UK</v>
      </c>
      <c r="V219" s="40" t="str">
        <f>_xlfn.XLOOKUP($B219,'30'!$B:$B,'30'!V:V,)</f>
        <v>UK</v>
      </c>
      <c r="W219" s="40" t="str">
        <f>_xlfn.XLOOKUP($B219,'30'!$B:$B,'30'!W:W,)</f>
        <v>N/A</v>
      </c>
    </row>
    <row r="220" spans="2:23">
      <c r="B220" s="39" t="s">
        <v>2904</v>
      </c>
      <c r="C220" s="40" t="str">
        <f>_xlfn.XLOOKUP($B220,'30'!$B:$B,'30'!C:C,)</f>
        <v>Habitat impact</v>
      </c>
      <c r="D220" s="40" t="str">
        <f>_xlfn.XLOOKUP($B220,'30'!$B:$B,'30'!D:D,)</f>
        <v>Rural grassland --- moderate</v>
      </c>
      <c r="E220" s="40" t="str">
        <f>_xlfn.XLOOKUP($B220,'30'!$B:$B,'30'!E:E,)</f>
        <v>GHG</v>
      </c>
      <c r="F220" s="40">
        <f>_xlfn.XLOOKUP($B220,'30'!$B:$B,'30'!F:F,)</f>
        <v>2021</v>
      </c>
      <c r="G220" s="40">
        <f>_xlfn.XLOOKUP($B220,'30'!$B:$B,'30'!G:G,)</f>
        <v>2020</v>
      </c>
      <c r="H220" s="40">
        <f>_xlfn.XLOOKUP($B220,'30'!$B:$B,'30'!H:H,)</f>
        <v>2023</v>
      </c>
      <c r="I220" s="40">
        <f>_xlfn.XLOOKUP($B220,'30'!$B:$B,'30'!I:I,)</f>
        <v>89.073499999999996</v>
      </c>
      <c r="J220" s="40">
        <f>_xlfn.XLOOKUP($B220,'30'!$B:$B,'30'!J:J,)</f>
        <v>100</v>
      </c>
      <c r="K220" s="629">
        <f ca="1">_xlfn.XLOOKUP($B220,'30'!$B:$B,'30'!K:K,)</f>
        <v>-448.38</v>
      </c>
      <c r="L220" s="629">
        <f ca="1">_xlfn.XLOOKUP($B220,'30'!$B:$B,'30'!L:L,)</f>
        <v>-503.3820384289379</v>
      </c>
      <c r="M220" s="40" t="str">
        <f>_xlfn.XLOOKUP($B220,'30'!$B:$B,'30'!M:M,)</f>
        <v>Carbon valuation</v>
      </c>
      <c r="N220" s="326">
        <f>_xlfn.XLOOKUP($B220,'30'!$B:$B,'30'!N:N,)</f>
        <v>2.1428571428571401</v>
      </c>
      <c r="O220" s="40" t="str">
        <f>_xlfn.XLOOKUP($B220,'30'!$B:$B,'30'!O:O,)</f>
        <v>Yes</v>
      </c>
      <c r="P220" s="40" t="str">
        <f>_xlfn.XLOOKUP($B220,'30'!$B:$B,'30'!P:P,)</f>
        <v>UK government carbon values</v>
      </c>
      <c r="Q220" s="40">
        <f>_xlfn.XLOOKUP($B220,'30'!$B:$B,'30'!Q:Q,)</f>
        <v>40</v>
      </c>
      <c r="R220" s="40" t="str">
        <f>_xlfn.XLOOKUP($B220,'30'!$B:$B,'30'!R:R,)</f>
        <v>BEIS (2021) Valuing greenhouse gas emissions in policy appraisal</v>
      </c>
      <c r="S220" s="40" t="str">
        <f>_xlfn.XLOOKUP($B220,'30'!$B:$B,'30'!S:S,)</f>
        <v>ENCA</v>
      </c>
      <c r="T220" s="40">
        <f>_xlfn.XLOOKUP($B220,'30'!$B:$B,'30'!T:T,)</f>
        <v>2021</v>
      </c>
      <c r="U220" s="40" t="str">
        <f>_xlfn.XLOOKUP($B220,'30'!$B:$B,'30'!U:U,)</f>
        <v>UK</v>
      </c>
      <c r="V220" s="40" t="str">
        <f>_xlfn.XLOOKUP($B220,'30'!$B:$B,'30'!V:V,)</f>
        <v>UK</v>
      </c>
      <c r="W220" s="40" t="str">
        <f>_xlfn.XLOOKUP($B220,'30'!$B:$B,'30'!W:W,)</f>
        <v>N/A</v>
      </c>
    </row>
    <row r="221" spans="2:23">
      <c r="B221" s="39" t="s">
        <v>2905</v>
      </c>
      <c r="C221" s="40" t="str">
        <f>_xlfn.XLOOKUP($B221,'30'!$B:$B,'30'!C:C,)</f>
        <v>Habitat impact</v>
      </c>
      <c r="D221" s="40" t="str">
        <f>_xlfn.XLOOKUP($B221,'30'!$B:$B,'30'!D:D,)</f>
        <v>Rural grassland --- poor</v>
      </c>
      <c r="E221" s="40" t="str">
        <f>_xlfn.XLOOKUP($B221,'30'!$B:$B,'30'!E:E,)</f>
        <v>GHG</v>
      </c>
      <c r="F221" s="40">
        <f>_xlfn.XLOOKUP($B221,'30'!$B:$B,'30'!F:F,)</f>
        <v>2021</v>
      </c>
      <c r="G221" s="40">
        <f>_xlfn.XLOOKUP($B221,'30'!$B:$B,'30'!G:G,)</f>
        <v>2020</v>
      </c>
      <c r="H221" s="40">
        <f>_xlfn.XLOOKUP($B221,'30'!$B:$B,'30'!H:H,)</f>
        <v>2023</v>
      </c>
      <c r="I221" s="40">
        <f>_xlfn.XLOOKUP($B221,'30'!$B:$B,'30'!I:I,)</f>
        <v>89.073499999999996</v>
      </c>
      <c r="J221" s="40">
        <f>_xlfn.XLOOKUP($B221,'30'!$B:$B,'30'!J:J,)</f>
        <v>100</v>
      </c>
      <c r="K221" s="629">
        <f ca="1">_xlfn.XLOOKUP($B221,'30'!$B:$B,'30'!K:K,)</f>
        <v>-298.92</v>
      </c>
      <c r="L221" s="629">
        <f ca="1">_xlfn.XLOOKUP($B221,'30'!$B:$B,'30'!L:L,)</f>
        <v>-335.58802561929195</v>
      </c>
      <c r="M221" s="40" t="str">
        <f>_xlfn.XLOOKUP($B221,'30'!$B:$B,'30'!M:M,)</f>
        <v>Carbon valuation</v>
      </c>
      <c r="N221" s="326">
        <f>_xlfn.XLOOKUP($B221,'30'!$B:$B,'30'!N:N,)</f>
        <v>2.1428571428571401</v>
      </c>
      <c r="O221" s="40" t="str">
        <f>_xlfn.XLOOKUP($B221,'30'!$B:$B,'30'!O:O,)</f>
        <v>Yes</v>
      </c>
      <c r="P221" s="40" t="str">
        <f>_xlfn.XLOOKUP($B221,'30'!$B:$B,'30'!P:P,)</f>
        <v>UK government carbon values</v>
      </c>
      <c r="Q221" s="40">
        <f>_xlfn.XLOOKUP($B221,'30'!$B:$B,'30'!Q:Q,)</f>
        <v>40</v>
      </c>
      <c r="R221" s="40" t="str">
        <f>_xlfn.XLOOKUP($B221,'30'!$B:$B,'30'!R:R,)</f>
        <v>BEIS (2021) Valuing greenhouse gas emissions in policy appraisal</v>
      </c>
      <c r="S221" s="40" t="str">
        <f>_xlfn.XLOOKUP($B221,'30'!$B:$B,'30'!S:S,)</f>
        <v>ENCA</v>
      </c>
      <c r="T221" s="40">
        <f>_xlfn.XLOOKUP($B221,'30'!$B:$B,'30'!T:T,)</f>
        <v>2021</v>
      </c>
      <c r="U221" s="40" t="str">
        <f>_xlfn.XLOOKUP($B221,'30'!$B:$B,'30'!U:U,)</f>
        <v>UK</v>
      </c>
      <c r="V221" s="40" t="str">
        <f>_xlfn.XLOOKUP($B221,'30'!$B:$B,'30'!V:V,)</f>
        <v>UK</v>
      </c>
      <c r="W221" s="40" t="str">
        <f>_xlfn.XLOOKUP($B221,'30'!$B:$B,'30'!W:W,)</f>
        <v>N/A</v>
      </c>
    </row>
    <row r="222" spans="2:23">
      <c r="B222" s="39" t="s">
        <v>2906</v>
      </c>
      <c r="C222" s="40" t="str">
        <f>_xlfn.XLOOKUP($B222,'30'!$B:$B,'30'!C:C,)</f>
        <v>Habitat impact</v>
      </c>
      <c r="D222" s="40" t="str">
        <f>_xlfn.XLOOKUP($B222,'30'!$B:$B,'30'!D:D,)</f>
        <v>Farmland --- moderate</v>
      </c>
      <c r="E222" s="40" t="str">
        <f>_xlfn.XLOOKUP($B222,'30'!$B:$B,'30'!E:E,)</f>
        <v>GHG</v>
      </c>
      <c r="F222" s="40">
        <f>_xlfn.XLOOKUP($B222,'30'!$B:$B,'30'!F:F,)</f>
        <v>2021</v>
      </c>
      <c r="G222" s="40">
        <f>_xlfn.XLOOKUP($B222,'30'!$B:$B,'30'!G:G,)</f>
        <v>2020</v>
      </c>
      <c r="H222" s="40">
        <f>_xlfn.XLOOKUP($B222,'30'!$B:$B,'30'!H:H,)</f>
        <v>2023</v>
      </c>
      <c r="I222" s="40">
        <f>_xlfn.XLOOKUP($B222,'30'!$B:$B,'30'!I:I,)</f>
        <v>89.073499999999996</v>
      </c>
      <c r="J222" s="40">
        <f>_xlfn.XLOOKUP($B222,'30'!$B:$B,'30'!J:J,)</f>
        <v>100</v>
      </c>
      <c r="K222" s="629">
        <f ca="1">_xlfn.XLOOKUP($B222,'30'!$B:$B,'30'!K:K,)</f>
        <v>109.03999999999999</v>
      </c>
      <c r="L222" s="629">
        <f ca="1">_xlfn.XLOOKUP($B222,'30'!$B:$B,'30'!L:L,)</f>
        <v>122.41575777307503</v>
      </c>
      <c r="M222" s="40" t="str">
        <f>_xlfn.XLOOKUP($B222,'30'!$B:$B,'30'!M:M,)</f>
        <v>Carbon valuation</v>
      </c>
      <c r="N222" s="326">
        <f>_xlfn.XLOOKUP($B222,'30'!$B:$B,'30'!N:N,)</f>
        <v>2.1428571428571401</v>
      </c>
      <c r="O222" s="40" t="str">
        <f>_xlfn.XLOOKUP($B222,'30'!$B:$B,'30'!O:O,)</f>
        <v>Yes</v>
      </c>
      <c r="P222" s="40" t="str">
        <f>_xlfn.XLOOKUP($B222,'30'!$B:$B,'30'!P:P,)</f>
        <v>UK government carbon values</v>
      </c>
      <c r="Q222" s="40">
        <f>_xlfn.XLOOKUP($B222,'30'!$B:$B,'30'!Q:Q,)</f>
        <v>40</v>
      </c>
      <c r="R222" s="40" t="str">
        <f>_xlfn.XLOOKUP($B222,'30'!$B:$B,'30'!R:R,)</f>
        <v>BEIS (2021) Valuing greenhouse gas emissions in policy appraisal</v>
      </c>
      <c r="S222" s="40" t="str">
        <f>_xlfn.XLOOKUP($B222,'30'!$B:$B,'30'!S:S,)</f>
        <v>ENCA</v>
      </c>
      <c r="T222" s="40">
        <f>_xlfn.XLOOKUP($B222,'30'!$B:$B,'30'!T:T,)</f>
        <v>2021</v>
      </c>
      <c r="U222" s="40" t="str">
        <f>_xlfn.XLOOKUP($B222,'30'!$B:$B,'30'!U:U,)</f>
        <v>UK</v>
      </c>
      <c r="V222" s="40" t="str">
        <f>_xlfn.XLOOKUP($B222,'30'!$B:$B,'30'!V:V,)</f>
        <v>UK</v>
      </c>
      <c r="W222" s="40" t="str">
        <f>_xlfn.XLOOKUP($B222,'30'!$B:$B,'30'!W:W,)</f>
        <v>N/A</v>
      </c>
    </row>
    <row r="223" spans="2:23">
      <c r="B223" s="39" t="s">
        <v>2907</v>
      </c>
      <c r="C223" s="40" t="str">
        <f>_xlfn.XLOOKUP($B223,'30'!$B:$B,'30'!C:C,)</f>
        <v>Habitat impact</v>
      </c>
      <c r="D223" s="40" t="str">
        <f>_xlfn.XLOOKUP($B223,'30'!$B:$B,'30'!D:D,)</f>
        <v>Farmland --- poor</v>
      </c>
      <c r="E223" s="40" t="str">
        <f>_xlfn.XLOOKUP($B223,'30'!$B:$B,'30'!E:E,)</f>
        <v>GHG</v>
      </c>
      <c r="F223" s="40">
        <f>_xlfn.XLOOKUP($B223,'30'!$B:$B,'30'!F:F,)</f>
        <v>2021</v>
      </c>
      <c r="G223" s="40">
        <f>_xlfn.XLOOKUP($B223,'30'!$B:$B,'30'!G:G,)</f>
        <v>2020</v>
      </c>
      <c r="H223" s="40">
        <f>_xlfn.XLOOKUP($B223,'30'!$B:$B,'30'!H:H,)</f>
        <v>2023</v>
      </c>
      <c r="I223" s="40">
        <f>_xlfn.XLOOKUP($B223,'30'!$B:$B,'30'!I:I,)</f>
        <v>89.073499999999996</v>
      </c>
      <c r="J223" s="40">
        <f>_xlfn.XLOOKUP($B223,'30'!$B:$B,'30'!J:J,)</f>
        <v>100</v>
      </c>
      <c r="K223" s="629">
        <f ca="1">_xlfn.XLOOKUP($B223,'30'!$B:$B,'30'!K:K,)</f>
        <v>263.2</v>
      </c>
      <c r="L223" s="629">
        <f ca="1">_xlfn.XLOOKUP($B223,'30'!$B:$B,'30'!L:L,)</f>
        <v>295.4863118660432</v>
      </c>
      <c r="M223" s="40" t="str">
        <f>_xlfn.XLOOKUP($B223,'30'!$B:$B,'30'!M:M,)</f>
        <v>Carbon valuation</v>
      </c>
      <c r="N223" s="326">
        <f>_xlfn.XLOOKUP($B223,'30'!$B:$B,'30'!N:N,)</f>
        <v>2.1428571428571401</v>
      </c>
      <c r="O223" s="40" t="str">
        <f>_xlfn.XLOOKUP($B223,'30'!$B:$B,'30'!O:O,)</f>
        <v>Yes</v>
      </c>
      <c r="P223" s="40" t="str">
        <f>_xlfn.XLOOKUP($B223,'30'!$B:$B,'30'!P:P,)</f>
        <v>UK government carbon values</v>
      </c>
      <c r="Q223" s="40">
        <f>_xlfn.XLOOKUP($B223,'30'!$B:$B,'30'!Q:Q,)</f>
        <v>40</v>
      </c>
      <c r="R223" s="40" t="str">
        <f>_xlfn.XLOOKUP($B223,'30'!$B:$B,'30'!R:R,)</f>
        <v>BEIS (2021) Valuing greenhouse gas emissions in policy appraisal</v>
      </c>
      <c r="S223" s="40" t="str">
        <f>_xlfn.XLOOKUP($B223,'30'!$B:$B,'30'!S:S,)</f>
        <v>ENCA</v>
      </c>
      <c r="T223" s="40">
        <f>_xlfn.XLOOKUP($B223,'30'!$B:$B,'30'!T:T,)</f>
        <v>2021</v>
      </c>
      <c r="U223" s="40" t="str">
        <f>_xlfn.XLOOKUP($B223,'30'!$B:$B,'30'!U:U,)</f>
        <v>UK</v>
      </c>
      <c r="V223" s="40" t="str">
        <f>_xlfn.XLOOKUP($B223,'30'!$B:$B,'30'!V:V,)</f>
        <v>UK</v>
      </c>
      <c r="W223" s="40" t="str">
        <f>_xlfn.XLOOKUP($B223,'30'!$B:$B,'30'!W:W,)</f>
        <v>N/A</v>
      </c>
    </row>
    <row r="224" spans="2:23">
      <c r="B224" s="39" t="s">
        <v>2908</v>
      </c>
      <c r="C224" s="40" t="str">
        <f>_xlfn.XLOOKUP($B224,'30'!$B:$B,'30'!C:C,)</f>
        <v>Habitat impact</v>
      </c>
      <c r="D224" s="40" t="str">
        <f>_xlfn.XLOOKUP($B224,'30'!$B:$B,'30'!D:D,)</f>
        <v>Mountain moor &amp; heath --- good</v>
      </c>
      <c r="E224" s="40" t="str">
        <f>_xlfn.XLOOKUP($B224,'30'!$B:$B,'30'!E:E,)</f>
        <v>GHG</v>
      </c>
      <c r="F224" s="40">
        <f>_xlfn.XLOOKUP($B224,'30'!$B:$B,'30'!F:F,)</f>
        <v>2021</v>
      </c>
      <c r="G224" s="40">
        <f>_xlfn.XLOOKUP($B224,'30'!$B:$B,'30'!G:G,)</f>
        <v>2020</v>
      </c>
      <c r="H224" s="40">
        <f>_xlfn.XLOOKUP($B224,'30'!$B:$B,'30'!H:H,)</f>
        <v>2023</v>
      </c>
      <c r="I224" s="40">
        <f>_xlfn.XLOOKUP($B224,'30'!$B:$B,'30'!I:I,)</f>
        <v>89.073499999999996</v>
      </c>
      <c r="J224" s="40">
        <f>_xlfn.XLOOKUP($B224,'30'!$B:$B,'30'!J:J,)</f>
        <v>100</v>
      </c>
      <c r="K224" s="629">
        <f ca="1">_xlfn.XLOOKUP($B224,'30'!$B:$B,'30'!K:K,)</f>
        <v>-253.8</v>
      </c>
      <c r="L224" s="629">
        <f ca="1">_xlfn.XLOOKUP($B224,'30'!$B:$B,'30'!L:L,)</f>
        <v>-284.93322929939882</v>
      </c>
      <c r="M224" s="40" t="str">
        <f>_xlfn.XLOOKUP($B224,'30'!$B:$B,'30'!M:M,)</f>
        <v>Carbon valuation</v>
      </c>
      <c r="N224" s="326">
        <f>_xlfn.XLOOKUP($B224,'30'!$B:$B,'30'!N:N,)</f>
        <v>2.1428571428571401</v>
      </c>
      <c r="O224" s="40" t="str">
        <f>_xlfn.XLOOKUP($B224,'30'!$B:$B,'30'!O:O,)</f>
        <v>Yes</v>
      </c>
      <c r="P224" s="40" t="str">
        <f>_xlfn.XLOOKUP($B224,'30'!$B:$B,'30'!P:P,)</f>
        <v>UK government carbon values</v>
      </c>
      <c r="Q224" s="40">
        <f>_xlfn.XLOOKUP($B224,'30'!$B:$B,'30'!Q:Q,)</f>
        <v>40</v>
      </c>
      <c r="R224" s="40" t="str">
        <f>_xlfn.XLOOKUP($B224,'30'!$B:$B,'30'!R:R,)</f>
        <v>BEIS (2021) Valuing greenhouse gas emissions in policy appraisal</v>
      </c>
      <c r="S224" s="40" t="str">
        <f>_xlfn.XLOOKUP($B224,'30'!$B:$B,'30'!S:S,)</f>
        <v>ENCA</v>
      </c>
      <c r="T224" s="40">
        <f>_xlfn.XLOOKUP($B224,'30'!$B:$B,'30'!T:T,)</f>
        <v>2021</v>
      </c>
      <c r="U224" s="40" t="str">
        <f>_xlfn.XLOOKUP($B224,'30'!$B:$B,'30'!U:U,)</f>
        <v>UK</v>
      </c>
      <c r="V224" s="40" t="str">
        <f>_xlfn.XLOOKUP($B224,'30'!$B:$B,'30'!V:V,)</f>
        <v>UK</v>
      </c>
      <c r="W224" s="40" t="str">
        <f>_xlfn.XLOOKUP($B224,'30'!$B:$B,'30'!W:W,)</f>
        <v>N/A</v>
      </c>
    </row>
    <row r="225" spans="2:23">
      <c r="B225" s="39" t="s">
        <v>2909</v>
      </c>
      <c r="C225" s="40" t="str">
        <f>_xlfn.XLOOKUP($B225,'30'!$B:$B,'30'!C:C,)</f>
        <v>Habitat impact</v>
      </c>
      <c r="D225" s="40" t="str">
        <f>_xlfn.XLOOKUP($B225,'30'!$B:$B,'30'!D:D,)</f>
        <v>Mountain moor &amp; heath --- moderate</v>
      </c>
      <c r="E225" s="40" t="str">
        <f>_xlfn.XLOOKUP($B225,'30'!$B:$B,'30'!E:E,)</f>
        <v>GHG</v>
      </c>
      <c r="F225" s="40">
        <f>_xlfn.XLOOKUP($B225,'30'!$B:$B,'30'!F:F,)</f>
        <v>2021</v>
      </c>
      <c r="G225" s="40">
        <f>_xlfn.XLOOKUP($B225,'30'!$B:$B,'30'!G:G,)</f>
        <v>2020</v>
      </c>
      <c r="H225" s="40">
        <f>_xlfn.XLOOKUP($B225,'30'!$B:$B,'30'!H:H,)</f>
        <v>2023</v>
      </c>
      <c r="I225" s="40">
        <f>_xlfn.XLOOKUP($B225,'30'!$B:$B,'30'!I:I,)</f>
        <v>89.073499999999996</v>
      </c>
      <c r="J225" s="40">
        <f>_xlfn.XLOOKUP($B225,'30'!$B:$B,'30'!J:J,)</f>
        <v>100</v>
      </c>
      <c r="K225" s="629">
        <f ca="1">_xlfn.XLOOKUP($B225,'30'!$B:$B,'30'!K:K,)</f>
        <v>-190.35000000000002</v>
      </c>
      <c r="L225" s="629">
        <f ca="1">_xlfn.XLOOKUP($B225,'30'!$B:$B,'30'!L:L,)</f>
        <v>-213.69992197454914</v>
      </c>
      <c r="M225" s="40" t="str">
        <f>_xlfn.XLOOKUP($B225,'30'!$B:$B,'30'!M:M,)</f>
        <v>Carbon valuation</v>
      </c>
      <c r="N225" s="326">
        <f>_xlfn.XLOOKUP($B225,'30'!$B:$B,'30'!N:N,)</f>
        <v>2.1428571428571401</v>
      </c>
      <c r="O225" s="40" t="str">
        <f>_xlfn.XLOOKUP($B225,'30'!$B:$B,'30'!O:O,)</f>
        <v>Yes</v>
      </c>
      <c r="P225" s="40" t="str">
        <f>_xlfn.XLOOKUP($B225,'30'!$B:$B,'30'!P:P,)</f>
        <v>UK government carbon values</v>
      </c>
      <c r="Q225" s="40">
        <f>_xlfn.XLOOKUP($B225,'30'!$B:$B,'30'!Q:Q,)</f>
        <v>40</v>
      </c>
      <c r="R225" s="40" t="str">
        <f>_xlfn.XLOOKUP($B225,'30'!$B:$B,'30'!R:R,)</f>
        <v>BEIS (2021) Valuing greenhouse gas emissions in policy appraisal</v>
      </c>
      <c r="S225" s="40" t="str">
        <f>_xlfn.XLOOKUP($B225,'30'!$B:$B,'30'!S:S,)</f>
        <v>ENCA</v>
      </c>
      <c r="T225" s="40">
        <f>_xlfn.XLOOKUP($B225,'30'!$B:$B,'30'!T:T,)</f>
        <v>2021</v>
      </c>
      <c r="U225" s="40" t="str">
        <f>_xlfn.XLOOKUP($B225,'30'!$B:$B,'30'!U:U,)</f>
        <v>UK</v>
      </c>
      <c r="V225" s="40" t="str">
        <f>_xlfn.XLOOKUP($B225,'30'!$B:$B,'30'!V:V,)</f>
        <v>UK</v>
      </c>
      <c r="W225" s="40" t="str">
        <f>_xlfn.XLOOKUP($B225,'30'!$B:$B,'30'!W:W,)</f>
        <v>N/A</v>
      </c>
    </row>
    <row r="226" spans="2:23">
      <c r="B226" s="39" t="s">
        <v>2910</v>
      </c>
      <c r="C226" s="40" t="str">
        <f>_xlfn.XLOOKUP($B226,'30'!$B:$B,'30'!C:C,)</f>
        <v>Habitat impact</v>
      </c>
      <c r="D226" s="40" t="str">
        <f>_xlfn.XLOOKUP($B226,'30'!$B:$B,'30'!D:D,)</f>
        <v>Mountain moor &amp; heath --- poor</v>
      </c>
      <c r="E226" s="40" t="str">
        <f>_xlfn.XLOOKUP($B226,'30'!$B:$B,'30'!E:E,)</f>
        <v>GHG</v>
      </c>
      <c r="F226" s="40">
        <f>_xlfn.XLOOKUP($B226,'30'!$B:$B,'30'!F:F,)</f>
        <v>2021</v>
      </c>
      <c r="G226" s="40">
        <f>_xlfn.XLOOKUP($B226,'30'!$B:$B,'30'!G:G,)</f>
        <v>2020</v>
      </c>
      <c r="H226" s="40">
        <f>_xlfn.XLOOKUP($B226,'30'!$B:$B,'30'!H:H,)</f>
        <v>2023</v>
      </c>
      <c r="I226" s="40">
        <f>_xlfn.XLOOKUP($B226,'30'!$B:$B,'30'!I:I,)</f>
        <v>89.073499999999996</v>
      </c>
      <c r="J226" s="40">
        <f>_xlfn.XLOOKUP($B226,'30'!$B:$B,'30'!J:J,)</f>
        <v>100</v>
      </c>
      <c r="K226" s="629">
        <f ca="1">_xlfn.XLOOKUP($B226,'30'!$B:$B,'30'!K:K,)</f>
        <v>-126.9</v>
      </c>
      <c r="L226" s="629">
        <f ca="1">_xlfn.XLOOKUP($B226,'30'!$B:$B,'30'!L:L,)</f>
        <v>-142.46661464969941</v>
      </c>
      <c r="M226" s="40" t="str">
        <f>_xlfn.XLOOKUP($B226,'30'!$B:$B,'30'!M:M,)</f>
        <v>Carbon valuation</v>
      </c>
      <c r="N226" s="326">
        <f>_xlfn.XLOOKUP($B226,'30'!$B:$B,'30'!N:N,)</f>
        <v>2.1428571428571401</v>
      </c>
      <c r="O226" s="40" t="str">
        <f>_xlfn.XLOOKUP($B226,'30'!$B:$B,'30'!O:O,)</f>
        <v>Yes</v>
      </c>
      <c r="P226" s="40" t="str">
        <f>_xlfn.XLOOKUP($B226,'30'!$B:$B,'30'!P:P,)</f>
        <v>UK government carbon values</v>
      </c>
      <c r="Q226" s="40">
        <f>_xlfn.XLOOKUP($B226,'30'!$B:$B,'30'!Q:Q,)</f>
        <v>40</v>
      </c>
      <c r="R226" s="40" t="str">
        <f>_xlfn.XLOOKUP($B226,'30'!$B:$B,'30'!R:R,)</f>
        <v>BEIS (2021) Valuing greenhouse gas emissions in policy appraisal</v>
      </c>
      <c r="S226" s="40" t="str">
        <f>_xlfn.XLOOKUP($B226,'30'!$B:$B,'30'!S:S,)</f>
        <v>ENCA</v>
      </c>
      <c r="T226" s="40">
        <f>_xlfn.XLOOKUP($B226,'30'!$B:$B,'30'!T:T,)</f>
        <v>2021</v>
      </c>
      <c r="U226" s="40" t="str">
        <f>_xlfn.XLOOKUP($B226,'30'!$B:$B,'30'!U:U,)</f>
        <v>UK</v>
      </c>
      <c r="V226" s="40" t="str">
        <f>_xlfn.XLOOKUP($B226,'30'!$B:$B,'30'!V:V,)</f>
        <v>UK</v>
      </c>
      <c r="W226" s="40" t="str">
        <f>_xlfn.XLOOKUP($B226,'30'!$B:$B,'30'!W:W,)</f>
        <v>N/A</v>
      </c>
    </row>
    <row r="227" spans="2:23">
      <c r="B227" s="39" t="s">
        <v>2911</v>
      </c>
      <c r="C227" s="40" t="str">
        <f>_xlfn.XLOOKUP($B227,'30'!$B:$B,'30'!C:C,)</f>
        <v>Habitat impact</v>
      </c>
      <c r="D227" s="40" t="str">
        <f>_xlfn.XLOOKUP($B227,'30'!$B:$B,'30'!D:D,)</f>
        <v>Peatland --- good</v>
      </c>
      <c r="E227" s="40" t="str">
        <f>_xlfn.XLOOKUP($B227,'30'!$B:$B,'30'!E:E,)</f>
        <v>GHG</v>
      </c>
      <c r="F227" s="40">
        <f>_xlfn.XLOOKUP($B227,'30'!$B:$B,'30'!F:F,)</f>
        <v>2021</v>
      </c>
      <c r="G227" s="40">
        <f>_xlfn.XLOOKUP($B227,'30'!$B:$B,'30'!G:G,)</f>
        <v>2020</v>
      </c>
      <c r="H227" s="40">
        <f>_xlfn.XLOOKUP($B227,'30'!$B:$B,'30'!H:H,)</f>
        <v>2023</v>
      </c>
      <c r="I227" s="40">
        <f>_xlfn.XLOOKUP($B227,'30'!$B:$B,'30'!I:I,)</f>
        <v>89.073499999999996</v>
      </c>
      <c r="J227" s="40">
        <f>_xlfn.XLOOKUP($B227,'30'!$B:$B,'30'!J:J,)</f>
        <v>100</v>
      </c>
      <c r="K227" s="629">
        <f ca="1">_xlfn.XLOOKUP($B227,'30'!$B:$B,'30'!K:K,)</f>
        <v>-135.35999999999999</v>
      </c>
      <c r="L227" s="629">
        <f ca="1">_xlfn.XLOOKUP($B227,'30'!$B:$B,'30'!L:L,)</f>
        <v>-151.96438895967935</v>
      </c>
      <c r="M227" s="40" t="str">
        <f>_xlfn.XLOOKUP($B227,'30'!$B:$B,'30'!M:M,)</f>
        <v>Carbon valuation</v>
      </c>
      <c r="N227" s="326">
        <f>_xlfn.XLOOKUP($B227,'30'!$B:$B,'30'!N:N,)</f>
        <v>2.1428571428571401</v>
      </c>
      <c r="O227" s="40" t="str">
        <f>_xlfn.XLOOKUP($B227,'30'!$B:$B,'30'!O:O,)</f>
        <v>Yes</v>
      </c>
      <c r="P227" s="40" t="str">
        <f>_xlfn.XLOOKUP($B227,'30'!$B:$B,'30'!P:P,)</f>
        <v>UK government carbon values</v>
      </c>
      <c r="Q227" s="40">
        <f>_xlfn.XLOOKUP($B227,'30'!$B:$B,'30'!Q:Q,)</f>
        <v>40</v>
      </c>
      <c r="R227" s="40" t="str">
        <f>_xlfn.XLOOKUP($B227,'30'!$B:$B,'30'!R:R,)</f>
        <v>BEIS (2021) Valuing greenhouse gas emissions in policy appraisal</v>
      </c>
      <c r="S227" s="40" t="str">
        <f>_xlfn.XLOOKUP($B227,'30'!$B:$B,'30'!S:S,)</f>
        <v>ENCA</v>
      </c>
      <c r="T227" s="40">
        <f>_xlfn.XLOOKUP($B227,'30'!$B:$B,'30'!T:T,)</f>
        <v>2021</v>
      </c>
      <c r="U227" s="40" t="str">
        <f>_xlfn.XLOOKUP($B227,'30'!$B:$B,'30'!U:U,)</f>
        <v>UK</v>
      </c>
      <c r="V227" s="40" t="str">
        <f>_xlfn.XLOOKUP($B227,'30'!$B:$B,'30'!V:V,)</f>
        <v>UK</v>
      </c>
      <c r="W227" s="40" t="str">
        <f>_xlfn.XLOOKUP($B227,'30'!$B:$B,'30'!W:W,)</f>
        <v>N/A</v>
      </c>
    </row>
    <row r="228" spans="2:23">
      <c r="B228" s="39" t="s">
        <v>2912</v>
      </c>
      <c r="C228" s="40" t="str">
        <f>_xlfn.XLOOKUP($B228,'30'!$B:$B,'30'!C:C,)</f>
        <v>Habitat impact</v>
      </c>
      <c r="D228" s="40" t="str">
        <f>_xlfn.XLOOKUP($B228,'30'!$B:$B,'30'!D:D,)</f>
        <v>Peatland --- moderate</v>
      </c>
      <c r="E228" s="40" t="str">
        <f>_xlfn.XLOOKUP($B228,'30'!$B:$B,'30'!E:E,)</f>
        <v>GHG</v>
      </c>
      <c r="F228" s="40">
        <f>_xlfn.XLOOKUP($B228,'30'!$B:$B,'30'!F:F,)</f>
        <v>2021</v>
      </c>
      <c r="G228" s="40">
        <f>_xlfn.XLOOKUP($B228,'30'!$B:$B,'30'!G:G,)</f>
        <v>2020</v>
      </c>
      <c r="H228" s="40">
        <f>_xlfn.XLOOKUP($B228,'30'!$B:$B,'30'!H:H,)</f>
        <v>2023</v>
      </c>
      <c r="I228" s="40">
        <f>_xlfn.XLOOKUP($B228,'30'!$B:$B,'30'!I:I,)</f>
        <v>89.073499999999996</v>
      </c>
      <c r="J228" s="40">
        <f>_xlfn.XLOOKUP($B228,'30'!$B:$B,'30'!J:J,)</f>
        <v>100</v>
      </c>
      <c r="K228" s="629">
        <f ca="1">_xlfn.XLOOKUP($B228,'30'!$B:$B,'30'!K:K,)</f>
        <v>1248.32</v>
      </c>
      <c r="L228" s="629">
        <f ca="1">_xlfn.XLOOKUP($B228,'30'!$B:$B,'30'!L:L,)</f>
        <v>1401.4493648503762</v>
      </c>
      <c r="M228" s="40" t="str">
        <f>_xlfn.XLOOKUP($B228,'30'!$B:$B,'30'!M:M,)</f>
        <v>Carbon valuation</v>
      </c>
      <c r="N228" s="326">
        <f>_xlfn.XLOOKUP($B228,'30'!$B:$B,'30'!N:N,)</f>
        <v>2.1428571428571401</v>
      </c>
      <c r="O228" s="40" t="str">
        <f>_xlfn.XLOOKUP($B228,'30'!$B:$B,'30'!O:O,)</f>
        <v>Yes</v>
      </c>
      <c r="P228" s="40" t="str">
        <f>_xlfn.XLOOKUP($B228,'30'!$B:$B,'30'!P:P,)</f>
        <v>UK government carbon values</v>
      </c>
      <c r="Q228" s="40">
        <f>_xlfn.XLOOKUP($B228,'30'!$B:$B,'30'!Q:Q,)</f>
        <v>40</v>
      </c>
      <c r="R228" s="40" t="str">
        <f>_xlfn.XLOOKUP($B228,'30'!$B:$B,'30'!R:R,)</f>
        <v>BEIS (2021) Valuing greenhouse gas emissions in policy appraisal</v>
      </c>
      <c r="S228" s="40" t="str">
        <f>_xlfn.XLOOKUP($B228,'30'!$B:$B,'30'!S:S,)</f>
        <v>ENCA</v>
      </c>
      <c r="T228" s="40">
        <f>_xlfn.XLOOKUP($B228,'30'!$B:$B,'30'!T:T,)</f>
        <v>2021</v>
      </c>
      <c r="U228" s="40" t="str">
        <f>_xlfn.XLOOKUP($B228,'30'!$B:$B,'30'!U:U,)</f>
        <v>UK</v>
      </c>
      <c r="V228" s="40" t="str">
        <f>_xlfn.XLOOKUP($B228,'30'!$B:$B,'30'!V:V,)</f>
        <v>UK</v>
      </c>
      <c r="W228" s="40" t="str">
        <f>_xlfn.XLOOKUP($B228,'30'!$B:$B,'30'!W:W,)</f>
        <v>N/A</v>
      </c>
    </row>
    <row r="229" spans="2:23">
      <c r="B229" s="39" t="s">
        <v>2913</v>
      </c>
      <c r="C229" s="40" t="str">
        <f>_xlfn.XLOOKUP($B229,'30'!$B:$B,'30'!C:C,)</f>
        <v>Habitat impact</v>
      </c>
      <c r="D229" s="40" t="str">
        <f>_xlfn.XLOOKUP($B229,'30'!$B:$B,'30'!D:D,)</f>
        <v>Peatland --- poor</v>
      </c>
      <c r="E229" s="40" t="str">
        <f>_xlfn.XLOOKUP($B229,'30'!$B:$B,'30'!E:E,)</f>
        <v>GHG</v>
      </c>
      <c r="F229" s="40">
        <f>_xlfn.XLOOKUP($B229,'30'!$B:$B,'30'!F:F,)</f>
        <v>2021</v>
      </c>
      <c r="G229" s="40">
        <f>_xlfn.XLOOKUP($B229,'30'!$B:$B,'30'!G:G,)</f>
        <v>2020</v>
      </c>
      <c r="H229" s="40">
        <f>_xlfn.XLOOKUP($B229,'30'!$B:$B,'30'!H:H,)</f>
        <v>2023</v>
      </c>
      <c r="I229" s="40">
        <f>_xlfn.XLOOKUP($B229,'30'!$B:$B,'30'!I:I,)</f>
        <v>89.073499999999996</v>
      </c>
      <c r="J229" s="40">
        <f>_xlfn.XLOOKUP($B229,'30'!$B:$B,'30'!J:J,)</f>
        <v>100</v>
      </c>
      <c r="K229" s="629">
        <f ca="1">_xlfn.XLOOKUP($B229,'30'!$B:$B,'30'!K:K,)</f>
        <v>6662.7199999999993</v>
      </c>
      <c r="L229" s="629">
        <f ca="1">_xlfn.XLOOKUP($B229,'30'!$B:$B,'30'!L:L,)</f>
        <v>7480.02492323755</v>
      </c>
      <c r="M229" s="40" t="str">
        <f>_xlfn.XLOOKUP($B229,'30'!$B:$B,'30'!M:M,)</f>
        <v>Carbon valuation</v>
      </c>
      <c r="N229" s="326">
        <f>_xlfn.XLOOKUP($B229,'30'!$B:$B,'30'!N:N,)</f>
        <v>2.1428571428571401</v>
      </c>
      <c r="O229" s="40" t="str">
        <f>_xlfn.XLOOKUP($B229,'30'!$B:$B,'30'!O:O,)</f>
        <v>Yes</v>
      </c>
      <c r="P229" s="40" t="str">
        <f>_xlfn.XLOOKUP($B229,'30'!$B:$B,'30'!P:P,)</f>
        <v>UK government carbon values</v>
      </c>
      <c r="Q229" s="40">
        <f>_xlfn.XLOOKUP($B229,'30'!$B:$B,'30'!Q:Q,)</f>
        <v>40</v>
      </c>
      <c r="R229" s="40" t="str">
        <f>_xlfn.XLOOKUP($B229,'30'!$B:$B,'30'!R:R,)</f>
        <v>BEIS (2021) Valuing greenhouse gas emissions in policy appraisal</v>
      </c>
      <c r="S229" s="40" t="str">
        <f>_xlfn.XLOOKUP($B229,'30'!$B:$B,'30'!S:S,)</f>
        <v>ENCA</v>
      </c>
      <c r="T229" s="40">
        <f>_xlfn.XLOOKUP($B229,'30'!$B:$B,'30'!T:T,)</f>
        <v>2021</v>
      </c>
      <c r="U229" s="40" t="str">
        <f>_xlfn.XLOOKUP($B229,'30'!$B:$B,'30'!U:U,)</f>
        <v>UK</v>
      </c>
      <c r="V229" s="40" t="str">
        <f>_xlfn.XLOOKUP($B229,'30'!$B:$B,'30'!V:V,)</f>
        <v>UK</v>
      </c>
      <c r="W229" s="40" t="str">
        <f>_xlfn.XLOOKUP($B229,'30'!$B:$B,'30'!W:W,)</f>
        <v>N/A</v>
      </c>
    </row>
    <row r="230" spans="2:23">
      <c r="B230" s="39" t="s">
        <v>2914</v>
      </c>
      <c r="C230" s="40" t="str">
        <f>_xlfn.XLOOKUP($B230,'30'!$B:$B,'30'!C:C,)</f>
        <v>Habitat impact</v>
      </c>
      <c r="D230" s="40" t="str">
        <f>_xlfn.XLOOKUP($B230,'30'!$B:$B,'30'!D:D,)</f>
        <v>Coastal margins --- good</v>
      </c>
      <c r="E230" s="40" t="str">
        <f>_xlfn.XLOOKUP($B230,'30'!$B:$B,'30'!E:E,)</f>
        <v>GHG</v>
      </c>
      <c r="F230" s="40">
        <f>_xlfn.XLOOKUP($B230,'30'!$B:$B,'30'!F:F,)</f>
        <v>2021</v>
      </c>
      <c r="G230" s="40">
        <f>_xlfn.XLOOKUP($B230,'30'!$B:$B,'30'!G:G,)</f>
        <v>2020</v>
      </c>
      <c r="H230" s="40">
        <f>_xlfn.XLOOKUP($B230,'30'!$B:$B,'30'!H:H,)</f>
        <v>2023</v>
      </c>
      <c r="I230" s="40">
        <f>_xlfn.XLOOKUP($B230,'30'!$B:$B,'30'!I:I,)</f>
        <v>89.073499999999996</v>
      </c>
      <c r="J230" s="40">
        <f>_xlfn.XLOOKUP($B230,'30'!$B:$B,'30'!J:J,)</f>
        <v>100</v>
      </c>
      <c r="K230" s="629">
        <f ca="1">_xlfn.XLOOKUP($B230,'30'!$B:$B,'30'!K:K,)</f>
        <v>-744.48</v>
      </c>
      <c r="L230" s="629">
        <f ca="1">_xlfn.XLOOKUP($B230,'30'!$B:$B,'30'!L:L,)</f>
        <v>-835.80413927823656</v>
      </c>
      <c r="M230" s="40" t="str">
        <f>_xlfn.XLOOKUP($B230,'30'!$B:$B,'30'!M:M,)</f>
        <v>Carbon valuation</v>
      </c>
      <c r="N230" s="326">
        <f>_xlfn.XLOOKUP($B230,'30'!$B:$B,'30'!N:N,)</f>
        <v>2.1428571428571401</v>
      </c>
      <c r="O230" s="40" t="str">
        <f>_xlfn.XLOOKUP($B230,'30'!$B:$B,'30'!O:O,)</f>
        <v>Yes</v>
      </c>
      <c r="P230" s="40" t="str">
        <f>_xlfn.XLOOKUP($B230,'30'!$B:$B,'30'!P:P,)</f>
        <v>UK government carbon values</v>
      </c>
      <c r="Q230" s="40">
        <f>_xlfn.XLOOKUP($B230,'30'!$B:$B,'30'!Q:Q,)</f>
        <v>40</v>
      </c>
      <c r="R230" s="40" t="str">
        <f>_xlfn.XLOOKUP($B230,'30'!$B:$B,'30'!R:R,)</f>
        <v>BEIS (2021) Valuing greenhouse gas emissions in policy appraisal</v>
      </c>
      <c r="S230" s="40" t="str">
        <f>_xlfn.XLOOKUP($B230,'30'!$B:$B,'30'!S:S,)</f>
        <v>ENCA</v>
      </c>
      <c r="T230" s="40">
        <f>_xlfn.XLOOKUP($B230,'30'!$B:$B,'30'!T:T,)</f>
        <v>2021</v>
      </c>
      <c r="U230" s="40" t="str">
        <f>_xlfn.XLOOKUP($B230,'30'!$B:$B,'30'!U:U,)</f>
        <v>UK</v>
      </c>
      <c r="V230" s="40" t="str">
        <f>_xlfn.XLOOKUP($B230,'30'!$B:$B,'30'!V:V,)</f>
        <v>UK</v>
      </c>
      <c r="W230" s="40" t="str">
        <f>_xlfn.XLOOKUP($B230,'30'!$B:$B,'30'!W:W,)</f>
        <v>N/A</v>
      </c>
    </row>
    <row r="231" spans="2:23">
      <c r="B231" s="39" t="s">
        <v>2915</v>
      </c>
      <c r="C231" s="40" t="str">
        <f>_xlfn.XLOOKUP($B231,'30'!$B:$B,'30'!C:C,)</f>
        <v>Habitat impact</v>
      </c>
      <c r="D231" s="40" t="str">
        <f>_xlfn.XLOOKUP($B231,'30'!$B:$B,'30'!D:D,)</f>
        <v>Coastal margins --- moderate</v>
      </c>
      <c r="E231" s="40" t="str">
        <f>_xlfn.XLOOKUP($B231,'30'!$B:$B,'30'!E:E,)</f>
        <v>GHG</v>
      </c>
      <c r="F231" s="40">
        <f>_xlfn.XLOOKUP($B231,'30'!$B:$B,'30'!F:F,)</f>
        <v>2021</v>
      </c>
      <c r="G231" s="40">
        <f>_xlfn.XLOOKUP($B231,'30'!$B:$B,'30'!G:G,)</f>
        <v>2020</v>
      </c>
      <c r="H231" s="40">
        <f>_xlfn.XLOOKUP($B231,'30'!$B:$B,'30'!H:H,)</f>
        <v>2023</v>
      </c>
      <c r="I231" s="40">
        <f>_xlfn.XLOOKUP($B231,'30'!$B:$B,'30'!I:I,)</f>
        <v>89.073499999999996</v>
      </c>
      <c r="J231" s="40">
        <f>_xlfn.XLOOKUP($B231,'30'!$B:$B,'30'!J:J,)</f>
        <v>100</v>
      </c>
      <c r="K231" s="629">
        <f ca="1">_xlfn.XLOOKUP($B231,'30'!$B:$B,'30'!K:K,)</f>
        <v>-558.36</v>
      </c>
      <c r="L231" s="629">
        <f ca="1">_xlfn.XLOOKUP($B231,'30'!$B:$B,'30'!L:L,)</f>
        <v>-626.85310445867742</v>
      </c>
      <c r="M231" s="40" t="str">
        <f>_xlfn.XLOOKUP($B231,'30'!$B:$B,'30'!M:M,)</f>
        <v>Carbon valuation</v>
      </c>
      <c r="N231" s="326">
        <f>_xlfn.XLOOKUP($B231,'30'!$B:$B,'30'!N:N,)</f>
        <v>2.1428571428571401</v>
      </c>
      <c r="O231" s="40" t="str">
        <f>_xlfn.XLOOKUP($B231,'30'!$B:$B,'30'!O:O,)</f>
        <v>Yes</v>
      </c>
      <c r="P231" s="40" t="str">
        <f>_xlfn.XLOOKUP($B231,'30'!$B:$B,'30'!P:P,)</f>
        <v>UK government carbon values</v>
      </c>
      <c r="Q231" s="40">
        <f>_xlfn.XLOOKUP($B231,'30'!$B:$B,'30'!Q:Q,)</f>
        <v>40</v>
      </c>
      <c r="R231" s="40" t="str">
        <f>_xlfn.XLOOKUP($B231,'30'!$B:$B,'30'!R:R,)</f>
        <v>BEIS (2021) Valuing greenhouse gas emissions in policy appraisal</v>
      </c>
      <c r="S231" s="40" t="str">
        <f>_xlfn.XLOOKUP($B231,'30'!$B:$B,'30'!S:S,)</f>
        <v>ENCA</v>
      </c>
      <c r="T231" s="40">
        <f>_xlfn.XLOOKUP($B231,'30'!$B:$B,'30'!T:T,)</f>
        <v>2021</v>
      </c>
      <c r="U231" s="40" t="str">
        <f>_xlfn.XLOOKUP($B231,'30'!$B:$B,'30'!U:U,)</f>
        <v>UK</v>
      </c>
      <c r="V231" s="40" t="str">
        <f>_xlfn.XLOOKUP($B231,'30'!$B:$B,'30'!V:V,)</f>
        <v>UK</v>
      </c>
      <c r="W231" s="40" t="str">
        <f>_xlfn.XLOOKUP($B231,'30'!$B:$B,'30'!W:W,)</f>
        <v>N/A</v>
      </c>
    </row>
    <row r="232" spans="2:23">
      <c r="B232" s="39" t="s">
        <v>2916</v>
      </c>
      <c r="C232" s="40" t="str">
        <f>_xlfn.XLOOKUP($B232,'30'!$B:$B,'30'!C:C,)</f>
        <v>Habitat impact</v>
      </c>
      <c r="D232" s="40" t="str">
        <f>_xlfn.XLOOKUP($B232,'30'!$B:$B,'30'!D:D,)</f>
        <v>Coastal margins --- poor</v>
      </c>
      <c r="E232" s="40" t="str">
        <f>_xlfn.XLOOKUP($B232,'30'!$B:$B,'30'!E:E,)</f>
        <v>GHG</v>
      </c>
      <c r="F232" s="40">
        <f>_xlfn.XLOOKUP($B232,'30'!$B:$B,'30'!F:F,)</f>
        <v>2021</v>
      </c>
      <c r="G232" s="40">
        <f>_xlfn.XLOOKUP($B232,'30'!$B:$B,'30'!G:G,)</f>
        <v>2020</v>
      </c>
      <c r="H232" s="40">
        <f>_xlfn.XLOOKUP($B232,'30'!$B:$B,'30'!H:H,)</f>
        <v>2023</v>
      </c>
      <c r="I232" s="40">
        <f>_xlfn.XLOOKUP($B232,'30'!$B:$B,'30'!I:I,)</f>
        <v>89.073499999999996</v>
      </c>
      <c r="J232" s="40">
        <f>_xlfn.XLOOKUP($B232,'30'!$B:$B,'30'!J:J,)</f>
        <v>100</v>
      </c>
      <c r="K232" s="629">
        <f ca="1">_xlfn.XLOOKUP($B232,'30'!$B:$B,'30'!K:K,)</f>
        <v>-372.24</v>
      </c>
      <c r="L232" s="629">
        <f ca="1">_xlfn.XLOOKUP($B232,'30'!$B:$B,'30'!L:L,)</f>
        <v>-417.90206963911828</v>
      </c>
      <c r="M232" s="40" t="str">
        <f>_xlfn.XLOOKUP($B232,'30'!$B:$B,'30'!M:M,)</f>
        <v>Carbon valuation</v>
      </c>
      <c r="N232" s="326">
        <f>_xlfn.XLOOKUP($B232,'30'!$B:$B,'30'!N:N,)</f>
        <v>2.1428571428571401</v>
      </c>
      <c r="O232" s="40" t="str">
        <f>_xlfn.XLOOKUP($B232,'30'!$B:$B,'30'!O:O,)</f>
        <v>Yes</v>
      </c>
      <c r="P232" s="40" t="str">
        <f>_xlfn.XLOOKUP($B232,'30'!$B:$B,'30'!P:P,)</f>
        <v>UK government carbon values</v>
      </c>
      <c r="Q232" s="40">
        <f>_xlfn.XLOOKUP($B232,'30'!$B:$B,'30'!Q:Q,)</f>
        <v>40</v>
      </c>
      <c r="R232" s="40" t="str">
        <f>_xlfn.XLOOKUP($B232,'30'!$B:$B,'30'!R:R,)</f>
        <v>BEIS (2021) Valuing greenhouse gas emissions in policy appraisal</v>
      </c>
      <c r="S232" s="40" t="str">
        <f>_xlfn.XLOOKUP($B232,'30'!$B:$B,'30'!S:S,)</f>
        <v>ENCA</v>
      </c>
      <c r="T232" s="40">
        <f>_xlfn.XLOOKUP($B232,'30'!$B:$B,'30'!T:T,)</f>
        <v>2021</v>
      </c>
      <c r="U232" s="40" t="str">
        <f>_xlfn.XLOOKUP($B232,'30'!$B:$B,'30'!U:U,)</f>
        <v>UK</v>
      </c>
      <c r="V232" s="40" t="str">
        <f>_xlfn.XLOOKUP($B232,'30'!$B:$B,'30'!V:V,)</f>
        <v>UK</v>
      </c>
      <c r="W232" s="40" t="str">
        <f>_xlfn.XLOOKUP($B232,'30'!$B:$B,'30'!W:W,)</f>
        <v>N/A</v>
      </c>
    </row>
    <row r="233" spans="2:23">
      <c r="B233" s="39" t="s">
        <v>2931</v>
      </c>
      <c r="C233" s="40" t="str">
        <f>_xlfn.XLOOKUP($B233,'30'!$B:$B,'30'!C:C,)</f>
        <v>Habitat impact</v>
      </c>
      <c r="D233" s="40" t="str">
        <f>_xlfn.XLOOKUP($B233,'30'!$B:$B,'30'!D:D,)</f>
        <v>Urban woodland --- good</v>
      </c>
      <c r="E233" s="40" t="str">
        <f>_xlfn.XLOOKUP($B233,'30'!$B:$B,'30'!E:E,)</f>
        <v>Biodiversity</v>
      </c>
      <c r="F233" s="40">
        <f>_xlfn.XLOOKUP($B233,'30'!$B:$B,'30'!F:F,)</f>
        <v>2003</v>
      </c>
      <c r="G233" s="40">
        <f>_xlfn.XLOOKUP($B233,'30'!$B:$B,'30'!G:G,)</f>
        <v>2015</v>
      </c>
      <c r="H233" s="40">
        <f>_xlfn.XLOOKUP($B233,'30'!$B:$B,'30'!H:H,)</f>
        <v>2023</v>
      </c>
      <c r="I233" s="40">
        <f>_xlfn.XLOOKUP($B233,'30'!$B:$B,'30'!I:I,)</f>
        <v>78.255300000000005</v>
      </c>
      <c r="J233" s="40">
        <f>_xlfn.XLOOKUP($B233,'30'!$B:$B,'30'!J:J,)</f>
        <v>100</v>
      </c>
      <c r="K233" s="629">
        <f>_xlfn.XLOOKUP($B233,'30'!$B:$B,'30'!K:K,)</f>
        <v>-588</v>
      </c>
      <c r="L233" s="629">
        <f>_xlfn.XLOOKUP($B233,'30'!$B:$B,'30'!L:L,)</f>
        <v>-751.38680702776674</v>
      </c>
      <c r="M233" s="40" t="str">
        <f>_xlfn.XLOOKUP($B233,'30'!$B:$B,'30'!M:M,)</f>
        <v>Willingness to Pay</v>
      </c>
      <c r="N233" s="326">
        <f>_xlfn.XLOOKUP($B233,'30'!$B:$B,'30'!N:N,)</f>
        <v>2.1428571428571401</v>
      </c>
      <c r="O233" s="40" t="str">
        <f>_xlfn.XLOOKUP($B233,'30'!$B:$B,'30'!O:O,)</f>
        <v>Yes</v>
      </c>
      <c r="P233" s="40" t="str">
        <f>_xlfn.XLOOKUP($B233,'30'!$B:$B,'30'!P:P,)</f>
        <v>Dated, but challenging to find studies that segregate use and non-use value, and as this is presented in ENCA it is deemed suitable</v>
      </c>
      <c r="Q233" s="40">
        <f>_xlfn.XLOOKUP($B233,'30'!$B:$B,'30'!Q:Q,)</f>
        <v>124</v>
      </c>
      <c r="R233" s="40" t="str">
        <f>_xlfn.XLOOKUP($B233,'30'!$B:$B,'30'!R:R,)</f>
        <v>Willis et al (2003) The social and environmental benefits of forests in Great Britain</v>
      </c>
      <c r="S233" s="40" t="str">
        <f>_xlfn.XLOOKUP($B233,'30'!$B:$B,'30'!S:S,)</f>
        <v>ENCA</v>
      </c>
      <c r="T233" s="40">
        <f>_xlfn.XLOOKUP($B233,'30'!$B:$B,'30'!T:T,)</f>
        <v>2003</v>
      </c>
      <c r="U233" s="40" t="str">
        <f>_xlfn.XLOOKUP($B233,'30'!$B:$B,'30'!U:U,)</f>
        <v>Great Britain</v>
      </c>
      <c r="V233" s="40" t="str">
        <f>_xlfn.XLOOKUP($B233,'30'!$B:$B,'30'!V:V,)</f>
        <v>Great Britain</v>
      </c>
      <c r="W233" s="40" t="str">
        <f>_xlfn.XLOOKUP($B233,'30'!$B:$B,'30'!W:W,)</f>
        <v>&gt;400</v>
      </c>
    </row>
    <row r="234" spans="2:23">
      <c r="B234" s="39" t="s">
        <v>2932</v>
      </c>
      <c r="C234" s="40" t="str">
        <f>_xlfn.XLOOKUP($B234,'30'!$B:$B,'30'!C:C,)</f>
        <v>Habitat impact</v>
      </c>
      <c r="D234" s="40" t="str">
        <f>_xlfn.XLOOKUP($B234,'30'!$B:$B,'30'!D:D,)</f>
        <v>Urban woodland --- moderate</v>
      </c>
      <c r="E234" s="40" t="str">
        <f>_xlfn.XLOOKUP($B234,'30'!$B:$B,'30'!E:E,)</f>
        <v>Biodiversity</v>
      </c>
      <c r="F234" s="40">
        <f>_xlfn.XLOOKUP($B234,'30'!$B:$B,'30'!F:F,)</f>
        <v>2003</v>
      </c>
      <c r="G234" s="40">
        <f>_xlfn.XLOOKUP($B234,'30'!$B:$B,'30'!G:G,)</f>
        <v>2015</v>
      </c>
      <c r="H234" s="40">
        <f>_xlfn.XLOOKUP($B234,'30'!$B:$B,'30'!H:H,)</f>
        <v>2023</v>
      </c>
      <c r="I234" s="40">
        <f>_xlfn.XLOOKUP($B234,'30'!$B:$B,'30'!I:I,)</f>
        <v>78.255300000000005</v>
      </c>
      <c r="J234" s="40">
        <f>_xlfn.XLOOKUP($B234,'30'!$B:$B,'30'!J:J,)</f>
        <v>100</v>
      </c>
      <c r="K234" s="629">
        <f>_xlfn.XLOOKUP($B234,'30'!$B:$B,'30'!K:K,)</f>
        <v>-441</v>
      </c>
      <c r="L234" s="629">
        <f>_xlfn.XLOOKUP($B234,'30'!$B:$B,'30'!L:L,)</f>
        <v>-563.54010527082505</v>
      </c>
      <c r="M234" s="40" t="str">
        <f>_xlfn.XLOOKUP($B234,'30'!$B:$B,'30'!M:M,)</f>
        <v>Willingness to Pay</v>
      </c>
      <c r="N234" s="326">
        <f>_xlfn.XLOOKUP($B234,'30'!$B:$B,'30'!N:N,)</f>
        <v>2.1428571428571401</v>
      </c>
      <c r="O234" s="40" t="str">
        <f>_xlfn.XLOOKUP($B234,'30'!$B:$B,'30'!O:O,)</f>
        <v>Yes</v>
      </c>
      <c r="P234" s="40" t="str">
        <f>_xlfn.XLOOKUP($B234,'30'!$B:$B,'30'!P:P,)</f>
        <v>Dated, but challenging to find studies that segregate use and non-use value, and as this is presented in ENCA it is deemed suitable</v>
      </c>
      <c r="Q234" s="40">
        <f>_xlfn.XLOOKUP($B234,'30'!$B:$B,'30'!Q:Q,)</f>
        <v>124</v>
      </c>
      <c r="R234" s="40" t="str">
        <f>_xlfn.XLOOKUP($B234,'30'!$B:$B,'30'!R:R,)</f>
        <v>Willis et al (2003) The social and environmental benefits of forests in Great Britain</v>
      </c>
      <c r="S234" s="40" t="str">
        <f>_xlfn.XLOOKUP($B234,'30'!$B:$B,'30'!S:S,)</f>
        <v>ENCA</v>
      </c>
      <c r="T234" s="40">
        <f>_xlfn.XLOOKUP($B234,'30'!$B:$B,'30'!T:T,)</f>
        <v>2003</v>
      </c>
      <c r="U234" s="40" t="str">
        <f>_xlfn.XLOOKUP($B234,'30'!$B:$B,'30'!U:U,)</f>
        <v>Great Britain</v>
      </c>
      <c r="V234" s="40" t="str">
        <f>_xlfn.XLOOKUP($B234,'30'!$B:$B,'30'!V:V,)</f>
        <v>Great Britain</v>
      </c>
      <c r="W234" s="40" t="str">
        <f>_xlfn.XLOOKUP($B234,'30'!$B:$B,'30'!W:W,)</f>
        <v>&gt;400</v>
      </c>
    </row>
    <row r="235" spans="2:23">
      <c r="B235" s="39" t="s">
        <v>2933</v>
      </c>
      <c r="C235" s="40" t="str">
        <f>_xlfn.XLOOKUP($B235,'30'!$B:$B,'30'!C:C,)</f>
        <v>Habitat impact</v>
      </c>
      <c r="D235" s="40" t="str">
        <f>_xlfn.XLOOKUP($B235,'30'!$B:$B,'30'!D:D,)</f>
        <v>Urban woodland --- poor</v>
      </c>
      <c r="E235" s="40" t="str">
        <f>_xlfn.XLOOKUP($B235,'30'!$B:$B,'30'!E:E,)</f>
        <v>Biodiversity</v>
      </c>
      <c r="F235" s="40">
        <f>_xlfn.XLOOKUP($B235,'30'!$B:$B,'30'!F:F,)</f>
        <v>2003</v>
      </c>
      <c r="G235" s="40">
        <f>_xlfn.XLOOKUP($B235,'30'!$B:$B,'30'!G:G,)</f>
        <v>2015</v>
      </c>
      <c r="H235" s="40">
        <f>_xlfn.XLOOKUP($B235,'30'!$B:$B,'30'!H:H,)</f>
        <v>2023</v>
      </c>
      <c r="I235" s="40">
        <f>_xlfn.XLOOKUP($B235,'30'!$B:$B,'30'!I:I,)</f>
        <v>78.255300000000005</v>
      </c>
      <c r="J235" s="40">
        <f>_xlfn.XLOOKUP($B235,'30'!$B:$B,'30'!J:J,)</f>
        <v>100</v>
      </c>
      <c r="K235" s="629">
        <f>_xlfn.XLOOKUP($B235,'30'!$B:$B,'30'!K:K,)</f>
        <v>-294</v>
      </c>
      <c r="L235" s="629">
        <f>_xlfn.XLOOKUP($B235,'30'!$B:$B,'30'!L:L,)</f>
        <v>-375.69340351388337</v>
      </c>
      <c r="M235" s="40" t="str">
        <f>_xlfn.XLOOKUP($B235,'30'!$B:$B,'30'!M:M,)</f>
        <v>Willingness to Pay</v>
      </c>
      <c r="N235" s="326">
        <f>_xlfn.XLOOKUP($B235,'30'!$B:$B,'30'!N:N,)</f>
        <v>2.1428571428571401</v>
      </c>
      <c r="O235" s="40" t="str">
        <f>_xlfn.XLOOKUP($B235,'30'!$B:$B,'30'!O:O,)</f>
        <v>Yes</v>
      </c>
      <c r="P235" s="40" t="str">
        <f>_xlfn.XLOOKUP($B235,'30'!$B:$B,'30'!P:P,)</f>
        <v>Dated, but challenging to find studies that segregate use and non-use value, and as this is presented in ENCA it is deemed suitable</v>
      </c>
      <c r="Q235" s="40">
        <f>_xlfn.XLOOKUP($B235,'30'!$B:$B,'30'!Q:Q,)</f>
        <v>124</v>
      </c>
      <c r="R235" s="40" t="str">
        <f>_xlfn.XLOOKUP($B235,'30'!$B:$B,'30'!R:R,)</f>
        <v>Willis et al (2003) The social and environmental benefits of forests in Great Britain</v>
      </c>
      <c r="S235" s="40" t="str">
        <f>_xlfn.XLOOKUP($B235,'30'!$B:$B,'30'!S:S,)</f>
        <v>ENCA</v>
      </c>
      <c r="T235" s="40">
        <f>_xlfn.XLOOKUP($B235,'30'!$B:$B,'30'!T:T,)</f>
        <v>2003</v>
      </c>
      <c r="U235" s="40" t="str">
        <f>_xlfn.XLOOKUP($B235,'30'!$B:$B,'30'!U:U,)</f>
        <v>Great Britain</v>
      </c>
      <c r="V235" s="40" t="str">
        <f>_xlfn.XLOOKUP($B235,'30'!$B:$B,'30'!V:V,)</f>
        <v>Great Britain</v>
      </c>
      <c r="W235" s="40" t="str">
        <f>_xlfn.XLOOKUP($B235,'30'!$B:$B,'30'!W:W,)</f>
        <v>&gt;400</v>
      </c>
    </row>
    <row r="236" spans="2:23">
      <c r="B236" s="39" t="s">
        <v>2934</v>
      </c>
      <c r="C236" s="40" t="str">
        <f>_xlfn.XLOOKUP($B236,'30'!$B:$B,'30'!C:C,)</f>
        <v>Habitat impact</v>
      </c>
      <c r="D236" s="40" t="str">
        <f>_xlfn.XLOOKUP($B236,'30'!$B:$B,'30'!D:D,)</f>
        <v>Rural woodland --- good</v>
      </c>
      <c r="E236" s="40" t="str">
        <f>_xlfn.XLOOKUP($B236,'30'!$B:$B,'30'!E:E,)</f>
        <v>Biodiversity</v>
      </c>
      <c r="F236" s="40">
        <f>_xlfn.XLOOKUP($B236,'30'!$B:$B,'30'!F:F,)</f>
        <v>2003</v>
      </c>
      <c r="G236" s="40">
        <f>_xlfn.XLOOKUP($B236,'30'!$B:$B,'30'!G:G,)</f>
        <v>2015</v>
      </c>
      <c r="H236" s="40">
        <f>_xlfn.XLOOKUP($B236,'30'!$B:$B,'30'!H:H,)</f>
        <v>2023</v>
      </c>
      <c r="I236" s="40">
        <f>_xlfn.XLOOKUP($B236,'30'!$B:$B,'30'!I:I,)</f>
        <v>78.255300000000005</v>
      </c>
      <c r="J236" s="40">
        <f>_xlfn.XLOOKUP($B236,'30'!$B:$B,'30'!J:J,)</f>
        <v>100</v>
      </c>
      <c r="K236" s="629">
        <f>_xlfn.XLOOKUP($B236,'30'!$B:$B,'30'!K:K,)</f>
        <v>-588</v>
      </c>
      <c r="L236" s="629">
        <f>_xlfn.XLOOKUP($B236,'30'!$B:$B,'30'!L:L,)</f>
        <v>-751.38680702776674</v>
      </c>
      <c r="M236" s="40" t="str">
        <f>_xlfn.XLOOKUP($B236,'30'!$B:$B,'30'!M:M,)</f>
        <v>Willingness to Pay</v>
      </c>
      <c r="N236" s="326">
        <f>_xlfn.XLOOKUP($B236,'30'!$B:$B,'30'!N:N,)</f>
        <v>2.1428571428571401</v>
      </c>
      <c r="O236" s="40" t="str">
        <f>_xlfn.XLOOKUP($B236,'30'!$B:$B,'30'!O:O,)</f>
        <v>Yes</v>
      </c>
      <c r="P236" s="40" t="str">
        <f>_xlfn.XLOOKUP($B236,'30'!$B:$B,'30'!P:P,)</f>
        <v>Dated, but challenging to find studies that segregate use and non-use value, and as this is presented in ENCA it is deemed suitable</v>
      </c>
      <c r="Q236" s="40">
        <f>_xlfn.XLOOKUP($B236,'30'!$B:$B,'30'!Q:Q,)</f>
        <v>124</v>
      </c>
      <c r="R236" s="40" t="str">
        <f>_xlfn.XLOOKUP($B236,'30'!$B:$B,'30'!R:R,)</f>
        <v>Willis et al (2003) The social and environmental benefits of forests in Great Britain</v>
      </c>
      <c r="S236" s="40" t="str">
        <f>_xlfn.XLOOKUP($B236,'30'!$B:$B,'30'!S:S,)</f>
        <v>ENCA</v>
      </c>
      <c r="T236" s="40">
        <f>_xlfn.XLOOKUP($B236,'30'!$B:$B,'30'!T:T,)</f>
        <v>2003</v>
      </c>
      <c r="U236" s="40" t="str">
        <f>_xlfn.XLOOKUP($B236,'30'!$B:$B,'30'!U:U,)</f>
        <v>Great Britain</v>
      </c>
      <c r="V236" s="40" t="str">
        <f>_xlfn.XLOOKUP($B236,'30'!$B:$B,'30'!V:V,)</f>
        <v>Great Britain</v>
      </c>
      <c r="W236" s="40" t="str">
        <f>_xlfn.XLOOKUP($B236,'30'!$B:$B,'30'!W:W,)</f>
        <v>&gt;400</v>
      </c>
    </row>
    <row r="237" spans="2:23">
      <c r="B237" s="39" t="s">
        <v>2935</v>
      </c>
      <c r="C237" s="40" t="str">
        <f>_xlfn.XLOOKUP($B237,'30'!$B:$B,'30'!C:C,)</f>
        <v>Habitat impact</v>
      </c>
      <c r="D237" s="40" t="str">
        <f>_xlfn.XLOOKUP($B237,'30'!$B:$B,'30'!D:D,)</f>
        <v>Rural woodland --- moderate</v>
      </c>
      <c r="E237" s="40" t="str">
        <f>_xlfn.XLOOKUP($B237,'30'!$B:$B,'30'!E:E,)</f>
        <v>Biodiversity</v>
      </c>
      <c r="F237" s="40">
        <f>_xlfn.XLOOKUP($B237,'30'!$B:$B,'30'!F:F,)</f>
        <v>2003</v>
      </c>
      <c r="G237" s="40">
        <f>_xlfn.XLOOKUP($B237,'30'!$B:$B,'30'!G:G,)</f>
        <v>2015</v>
      </c>
      <c r="H237" s="40">
        <f>_xlfn.XLOOKUP($B237,'30'!$B:$B,'30'!H:H,)</f>
        <v>2023</v>
      </c>
      <c r="I237" s="40">
        <f>_xlfn.XLOOKUP($B237,'30'!$B:$B,'30'!I:I,)</f>
        <v>78.255300000000005</v>
      </c>
      <c r="J237" s="40">
        <f>_xlfn.XLOOKUP($B237,'30'!$B:$B,'30'!J:J,)</f>
        <v>100</v>
      </c>
      <c r="K237" s="629">
        <f>_xlfn.XLOOKUP($B237,'30'!$B:$B,'30'!K:K,)</f>
        <v>-441</v>
      </c>
      <c r="L237" s="629">
        <f>_xlfn.XLOOKUP($B237,'30'!$B:$B,'30'!L:L,)</f>
        <v>-563.54010527082505</v>
      </c>
      <c r="M237" s="40" t="str">
        <f>_xlfn.XLOOKUP($B237,'30'!$B:$B,'30'!M:M,)</f>
        <v>Willingness to Pay</v>
      </c>
      <c r="N237" s="326">
        <f>_xlfn.XLOOKUP($B237,'30'!$B:$B,'30'!N:N,)</f>
        <v>2.1428571428571401</v>
      </c>
      <c r="O237" s="40" t="str">
        <f>_xlfn.XLOOKUP($B237,'30'!$B:$B,'30'!O:O,)</f>
        <v>Yes</v>
      </c>
      <c r="P237" s="40" t="str">
        <f>_xlfn.XLOOKUP($B237,'30'!$B:$B,'30'!P:P,)</f>
        <v>Dated, but challenging to find studies that segregate use and non-use value, and as this is presented in ENCA it is deemed suitable</v>
      </c>
      <c r="Q237" s="40">
        <f>_xlfn.XLOOKUP($B237,'30'!$B:$B,'30'!Q:Q,)</f>
        <v>124</v>
      </c>
      <c r="R237" s="40" t="str">
        <f>_xlfn.XLOOKUP($B237,'30'!$B:$B,'30'!R:R,)</f>
        <v>Willis et al (2003) The social and environmental benefits of forests in Great Britain</v>
      </c>
      <c r="S237" s="40" t="str">
        <f>_xlfn.XLOOKUP($B237,'30'!$B:$B,'30'!S:S,)</f>
        <v>ENCA</v>
      </c>
      <c r="T237" s="40">
        <f>_xlfn.XLOOKUP($B237,'30'!$B:$B,'30'!T:T,)</f>
        <v>2003</v>
      </c>
      <c r="U237" s="40" t="str">
        <f>_xlfn.XLOOKUP($B237,'30'!$B:$B,'30'!U:U,)</f>
        <v>Great Britain</v>
      </c>
      <c r="V237" s="40" t="str">
        <f>_xlfn.XLOOKUP($B237,'30'!$B:$B,'30'!V:V,)</f>
        <v>Great Britain</v>
      </c>
      <c r="W237" s="40" t="str">
        <f>_xlfn.XLOOKUP($B237,'30'!$B:$B,'30'!W:W,)</f>
        <v>&gt;400</v>
      </c>
    </row>
    <row r="238" spans="2:23">
      <c r="B238" s="39" t="s">
        <v>2936</v>
      </c>
      <c r="C238" s="40" t="str">
        <f>_xlfn.XLOOKUP($B238,'30'!$B:$B,'30'!C:C,)</f>
        <v>Habitat impact</v>
      </c>
      <c r="D238" s="40" t="str">
        <f>_xlfn.XLOOKUP($B238,'30'!$B:$B,'30'!D:D,)</f>
        <v>Rural woodland --- poor</v>
      </c>
      <c r="E238" s="40" t="str">
        <f>_xlfn.XLOOKUP($B238,'30'!$B:$B,'30'!E:E,)</f>
        <v>Biodiversity</v>
      </c>
      <c r="F238" s="40">
        <f>_xlfn.XLOOKUP($B238,'30'!$B:$B,'30'!F:F,)</f>
        <v>2003</v>
      </c>
      <c r="G238" s="40">
        <f>_xlfn.XLOOKUP($B238,'30'!$B:$B,'30'!G:G,)</f>
        <v>2015</v>
      </c>
      <c r="H238" s="40">
        <f>_xlfn.XLOOKUP($B238,'30'!$B:$B,'30'!H:H,)</f>
        <v>2023</v>
      </c>
      <c r="I238" s="40">
        <f>_xlfn.XLOOKUP($B238,'30'!$B:$B,'30'!I:I,)</f>
        <v>78.255300000000005</v>
      </c>
      <c r="J238" s="40">
        <f>_xlfn.XLOOKUP($B238,'30'!$B:$B,'30'!J:J,)</f>
        <v>100</v>
      </c>
      <c r="K238" s="629">
        <f>_xlfn.XLOOKUP($B238,'30'!$B:$B,'30'!K:K,)</f>
        <v>-294</v>
      </c>
      <c r="L238" s="629">
        <f>_xlfn.XLOOKUP($B238,'30'!$B:$B,'30'!L:L,)</f>
        <v>-375.69340351388337</v>
      </c>
      <c r="M238" s="40" t="str">
        <f>_xlfn.XLOOKUP($B238,'30'!$B:$B,'30'!M:M,)</f>
        <v>Willingness to Pay</v>
      </c>
      <c r="N238" s="326">
        <f>_xlfn.XLOOKUP($B238,'30'!$B:$B,'30'!N:N,)</f>
        <v>2.1428571428571401</v>
      </c>
      <c r="O238" s="40" t="str">
        <f>_xlfn.XLOOKUP($B238,'30'!$B:$B,'30'!O:O,)</f>
        <v>Yes</v>
      </c>
      <c r="P238" s="40" t="str">
        <f>_xlfn.XLOOKUP($B238,'30'!$B:$B,'30'!P:P,)</f>
        <v>Dated, but challenging to find studies that segregate use and non-use value, and as this is presented in ENCA it is deemed suitable</v>
      </c>
      <c r="Q238" s="40">
        <f>_xlfn.XLOOKUP($B238,'30'!$B:$B,'30'!Q:Q,)</f>
        <v>124</v>
      </c>
      <c r="R238" s="40" t="str">
        <f>_xlfn.XLOOKUP($B238,'30'!$B:$B,'30'!R:R,)</f>
        <v>Willis et al (2003) The social and environmental benefits of forests in Great Britain</v>
      </c>
      <c r="S238" s="40" t="str">
        <f>_xlfn.XLOOKUP($B238,'30'!$B:$B,'30'!S:S,)</f>
        <v>ENCA</v>
      </c>
      <c r="T238" s="40">
        <f>_xlfn.XLOOKUP($B238,'30'!$B:$B,'30'!T:T,)</f>
        <v>2003</v>
      </c>
      <c r="U238" s="40" t="str">
        <f>_xlfn.XLOOKUP($B238,'30'!$B:$B,'30'!U:U,)</f>
        <v>Great Britain</v>
      </c>
      <c r="V238" s="40" t="str">
        <f>_xlfn.XLOOKUP($B238,'30'!$B:$B,'30'!V:V,)</f>
        <v>Great Britain</v>
      </c>
      <c r="W238" s="40" t="str">
        <f>_xlfn.XLOOKUP($B238,'30'!$B:$B,'30'!W:W,)</f>
        <v>&gt;400</v>
      </c>
    </row>
    <row r="239" spans="2:23">
      <c r="B239" s="39" t="s">
        <v>2979</v>
      </c>
      <c r="C239" s="40" t="str">
        <f>_xlfn.XLOOKUP($B239,'30'!$B:$B,'30'!C:C,)</f>
        <v>Habitat impact</v>
      </c>
      <c r="D239" s="40" t="str">
        <f>_xlfn.XLOOKUP($B239,'30'!$B:$B,'30'!D:D,)</f>
        <v>SuDS - high benefits</v>
      </c>
      <c r="E239" s="40" t="str">
        <f>_xlfn.XLOOKUP($B239,'30'!$B:$B,'30'!E:E,)</f>
        <v>Quality of place</v>
      </c>
      <c r="F239" s="40">
        <f>_xlfn.XLOOKUP($B239,'30'!$B:$B,'30'!F:F,)</f>
        <v>2021</v>
      </c>
      <c r="G239" s="40">
        <f>_xlfn.XLOOKUP($B239,'30'!$B:$B,'30'!G:G,)</f>
        <v>2021</v>
      </c>
      <c r="H239" s="40">
        <f>_xlfn.XLOOKUP($B239,'30'!$B:$B,'30'!H:H,)</f>
        <v>2023</v>
      </c>
      <c r="I239" s="40">
        <f>_xlfn.XLOOKUP($B239,'30'!$B:$B,'30'!I:I,)</f>
        <v>88.789299999999997</v>
      </c>
      <c r="J239" s="40">
        <f>_xlfn.XLOOKUP($B239,'30'!$B:$B,'30'!J:J,)</f>
        <v>100</v>
      </c>
      <c r="K239" s="629">
        <f>_xlfn.XLOOKUP($B239,'30'!$B:$B,'30'!K:K,)</f>
        <v>-4005</v>
      </c>
      <c r="L239" s="629">
        <f>_xlfn.XLOOKUP($B239,'30'!$B:$B,'30'!L:L,)</f>
        <v>-4510.6786515942804</v>
      </c>
      <c r="M239" s="40" t="str">
        <f>_xlfn.XLOOKUP($B239,'30'!$B:$B,'30'!M:M,)</f>
        <v>Calculated using B£ST</v>
      </c>
      <c r="N239" s="326">
        <f>_xlfn.XLOOKUP($B239,'30'!$B:$B,'30'!N:N,)</f>
        <v>2.5714285714285698</v>
      </c>
      <c r="O239" s="40" t="str">
        <f>_xlfn.XLOOKUP($B239,'30'!$B:$B,'30'!O:O,)</f>
        <v>Yes</v>
      </c>
      <c r="P239" s="40" t="str">
        <f>_xlfn.XLOOKUP($B239,'30'!$B:$B,'30'!P:P,)</f>
        <v>Recently completed, geographically relevant</v>
      </c>
      <c r="Q239" s="40">
        <f>_xlfn.XLOOKUP($B239,'30'!$B:$B,'30'!Q:Q,)</f>
        <v>116</v>
      </c>
      <c r="R239" s="40" t="str">
        <f>_xlfn.XLOOKUP($B239,'30'!$B:$B,'30'!R:R,)</f>
        <v>Water UK / Stantec (2021) Storm overflow evidence project</v>
      </c>
      <c r="S239" s="40" t="str">
        <f>_xlfn.XLOOKUP($B239,'30'!$B:$B,'30'!S:S,)</f>
        <v>/</v>
      </c>
      <c r="T239" s="40">
        <f>_xlfn.XLOOKUP($B239,'30'!$B:$B,'30'!T:T,)</f>
        <v>2021</v>
      </c>
      <c r="U239" s="40" t="str">
        <f>_xlfn.XLOOKUP($B239,'30'!$B:$B,'30'!U:U,)</f>
        <v>UK</v>
      </c>
      <c r="V239" s="40" t="str">
        <f>_xlfn.XLOOKUP($B239,'30'!$B:$B,'30'!V:V,)</f>
        <v>UK</v>
      </c>
      <c r="W239" s="40" t="str">
        <f>_xlfn.XLOOKUP($B239,'30'!$B:$B,'30'!W:W,)</f>
        <v>/</v>
      </c>
    </row>
    <row r="240" spans="2:23">
      <c r="B240" s="39" t="s">
        <v>2980</v>
      </c>
      <c r="C240" s="40" t="str">
        <f>_xlfn.XLOOKUP($B240,'30'!$B:$B,'30'!C:C,)</f>
        <v>Habitat impact</v>
      </c>
      <c r="D240" s="40" t="str">
        <f>_xlfn.XLOOKUP($B240,'30'!$B:$B,'30'!D:D,)</f>
        <v>SuDS - medium benefits</v>
      </c>
      <c r="E240" s="40" t="str">
        <f>_xlfn.XLOOKUP($B240,'30'!$B:$B,'30'!E:E,)</f>
        <v>Quality of place</v>
      </c>
      <c r="F240" s="40">
        <f>_xlfn.XLOOKUP($B240,'30'!$B:$B,'30'!F:F,)</f>
        <v>2021</v>
      </c>
      <c r="G240" s="40">
        <f>_xlfn.XLOOKUP($B240,'30'!$B:$B,'30'!G:G,)</f>
        <v>2021</v>
      </c>
      <c r="H240" s="40">
        <f>_xlfn.XLOOKUP($B240,'30'!$B:$B,'30'!H:H,)</f>
        <v>2023</v>
      </c>
      <c r="I240" s="40">
        <f>_xlfn.XLOOKUP($B240,'30'!$B:$B,'30'!I:I,)</f>
        <v>88.789299999999997</v>
      </c>
      <c r="J240" s="40">
        <f>_xlfn.XLOOKUP($B240,'30'!$B:$B,'30'!J:J,)</f>
        <v>100</v>
      </c>
      <c r="K240" s="629">
        <f>_xlfn.XLOOKUP($B240,'30'!$B:$B,'30'!K:K,)</f>
        <v>-2753.5</v>
      </c>
      <c r="L240" s="629">
        <f>_xlfn.XLOOKUP($B240,'30'!$B:$B,'30'!L:L,)</f>
        <v>-3101.1619643357931</v>
      </c>
      <c r="M240" s="40" t="str">
        <f>_xlfn.XLOOKUP($B240,'30'!$B:$B,'30'!M:M,)</f>
        <v>Calculated using B£ST</v>
      </c>
      <c r="N240" s="326">
        <f>_xlfn.XLOOKUP($B240,'30'!$B:$B,'30'!N:N,)</f>
        <v>2.5714285714285698</v>
      </c>
      <c r="O240" s="40" t="str">
        <f>_xlfn.XLOOKUP($B240,'30'!$B:$B,'30'!O:O,)</f>
        <v>Yes</v>
      </c>
      <c r="P240" s="40" t="str">
        <f>_xlfn.XLOOKUP($B240,'30'!$B:$B,'30'!P:P,)</f>
        <v>Recently completed, geographically relevant</v>
      </c>
      <c r="Q240" s="40">
        <f>_xlfn.XLOOKUP($B240,'30'!$B:$B,'30'!Q:Q,)</f>
        <v>116</v>
      </c>
      <c r="R240" s="40" t="str">
        <f>_xlfn.XLOOKUP($B240,'30'!$B:$B,'30'!R:R,)</f>
        <v>Water UK / Stantec (2021) Storm overflow evidence project</v>
      </c>
      <c r="S240" s="40" t="str">
        <f>_xlfn.XLOOKUP($B240,'30'!$B:$B,'30'!S:S,)</f>
        <v>/</v>
      </c>
      <c r="T240" s="40">
        <f>_xlfn.XLOOKUP($B240,'30'!$B:$B,'30'!T:T,)</f>
        <v>2021</v>
      </c>
      <c r="U240" s="40" t="str">
        <f>_xlfn.XLOOKUP($B240,'30'!$B:$B,'30'!U:U,)</f>
        <v>UK</v>
      </c>
      <c r="V240" s="40" t="str">
        <f>_xlfn.XLOOKUP($B240,'30'!$B:$B,'30'!V:V,)</f>
        <v>UK</v>
      </c>
      <c r="W240" s="40" t="str">
        <f>_xlfn.XLOOKUP($B240,'30'!$B:$B,'30'!W:W,)</f>
        <v>/</v>
      </c>
    </row>
    <row r="241" spans="2:23">
      <c r="B241" s="39" t="s">
        <v>2981</v>
      </c>
      <c r="C241" s="40" t="str">
        <f>_xlfn.XLOOKUP($B241,'30'!$B:$B,'30'!C:C,)</f>
        <v>Habitat impact</v>
      </c>
      <c r="D241" s="40" t="str">
        <f>_xlfn.XLOOKUP($B241,'30'!$B:$B,'30'!D:D,)</f>
        <v>SuDS - low benefits</v>
      </c>
      <c r="E241" s="40" t="str">
        <f>_xlfn.XLOOKUP($B241,'30'!$B:$B,'30'!E:E,)</f>
        <v>Quality of place</v>
      </c>
      <c r="F241" s="40">
        <f>_xlfn.XLOOKUP($B241,'30'!$B:$B,'30'!F:F,)</f>
        <v>2021</v>
      </c>
      <c r="G241" s="40">
        <f>_xlfn.XLOOKUP($B241,'30'!$B:$B,'30'!G:G,)</f>
        <v>2021</v>
      </c>
      <c r="H241" s="40">
        <f>_xlfn.XLOOKUP($B241,'30'!$B:$B,'30'!H:H,)</f>
        <v>2023</v>
      </c>
      <c r="I241" s="40">
        <f>_xlfn.XLOOKUP($B241,'30'!$B:$B,'30'!I:I,)</f>
        <v>88.789299999999997</v>
      </c>
      <c r="J241" s="40">
        <f>_xlfn.XLOOKUP($B241,'30'!$B:$B,'30'!J:J,)</f>
        <v>100</v>
      </c>
      <c r="K241" s="629">
        <f>_xlfn.XLOOKUP($B241,'30'!$B:$B,'30'!K:K,)</f>
        <v>-1502</v>
      </c>
      <c r="L241" s="629">
        <f>_xlfn.XLOOKUP($B241,'30'!$B:$B,'30'!L:L,)</f>
        <v>-1691.6452770773055</v>
      </c>
      <c r="M241" s="40" t="str">
        <f>_xlfn.XLOOKUP($B241,'30'!$B:$B,'30'!M:M,)</f>
        <v>Calculated using B£ST</v>
      </c>
      <c r="N241" s="326">
        <f>_xlfn.XLOOKUP($B241,'30'!$B:$B,'30'!N:N,)</f>
        <v>2.5714285714285698</v>
      </c>
      <c r="O241" s="40" t="str">
        <f>_xlfn.XLOOKUP($B241,'30'!$B:$B,'30'!O:O,)</f>
        <v>Yes</v>
      </c>
      <c r="P241" s="40" t="str">
        <f>_xlfn.XLOOKUP($B241,'30'!$B:$B,'30'!P:P,)</f>
        <v>Recently completed, geographically relevant</v>
      </c>
      <c r="Q241" s="40">
        <f>_xlfn.XLOOKUP($B241,'30'!$B:$B,'30'!Q:Q,)</f>
        <v>116</v>
      </c>
      <c r="R241" s="40" t="str">
        <f>_xlfn.XLOOKUP($B241,'30'!$B:$B,'30'!R:R,)</f>
        <v>Water UK / Stantec (2021) Storm overflow evidence project</v>
      </c>
      <c r="S241" s="40" t="str">
        <f>_xlfn.XLOOKUP($B241,'30'!$B:$B,'30'!S:S,)</f>
        <v>/</v>
      </c>
      <c r="T241" s="40">
        <f>_xlfn.XLOOKUP($B241,'30'!$B:$B,'30'!T:T,)</f>
        <v>2021</v>
      </c>
      <c r="U241" s="40" t="str">
        <f>_xlfn.XLOOKUP($B241,'30'!$B:$B,'30'!U:U,)</f>
        <v>UK</v>
      </c>
      <c r="V241" s="40" t="str">
        <f>_xlfn.XLOOKUP($B241,'30'!$B:$B,'30'!V:V,)</f>
        <v>UK</v>
      </c>
      <c r="W241" s="40" t="str">
        <f>_xlfn.XLOOKUP($B241,'30'!$B:$B,'30'!W:W,)</f>
        <v>/</v>
      </c>
    </row>
    <row r="242" spans="2:23">
      <c r="B242" s="39" t="s">
        <v>2982</v>
      </c>
      <c r="C242" s="40" t="str">
        <f>_xlfn.XLOOKUP($B242,'30'!$B:$B,'30'!C:C,)</f>
        <v>Habitat impact</v>
      </c>
      <c r="D242" s="40" t="str">
        <f>_xlfn.XLOOKUP($B242,'30'!$B:$B,'30'!D:D,)</f>
        <v>Urban woodland --- good</v>
      </c>
      <c r="E242" s="40" t="str">
        <f>_xlfn.XLOOKUP($B242,'30'!$B:$B,'30'!E:E,)</f>
        <v>Quality of place</v>
      </c>
      <c r="F242" s="40">
        <f>_xlfn.XLOOKUP($B242,'30'!$B:$B,'30'!F:F,)</f>
        <v>2014</v>
      </c>
      <c r="G242" s="40">
        <f>_xlfn.XLOOKUP($B242,'30'!$B:$B,'30'!G:G,)</f>
        <v>2023</v>
      </c>
      <c r="H242" s="40">
        <f>_xlfn.XLOOKUP($B242,'30'!$B:$B,'30'!H:H,)</f>
        <v>2023</v>
      </c>
      <c r="I242" s="40">
        <f>_xlfn.XLOOKUP($B242,'30'!$B:$B,'30'!I:I,)</f>
        <v>100</v>
      </c>
      <c r="J242" s="40">
        <f>_xlfn.XLOOKUP($B242,'30'!$B:$B,'30'!J:J,)</f>
        <v>100</v>
      </c>
      <c r="K242" s="629">
        <f>_xlfn.XLOOKUP($B242,'30'!$B:$B,'30'!K:K,)</f>
        <v>-16529.2</v>
      </c>
      <c r="L242" s="629">
        <f>_xlfn.XLOOKUP($B242,'30'!$B:$B,'30'!L:L,)</f>
        <v>-16529.2</v>
      </c>
      <c r="M242" s="40" t="str">
        <f>_xlfn.XLOOKUP($B242,'30'!$B:$B,'30'!M:M,)</f>
        <v>Hedonic pricing</v>
      </c>
      <c r="N242" s="326">
        <f>_xlfn.XLOOKUP($B242,'30'!$B:$B,'30'!N:N,)</f>
        <v>2.1428571428571401</v>
      </c>
      <c r="O242" s="40" t="str">
        <f>_xlfn.XLOOKUP($B242,'30'!$B:$B,'30'!O:O,)</f>
        <v>Yes</v>
      </c>
      <c r="P242" s="40" t="str">
        <f>_xlfn.XLOOKUP($B242,'30'!$B:$B,'30'!P:P,)</f>
        <v>This is the only available source of valuation found that match the unit of measure required. We have included it as it has been vetted by Defra.</v>
      </c>
      <c r="Q242" s="40">
        <f>_xlfn.XLOOKUP($B242,'30'!$B:$B,'30'!Q:Q,)</f>
        <v>125</v>
      </c>
      <c r="R242" s="40" t="str">
        <f>_xlfn.XLOOKUP($B242,'30'!$B:$B,'30'!R:R,)</f>
        <v>Gibbons et al (2014) The amenity value of English nature: a hedonic price approach</v>
      </c>
      <c r="S242" s="40" t="str">
        <f>_xlfn.XLOOKUP($B242,'30'!$B:$B,'30'!S:S,)</f>
        <v>ENCA</v>
      </c>
      <c r="T242" s="40">
        <f>_xlfn.XLOOKUP($B242,'30'!$B:$B,'30'!T:T,)</f>
        <v>2014</v>
      </c>
      <c r="U242" s="40" t="str">
        <f>_xlfn.XLOOKUP($B242,'30'!$B:$B,'30'!U:U,)</f>
        <v>England</v>
      </c>
      <c r="V242" s="40" t="str">
        <f>_xlfn.XLOOKUP($B242,'30'!$B:$B,'30'!V:V,)</f>
        <v>England</v>
      </c>
      <c r="W242" s="40" t="str">
        <f>_xlfn.XLOOKUP($B242,'30'!$B:$B,'30'!W:W,)</f>
        <v>/</v>
      </c>
    </row>
    <row r="243" spans="2:23">
      <c r="B243" s="39" t="s">
        <v>2983</v>
      </c>
      <c r="C243" s="40" t="str">
        <f>_xlfn.XLOOKUP($B243,'30'!$B:$B,'30'!C:C,)</f>
        <v>Habitat impact</v>
      </c>
      <c r="D243" s="40" t="str">
        <f>_xlfn.XLOOKUP($B243,'30'!$B:$B,'30'!D:D,)</f>
        <v>Urban woodland --- moderate</v>
      </c>
      <c r="E243" s="40" t="str">
        <f>_xlfn.XLOOKUP($B243,'30'!$B:$B,'30'!E:E,)</f>
        <v>Quality of place</v>
      </c>
      <c r="F243" s="40">
        <f>_xlfn.XLOOKUP($B243,'30'!$B:$B,'30'!F:F,)</f>
        <v>2014</v>
      </c>
      <c r="G243" s="40">
        <f>_xlfn.XLOOKUP($B243,'30'!$B:$B,'30'!G:G,)</f>
        <v>2023</v>
      </c>
      <c r="H243" s="40">
        <f>_xlfn.XLOOKUP($B243,'30'!$B:$B,'30'!H:H,)</f>
        <v>2023</v>
      </c>
      <c r="I243" s="40">
        <f>_xlfn.XLOOKUP($B243,'30'!$B:$B,'30'!I:I,)</f>
        <v>100</v>
      </c>
      <c r="J243" s="40">
        <f>_xlfn.XLOOKUP($B243,'30'!$B:$B,'30'!J:J,)</f>
        <v>100</v>
      </c>
      <c r="K243" s="629">
        <f>_xlfn.XLOOKUP($B243,'30'!$B:$B,'30'!K:K,)</f>
        <v>-12396.900000000001</v>
      </c>
      <c r="L243" s="629">
        <f>_xlfn.XLOOKUP($B243,'30'!$B:$B,'30'!L:L,)</f>
        <v>-12396.900000000001</v>
      </c>
      <c r="M243" s="40" t="str">
        <f>_xlfn.XLOOKUP($B243,'30'!$B:$B,'30'!M:M,)</f>
        <v>Hedonic pricing</v>
      </c>
      <c r="N243" s="326">
        <f>_xlfn.XLOOKUP($B243,'30'!$B:$B,'30'!N:N,)</f>
        <v>2.1428571428571401</v>
      </c>
      <c r="O243" s="40" t="str">
        <f>_xlfn.XLOOKUP($B243,'30'!$B:$B,'30'!O:O,)</f>
        <v>Yes</v>
      </c>
      <c r="P243" s="40" t="str">
        <f>_xlfn.XLOOKUP($B243,'30'!$B:$B,'30'!P:P,)</f>
        <v>This is the only available source of valuation found that match the unit of measure required. We have included it as it has been vetted by Defra.</v>
      </c>
      <c r="Q243" s="40">
        <f>_xlfn.XLOOKUP($B243,'30'!$B:$B,'30'!Q:Q,)</f>
        <v>125</v>
      </c>
      <c r="R243" s="40" t="str">
        <f>_xlfn.XLOOKUP($B243,'30'!$B:$B,'30'!R:R,)</f>
        <v>Gibbons et al (2014) The amenity value of English nature: a hedonic price approach</v>
      </c>
      <c r="S243" s="40" t="str">
        <f>_xlfn.XLOOKUP($B243,'30'!$B:$B,'30'!S:S,)</f>
        <v>ENCA</v>
      </c>
      <c r="T243" s="40">
        <f>_xlfn.XLOOKUP($B243,'30'!$B:$B,'30'!T:T,)</f>
        <v>2014</v>
      </c>
      <c r="U243" s="40" t="str">
        <f>_xlfn.XLOOKUP($B243,'30'!$B:$B,'30'!U:U,)</f>
        <v>England</v>
      </c>
      <c r="V243" s="40" t="str">
        <f>_xlfn.XLOOKUP($B243,'30'!$B:$B,'30'!V:V,)</f>
        <v>England</v>
      </c>
      <c r="W243" s="40" t="str">
        <f>_xlfn.XLOOKUP($B243,'30'!$B:$B,'30'!W:W,)</f>
        <v>/</v>
      </c>
    </row>
    <row r="244" spans="2:23">
      <c r="B244" s="39" t="s">
        <v>2984</v>
      </c>
      <c r="C244" s="40" t="str">
        <f>_xlfn.XLOOKUP($B244,'30'!$B:$B,'30'!C:C,)</f>
        <v>Habitat impact</v>
      </c>
      <c r="D244" s="40" t="str">
        <f>_xlfn.XLOOKUP($B244,'30'!$B:$B,'30'!D:D,)</f>
        <v>Urban woodland --- poor</v>
      </c>
      <c r="E244" s="40" t="str">
        <f>_xlfn.XLOOKUP($B244,'30'!$B:$B,'30'!E:E,)</f>
        <v>Quality of place</v>
      </c>
      <c r="F244" s="40">
        <f>_xlfn.XLOOKUP($B244,'30'!$B:$B,'30'!F:F,)</f>
        <v>2014</v>
      </c>
      <c r="G244" s="40">
        <f>_xlfn.XLOOKUP($B244,'30'!$B:$B,'30'!G:G,)</f>
        <v>2023</v>
      </c>
      <c r="H244" s="40">
        <f>_xlfn.XLOOKUP($B244,'30'!$B:$B,'30'!H:H,)</f>
        <v>2023</v>
      </c>
      <c r="I244" s="40">
        <f>_xlfn.XLOOKUP($B244,'30'!$B:$B,'30'!I:I,)</f>
        <v>100</v>
      </c>
      <c r="J244" s="40">
        <f>_xlfn.XLOOKUP($B244,'30'!$B:$B,'30'!J:J,)</f>
        <v>100</v>
      </c>
      <c r="K244" s="629">
        <f>_xlfn.XLOOKUP($B244,'30'!$B:$B,'30'!K:K,)</f>
        <v>-8264.6</v>
      </c>
      <c r="L244" s="629">
        <f>_xlfn.XLOOKUP($B244,'30'!$B:$B,'30'!L:L,)</f>
        <v>-8264.6</v>
      </c>
      <c r="M244" s="40" t="str">
        <f>_xlfn.XLOOKUP($B244,'30'!$B:$B,'30'!M:M,)</f>
        <v>Hedonic pricing</v>
      </c>
      <c r="N244" s="326">
        <f>_xlfn.XLOOKUP($B244,'30'!$B:$B,'30'!N:N,)</f>
        <v>2.1428571428571401</v>
      </c>
      <c r="O244" s="40" t="str">
        <f>_xlfn.XLOOKUP($B244,'30'!$B:$B,'30'!O:O,)</f>
        <v>Yes</v>
      </c>
      <c r="P244" s="40" t="str">
        <f>_xlfn.XLOOKUP($B244,'30'!$B:$B,'30'!P:P,)</f>
        <v>This is the only available source of valuation found that match the unit of measure required. We have included it as it has been vetted by Defra.</v>
      </c>
      <c r="Q244" s="40">
        <f>_xlfn.XLOOKUP($B244,'30'!$B:$B,'30'!Q:Q,)</f>
        <v>125</v>
      </c>
      <c r="R244" s="40" t="str">
        <f>_xlfn.XLOOKUP($B244,'30'!$B:$B,'30'!R:R,)</f>
        <v>Gibbons et al (2014) The amenity value of English nature: a hedonic price approach</v>
      </c>
      <c r="S244" s="40" t="str">
        <f>_xlfn.XLOOKUP($B244,'30'!$B:$B,'30'!S:S,)</f>
        <v>ENCA</v>
      </c>
      <c r="T244" s="40">
        <f>_xlfn.XLOOKUP($B244,'30'!$B:$B,'30'!T:T,)</f>
        <v>2014</v>
      </c>
      <c r="U244" s="40" t="str">
        <f>_xlfn.XLOOKUP($B244,'30'!$B:$B,'30'!U:U,)</f>
        <v>England</v>
      </c>
      <c r="V244" s="40" t="str">
        <f>_xlfn.XLOOKUP($B244,'30'!$B:$B,'30'!V:V,)</f>
        <v>England</v>
      </c>
      <c r="W244" s="40" t="str">
        <f>_xlfn.XLOOKUP($B244,'30'!$B:$B,'30'!W:W,)</f>
        <v>/</v>
      </c>
    </row>
    <row r="245" spans="2:23">
      <c r="B245" s="39" t="s">
        <v>2985</v>
      </c>
      <c r="C245" s="40" t="str">
        <f>_xlfn.XLOOKUP($B245,'30'!$B:$B,'30'!C:C,)</f>
        <v>Habitat impact</v>
      </c>
      <c r="D245" s="40" t="str">
        <f>_xlfn.XLOOKUP($B245,'30'!$B:$B,'30'!D:D,)</f>
        <v>Urban wetland ---  good</v>
      </c>
      <c r="E245" s="40" t="str">
        <f>_xlfn.XLOOKUP($B245,'30'!$B:$B,'30'!E:E,)</f>
        <v>Quality of place</v>
      </c>
      <c r="F245" s="40">
        <f>_xlfn.XLOOKUP($B245,'30'!$B:$B,'30'!F:F,)</f>
        <v>2014</v>
      </c>
      <c r="G245" s="40">
        <f>_xlfn.XLOOKUP($B245,'30'!$B:$B,'30'!G:G,)</f>
        <v>2023</v>
      </c>
      <c r="H245" s="40">
        <f>_xlfn.XLOOKUP($B245,'30'!$B:$B,'30'!H:H,)</f>
        <v>2023</v>
      </c>
      <c r="I245" s="40">
        <f>_xlfn.XLOOKUP($B245,'30'!$B:$B,'30'!I:I,)</f>
        <v>100</v>
      </c>
      <c r="J245" s="40">
        <f>_xlfn.XLOOKUP($B245,'30'!$B:$B,'30'!J:J,)</f>
        <v>100</v>
      </c>
      <c r="K245" s="629">
        <f>_xlfn.XLOOKUP($B245,'30'!$B:$B,'30'!K:K,)</f>
        <v>-38390.400000000001</v>
      </c>
      <c r="L245" s="629">
        <f>_xlfn.XLOOKUP($B245,'30'!$B:$B,'30'!L:L,)</f>
        <v>-38390.400000000001</v>
      </c>
      <c r="M245" s="40" t="str">
        <f>_xlfn.XLOOKUP($B245,'30'!$B:$B,'30'!M:M,)</f>
        <v>Hedonic pricing</v>
      </c>
      <c r="N245" s="326">
        <f>_xlfn.XLOOKUP($B245,'30'!$B:$B,'30'!N:N,)</f>
        <v>2.1428571428571401</v>
      </c>
      <c r="O245" s="40" t="str">
        <f>_xlfn.XLOOKUP($B245,'30'!$B:$B,'30'!O:O,)</f>
        <v>Yes</v>
      </c>
      <c r="P245" s="40" t="str">
        <f>_xlfn.XLOOKUP($B245,'30'!$B:$B,'30'!P:P,)</f>
        <v>This is the only available source of valuation found that match the unit of measure required. We have included it as it has been vetted by Defra.</v>
      </c>
      <c r="Q245" s="40">
        <f>_xlfn.XLOOKUP($B245,'30'!$B:$B,'30'!Q:Q,)</f>
        <v>125</v>
      </c>
      <c r="R245" s="40" t="str">
        <f>_xlfn.XLOOKUP($B245,'30'!$B:$B,'30'!R:R,)</f>
        <v>Gibbons et al (2014) The amenity value of English nature: a hedonic price approach</v>
      </c>
      <c r="S245" s="40" t="str">
        <f>_xlfn.XLOOKUP($B245,'30'!$B:$B,'30'!S:S,)</f>
        <v>ENCA</v>
      </c>
      <c r="T245" s="40">
        <f>_xlfn.XLOOKUP($B245,'30'!$B:$B,'30'!T:T,)</f>
        <v>2014</v>
      </c>
      <c r="U245" s="40" t="str">
        <f>_xlfn.XLOOKUP($B245,'30'!$B:$B,'30'!U:U,)</f>
        <v>England</v>
      </c>
      <c r="V245" s="40" t="str">
        <f>_xlfn.XLOOKUP($B245,'30'!$B:$B,'30'!V:V,)</f>
        <v>England</v>
      </c>
      <c r="W245" s="40" t="str">
        <f>_xlfn.XLOOKUP($B245,'30'!$B:$B,'30'!W:W,)</f>
        <v>/</v>
      </c>
    </row>
    <row r="246" spans="2:23">
      <c r="B246" s="39" t="s">
        <v>2986</v>
      </c>
      <c r="C246" s="40" t="str">
        <f>_xlfn.XLOOKUP($B246,'30'!$B:$B,'30'!C:C,)</f>
        <v>Habitat impact</v>
      </c>
      <c r="D246" s="40" t="str">
        <f>_xlfn.XLOOKUP($B246,'30'!$B:$B,'30'!D:D,)</f>
        <v>Urban wetland --- moderate</v>
      </c>
      <c r="E246" s="40" t="str">
        <f>_xlfn.XLOOKUP($B246,'30'!$B:$B,'30'!E:E,)</f>
        <v>Quality of place</v>
      </c>
      <c r="F246" s="40">
        <f>_xlfn.XLOOKUP($B246,'30'!$B:$B,'30'!F:F,)</f>
        <v>2014</v>
      </c>
      <c r="G246" s="40">
        <f>_xlfn.XLOOKUP($B246,'30'!$B:$B,'30'!G:G,)</f>
        <v>2023</v>
      </c>
      <c r="H246" s="40">
        <f>_xlfn.XLOOKUP($B246,'30'!$B:$B,'30'!H:H,)</f>
        <v>2023</v>
      </c>
      <c r="I246" s="40">
        <f>_xlfn.XLOOKUP($B246,'30'!$B:$B,'30'!I:I,)</f>
        <v>100</v>
      </c>
      <c r="J246" s="40">
        <f>_xlfn.XLOOKUP($B246,'30'!$B:$B,'30'!J:J,)</f>
        <v>100</v>
      </c>
      <c r="K246" s="629">
        <f>_xlfn.XLOOKUP($B246,'30'!$B:$B,'30'!K:K,)</f>
        <v>-28792.800000000003</v>
      </c>
      <c r="L246" s="629">
        <f>_xlfn.XLOOKUP($B246,'30'!$B:$B,'30'!L:L,)</f>
        <v>-28792.800000000003</v>
      </c>
      <c r="M246" s="40" t="str">
        <f>_xlfn.XLOOKUP($B246,'30'!$B:$B,'30'!M:M,)</f>
        <v>Hedonic pricing</v>
      </c>
      <c r="N246" s="326">
        <f>_xlfn.XLOOKUP($B246,'30'!$B:$B,'30'!N:N,)</f>
        <v>2.1428571428571401</v>
      </c>
      <c r="O246" s="40" t="str">
        <f>_xlfn.XLOOKUP($B246,'30'!$B:$B,'30'!O:O,)</f>
        <v>Yes</v>
      </c>
      <c r="P246" s="40" t="str">
        <f>_xlfn.XLOOKUP($B246,'30'!$B:$B,'30'!P:P,)</f>
        <v>This is the only available source of valuation found that match the unit of measure required. We have included it as it has been vetted by Defra.</v>
      </c>
      <c r="Q246" s="40">
        <f>_xlfn.XLOOKUP($B246,'30'!$B:$B,'30'!Q:Q,)</f>
        <v>125</v>
      </c>
      <c r="R246" s="40" t="str">
        <f>_xlfn.XLOOKUP($B246,'30'!$B:$B,'30'!R:R,)</f>
        <v>Gibbons et al (2014) The amenity value of English nature: a hedonic price approach</v>
      </c>
      <c r="S246" s="40" t="str">
        <f>_xlfn.XLOOKUP($B246,'30'!$B:$B,'30'!S:S,)</f>
        <v>ENCA</v>
      </c>
      <c r="T246" s="40">
        <f>_xlfn.XLOOKUP($B246,'30'!$B:$B,'30'!T:T,)</f>
        <v>2014</v>
      </c>
      <c r="U246" s="40" t="str">
        <f>_xlfn.XLOOKUP($B246,'30'!$B:$B,'30'!U:U,)</f>
        <v>England</v>
      </c>
      <c r="V246" s="40" t="str">
        <f>_xlfn.XLOOKUP($B246,'30'!$B:$B,'30'!V:V,)</f>
        <v>England</v>
      </c>
      <c r="W246" s="40" t="str">
        <f>_xlfn.XLOOKUP($B246,'30'!$B:$B,'30'!W:W,)</f>
        <v>/</v>
      </c>
    </row>
    <row r="247" spans="2:23">
      <c r="B247" s="39" t="s">
        <v>2987</v>
      </c>
      <c r="C247" s="40" t="str">
        <f>_xlfn.XLOOKUP($B247,'30'!$B:$B,'30'!C:C,)</f>
        <v>Habitat impact</v>
      </c>
      <c r="D247" s="40" t="str">
        <f>_xlfn.XLOOKUP($B247,'30'!$B:$B,'30'!D:D,)</f>
        <v>Urban wetland --- poor</v>
      </c>
      <c r="E247" s="40" t="str">
        <f>_xlfn.XLOOKUP($B247,'30'!$B:$B,'30'!E:E,)</f>
        <v>Quality of place</v>
      </c>
      <c r="F247" s="40">
        <f>_xlfn.XLOOKUP($B247,'30'!$B:$B,'30'!F:F,)</f>
        <v>2014</v>
      </c>
      <c r="G247" s="40">
        <f>_xlfn.XLOOKUP($B247,'30'!$B:$B,'30'!G:G,)</f>
        <v>2023</v>
      </c>
      <c r="H247" s="40">
        <f>_xlfn.XLOOKUP($B247,'30'!$B:$B,'30'!H:H,)</f>
        <v>2023</v>
      </c>
      <c r="I247" s="40">
        <f>_xlfn.XLOOKUP($B247,'30'!$B:$B,'30'!I:I,)</f>
        <v>100</v>
      </c>
      <c r="J247" s="40">
        <f>_xlfn.XLOOKUP($B247,'30'!$B:$B,'30'!J:J,)</f>
        <v>100</v>
      </c>
      <c r="K247" s="629">
        <f>_xlfn.XLOOKUP($B247,'30'!$B:$B,'30'!K:K,)</f>
        <v>-19195.2</v>
      </c>
      <c r="L247" s="629">
        <f>_xlfn.XLOOKUP($B247,'30'!$B:$B,'30'!L:L,)</f>
        <v>-19195.2</v>
      </c>
      <c r="M247" s="40" t="str">
        <f>_xlfn.XLOOKUP($B247,'30'!$B:$B,'30'!M:M,)</f>
        <v>Hedonic pricing</v>
      </c>
      <c r="N247" s="326">
        <f>_xlfn.XLOOKUP($B247,'30'!$B:$B,'30'!N:N,)</f>
        <v>2.1428571428571401</v>
      </c>
      <c r="O247" s="40" t="str">
        <f>_xlfn.XLOOKUP($B247,'30'!$B:$B,'30'!O:O,)</f>
        <v>Yes</v>
      </c>
      <c r="P247" s="40" t="str">
        <f>_xlfn.XLOOKUP($B247,'30'!$B:$B,'30'!P:P,)</f>
        <v>This is the only available source of valuation found that match the unit of measure required. We have included it as it has been vetted by Defra.</v>
      </c>
      <c r="Q247" s="40">
        <f>_xlfn.XLOOKUP($B247,'30'!$B:$B,'30'!Q:Q,)</f>
        <v>125</v>
      </c>
      <c r="R247" s="40" t="str">
        <f>_xlfn.XLOOKUP($B247,'30'!$B:$B,'30'!R:R,)</f>
        <v>Gibbons et al (2014) The amenity value of English nature: a hedonic price approach</v>
      </c>
      <c r="S247" s="40" t="str">
        <f>_xlfn.XLOOKUP($B247,'30'!$B:$B,'30'!S:S,)</f>
        <v>ENCA</v>
      </c>
      <c r="T247" s="40">
        <f>_xlfn.XLOOKUP($B247,'30'!$B:$B,'30'!T:T,)</f>
        <v>2014</v>
      </c>
      <c r="U247" s="40" t="str">
        <f>_xlfn.XLOOKUP($B247,'30'!$B:$B,'30'!U:U,)</f>
        <v>England</v>
      </c>
      <c r="V247" s="40" t="str">
        <f>_xlfn.XLOOKUP($B247,'30'!$B:$B,'30'!V:V,)</f>
        <v>England</v>
      </c>
      <c r="W247" s="40" t="str">
        <f>_xlfn.XLOOKUP($B247,'30'!$B:$B,'30'!W:W,)</f>
        <v>/</v>
      </c>
    </row>
    <row r="248" spans="2:23">
      <c r="B248" s="39" t="s">
        <v>2988</v>
      </c>
      <c r="C248" s="40" t="str">
        <f>_xlfn.XLOOKUP($B248,'30'!$B:$B,'30'!C:C,)</f>
        <v>Habitat impact</v>
      </c>
      <c r="D248" s="40" t="str">
        <f>_xlfn.XLOOKUP($B248,'30'!$B:$B,'30'!D:D,)</f>
        <v>Urban grassland (greenspace) --- good</v>
      </c>
      <c r="E248" s="40" t="str">
        <f>_xlfn.XLOOKUP($B248,'30'!$B:$B,'30'!E:E,)</f>
        <v>Quality of place</v>
      </c>
      <c r="F248" s="40">
        <f>_xlfn.XLOOKUP($B248,'30'!$B:$B,'30'!F:F,)</f>
        <v>2010</v>
      </c>
      <c r="G248" s="40">
        <f>_xlfn.XLOOKUP($B248,'30'!$B:$B,'30'!G:G,)</f>
        <v>2023</v>
      </c>
      <c r="H248" s="40">
        <f>_xlfn.XLOOKUP($B248,'30'!$B:$B,'30'!H:H,)</f>
        <v>2023</v>
      </c>
      <c r="I248" s="40">
        <f>_xlfn.XLOOKUP($B248,'30'!$B:$B,'30'!I:I,)</f>
        <v>100</v>
      </c>
      <c r="J248" s="40">
        <f>_xlfn.XLOOKUP($B248,'30'!$B:$B,'30'!J:J,)</f>
        <v>100</v>
      </c>
      <c r="K248" s="629">
        <f>_xlfn.XLOOKUP($B248,'30'!$B:$B,'30'!K:K,)</f>
        <v>-8531.2000000000007</v>
      </c>
      <c r="L248" s="629">
        <f>_xlfn.XLOOKUP($B248,'30'!$B:$B,'30'!L:L,)</f>
        <v>-8531.2000000000007</v>
      </c>
      <c r="M248" s="40" t="str">
        <f>_xlfn.XLOOKUP($B248,'30'!$B:$B,'30'!M:M,)</f>
        <v>Hedonic pricing</v>
      </c>
      <c r="N248" s="326">
        <f>_xlfn.XLOOKUP($B248,'30'!$B:$B,'30'!N:N,)</f>
        <v>2.1428571428571401</v>
      </c>
      <c r="O248" s="40" t="str">
        <f>_xlfn.XLOOKUP($B248,'30'!$B:$B,'30'!O:O,)</f>
        <v>Yes</v>
      </c>
      <c r="P248" s="40" t="str">
        <f>_xlfn.XLOOKUP($B248,'30'!$B:$B,'30'!P:P,)</f>
        <v>This is the only available source of valuation found that match the unit of measure required. We have included it as it has been vetted by Defra.</v>
      </c>
      <c r="Q248" s="40">
        <f>_xlfn.XLOOKUP($B248,'30'!$B:$B,'30'!Q:Q,)</f>
        <v>127</v>
      </c>
      <c r="R248" s="40" t="str">
        <f>_xlfn.XLOOKUP($B248,'30'!$B:$B,'30'!R:R,)</f>
        <v>GLA Economics (2010) Valuing housing and green spaces: understanding local amenities, the built environment and house prices in London</v>
      </c>
      <c r="S248" s="40" t="str">
        <f>_xlfn.XLOOKUP($B248,'30'!$B:$B,'30'!S:S,)</f>
        <v>ENCA</v>
      </c>
      <c r="T248" s="40">
        <f>_xlfn.XLOOKUP($B248,'30'!$B:$B,'30'!T:T,)</f>
        <v>2010</v>
      </c>
      <c r="U248" s="40" t="str">
        <f>_xlfn.XLOOKUP($B248,'30'!$B:$B,'30'!U:U,)</f>
        <v>England</v>
      </c>
      <c r="V248" s="40" t="str">
        <f>_xlfn.XLOOKUP($B248,'30'!$B:$B,'30'!V:V,)</f>
        <v>London</v>
      </c>
      <c r="W248" s="40" t="str">
        <f>_xlfn.XLOOKUP($B248,'30'!$B:$B,'30'!W:W,)</f>
        <v>/</v>
      </c>
    </row>
    <row r="249" spans="2:23">
      <c r="B249" s="39" t="s">
        <v>2989</v>
      </c>
      <c r="C249" s="40" t="str">
        <f>_xlfn.XLOOKUP($B249,'30'!$B:$B,'30'!C:C,)</f>
        <v>Habitat impact</v>
      </c>
      <c r="D249" s="40" t="str">
        <f>_xlfn.XLOOKUP($B249,'30'!$B:$B,'30'!D:D,)</f>
        <v>Urban grassland (greenspace) --- moderate</v>
      </c>
      <c r="E249" s="40" t="str">
        <f>_xlfn.XLOOKUP($B249,'30'!$B:$B,'30'!E:E,)</f>
        <v>Quality of place</v>
      </c>
      <c r="F249" s="40">
        <f>_xlfn.XLOOKUP($B249,'30'!$B:$B,'30'!F:F,)</f>
        <v>2010</v>
      </c>
      <c r="G249" s="40">
        <f>_xlfn.XLOOKUP($B249,'30'!$B:$B,'30'!G:G,)</f>
        <v>2023</v>
      </c>
      <c r="H249" s="40">
        <f>_xlfn.XLOOKUP($B249,'30'!$B:$B,'30'!H:H,)</f>
        <v>2023</v>
      </c>
      <c r="I249" s="40">
        <f>_xlfn.XLOOKUP($B249,'30'!$B:$B,'30'!I:I,)</f>
        <v>100</v>
      </c>
      <c r="J249" s="40">
        <f>_xlfn.XLOOKUP($B249,'30'!$B:$B,'30'!J:J,)</f>
        <v>100</v>
      </c>
      <c r="K249" s="629">
        <f>_xlfn.XLOOKUP($B249,'30'!$B:$B,'30'!K:K,)</f>
        <v>-6398.4000000000005</v>
      </c>
      <c r="L249" s="629">
        <f>_xlfn.XLOOKUP($B249,'30'!$B:$B,'30'!L:L,)</f>
        <v>-6398.4000000000005</v>
      </c>
      <c r="M249" s="40" t="str">
        <f>_xlfn.XLOOKUP($B249,'30'!$B:$B,'30'!M:M,)</f>
        <v>Hedonic pricing</v>
      </c>
      <c r="N249" s="326">
        <f>_xlfn.XLOOKUP($B249,'30'!$B:$B,'30'!N:N,)</f>
        <v>2.1428571428571401</v>
      </c>
      <c r="O249" s="40" t="str">
        <f>_xlfn.XLOOKUP($B249,'30'!$B:$B,'30'!O:O,)</f>
        <v>Yes</v>
      </c>
      <c r="P249" s="40" t="str">
        <f>_xlfn.XLOOKUP($B249,'30'!$B:$B,'30'!P:P,)</f>
        <v>This is the only available source of valuation found that match the unit of measure required. We have included it as it has been vetted by Defra.</v>
      </c>
      <c r="Q249" s="40">
        <f>_xlfn.XLOOKUP($B249,'30'!$B:$B,'30'!Q:Q,)</f>
        <v>127</v>
      </c>
      <c r="R249" s="40" t="str">
        <f>_xlfn.XLOOKUP($B249,'30'!$B:$B,'30'!R:R,)</f>
        <v>GLA Economics (2010) Valuing housing and green spaces: understanding local amenities, the built environment and house prices in London</v>
      </c>
      <c r="S249" s="40" t="str">
        <f>_xlfn.XLOOKUP($B249,'30'!$B:$B,'30'!S:S,)</f>
        <v>ENCA</v>
      </c>
      <c r="T249" s="40">
        <f>_xlfn.XLOOKUP($B249,'30'!$B:$B,'30'!T:T,)</f>
        <v>2010</v>
      </c>
      <c r="U249" s="40" t="str">
        <f>_xlfn.XLOOKUP($B249,'30'!$B:$B,'30'!U:U,)</f>
        <v>England</v>
      </c>
      <c r="V249" s="40" t="str">
        <f>_xlfn.XLOOKUP($B249,'30'!$B:$B,'30'!V:V,)</f>
        <v>London</v>
      </c>
      <c r="W249" s="40" t="str">
        <f>_xlfn.XLOOKUP($B249,'30'!$B:$B,'30'!W:W,)</f>
        <v>/</v>
      </c>
    </row>
    <row r="250" spans="2:23">
      <c r="B250" s="39" t="s">
        <v>2990</v>
      </c>
      <c r="C250" s="40" t="str">
        <f>_xlfn.XLOOKUP($B250,'30'!$B:$B,'30'!C:C,)</f>
        <v>Habitat impact</v>
      </c>
      <c r="D250" s="40" t="str">
        <f>_xlfn.XLOOKUP($B250,'30'!$B:$B,'30'!D:D,)</f>
        <v>Urban grassland (greenspace) --- poor</v>
      </c>
      <c r="E250" s="40" t="str">
        <f>_xlfn.XLOOKUP($B250,'30'!$B:$B,'30'!E:E,)</f>
        <v>Quality of place</v>
      </c>
      <c r="F250" s="40">
        <f>_xlfn.XLOOKUP($B250,'30'!$B:$B,'30'!F:F,)</f>
        <v>2010</v>
      </c>
      <c r="G250" s="40">
        <f>_xlfn.XLOOKUP($B250,'30'!$B:$B,'30'!G:G,)</f>
        <v>2023</v>
      </c>
      <c r="H250" s="40">
        <f>_xlfn.XLOOKUP($B250,'30'!$B:$B,'30'!H:H,)</f>
        <v>2023</v>
      </c>
      <c r="I250" s="40">
        <f>_xlfn.XLOOKUP($B250,'30'!$B:$B,'30'!I:I,)</f>
        <v>100</v>
      </c>
      <c r="J250" s="40">
        <f>_xlfn.XLOOKUP($B250,'30'!$B:$B,'30'!J:J,)</f>
        <v>100</v>
      </c>
      <c r="K250" s="629">
        <f>_xlfn.XLOOKUP($B250,'30'!$B:$B,'30'!K:K,)</f>
        <v>-4265.6000000000004</v>
      </c>
      <c r="L250" s="629">
        <f>_xlfn.XLOOKUP($B250,'30'!$B:$B,'30'!L:L,)</f>
        <v>-4265.6000000000004</v>
      </c>
      <c r="M250" s="40" t="str">
        <f>_xlfn.XLOOKUP($B250,'30'!$B:$B,'30'!M:M,)</f>
        <v>Hedonic pricing</v>
      </c>
      <c r="N250" s="326">
        <f>_xlfn.XLOOKUP($B250,'30'!$B:$B,'30'!N:N,)</f>
        <v>2.1428571428571401</v>
      </c>
      <c r="O250" s="40" t="str">
        <f>_xlfn.XLOOKUP($B250,'30'!$B:$B,'30'!O:O,)</f>
        <v>Yes</v>
      </c>
      <c r="P250" s="40" t="str">
        <f>_xlfn.XLOOKUP($B250,'30'!$B:$B,'30'!P:P,)</f>
        <v>This is the only available source of valuation found that match the unit of measure required. We have included it as it has been vetted by Defra.</v>
      </c>
      <c r="Q250" s="40">
        <f>_xlfn.XLOOKUP($B250,'30'!$B:$B,'30'!Q:Q,)</f>
        <v>127</v>
      </c>
      <c r="R250" s="40" t="str">
        <f>_xlfn.XLOOKUP($B250,'30'!$B:$B,'30'!R:R,)</f>
        <v>GLA Economics (2010) Valuing housing and green spaces: understanding local amenities, the built environment and house prices in London</v>
      </c>
      <c r="S250" s="40" t="str">
        <f>_xlfn.XLOOKUP($B250,'30'!$B:$B,'30'!S:S,)</f>
        <v>ENCA</v>
      </c>
      <c r="T250" s="40">
        <f>_xlfn.XLOOKUP($B250,'30'!$B:$B,'30'!T:T,)</f>
        <v>2010</v>
      </c>
      <c r="U250" s="40" t="str">
        <f>_xlfn.XLOOKUP($B250,'30'!$B:$B,'30'!U:U,)</f>
        <v>England</v>
      </c>
      <c r="V250" s="40" t="str">
        <f>_xlfn.XLOOKUP($B250,'30'!$B:$B,'30'!V:V,)</f>
        <v>London</v>
      </c>
      <c r="W250" s="40" t="str">
        <f>_xlfn.XLOOKUP($B250,'30'!$B:$B,'30'!W:W,)</f>
        <v>/</v>
      </c>
    </row>
    <row r="251" spans="2:23">
      <c r="B251" s="39" t="s">
        <v>2995</v>
      </c>
      <c r="C251" s="40" t="str">
        <f>_xlfn.XLOOKUP($B251,'30'!$B:$B,'30'!C:C,)</f>
        <v>Habitat impact</v>
      </c>
      <c r="D251" s="40" t="str">
        <f>_xlfn.XLOOKUP($B251,'30'!$B:$B,'30'!D:D,)</f>
        <v>SuDS - high benefits</v>
      </c>
      <c r="E251" s="40" t="str">
        <f>_xlfn.XLOOKUP($B251,'30'!$B:$B,'30'!E:E,)</f>
        <v>Skills and knowledge</v>
      </c>
      <c r="F251" s="40">
        <f>_xlfn.XLOOKUP($B251,'30'!$B:$B,'30'!F:F,)</f>
        <v>2021</v>
      </c>
      <c r="G251" s="40">
        <f>_xlfn.XLOOKUP($B251,'30'!$B:$B,'30'!G:G,)</f>
        <v>2021</v>
      </c>
      <c r="H251" s="40">
        <f>_xlfn.XLOOKUP($B251,'30'!$B:$B,'30'!H:H,)</f>
        <v>2023</v>
      </c>
      <c r="I251" s="40">
        <f>_xlfn.XLOOKUP($B251,'30'!$B:$B,'30'!I:I,)</f>
        <v>88.789299999999997</v>
      </c>
      <c r="J251" s="40">
        <f>_xlfn.XLOOKUP($B251,'30'!$B:$B,'30'!J:J,)</f>
        <v>100</v>
      </c>
      <c r="K251" s="629">
        <f>_xlfn.XLOOKUP($B251,'30'!$B:$B,'30'!K:K,)</f>
        <v>-228</v>
      </c>
      <c r="L251" s="629">
        <f>_xlfn.XLOOKUP($B251,'30'!$B:$B,'30'!L:L,)</f>
        <v>-256.78769851772682</v>
      </c>
      <c r="M251" s="40" t="str">
        <f>_xlfn.XLOOKUP($B251,'30'!$B:$B,'30'!M:M,)</f>
        <v>Based on B£ST</v>
      </c>
      <c r="N251" s="326">
        <f>_xlfn.XLOOKUP($B251,'30'!$B:$B,'30'!N:N,)</f>
        <v>2.5714285714285698</v>
      </c>
      <c r="O251" s="40" t="str">
        <f>_xlfn.XLOOKUP($B251,'30'!$B:$B,'30'!O:O,)</f>
        <v>Yes</v>
      </c>
      <c r="P251" s="40" t="str">
        <f>_xlfn.XLOOKUP($B251,'30'!$B:$B,'30'!P:P,)</f>
        <v>Recent and UK Specific</v>
      </c>
      <c r="Q251" s="40">
        <f>_xlfn.XLOOKUP($B251,'30'!$B:$B,'30'!Q:Q,)</f>
        <v>116</v>
      </c>
      <c r="R251" s="40" t="str">
        <f>_xlfn.XLOOKUP($B251,'30'!$B:$B,'30'!R:R,)</f>
        <v>Water UK / Stantec (2021) Storm overflow evidence project</v>
      </c>
      <c r="S251" s="40" t="str">
        <f>_xlfn.XLOOKUP($B251,'30'!$B:$B,'30'!S:S,)</f>
        <v>/</v>
      </c>
      <c r="T251" s="40">
        <f>_xlfn.XLOOKUP($B251,'30'!$B:$B,'30'!T:T,)</f>
        <v>2021</v>
      </c>
      <c r="U251" s="40" t="str">
        <f>_xlfn.XLOOKUP($B251,'30'!$B:$B,'30'!U:U,)</f>
        <v>UK</v>
      </c>
      <c r="V251" s="40" t="str">
        <f>_xlfn.XLOOKUP($B251,'30'!$B:$B,'30'!V:V,)</f>
        <v>UK</v>
      </c>
      <c r="W251" s="40" t="str">
        <f>_xlfn.XLOOKUP($B251,'30'!$B:$B,'30'!W:W,)</f>
        <v>/</v>
      </c>
    </row>
    <row r="252" spans="2:23">
      <c r="B252" s="39" t="s">
        <v>2996</v>
      </c>
      <c r="C252" s="40" t="str">
        <f>_xlfn.XLOOKUP($B252,'30'!$B:$B,'30'!C:C,)</f>
        <v>Habitat impact</v>
      </c>
      <c r="D252" s="40" t="str">
        <f>_xlfn.XLOOKUP($B252,'30'!$B:$B,'30'!D:D,)</f>
        <v>SuDS - medium benefits</v>
      </c>
      <c r="E252" s="40" t="str">
        <f>_xlfn.XLOOKUP($B252,'30'!$B:$B,'30'!E:E,)</f>
        <v>Skills and knowledge</v>
      </c>
      <c r="F252" s="40">
        <f>_xlfn.XLOOKUP($B252,'30'!$B:$B,'30'!F:F,)</f>
        <v>2021</v>
      </c>
      <c r="G252" s="40">
        <f>_xlfn.XLOOKUP($B252,'30'!$B:$B,'30'!G:G,)</f>
        <v>2021</v>
      </c>
      <c r="H252" s="40">
        <f>_xlfn.XLOOKUP($B252,'30'!$B:$B,'30'!H:H,)</f>
        <v>2023</v>
      </c>
      <c r="I252" s="40">
        <f>_xlfn.XLOOKUP($B252,'30'!$B:$B,'30'!I:I,)</f>
        <v>88.789299999999997</v>
      </c>
      <c r="J252" s="40">
        <f>_xlfn.XLOOKUP($B252,'30'!$B:$B,'30'!J:J,)</f>
        <v>100</v>
      </c>
      <c r="K252" s="629">
        <f>_xlfn.XLOOKUP($B252,'30'!$B:$B,'30'!K:K,)</f>
        <v>-171</v>
      </c>
      <c r="L252" s="629">
        <f>_xlfn.XLOOKUP($B252,'30'!$B:$B,'30'!L:L,)</f>
        <v>-192.5907738882951</v>
      </c>
      <c r="M252" s="40" t="str">
        <f>_xlfn.XLOOKUP($B252,'30'!$B:$B,'30'!M:M,)</f>
        <v>Based on B£ST</v>
      </c>
      <c r="N252" s="326">
        <f>_xlfn.XLOOKUP($B252,'30'!$B:$B,'30'!N:N,)</f>
        <v>2.5714285714285698</v>
      </c>
      <c r="O252" s="40" t="str">
        <f>_xlfn.XLOOKUP($B252,'30'!$B:$B,'30'!O:O,)</f>
        <v>Yes</v>
      </c>
      <c r="P252" s="40" t="str">
        <f>_xlfn.XLOOKUP($B252,'30'!$B:$B,'30'!P:P,)</f>
        <v>Recent and UK Specific</v>
      </c>
      <c r="Q252" s="40">
        <f>_xlfn.XLOOKUP($B252,'30'!$B:$B,'30'!Q:Q,)</f>
        <v>116</v>
      </c>
      <c r="R252" s="40" t="str">
        <f>_xlfn.XLOOKUP($B252,'30'!$B:$B,'30'!R:R,)</f>
        <v>Water UK / Stantec (2021) Storm overflow evidence project</v>
      </c>
      <c r="S252" s="40" t="str">
        <f>_xlfn.XLOOKUP($B252,'30'!$B:$B,'30'!S:S,)</f>
        <v>/</v>
      </c>
      <c r="T252" s="40">
        <f>_xlfn.XLOOKUP($B252,'30'!$B:$B,'30'!T:T,)</f>
        <v>2021</v>
      </c>
      <c r="U252" s="40" t="str">
        <f>_xlfn.XLOOKUP($B252,'30'!$B:$B,'30'!U:U,)</f>
        <v>UK</v>
      </c>
      <c r="V252" s="40" t="str">
        <f>_xlfn.XLOOKUP($B252,'30'!$B:$B,'30'!V:V,)</f>
        <v>UK</v>
      </c>
      <c r="W252" s="40" t="str">
        <f>_xlfn.XLOOKUP($B252,'30'!$B:$B,'30'!W:W,)</f>
        <v>/</v>
      </c>
    </row>
    <row r="253" spans="2:23">
      <c r="B253" s="39" t="s">
        <v>2997</v>
      </c>
      <c r="C253" s="40" t="str">
        <f>_xlfn.XLOOKUP($B253,'30'!$B:$B,'30'!C:C,)</f>
        <v>Habitat impact</v>
      </c>
      <c r="D253" s="40" t="str">
        <f>_xlfn.XLOOKUP($B253,'30'!$B:$B,'30'!D:D,)</f>
        <v>SuDS - low benefits</v>
      </c>
      <c r="E253" s="40" t="str">
        <f>_xlfn.XLOOKUP($B253,'30'!$B:$B,'30'!E:E,)</f>
        <v>Skills and knowledge</v>
      </c>
      <c r="F253" s="40">
        <f>_xlfn.XLOOKUP($B253,'30'!$B:$B,'30'!F:F,)</f>
        <v>2021</v>
      </c>
      <c r="G253" s="40">
        <f>_xlfn.XLOOKUP($B253,'30'!$B:$B,'30'!G:G,)</f>
        <v>2021</v>
      </c>
      <c r="H253" s="40">
        <f>_xlfn.XLOOKUP($B253,'30'!$B:$B,'30'!H:H,)</f>
        <v>2023</v>
      </c>
      <c r="I253" s="40">
        <f>_xlfn.XLOOKUP($B253,'30'!$B:$B,'30'!I:I,)</f>
        <v>88.789299999999997</v>
      </c>
      <c r="J253" s="40">
        <f>_xlfn.XLOOKUP($B253,'30'!$B:$B,'30'!J:J,)</f>
        <v>100</v>
      </c>
      <c r="K253" s="629">
        <f>_xlfn.XLOOKUP($B253,'30'!$B:$B,'30'!K:K,)</f>
        <v>-114</v>
      </c>
      <c r="L253" s="629">
        <f>_xlfn.XLOOKUP($B253,'30'!$B:$B,'30'!L:L,)</f>
        <v>-128.39384925886341</v>
      </c>
      <c r="M253" s="40" t="str">
        <f>_xlfn.XLOOKUP($B253,'30'!$B:$B,'30'!M:M,)</f>
        <v>Based on B£ST</v>
      </c>
      <c r="N253" s="326">
        <f>_xlfn.XLOOKUP($B253,'30'!$B:$B,'30'!N:N,)</f>
        <v>2.5714285714285698</v>
      </c>
      <c r="O253" s="40" t="str">
        <f>_xlfn.XLOOKUP($B253,'30'!$B:$B,'30'!O:O,)</f>
        <v>Yes</v>
      </c>
      <c r="P253" s="40" t="str">
        <f>_xlfn.XLOOKUP($B253,'30'!$B:$B,'30'!P:P,)</f>
        <v>Recent and UK Specific</v>
      </c>
      <c r="Q253" s="40">
        <f>_xlfn.XLOOKUP($B253,'30'!$B:$B,'30'!Q:Q,)</f>
        <v>116</v>
      </c>
      <c r="R253" s="40" t="str">
        <f>_xlfn.XLOOKUP($B253,'30'!$B:$B,'30'!R:R,)</f>
        <v>Water UK / Stantec (2021) Storm overflow evidence project</v>
      </c>
      <c r="S253" s="40" t="str">
        <f>_xlfn.XLOOKUP($B253,'30'!$B:$B,'30'!S:S,)</f>
        <v>/</v>
      </c>
      <c r="T253" s="40">
        <f>_xlfn.XLOOKUP($B253,'30'!$B:$B,'30'!T:T,)</f>
        <v>2021</v>
      </c>
      <c r="U253" s="40" t="str">
        <f>_xlfn.XLOOKUP($B253,'30'!$B:$B,'30'!U:U,)</f>
        <v>UK</v>
      </c>
      <c r="V253" s="40" t="str">
        <f>_xlfn.XLOOKUP($B253,'30'!$B:$B,'30'!V:V,)</f>
        <v>UK</v>
      </c>
      <c r="W253" s="40" t="str">
        <f>_xlfn.XLOOKUP($B253,'30'!$B:$B,'30'!W:W,)</f>
        <v>/</v>
      </c>
    </row>
    <row r="254" spans="2:23">
      <c r="B254" s="39" t="s">
        <v>3021</v>
      </c>
      <c r="C254" s="40" t="str">
        <f>_xlfn.XLOOKUP($B254,'30'!$B:$B,'30'!C:C,)</f>
        <v>Habitat impact</v>
      </c>
      <c r="D254" s="40" t="str">
        <f>_xlfn.XLOOKUP($B254,'30'!$B:$B,'30'!D:D,)</f>
        <v>Biodiversity Unit --- high value</v>
      </c>
      <c r="E254" s="40" t="str">
        <f>_xlfn.XLOOKUP($B254,'30'!$B:$B,'30'!E:E,)</f>
        <v>Biodiversity</v>
      </c>
      <c r="F254" s="40">
        <f>_xlfn.XLOOKUP($B254,'30'!$B:$B,'30'!F:F,)</f>
        <v>2021</v>
      </c>
      <c r="G254" s="40">
        <f>_xlfn.XLOOKUP($B254,'30'!$B:$B,'30'!G:G,)</f>
        <v>2021</v>
      </c>
      <c r="H254" s="40">
        <f>_xlfn.XLOOKUP($B254,'30'!$B:$B,'30'!H:H,)</f>
        <v>2023</v>
      </c>
      <c r="I254" s="40">
        <f>_xlfn.XLOOKUP($B254,'30'!$B:$B,'30'!I:I,)</f>
        <v>88.789299999999997</v>
      </c>
      <c r="J254" s="40">
        <f>_xlfn.XLOOKUP($B254,'30'!$B:$B,'30'!J:J,)</f>
        <v>100</v>
      </c>
      <c r="K254" s="629">
        <f>_xlfn.XLOOKUP($B254,'30'!$B:$B,'30'!K:K,)</f>
        <v>-25000</v>
      </c>
      <c r="L254" s="629">
        <f>_xlfn.XLOOKUP($B254,'30'!$B:$B,'30'!L:L,)</f>
        <v>-28156.545890101625</v>
      </c>
      <c r="M254" s="40" t="str">
        <f>_xlfn.XLOOKUP($B254,'30'!$B:$B,'30'!M:M,)</f>
        <v>Market price</v>
      </c>
      <c r="N254" s="326">
        <f>_xlfn.XLOOKUP($B254,'30'!$B:$B,'30'!N:N,)</f>
        <v>2.6666666666666665</v>
      </c>
      <c r="O254" s="40" t="str">
        <f>_xlfn.XLOOKUP($B254,'30'!$B:$B,'30'!O:O,)</f>
        <v>Yes</v>
      </c>
      <c r="P254" s="40" t="str">
        <f>_xlfn.XLOOKUP($B254,'30'!$B:$B,'30'!P:P,)</f>
        <v>Analysis demonstrating market price of Biodiversity Units, readily transferable, specific to England and endorsed by Defra</v>
      </c>
      <c r="Q254" s="40">
        <f>_xlfn.XLOOKUP($B254,'30'!$B:$B,'30'!Q:Q,)</f>
        <v>132</v>
      </c>
      <c r="R254" s="40" t="str">
        <f>_xlfn.XLOOKUP($B254,'30'!$B:$B,'30'!R:R,)</f>
        <v>Defra / eftec</v>
      </c>
      <c r="S254" s="40" t="str">
        <f>_xlfn.XLOOKUP($B254,'30'!$B:$B,'30'!S:S,)</f>
        <v>/</v>
      </c>
      <c r="T254" s="40">
        <f>_xlfn.XLOOKUP($B254,'30'!$B:$B,'30'!T:T,)</f>
        <v>2021</v>
      </c>
      <c r="U254" s="40" t="str">
        <f>_xlfn.XLOOKUP($B254,'30'!$B:$B,'30'!U:U,)</f>
        <v>England</v>
      </c>
      <c r="V254" s="40" t="str">
        <f>_xlfn.XLOOKUP($B254,'30'!$B:$B,'30'!V:V,)</f>
        <v>England</v>
      </c>
      <c r="W254" s="40" t="str">
        <f>_xlfn.XLOOKUP($B254,'30'!$B:$B,'30'!W:W,)</f>
        <v>/</v>
      </c>
    </row>
    <row r="255" spans="2:23">
      <c r="B255" s="39" t="s">
        <v>3022</v>
      </c>
      <c r="C255" s="40" t="str">
        <f>_xlfn.XLOOKUP($B255,'30'!$B:$B,'30'!C:C,)</f>
        <v>Habitat impact</v>
      </c>
      <c r="D255" s="40" t="str">
        <f>_xlfn.XLOOKUP($B255,'30'!$B:$B,'30'!D:D,)</f>
        <v>Biodiversity Unit --- central value</v>
      </c>
      <c r="E255" s="40" t="str">
        <f>_xlfn.XLOOKUP($B255,'30'!$B:$B,'30'!E:E,)</f>
        <v>Biodiversity</v>
      </c>
      <c r="F255" s="40">
        <f>_xlfn.XLOOKUP($B255,'30'!$B:$B,'30'!F:F,)</f>
        <v>2021</v>
      </c>
      <c r="G255" s="40">
        <f>_xlfn.XLOOKUP($B255,'30'!$B:$B,'30'!G:G,)</f>
        <v>2021</v>
      </c>
      <c r="H255" s="40">
        <f>_xlfn.XLOOKUP($B255,'30'!$B:$B,'30'!H:H,)</f>
        <v>2023</v>
      </c>
      <c r="I255" s="40">
        <f>_xlfn.XLOOKUP($B255,'30'!$B:$B,'30'!I:I,)</f>
        <v>88.789299999999997</v>
      </c>
      <c r="J255" s="40">
        <f>_xlfn.XLOOKUP($B255,'30'!$B:$B,'30'!J:J,)</f>
        <v>100</v>
      </c>
      <c r="K255" s="629">
        <f>_xlfn.XLOOKUP($B255,'30'!$B:$B,'30'!K:K,)</f>
        <v>-22500</v>
      </c>
      <c r="L255" s="629">
        <f>_xlfn.XLOOKUP($B255,'30'!$B:$B,'30'!L:L,)</f>
        <v>-25340.891301091462</v>
      </c>
      <c r="M255" s="40" t="str">
        <f>_xlfn.XLOOKUP($B255,'30'!$B:$B,'30'!M:M,)</f>
        <v>Market price</v>
      </c>
      <c r="N255" s="326">
        <f>_xlfn.XLOOKUP($B255,'30'!$B:$B,'30'!N:N,)</f>
        <v>2.6666666666666665</v>
      </c>
      <c r="O255" s="40" t="str">
        <f>_xlfn.XLOOKUP($B255,'30'!$B:$B,'30'!O:O,)</f>
        <v>Yes</v>
      </c>
      <c r="P255" s="40" t="str">
        <f>_xlfn.XLOOKUP($B255,'30'!$B:$B,'30'!P:P,)</f>
        <v>Analysis demonstrating market price of Biodiversity Units, readily transferable, specific to England and endorsed by Defra</v>
      </c>
      <c r="Q255" s="40">
        <f>_xlfn.XLOOKUP($B255,'30'!$B:$B,'30'!Q:Q,)</f>
        <v>132</v>
      </c>
      <c r="R255" s="40" t="str">
        <f>_xlfn.XLOOKUP($B255,'30'!$B:$B,'30'!R:R,)</f>
        <v>Defra / eftec</v>
      </c>
      <c r="S255" s="40" t="str">
        <f>_xlfn.XLOOKUP($B255,'30'!$B:$B,'30'!S:S,)</f>
        <v>/</v>
      </c>
      <c r="T255" s="40">
        <f>_xlfn.XLOOKUP($B255,'30'!$B:$B,'30'!T:T,)</f>
        <v>2021</v>
      </c>
      <c r="U255" s="40" t="str">
        <f>_xlfn.XLOOKUP($B255,'30'!$B:$B,'30'!U:U,)</f>
        <v>England</v>
      </c>
      <c r="V255" s="40" t="str">
        <f>_xlfn.XLOOKUP($B255,'30'!$B:$B,'30'!V:V,)</f>
        <v>England</v>
      </c>
      <c r="W255" s="40" t="str">
        <f>_xlfn.XLOOKUP($B255,'30'!$B:$B,'30'!W:W,)</f>
        <v>/</v>
      </c>
    </row>
    <row r="256" spans="2:23">
      <c r="B256" s="39" t="s">
        <v>3023</v>
      </c>
      <c r="C256" s="40" t="str">
        <f>_xlfn.XLOOKUP($B256,'30'!$B:$B,'30'!C:C,)</f>
        <v>Habitat impact</v>
      </c>
      <c r="D256" s="40" t="str">
        <f>_xlfn.XLOOKUP($B256,'30'!$B:$B,'30'!D:D,)</f>
        <v>Biodiversity Unit --- low value</v>
      </c>
      <c r="E256" s="40" t="str">
        <f>_xlfn.XLOOKUP($B256,'30'!$B:$B,'30'!E:E,)</f>
        <v>Biodiversity</v>
      </c>
      <c r="F256" s="40">
        <f>_xlfn.XLOOKUP($B256,'30'!$B:$B,'30'!F:F,)</f>
        <v>2021</v>
      </c>
      <c r="G256" s="40">
        <f>_xlfn.XLOOKUP($B256,'30'!$B:$B,'30'!G:G,)</f>
        <v>2021</v>
      </c>
      <c r="H256" s="40">
        <f>_xlfn.XLOOKUP($B256,'30'!$B:$B,'30'!H:H,)</f>
        <v>2023</v>
      </c>
      <c r="I256" s="40">
        <f>_xlfn.XLOOKUP($B256,'30'!$B:$B,'30'!I:I,)</f>
        <v>88.789299999999997</v>
      </c>
      <c r="J256" s="40">
        <f>_xlfn.XLOOKUP($B256,'30'!$B:$B,'30'!J:J,)</f>
        <v>100</v>
      </c>
      <c r="K256" s="629">
        <f>_xlfn.XLOOKUP($B256,'30'!$B:$B,'30'!K:K,)</f>
        <v>-20000</v>
      </c>
      <c r="L256" s="629">
        <f>_xlfn.XLOOKUP($B256,'30'!$B:$B,'30'!L:L,)</f>
        <v>-22525.2367120813</v>
      </c>
      <c r="M256" s="40" t="str">
        <f>_xlfn.XLOOKUP($B256,'30'!$B:$B,'30'!M:M,)</f>
        <v>Market price</v>
      </c>
      <c r="N256" s="326">
        <f>_xlfn.XLOOKUP($B256,'30'!$B:$B,'30'!N:N,)</f>
        <v>2.6666666666666665</v>
      </c>
      <c r="O256" s="40" t="str">
        <f>_xlfn.XLOOKUP($B256,'30'!$B:$B,'30'!O:O,)</f>
        <v>Yes</v>
      </c>
      <c r="P256" s="40" t="str">
        <f>_xlfn.XLOOKUP($B256,'30'!$B:$B,'30'!P:P,)</f>
        <v>Analysis demonstrating market price of Biodiversity Units, readily transferable, specific to England and endorsed by Defra</v>
      </c>
      <c r="Q256" s="40">
        <f>_xlfn.XLOOKUP($B256,'30'!$B:$B,'30'!Q:Q,)</f>
        <v>132</v>
      </c>
      <c r="R256" s="40" t="str">
        <f>_xlfn.XLOOKUP($B256,'30'!$B:$B,'30'!R:R,)</f>
        <v>Defra / eftec</v>
      </c>
      <c r="S256" s="40" t="str">
        <f>_xlfn.XLOOKUP($B256,'30'!$B:$B,'30'!S:S,)</f>
        <v>/</v>
      </c>
      <c r="T256" s="40">
        <f>_xlfn.XLOOKUP($B256,'30'!$B:$B,'30'!T:T,)</f>
        <v>2021</v>
      </c>
      <c r="U256" s="40" t="str">
        <f>_xlfn.XLOOKUP($B256,'30'!$B:$B,'30'!U:U,)</f>
        <v>England</v>
      </c>
      <c r="V256" s="40" t="str">
        <f>_xlfn.XLOOKUP($B256,'30'!$B:$B,'30'!V:V,)</f>
        <v>England</v>
      </c>
      <c r="W256" s="40" t="str">
        <f>_xlfn.XLOOKUP($B256,'30'!$B:$B,'30'!W:W,)</f>
        <v>/</v>
      </c>
    </row>
    <row r="257" spans="2:23">
      <c r="B257" s="39" t="s">
        <v>3019</v>
      </c>
      <c r="C257" s="40" t="str">
        <f>_xlfn.XLOOKUP($B257,'30'!$B:$B,'30'!C:C,)</f>
        <v>Habitat impact</v>
      </c>
      <c r="D257" s="40" t="str">
        <f>_xlfn.XLOOKUP($B257,'30'!$B:$B,'30'!D:D,)</f>
        <v>Biodiversity Unit --- watercourses only</v>
      </c>
      <c r="E257" s="40" t="str">
        <f>_xlfn.XLOOKUP($B257,'30'!$B:$B,'30'!E:E,)</f>
        <v>Biodiversity</v>
      </c>
      <c r="F257" s="40">
        <f>_xlfn.XLOOKUP($B257,'30'!$B:$B,'30'!F:F,)</f>
        <v>2024</v>
      </c>
      <c r="G257" s="40">
        <f>_xlfn.XLOOKUP($B257,'30'!$B:$B,'30'!G:G,)</f>
        <v>2024</v>
      </c>
      <c r="H257" s="40">
        <f>_xlfn.XLOOKUP($B257,'30'!$B:$B,'30'!H:H,)</f>
        <v>2023</v>
      </c>
      <c r="I257" s="40">
        <f>_xlfn.XLOOKUP($B257,'30'!$B:$B,'30'!I:I,)</f>
        <v>101.52460002617836</v>
      </c>
      <c r="J257" s="40">
        <f>_xlfn.XLOOKUP($B257,'30'!$B:$B,'30'!J:J,)</f>
        <v>100</v>
      </c>
      <c r="K257" s="629">
        <f>_xlfn.XLOOKUP($B257,'30'!$B:$B,'30'!K:K,)</f>
        <v>-157100</v>
      </c>
      <c r="L257" s="629">
        <f>_xlfn.XLOOKUP($B257,'30'!$B:$B,'30'!L:L,)</f>
        <v>-154740.82139648063</v>
      </c>
      <c r="M257" s="40" t="str">
        <f>_xlfn.XLOOKUP($B257,'30'!$B:$B,'30'!M:M,)</f>
        <v>Market price</v>
      </c>
      <c r="N257" s="326">
        <f>_xlfn.XLOOKUP($B257,'30'!$B:$B,'30'!N:N,)</f>
        <v>3</v>
      </c>
      <c r="O257" s="40" t="str">
        <f>_xlfn.XLOOKUP($B257,'30'!$B:$B,'30'!O:O,)</f>
        <v>Yes</v>
      </c>
      <c r="P257" s="40" t="str">
        <f>_xlfn.XLOOKUP($B257,'30'!$B:$B,'30'!P:P,)</f>
        <v>Latest value as recommended by NCEM</v>
      </c>
      <c r="Q257" s="40">
        <f>_xlfn.XLOOKUP($B257,'30'!$B:$B,'30'!Q:Q,)</f>
        <v>138</v>
      </c>
      <c r="R257" s="40" t="str">
        <f>_xlfn.XLOOKUP($B257,'30'!$B:$B,'30'!R:R,)</f>
        <v>Biodiversity Units UK</v>
      </c>
      <c r="S257" s="40" t="str">
        <f>_xlfn.XLOOKUP($B257,'30'!$B:$B,'30'!S:S,)</f>
        <v>NCEM</v>
      </c>
      <c r="T257" s="40">
        <f>_xlfn.XLOOKUP($B257,'30'!$B:$B,'30'!T:T,)</f>
        <v>2024</v>
      </c>
      <c r="U257" s="40" t="str">
        <f>_xlfn.XLOOKUP($B257,'30'!$B:$B,'30'!U:U,)</f>
        <v>England</v>
      </c>
      <c r="V257" s="40" t="str">
        <f>_xlfn.XLOOKUP($B257,'30'!$B:$B,'30'!V:V,)</f>
        <v>England</v>
      </c>
      <c r="W257" s="40" t="str">
        <f>_xlfn.XLOOKUP($B257,'30'!$B:$B,'30'!W:W,)</f>
        <v>/</v>
      </c>
    </row>
    <row r="258" spans="2:23">
      <c r="B258" s="39" t="s">
        <v>3035</v>
      </c>
      <c r="C258" s="40" t="str">
        <f>_xlfn.XLOOKUP($B258,'30'!$B:$B,'30'!C:C,)</f>
        <v>Habitat impact</v>
      </c>
      <c r="D258" s="40" t="str">
        <f>_xlfn.XLOOKUP($B258,'30'!$B:$B,'30'!D:D,)</f>
        <v>Farmland --- good</v>
      </c>
      <c r="E258" s="40" t="str">
        <f>_xlfn.XLOOKUP($B258,'30'!$B:$B,'30'!E:E,)</f>
        <v>Local economy</v>
      </c>
      <c r="F258" s="40">
        <f>_xlfn.XLOOKUP($B258,'30'!$B:$B,'30'!F:F,)</f>
        <v>2025</v>
      </c>
      <c r="G258" s="40">
        <f>_xlfn.XLOOKUP($B258,'30'!$B:$B,'30'!G:G,)</f>
        <v>2024</v>
      </c>
      <c r="H258" s="40">
        <f>_xlfn.XLOOKUP($B258,'30'!$B:$B,'30'!H:H,)</f>
        <v>2023</v>
      </c>
      <c r="I258" s="40">
        <f>_xlfn.XLOOKUP($B258,'30'!$B:$B,'30'!I:I,)</f>
        <v>101.52460002617836</v>
      </c>
      <c r="J258" s="40">
        <f>_xlfn.XLOOKUP($B258,'30'!$B:$B,'30'!J:J,)</f>
        <v>100</v>
      </c>
      <c r="K258" s="629">
        <f>_xlfn.XLOOKUP($B258,'30'!$B:$B,'30'!K:K,)</f>
        <v>-1109.97</v>
      </c>
      <c r="L258" s="629">
        <f>_xlfn.XLOOKUP($B258,'30'!$B:$B,'30'!L:L,)</f>
        <v>-1093.3015246686928</v>
      </c>
      <c r="M258" s="40" t="str">
        <f>_xlfn.XLOOKUP($B258,'30'!$B:$B,'30'!M:M,)</f>
        <v>5 year average gross margin</v>
      </c>
      <c r="N258" s="326">
        <f>_xlfn.XLOOKUP($B258,'30'!$B:$B,'30'!N:N,)</f>
        <v>2.5714285714285698</v>
      </c>
      <c r="O258" s="40" t="str">
        <f>_xlfn.XLOOKUP($B258,'30'!$B:$B,'30'!O:O,)</f>
        <v>Yes</v>
      </c>
      <c r="P258" s="40" t="str">
        <f>_xlfn.XLOOKUP($B258,'30'!$B:$B,'30'!P:P,)</f>
        <v>Referenced in NCEM</v>
      </c>
      <c r="Q258" s="40">
        <f>_xlfn.XLOOKUP($B258,'30'!$B:$B,'30'!Q:Q,)</f>
        <v>137</v>
      </c>
      <c r="R258" s="40" t="str">
        <f>_xlfn.XLOOKUP($B258,'30'!$B:$B,'30'!R:R,)</f>
        <v>EA (2025) Natural Capital Evidence and Metrics</v>
      </c>
      <c r="S258" s="40" t="str">
        <f>_xlfn.XLOOKUP($B258,'30'!$B:$B,'30'!S:S,)</f>
        <v>NCEM</v>
      </c>
      <c r="T258" s="40">
        <f>_xlfn.XLOOKUP($B258,'30'!$B:$B,'30'!T:T,)</f>
        <v>2025</v>
      </c>
      <c r="U258" s="40" t="str">
        <f>_xlfn.XLOOKUP($B258,'30'!$B:$B,'30'!U:U,)</f>
        <v>UK</v>
      </c>
      <c r="V258" s="40" t="str">
        <f>_xlfn.XLOOKUP($B258,'30'!$B:$B,'30'!V:V,)</f>
        <v>UK</v>
      </c>
      <c r="W258" s="40" t="str">
        <f>_xlfn.XLOOKUP($B258,'30'!$B:$B,'30'!W:W,)</f>
        <v>/</v>
      </c>
    </row>
    <row r="259" spans="2:23">
      <c r="B259" s="39" t="s">
        <v>3036</v>
      </c>
      <c r="C259" s="40" t="str">
        <f>_xlfn.XLOOKUP($B259,'30'!$B:$B,'30'!C:C,)</f>
        <v>Habitat impact</v>
      </c>
      <c r="D259" s="40" t="str">
        <f>_xlfn.XLOOKUP($B259,'30'!$B:$B,'30'!D:D,)</f>
        <v>Farmland --- moderate</v>
      </c>
      <c r="E259" s="40" t="str">
        <f>_xlfn.XLOOKUP($B259,'30'!$B:$B,'30'!E:E,)</f>
        <v>Local economy</v>
      </c>
      <c r="F259" s="40">
        <f>_xlfn.XLOOKUP($B259,'30'!$B:$B,'30'!F:F,)</f>
        <v>2025</v>
      </c>
      <c r="G259" s="40">
        <f>_xlfn.XLOOKUP($B259,'30'!$B:$B,'30'!G:G,)</f>
        <v>2024</v>
      </c>
      <c r="H259" s="40">
        <f>_xlfn.XLOOKUP($B259,'30'!$B:$B,'30'!H:H,)</f>
        <v>2023</v>
      </c>
      <c r="I259" s="40">
        <f>_xlfn.XLOOKUP($B259,'30'!$B:$B,'30'!I:I,)</f>
        <v>101.52460002617836</v>
      </c>
      <c r="J259" s="40">
        <f>_xlfn.XLOOKUP($B259,'30'!$B:$B,'30'!J:J,)</f>
        <v>100</v>
      </c>
      <c r="K259" s="629">
        <f>_xlfn.XLOOKUP($B259,'30'!$B:$B,'30'!K:K,)</f>
        <v>-832.47749999999996</v>
      </c>
      <c r="L259" s="629">
        <f>_xlfn.XLOOKUP($B259,'30'!$B:$B,'30'!L:L,)</f>
        <v>-819.97614350151946</v>
      </c>
      <c r="M259" s="40" t="str">
        <f>_xlfn.XLOOKUP($B259,'30'!$B:$B,'30'!M:M,)</f>
        <v>5 year average gross margin</v>
      </c>
      <c r="N259" s="326">
        <f>_xlfn.XLOOKUP($B259,'30'!$B:$B,'30'!N:N,)</f>
        <v>2.5714285714285698</v>
      </c>
      <c r="O259" s="40" t="str">
        <f>_xlfn.XLOOKUP($B259,'30'!$B:$B,'30'!O:O,)</f>
        <v>Yes</v>
      </c>
      <c r="P259" s="40" t="str">
        <f>_xlfn.XLOOKUP($B259,'30'!$B:$B,'30'!P:P,)</f>
        <v>Referenced in NCEM</v>
      </c>
      <c r="Q259" s="40">
        <f>_xlfn.XLOOKUP($B259,'30'!$B:$B,'30'!Q:Q,)</f>
        <v>137</v>
      </c>
      <c r="R259" s="40" t="str">
        <f>_xlfn.XLOOKUP($B259,'30'!$B:$B,'30'!R:R,)</f>
        <v>EA (2025) Natural Capital Evidence and Metrics</v>
      </c>
      <c r="S259" s="40" t="str">
        <f>_xlfn.XLOOKUP($B259,'30'!$B:$B,'30'!S:S,)</f>
        <v>NCEM</v>
      </c>
      <c r="T259" s="40">
        <f>_xlfn.XLOOKUP($B259,'30'!$B:$B,'30'!T:T,)</f>
        <v>2025</v>
      </c>
      <c r="U259" s="40" t="str">
        <f>_xlfn.XLOOKUP($B259,'30'!$B:$B,'30'!U:U,)</f>
        <v>UK</v>
      </c>
      <c r="V259" s="40" t="str">
        <f>_xlfn.XLOOKUP($B259,'30'!$B:$B,'30'!V:V,)</f>
        <v>UK</v>
      </c>
      <c r="W259" s="40" t="str">
        <f>_xlfn.XLOOKUP($B259,'30'!$B:$B,'30'!W:W,)</f>
        <v>/</v>
      </c>
    </row>
    <row r="260" spans="2:23">
      <c r="B260" s="39" t="s">
        <v>3037</v>
      </c>
      <c r="C260" s="40" t="str">
        <f>_xlfn.XLOOKUP($B260,'30'!$B:$B,'30'!C:C,)</f>
        <v>Habitat impact</v>
      </c>
      <c r="D260" s="40" t="str">
        <f>_xlfn.XLOOKUP($B260,'30'!$B:$B,'30'!D:D,)</f>
        <v>Farmland --- poor</v>
      </c>
      <c r="E260" s="40" t="str">
        <f>_xlfn.XLOOKUP($B260,'30'!$B:$B,'30'!E:E,)</f>
        <v>Local economy</v>
      </c>
      <c r="F260" s="40">
        <f>_xlfn.XLOOKUP($B260,'30'!$B:$B,'30'!F:F,)</f>
        <v>2025</v>
      </c>
      <c r="G260" s="40">
        <f>_xlfn.XLOOKUP($B260,'30'!$B:$B,'30'!G:G,)</f>
        <v>2024</v>
      </c>
      <c r="H260" s="40">
        <f>_xlfn.XLOOKUP($B260,'30'!$B:$B,'30'!H:H,)</f>
        <v>2023</v>
      </c>
      <c r="I260" s="40">
        <f>_xlfn.XLOOKUP($B260,'30'!$B:$B,'30'!I:I,)</f>
        <v>101.52460002617836</v>
      </c>
      <c r="J260" s="40">
        <f>_xlfn.XLOOKUP($B260,'30'!$B:$B,'30'!J:J,)</f>
        <v>100</v>
      </c>
      <c r="K260" s="629">
        <f>_xlfn.XLOOKUP($B260,'30'!$B:$B,'30'!K:K,)</f>
        <v>-554.98500000000001</v>
      </c>
      <c r="L260" s="629">
        <f>_xlfn.XLOOKUP($B260,'30'!$B:$B,'30'!L:L,)</f>
        <v>-546.65076233434638</v>
      </c>
      <c r="M260" s="40" t="str">
        <f>_xlfn.XLOOKUP($B260,'30'!$B:$B,'30'!M:M,)</f>
        <v>5 year average gross margin</v>
      </c>
      <c r="N260" s="326">
        <f>_xlfn.XLOOKUP($B260,'30'!$B:$B,'30'!N:N,)</f>
        <v>2.5714285714285698</v>
      </c>
      <c r="O260" s="40" t="str">
        <f>_xlfn.XLOOKUP($B260,'30'!$B:$B,'30'!O:O,)</f>
        <v>Yes</v>
      </c>
      <c r="P260" s="40" t="str">
        <f>_xlfn.XLOOKUP($B260,'30'!$B:$B,'30'!P:P,)</f>
        <v>Referenced in NCEM</v>
      </c>
      <c r="Q260" s="40">
        <f>_xlfn.XLOOKUP($B260,'30'!$B:$B,'30'!Q:Q,)</f>
        <v>137</v>
      </c>
      <c r="R260" s="40" t="str">
        <f>_xlfn.XLOOKUP($B260,'30'!$B:$B,'30'!R:R,)</f>
        <v>EA (2025) Natural Capital Evidence and Metrics</v>
      </c>
      <c r="S260" s="40" t="str">
        <f>_xlfn.XLOOKUP($B260,'30'!$B:$B,'30'!S:S,)</f>
        <v>NCEM</v>
      </c>
      <c r="T260" s="40">
        <f>_xlfn.XLOOKUP($B260,'30'!$B:$B,'30'!T:T,)</f>
        <v>2025</v>
      </c>
      <c r="U260" s="40" t="str">
        <f>_xlfn.XLOOKUP($B260,'30'!$B:$B,'30'!U:U,)</f>
        <v>UK</v>
      </c>
      <c r="V260" s="40" t="str">
        <f>_xlfn.XLOOKUP($B260,'30'!$B:$B,'30'!V:V,)</f>
        <v>UK</v>
      </c>
      <c r="W260" s="40" t="str">
        <f>_xlfn.XLOOKUP($B260,'30'!$B:$B,'30'!W:W,)</f>
        <v>/</v>
      </c>
    </row>
    <row r="261" spans="2:23">
      <c r="B261" s="40" t="s">
        <v>3921</v>
      </c>
      <c r="C261" s="40" t="str">
        <f>_xlfn.XLOOKUP($B261,'44'!$B:$B,'44'!C:C,)</f>
        <v>Health and safety</v>
      </c>
      <c r="D261" s="40" t="str">
        <f>_xlfn.XLOOKUP($B261,'44'!$B:$B,'44'!D:D,)</f>
        <v>Fatality</v>
      </c>
      <c r="E261" s="40" t="str">
        <f>_xlfn.XLOOKUP($B261,'44'!$B:$B,'44'!E:E,)</f>
        <v>Private costs</v>
      </c>
      <c r="F261" s="40">
        <f>_xlfn.XLOOKUP($B261,'44'!$B:$B,'44'!F:F,)</f>
        <v>2023</v>
      </c>
      <c r="G261" s="40">
        <f>_xlfn.XLOOKUP($B261,'44'!$B:$B,'44'!G:G,)</f>
        <v>2023</v>
      </c>
      <c r="H261" s="40">
        <f>_xlfn.XLOOKUP($B261,'44'!$B:$B,'44'!H:H,)</f>
        <v>2023</v>
      </c>
      <c r="I261" s="40">
        <f>_xlfn.XLOOKUP($B261,'44'!$B:$B,'44'!I:I,)</f>
        <v>100</v>
      </c>
      <c r="J261" s="40">
        <f>_xlfn.XLOOKUP($B261,'44'!$B:$B,'44'!J:J,)</f>
        <v>100</v>
      </c>
      <c r="K261" s="629">
        <f>_xlfn.XLOOKUP($B261,'44'!$B:$B,'44'!K:K,)</f>
        <v>119200</v>
      </c>
      <c r="L261" s="629">
        <f>_xlfn.XLOOKUP($B261,'44'!$B:$B,'44'!L:L,)</f>
        <v>119200</v>
      </c>
      <c r="M261" s="40" t="str">
        <f>_xlfn.XLOOKUP($B261,'44'!$B:$B,'44'!M:M,)</f>
        <v>Avoided cost</v>
      </c>
      <c r="N261" s="326">
        <f>_xlfn.XLOOKUP($B261,'44'!$B:$B,'44'!N:N,)</f>
        <v>3</v>
      </c>
      <c r="O261" s="40" t="str">
        <f>_xlfn.XLOOKUP($B261,'44'!$B:$B,'44'!O:O,)</f>
        <v>Yes</v>
      </c>
      <c r="P261" s="40" t="str">
        <f>_xlfn.XLOOKUP($B261,'44'!$B:$B,'44'!P:P,)</f>
        <v>Reputable source and UK context</v>
      </c>
      <c r="Q261" s="40">
        <f>_xlfn.XLOOKUP($B261,'44'!$B:$B,'44'!Q:Q,)</f>
        <v>21</v>
      </c>
      <c r="R261" s="40" t="str">
        <f>_xlfn.XLOOKUP($B261,'44'!$B:$B,'44'!R:R,)</f>
        <v>HSE (2023) Appraisal values or 'unit costs'</v>
      </c>
      <c r="S261" s="40" t="str">
        <f>_xlfn.XLOOKUP($B261,'44'!$B:$B,'44'!S:S,)</f>
        <v>B£ST</v>
      </c>
      <c r="T261" s="40">
        <f>_xlfn.XLOOKUP($B261,'44'!$B:$B,'44'!T:T,)</f>
        <v>2023</v>
      </c>
      <c r="U261" s="40" t="str">
        <f>_xlfn.XLOOKUP($B261,'44'!$B:$B,'44'!U:U,)</f>
        <v>Britain</v>
      </c>
      <c r="V261" s="40" t="str">
        <f>_xlfn.XLOOKUP($B261,'44'!$B:$B,'44'!V:V,)</f>
        <v>UK average</v>
      </c>
      <c r="W261" s="40">
        <f>_xlfn.XLOOKUP($B261,'44'!$B:$B,'44'!W:W,)</f>
        <v>581132</v>
      </c>
    </row>
    <row r="262" spans="2:23">
      <c r="B262" s="40" t="s">
        <v>3922</v>
      </c>
      <c r="C262" s="40" t="str">
        <f>_xlfn.XLOOKUP($B262,'44'!$B:$B,'44'!C:C,)</f>
        <v>Health and safety</v>
      </c>
      <c r="D262" s="40" t="str">
        <f>_xlfn.XLOOKUP($B262,'44'!$B:$B,'44'!D:D,)</f>
        <v>Non-fatal injuries</v>
      </c>
      <c r="E262" s="40" t="str">
        <f>_xlfn.XLOOKUP($B262,'44'!$B:$B,'44'!E:E,)</f>
        <v>Private costs</v>
      </c>
      <c r="F262" s="40">
        <f>_xlfn.XLOOKUP($B262,'44'!$B:$B,'44'!F:F,)</f>
        <v>2023</v>
      </c>
      <c r="G262" s="40">
        <f>_xlfn.XLOOKUP($B262,'44'!$B:$B,'44'!G:G,)</f>
        <v>2023</v>
      </c>
      <c r="H262" s="40">
        <f>_xlfn.XLOOKUP($B262,'44'!$B:$B,'44'!H:H,)</f>
        <v>2023</v>
      </c>
      <c r="I262" s="40">
        <f>_xlfn.XLOOKUP($B262,'44'!$B:$B,'44'!I:I,)</f>
        <v>100</v>
      </c>
      <c r="J262" s="40">
        <f>_xlfn.XLOOKUP($B262,'44'!$B:$B,'44'!J:J,)</f>
        <v>100</v>
      </c>
      <c r="K262" s="629">
        <f>_xlfn.XLOOKUP($B262,'44'!$B:$B,'44'!K:K,)</f>
        <v>1900</v>
      </c>
      <c r="L262" s="629">
        <f>_xlfn.XLOOKUP($B262,'44'!$B:$B,'44'!L:L,)</f>
        <v>1900</v>
      </c>
      <c r="M262" s="40" t="str">
        <f>_xlfn.XLOOKUP($B262,'44'!$B:$B,'44'!M:M,)</f>
        <v>Avoided cost</v>
      </c>
      <c r="N262" s="326">
        <f>_xlfn.XLOOKUP($B262,'44'!$B:$B,'44'!N:N,)</f>
        <v>3</v>
      </c>
      <c r="O262" s="40" t="str">
        <f>_xlfn.XLOOKUP($B262,'44'!$B:$B,'44'!O:O,)</f>
        <v>Yes</v>
      </c>
      <c r="P262" s="40" t="str">
        <f>_xlfn.XLOOKUP($B262,'44'!$B:$B,'44'!P:P,)</f>
        <v>Reputable source and UK context</v>
      </c>
      <c r="Q262" s="40">
        <f>_xlfn.XLOOKUP($B262,'44'!$B:$B,'44'!Q:Q,)</f>
        <v>21</v>
      </c>
      <c r="R262" s="40" t="str">
        <f>_xlfn.XLOOKUP($B262,'44'!$B:$B,'44'!R:R,)</f>
        <v>HSE (2023) Appraisal values or 'unit costs'</v>
      </c>
      <c r="S262" s="40" t="str">
        <f>_xlfn.XLOOKUP($B262,'44'!$B:$B,'44'!S:S,)</f>
        <v>B£ST</v>
      </c>
      <c r="T262" s="40">
        <f>_xlfn.XLOOKUP($B262,'44'!$B:$B,'44'!T:T,)</f>
        <v>2023</v>
      </c>
      <c r="U262" s="40" t="str">
        <f>_xlfn.XLOOKUP($B262,'44'!$B:$B,'44'!U:U,)</f>
        <v>Britain</v>
      </c>
      <c r="V262" s="40" t="str">
        <f>_xlfn.XLOOKUP($B262,'44'!$B:$B,'44'!V:V,)</f>
        <v>UK average</v>
      </c>
      <c r="W262" s="40">
        <f>_xlfn.XLOOKUP($B262,'44'!$B:$B,'44'!W:W,)</f>
        <v>581132</v>
      </c>
    </row>
    <row r="263" spans="2:23">
      <c r="B263" s="40" t="s">
        <v>3923</v>
      </c>
      <c r="C263" s="40" t="str">
        <f>_xlfn.XLOOKUP($B263,'44'!$B:$B,'44'!C:C,)</f>
        <v>Health and safety</v>
      </c>
      <c r="D263" s="40" t="str">
        <f>_xlfn.XLOOKUP($B263,'44'!$B:$B,'44'!D:D,)</f>
        <v>Injuries leading to 7 or more days absence</v>
      </c>
      <c r="E263" s="40" t="str">
        <f>_xlfn.XLOOKUP($B263,'44'!$B:$B,'44'!E:E,)</f>
        <v>Private costs</v>
      </c>
      <c r="F263" s="40">
        <f>_xlfn.XLOOKUP($B263,'44'!$B:$B,'44'!F:F,)</f>
        <v>2023</v>
      </c>
      <c r="G263" s="40">
        <f>_xlfn.XLOOKUP($B263,'44'!$B:$B,'44'!G:G,)</f>
        <v>2023</v>
      </c>
      <c r="H263" s="40">
        <f>_xlfn.XLOOKUP($B263,'44'!$B:$B,'44'!H:H,)</f>
        <v>2023</v>
      </c>
      <c r="I263" s="40">
        <f>_xlfn.XLOOKUP($B263,'44'!$B:$B,'44'!I:I,)</f>
        <v>100</v>
      </c>
      <c r="J263" s="40">
        <f>_xlfn.XLOOKUP($B263,'44'!$B:$B,'44'!J:J,)</f>
        <v>100</v>
      </c>
      <c r="K263" s="629">
        <f>_xlfn.XLOOKUP($B263,'44'!$B:$B,'44'!K:K,)</f>
        <v>7800</v>
      </c>
      <c r="L263" s="629">
        <f>_xlfn.XLOOKUP($B263,'44'!$B:$B,'44'!L:L,)</f>
        <v>7800</v>
      </c>
      <c r="M263" s="40" t="str">
        <f>_xlfn.XLOOKUP($B263,'44'!$B:$B,'44'!M:M,)</f>
        <v>Avoided cost</v>
      </c>
      <c r="N263" s="326">
        <f>_xlfn.XLOOKUP($B263,'44'!$B:$B,'44'!N:N,)</f>
        <v>3</v>
      </c>
      <c r="O263" s="40" t="str">
        <f>_xlfn.XLOOKUP($B263,'44'!$B:$B,'44'!O:O,)</f>
        <v>Yes</v>
      </c>
      <c r="P263" s="40" t="str">
        <f>_xlfn.XLOOKUP($B263,'44'!$B:$B,'44'!P:P,)</f>
        <v>Reputable source and UK context</v>
      </c>
      <c r="Q263" s="40">
        <f>_xlfn.XLOOKUP($B263,'44'!$B:$B,'44'!Q:Q,)</f>
        <v>21</v>
      </c>
      <c r="R263" s="40" t="str">
        <f>_xlfn.XLOOKUP($B263,'44'!$B:$B,'44'!R:R,)</f>
        <v>HSE (2023) Appraisal values or 'unit costs'</v>
      </c>
      <c r="S263" s="40" t="str">
        <f>_xlfn.XLOOKUP($B263,'44'!$B:$B,'44'!S:S,)</f>
        <v>B£ST</v>
      </c>
      <c r="T263" s="40">
        <f>_xlfn.XLOOKUP($B263,'44'!$B:$B,'44'!T:T,)</f>
        <v>2023</v>
      </c>
      <c r="U263" s="40" t="str">
        <f>_xlfn.XLOOKUP($B263,'44'!$B:$B,'44'!U:U,)</f>
        <v>Britain</v>
      </c>
      <c r="V263" s="40" t="str">
        <f>_xlfn.XLOOKUP($B263,'44'!$B:$B,'44'!V:V,)</f>
        <v>UK average</v>
      </c>
      <c r="W263" s="40">
        <f>_xlfn.XLOOKUP($B263,'44'!$B:$B,'44'!W:W,)</f>
        <v>581132</v>
      </c>
    </row>
    <row r="264" spans="2:23">
      <c r="B264" s="40" t="s">
        <v>3924</v>
      </c>
      <c r="C264" s="40" t="str">
        <f>_xlfn.XLOOKUP($B264,'44'!$B:$B,'44'!C:C,)</f>
        <v>Health and safety</v>
      </c>
      <c r="D264" s="40" t="str">
        <f>_xlfn.XLOOKUP($B264,'44'!$B:$B,'44'!D:D,)</f>
        <v>Injuries leading up to 6 days absence</v>
      </c>
      <c r="E264" s="40" t="str">
        <f>_xlfn.XLOOKUP($B264,'44'!$B:$B,'44'!E:E,)</f>
        <v>Private costs</v>
      </c>
      <c r="F264" s="40">
        <f>_xlfn.XLOOKUP($B264,'44'!$B:$B,'44'!F:F,)</f>
        <v>2023</v>
      </c>
      <c r="G264" s="40">
        <f>_xlfn.XLOOKUP($B264,'44'!$B:$B,'44'!G:G,)</f>
        <v>2023</v>
      </c>
      <c r="H264" s="40">
        <f>_xlfn.XLOOKUP($B264,'44'!$B:$B,'44'!H:H,)</f>
        <v>2023</v>
      </c>
      <c r="I264" s="40">
        <f>_xlfn.XLOOKUP($B264,'44'!$B:$B,'44'!I:I,)</f>
        <v>100</v>
      </c>
      <c r="J264" s="40">
        <f>_xlfn.XLOOKUP($B264,'44'!$B:$B,'44'!J:J,)</f>
        <v>100</v>
      </c>
      <c r="K264" s="629">
        <f>_xlfn.XLOOKUP($B264,'44'!$B:$B,'44'!K:K,)</f>
        <v>120</v>
      </c>
      <c r="L264" s="629">
        <f>_xlfn.XLOOKUP($B264,'44'!$B:$B,'44'!L:L,)</f>
        <v>120</v>
      </c>
      <c r="M264" s="40" t="str">
        <f>_xlfn.XLOOKUP($B264,'44'!$B:$B,'44'!M:M,)</f>
        <v>Avoided cost</v>
      </c>
      <c r="N264" s="326">
        <f>_xlfn.XLOOKUP($B264,'44'!$B:$B,'44'!N:N,)</f>
        <v>3</v>
      </c>
      <c r="O264" s="40" t="str">
        <f>_xlfn.XLOOKUP($B264,'44'!$B:$B,'44'!O:O,)</f>
        <v>Yes</v>
      </c>
      <c r="P264" s="40" t="str">
        <f>_xlfn.XLOOKUP($B264,'44'!$B:$B,'44'!P:P,)</f>
        <v>Reputable source and UK context</v>
      </c>
      <c r="Q264" s="40">
        <f>_xlfn.XLOOKUP($B264,'44'!$B:$B,'44'!Q:Q,)</f>
        <v>21</v>
      </c>
      <c r="R264" s="40" t="str">
        <f>_xlfn.XLOOKUP($B264,'44'!$B:$B,'44'!R:R,)</f>
        <v>HSE (2023) Appraisal values or 'unit costs'</v>
      </c>
      <c r="S264" s="40" t="str">
        <f>_xlfn.XLOOKUP($B264,'44'!$B:$B,'44'!S:S,)</f>
        <v>B£ST</v>
      </c>
      <c r="T264" s="40">
        <f>_xlfn.XLOOKUP($B264,'44'!$B:$B,'44'!T:T,)</f>
        <v>2023</v>
      </c>
      <c r="U264" s="40" t="str">
        <f>_xlfn.XLOOKUP($B264,'44'!$B:$B,'44'!U:U,)</f>
        <v>Britain</v>
      </c>
      <c r="V264" s="40" t="str">
        <f>_xlfn.XLOOKUP($B264,'44'!$B:$B,'44'!V:V,)</f>
        <v>UK average</v>
      </c>
      <c r="W264" s="40">
        <f>_xlfn.XLOOKUP($B264,'44'!$B:$B,'44'!W:W,)</f>
        <v>581132</v>
      </c>
    </row>
    <row r="265" spans="2:23">
      <c r="B265" s="40" t="s">
        <v>3925</v>
      </c>
      <c r="C265" s="40" t="str">
        <f>_xlfn.XLOOKUP($B265,'44'!$B:$B,'44'!C:C,)</f>
        <v>Health and safety</v>
      </c>
      <c r="D265" s="40" t="str">
        <f>_xlfn.XLOOKUP($B265,'44'!$B:$B,'44'!D:D,)</f>
        <v>Ill health</v>
      </c>
      <c r="E265" s="40" t="str">
        <f>_xlfn.XLOOKUP($B265,'44'!$B:$B,'44'!E:E,)</f>
        <v>Private costs</v>
      </c>
      <c r="F265" s="40">
        <f>_xlfn.XLOOKUP($B265,'44'!$B:$B,'44'!F:F,)</f>
        <v>2023</v>
      </c>
      <c r="G265" s="40">
        <f>_xlfn.XLOOKUP($B265,'44'!$B:$B,'44'!G:G,)</f>
        <v>2023</v>
      </c>
      <c r="H265" s="40">
        <f>_xlfn.XLOOKUP($B265,'44'!$B:$B,'44'!H:H,)</f>
        <v>2023</v>
      </c>
      <c r="I265" s="40">
        <f>_xlfn.XLOOKUP($B265,'44'!$B:$B,'44'!I:I,)</f>
        <v>100</v>
      </c>
      <c r="J265" s="40">
        <f>_xlfn.XLOOKUP($B265,'44'!$B:$B,'44'!J:J,)</f>
        <v>100</v>
      </c>
      <c r="K265" s="629">
        <f>_xlfn.XLOOKUP($B265,'44'!$B:$B,'44'!K:K,)</f>
        <v>4400</v>
      </c>
      <c r="L265" s="629">
        <f>_xlfn.XLOOKUP($B265,'44'!$B:$B,'44'!L:L,)</f>
        <v>4400</v>
      </c>
      <c r="M265" s="40" t="str">
        <f>_xlfn.XLOOKUP($B265,'44'!$B:$B,'44'!M:M,)</f>
        <v>Avoided cost</v>
      </c>
      <c r="N265" s="326">
        <f>_xlfn.XLOOKUP($B265,'44'!$B:$B,'44'!N:N,)</f>
        <v>3</v>
      </c>
      <c r="O265" s="40" t="str">
        <f>_xlfn.XLOOKUP($B265,'44'!$B:$B,'44'!O:O,)</f>
        <v>Yes</v>
      </c>
      <c r="P265" s="40" t="str">
        <f>_xlfn.XLOOKUP($B265,'44'!$B:$B,'44'!P:P,)</f>
        <v>Reputable source and UK context</v>
      </c>
      <c r="Q265" s="40">
        <f>_xlfn.XLOOKUP($B265,'44'!$B:$B,'44'!Q:Q,)</f>
        <v>21</v>
      </c>
      <c r="R265" s="40" t="str">
        <f>_xlfn.XLOOKUP($B265,'44'!$B:$B,'44'!R:R,)</f>
        <v>HSE (2023) Appraisal values or 'unit costs'</v>
      </c>
      <c r="S265" s="40" t="str">
        <f>_xlfn.XLOOKUP($B265,'44'!$B:$B,'44'!S:S,)</f>
        <v>B£ST</v>
      </c>
      <c r="T265" s="40">
        <f>_xlfn.XLOOKUP($B265,'44'!$B:$B,'44'!T:T,)</f>
        <v>2023</v>
      </c>
      <c r="U265" s="40" t="str">
        <f>_xlfn.XLOOKUP($B265,'44'!$B:$B,'44'!U:U,)</f>
        <v>Britain</v>
      </c>
      <c r="V265" s="40" t="str">
        <f>_xlfn.XLOOKUP($B265,'44'!$B:$B,'44'!V:V,)</f>
        <v>UK average</v>
      </c>
      <c r="W265" s="40">
        <f>_xlfn.XLOOKUP($B265,'44'!$B:$B,'44'!W:W,)</f>
        <v>581132</v>
      </c>
    </row>
    <row r="266" spans="2:23">
      <c r="B266" s="40" t="s">
        <v>3926</v>
      </c>
      <c r="C266" s="40" t="str">
        <f>_xlfn.XLOOKUP($B266,'44'!$B:$B,'44'!C:C,)</f>
        <v>Health and safety</v>
      </c>
      <c r="D266" s="40" t="str">
        <f>_xlfn.XLOOKUP($B266,'44'!$B:$B,'44'!D:D,)</f>
        <v>Ill health leading to 7 or more days absence</v>
      </c>
      <c r="E266" s="40" t="str">
        <f>_xlfn.XLOOKUP($B266,'44'!$B:$B,'44'!E:E,)</f>
        <v>Private costs</v>
      </c>
      <c r="F266" s="40">
        <f>_xlfn.XLOOKUP($B266,'44'!$B:$B,'44'!F:F,)</f>
        <v>2023</v>
      </c>
      <c r="G266" s="40">
        <f>_xlfn.XLOOKUP($B266,'44'!$B:$B,'44'!G:G,)</f>
        <v>2023</v>
      </c>
      <c r="H266" s="40">
        <f>_xlfn.XLOOKUP($B266,'44'!$B:$B,'44'!H:H,)</f>
        <v>2023</v>
      </c>
      <c r="I266" s="40">
        <f>_xlfn.XLOOKUP($B266,'44'!$B:$B,'44'!I:I,)</f>
        <v>100</v>
      </c>
      <c r="J266" s="40">
        <f>_xlfn.XLOOKUP($B266,'44'!$B:$B,'44'!J:J,)</f>
        <v>100</v>
      </c>
      <c r="K266" s="629">
        <f>_xlfn.XLOOKUP($B266,'44'!$B:$B,'44'!K:K,)</f>
        <v>9200</v>
      </c>
      <c r="L266" s="629">
        <f>_xlfn.XLOOKUP($B266,'44'!$B:$B,'44'!L:L,)</f>
        <v>9200</v>
      </c>
      <c r="M266" s="40" t="str">
        <f>_xlfn.XLOOKUP($B266,'44'!$B:$B,'44'!M:M,)</f>
        <v>Avoided cost</v>
      </c>
      <c r="N266" s="326">
        <f>_xlfn.XLOOKUP($B266,'44'!$B:$B,'44'!N:N,)</f>
        <v>3</v>
      </c>
      <c r="O266" s="40" t="str">
        <f>_xlfn.XLOOKUP($B266,'44'!$B:$B,'44'!O:O,)</f>
        <v>Yes</v>
      </c>
      <c r="P266" s="40" t="str">
        <f>_xlfn.XLOOKUP($B266,'44'!$B:$B,'44'!P:P,)</f>
        <v>Reputable source and UK context</v>
      </c>
      <c r="Q266" s="40">
        <f>_xlfn.XLOOKUP($B266,'44'!$B:$B,'44'!Q:Q,)</f>
        <v>21</v>
      </c>
      <c r="R266" s="40" t="str">
        <f>_xlfn.XLOOKUP($B266,'44'!$B:$B,'44'!R:R,)</f>
        <v>HSE (2023) Appraisal values or 'unit costs'</v>
      </c>
      <c r="S266" s="40" t="str">
        <f>_xlfn.XLOOKUP($B266,'44'!$B:$B,'44'!S:S,)</f>
        <v>B£ST</v>
      </c>
      <c r="T266" s="40">
        <f>_xlfn.XLOOKUP($B266,'44'!$B:$B,'44'!T:T,)</f>
        <v>2023</v>
      </c>
      <c r="U266" s="40" t="str">
        <f>_xlfn.XLOOKUP($B266,'44'!$B:$B,'44'!U:U,)</f>
        <v>Britain</v>
      </c>
      <c r="V266" s="40" t="str">
        <f>_xlfn.XLOOKUP($B266,'44'!$B:$B,'44'!V:V,)</f>
        <v>UK average</v>
      </c>
      <c r="W266" s="40">
        <f>_xlfn.XLOOKUP($B266,'44'!$B:$B,'44'!W:W,)</f>
        <v>581132</v>
      </c>
    </row>
    <row r="267" spans="2:23">
      <c r="B267" s="40" t="s">
        <v>3927</v>
      </c>
      <c r="C267" s="40" t="str">
        <f>_xlfn.XLOOKUP($B267,'44'!$B:$B,'44'!C:C,)</f>
        <v>Health and safety</v>
      </c>
      <c r="D267" s="40" t="str">
        <f>_xlfn.XLOOKUP($B267,'44'!$B:$B,'44'!D:D,)</f>
        <v>Ill health leading up to 6 days absence</v>
      </c>
      <c r="E267" s="40" t="str">
        <f>_xlfn.XLOOKUP($B267,'44'!$B:$B,'44'!E:E,)</f>
        <v>Private costs</v>
      </c>
      <c r="F267" s="40">
        <f>_xlfn.XLOOKUP($B267,'44'!$B:$B,'44'!F:F,)</f>
        <v>2023</v>
      </c>
      <c r="G267" s="40">
        <f>_xlfn.XLOOKUP($B267,'44'!$B:$B,'44'!G:G,)</f>
        <v>2023</v>
      </c>
      <c r="H267" s="40">
        <f>_xlfn.XLOOKUP($B267,'44'!$B:$B,'44'!H:H,)</f>
        <v>2023</v>
      </c>
      <c r="I267" s="40">
        <f>_xlfn.XLOOKUP($B267,'44'!$B:$B,'44'!I:I,)</f>
        <v>100</v>
      </c>
      <c r="J267" s="40">
        <f>_xlfn.XLOOKUP($B267,'44'!$B:$B,'44'!J:J,)</f>
        <v>100</v>
      </c>
      <c r="K267" s="629">
        <f>_xlfn.XLOOKUP($B267,'44'!$B:$B,'44'!K:K,)</f>
        <v>170</v>
      </c>
      <c r="L267" s="629">
        <f>_xlfn.XLOOKUP($B267,'44'!$B:$B,'44'!L:L,)</f>
        <v>170</v>
      </c>
      <c r="M267" s="40" t="str">
        <f>_xlfn.XLOOKUP($B267,'44'!$B:$B,'44'!M:M,)</f>
        <v>Avoided cost</v>
      </c>
      <c r="N267" s="326">
        <f>_xlfn.XLOOKUP($B267,'44'!$B:$B,'44'!N:N,)</f>
        <v>3</v>
      </c>
      <c r="O267" s="40" t="str">
        <f>_xlfn.XLOOKUP($B267,'44'!$B:$B,'44'!O:O,)</f>
        <v>Yes</v>
      </c>
      <c r="P267" s="40" t="str">
        <f>_xlfn.XLOOKUP($B267,'44'!$B:$B,'44'!P:P,)</f>
        <v>Reputable source and UK context</v>
      </c>
      <c r="Q267" s="40">
        <f>_xlfn.XLOOKUP($B267,'44'!$B:$B,'44'!Q:Q,)</f>
        <v>21</v>
      </c>
      <c r="R267" s="40" t="str">
        <f>_xlfn.XLOOKUP($B267,'44'!$B:$B,'44'!R:R,)</f>
        <v>HSE (2023) Appraisal values or 'unit costs'</v>
      </c>
      <c r="S267" s="40" t="str">
        <f>_xlfn.XLOOKUP($B267,'44'!$B:$B,'44'!S:S,)</f>
        <v>B£ST</v>
      </c>
      <c r="T267" s="40">
        <f>_xlfn.XLOOKUP($B267,'44'!$B:$B,'44'!T:T,)</f>
        <v>2023</v>
      </c>
      <c r="U267" s="40" t="str">
        <f>_xlfn.XLOOKUP($B267,'44'!$B:$B,'44'!U:U,)</f>
        <v>Britain</v>
      </c>
      <c r="V267" s="40" t="str">
        <f>_xlfn.XLOOKUP($B267,'44'!$B:$B,'44'!V:V,)</f>
        <v>UK average</v>
      </c>
      <c r="W267" s="40">
        <f>_xlfn.XLOOKUP($B267,'44'!$B:$B,'44'!W:W,)</f>
        <v>581132</v>
      </c>
    </row>
    <row r="268" spans="2:23">
      <c r="B268" s="40" t="s">
        <v>3928</v>
      </c>
      <c r="C268" s="40" t="str">
        <f>_xlfn.XLOOKUP($B268,'44'!$B:$B,'44'!C:C,)</f>
        <v>Health and safety</v>
      </c>
      <c r="D268" s="40" t="str">
        <f>_xlfn.XLOOKUP($B268,'44'!$B:$B,'44'!D:D,)</f>
        <v>Fatality</v>
      </c>
      <c r="E268" s="40" t="str">
        <f>_xlfn.XLOOKUP($B268,'44'!$B:$B,'44'!E:E,)</f>
        <v>Local economy</v>
      </c>
      <c r="F268" s="40">
        <f>_xlfn.XLOOKUP($B268,'44'!$B:$B,'44'!F:F,)</f>
        <v>2023</v>
      </c>
      <c r="G268" s="40">
        <f>_xlfn.XLOOKUP($B268,'44'!$B:$B,'44'!G:G,)</f>
        <v>2023</v>
      </c>
      <c r="H268" s="40">
        <f>_xlfn.XLOOKUP($B268,'44'!$B:$B,'44'!H:H,)</f>
        <v>2023</v>
      </c>
      <c r="I268" s="40">
        <f>_xlfn.XLOOKUP($B268,'44'!$B:$B,'44'!I:I,)</f>
        <v>100</v>
      </c>
      <c r="J268" s="40">
        <f>_xlfn.XLOOKUP($B268,'44'!$B:$B,'44'!J:J,)</f>
        <v>100</v>
      </c>
      <c r="K268" s="629">
        <f>_xlfn.XLOOKUP($B268,'44'!$B:$B,'44'!K:K,)</f>
        <v>139000</v>
      </c>
      <c r="L268" s="629">
        <f>_xlfn.XLOOKUP($B268,'44'!$B:$B,'44'!L:L,)</f>
        <v>139000</v>
      </c>
      <c r="M268" s="40" t="str">
        <f>_xlfn.XLOOKUP($B268,'44'!$B:$B,'44'!M:M,)</f>
        <v>Avoided cost</v>
      </c>
      <c r="N268" s="326">
        <f>_xlfn.XLOOKUP($B268,'44'!$B:$B,'44'!N:N,)</f>
        <v>3</v>
      </c>
      <c r="O268" s="40" t="str">
        <f>_xlfn.XLOOKUP($B268,'44'!$B:$B,'44'!O:O,)</f>
        <v>Yes</v>
      </c>
      <c r="P268" s="40" t="str">
        <f>_xlfn.XLOOKUP($B268,'44'!$B:$B,'44'!P:P,)</f>
        <v>Reputable source and UK context</v>
      </c>
      <c r="Q268" s="40">
        <f>_xlfn.XLOOKUP($B268,'44'!$B:$B,'44'!Q:Q,)</f>
        <v>21</v>
      </c>
      <c r="R268" s="40" t="str">
        <f>_xlfn.XLOOKUP($B268,'44'!$B:$B,'44'!R:R,)</f>
        <v>HSE (2023) Appraisal values or 'unit costs'</v>
      </c>
      <c r="S268" s="40" t="str">
        <f>_xlfn.XLOOKUP($B268,'44'!$B:$B,'44'!S:S,)</f>
        <v>B£ST</v>
      </c>
      <c r="T268" s="40">
        <f>_xlfn.XLOOKUP($B268,'44'!$B:$B,'44'!T:T,)</f>
        <v>2023</v>
      </c>
      <c r="U268" s="40" t="str">
        <f>_xlfn.XLOOKUP($B268,'44'!$B:$B,'44'!U:U,)</f>
        <v>Britain</v>
      </c>
      <c r="V268" s="40" t="str">
        <f>_xlfn.XLOOKUP($B268,'44'!$B:$B,'44'!V:V,)</f>
        <v>UK average</v>
      </c>
      <c r="W268" s="40">
        <f>_xlfn.XLOOKUP($B268,'44'!$B:$B,'44'!W:W,)</f>
        <v>581132</v>
      </c>
    </row>
    <row r="269" spans="2:23">
      <c r="B269" s="40" t="s">
        <v>3929</v>
      </c>
      <c r="C269" s="40" t="str">
        <f>_xlfn.XLOOKUP($B269,'44'!$B:$B,'44'!C:C,)</f>
        <v>Health and safety</v>
      </c>
      <c r="D269" s="40" t="str">
        <f>_xlfn.XLOOKUP($B269,'44'!$B:$B,'44'!D:D,)</f>
        <v>Non-fatal injuries</v>
      </c>
      <c r="E269" s="40" t="str">
        <f>_xlfn.XLOOKUP($B269,'44'!$B:$B,'44'!E:E,)</f>
        <v>Local economy</v>
      </c>
      <c r="F269" s="40">
        <f>_xlfn.XLOOKUP($B269,'44'!$B:$B,'44'!F:F,)</f>
        <v>2023</v>
      </c>
      <c r="G269" s="40">
        <f>_xlfn.XLOOKUP($B269,'44'!$B:$B,'44'!G:G,)</f>
        <v>2023</v>
      </c>
      <c r="H269" s="40">
        <f>_xlfn.XLOOKUP($B269,'44'!$B:$B,'44'!H:H,)</f>
        <v>2023</v>
      </c>
      <c r="I269" s="40">
        <f>_xlfn.XLOOKUP($B269,'44'!$B:$B,'44'!I:I,)</f>
        <v>100</v>
      </c>
      <c r="J269" s="40">
        <f>_xlfn.XLOOKUP($B269,'44'!$B:$B,'44'!J:J,)</f>
        <v>100</v>
      </c>
      <c r="K269" s="629">
        <f>_xlfn.XLOOKUP($B269,'44'!$B:$B,'44'!K:K,)</f>
        <v>2800</v>
      </c>
      <c r="L269" s="629">
        <f>_xlfn.XLOOKUP($B269,'44'!$B:$B,'44'!L:L,)</f>
        <v>2800</v>
      </c>
      <c r="M269" s="40" t="str">
        <f>_xlfn.XLOOKUP($B269,'44'!$B:$B,'44'!M:M,)</f>
        <v>Avoided cost</v>
      </c>
      <c r="N269" s="326">
        <f>_xlfn.XLOOKUP($B269,'44'!$B:$B,'44'!N:N,)</f>
        <v>3</v>
      </c>
      <c r="O269" s="40" t="str">
        <f>_xlfn.XLOOKUP($B269,'44'!$B:$B,'44'!O:O,)</f>
        <v>Yes</v>
      </c>
      <c r="P269" s="40" t="str">
        <f>_xlfn.XLOOKUP($B269,'44'!$B:$B,'44'!P:P,)</f>
        <v>Reputable source and UK context</v>
      </c>
      <c r="Q269" s="40">
        <f>_xlfn.XLOOKUP($B269,'44'!$B:$B,'44'!Q:Q,)</f>
        <v>21</v>
      </c>
      <c r="R269" s="40" t="str">
        <f>_xlfn.XLOOKUP($B269,'44'!$B:$B,'44'!R:R,)</f>
        <v>HSE (2023) Appraisal values or 'unit costs'</v>
      </c>
      <c r="S269" s="40" t="str">
        <f>_xlfn.XLOOKUP($B269,'44'!$B:$B,'44'!S:S,)</f>
        <v>B£ST</v>
      </c>
      <c r="T269" s="40">
        <f>_xlfn.XLOOKUP($B269,'44'!$B:$B,'44'!T:T,)</f>
        <v>2023</v>
      </c>
      <c r="U269" s="40" t="str">
        <f>_xlfn.XLOOKUP($B269,'44'!$B:$B,'44'!U:U,)</f>
        <v>Britain</v>
      </c>
      <c r="V269" s="40" t="str">
        <f>_xlfn.XLOOKUP($B269,'44'!$B:$B,'44'!V:V,)</f>
        <v>UK average</v>
      </c>
      <c r="W269" s="40">
        <f>_xlfn.XLOOKUP($B269,'44'!$B:$B,'44'!W:W,)</f>
        <v>581132</v>
      </c>
    </row>
    <row r="270" spans="2:23">
      <c r="B270" s="40" t="s">
        <v>3930</v>
      </c>
      <c r="C270" s="40" t="str">
        <f>_xlfn.XLOOKUP($B270,'44'!$B:$B,'44'!C:C,)</f>
        <v>Health and safety</v>
      </c>
      <c r="D270" s="40" t="str">
        <f>_xlfn.XLOOKUP($B270,'44'!$B:$B,'44'!D:D,)</f>
        <v>Injuries leading to 7 or more days absence</v>
      </c>
      <c r="E270" s="40" t="str">
        <f>_xlfn.XLOOKUP($B270,'44'!$B:$B,'44'!E:E,)</f>
        <v>Local economy</v>
      </c>
      <c r="F270" s="40">
        <f>_xlfn.XLOOKUP($B270,'44'!$B:$B,'44'!F:F,)</f>
        <v>2023</v>
      </c>
      <c r="G270" s="40">
        <f>_xlfn.XLOOKUP($B270,'44'!$B:$B,'44'!G:G,)</f>
        <v>2023</v>
      </c>
      <c r="H270" s="40">
        <f>_xlfn.XLOOKUP($B270,'44'!$B:$B,'44'!H:H,)</f>
        <v>2023</v>
      </c>
      <c r="I270" s="40">
        <f>_xlfn.XLOOKUP($B270,'44'!$B:$B,'44'!I:I,)</f>
        <v>100</v>
      </c>
      <c r="J270" s="40">
        <f>_xlfn.XLOOKUP($B270,'44'!$B:$B,'44'!J:J,)</f>
        <v>100</v>
      </c>
      <c r="K270" s="629">
        <f>_xlfn.XLOOKUP($B270,'44'!$B:$B,'44'!K:K,)</f>
        <v>10000</v>
      </c>
      <c r="L270" s="629">
        <f>_xlfn.XLOOKUP($B270,'44'!$B:$B,'44'!L:L,)</f>
        <v>10000</v>
      </c>
      <c r="M270" s="40" t="str">
        <f>_xlfn.XLOOKUP($B270,'44'!$B:$B,'44'!M:M,)</f>
        <v>Avoided cost</v>
      </c>
      <c r="N270" s="326">
        <f>_xlfn.XLOOKUP($B270,'44'!$B:$B,'44'!N:N,)</f>
        <v>3</v>
      </c>
      <c r="O270" s="40" t="str">
        <f>_xlfn.XLOOKUP($B270,'44'!$B:$B,'44'!O:O,)</f>
        <v>Yes</v>
      </c>
      <c r="P270" s="40" t="str">
        <f>_xlfn.XLOOKUP($B270,'44'!$B:$B,'44'!P:P,)</f>
        <v>Reputable source and UK context</v>
      </c>
      <c r="Q270" s="40">
        <f>_xlfn.XLOOKUP($B270,'44'!$B:$B,'44'!Q:Q,)</f>
        <v>21</v>
      </c>
      <c r="R270" s="40" t="str">
        <f>_xlfn.XLOOKUP($B270,'44'!$B:$B,'44'!R:R,)</f>
        <v>HSE (2023) Appraisal values or 'unit costs'</v>
      </c>
      <c r="S270" s="40" t="str">
        <f>_xlfn.XLOOKUP($B270,'44'!$B:$B,'44'!S:S,)</f>
        <v>B£ST</v>
      </c>
      <c r="T270" s="40">
        <f>_xlfn.XLOOKUP($B270,'44'!$B:$B,'44'!T:T,)</f>
        <v>2023</v>
      </c>
      <c r="U270" s="40" t="str">
        <f>_xlfn.XLOOKUP($B270,'44'!$B:$B,'44'!U:U,)</f>
        <v>Britain</v>
      </c>
      <c r="V270" s="40" t="str">
        <f>_xlfn.XLOOKUP($B270,'44'!$B:$B,'44'!V:V,)</f>
        <v>UK average</v>
      </c>
      <c r="W270" s="40">
        <f>_xlfn.XLOOKUP($B270,'44'!$B:$B,'44'!W:W,)</f>
        <v>581132</v>
      </c>
    </row>
    <row r="271" spans="2:23">
      <c r="B271" s="40" t="s">
        <v>3931</v>
      </c>
      <c r="C271" s="40" t="str">
        <f>_xlfn.XLOOKUP($B271,'44'!$B:$B,'44'!C:C,)</f>
        <v>Health and safety</v>
      </c>
      <c r="D271" s="40" t="str">
        <f>_xlfn.XLOOKUP($B271,'44'!$B:$B,'44'!D:D,)</f>
        <v>Injuries leading up to 6 days absence</v>
      </c>
      <c r="E271" s="40" t="str">
        <f>_xlfn.XLOOKUP($B271,'44'!$B:$B,'44'!E:E,)</f>
        <v>Local economy</v>
      </c>
      <c r="F271" s="40">
        <f>_xlfn.XLOOKUP($B271,'44'!$B:$B,'44'!F:F,)</f>
        <v>2023</v>
      </c>
      <c r="G271" s="40">
        <f>_xlfn.XLOOKUP($B271,'44'!$B:$B,'44'!G:G,)</f>
        <v>2023</v>
      </c>
      <c r="H271" s="40">
        <f>_xlfn.XLOOKUP($B271,'44'!$B:$B,'44'!H:H,)</f>
        <v>2023</v>
      </c>
      <c r="I271" s="40">
        <f>_xlfn.XLOOKUP($B271,'44'!$B:$B,'44'!I:I,)</f>
        <v>100</v>
      </c>
      <c r="J271" s="40">
        <f>_xlfn.XLOOKUP($B271,'44'!$B:$B,'44'!J:J,)</f>
        <v>100</v>
      </c>
      <c r="K271" s="629">
        <f>_xlfn.XLOOKUP($B271,'44'!$B:$B,'44'!K:K,)</f>
        <v>520</v>
      </c>
      <c r="L271" s="629">
        <f>_xlfn.XLOOKUP($B271,'44'!$B:$B,'44'!L:L,)</f>
        <v>520</v>
      </c>
      <c r="M271" s="40" t="str">
        <f>_xlfn.XLOOKUP($B271,'44'!$B:$B,'44'!M:M,)</f>
        <v>Avoided cost</v>
      </c>
      <c r="N271" s="326">
        <f>_xlfn.XLOOKUP($B271,'44'!$B:$B,'44'!N:N,)</f>
        <v>3</v>
      </c>
      <c r="O271" s="40" t="str">
        <f>_xlfn.XLOOKUP($B271,'44'!$B:$B,'44'!O:O,)</f>
        <v>Yes</v>
      </c>
      <c r="P271" s="40" t="str">
        <f>_xlfn.XLOOKUP($B271,'44'!$B:$B,'44'!P:P,)</f>
        <v>Reputable source and UK context</v>
      </c>
      <c r="Q271" s="40">
        <f>_xlfn.XLOOKUP($B271,'44'!$B:$B,'44'!Q:Q,)</f>
        <v>21</v>
      </c>
      <c r="R271" s="40" t="str">
        <f>_xlfn.XLOOKUP($B271,'44'!$B:$B,'44'!R:R,)</f>
        <v>HSE (2023) Appraisal values or 'unit costs'</v>
      </c>
      <c r="S271" s="40" t="str">
        <f>_xlfn.XLOOKUP($B271,'44'!$B:$B,'44'!S:S,)</f>
        <v>B£ST</v>
      </c>
      <c r="T271" s="40">
        <f>_xlfn.XLOOKUP($B271,'44'!$B:$B,'44'!T:T,)</f>
        <v>2023</v>
      </c>
      <c r="U271" s="40" t="str">
        <f>_xlfn.XLOOKUP($B271,'44'!$B:$B,'44'!U:U,)</f>
        <v>Britain</v>
      </c>
      <c r="V271" s="40" t="str">
        <f>_xlfn.XLOOKUP($B271,'44'!$B:$B,'44'!V:V,)</f>
        <v>UK average</v>
      </c>
      <c r="W271" s="40">
        <f>_xlfn.XLOOKUP($B271,'44'!$B:$B,'44'!W:W,)</f>
        <v>581132</v>
      </c>
    </row>
    <row r="272" spans="2:23">
      <c r="B272" s="40" t="s">
        <v>3932</v>
      </c>
      <c r="C272" s="40" t="str">
        <f>_xlfn.XLOOKUP($B272,'44'!$B:$B,'44'!C:C,)</f>
        <v>Health and safety</v>
      </c>
      <c r="D272" s="40" t="str">
        <f>_xlfn.XLOOKUP($B272,'44'!$B:$B,'44'!D:D,)</f>
        <v>Ill health</v>
      </c>
      <c r="E272" s="40" t="str">
        <f>_xlfn.XLOOKUP($B272,'44'!$B:$B,'44'!E:E,)</f>
        <v>Local economy</v>
      </c>
      <c r="F272" s="40">
        <f>_xlfn.XLOOKUP($B272,'44'!$B:$B,'44'!F:F,)</f>
        <v>2023</v>
      </c>
      <c r="G272" s="40">
        <f>_xlfn.XLOOKUP($B272,'44'!$B:$B,'44'!G:G,)</f>
        <v>2023</v>
      </c>
      <c r="H272" s="40">
        <f>_xlfn.XLOOKUP($B272,'44'!$B:$B,'44'!H:H,)</f>
        <v>2023</v>
      </c>
      <c r="I272" s="40">
        <f>_xlfn.XLOOKUP($B272,'44'!$B:$B,'44'!I:I,)</f>
        <v>100</v>
      </c>
      <c r="J272" s="40">
        <f>_xlfn.XLOOKUP($B272,'44'!$B:$B,'44'!J:J,)</f>
        <v>100</v>
      </c>
      <c r="K272" s="629">
        <f>_xlfn.XLOOKUP($B272,'44'!$B:$B,'44'!K:K,)</f>
        <v>4800</v>
      </c>
      <c r="L272" s="629">
        <f>_xlfn.XLOOKUP($B272,'44'!$B:$B,'44'!L:L,)</f>
        <v>4800</v>
      </c>
      <c r="M272" s="40" t="str">
        <f>_xlfn.XLOOKUP($B272,'44'!$B:$B,'44'!M:M,)</f>
        <v>Avoided cost</v>
      </c>
      <c r="N272" s="326">
        <f>_xlfn.XLOOKUP($B272,'44'!$B:$B,'44'!N:N,)</f>
        <v>3</v>
      </c>
      <c r="O272" s="40" t="str">
        <f>_xlfn.XLOOKUP($B272,'44'!$B:$B,'44'!O:O,)</f>
        <v>Yes</v>
      </c>
      <c r="P272" s="40" t="str">
        <f>_xlfn.XLOOKUP($B272,'44'!$B:$B,'44'!P:P,)</f>
        <v>Reputable source and UK context</v>
      </c>
      <c r="Q272" s="40">
        <f>_xlfn.XLOOKUP($B272,'44'!$B:$B,'44'!Q:Q,)</f>
        <v>21</v>
      </c>
      <c r="R272" s="40" t="str">
        <f>_xlfn.XLOOKUP($B272,'44'!$B:$B,'44'!R:R,)</f>
        <v>HSE (2023) Appraisal values or 'unit costs'</v>
      </c>
      <c r="S272" s="40" t="str">
        <f>_xlfn.XLOOKUP($B272,'44'!$B:$B,'44'!S:S,)</f>
        <v>B£ST</v>
      </c>
      <c r="T272" s="40">
        <f>_xlfn.XLOOKUP($B272,'44'!$B:$B,'44'!T:T,)</f>
        <v>2023</v>
      </c>
      <c r="U272" s="40" t="str">
        <f>_xlfn.XLOOKUP($B272,'44'!$B:$B,'44'!U:U,)</f>
        <v>Britain</v>
      </c>
      <c r="V272" s="40" t="str">
        <f>_xlfn.XLOOKUP($B272,'44'!$B:$B,'44'!V:V,)</f>
        <v>UK average</v>
      </c>
      <c r="W272" s="40">
        <f>_xlfn.XLOOKUP($B272,'44'!$B:$B,'44'!W:W,)</f>
        <v>581132</v>
      </c>
    </row>
    <row r="273" spans="2:23">
      <c r="B273" s="40" t="s">
        <v>3933</v>
      </c>
      <c r="C273" s="40" t="str">
        <f>_xlfn.XLOOKUP($B273,'44'!$B:$B,'44'!C:C,)</f>
        <v>Health and safety</v>
      </c>
      <c r="D273" s="40" t="str">
        <f>_xlfn.XLOOKUP($B273,'44'!$B:$B,'44'!D:D,)</f>
        <v>Ill health leading to 7 or more days absence</v>
      </c>
      <c r="E273" s="40" t="str">
        <f>_xlfn.XLOOKUP($B273,'44'!$B:$B,'44'!E:E,)</f>
        <v>Local economy</v>
      </c>
      <c r="F273" s="40">
        <f>_xlfn.XLOOKUP($B273,'44'!$B:$B,'44'!F:F,)</f>
        <v>2023</v>
      </c>
      <c r="G273" s="40">
        <f>_xlfn.XLOOKUP($B273,'44'!$B:$B,'44'!G:G,)</f>
        <v>2023</v>
      </c>
      <c r="H273" s="40">
        <f>_xlfn.XLOOKUP($B273,'44'!$B:$B,'44'!H:H,)</f>
        <v>2023</v>
      </c>
      <c r="I273" s="40">
        <f>_xlfn.XLOOKUP($B273,'44'!$B:$B,'44'!I:I,)</f>
        <v>100</v>
      </c>
      <c r="J273" s="40">
        <f>_xlfn.XLOOKUP($B273,'44'!$B:$B,'44'!J:J,)</f>
        <v>100</v>
      </c>
      <c r="K273" s="629">
        <f>_xlfn.XLOOKUP($B273,'44'!$B:$B,'44'!K:K,)</f>
        <v>9800</v>
      </c>
      <c r="L273" s="629">
        <f>_xlfn.XLOOKUP($B273,'44'!$B:$B,'44'!L:L,)</f>
        <v>9800</v>
      </c>
      <c r="M273" s="40" t="str">
        <f>_xlfn.XLOOKUP($B273,'44'!$B:$B,'44'!M:M,)</f>
        <v>Avoided cost</v>
      </c>
      <c r="N273" s="326">
        <f>_xlfn.XLOOKUP($B273,'44'!$B:$B,'44'!N:N,)</f>
        <v>3</v>
      </c>
      <c r="O273" s="40" t="str">
        <f>_xlfn.XLOOKUP($B273,'44'!$B:$B,'44'!O:O,)</f>
        <v>Yes</v>
      </c>
      <c r="P273" s="40" t="str">
        <f>_xlfn.XLOOKUP($B273,'44'!$B:$B,'44'!P:P,)</f>
        <v>Reputable source and UK context</v>
      </c>
      <c r="Q273" s="40">
        <f>_xlfn.XLOOKUP($B273,'44'!$B:$B,'44'!Q:Q,)</f>
        <v>21</v>
      </c>
      <c r="R273" s="40" t="str">
        <f>_xlfn.XLOOKUP($B273,'44'!$B:$B,'44'!R:R,)</f>
        <v>HSE (2023) Appraisal values or 'unit costs'</v>
      </c>
      <c r="S273" s="40" t="str">
        <f>_xlfn.XLOOKUP($B273,'44'!$B:$B,'44'!S:S,)</f>
        <v>B£ST</v>
      </c>
      <c r="T273" s="40">
        <f>_xlfn.XLOOKUP($B273,'44'!$B:$B,'44'!T:T,)</f>
        <v>2023</v>
      </c>
      <c r="U273" s="40" t="str">
        <f>_xlfn.XLOOKUP($B273,'44'!$B:$B,'44'!U:U,)</f>
        <v>Britain</v>
      </c>
      <c r="V273" s="40" t="str">
        <f>_xlfn.XLOOKUP($B273,'44'!$B:$B,'44'!V:V,)</f>
        <v>UK average</v>
      </c>
      <c r="W273" s="40">
        <f>_xlfn.XLOOKUP($B273,'44'!$B:$B,'44'!W:W,)</f>
        <v>581132</v>
      </c>
    </row>
    <row r="274" spans="2:23">
      <c r="B274" s="40" t="s">
        <v>3934</v>
      </c>
      <c r="C274" s="40" t="str">
        <f>_xlfn.XLOOKUP($B274,'44'!$B:$B,'44'!C:C,)</f>
        <v>Health and safety</v>
      </c>
      <c r="D274" s="40" t="str">
        <f>_xlfn.XLOOKUP($B274,'44'!$B:$B,'44'!D:D,)</f>
        <v>Ill health leading up to 6 days absence</v>
      </c>
      <c r="E274" s="40" t="str">
        <f>_xlfn.XLOOKUP($B274,'44'!$B:$B,'44'!E:E,)</f>
        <v>Local economy</v>
      </c>
      <c r="F274" s="40">
        <f>_xlfn.XLOOKUP($B274,'44'!$B:$B,'44'!F:F,)</f>
        <v>2023</v>
      </c>
      <c r="G274" s="40">
        <f>_xlfn.XLOOKUP($B274,'44'!$B:$B,'44'!G:G,)</f>
        <v>2023</v>
      </c>
      <c r="H274" s="40">
        <f>_xlfn.XLOOKUP($B274,'44'!$B:$B,'44'!H:H,)</f>
        <v>2023</v>
      </c>
      <c r="I274" s="40">
        <f>_xlfn.XLOOKUP($B274,'44'!$B:$B,'44'!I:I,)</f>
        <v>100</v>
      </c>
      <c r="J274" s="40">
        <f>_xlfn.XLOOKUP($B274,'44'!$B:$B,'44'!J:J,)</f>
        <v>100</v>
      </c>
      <c r="K274" s="629">
        <f>_xlfn.XLOOKUP($B274,'44'!$B:$B,'44'!K:K,)</f>
        <v>490</v>
      </c>
      <c r="L274" s="629">
        <f>_xlfn.XLOOKUP($B274,'44'!$B:$B,'44'!L:L,)</f>
        <v>490</v>
      </c>
      <c r="M274" s="40" t="str">
        <f>_xlfn.XLOOKUP($B274,'44'!$B:$B,'44'!M:M,)</f>
        <v>Avoided cost</v>
      </c>
      <c r="N274" s="326">
        <f>_xlfn.XLOOKUP($B274,'44'!$B:$B,'44'!N:N,)</f>
        <v>3</v>
      </c>
      <c r="O274" s="40" t="str">
        <f>_xlfn.XLOOKUP($B274,'44'!$B:$B,'44'!O:O,)</f>
        <v>Yes</v>
      </c>
      <c r="P274" s="40" t="str">
        <f>_xlfn.XLOOKUP($B274,'44'!$B:$B,'44'!P:P,)</f>
        <v>Reputable source and UK context</v>
      </c>
      <c r="Q274" s="40">
        <f>_xlfn.XLOOKUP($B274,'44'!$B:$B,'44'!Q:Q,)</f>
        <v>21</v>
      </c>
      <c r="R274" s="40" t="str">
        <f>_xlfn.XLOOKUP($B274,'44'!$B:$B,'44'!R:R,)</f>
        <v>HSE (2023) Appraisal values or 'unit costs'</v>
      </c>
      <c r="S274" s="40" t="str">
        <f>_xlfn.XLOOKUP($B274,'44'!$B:$B,'44'!S:S,)</f>
        <v>B£ST</v>
      </c>
      <c r="T274" s="40">
        <f>_xlfn.XLOOKUP($B274,'44'!$B:$B,'44'!T:T,)</f>
        <v>2023</v>
      </c>
      <c r="U274" s="40" t="str">
        <f>_xlfn.XLOOKUP($B274,'44'!$B:$B,'44'!U:U,)</f>
        <v>Britain</v>
      </c>
      <c r="V274" s="40" t="str">
        <f>_xlfn.XLOOKUP($B274,'44'!$B:$B,'44'!V:V,)</f>
        <v>UK average</v>
      </c>
      <c r="W274" s="40">
        <f>_xlfn.XLOOKUP($B274,'44'!$B:$B,'44'!W:W,)</f>
        <v>581132</v>
      </c>
    </row>
    <row r="275" spans="2:23">
      <c r="B275" s="40" t="s">
        <v>3935</v>
      </c>
      <c r="C275" s="40" t="str">
        <f>_xlfn.XLOOKUP($B275,'44'!$B:$B,'44'!C:C,)</f>
        <v>Health and safety</v>
      </c>
      <c r="D275" s="40" t="str">
        <f>_xlfn.XLOOKUP($B275,'44'!$B:$B,'44'!D:D,)</f>
        <v>Fatality</v>
      </c>
      <c r="E275" s="40" t="str">
        <f>_xlfn.XLOOKUP($B275,'44'!$B:$B,'44'!E:E,)</f>
        <v>Safety and security</v>
      </c>
      <c r="F275" s="40">
        <f>_xlfn.XLOOKUP($B275,'44'!$B:$B,'44'!F:F,)</f>
        <v>2023</v>
      </c>
      <c r="G275" s="40">
        <f>_xlfn.XLOOKUP($B275,'44'!$B:$B,'44'!G:G,)</f>
        <v>2023</v>
      </c>
      <c r="H275" s="40">
        <f>_xlfn.XLOOKUP($B275,'44'!$B:$B,'44'!H:H,)</f>
        <v>2023</v>
      </c>
      <c r="I275" s="40">
        <f>_xlfn.XLOOKUP($B275,'44'!$B:$B,'44'!I:I,)</f>
        <v>100</v>
      </c>
      <c r="J275" s="40">
        <f>_xlfn.XLOOKUP($B275,'44'!$B:$B,'44'!J:J,)</f>
        <v>100</v>
      </c>
      <c r="K275" s="629">
        <f>_xlfn.XLOOKUP($B275,'44'!$B:$B,'44'!K:K,)</f>
        <v>1881000</v>
      </c>
      <c r="L275" s="629">
        <f>_xlfn.XLOOKUP($B275,'44'!$B:$B,'44'!L:L,)</f>
        <v>1881000</v>
      </c>
      <c r="M275" s="40" t="str">
        <f>_xlfn.XLOOKUP($B275,'44'!$B:$B,'44'!M:M,)</f>
        <v>Avoided cost</v>
      </c>
      <c r="N275" s="326">
        <f>_xlfn.XLOOKUP($B275,'44'!$B:$B,'44'!N:N,)</f>
        <v>3</v>
      </c>
      <c r="O275" s="40" t="str">
        <f>_xlfn.XLOOKUP($B275,'44'!$B:$B,'44'!O:O,)</f>
        <v>Yes</v>
      </c>
      <c r="P275" s="40" t="str">
        <f>_xlfn.XLOOKUP($B275,'44'!$B:$B,'44'!P:P,)</f>
        <v>Reputable source and UK context</v>
      </c>
      <c r="Q275" s="40">
        <f>_xlfn.XLOOKUP($B275,'44'!$B:$B,'44'!Q:Q,)</f>
        <v>21</v>
      </c>
      <c r="R275" s="40" t="str">
        <f>_xlfn.XLOOKUP($B275,'44'!$B:$B,'44'!R:R,)</f>
        <v>HSE (2023) Appraisal values or 'unit costs'</v>
      </c>
      <c r="S275" s="40" t="str">
        <f>_xlfn.XLOOKUP($B275,'44'!$B:$B,'44'!S:S,)</f>
        <v>B£ST</v>
      </c>
      <c r="T275" s="40">
        <f>_xlfn.XLOOKUP($B275,'44'!$B:$B,'44'!T:T,)</f>
        <v>2023</v>
      </c>
      <c r="U275" s="40" t="str">
        <f>_xlfn.XLOOKUP($B275,'44'!$B:$B,'44'!U:U,)</f>
        <v>Britain</v>
      </c>
      <c r="V275" s="40" t="str">
        <f>_xlfn.XLOOKUP($B275,'44'!$B:$B,'44'!V:V,)</f>
        <v>UK average</v>
      </c>
      <c r="W275" s="40">
        <f>_xlfn.XLOOKUP($B275,'44'!$B:$B,'44'!W:W,)</f>
        <v>581132</v>
      </c>
    </row>
    <row r="276" spans="2:23">
      <c r="B276" s="40" t="s">
        <v>3936</v>
      </c>
      <c r="C276" s="40" t="str">
        <f>_xlfn.XLOOKUP($B276,'44'!$B:$B,'44'!C:C,)</f>
        <v>Health and safety</v>
      </c>
      <c r="D276" s="40" t="str">
        <f>_xlfn.XLOOKUP($B276,'44'!$B:$B,'44'!D:D,)</f>
        <v>Non-fatal injuries</v>
      </c>
      <c r="E276" s="40" t="str">
        <f>_xlfn.XLOOKUP($B276,'44'!$B:$B,'44'!E:E,)</f>
        <v>Safety and security</v>
      </c>
      <c r="F276" s="40">
        <f>_xlfn.XLOOKUP($B276,'44'!$B:$B,'44'!F:F,)</f>
        <v>2023</v>
      </c>
      <c r="G276" s="40">
        <f>_xlfn.XLOOKUP($B276,'44'!$B:$B,'44'!G:G,)</f>
        <v>2023</v>
      </c>
      <c r="H276" s="40">
        <f>_xlfn.XLOOKUP($B276,'44'!$B:$B,'44'!H:H,)</f>
        <v>2023</v>
      </c>
      <c r="I276" s="40">
        <f>_xlfn.XLOOKUP($B276,'44'!$B:$B,'44'!I:I,)</f>
        <v>100</v>
      </c>
      <c r="J276" s="40">
        <f>_xlfn.XLOOKUP($B276,'44'!$B:$B,'44'!J:J,)</f>
        <v>100</v>
      </c>
      <c r="K276" s="629">
        <f>_xlfn.XLOOKUP($B276,'44'!$B:$B,'44'!K:K,)</f>
        <v>7000</v>
      </c>
      <c r="L276" s="629">
        <f>_xlfn.XLOOKUP($B276,'44'!$B:$B,'44'!L:L,)</f>
        <v>7000</v>
      </c>
      <c r="M276" s="40" t="str">
        <f>_xlfn.XLOOKUP($B276,'44'!$B:$B,'44'!M:M,)</f>
        <v>Avoided cost</v>
      </c>
      <c r="N276" s="326">
        <f>_xlfn.XLOOKUP($B276,'44'!$B:$B,'44'!N:N,)</f>
        <v>3</v>
      </c>
      <c r="O276" s="40" t="str">
        <f>_xlfn.XLOOKUP($B276,'44'!$B:$B,'44'!O:O,)</f>
        <v>Yes</v>
      </c>
      <c r="P276" s="40" t="str">
        <f>_xlfn.XLOOKUP($B276,'44'!$B:$B,'44'!P:P,)</f>
        <v>Reputable source and UK context</v>
      </c>
      <c r="Q276" s="40">
        <f>_xlfn.XLOOKUP($B276,'44'!$B:$B,'44'!Q:Q,)</f>
        <v>21</v>
      </c>
      <c r="R276" s="40" t="str">
        <f>_xlfn.XLOOKUP($B276,'44'!$B:$B,'44'!R:R,)</f>
        <v>HSE (2023) Appraisal values or 'unit costs'</v>
      </c>
      <c r="S276" s="40" t="str">
        <f>_xlfn.XLOOKUP($B276,'44'!$B:$B,'44'!S:S,)</f>
        <v>B£ST</v>
      </c>
      <c r="T276" s="40">
        <f>_xlfn.XLOOKUP($B276,'44'!$B:$B,'44'!T:T,)</f>
        <v>2023</v>
      </c>
      <c r="U276" s="40" t="str">
        <f>_xlfn.XLOOKUP($B276,'44'!$B:$B,'44'!U:U,)</f>
        <v>Britain</v>
      </c>
      <c r="V276" s="40" t="str">
        <f>_xlfn.XLOOKUP($B276,'44'!$B:$B,'44'!V:V,)</f>
        <v>UK average</v>
      </c>
      <c r="W276" s="40">
        <f>_xlfn.XLOOKUP($B276,'44'!$B:$B,'44'!W:W,)</f>
        <v>581132</v>
      </c>
    </row>
    <row r="277" spans="2:23">
      <c r="B277" s="40" t="s">
        <v>3937</v>
      </c>
      <c r="C277" s="40" t="str">
        <f>_xlfn.XLOOKUP($B277,'44'!$B:$B,'44'!C:C,)</f>
        <v>Health and safety</v>
      </c>
      <c r="D277" s="40" t="str">
        <f>_xlfn.XLOOKUP($B277,'44'!$B:$B,'44'!D:D,)</f>
        <v>Injuries leading to 7 or more days absence</v>
      </c>
      <c r="E277" s="40" t="str">
        <f>_xlfn.XLOOKUP($B277,'44'!$B:$B,'44'!E:E,)</f>
        <v>Safety and security</v>
      </c>
      <c r="F277" s="40">
        <f>_xlfn.XLOOKUP($B277,'44'!$B:$B,'44'!F:F,)</f>
        <v>2023</v>
      </c>
      <c r="G277" s="40">
        <f>_xlfn.XLOOKUP($B277,'44'!$B:$B,'44'!G:G,)</f>
        <v>2023</v>
      </c>
      <c r="H277" s="40">
        <f>_xlfn.XLOOKUP($B277,'44'!$B:$B,'44'!H:H,)</f>
        <v>2023</v>
      </c>
      <c r="I277" s="40">
        <f>_xlfn.XLOOKUP($B277,'44'!$B:$B,'44'!I:I,)</f>
        <v>100</v>
      </c>
      <c r="J277" s="40">
        <f>_xlfn.XLOOKUP($B277,'44'!$B:$B,'44'!J:J,)</f>
        <v>100</v>
      </c>
      <c r="K277" s="629">
        <f>_xlfn.XLOOKUP($B277,'44'!$B:$B,'44'!K:K,)</f>
        <v>28200</v>
      </c>
      <c r="L277" s="629">
        <f>_xlfn.XLOOKUP($B277,'44'!$B:$B,'44'!L:L,)</f>
        <v>28200</v>
      </c>
      <c r="M277" s="40" t="str">
        <f>_xlfn.XLOOKUP($B277,'44'!$B:$B,'44'!M:M,)</f>
        <v>Avoided cost</v>
      </c>
      <c r="N277" s="326">
        <f>_xlfn.XLOOKUP($B277,'44'!$B:$B,'44'!N:N,)</f>
        <v>3</v>
      </c>
      <c r="O277" s="40" t="str">
        <f>_xlfn.XLOOKUP($B277,'44'!$B:$B,'44'!O:O,)</f>
        <v>Yes</v>
      </c>
      <c r="P277" s="40" t="str">
        <f>_xlfn.XLOOKUP($B277,'44'!$B:$B,'44'!P:P,)</f>
        <v>Reputable source and UK context</v>
      </c>
      <c r="Q277" s="40">
        <f>_xlfn.XLOOKUP($B277,'44'!$B:$B,'44'!Q:Q,)</f>
        <v>21</v>
      </c>
      <c r="R277" s="40" t="str">
        <f>_xlfn.XLOOKUP($B277,'44'!$B:$B,'44'!R:R,)</f>
        <v>HSE (2023) Appraisal values or 'unit costs'</v>
      </c>
      <c r="S277" s="40" t="str">
        <f>_xlfn.XLOOKUP($B277,'44'!$B:$B,'44'!S:S,)</f>
        <v>B£ST</v>
      </c>
      <c r="T277" s="40">
        <f>_xlfn.XLOOKUP($B277,'44'!$B:$B,'44'!T:T,)</f>
        <v>2023</v>
      </c>
      <c r="U277" s="40" t="str">
        <f>_xlfn.XLOOKUP($B277,'44'!$B:$B,'44'!U:U,)</f>
        <v>Britain</v>
      </c>
      <c r="V277" s="40" t="str">
        <f>_xlfn.XLOOKUP($B277,'44'!$B:$B,'44'!V:V,)</f>
        <v>UK average</v>
      </c>
      <c r="W277" s="40">
        <f>_xlfn.XLOOKUP($B277,'44'!$B:$B,'44'!W:W,)</f>
        <v>581132</v>
      </c>
    </row>
    <row r="278" spans="2:23">
      <c r="B278" s="40" t="s">
        <v>3938</v>
      </c>
      <c r="C278" s="40" t="str">
        <f>_xlfn.XLOOKUP($B278,'44'!$B:$B,'44'!C:C,)</f>
        <v>Health and safety</v>
      </c>
      <c r="D278" s="40" t="str">
        <f>_xlfn.XLOOKUP($B278,'44'!$B:$B,'44'!D:D,)</f>
        <v>Injuries leading up to 6 days absence</v>
      </c>
      <c r="E278" s="40" t="str">
        <f>_xlfn.XLOOKUP($B278,'44'!$B:$B,'44'!E:E,)</f>
        <v>Safety and security</v>
      </c>
      <c r="F278" s="40">
        <f>_xlfn.XLOOKUP($B278,'44'!$B:$B,'44'!F:F,)</f>
        <v>2023</v>
      </c>
      <c r="G278" s="40">
        <f>_xlfn.XLOOKUP($B278,'44'!$B:$B,'44'!G:G,)</f>
        <v>2023</v>
      </c>
      <c r="H278" s="40">
        <f>_xlfn.XLOOKUP($B278,'44'!$B:$B,'44'!H:H,)</f>
        <v>2023</v>
      </c>
      <c r="I278" s="40">
        <f>_xlfn.XLOOKUP($B278,'44'!$B:$B,'44'!I:I,)</f>
        <v>100</v>
      </c>
      <c r="J278" s="40">
        <f>_xlfn.XLOOKUP($B278,'44'!$B:$B,'44'!J:J,)</f>
        <v>100</v>
      </c>
      <c r="K278" s="629">
        <f>_xlfn.XLOOKUP($B278,'44'!$B:$B,'44'!K:K,)</f>
        <v>470</v>
      </c>
      <c r="L278" s="629">
        <f>_xlfn.XLOOKUP($B278,'44'!$B:$B,'44'!L:L,)</f>
        <v>470</v>
      </c>
      <c r="M278" s="40" t="str">
        <f>_xlfn.XLOOKUP($B278,'44'!$B:$B,'44'!M:M,)</f>
        <v>Avoided cost</v>
      </c>
      <c r="N278" s="326">
        <f>_xlfn.XLOOKUP($B278,'44'!$B:$B,'44'!N:N,)</f>
        <v>3</v>
      </c>
      <c r="O278" s="40" t="str">
        <f>_xlfn.XLOOKUP($B278,'44'!$B:$B,'44'!O:O,)</f>
        <v>Yes</v>
      </c>
      <c r="P278" s="40" t="str">
        <f>_xlfn.XLOOKUP($B278,'44'!$B:$B,'44'!P:P,)</f>
        <v>Reputable source and UK context</v>
      </c>
      <c r="Q278" s="40">
        <f>_xlfn.XLOOKUP($B278,'44'!$B:$B,'44'!Q:Q,)</f>
        <v>21</v>
      </c>
      <c r="R278" s="40" t="str">
        <f>_xlfn.XLOOKUP($B278,'44'!$B:$B,'44'!R:R,)</f>
        <v>HSE (2023) Appraisal values or 'unit costs'</v>
      </c>
      <c r="S278" s="40" t="str">
        <f>_xlfn.XLOOKUP($B278,'44'!$B:$B,'44'!S:S,)</f>
        <v>B£ST</v>
      </c>
      <c r="T278" s="40">
        <f>_xlfn.XLOOKUP($B278,'44'!$B:$B,'44'!T:T,)</f>
        <v>2023</v>
      </c>
      <c r="U278" s="40" t="str">
        <f>_xlfn.XLOOKUP($B278,'44'!$B:$B,'44'!U:U,)</f>
        <v>Britain</v>
      </c>
      <c r="V278" s="40" t="str">
        <f>_xlfn.XLOOKUP($B278,'44'!$B:$B,'44'!V:V,)</f>
        <v>UK average</v>
      </c>
      <c r="W278" s="40">
        <f>_xlfn.XLOOKUP($B278,'44'!$B:$B,'44'!W:W,)</f>
        <v>581132</v>
      </c>
    </row>
    <row r="279" spans="2:23">
      <c r="B279" s="40" t="s">
        <v>3939</v>
      </c>
      <c r="C279" s="40" t="str">
        <f>_xlfn.XLOOKUP($B279,'44'!$B:$B,'44'!C:C,)</f>
        <v>Health and safety</v>
      </c>
      <c r="D279" s="40" t="str">
        <f>_xlfn.XLOOKUP($B279,'44'!$B:$B,'44'!D:D,)</f>
        <v>Ill health</v>
      </c>
      <c r="E279" s="40" t="str">
        <f>_xlfn.XLOOKUP($B279,'44'!$B:$B,'44'!E:E,)</f>
        <v>Safety and security</v>
      </c>
      <c r="F279" s="40">
        <f>_xlfn.XLOOKUP($B279,'44'!$B:$B,'44'!F:F,)</f>
        <v>2023</v>
      </c>
      <c r="G279" s="40">
        <f>_xlfn.XLOOKUP($B279,'44'!$B:$B,'44'!G:G,)</f>
        <v>2023</v>
      </c>
      <c r="H279" s="40">
        <f>_xlfn.XLOOKUP($B279,'44'!$B:$B,'44'!H:H,)</f>
        <v>2023</v>
      </c>
      <c r="I279" s="40">
        <f>_xlfn.XLOOKUP($B279,'44'!$B:$B,'44'!I:I,)</f>
        <v>100</v>
      </c>
      <c r="J279" s="40">
        <f>_xlfn.XLOOKUP($B279,'44'!$B:$B,'44'!J:J,)</f>
        <v>100</v>
      </c>
      <c r="K279" s="629">
        <f>_xlfn.XLOOKUP($B279,'44'!$B:$B,'44'!K:K,)</f>
        <v>12300</v>
      </c>
      <c r="L279" s="629">
        <f>_xlfn.XLOOKUP($B279,'44'!$B:$B,'44'!L:L,)</f>
        <v>12300</v>
      </c>
      <c r="M279" s="40" t="str">
        <f>_xlfn.XLOOKUP($B279,'44'!$B:$B,'44'!M:M,)</f>
        <v>Avoided cost</v>
      </c>
      <c r="N279" s="326">
        <f>_xlfn.XLOOKUP($B279,'44'!$B:$B,'44'!N:N,)</f>
        <v>3</v>
      </c>
      <c r="O279" s="40" t="str">
        <f>_xlfn.XLOOKUP($B279,'44'!$B:$B,'44'!O:O,)</f>
        <v>Yes</v>
      </c>
      <c r="P279" s="40" t="str">
        <f>_xlfn.XLOOKUP($B279,'44'!$B:$B,'44'!P:P,)</f>
        <v>Reputable source and UK context</v>
      </c>
      <c r="Q279" s="40">
        <f>_xlfn.XLOOKUP($B279,'44'!$B:$B,'44'!Q:Q,)</f>
        <v>21</v>
      </c>
      <c r="R279" s="40" t="str">
        <f>_xlfn.XLOOKUP($B279,'44'!$B:$B,'44'!R:R,)</f>
        <v>HSE (2023) Appraisal values or 'unit costs'</v>
      </c>
      <c r="S279" s="40" t="str">
        <f>_xlfn.XLOOKUP($B279,'44'!$B:$B,'44'!S:S,)</f>
        <v>B£ST</v>
      </c>
      <c r="T279" s="40">
        <f>_xlfn.XLOOKUP($B279,'44'!$B:$B,'44'!T:T,)</f>
        <v>2023</v>
      </c>
      <c r="U279" s="40" t="str">
        <f>_xlfn.XLOOKUP($B279,'44'!$B:$B,'44'!U:U,)</f>
        <v>Britain</v>
      </c>
      <c r="V279" s="40" t="str">
        <f>_xlfn.XLOOKUP($B279,'44'!$B:$B,'44'!V:V,)</f>
        <v>UK average</v>
      </c>
      <c r="W279" s="40">
        <f>_xlfn.XLOOKUP($B279,'44'!$B:$B,'44'!W:W,)</f>
        <v>581132</v>
      </c>
    </row>
    <row r="280" spans="2:23">
      <c r="B280" s="40" t="s">
        <v>3940</v>
      </c>
      <c r="C280" s="40" t="str">
        <f>_xlfn.XLOOKUP($B280,'44'!$B:$B,'44'!C:C,)</f>
        <v>Health and safety</v>
      </c>
      <c r="D280" s="40" t="str">
        <f>_xlfn.XLOOKUP($B280,'44'!$B:$B,'44'!D:D,)</f>
        <v>Ill health leading to 7 or more days absence</v>
      </c>
      <c r="E280" s="40" t="str">
        <f>_xlfn.XLOOKUP($B280,'44'!$B:$B,'44'!E:E,)</f>
        <v>Safety and security</v>
      </c>
      <c r="F280" s="40">
        <f>_xlfn.XLOOKUP($B280,'44'!$B:$B,'44'!F:F,)</f>
        <v>2023</v>
      </c>
      <c r="G280" s="40">
        <f>_xlfn.XLOOKUP($B280,'44'!$B:$B,'44'!G:G,)</f>
        <v>2023</v>
      </c>
      <c r="H280" s="40">
        <f>_xlfn.XLOOKUP($B280,'44'!$B:$B,'44'!H:H,)</f>
        <v>2023</v>
      </c>
      <c r="I280" s="40">
        <f>_xlfn.XLOOKUP($B280,'44'!$B:$B,'44'!I:I,)</f>
        <v>100</v>
      </c>
      <c r="J280" s="40">
        <f>_xlfn.XLOOKUP($B280,'44'!$B:$B,'44'!J:J,)</f>
        <v>100</v>
      </c>
      <c r="K280" s="629">
        <f>_xlfn.XLOOKUP($B280,'44'!$B:$B,'44'!K:K,)</f>
        <v>25700</v>
      </c>
      <c r="L280" s="629">
        <f>_xlfn.XLOOKUP($B280,'44'!$B:$B,'44'!L:L,)</f>
        <v>25700</v>
      </c>
      <c r="M280" s="40" t="str">
        <f>_xlfn.XLOOKUP($B280,'44'!$B:$B,'44'!M:M,)</f>
        <v>Avoided cost</v>
      </c>
      <c r="N280" s="326">
        <f>_xlfn.XLOOKUP($B280,'44'!$B:$B,'44'!N:N,)</f>
        <v>3</v>
      </c>
      <c r="O280" s="40" t="str">
        <f>_xlfn.XLOOKUP($B280,'44'!$B:$B,'44'!O:O,)</f>
        <v>Yes</v>
      </c>
      <c r="P280" s="40" t="str">
        <f>_xlfn.XLOOKUP($B280,'44'!$B:$B,'44'!P:P,)</f>
        <v>Reputable source and UK context</v>
      </c>
      <c r="Q280" s="40">
        <f>_xlfn.XLOOKUP($B280,'44'!$B:$B,'44'!Q:Q,)</f>
        <v>21</v>
      </c>
      <c r="R280" s="40" t="str">
        <f>_xlfn.XLOOKUP($B280,'44'!$B:$B,'44'!R:R,)</f>
        <v>HSE (2023) Appraisal values or 'unit costs'</v>
      </c>
      <c r="S280" s="40" t="str">
        <f>_xlfn.XLOOKUP($B280,'44'!$B:$B,'44'!S:S,)</f>
        <v>B£ST</v>
      </c>
      <c r="T280" s="40">
        <f>_xlfn.XLOOKUP($B280,'44'!$B:$B,'44'!T:T,)</f>
        <v>2023</v>
      </c>
      <c r="U280" s="40" t="str">
        <f>_xlfn.XLOOKUP($B280,'44'!$B:$B,'44'!U:U,)</f>
        <v>Britain</v>
      </c>
      <c r="V280" s="40" t="str">
        <f>_xlfn.XLOOKUP($B280,'44'!$B:$B,'44'!V:V,)</f>
        <v>UK average</v>
      </c>
      <c r="W280" s="40">
        <f>_xlfn.XLOOKUP($B280,'44'!$B:$B,'44'!W:W,)</f>
        <v>581132</v>
      </c>
    </row>
    <row r="281" spans="2:23">
      <c r="B281" s="40" t="s">
        <v>3941</v>
      </c>
      <c r="C281" s="40" t="str">
        <f>_xlfn.XLOOKUP($B281,'44'!$B:$B,'44'!C:C,)</f>
        <v>Health and safety</v>
      </c>
      <c r="D281" s="40" t="str">
        <f>_xlfn.XLOOKUP($B281,'44'!$B:$B,'44'!D:D,)</f>
        <v>Ill health leading up to 6 days absence</v>
      </c>
      <c r="E281" s="40" t="str">
        <f>_xlfn.XLOOKUP($B281,'44'!$B:$B,'44'!E:E,)</f>
        <v>Safety and security</v>
      </c>
      <c r="F281" s="40">
        <f>_xlfn.XLOOKUP($B281,'44'!$B:$B,'44'!F:F,)</f>
        <v>2023</v>
      </c>
      <c r="G281" s="40">
        <f>_xlfn.XLOOKUP($B281,'44'!$B:$B,'44'!G:G,)</f>
        <v>2023</v>
      </c>
      <c r="H281" s="40">
        <f>_xlfn.XLOOKUP($B281,'44'!$B:$B,'44'!H:H,)</f>
        <v>2023</v>
      </c>
      <c r="I281" s="40">
        <f>_xlfn.XLOOKUP($B281,'44'!$B:$B,'44'!I:I,)</f>
        <v>100</v>
      </c>
      <c r="J281" s="40">
        <f>_xlfn.XLOOKUP($B281,'44'!$B:$B,'44'!J:J,)</f>
        <v>100</v>
      </c>
      <c r="K281" s="629">
        <f>_xlfn.XLOOKUP($B281,'44'!$B:$B,'44'!K:K,)</f>
        <v>570</v>
      </c>
      <c r="L281" s="629">
        <f>_xlfn.XLOOKUP($B281,'44'!$B:$B,'44'!L:L,)</f>
        <v>570</v>
      </c>
      <c r="M281" s="40" t="str">
        <f>_xlfn.XLOOKUP($B281,'44'!$B:$B,'44'!M:M,)</f>
        <v>Avoided cost</v>
      </c>
      <c r="N281" s="326">
        <f>_xlfn.XLOOKUP($B281,'44'!$B:$B,'44'!N:N,)</f>
        <v>3</v>
      </c>
      <c r="O281" s="40" t="str">
        <f>_xlfn.XLOOKUP($B281,'44'!$B:$B,'44'!O:O,)</f>
        <v>Yes</v>
      </c>
      <c r="P281" s="40" t="str">
        <f>_xlfn.XLOOKUP($B281,'44'!$B:$B,'44'!P:P,)</f>
        <v>Reputable source and UK context</v>
      </c>
      <c r="Q281" s="40">
        <f>_xlfn.XLOOKUP($B281,'44'!$B:$B,'44'!Q:Q,)</f>
        <v>21</v>
      </c>
      <c r="R281" s="40" t="str">
        <f>_xlfn.XLOOKUP($B281,'44'!$B:$B,'44'!R:R,)</f>
        <v>HSE (2023) Appraisal values or 'unit costs'</v>
      </c>
      <c r="S281" s="40" t="str">
        <f>_xlfn.XLOOKUP($B281,'44'!$B:$B,'44'!S:S,)</f>
        <v>B£ST</v>
      </c>
      <c r="T281" s="40">
        <f>_xlfn.XLOOKUP($B281,'44'!$B:$B,'44'!T:T,)</f>
        <v>2023</v>
      </c>
      <c r="U281" s="40" t="str">
        <f>_xlfn.XLOOKUP($B281,'44'!$B:$B,'44'!U:U,)</f>
        <v>Britain</v>
      </c>
      <c r="V281" s="40" t="str">
        <f>_xlfn.XLOOKUP($B281,'44'!$B:$B,'44'!V:V,)</f>
        <v>UK average</v>
      </c>
      <c r="W281" s="40">
        <f>_xlfn.XLOOKUP($B281,'44'!$B:$B,'44'!W:W,)</f>
        <v>581132</v>
      </c>
    </row>
    <row r="282" spans="2:23">
      <c r="B282" s="39" t="s">
        <v>1467</v>
      </c>
      <c r="C282" s="40" t="str">
        <f ca="1">_xlfn.XLOOKUP($B282,'16'!$B:$B,'16'!C:C,)</f>
        <v>Internal Flooding (non-sewer) - surface water</v>
      </c>
      <c r="D282" s="40" t="str">
        <f ca="1">_xlfn.XLOOKUP($B282,'16'!$B:$B,'16'!D:D,)</f>
        <v>Internal flooding of residential living space</v>
      </c>
      <c r="E282" s="40" t="str">
        <f ca="1">_xlfn.XLOOKUP($B282,'16'!$B:$B,'16'!E:E,)</f>
        <v>GHG</v>
      </c>
      <c r="F282" s="40">
        <f ca="1">_xlfn.XLOOKUP($B282,'16'!$B:$B,'16'!F:F,)</f>
        <v>2020</v>
      </c>
      <c r="G282" s="40">
        <f ca="1">_xlfn.XLOOKUP($B282,'16'!$B:$B,'16'!G:G,)</f>
        <v>2020</v>
      </c>
      <c r="H282" s="40">
        <f ca="1">_xlfn.XLOOKUP($B282,'16'!$B:$B,'16'!H:H,)</f>
        <v>2023</v>
      </c>
      <c r="I282" s="40">
        <f ca="1">_xlfn.XLOOKUP($B282,'16'!$B:$B,'16'!I:I,)</f>
        <v>89.073499999999996</v>
      </c>
      <c r="J282" s="40">
        <f ca="1">_xlfn.XLOOKUP($B282,'16'!$B:$B,'16'!J:J,)</f>
        <v>100</v>
      </c>
      <c r="K282" s="629">
        <f ca="1">_xlfn.XLOOKUP($B282,'16'!$B:$B,'16'!K:K,)</f>
        <v>720.79200000000003</v>
      </c>
      <c r="L282" s="629">
        <f ca="1">_xlfn.XLOOKUP($B282,'16'!$B:$B,'16'!L:L,)</f>
        <v>809.21037121029269</v>
      </c>
      <c r="M282" s="40" t="str">
        <f ca="1">_xlfn.XLOOKUP($B282,'16'!$B:$B,'16'!M:M,)</f>
        <v>Abatement cost</v>
      </c>
      <c r="N282" s="326">
        <f ca="1">_xlfn.XLOOKUP($B282,'16'!$B:$B,'16'!N:N,)</f>
        <v>2.8333333333333335</v>
      </c>
      <c r="O282" s="40" t="str">
        <f ca="1">_xlfn.XLOOKUP($B282,'16'!$B:$B,'16'!O:O,)</f>
        <v>Yes</v>
      </c>
      <c r="P282" s="40" t="str">
        <f ca="1">_xlfn.XLOOKUP($B282,'16'!$B:$B,'16'!P:P,)</f>
        <v>Uses UK-specific carbon values and recognised flood damage data</v>
      </c>
      <c r="Q282" s="40">
        <f ca="1">_xlfn.XLOOKUP($B282,'16'!$B:$B,'16'!Q:Q,)</f>
        <v>63</v>
      </c>
      <c r="R282" s="40" t="str">
        <f ca="1">_xlfn.XLOOKUP($B282,'16'!$B:$B,'16'!R:R,)</f>
        <v>EA (2020) Carbonomics report</v>
      </c>
      <c r="S282" s="40" t="str">
        <f ca="1">_xlfn.XLOOKUP($B282,'16'!$B:$B,'16'!S:S,)</f>
        <v>No</v>
      </c>
      <c r="T282" s="40">
        <f ca="1">_xlfn.XLOOKUP($B282,'16'!$B:$B,'16'!T:T,)</f>
        <v>2020</v>
      </c>
      <c r="U282" s="40" t="str">
        <f ca="1">_xlfn.XLOOKUP($B282,'16'!$B:$B,'16'!U:U,)</f>
        <v>UK</v>
      </c>
      <c r="V282" s="40" t="str">
        <f ca="1">_xlfn.XLOOKUP($B282,'16'!$B:$B,'16'!V:V,)</f>
        <v>UK wide</v>
      </c>
      <c r="W282" s="40" t="str">
        <f ca="1">_xlfn.XLOOKUP($B282,'16'!$B:$B,'16'!W:W,)</f>
        <v>Unknown</v>
      </c>
    </row>
    <row r="283" spans="2:23">
      <c r="B283" s="39" t="s">
        <v>1491</v>
      </c>
      <c r="C283" s="40" t="str">
        <f ca="1">_xlfn.XLOOKUP($B283,'16'!$B:$B,'16'!C:C,)</f>
        <v>Internal Flooding (non-sewer) - surface water</v>
      </c>
      <c r="D283" s="40" t="str">
        <f ca="1">_xlfn.XLOOKUP($B283,'16'!$B:$B,'16'!D:D,)</f>
        <v>Internal flooding of residential living space</v>
      </c>
      <c r="E283" s="40" t="str">
        <f ca="1">_xlfn.XLOOKUP($B283,'16'!$B:$B,'16'!E:E,)</f>
        <v>Quality of place</v>
      </c>
      <c r="F283" s="40">
        <f ca="1">_xlfn.XLOOKUP($B283,'16'!$B:$B,'16'!F:F,)</f>
        <v>2024</v>
      </c>
      <c r="G283" s="40">
        <f ca="1">_xlfn.XLOOKUP($B283,'16'!$B:$B,'16'!G:G,)</f>
        <v>2024</v>
      </c>
      <c r="H283" s="40">
        <f ca="1">_xlfn.XLOOKUP($B283,'16'!$B:$B,'16'!H:H,)</f>
        <v>2023</v>
      </c>
      <c r="I283" s="40">
        <f ca="1">_xlfn.XLOOKUP($B283,'16'!$B:$B,'16'!I:I,)</f>
        <v>101.52460002617836</v>
      </c>
      <c r="J283" s="40">
        <f ca="1">_xlfn.XLOOKUP($B283,'16'!$B:$B,'16'!J:J,)</f>
        <v>100</v>
      </c>
      <c r="K283" s="629">
        <f ca="1">_xlfn.XLOOKUP($B283,'16'!$B:$B,'16'!K:K,)</f>
        <v>23117</v>
      </c>
      <c r="L283" s="629">
        <f ca="1">_xlfn.XLOOKUP($B283,'16'!$B:$B,'16'!L:L,)</f>
        <v>22769.850848010457</v>
      </c>
      <c r="M283" s="40" t="str">
        <f ca="1">_xlfn.XLOOKUP($B283,'16'!$B:$B,'16'!M:M,)</f>
        <v>Statistical analysis of historical flood events</v>
      </c>
      <c r="N283" s="326">
        <f ca="1">_xlfn.XLOOKUP($B283,'16'!$B:$B,'16'!N:N,)</f>
        <v>3</v>
      </c>
      <c r="O283" s="40" t="str">
        <f ca="1">_xlfn.XLOOKUP($B283,'16'!$B:$B,'16'!O:O,)</f>
        <v>No</v>
      </c>
      <c r="P283" s="40" t="str">
        <f ca="1">_xlfn.XLOOKUP($B283,'16'!$B:$B,'16'!P:P,)</f>
        <v>These valuations are used in government economic analysis on flooding - funded by DEFRA and utilised by the Environment Agency. However they are not comparable to sewer flooding valuations so are not consistent</v>
      </c>
      <c r="Q283" s="40">
        <f ca="1">_xlfn.XLOOKUP($B283,'16'!$B:$B,'16'!Q:Q,)</f>
        <v>38</v>
      </c>
      <c r="R283" s="40" t="str">
        <f ca="1">_xlfn.XLOOKUP($B283,'16'!$B:$B,'16'!R:R,)</f>
        <v>MCM (2024) MCM Simplified benefit: cost appraisal tool for flood risk management</v>
      </c>
      <c r="S283" s="40" t="str">
        <f ca="1">_xlfn.XLOOKUP($B283,'16'!$B:$B,'16'!S:S,)</f>
        <v>No</v>
      </c>
      <c r="T283" s="40">
        <f ca="1">_xlfn.XLOOKUP($B283,'16'!$B:$B,'16'!T:T,)</f>
        <v>2024</v>
      </c>
      <c r="U283" s="40" t="str">
        <f ca="1">_xlfn.XLOOKUP($B283,'16'!$B:$B,'16'!U:U,)</f>
        <v>UK</v>
      </c>
      <c r="V283" s="40" t="str">
        <f ca="1">_xlfn.XLOOKUP($B283,'16'!$B:$B,'16'!V:V,)</f>
        <v>UK wide</v>
      </c>
      <c r="W283" s="40" t="str">
        <f ca="1">_xlfn.XLOOKUP($B283,'16'!$B:$B,'16'!W:W,)</f>
        <v>Unknown</v>
      </c>
    </row>
    <row r="284" spans="2:23">
      <c r="B284" s="39" t="s">
        <v>1571</v>
      </c>
      <c r="C284" s="40" t="str">
        <f ca="1">_xlfn.XLOOKUP($B284,'16'!$B:$B,'16'!C:C,)</f>
        <v>Internal Flooding (non-sewer) - surface water</v>
      </c>
      <c r="D284" s="40" t="str">
        <f ca="1">_xlfn.XLOOKUP($B284,'16'!$B:$B,'16'!D:D,)</f>
        <v>Internal flooding of social infrastructure (e.g. schools, hospitals)</v>
      </c>
      <c r="E284" s="40" t="str">
        <f ca="1">_xlfn.XLOOKUP($B284,'16'!$B:$B,'16'!E:E,)</f>
        <v>Local Economy</v>
      </c>
      <c r="F284" s="40">
        <f ca="1">_xlfn.XLOOKUP($B284,'16'!$B:$B,'16'!F:F,)</f>
        <v>2024</v>
      </c>
      <c r="G284" s="40">
        <f ca="1">_xlfn.XLOOKUP($B284,'16'!$B:$B,'16'!G:G,)</f>
        <v>2024</v>
      </c>
      <c r="H284" s="40">
        <f ca="1">_xlfn.XLOOKUP($B284,'16'!$B:$B,'16'!H:H,)</f>
        <v>2023</v>
      </c>
      <c r="I284" s="40">
        <f ca="1">_xlfn.XLOOKUP($B284,'16'!$B:$B,'16'!I:I,)</f>
        <v>101.52460002617836</v>
      </c>
      <c r="J284" s="40">
        <f ca="1">_xlfn.XLOOKUP($B284,'16'!$B:$B,'16'!J:J,)</f>
        <v>100</v>
      </c>
      <c r="K284" s="629">
        <f ca="1">_xlfn.XLOOKUP($B284,'16'!$B:$B,'16'!K:K,)</f>
        <v>22337.345606167888</v>
      </c>
      <c r="L284" s="629">
        <f ca="1">_xlfn.XLOOKUP($B284,'16'!$B:$B,'16'!L:L,)</f>
        <v>22001.904563434033</v>
      </c>
      <c r="M284" s="40" t="str">
        <f ca="1">_xlfn.XLOOKUP($B284,'16'!$B:$B,'16'!M:M,)</f>
        <v>Statistical analysis of historical flood events</v>
      </c>
      <c r="N284" s="326">
        <f ca="1">_xlfn.XLOOKUP($B284,'16'!$B:$B,'16'!N:N,)</f>
        <v>2.1428571428571401</v>
      </c>
      <c r="O284" s="40" t="str">
        <f ca="1">_xlfn.XLOOKUP($B284,'16'!$B:$B,'16'!O:O,)</f>
        <v>No</v>
      </c>
      <c r="P284" s="40" t="str">
        <f ca="1">_xlfn.XLOOKUP($B284,'16'!$B:$B,'16'!P:P,)</f>
        <v>These valuations are used in government economic analysis on flooding - funded by DEFRA and utilised by the Environment Agency. However they are not comparable to sewer flooding valuations so are not consistent</v>
      </c>
      <c r="Q284" s="40">
        <f ca="1">_xlfn.XLOOKUP($B284,'16'!$B:$B,'16'!Q:Q,)</f>
        <v>69</v>
      </c>
      <c r="R284" s="40" t="str">
        <f ca="1">_xlfn.XLOOKUP($B284,'16'!$B:$B,'16'!R:R,)</f>
        <v>MCM (2024) Multicoloured Manual - Chapter 5 - Additional Tables - Fluvial Depth/Damage curves - Short w. Cellar (no warning)</v>
      </c>
      <c r="S284" s="40" t="str">
        <f ca="1">_xlfn.XLOOKUP($B284,'16'!$B:$B,'16'!S:S,)</f>
        <v>No</v>
      </c>
      <c r="T284" s="40">
        <f ca="1">_xlfn.XLOOKUP($B284,'16'!$B:$B,'16'!T:T,)</f>
        <v>2024</v>
      </c>
      <c r="U284" s="40" t="str">
        <f ca="1">_xlfn.XLOOKUP($B284,'16'!$B:$B,'16'!U:U,)</f>
        <v>UK</v>
      </c>
      <c r="V284" s="40" t="str">
        <f ca="1">_xlfn.XLOOKUP($B284,'16'!$B:$B,'16'!V:V,)</f>
        <v>UK</v>
      </c>
      <c r="W284" s="40" t="str">
        <f ca="1">_xlfn.XLOOKUP($B284,'16'!$B:$B,'16'!W:W,)</f>
        <v>/</v>
      </c>
    </row>
    <row r="285" spans="2:23">
      <c r="B285" s="39" t="s">
        <v>1572</v>
      </c>
      <c r="C285" s="40" t="str">
        <f ca="1">_xlfn.XLOOKUP($B285,'16'!$B:$B,'16'!C:C,)</f>
        <v>Internal Flooding (non-sewer) - surface water</v>
      </c>
      <c r="D285" s="40" t="str">
        <f ca="1">_xlfn.XLOOKUP($B285,'16'!$B:$B,'16'!D:D,)</f>
        <v>Internal flooding of commercial and industrial properties</v>
      </c>
      <c r="E285" s="40" t="str">
        <f ca="1">_xlfn.XLOOKUP($B285,'16'!$B:$B,'16'!E:E,)</f>
        <v>Local Economy</v>
      </c>
      <c r="F285" s="40">
        <f ca="1">_xlfn.XLOOKUP($B285,'16'!$B:$B,'16'!F:F,)</f>
        <v>2024</v>
      </c>
      <c r="G285" s="40">
        <f ca="1">_xlfn.XLOOKUP($B285,'16'!$B:$B,'16'!G:G,)</f>
        <v>2024</v>
      </c>
      <c r="H285" s="40">
        <f ca="1">_xlfn.XLOOKUP($B285,'16'!$B:$B,'16'!H:H,)</f>
        <v>2023</v>
      </c>
      <c r="I285" s="40">
        <f ca="1">_xlfn.XLOOKUP($B285,'16'!$B:$B,'16'!I:I,)</f>
        <v>101.52460002617836</v>
      </c>
      <c r="J285" s="40">
        <f ca="1">_xlfn.XLOOKUP($B285,'16'!$B:$B,'16'!J:J,)</f>
        <v>100</v>
      </c>
      <c r="K285" s="629">
        <f ca="1">_xlfn.XLOOKUP($B285,'16'!$B:$B,'16'!K:K,)</f>
        <v>64372.156943073685</v>
      </c>
      <c r="L285" s="629">
        <f ca="1">_xlfn.XLOOKUP($B285,'16'!$B:$B,'16'!L:L,)</f>
        <v>63405.477023770756</v>
      </c>
      <c r="M285" s="40" t="str">
        <f ca="1">_xlfn.XLOOKUP($B285,'16'!$B:$B,'16'!M:M,)</f>
        <v>Statistical analysis of historical flood events</v>
      </c>
      <c r="N285" s="326">
        <f ca="1">_xlfn.XLOOKUP($B285,'16'!$B:$B,'16'!N:N,)</f>
        <v>2.1428571428571401</v>
      </c>
      <c r="O285" s="40" t="str">
        <f ca="1">_xlfn.XLOOKUP($B285,'16'!$B:$B,'16'!O:O,)</f>
        <v>No</v>
      </c>
      <c r="P285" s="40" t="str">
        <f ca="1">_xlfn.XLOOKUP($B285,'16'!$B:$B,'16'!P:P,)</f>
        <v>These valuations are used in government economic analysis on flooding - funded by DEFRA and utilised by the Environment Agency. However they are not comparable to sewer flooding valuations so are not consistent</v>
      </c>
      <c r="Q285" s="40">
        <f ca="1">_xlfn.XLOOKUP($B285,'16'!$B:$B,'16'!Q:Q,)</f>
        <v>69</v>
      </c>
      <c r="R285" s="40" t="str">
        <f ca="1">_xlfn.XLOOKUP($B285,'16'!$B:$B,'16'!R:R,)</f>
        <v>MCM (2024) Multicoloured Manual - Chapter 5 - Additional Tables - Fluvial Depth/Damage curves - Short w. Cellar (no warning)</v>
      </c>
      <c r="S285" s="40" t="str">
        <f ca="1">_xlfn.XLOOKUP($B285,'16'!$B:$B,'16'!S:S,)</f>
        <v>No</v>
      </c>
      <c r="T285" s="40">
        <f ca="1">_xlfn.XLOOKUP($B285,'16'!$B:$B,'16'!T:T,)</f>
        <v>2024</v>
      </c>
      <c r="U285" s="40" t="str">
        <f ca="1">_xlfn.XLOOKUP($B285,'16'!$B:$B,'16'!U:U,)</f>
        <v>UK</v>
      </c>
      <c r="V285" s="40" t="str">
        <f ca="1">_xlfn.XLOOKUP($B285,'16'!$B:$B,'16'!V:V,)</f>
        <v>UK</v>
      </c>
      <c r="W285" s="40" t="str">
        <f ca="1">_xlfn.XLOOKUP($B285,'16'!$B:$B,'16'!W:W,)</f>
        <v>/</v>
      </c>
    </row>
    <row r="286" spans="2:23">
      <c r="B286" s="39" t="s">
        <v>1585</v>
      </c>
      <c r="C286" s="40" t="str">
        <f ca="1">_xlfn.XLOOKUP($B286,'16'!$B:$B,'16'!C:C,)</f>
        <v>Internal Flooding (non-sewer) - surface water</v>
      </c>
      <c r="D286" s="40" t="str">
        <f ca="1">_xlfn.XLOOKUP($B286,'16'!$B:$B,'16'!D:D,)</f>
        <v>Internal flooding of residential living space</v>
      </c>
      <c r="E286" s="40" t="str">
        <f ca="1">_xlfn.XLOOKUP($B286,'16'!$B:$B,'16'!E:E,)</f>
        <v>Health and wellbeing</v>
      </c>
      <c r="F286" s="40">
        <f ca="1">_xlfn.XLOOKUP($B286,'16'!$B:$B,'16'!F:F,)</f>
        <v>2021</v>
      </c>
      <c r="G286" s="40">
        <f ca="1">_xlfn.XLOOKUP($B286,'16'!$B:$B,'16'!G:G,)</f>
        <v>2018</v>
      </c>
      <c r="H286" s="40">
        <f ca="1">_xlfn.XLOOKUP($B286,'16'!$B:$B,'16'!H:H,)</f>
        <v>2023</v>
      </c>
      <c r="I286" s="40">
        <f ca="1">_xlfn.XLOOKUP($B286,'16'!$B:$B,'16'!I:I,)</f>
        <v>82.835999999999999</v>
      </c>
      <c r="J286" s="40">
        <f ca="1">_xlfn.XLOOKUP($B286,'16'!$B:$B,'16'!J:J,)</f>
        <v>100</v>
      </c>
      <c r="K286" s="629">
        <f ca="1">_xlfn.XLOOKUP($B286,'16'!$B:$B,'16'!K:K,)</f>
        <v>4463.5410945994927</v>
      </c>
      <c r="L286" s="629">
        <f ca="1">_xlfn.XLOOKUP($B286,'16'!$B:$B,'16'!L:L,)</f>
        <v>5388.4073284556143</v>
      </c>
      <c r="M286" s="40" t="str">
        <f ca="1">_xlfn.XLOOKUP($B286,'16'!$B:$B,'16'!M:M,)</f>
        <v>Damage costs</v>
      </c>
      <c r="N286" s="326">
        <f ca="1">_xlfn.XLOOKUP($B286,'16'!$B:$B,'16'!N:N,)</f>
        <v>2.1428571428571401</v>
      </c>
      <c r="O286" s="40" t="str">
        <f ca="1">_xlfn.XLOOKUP($B286,'16'!$B:$B,'16'!O:O,)</f>
        <v>Yes</v>
      </c>
      <c r="P286" s="40" t="str">
        <f ca="1">_xlfn.XLOOKUP($B286,'16'!$B:$B,'16'!P:P,)</f>
        <v xml:space="preserve">The EA value is selected as it is recommended for use by the UK government for calculating flood related damages. </v>
      </c>
      <c r="Q286" s="40">
        <f ca="1">_xlfn.XLOOKUP($B286,'16'!$B:$B,'16'!Q:Q,)</f>
        <v>39</v>
      </c>
      <c r="R286" s="40" t="str">
        <f ca="1">_xlfn.XLOOKUP($B286,'16'!$B:$B,'16'!R:R,)</f>
        <v>Environment Agency (2021) Mental health costs of flooding and erosion</v>
      </c>
      <c r="S286" s="40" t="str">
        <f ca="1">_xlfn.XLOOKUP($B286,'16'!$B:$B,'16'!S:S,)</f>
        <v>No</v>
      </c>
      <c r="T286" s="40">
        <f ca="1">_xlfn.XLOOKUP($B286,'16'!$B:$B,'16'!T:T,)</f>
        <v>2021</v>
      </c>
      <c r="U286" s="40" t="str">
        <f ca="1">_xlfn.XLOOKUP($B286,'16'!$B:$B,'16'!U:U,)</f>
        <v>UK</v>
      </c>
      <c r="V286" s="40" t="str">
        <f ca="1">_xlfn.XLOOKUP($B286,'16'!$B:$B,'16'!V:V,)</f>
        <v>UK</v>
      </c>
      <c r="W286" s="40" t="str">
        <f ca="1">_xlfn.XLOOKUP($B286,'16'!$B:$B,'16'!W:W,)</f>
        <v>Unknown</v>
      </c>
    </row>
    <row r="287" spans="2:23">
      <c r="B287" s="39" t="s">
        <v>1490</v>
      </c>
      <c r="C287" s="40" t="str">
        <f ca="1">_xlfn.XLOOKUP($B287,'16'!$B:$B,'16'!C:C,)</f>
        <v>Internal Flooding (non-sewer) - surface water</v>
      </c>
      <c r="D287" s="40" t="str">
        <f ca="1">_xlfn.XLOOKUP($B287,'16'!$B:$B,'16'!D:D,)</f>
        <v>Internal flooding of residential living space</v>
      </c>
      <c r="E287" s="40" t="str">
        <f ca="1">_xlfn.XLOOKUP($B287,'16'!$B:$B,'16'!E:E,)</f>
        <v>Quality of place</v>
      </c>
      <c r="F287" s="40">
        <f ca="1">_xlfn.XLOOKUP($B287,'16'!$B:$B,'16'!F:F,)</f>
        <v>2023</v>
      </c>
      <c r="G287" s="40">
        <f ca="1">_xlfn.XLOOKUP($B287,'16'!$B:$B,'16'!G:G,)</f>
        <v>2024</v>
      </c>
      <c r="H287" s="40">
        <f ca="1">_xlfn.XLOOKUP($B287,'16'!$B:$B,'16'!H:H,)</f>
        <v>2023</v>
      </c>
      <c r="I287" s="40">
        <f ca="1">_xlfn.XLOOKUP($B287,'16'!$B:$B,'16'!I:I,)</f>
        <v>101.52460002617836</v>
      </c>
      <c r="J287" s="40">
        <f ca="1">_xlfn.XLOOKUP($B287,'16'!$B:$B,'16'!J:J,)</f>
        <v>100</v>
      </c>
      <c r="K287" s="629">
        <f ca="1">_xlfn.XLOOKUP($B287,'16'!$B:$B,'16'!K:K,)</f>
        <v>338.82021507184072</v>
      </c>
      <c r="L287" s="629">
        <f ca="1">_xlfn.XLOOKUP($B287,'16'!$B:$B,'16'!L:L,)</f>
        <v>333.73213485645363</v>
      </c>
      <c r="M287" s="40" t="str">
        <f ca="1">_xlfn.XLOOKUP($B287,'16'!$B:$B,'16'!M:M,)</f>
        <v>WTA scaled</v>
      </c>
      <c r="N287" s="326">
        <f ca="1">_xlfn.XLOOKUP($B287,'16'!$B:$B,'16'!N:N,)</f>
        <v>3</v>
      </c>
      <c r="O287" s="40" t="str">
        <f ca="1">_xlfn.XLOOKUP($B287,'16'!$B:$B,'16'!O:O,)</f>
        <v>Yes</v>
      </c>
      <c r="P287" s="40" t="str">
        <f ca="1">_xlfn.XLOOKUP($B287,'16'!$B:$B,'16'!P:P,)</f>
        <v>Consistent with sewer flooding valuations and use of Ofwat study</v>
      </c>
      <c r="Q287" s="40">
        <f ca="1">_xlfn.XLOOKUP($B287,'16'!$B:$B,'16'!Q:Q,)</f>
        <v>16</v>
      </c>
      <c r="R287" s="40" t="str">
        <f ca="1">_xlfn.XLOOKUP($B287,'16'!$B:$B,'16'!R:R,)</f>
        <v>Ofwat (2023) PR24: Using collaborative customer research to set outcome delivery incentive rates</v>
      </c>
      <c r="S287" s="40">
        <f ca="1">_xlfn.XLOOKUP($B287,'16'!$B:$B,'16'!S:S,)</f>
        <v>0</v>
      </c>
      <c r="T287" s="40">
        <f ca="1">_xlfn.XLOOKUP($B287,'16'!$B:$B,'16'!T:T,)</f>
        <v>2023</v>
      </c>
      <c r="U287" s="40" t="str">
        <f ca="1">_xlfn.XLOOKUP($B287,'16'!$B:$B,'16'!U:U,)</f>
        <v>England and Wales</v>
      </c>
      <c r="V287" s="40" t="str">
        <f ca="1">_xlfn.XLOOKUP($B287,'16'!$B:$B,'16'!V:V,)</f>
        <v>England and Wales</v>
      </c>
      <c r="W287" s="40">
        <f ca="1">_xlfn.XLOOKUP($B287,'16'!$B:$B,'16'!W:W,)</f>
        <v>0</v>
      </c>
    </row>
    <row r="288" spans="2:23">
      <c r="B288" s="39" t="s">
        <v>1569</v>
      </c>
      <c r="C288" s="40" t="str">
        <f ca="1">_xlfn.XLOOKUP($B288,'16'!$B:$B,'16'!C:C,)</f>
        <v>Internal Flooding (non-sewer) - surface water</v>
      </c>
      <c r="D288" s="40" t="str">
        <f ca="1">_xlfn.XLOOKUP($B288,'16'!$B:$B,'16'!D:D,)</f>
        <v>Internal flooding of social infrastructure (e.g. schools, hospitals)</v>
      </c>
      <c r="E288" s="40">
        <f ca="1">_xlfn.XLOOKUP($B288,'16'!$B:$B,'16'!E:E,)</f>
        <v>0</v>
      </c>
      <c r="F288" s="40">
        <f ca="1">_xlfn.XLOOKUP($B288,'16'!$B:$B,'16'!F:F,)</f>
        <v>2023</v>
      </c>
      <c r="G288" s="40">
        <f ca="1">_xlfn.XLOOKUP($B288,'16'!$B:$B,'16'!G:G,)</f>
        <v>2023</v>
      </c>
      <c r="H288" s="40">
        <f ca="1">_xlfn.XLOOKUP($B288,'16'!$B:$B,'16'!H:H,)</f>
        <v>2023</v>
      </c>
      <c r="I288" s="40">
        <f ca="1">_xlfn.XLOOKUP($B288,'16'!$B:$B,'16'!I:I,)</f>
        <v>100</v>
      </c>
      <c r="J288" s="40">
        <f ca="1">_xlfn.XLOOKUP($B288,'16'!$B:$B,'16'!J:J,)</f>
        <v>100</v>
      </c>
      <c r="K288" s="629">
        <f ca="1">_xlfn.XLOOKUP($B288,'16'!$B:$B,'16'!K:K,)</f>
        <v>30739.700436508174</v>
      </c>
      <c r="L288" s="629">
        <f ca="1">_xlfn.XLOOKUP($B288,'16'!$B:$B,'16'!L:L,)</f>
        <v>30739.700436508174</v>
      </c>
      <c r="M288" s="40" t="str">
        <f ca="1">_xlfn.XLOOKUP($B288,'16'!$B:$B,'16'!M:M,)</f>
        <v>WTA scaled</v>
      </c>
      <c r="N288" s="326">
        <f ca="1">_xlfn.XLOOKUP($B288,'16'!$B:$B,'16'!N:N,)</f>
        <v>2.5714285714285698</v>
      </c>
      <c r="O288" s="40" t="str">
        <f ca="1">_xlfn.XLOOKUP($B288,'16'!$B:$B,'16'!O:O,)</f>
        <v>Yes</v>
      </c>
      <c r="P288" s="40" t="str">
        <f ca="1">_xlfn.XLOOKUP($B288,'16'!$B:$B,'16'!P:P,)</f>
        <v>Consistent with sewer flooding valuations and use of Ofwat study</v>
      </c>
      <c r="Q288" s="40">
        <f ca="1">_xlfn.XLOOKUP($B288,'16'!$B:$B,'16'!Q:Q,)</f>
        <v>16</v>
      </c>
      <c r="R288" s="40" t="str">
        <f ca="1">_xlfn.XLOOKUP($B288,'16'!$B:$B,'16'!R:R,)</f>
        <v>Ofwat (2023) PR24: Using collaborative customer research to set outcome delivery incentive rates</v>
      </c>
      <c r="S288" s="40">
        <f ca="1">_xlfn.XLOOKUP($B288,'16'!$B:$B,'16'!S:S,)</f>
        <v>0</v>
      </c>
      <c r="T288" s="40">
        <f ca="1">_xlfn.XLOOKUP($B288,'16'!$B:$B,'16'!T:T,)</f>
        <v>2023</v>
      </c>
      <c r="U288" s="40" t="str">
        <f ca="1">_xlfn.XLOOKUP($B288,'16'!$B:$B,'16'!U:U,)</f>
        <v>England and Wales</v>
      </c>
      <c r="V288" s="40" t="str">
        <f ca="1">_xlfn.XLOOKUP($B288,'16'!$B:$B,'16'!V:V,)</f>
        <v>England and Wales</v>
      </c>
      <c r="W288" s="40">
        <f ca="1">_xlfn.XLOOKUP($B288,'16'!$B:$B,'16'!W:W,)</f>
        <v>0</v>
      </c>
    </row>
    <row r="289" spans="2:23">
      <c r="B289" s="39" t="s">
        <v>1570</v>
      </c>
      <c r="C289" s="40" t="str">
        <f ca="1">_xlfn.XLOOKUP($B289,'16'!$B:$B,'16'!C:C,)</f>
        <v>Internal Flooding (non-sewer) - surface water</v>
      </c>
      <c r="D289" s="40" t="str">
        <f ca="1">_xlfn.XLOOKUP($B289,'16'!$B:$B,'16'!D:D,)</f>
        <v>Internal flooding of commercial and industrial properties</v>
      </c>
      <c r="E289" s="40">
        <f ca="1">_xlfn.XLOOKUP($B289,'16'!$B:$B,'16'!E:E,)</f>
        <v>0</v>
      </c>
      <c r="F289" s="40">
        <f ca="1">_xlfn.XLOOKUP($B289,'16'!$B:$B,'16'!F:F,)</f>
        <v>2023</v>
      </c>
      <c r="G289" s="40">
        <f ca="1">_xlfn.XLOOKUP($B289,'16'!$B:$B,'16'!G:G,)</f>
        <v>2023</v>
      </c>
      <c r="H289" s="40">
        <f ca="1">_xlfn.XLOOKUP($B289,'16'!$B:$B,'16'!H:H,)</f>
        <v>2023</v>
      </c>
      <c r="I289" s="40">
        <f ca="1">_xlfn.XLOOKUP($B289,'16'!$B:$B,'16'!I:I,)</f>
        <v>100</v>
      </c>
      <c r="J289" s="40">
        <f ca="1">_xlfn.XLOOKUP($B289,'16'!$B:$B,'16'!J:J,)</f>
        <v>100</v>
      </c>
      <c r="K289" s="629">
        <f ca="1">_xlfn.XLOOKUP($B289,'16'!$B:$B,'16'!K:K,)</f>
        <v>30739.700436508174</v>
      </c>
      <c r="L289" s="629">
        <f ca="1">_xlfn.XLOOKUP($B289,'16'!$B:$B,'16'!L:L,)</f>
        <v>30739.700436508174</v>
      </c>
      <c r="M289" s="40" t="str">
        <f ca="1">_xlfn.XLOOKUP($B289,'16'!$B:$B,'16'!M:M,)</f>
        <v>WTA scaled</v>
      </c>
      <c r="N289" s="326">
        <f ca="1">_xlfn.XLOOKUP($B289,'16'!$B:$B,'16'!N:N,)</f>
        <v>2.5714285714285698</v>
      </c>
      <c r="O289" s="40" t="str">
        <f ca="1">_xlfn.XLOOKUP($B289,'16'!$B:$B,'16'!O:O,)</f>
        <v>Yes</v>
      </c>
      <c r="P289" s="40" t="str">
        <f ca="1">_xlfn.XLOOKUP($B289,'16'!$B:$B,'16'!P:P,)</f>
        <v>Consistent with sewer flooding valuations and use of Ofwat study</v>
      </c>
      <c r="Q289" s="40">
        <f ca="1">_xlfn.XLOOKUP($B289,'16'!$B:$B,'16'!Q:Q,)</f>
        <v>16</v>
      </c>
      <c r="R289" s="40" t="str">
        <f ca="1">_xlfn.XLOOKUP($B289,'16'!$B:$B,'16'!R:R,)</f>
        <v>Ofwat (2023) PR24: Using collaborative customer research to set outcome delivery incentive rates</v>
      </c>
      <c r="S289" s="40">
        <f ca="1">_xlfn.XLOOKUP($B289,'16'!$B:$B,'16'!S:S,)</f>
        <v>0</v>
      </c>
      <c r="T289" s="40">
        <f ca="1">_xlfn.XLOOKUP($B289,'16'!$B:$B,'16'!T:T,)</f>
        <v>2023</v>
      </c>
      <c r="U289" s="40" t="str">
        <f ca="1">_xlfn.XLOOKUP($B289,'16'!$B:$B,'16'!U:U,)</f>
        <v>England and Wales</v>
      </c>
      <c r="V289" s="40" t="str">
        <f ca="1">_xlfn.XLOOKUP($B289,'16'!$B:$B,'16'!V:V,)</f>
        <v>England and Wales</v>
      </c>
      <c r="W289" s="40">
        <f ca="1">_xlfn.XLOOKUP($B289,'16'!$B:$B,'16'!W:W,)</f>
        <v>0</v>
      </c>
    </row>
    <row r="290" spans="2:23">
      <c r="B290" s="39" t="s">
        <v>1397</v>
      </c>
      <c r="C290" s="40" t="str">
        <f>_xlfn.XLOOKUP($B290,'14'!$B:$B,'14'!C:C,)</f>
        <v>Internal sewer flooding</v>
      </c>
      <c r="D290" s="40" t="str">
        <f>_xlfn.XLOOKUP($B290,'14'!$B:$B,'14'!D:D,)</f>
        <v>Hydraulic - Internal flooding of residential living space</v>
      </c>
      <c r="E290" s="40" t="str">
        <f>_xlfn.XLOOKUP($B290,'14'!$B:$B,'14'!E:E,)</f>
        <v>GHG</v>
      </c>
      <c r="F290" s="40">
        <f>_xlfn.XLOOKUP($B290,'14'!$B:$B,'14'!F:F,)</f>
        <v>2020</v>
      </c>
      <c r="G290" s="40">
        <f>_xlfn.XLOOKUP($B290,'14'!$B:$B,'14'!G:G,)</f>
        <v>2020</v>
      </c>
      <c r="H290" s="40">
        <f>_xlfn.XLOOKUP($B290,'14'!$B:$B,'14'!H:H,)</f>
        <v>2023</v>
      </c>
      <c r="I290" s="40">
        <f>_xlfn.XLOOKUP($B290,'14'!$B:$B,'14'!I:I,)</f>
        <v>89.073499999999996</v>
      </c>
      <c r="J290" s="40">
        <f>_xlfn.XLOOKUP($B290,'14'!$B:$B,'14'!J:J,)</f>
        <v>100</v>
      </c>
      <c r="K290" s="629">
        <f ca="1">_xlfn.XLOOKUP($B290,'14'!$B:$B,'14'!K:K,)</f>
        <v>720.79200000000003</v>
      </c>
      <c r="L290" s="629">
        <f ca="1">_xlfn.XLOOKUP($B290,'14'!$B:$B,'14'!L:L,)</f>
        <v>809.21037121029269</v>
      </c>
      <c r="M290" s="40" t="str">
        <f>_xlfn.XLOOKUP($B290,'14'!$B:$B,'14'!M:M,)</f>
        <v>Abatement cost</v>
      </c>
      <c r="N290" s="326">
        <f>_xlfn.XLOOKUP($B290,'14'!$B:$B,'14'!N:N,)</f>
        <v>3</v>
      </c>
      <c r="O290" s="40" t="str">
        <f>_xlfn.XLOOKUP($B290,'14'!$B:$B,'14'!O:O,)</f>
        <v>Yes</v>
      </c>
      <c r="P290" s="40">
        <f>_xlfn.XLOOKUP($B290,'14'!$B:$B,'14'!P:P,)</f>
        <v>0</v>
      </c>
      <c r="Q290" s="40">
        <f>_xlfn.XLOOKUP($B290,'14'!$B:$B,'14'!Q:Q,)</f>
        <v>63</v>
      </c>
      <c r="R290" s="40" t="str">
        <f>_xlfn.XLOOKUP($B290,'14'!$B:$B,'14'!R:R,)</f>
        <v>EA (2020) Carbonomics report</v>
      </c>
      <c r="S290" s="40">
        <f>_xlfn.XLOOKUP($B290,'14'!$B:$B,'14'!S:S,)</f>
        <v>0</v>
      </c>
      <c r="T290" s="40">
        <f>_xlfn.XLOOKUP($B290,'14'!$B:$B,'14'!T:T,)</f>
        <v>2020</v>
      </c>
      <c r="U290" s="40" t="str">
        <f>_xlfn.XLOOKUP($B290,'14'!$B:$B,'14'!U:U,)</f>
        <v>UK</v>
      </c>
      <c r="V290" s="40" t="str">
        <f>_xlfn.XLOOKUP($B290,'14'!$B:$B,'14'!V:V,)</f>
        <v>UK</v>
      </c>
      <c r="W290" s="40">
        <f>_xlfn.XLOOKUP($B290,'14'!$B:$B,'14'!W:W,)</f>
        <v>0</v>
      </c>
    </row>
    <row r="291" spans="2:23">
      <c r="B291" s="39" t="s">
        <v>1398</v>
      </c>
      <c r="C291" s="40" t="str">
        <f>_xlfn.XLOOKUP($B291,'14'!$B:$B,'14'!C:C,)</f>
        <v>Internal sewer flooding</v>
      </c>
      <c r="D291" s="40" t="str">
        <f>_xlfn.XLOOKUP($B291,'14'!$B:$B,'14'!D:D,)</f>
        <v>FOC - Internal flooding of residential living space</v>
      </c>
      <c r="E291" s="40" t="str">
        <f>_xlfn.XLOOKUP($B291,'14'!$B:$B,'14'!E:E,)</f>
        <v>GHG</v>
      </c>
      <c r="F291" s="40">
        <f>_xlfn.XLOOKUP($B291,'14'!$B:$B,'14'!F:F,)</f>
        <v>2020</v>
      </c>
      <c r="G291" s="40">
        <f>_xlfn.XLOOKUP($B291,'14'!$B:$B,'14'!G:G,)</f>
        <v>2020</v>
      </c>
      <c r="H291" s="40">
        <f>_xlfn.XLOOKUP($B291,'14'!$B:$B,'14'!H:H,)</f>
        <v>2023</v>
      </c>
      <c r="I291" s="40">
        <f>_xlfn.XLOOKUP($B291,'14'!$B:$B,'14'!I:I,)</f>
        <v>89.073499999999996</v>
      </c>
      <c r="J291" s="40">
        <f>_xlfn.XLOOKUP($B291,'14'!$B:$B,'14'!J:J,)</f>
        <v>100</v>
      </c>
      <c r="K291" s="629">
        <f ca="1">_xlfn.XLOOKUP($B291,'14'!$B:$B,'14'!K:K,)</f>
        <v>720.79200000000003</v>
      </c>
      <c r="L291" s="629">
        <f ca="1">_xlfn.XLOOKUP($B291,'14'!$B:$B,'14'!L:L,)</f>
        <v>809.21037121029269</v>
      </c>
      <c r="M291" s="40" t="str">
        <f>_xlfn.XLOOKUP($B291,'14'!$B:$B,'14'!M:M,)</f>
        <v>Abatement cost</v>
      </c>
      <c r="N291" s="326">
        <f>_xlfn.XLOOKUP($B291,'14'!$B:$B,'14'!N:N,)</f>
        <v>3</v>
      </c>
      <c r="O291" s="40" t="str">
        <f>_xlfn.XLOOKUP($B291,'14'!$B:$B,'14'!O:O,)</f>
        <v>Yes</v>
      </c>
      <c r="P291" s="40">
        <f>_xlfn.XLOOKUP($B291,'14'!$B:$B,'14'!P:P,)</f>
        <v>0</v>
      </c>
      <c r="Q291" s="40">
        <f>_xlfn.XLOOKUP($B291,'14'!$B:$B,'14'!Q:Q,)</f>
        <v>63</v>
      </c>
      <c r="R291" s="40" t="str">
        <f>_xlfn.XLOOKUP($B291,'14'!$B:$B,'14'!R:R,)</f>
        <v>EA (2020) Carbonomics report</v>
      </c>
      <c r="S291" s="40">
        <f>_xlfn.XLOOKUP($B291,'14'!$B:$B,'14'!S:S,)</f>
        <v>0</v>
      </c>
      <c r="T291" s="40">
        <f>_xlfn.XLOOKUP($B291,'14'!$B:$B,'14'!T:T,)</f>
        <v>2020</v>
      </c>
      <c r="U291" s="40" t="str">
        <f>_xlfn.XLOOKUP($B291,'14'!$B:$B,'14'!U:U,)</f>
        <v>UK</v>
      </c>
      <c r="V291" s="40" t="str">
        <f>_xlfn.XLOOKUP($B291,'14'!$B:$B,'14'!V:V,)</f>
        <v>UK</v>
      </c>
      <c r="W291" s="40">
        <f>_xlfn.XLOOKUP($B291,'14'!$B:$B,'14'!W:W,)</f>
        <v>0</v>
      </c>
    </row>
    <row r="292" spans="2:23">
      <c r="B292" s="39" t="s">
        <v>1405</v>
      </c>
      <c r="C292" s="40" t="str">
        <f>_xlfn.XLOOKUP($B292,'14'!$B:$B,'14'!C:C,)</f>
        <v>Internal sewer flooding</v>
      </c>
      <c r="D292" s="40" t="str">
        <f>_xlfn.XLOOKUP($B292,'14'!$B:$B,'14'!D:D,)</f>
        <v>Hydraulic - Internal flooding of residential living space</v>
      </c>
      <c r="E292" s="40" t="str">
        <f>_xlfn.XLOOKUP($B292,'14'!$B:$B,'14'!E:E,)</f>
        <v>Quality of place</v>
      </c>
      <c r="F292" s="40">
        <f>_xlfn.XLOOKUP($B292,'14'!$B:$B,'14'!F:F,)</f>
        <v>2023</v>
      </c>
      <c r="G292" s="40">
        <f>_xlfn.XLOOKUP($B292,'14'!$B:$B,'14'!G:G,)</f>
        <v>2023</v>
      </c>
      <c r="H292" s="40">
        <f>_xlfn.XLOOKUP($B292,'14'!$B:$B,'14'!H:H,)</f>
        <v>2023</v>
      </c>
      <c r="I292" s="40">
        <f>_xlfn.XLOOKUP($B292,'14'!$B:$B,'14'!I:I,)</f>
        <v>100</v>
      </c>
      <c r="J292" s="40">
        <f>_xlfn.XLOOKUP($B292,'14'!$B:$B,'14'!J:J,)</f>
        <v>100</v>
      </c>
      <c r="K292" s="629">
        <f>_xlfn.XLOOKUP($B292,'14'!$B:$B,'14'!K:K,)</f>
        <v>1039</v>
      </c>
      <c r="L292" s="629">
        <f>_xlfn.XLOOKUP($B292,'14'!$B:$B,'14'!L:L,)</f>
        <v>1039</v>
      </c>
      <c r="M292" s="40" t="str">
        <f>_xlfn.XLOOKUP($B292,'14'!$B:$B,'14'!M:M,)</f>
        <v>WTA</v>
      </c>
      <c r="N292" s="326">
        <f>_xlfn.XLOOKUP($B292,'14'!$B:$B,'14'!N:N,)</f>
        <v>2.6666666666666665</v>
      </c>
      <c r="O292" s="40" t="str">
        <f>_xlfn.XLOOKUP($B292,'14'!$B:$B,'14'!O:O,)</f>
        <v>Yes</v>
      </c>
      <c r="P292" s="40">
        <f>_xlfn.XLOOKUP($B292,'14'!$B:$B,'14'!P:P,)</f>
        <v>0</v>
      </c>
      <c r="Q292" s="40">
        <f>_xlfn.XLOOKUP($B292,'14'!$B:$B,'14'!Q:Q,)</f>
        <v>16</v>
      </c>
      <c r="R292" s="40" t="str">
        <f>_xlfn.XLOOKUP($B292,'14'!$B:$B,'14'!R:R,)</f>
        <v>Ofwat (2023) PR24: Using collaborative customer research to set outcome delivery incentive rates</v>
      </c>
      <c r="S292" s="40">
        <f>_xlfn.XLOOKUP($B292,'14'!$B:$B,'14'!S:S,)</f>
        <v>0</v>
      </c>
      <c r="T292" s="40">
        <f>_xlfn.XLOOKUP($B292,'14'!$B:$B,'14'!T:T,)</f>
        <v>2023</v>
      </c>
      <c r="U292" s="40" t="str">
        <f>_xlfn.XLOOKUP($B292,'14'!$B:$B,'14'!U:U,)</f>
        <v>England and Wales</v>
      </c>
      <c r="V292" s="40" t="str">
        <f>_xlfn.XLOOKUP($B292,'14'!$B:$B,'14'!V:V,)</f>
        <v>England and Wales</v>
      </c>
      <c r="W292" s="40">
        <f>_xlfn.XLOOKUP($B292,'14'!$B:$B,'14'!W:W,)</f>
        <v>0</v>
      </c>
    </row>
    <row r="293" spans="2:23">
      <c r="B293" s="39" t="s">
        <v>1406</v>
      </c>
      <c r="C293" s="40" t="str">
        <f>_xlfn.XLOOKUP($B293,'14'!$B:$B,'14'!C:C,)</f>
        <v>Internal sewer flooding</v>
      </c>
      <c r="D293" s="40" t="str">
        <f>_xlfn.XLOOKUP($B293,'14'!$B:$B,'14'!D:D,)</f>
        <v>FOC - Internal flooding of residential living space</v>
      </c>
      <c r="E293" s="40" t="str">
        <f>_xlfn.XLOOKUP($B293,'14'!$B:$B,'14'!E:E,)</f>
        <v>Quality of place</v>
      </c>
      <c r="F293" s="40">
        <f>_xlfn.XLOOKUP($B293,'14'!$B:$B,'14'!F:F,)</f>
        <v>2023</v>
      </c>
      <c r="G293" s="40">
        <f>_xlfn.XLOOKUP($B293,'14'!$B:$B,'14'!G:G,)</f>
        <v>2023</v>
      </c>
      <c r="H293" s="40">
        <f>_xlfn.XLOOKUP($B293,'14'!$B:$B,'14'!H:H,)</f>
        <v>2023</v>
      </c>
      <c r="I293" s="40">
        <f>_xlfn.XLOOKUP($B293,'14'!$B:$B,'14'!I:I,)</f>
        <v>100</v>
      </c>
      <c r="J293" s="40">
        <f>_xlfn.XLOOKUP($B293,'14'!$B:$B,'14'!J:J,)</f>
        <v>100</v>
      </c>
      <c r="K293" s="629">
        <f>_xlfn.XLOOKUP($B293,'14'!$B:$B,'14'!K:K,)</f>
        <v>860</v>
      </c>
      <c r="L293" s="629">
        <f>_xlfn.XLOOKUP($B293,'14'!$B:$B,'14'!L:L,)</f>
        <v>860</v>
      </c>
      <c r="M293" s="40" t="str">
        <f>_xlfn.XLOOKUP($B293,'14'!$B:$B,'14'!M:M,)</f>
        <v>WTA</v>
      </c>
      <c r="N293" s="326">
        <f>_xlfn.XLOOKUP($B293,'14'!$B:$B,'14'!N:N,)</f>
        <v>2.6666666666666665</v>
      </c>
      <c r="O293" s="40" t="str">
        <f>_xlfn.XLOOKUP($B293,'14'!$B:$B,'14'!O:O,)</f>
        <v>Yes</v>
      </c>
      <c r="P293" s="40">
        <f>_xlfn.XLOOKUP($B293,'14'!$B:$B,'14'!P:P,)</f>
        <v>0</v>
      </c>
      <c r="Q293" s="40">
        <f>_xlfn.XLOOKUP($B293,'14'!$B:$B,'14'!Q:Q,)</f>
        <v>16</v>
      </c>
      <c r="R293" s="40" t="str">
        <f>_xlfn.XLOOKUP($B293,'14'!$B:$B,'14'!R:R,)</f>
        <v>Ofwat (2023) PR24: Using collaborative customer research to set outcome delivery incentive rates</v>
      </c>
      <c r="S293" s="40">
        <f>_xlfn.XLOOKUP($B293,'14'!$B:$B,'14'!S:S,)</f>
        <v>0</v>
      </c>
      <c r="T293" s="40">
        <f>_xlfn.XLOOKUP($B293,'14'!$B:$B,'14'!T:T,)</f>
        <v>2023</v>
      </c>
      <c r="U293" s="40" t="str">
        <f>_xlfn.XLOOKUP($B293,'14'!$B:$B,'14'!U:U,)</f>
        <v>England and Wales</v>
      </c>
      <c r="V293" s="40" t="str">
        <f>_xlfn.XLOOKUP($B293,'14'!$B:$B,'14'!V:V,)</f>
        <v>England and Wales</v>
      </c>
      <c r="W293" s="40">
        <f>_xlfn.XLOOKUP($B293,'14'!$B:$B,'14'!W:W,)</f>
        <v>0</v>
      </c>
    </row>
    <row r="294" spans="2:23">
      <c r="B294" s="39" t="s">
        <v>1411</v>
      </c>
      <c r="C294" s="40" t="str">
        <f>_xlfn.XLOOKUP($B294,'14'!$B:$B,'14'!C:C,)</f>
        <v>Internal sewer flooding</v>
      </c>
      <c r="D294" s="40" t="str">
        <f>_xlfn.XLOOKUP($B294,'14'!$B:$B,'14'!D:D,)</f>
        <v>Hydraulic - Internal flooding of social infrastructure (e.g. schools, hospitals)</v>
      </c>
      <c r="E294" s="40" t="str">
        <f>_xlfn.XLOOKUP($B294,'14'!$B:$B,'14'!E:E,)</f>
        <v>Local economy</v>
      </c>
      <c r="F294" s="40">
        <f>_xlfn.XLOOKUP($B294,'14'!$B:$B,'14'!F:F,)</f>
        <v>2023</v>
      </c>
      <c r="G294" s="40">
        <f>_xlfn.XLOOKUP($B294,'14'!$B:$B,'14'!G:G,)</f>
        <v>2023</v>
      </c>
      <c r="H294" s="40">
        <f>_xlfn.XLOOKUP($B294,'14'!$B:$B,'14'!H:H,)</f>
        <v>2023</v>
      </c>
      <c r="I294" s="40">
        <f>_xlfn.XLOOKUP($B294,'14'!$B:$B,'14'!I:I,)</f>
        <v>100</v>
      </c>
      <c r="J294" s="40">
        <f>_xlfn.XLOOKUP($B294,'14'!$B:$B,'14'!J:J,)</f>
        <v>100</v>
      </c>
      <c r="K294" s="629">
        <f>_xlfn.XLOOKUP($B294,'14'!$B:$B,'14'!K:K,)</f>
        <v>94264</v>
      </c>
      <c r="L294" s="629">
        <f>_xlfn.XLOOKUP($B294,'14'!$B:$B,'14'!L:L,)</f>
        <v>94264</v>
      </c>
      <c r="M294" s="40" t="str">
        <f>_xlfn.XLOOKUP($B294,'14'!$B:$B,'14'!M:M,)</f>
        <v>Willingness to Pay</v>
      </c>
      <c r="N294" s="326">
        <f>_xlfn.XLOOKUP($B294,'14'!$B:$B,'14'!N:N,)</f>
        <v>2.6666666666666665</v>
      </c>
      <c r="O294" s="40" t="str">
        <f>_xlfn.XLOOKUP($B294,'14'!$B:$B,'14'!O:O,)</f>
        <v>Yes</v>
      </c>
      <c r="P294" s="40" t="str">
        <f>_xlfn.XLOOKUP($B294,'14'!$B:$B,'14'!P:P,)</f>
        <v>Uses Ofwat's collaborative customer research</v>
      </c>
      <c r="Q294" s="40">
        <f>_xlfn.XLOOKUP($B294,'14'!$B:$B,'14'!Q:Q,)</f>
        <v>16</v>
      </c>
      <c r="R294" s="40" t="str">
        <f>_xlfn.XLOOKUP($B294,'14'!$B:$B,'14'!R:R,)</f>
        <v>Ofwat (2023) PR24: Using collaborative customer research to set outcome delivery incentive rates</v>
      </c>
      <c r="S294" s="40">
        <f>_xlfn.XLOOKUP($B294,'14'!$B:$B,'14'!S:S,)</f>
        <v>0</v>
      </c>
      <c r="T294" s="40">
        <f>_xlfn.XLOOKUP($B294,'14'!$B:$B,'14'!T:T,)</f>
        <v>2023</v>
      </c>
      <c r="U294" s="40" t="str">
        <f>_xlfn.XLOOKUP($B294,'14'!$B:$B,'14'!U:U,)</f>
        <v>England and Wales</v>
      </c>
      <c r="V294" s="40" t="str">
        <f>_xlfn.XLOOKUP($B294,'14'!$B:$B,'14'!V:V,)</f>
        <v>England and Wales</v>
      </c>
      <c r="W294" s="40">
        <f>_xlfn.XLOOKUP($B294,'14'!$B:$B,'14'!W:W,)</f>
        <v>0</v>
      </c>
    </row>
    <row r="295" spans="2:23">
      <c r="B295" s="39" t="s">
        <v>1412</v>
      </c>
      <c r="C295" s="40" t="str">
        <f>_xlfn.XLOOKUP($B295,'14'!$B:$B,'14'!C:C,)</f>
        <v>Internal sewer flooding</v>
      </c>
      <c r="D295" s="40" t="str">
        <f>_xlfn.XLOOKUP($B295,'14'!$B:$B,'14'!D:D,)</f>
        <v>Hydraulic - Internal flooding of commercial and industrial properties</v>
      </c>
      <c r="E295" s="40" t="str">
        <f>_xlfn.XLOOKUP($B295,'14'!$B:$B,'14'!E:E,)</f>
        <v>Local economy</v>
      </c>
      <c r="F295" s="40">
        <f>_xlfn.XLOOKUP($B295,'14'!$B:$B,'14'!F:F,)</f>
        <v>2023</v>
      </c>
      <c r="G295" s="40">
        <f>_xlfn.XLOOKUP($B295,'14'!$B:$B,'14'!G:G,)</f>
        <v>2023</v>
      </c>
      <c r="H295" s="40">
        <f>_xlfn.XLOOKUP($B295,'14'!$B:$B,'14'!H:H,)</f>
        <v>2023</v>
      </c>
      <c r="I295" s="40">
        <f>_xlfn.XLOOKUP($B295,'14'!$B:$B,'14'!I:I,)</f>
        <v>100</v>
      </c>
      <c r="J295" s="40">
        <f>_xlfn.XLOOKUP($B295,'14'!$B:$B,'14'!J:J,)</f>
        <v>100</v>
      </c>
      <c r="K295" s="629">
        <f>_xlfn.XLOOKUP($B295,'14'!$B:$B,'14'!K:K,)</f>
        <v>94264</v>
      </c>
      <c r="L295" s="629">
        <f>_xlfn.XLOOKUP($B295,'14'!$B:$B,'14'!L:L,)</f>
        <v>94264</v>
      </c>
      <c r="M295" s="40" t="str">
        <f>_xlfn.XLOOKUP($B295,'14'!$B:$B,'14'!M:M,)</f>
        <v>Willingness to Pay</v>
      </c>
      <c r="N295" s="326">
        <f>_xlfn.XLOOKUP($B295,'14'!$B:$B,'14'!N:N,)</f>
        <v>2.6666666666666665</v>
      </c>
      <c r="O295" s="40" t="str">
        <f>_xlfn.XLOOKUP($B295,'14'!$B:$B,'14'!O:O,)</f>
        <v>Yes</v>
      </c>
      <c r="P295" s="40" t="str">
        <f>_xlfn.XLOOKUP($B295,'14'!$B:$B,'14'!P:P,)</f>
        <v>Uses Ofwat's collaborative customer research</v>
      </c>
      <c r="Q295" s="40">
        <f>_xlfn.XLOOKUP($B295,'14'!$B:$B,'14'!Q:Q,)</f>
        <v>16</v>
      </c>
      <c r="R295" s="40" t="str">
        <f>_xlfn.XLOOKUP($B295,'14'!$B:$B,'14'!R:R,)</f>
        <v>Ofwat (2023) PR24: Using collaborative customer research to set outcome delivery incentive rates</v>
      </c>
      <c r="S295" s="40">
        <f>_xlfn.XLOOKUP($B295,'14'!$B:$B,'14'!S:S,)</f>
        <v>0</v>
      </c>
      <c r="T295" s="40">
        <f>_xlfn.XLOOKUP($B295,'14'!$B:$B,'14'!T:T,)</f>
        <v>2023</v>
      </c>
      <c r="U295" s="40" t="str">
        <f>_xlfn.XLOOKUP($B295,'14'!$B:$B,'14'!U:U,)</f>
        <v>England and Wales</v>
      </c>
      <c r="V295" s="40" t="str">
        <f>_xlfn.XLOOKUP($B295,'14'!$B:$B,'14'!V:V,)</f>
        <v>England and Wales</v>
      </c>
      <c r="W295" s="40">
        <f>_xlfn.XLOOKUP($B295,'14'!$B:$B,'14'!W:W,)</f>
        <v>0</v>
      </c>
    </row>
    <row r="296" spans="2:23">
      <c r="B296" s="39" t="s">
        <v>1413</v>
      </c>
      <c r="C296" s="40" t="str">
        <f>_xlfn.XLOOKUP($B296,'14'!$B:$B,'14'!C:C,)</f>
        <v>Internal sewer flooding</v>
      </c>
      <c r="D296" s="40" t="str">
        <f>_xlfn.XLOOKUP($B296,'14'!$B:$B,'14'!D:D,)</f>
        <v>FOC - Internal flooding of social infrastructure (e.g. schools, hospitals)</v>
      </c>
      <c r="E296" s="40" t="str">
        <f>_xlfn.XLOOKUP($B296,'14'!$B:$B,'14'!E:E,)</f>
        <v>Local economy</v>
      </c>
      <c r="F296" s="40">
        <f>_xlfn.XLOOKUP($B296,'14'!$B:$B,'14'!F:F,)</f>
        <v>2023</v>
      </c>
      <c r="G296" s="40">
        <f>_xlfn.XLOOKUP($B296,'14'!$B:$B,'14'!G:G,)</f>
        <v>2023</v>
      </c>
      <c r="H296" s="40">
        <f>_xlfn.XLOOKUP($B296,'14'!$B:$B,'14'!H:H,)</f>
        <v>2023</v>
      </c>
      <c r="I296" s="40">
        <f>_xlfn.XLOOKUP($B296,'14'!$B:$B,'14'!I:I,)</f>
        <v>100</v>
      </c>
      <c r="J296" s="40">
        <f>_xlfn.XLOOKUP($B296,'14'!$B:$B,'14'!J:J,)</f>
        <v>100</v>
      </c>
      <c r="K296" s="629">
        <f>_xlfn.XLOOKUP($B296,'14'!$B:$B,'14'!K:K,)</f>
        <v>65140</v>
      </c>
      <c r="L296" s="629">
        <f>_xlfn.XLOOKUP($B296,'14'!$B:$B,'14'!L:L,)</f>
        <v>65140</v>
      </c>
      <c r="M296" s="40" t="str">
        <f>_xlfn.XLOOKUP($B296,'14'!$B:$B,'14'!M:M,)</f>
        <v>Willingness to Pay</v>
      </c>
      <c r="N296" s="326">
        <f>_xlfn.XLOOKUP($B296,'14'!$B:$B,'14'!N:N,)</f>
        <v>2.6666666666666665</v>
      </c>
      <c r="O296" s="40" t="str">
        <f>_xlfn.XLOOKUP($B296,'14'!$B:$B,'14'!O:O,)</f>
        <v>Yes</v>
      </c>
      <c r="P296" s="40" t="str">
        <f>_xlfn.XLOOKUP($B296,'14'!$B:$B,'14'!P:P,)</f>
        <v>Uses Ofwat's collaborative customer research</v>
      </c>
      <c r="Q296" s="40">
        <f>_xlfn.XLOOKUP($B296,'14'!$B:$B,'14'!Q:Q,)</f>
        <v>16</v>
      </c>
      <c r="R296" s="40" t="str">
        <f>_xlfn.XLOOKUP($B296,'14'!$B:$B,'14'!R:R,)</f>
        <v>Ofwat (2023) PR24: Using collaborative customer research to set outcome delivery incentive rates</v>
      </c>
      <c r="S296" s="40">
        <f>_xlfn.XLOOKUP($B296,'14'!$B:$B,'14'!S:S,)</f>
        <v>0</v>
      </c>
      <c r="T296" s="40">
        <f>_xlfn.XLOOKUP($B296,'14'!$B:$B,'14'!T:T,)</f>
        <v>2023</v>
      </c>
      <c r="U296" s="40" t="str">
        <f>_xlfn.XLOOKUP($B296,'14'!$B:$B,'14'!U:U,)</f>
        <v>England and Wales</v>
      </c>
      <c r="V296" s="40" t="str">
        <f>_xlfn.XLOOKUP($B296,'14'!$B:$B,'14'!V:V,)</f>
        <v>England and Wales</v>
      </c>
      <c r="W296" s="40">
        <f>_xlfn.XLOOKUP($B296,'14'!$B:$B,'14'!W:W,)</f>
        <v>0</v>
      </c>
    </row>
    <row r="297" spans="2:23">
      <c r="B297" s="39" t="s">
        <v>1414</v>
      </c>
      <c r="C297" s="40" t="str">
        <f>_xlfn.XLOOKUP($B297,'14'!$B:$B,'14'!C:C,)</f>
        <v>Internal sewer flooding</v>
      </c>
      <c r="D297" s="40" t="str">
        <f>_xlfn.XLOOKUP($B297,'14'!$B:$B,'14'!D:D,)</f>
        <v>FOC - Internal flooding of commercial and industrial properties</v>
      </c>
      <c r="E297" s="40" t="str">
        <f>_xlfn.XLOOKUP($B297,'14'!$B:$B,'14'!E:E,)</f>
        <v>Local economy</v>
      </c>
      <c r="F297" s="40">
        <f>_xlfn.XLOOKUP($B297,'14'!$B:$B,'14'!F:F,)</f>
        <v>2023</v>
      </c>
      <c r="G297" s="40">
        <f>_xlfn.XLOOKUP($B297,'14'!$B:$B,'14'!G:G,)</f>
        <v>2023</v>
      </c>
      <c r="H297" s="40">
        <f>_xlfn.XLOOKUP($B297,'14'!$B:$B,'14'!H:H,)</f>
        <v>2023</v>
      </c>
      <c r="I297" s="40">
        <f>_xlfn.XLOOKUP($B297,'14'!$B:$B,'14'!I:I,)</f>
        <v>100</v>
      </c>
      <c r="J297" s="40">
        <f>_xlfn.XLOOKUP($B297,'14'!$B:$B,'14'!J:J,)</f>
        <v>100</v>
      </c>
      <c r="K297" s="629">
        <f>_xlfn.XLOOKUP($B297,'14'!$B:$B,'14'!K:K,)</f>
        <v>65140</v>
      </c>
      <c r="L297" s="629">
        <f>_xlfn.XLOOKUP($B297,'14'!$B:$B,'14'!L:L,)</f>
        <v>65140</v>
      </c>
      <c r="M297" s="40" t="str">
        <f>_xlfn.XLOOKUP($B297,'14'!$B:$B,'14'!M:M,)</f>
        <v>Willingness to Pay</v>
      </c>
      <c r="N297" s="326">
        <f>_xlfn.XLOOKUP($B297,'14'!$B:$B,'14'!N:N,)</f>
        <v>2.6666666666666665</v>
      </c>
      <c r="O297" s="40" t="str">
        <f>_xlfn.XLOOKUP($B297,'14'!$B:$B,'14'!O:O,)</f>
        <v>Yes</v>
      </c>
      <c r="P297" s="40" t="str">
        <f>_xlfn.XLOOKUP($B297,'14'!$B:$B,'14'!P:P,)</f>
        <v>Uses Ofwat's collaborative customer research</v>
      </c>
      <c r="Q297" s="40">
        <f>_xlfn.XLOOKUP($B297,'14'!$B:$B,'14'!Q:Q,)</f>
        <v>16</v>
      </c>
      <c r="R297" s="40" t="str">
        <f>_xlfn.XLOOKUP($B297,'14'!$B:$B,'14'!R:R,)</f>
        <v>Ofwat (2023) PR24: Using collaborative customer research to set outcome delivery incentive rates</v>
      </c>
      <c r="S297" s="40">
        <f>_xlfn.XLOOKUP($B297,'14'!$B:$B,'14'!S:S,)</f>
        <v>0</v>
      </c>
      <c r="T297" s="40">
        <f>_xlfn.XLOOKUP($B297,'14'!$B:$B,'14'!T:T,)</f>
        <v>2023</v>
      </c>
      <c r="U297" s="40" t="str">
        <f>_xlfn.XLOOKUP($B297,'14'!$B:$B,'14'!U:U,)</f>
        <v>England and Wales</v>
      </c>
      <c r="V297" s="40" t="str">
        <f>_xlfn.XLOOKUP($B297,'14'!$B:$B,'14'!V:V,)</f>
        <v>England and Wales</v>
      </c>
      <c r="W297" s="40">
        <f>_xlfn.XLOOKUP($B297,'14'!$B:$B,'14'!W:W,)</f>
        <v>0</v>
      </c>
    </row>
    <row r="298" spans="2:23">
      <c r="B298" s="39" t="s">
        <v>1428</v>
      </c>
      <c r="C298" s="40" t="str">
        <f>_xlfn.XLOOKUP($B298,'14'!$B:$B,'14'!C:C,)</f>
        <v>Internal sewer flooding</v>
      </c>
      <c r="D298" s="40" t="str">
        <f>_xlfn.XLOOKUP($B298,'14'!$B:$B,'14'!D:D,)</f>
        <v>Hydraulic - Internal flooding of residential living space</v>
      </c>
      <c r="E298" s="40" t="str">
        <f>_xlfn.XLOOKUP($B298,'14'!$B:$B,'14'!E:E,)</f>
        <v>Health and wellbeing</v>
      </c>
      <c r="F298" s="40">
        <f>_xlfn.XLOOKUP($B298,'14'!$B:$B,'14'!F:F,)</f>
        <v>2021</v>
      </c>
      <c r="G298" s="40">
        <f>_xlfn.XLOOKUP($B298,'14'!$B:$B,'14'!G:G,)</f>
        <v>2021</v>
      </c>
      <c r="H298" s="40">
        <f>_xlfn.XLOOKUP($B298,'14'!$B:$B,'14'!H:H,)</f>
        <v>2023</v>
      </c>
      <c r="I298" s="40">
        <f>_xlfn.XLOOKUP($B298,'14'!$B:$B,'14'!I:I,)</f>
        <v>88.789299999999997</v>
      </c>
      <c r="J298" s="40">
        <f>_xlfn.XLOOKUP($B298,'14'!$B:$B,'14'!J:J,)</f>
        <v>100</v>
      </c>
      <c r="K298" s="629">
        <f>_xlfn.XLOOKUP($B298,'14'!$B:$B,'14'!K:K,)</f>
        <v>4197.4391860465121</v>
      </c>
      <c r="L298" s="629">
        <f>_xlfn.XLOOKUP($B298,'14'!$B:$B,'14'!L:L,)</f>
        <v>4727.4155625131771</v>
      </c>
      <c r="M298" s="40" t="str">
        <f>_xlfn.XLOOKUP($B298,'14'!$B:$B,'14'!M:M,)</f>
        <v>Avoided cost</v>
      </c>
      <c r="N298" s="326">
        <f>_xlfn.XLOOKUP($B298,'14'!$B:$B,'14'!N:N,)</f>
        <v>2.5</v>
      </c>
      <c r="O298" s="40" t="str">
        <f>_xlfn.XLOOKUP($B298,'14'!$B:$B,'14'!O:O,)</f>
        <v>Yes</v>
      </c>
      <c r="P298" s="40">
        <f>_xlfn.XLOOKUP($B298,'14'!$B:$B,'14'!P:P,)</f>
        <v>0</v>
      </c>
      <c r="Q298" s="40">
        <f>_xlfn.XLOOKUP($B298,'14'!$B:$B,'14'!Q:Q,)</f>
        <v>64</v>
      </c>
      <c r="R298" s="40" t="str">
        <f>_xlfn.XLOOKUP($B298,'14'!$B:$B,'14'!R:R,)</f>
        <v>EA (2021) Mental health costs of flooding and erosion</v>
      </c>
      <c r="S298" s="40" t="str">
        <f>_xlfn.XLOOKUP($B298,'14'!$B:$B,'14'!S:S,)</f>
        <v>FCERM Appraisal Guidance</v>
      </c>
      <c r="T298" s="40">
        <f>_xlfn.XLOOKUP($B298,'14'!$B:$B,'14'!T:T,)</f>
        <v>2021</v>
      </c>
      <c r="U298" s="40" t="str">
        <f>_xlfn.XLOOKUP($B298,'14'!$B:$B,'14'!U:U,)</f>
        <v>UK</v>
      </c>
      <c r="V298" s="40" t="str">
        <f>_xlfn.XLOOKUP($B298,'14'!$B:$B,'14'!V:V,)</f>
        <v>UK</v>
      </c>
      <c r="W298" s="40">
        <f>_xlfn.XLOOKUP($B298,'14'!$B:$B,'14'!W:W,)</f>
        <v>0</v>
      </c>
    </row>
    <row r="299" spans="2:23">
      <c r="B299" s="39" t="s">
        <v>1429</v>
      </c>
      <c r="C299" s="40" t="str">
        <f>_xlfn.XLOOKUP($B299,'14'!$B:$B,'14'!C:C,)</f>
        <v>Internal sewer flooding</v>
      </c>
      <c r="D299" s="40" t="str">
        <f>_xlfn.XLOOKUP($B299,'14'!$B:$B,'14'!D:D,)</f>
        <v>FOC - Internal flooding of residential living space</v>
      </c>
      <c r="E299" s="40" t="str">
        <f>_xlfn.XLOOKUP($B299,'14'!$B:$B,'14'!E:E,)</f>
        <v>Health and wellbeing</v>
      </c>
      <c r="F299" s="40">
        <f>_xlfn.XLOOKUP($B299,'14'!$B:$B,'14'!F:F,)</f>
        <v>2021</v>
      </c>
      <c r="G299" s="40">
        <f>_xlfn.XLOOKUP($B299,'14'!$B:$B,'14'!G:G,)</f>
        <v>2021</v>
      </c>
      <c r="H299" s="40">
        <f>_xlfn.XLOOKUP($B299,'14'!$B:$B,'14'!H:H,)</f>
        <v>2023</v>
      </c>
      <c r="I299" s="40">
        <f>_xlfn.XLOOKUP($B299,'14'!$B:$B,'14'!I:I,)</f>
        <v>88.789299999999997</v>
      </c>
      <c r="J299" s="40">
        <f>_xlfn.XLOOKUP($B299,'14'!$B:$B,'14'!J:J,)</f>
        <v>100</v>
      </c>
      <c r="K299" s="629">
        <f>_xlfn.XLOOKUP($B299,'14'!$B:$B,'14'!K:K,)</f>
        <v>3474.3</v>
      </c>
      <c r="L299" s="629">
        <f>_xlfn.XLOOKUP($B299,'14'!$B:$B,'14'!L:L,)</f>
        <v>3912.9714954392034</v>
      </c>
      <c r="M299" s="40" t="str">
        <f>_xlfn.XLOOKUP($B299,'14'!$B:$B,'14'!M:M,)</f>
        <v>Avoided cost</v>
      </c>
      <c r="N299" s="326">
        <f>_xlfn.XLOOKUP($B299,'14'!$B:$B,'14'!N:N,)</f>
        <v>2.5</v>
      </c>
      <c r="O299" s="40" t="str">
        <f>_xlfn.XLOOKUP($B299,'14'!$B:$B,'14'!O:O,)</f>
        <v>Yes</v>
      </c>
      <c r="P299" s="40">
        <f>_xlfn.XLOOKUP($B299,'14'!$B:$B,'14'!P:P,)</f>
        <v>0</v>
      </c>
      <c r="Q299" s="40">
        <f>_xlfn.XLOOKUP($B299,'14'!$B:$B,'14'!Q:Q,)</f>
        <v>64</v>
      </c>
      <c r="R299" s="40" t="str">
        <f>_xlfn.XLOOKUP($B299,'14'!$B:$B,'14'!R:R,)</f>
        <v>EA (2021) Mental health costs of flooding and erosion</v>
      </c>
      <c r="S299" s="40" t="str">
        <f>_xlfn.XLOOKUP($B299,'14'!$B:$B,'14'!S:S,)</f>
        <v>FCERM Appraisal Guidance</v>
      </c>
      <c r="T299" s="40">
        <f>_xlfn.XLOOKUP($B299,'14'!$B:$B,'14'!T:T,)</f>
        <v>2021</v>
      </c>
      <c r="U299" s="40" t="str">
        <f>_xlfn.XLOOKUP($B299,'14'!$B:$B,'14'!U:U,)</f>
        <v>UK</v>
      </c>
      <c r="V299" s="40" t="str">
        <f>_xlfn.XLOOKUP($B299,'14'!$B:$B,'14'!V:V,)</f>
        <v>UK</v>
      </c>
      <c r="W299" s="40">
        <f>_xlfn.XLOOKUP($B299,'14'!$B:$B,'14'!W:W,)</f>
        <v>0</v>
      </c>
    </row>
    <row r="300" spans="2:23">
      <c r="B300" s="39" t="s">
        <v>1187</v>
      </c>
      <c r="C300" s="40" t="str">
        <f>_xlfn.XLOOKUP($B300,'7'!$B:$B,'7'!C:C,)</f>
        <v>Leakage</v>
      </c>
      <c r="D300" s="40" t="str">
        <f>_xlfn.XLOOKUP($B300,'7'!$B:$B,'7'!D:D,)</f>
        <v>Water lost through leakage</v>
      </c>
      <c r="E300" s="40" t="str">
        <f>_xlfn.XLOOKUP($B300,'7'!$B:$B,'7'!E:E,)</f>
        <v>Water resources</v>
      </c>
      <c r="F300" s="40">
        <f>_xlfn.XLOOKUP($B300,'7'!$B:$B,'7'!F:F,)</f>
        <v>2018</v>
      </c>
      <c r="G300" s="40">
        <f>_xlfn.XLOOKUP($B300,'7'!$B:$B,'7'!G:G,)</f>
        <v>2023</v>
      </c>
      <c r="H300" s="40">
        <f>_xlfn.XLOOKUP($B300,'7'!$B:$B,'7'!H:H,)</f>
        <v>2023</v>
      </c>
      <c r="I300" s="40">
        <f>_xlfn.XLOOKUP($B300,'7'!$B:$B,'7'!I:I,)</f>
        <v>100</v>
      </c>
      <c r="J300" s="40">
        <f>_xlfn.XLOOKUP($B300,'7'!$B:$B,'7'!J:J,)</f>
        <v>100</v>
      </c>
      <c r="K300" s="629">
        <f>_xlfn.XLOOKUP($B300,'7'!$B:$B,'7'!K:K,)</f>
        <v>390550</v>
      </c>
      <c r="L300" s="629">
        <f>_xlfn.XLOOKUP($B300,'7'!$B:$B,'7'!L:L,)</f>
        <v>390550</v>
      </c>
      <c r="M300" s="40" t="str">
        <f>_xlfn.XLOOKUP($B300,'7'!$B:$B,'7'!M:M,)</f>
        <v>Social cost of water</v>
      </c>
      <c r="N300" s="326">
        <f>_xlfn.XLOOKUP($B300,'7'!$B:$B,'7'!N:N,)</f>
        <v>2.8333333333333335</v>
      </c>
      <c r="O300" s="40" t="str">
        <f>_xlfn.XLOOKUP($B300,'7'!$B:$B,'7'!O:O,)</f>
        <v>Yes</v>
      </c>
      <c r="P300" s="40" t="str">
        <f>_xlfn.XLOOKUP($B300,'7'!$B:$B,'7'!P:P,)</f>
        <v>Most relevant, aligns with WINEP/NCEM</v>
      </c>
      <c r="Q300" s="40">
        <f>_xlfn.XLOOKUP($B300,'7'!$B:$B,'7'!Q:Q,)</f>
        <v>22</v>
      </c>
      <c r="R300" s="40" t="str">
        <f>_xlfn.XLOOKUP($B300,'7'!$B:$B,'7'!R:R,)</f>
        <v>NIC (2018) Analysis of the costs of water resource management options to enhance drought resilience</v>
      </c>
      <c r="S300" s="40" t="str">
        <f>_xlfn.XLOOKUP($B300,'7'!$B:$B,'7'!S:S,)</f>
        <v>NCEM</v>
      </c>
      <c r="T300" s="40">
        <f>_xlfn.XLOOKUP($B300,'7'!$B:$B,'7'!T:T,)</f>
        <v>2018</v>
      </c>
      <c r="U300" s="40" t="str">
        <f>_xlfn.XLOOKUP($B300,'7'!$B:$B,'7'!U:U,)</f>
        <v>UK</v>
      </c>
      <c r="V300" s="40" t="str">
        <f>_xlfn.XLOOKUP($B300,'7'!$B:$B,'7'!V:V,)</f>
        <v>UK</v>
      </c>
      <c r="W300" s="40" t="str">
        <f>_xlfn.XLOOKUP($B300,'7'!$B:$B,'7'!W:W,)</f>
        <v>/</v>
      </c>
    </row>
    <row r="301" spans="2:23">
      <c r="B301" s="39" t="s">
        <v>1205</v>
      </c>
      <c r="C301" s="40" t="str">
        <f>_xlfn.XLOOKUP($B301,'7'!$B:$B,'7'!C:C,)</f>
        <v>Leakage</v>
      </c>
      <c r="D301" s="40" t="str">
        <f>_xlfn.XLOOKUP($B301,'7'!$B:$B,'7'!D:D,)</f>
        <v>Water lost through leakage</v>
      </c>
      <c r="E301" s="40" t="str">
        <f>_xlfn.XLOOKUP($B301,'7'!$B:$B,'7'!E:E,)</f>
        <v>GHG</v>
      </c>
      <c r="F301" s="40">
        <f>_xlfn.XLOOKUP($B301,'7'!$B:$B,'7'!F:F,)</f>
        <v>2024</v>
      </c>
      <c r="G301" s="40">
        <f>_xlfn.XLOOKUP($B301,'7'!$B:$B,'7'!G:G,)</f>
        <v>2020</v>
      </c>
      <c r="H301" s="40">
        <f>_xlfn.XLOOKUP($B301,'7'!$B:$B,'7'!H:H,)</f>
        <v>2023</v>
      </c>
      <c r="I301" s="40">
        <f>_xlfn.XLOOKUP($B301,'7'!$B:$B,'7'!I:I,)</f>
        <v>89.073499999999996</v>
      </c>
      <c r="J301" s="40">
        <f>_xlfn.XLOOKUP($B301,'7'!$B:$B,'7'!J:J,)</f>
        <v>100</v>
      </c>
      <c r="K301" s="629">
        <f ca="1">_xlfn.XLOOKUP($B301,'7'!$B:$B,'7'!K:K,)</f>
        <v>34035.519999999997</v>
      </c>
      <c r="L301" s="629">
        <f ca="1">_xlfn.XLOOKUP($B301,'7'!$B:$B,'7'!L:L,)</f>
        <v>38210.601357306041</v>
      </c>
      <c r="M301" s="40" t="str">
        <f>_xlfn.XLOOKUP($B301,'7'!$B:$B,'7'!M:M,)</f>
        <v xml:space="preserve">Financial </v>
      </c>
      <c r="N301" s="326">
        <f>_xlfn.XLOOKUP($B301,'7'!$B:$B,'7'!N:N,)</f>
        <v>2.5714285714285698</v>
      </c>
      <c r="O301" s="40" t="str">
        <f>_xlfn.XLOOKUP($B301,'7'!$B:$B,'7'!O:O,)</f>
        <v>Yes</v>
      </c>
      <c r="P301" s="40" t="str">
        <f>_xlfn.XLOOKUP($B301,'7'!$B:$B,'7'!P:P,)</f>
        <v>Company-specific carbon intensity data, also uses UK gov values for carbon</v>
      </c>
      <c r="Q301" s="40">
        <f>_xlfn.XLOOKUP($B301,'7'!$B:$B,'7'!Q:Q,)</f>
        <v>74</v>
      </c>
      <c r="R301" s="40" t="str">
        <f>_xlfn.XLOOKUP($B301,'7'!$B:$B,'7'!R:R,)</f>
        <v>Discover Water (2024) Energy and emissions: Greenhouse gas emissions from English and Welsh water companies</v>
      </c>
      <c r="S301" s="40" t="str">
        <f>_xlfn.XLOOKUP($B301,'7'!$B:$B,'7'!S:S,)</f>
        <v>No</v>
      </c>
      <c r="T301" s="40">
        <f>_xlfn.XLOOKUP($B301,'7'!$B:$B,'7'!T:T,)</f>
        <v>2024</v>
      </c>
      <c r="U301" s="40" t="str">
        <f>_xlfn.XLOOKUP($B301,'7'!$B:$B,'7'!U:U,)</f>
        <v>UK</v>
      </c>
      <c r="V301" s="40" t="str">
        <f>_xlfn.XLOOKUP($B301,'7'!$B:$B,'7'!V:V,)</f>
        <v>UK</v>
      </c>
      <c r="W301" s="40" t="str">
        <f>_xlfn.XLOOKUP($B301,'7'!$B:$B,'7'!W:W,)</f>
        <v>/</v>
      </c>
    </row>
    <row r="302" spans="2:23">
      <c r="B302" s="39" t="s">
        <v>3186</v>
      </c>
      <c r="C302" s="40" t="str">
        <f>_xlfn.XLOOKUP($B302,'36'!$B:$B,'36'!C:C,)</f>
        <v>Nuisance</v>
      </c>
      <c r="D302" s="40" t="str">
        <f>_xlfn.XLOOKUP($B302,'36'!$B:$B,'36'!D:D,)</f>
        <v>Properties subjected to transient intolerable odour</v>
      </c>
      <c r="E302" s="40" t="str">
        <f>_xlfn.XLOOKUP($B302,'36'!$B:$B,'36'!E:E,)</f>
        <v>Quality of place</v>
      </c>
      <c r="F302" s="40">
        <f>_xlfn.XLOOKUP($B302,'36'!$B:$B,'36'!F:F,)</f>
        <v>2013</v>
      </c>
      <c r="G302" s="40">
        <f>_xlfn.XLOOKUP($B302,'36'!$B:$B,'36'!G:G,)</f>
        <v>2013</v>
      </c>
      <c r="H302" s="40">
        <f>_xlfn.XLOOKUP($B302,'36'!$B:$B,'36'!H:H,)</f>
        <v>2023</v>
      </c>
      <c r="I302" s="40">
        <f>_xlfn.XLOOKUP($B302,'36'!$B:$B,'36'!I:I,)</f>
        <v>76.728899999999996</v>
      </c>
      <c r="J302" s="40">
        <f>_xlfn.XLOOKUP($B302,'36'!$B:$B,'36'!J:J,)</f>
        <v>100</v>
      </c>
      <c r="K302" s="629">
        <f>_xlfn.XLOOKUP($B302,'36'!$B:$B,'36'!K:K,)</f>
        <v>23.506849315068493</v>
      </c>
      <c r="L302" s="629">
        <f>_xlfn.XLOOKUP($B302,'36'!$B:$B,'36'!L:L,)</f>
        <v>30.636239168121133</v>
      </c>
      <c r="M302" s="40" t="str">
        <f>_xlfn.XLOOKUP($B302,'36'!$B:$B,'36'!M:M,)</f>
        <v>Hedonic pricing</v>
      </c>
      <c r="N302" s="326">
        <f>_xlfn.XLOOKUP($B302,'36'!$B:$B,'36'!N:N,)</f>
        <v>2.5</v>
      </c>
      <c r="O302" s="40" t="str">
        <f>_xlfn.XLOOKUP($B302,'36'!$B:$B,'36'!O:O,)</f>
        <v>Yes</v>
      </c>
      <c r="P302" s="40" t="str">
        <f>_xlfn.XLOOKUP($B302,'36'!$B:$B,'36'!P:P,)</f>
        <v>Valuation assumes that the  dis-amenity impact of a wastewater treatment work is similar to that of a landfill. We have also assumed the same dis-amenity value per day for chronic and transient events due to a lack of better available research</v>
      </c>
      <c r="Q302" s="40">
        <f>_xlfn.XLOOKUP($B302,'36'!$B:$B,'36'!Q:Q,)</f>
        <v>88</v>
      </c>
      <c r="R302" s="40" t="str">
        <f>_xlfn.XLOOKUP($B302,'36'!$B:$B,'36'!R:R,)</f>
        <v>Ham et al (2013) The valuation of landfill disamenities in Birmingham</v>
      </c>
      <c r="S302" s="40" t="str">
        <f>_xlfn.XLOOKUP($B302,'36'!$B:$B,'36'!S:S,)</f>
        <v>ENCA</v>
      </c>
      <c r="T302" s="40">
        <f>_xlfn.XLOOKUP($B302,'36'!$B:$B,'36'!T:T,)</f>
        <v>2013</v>
      </c>
      <c r="U302" s="40" t="str">
        <f>_xlfn.XLOOKUP($B302,'36'!$B:$B,'36'!U:U,)</f>
        <v>UK</v>
      </c>
      <c r="V302" s="40" t="str">
        <f>_xlfn.XLOOKUP($B302,'36'!$B:$B,'36'!V:V,)</f>
        <v>Birmingham</v>
      </c>
      <c r="W302" s="40">
        <f>_xlfn.XLOOKUP($B302,'36'!$B:$B,'36'!W:W,)</f>
        <v>0</v>
      </c>
    </row>
    <row r="303" spans="2:23">
      <c r="B303" s="39" t="s">
        <v>3187</v>
      </c>
      <c r="C303" s="40" t="str">
        <f>_xlfn.XLOOKUP($B303,'36'!$B:$B,'36'!C:C,)</f>
        <v>Nuisance</v>
      </c>
      <c r="D303" s="40" t="str">
        <f>_xlfn.XLOOKUP($B303,'36'!$B:$B,'36'!D:D,)</f>
        <v>Properties subjected to chronic (seasonal) intolerable odour</v>
      </c>
      <c r="E303" s="40" t="str">
        <f>_xlfn.XLOOKUP($B303,'36'!$B:$B,'36'!E:E,)</f>
        <v>Quality of place</v>
      </c>
      <c r="F303" s="40">
        <f>_xlfn.XLOOKUP($B303,'36'!$B:$B,'36'!F:F,)</f>
        <v>2013</v>
      </c>
      <c r="G303" s="40">
        <f>_xlfn.XLOOKUP($B303,'36'!$B:$B,'36'!G:G,)</f>
        <v>2013</v>
      </c>
      <c r="H303" s="40">
        <f>_xlfn.XLOOKUP($B303,'36'!$B:$B,'36'!H:H,)</f>
        <v>2023</v>
      </c>
      <c r="I303" s="40">
        <f>_xlfn.XLOOKUP($B303,'36'!$B:$B,'36'!I:I,)</f>
        <v>76.728899999999996</v>
      </c>
      <c r="J303" s="40">
        <f>_xlfn.XLOOKUP($B303,'36'!$B:$B,'36'!J:J,)</f>
        <v>100</v>
      </c>
      <c r="K303" s="629">
        <f>_xlfn.XLOOKUP($B303,'36'!$B:$B,'36'!K:K,)</f>
        <v>23.506849315068493</v>
      </c>
      <c r="L303" s="629">
        <f>_xlfn.XLOOKUP($B303,'36'!$B:$B,'36'!L:L,)</f>
        <v>30.636239168121133</v>
      </c>
      <c r="M303" s="40" t="str">
        <f>_xlfn.XLOOKUP($B303,'36'!$B:$B,'36'!M:M,)</f>
        <v>Hedonic pricing</v>
      </c>
      <c r="N303" s="326">
        <f>_xlfn.XLOOKUP($B303,'36'!$B:$B,'36'!N:N,)</f>
        <v>2.5</v>
      </c>
      <c r="O303" s="40" t="str">
        <f>_xlfn.XLOOKUP($B303,'36'!$B:$B,'36'!O:O,)</f>
        <v>Yes</v>
      </c>
      <c r="P303" s="40" t="str">
        <f>_xlfn.XLOOKUP($B303,'36'!$B:$B,'36'!P:P,)</f>
        <v>Valuation assumes that the  dis-amenity impact of a wastewater treatment work is similar to that of a landfill. We have also assumed the same dis-amenity value per day for chronic and transient events due to a lack of better available research</v>
      </c>
      <c r="Q303" s="40">
        <f>_xlfn.XLOOKUP($B303,'36'!$B:$B,'36'!Q:Q,)</f>
        <v>88</v>
      </c>
      <c r="R303" s="40" t="str">
        <f>_xlfn.XLOOKUP($B303,'36'!$B:$B,'36'!R:R,)</f>
        <v>Ham et al (2013) The valuation of landfill disamenities in Birmingham</v>
      </c>
      <c r="S303" s="40" t="str">
        <f>_xlfn.XLOOKUP($B303,'36'!$B:$B,'36'!S:S,)</f>
        <v>ENCA</v>
      </c>
      <c r="T303" s="40">
        <f>_xlfn.XLOOKUP($B303,'36'!$B:$B,'36'!T:T,)</f>
        <v>2013</v>
      </c>
      <c r="U303" s="40" t="str">
        <f>_xlfn.XLOOKUP($B303,'36'!$B:$B,'36'!U:U,)</f>
        <v>UK</v>
      </c>
      <c r="V303" s="40" t="str">
        <f>_xlfn.XLOOKUP($B303,'36'!$B:$B,'36'!V:V,)</f>
        <v>Birmingham</v>
      </c>
      <c r="W303" s="40">
        <f>_xlfn.XLOOKUP($B303,'36'!$B:$B,'36'!W:W,)</f>
        <v>0</v>
      </c>
    </row>
    <row r="304" spans="2:23">
      <c r="B304" s="39" t="s">
        <v>3198</v>
      </c>
      <c r="C304" s="40" t="str">
        <f>_xlfn.XLOOKUP($B304,'36'!$B:$B,'36'!C:C,)</f>
        <v>Nuisance</v>
      </c>
      <c r="D304" s="40" t="str">
        <f>_xlfn.XLOOKUP($B304,'36'!$B:$B,'36'!D:D,)</f>
        <v>Properties subjected to noise</v>
      </c>
      <c r="E304" s="40" t="str">
        <f>_xlfn.XLOOKUP($B304,'36'!$B:$B,'36'!E:E,)</f>
        <v>Health and wellbeing</v>
      </c>
      <c r="F304" s="40">
        <f>_xlfn.XLOOKUP($B304,'36'!$B:$B,'36'!F:F,)</f>
        <v>2023</v>
      </c>
      <c r="G304" s="40">
        <f>_xlfn.XLOOKUP($B304,'36'!$B:$B,'36'!G:G,)</f>
        <v>2021</v>
      </c>
      <c r="H304" s="40">
        <f>_xlfn.XLOOKUP($B304,'36'!$B:$B,'36'!H:H,)</f>
        <v>2023</v>
      </c>
      <c r="I304" s="40">
        <f>_xlfn.XLOOKUP($B304,'36'!$B:$B,'36'!I:I,)</f>
        <v>88.789299999999997</v>
      </c>
      <c r="J304" s="40">
        <f>_xlfn.XLOOKUP($B304,'36'!$B:$B,'36'!J:J,)</f>
        <v>100</v>
      </c>
      <c r="K304" s="629">
        <f>_xlfn.XLOOKUP($B304,'36'!$B:$B,'36'!K:K,)</f>
        <v>0.28493150684931506</v>
      </c>
      <c r="L304" s="629">
        <f>_xlfn.XLOOKUP($B304,'36'!$B:$B,'36'!L:L,)</f>
        <v>0.3209074819255418</v>
      </c>
      <c r="M304" s="40" t="str">
        <f>_xlfn.XLOOKUP($B304,'36'!$B:$B,'36'!M:M,)</f>
        <v>Avoided damage costs</v>
      </c>
      <c r="N304" s="326">
        <f>_xlfn.XLOOKUP($B304,'36'!$B:$B,'36'!N:N,)</f>
        <v>2.3333333333333335</v>
      </c>
      <c r="O304" s="40" t="str">
        <f>_xlfn.XLOOKUP($B304,'36'!$B:$B,'36'!O:O,)</f>
        <v>Yes</v>
      </c>
      <c r="P304" s="40" t="str">
        <f>_xlfn.XLOOKUP($B304,'36'!$B:$B,'36'!P:P,)</f>
        <v>Based on vegetation specific noise reduction benefits</v>
      </c>
      <c r="Q304" s="40">
        <f>_xlfn.XLOOKUP($B304,'36'!$B:$B,'36'!Q:Q,)</f>
        <v>33</v>
      </c>
      <c r="R304" s="40" t="str">
        <f>_xlfn.XLOOKUP($B304,'36'!$B:$B,'36'!R:R,)</f>
        <v>ONS (2023) Urban natural capital accounts</v>
      </c>
      <c r="S304" s="40" t="str">
        <f>_xlfn.XLOOKUP($B304,'36'!$B:$B,'36'!S:S,)</f>
        <v>ENCA</v>
      </c>
      <c r="T304" s="40">
        <f>_xlfn.XLOOKUP($B304,'36'!$B:$B,'36'!T:T,)</f>
        <v>2023</v>
      </c>
      <c r="U304" s="40" t="str">
        <f>_xlfn.XLOOKUP($B304,'36'!$B:$B,'36'!U:U,)</f>
        <v>UK</v>
      </c>
      <c r="V304" s="40" t="str">
        <f>_xlfn.XLOOKUP($B304,'36'!$B:$B,'36'!V:V,)</f>
        <v>UK</v>
      </c>
      <c r="W304" s="40" t="str">
        <f>_xlfn.XLOOKUP($B304,'36'!$B:$B,'36'!W:W,)</f>
        <v>NA</v>
      </c>
    </row>
    <row r="305" spans="2:23">
      <c r="B305" s="40" t="s">
        <v>3091</v>
      </c>
      <c r="C305" s="40" t="str">
        <f>_xlfn.XLOOKUP($B305,'33'!$B:$B,'33'!C:C,)</f>
        <v>Nutrient removal (point source &amp; partnership working)</v>
      </c>
      <c r="D305" s="40" t="str">
        <f>_xlfn.XLOOKUP($B305,'33'!$B:$B,'33'!D:D,)</f>
        <v>Removal of nitrates</v>
      </c>
      <c r="E305" s="40" t="str">
        <f>_xlfn.XLOOKUP($B305,'33'!$B:$B,'33'!E:E,)</f>
        <v>Water quality</v>
      </c>
      <c r="F305" s="40">
        <f>_xlfn.XLOOKUP($B305,'33'!$B:$B,'33'!F:F,)</f>
        <v>2015</v>
      </c>
      <c r="G305" s="40">
        <f>_xlfn.XLOOKUP($B305,'33'!$B:$B,'33'!G:G,)</f>
        <v>2021</v>
      </c>
      <c r="H305" s="40">
        <f>_xlfn.XLOOKUP($B305,'33'!$B:$B,'33'!H:H,)</f>
        <v>2023</v>
      </c>
      <c r="I305" s="40">
        <f>_xlfn.XLOOKUP($B305,'33'!$B:$B,'33'!I:I,)</f>
        <v>88.789299999999997</v>
      </c>
      <c r="J305" s="40">
        <f>_xlfn.XLOOKUP($B305,'33'!$B:$B,'33'!J:J,)</f>
        <v>100</v>
      </c>
      <c r="K305" s="629">
        <f>_xlfn.XLOOKUP($B305,'33'!$B:$B,'33'!K:K,)</f>
        <v>-1.17</v>
      </c>
      <c r="L305" s="629">
        <f>_xlfn.XLOOKUP($B305,'33'!$B:$B,'33'!L:L,)</f>
        <v>-1.317726347656756</v>
      </c>
      <c r="M305" s="40" t="str">
        <f>_xlfn.XLOOKUP($B305,'33'!$B:$B,'33'!M:M,)</f>
        <v>Damage costs</v>
      </c>
      <c r="N305" s="326">
        <f>_xlfn.XLOOKUP($B305,'33'!$B:$B,'33'!N:N,)</f>
        <v>2.8333333333333335</v>
      </c>
      <c r="O305" s="40" t="str">
        <f>_xlfn.XLOOKUP($B305,'33'!$B:$B,'33'!O:O,)</f>
        <v>Yes</v>
      </c>
      <c r="P305" s="40" t="str">
        <f>_xlfn.XLOOKUP($B305,'33'!$B:$B,'33'!P:P,)</f>
        <v>Based on pollutant specific benefits of pollutant removal in a UK context.</v>
      </c>
      <c r="Q305" s="40">
        <f>_xlfn.XLOOKUP($B305,'33'!$B:$B,'33'!Q:Q,)</f>
        <v>84</v>
      </c>
      <c r="R305" s="40" t="str">
        <f>_xlfn.XLOOKUP($B305,'33'!$B:$B,'33'!R:R,)</f>
        <v>Gooday, RD. et al (2015) Farmscoper Extension Defra Project SCF0104</v>
      </c>
      <c r="S305" s="40" t="str">
        <f>_xlfn.XLOOKUP($B305,'33'!$B:$B,'33'!S:S,)</f>
        <v>ENCA</v>
      </c>
      <c r="T305" s="40">
        <f>_xlfn.XLOOKUP($B305,'33'!$B:$B,'33'!T:T,)</f>
        <v>2015</v>
      </c>
      <c r="U305" s="40" t="str">
        <f>_xlfn.XLOOKUP($B305,'33'!$B:$B,'33'!U:U,)</f>
        <v>UK</v>
      </c>
      <c r="V305" s="40" t="str">
        <f>_xlfn.XLOOKUP($B305,'33'!$B:$B,'33'!V:V,)</f>
        <v>UK</v>
      </c>
      <c r="W305" s="40">
        <f>_xlfn.XLOOKUP($B305,'33'!$B:$B,'33'!W:W,)</f>
        <v>0</v>
      </c>
    </row>
    <row r="306" spans="2:23">
      <c r="B306" s="40" t="s">
        <v>3092</v>
      </c>
      <c r="C306" s="40" t="str">
        <f>_xlfn.XLOOKUP($B306,'33'!$B:$B,'33'!C:C,)</f>
        <v>Nutrient removal (point source &amp; partnership working)</v>
      </c>
      <c r="D306" s="40" t="str">
        <f>_xlfn.XLOOKUP($B306,'33'!$B:$B,'33'!D:D,)</f>
        <v>Removal of phosphorus</v>
      </c>
      <c r="E306" s="40" t="str">
        <f>_xlfn.XLOOKUP($B306,'33'!$B:$B,'33'!E:E,)</f>
        <v>Water quality</v>
      </c>
      <c r="F306" s="40">
        <f>_xlfn.XLOOKUP($B306,'33'!$B:$B,'33'!F:F,)</f>
        <v>2015</v>
      </c>
      <c r="G306" s="40">
        <f>_xlfn.XLOOKUP($B306,'33'!$B:$B,'33'!G:G,)</f>
        <v>2021</v>
      </c>
      <c r="H306" s="40">
        <f>_xlfn.XLOOKUP($B306,'33'!$B:$B,'33'!H:H,)</f>
        <v>2024</v>
      </c>
      <c r="I306" s="40">
        <f>_xlfn.XLOOKUP($B306,'33'!$B:$B,'33'!I:I,)</f>
        <v>88.789299999999997</v>
      </c>
      <c r="J306" s="40">
        <f>_xlfn.XLOOKUP($B306,'33'!$B:$B,'33'!J:J,)</f>
        <v>101.52460002617836</v>
      </c>
      <c r="K306" s="629">
        <f>_xlfn.XLOOKUP($B306,'33'!$B:$B,'33'!K:K,)</f>
        <v>-39.76</v>
      </c>
      <c r="L306" s="629">
        <f>_xlfn.XLOOKUP($B306,'33'!$B:$B,'33'!L:L,)</f>
        <v>-45.462889076058175</v>
      </c>
      <c r="M306" s="40" t="str">
        <f>_xlfn.XLOOKUP($B306,'33'!$B:$B,'33'!M:M,)</f>
        <v>Damage costs</v>
      </c>
      <c r="N306" s="326">
        <f>_xlfn.XLOOKUP($B306,'33'!$B:$B,'33'!N:N,)</f>
        <v>2.8333333333333335</v>
      </c>
      <c r="O306" s="40" t="str">
        <f>_xlfn.XLOOKUP($B306,'33'!$B:$B,'33'!O:O,)</f>
        <v>Yes</v>
      </c>
      <c r="P306" s="40" t="str">
        <f>_xlfn.XLOOKUP($B306,'33'!$B:$B,'33'!P:P,)</f>
        <v>Based on pollutant specific benefits of pollutant removal in a UK context.</v>
      </c>
      <c r="Q306" s="40">
        <f>_xlfn.XLOOKUP($B306,'33'!$B:$B,'33'!Q:Q,)</f>
        <v>84</v>
      </c>
      <c r="R306" s="40" t="str">
        <f>_xlfn.XLOOKUP($B306,'33'!$B:$B,'33'!R:R,)</f>
        <v>Gooday, RD. et al (2015) Farmscoper Extension Defra Project SCF0104</v>
      </c>
      <c r="S306" s="40" t="str">
        <f>_xlfn.XLOOKUP($B306,'33'!$B:$B,'33'!S:S,)</f>
        <v>ENCA</v>
      </c>
      <c r="T306" s="40">
        <f>_xlfn.XLOOKUP($B306,'33'!$B:$B,'33'!T:T,)</f>
        <v>2015</v>
      </c>
      <c r="U306" s="40" t="str">
        <f>_xlfn.XLOOKUP($B306,'33'!$B:$B,'33'!U:U,)</f>
        <v>UK</v>
      </c>
      <c r="V306" s="40" t="str">
        <f>_xlfn.XLOOKUP($B306,'33'!$B:$B,'33'!V:V,)</f>
        <v>UK</v>
      </c>
      <c r="W306" s="40">
        <f>_xlfn.XLOOKUP($B306,'33'!$B:$B,'33'!W:W,)</f>
        <v>0</v>
      </c>
    </row>
    <row r="307" spans="2:23">
      <c r="B307" s="40" t="s">
        <v>3093</v>
      </c>
      <c r="C307" s="40" t="str">
        <f>_xlfn.XLOOKUP($B307,'33'!$B:$B,'33'!C:C,)</f>
        <v>Nutrient removal (point source &amp; partnership working)</v>
      </c>
      <c r="D307" s="40" t="str">
        <f>_xlfn.XLOOKUP($B307,'33'!$B:$B,'33'!D:D,)</f>
        <v>Removal of sediment</v>
      </c>
      <c r="E307" s="40" t="str">
        <f>_xlfn.XLOOKUP($B307,'33'!$B:$B,'33'!E:E,)</f>
        <v>Water quality</v>
      </c>
      <c r="F307" s="40">
        <f>_xlfn.XLOOKUP($B307,'33'!$B:$B,'33'!F:F,)</f>
        <v>2015</v>
      </c>
      <c r="G307" s="40">
        <f>_xlfn.XLOOKUP($B307,'33'!$B:$B,'33'!G:G,)</f>
        <v>2021</v>
      </c>
      <c r="H307" s="40">
        <f>_xlfn.XLOOKUP($B307,'33'!$B:$B,'33'!H:H,)</f>
        <v>2023</v>
      </c>
      <c r="I307" s="40">
        <f>_xlfn.XLOOKUP($B307,'33'!$B:$B,'33'!I:I,)</f>
        <v>88.789299999999997</v>
      </c>
      <c r="J307" s="40">
        <f>_xlfn.XLOOKUP($B307,'33'!$B:$B,'33'!J:J,)</f>
        <v>100</v>
      </c>
      <c r="K307" s="629">
        <f>_xlfn.XLOOKUP($B307,'33'!$B:$B,'33'!K:K,)</f>
        <v>-0.47</v>
      </c>
      <c r="L307" s="629">
        <f>_xlfn.XLOOKUP($B307,'33'!$B:$B,'33'!L:L,)</f>
        <v>-0.52934306273391052</v>
      </c>
      <c r="M307" s="40" t="str">
        <f>_xlfn.XLOOKUP($B307,'33'!$B:$B,'33'!M:M,)</f>
        <v>Damage costs</v>
      </c>
      <c r="N307" s="326">
        <f>_xlfn.XLOOKUP($B307,'33'!$B:$B,'33'!N:N,)</f>
        <v>2.8333333333333335</v>
      </c>
      <c r="O307" s="40" t="str">
        <f>_xlfn.XLOOKUP($B307,'33'!$B:$B,'33'!O:O,)</f>
        <v>Yes</v>
      </c>
      <c r="P307" s="40" t="str">
        <f>_xlfn.XLOOKUP($B307,'33'!$B:$B,'33'!P:P,)</f>
        <v>Based on pollutant specific benefits of pollutant removal in a UK context.</v>
      </c>
      <c r="Q307" s="40">
        <f>_xlfn.XLOOKUP($B307,'33'!$B:$B,'33'!Q:Q,)</f>
        <v>84</v>
      </c>
      <c r="R307" s="40" t="str">
        <f>_xlfn.XLOOKUP($B307,'33'!$B:$B,'33'!R:R,)</f>
        <v>Gooday, RD. et al (2015) Farmscoper Extension Defra Project SCF0104</v>
      </c>
      <c r="S307" s="40" t="str">
        <f>_xlfn.XLOOKUP($B307,'33'!$B:$B,'33'!S:S,)</f>
        <v>ENCA</v>
      </c>
      <c r="T307" s="40">
        <f>_xlfn.XLOOKUP($B307,'33'!$B:$B,'33'!T:T,)</f>
        <v>2015</v>
      </c>
      <c r="U307" s="40" t="str">
        <f>_xlfn.XLOOKUP($B307,'33'!$B:$B,'33'!U:U,)</f>
        <v>UK</v>
      </c>
      <c r="V307" s="40" t="str">
        <f>_xlfn.XLOOKUP($B307,'33'!$B:$B,'33'!V:V,)</f>
        <v>UK</v>
      </c>
      <c r="W307" s="40">
        <f>_xlfn.XLOOKUP($B307,'33'!$B:$B,'33'!W:W,)</f>
        <v>0</v>
      </c>
    </row>
    <row r="308" spans="2:23">
      <c r="B308" s="39" t="s">
        <v>1139</v>
      </c>
      <c r="C308" s="40" t="str">
        <f>_xlfn.XLOOKUP($B308,'4'!$B:$B,'4'!C:C,)</f>
        <v>Planned interruptions</v>
      </c>
      <c r="D308" s="40" t="str">
        <f>_xlfn.XLOOKUP($B308,'4'!$B:$B,'4'!D:D,)</f>
        <v>3 to 6 hour interruption to Supply</v>
      </c>
      <c r="E308" s="40" t="str">
        <f>_xlfn.XLOOKUP($B308,'4'!$B:$B,'4'!E:E,)</f>
        <v>Quality of place</v>
      </c>
      <c r="F308" s="40">
        <f>_xlfn.XLOOKUP($B308,'4'!$B:$B,'4'!F:F,)</f>
        <v>2023</v>
      </c>
      <c r="G308" s="40">
        <f>_xlfn.XLOOKUP($B308,'4'!$B:$B,'4'!G:G,)</f>
        <v>2022</v>
      </c>
      <c r="H308" s="40">
        <f>_xlfn.XLOOKUP($B308,'4'!$B:$B,'4'!H:H,)</f>
        <v>2023</v>
      </c>
      <c r="I308" s="40">
        <f>_xlfn.XLOOKUP($B308,'4'!$B:$B,'4'!I:I,)</f>
        <v>93.351699999999994</v>
      </c>
      <c r="J308" s="40">
        <f>_xlfn.XLOOKUP($B308,'4'!$B:$B,'4'!J:J,)</f>
        <v>100</v>
      </c>
      <c r="K308" s="629">
        <f>_xlfn.XLOOKUP($B308,'4'!$B:$B,'4'!K:K,)</f>
        <v>60</v>
      </c>
      <c r="L308" s="629">
        <f>_xlfn.XLOOKUP($B308,'4'!$B:$B,'4'!L:L,)</f>
        <v>64.273066264460113</v>
      </c>
      <c r="M308" s="40" t="str">
        <f>_xlfn.XLOOKUP($B308,'4'!$B:$B,'4'!M:M,)</f>
        <v>WTA</v>
      </c>
      <c r="N308" s="326">
        <f>_xlfn.XLOOKUP($B308,'4'!$B:$B,'4'!N:N,)</f>
        <v>2.5714285714285698</v>
      </c>
      <c r="O308" s="40" t="str">
        <f>_xlfn.XLOOKUP($B308,'4'!$B:$B,'4'!O:O,)</f>
        <v>Yes</v>
      </c>
      <c r="P308" s="40" t="str">
        <f>_xlfn.XLOOKUP($B308,'4'!$B:$B,'4'!P:P,)</f>
        <v>Ofwat collaborative customer research source</v>
      </c>
      <c r="Q308" s="40">
        <f>_xlfn.XLOOKUP($B308,'4'!$B:$B,'4'!Q:Q,)</f>
        <v>16</v>
      </c>
      <c r="R308" s="40" t="str">
        <f>_xlfn.XLOOKUP($B308,'4'!$B:$B,'4'!R:R,)</f>
        <v>Ofwat (2023) PR24: Using collaborative customer research to set outcome delivery incentive rates</v>
      </c>
      <c r="S308" s="40" t="str">
        <f>_xlfn.XLOOKUP($B308,'4'!$B:$B,'4'!S:S,)</f>
        <v>/</v>
      </c>
      <c r="T308" s="40">
        <f>_xlfn.XLOOKUP($B308,'4'!$B:$B,'4'!T:T,)</f>
        <v>2023</v>
      </c>
      <c r="U308" s="40" t="str">
        <f>_xlfn.XLOOKUP($B308,'4'!$B:$B,'4'!U:U,)</f>
        <v>UK</v>
      </c>
      <c r="V308" s="40" t="str">
        <f>_xlfn.XLOOKUP($B308,'4'!$B:$B,'4'!V:V,)</f>
        <v>England and Wales</v>
      </c>
      <c r="W308" s="40">
        <f>_xlfn.XLOOKUP($B308,'4'!$B:$B,'4'!W:W,)</f>
        <v>16295</v>
      </c>
    </row>
    <row r="309" spans="2:23">
      <c r="B309" s="39" t="s">
        <v>1140</v>
      </c>
      <c r="C309" s="40" t="str">
        <f>_xlfn.XLOOKUP($B309,'4'!$B:$B,'4'!C:C,)</f>
        <v>Planned interruptions</v>
      </c>
      <c r="D309" s="40" t="str">
        <f>_xlfn.XLOOKUP($B309,'4'!$B:$B,'4'!D:D,)</f>
        <v>6 to 12 hour interruption to Supply</v>
      </c>
      <c r="E309" s="40" t="str">
        <f>_xlfn.XLOOKUP($B309,'4'!$B:$B,'4'!E:E,)</f>
        <v>Quality of place</v>
      </c>
      <c r="F309" s="40">
        <f>_xlfn.XLOOKUP($B309,'4'!$B:$B,'4'!F:F,)</f>
        <v>2023</v>
      </c>
      <c r="G309" s="40">
        <f>_xlfn.XLOOKUP($B309,'4'!$B:$B,'4'!G:G,)</f>
        <v>2022</v>
      </c>
      <c r="H309" s="40">
        <f>_xlfn.XLOOKUP($B309,'4'!$B:$B,'4'!H:H,)</f>
        <v>2023</v>
      </c>
      <c r="I309" s="40">
        <f>_xlfn.XLOOKUP($B309,'4'!$B:$B,'4'!I:I,)</f>
        <v>93.351699999999994</v>
      </c>
      <c r="J309" s="40">
        <f>_xlfn.XLOOKUP($B309,'4'!$B:$B,'4'!J:J,)</f>
        <v>100</v>
      </c>
      <c r="K309" s="629">
        <f>_xlfn.XLOOKUP($B309,'4'!$B:$B,'4'!K:K,)</f>
        <v>80.578512396694222</v>
      </c>
      <c r="L309" s="629">
        <f>_xlfn.XLOOKUP($B309,'4'!$B:$B,'4'!L:L,)</f>
        <v>86.317134446072473</v>
      </c>
      <c r="M309" s="40" t="str">
        <f>_xlfn.XLOOKUP($B309,'4'!$B:$B,'4'!M:M,)</f>
        <v>WTA</v>
      </c>
      <c r="N309" s="326">
        <f>_xlfn.XLOOKUP($B309,'4'!$B:$B,'4'!N:N,)</f>
        <v>2.5714285714285698</v>
      </c>
      <c r="O309" s="40" t="str">
        <f>_xlfn.XLOOKUP($B309,'4'!$B:$B,'4'!O:O,)</f>
        <v>Yes</v>
      </c>
      <c r="P309" s="40" t="str">
        <f>_xlfn.XLOOKUP($B309,'4'!$B:$B,'4'!P:P,)</f>
        <v>Ofwat collaborative customer research source</v>
      </c>
      <c r="Q309" s="40">
        <f>_xlfn.XLOOKUP($B309,'4'!$B:$B,'4'!Q:Q,)</f>
        <v>16</v>
      </c>
      <c r="R309" s="40" t="str">
        <f>_xlfn.XLOOKUP($B309,'4'!$B:$B,'4'!R:R,)</f>
        <v>Ofwat (2023) PR24: Using collaborative customer research to set outcome delivery incentive rates</v>
      </c>
      <c r="S309" s="40" t="str">
        <f>_xlfn.XLOOKUP($B309,'4'!$B:$B,'4'!S:S,)</f>
        <v>/</v>
      </c>
      <c r="T309" s="40">
        <f>_xlfn.XLOOKUP($B309,'4'!$B:$B,'4'!T:T,)</f>
        <v>2023</v>
      </c>
      <c r="U309" s="40" t="str">
        <f>_xlfn.XLOOKUP($B309,'4'!$B:$B,'4'!U:U,)</f>
        <v>UK</v>
      </c>
      <c r="V309" s="40" t="str">
        <f>_xlfn.XLOOKUP($B309,'4'!$B:$B,'4'!V:V,)</f>
        <v>England and Wales</v>
      </c>
      <c r="W309" s="40">
        <f>_xlfn.XLOOKUP($B309,'4'!$B:$B,'4'!W:W,)</f>
        <v>16295</v>
      </c>
    </row>
    <row r="310" spans="2:23">
      <c r="B310" s="39" t="s">
        <v>1141</v>
      </c>
      <c r="C310" s="40" t="str">
        <f>_xlfn.XLOOKUP($B310,'4'!$B:$B,'4'!C:C,)</f>
        <v>Planned interruptions</v>
      </c>
      <c r="D310" s="40" t="str">
        <f>_xlfn.XLOOKUP($B310,'4'!$B:$B,'4'!D:D,)</f>
        <v>3 to 6 hour interruption to Supply</v>
      </c>
      <c r="E310" s="40" t="str">
        <f>_xlfn.XLOOKUP($B310,'4'!$B:$B,'4'!E:E,)</f>
        <v>Local economy</v>
      </c>
      <c r="F310" s="40">
        <f>_xlfn.XLOOKUP($B310,'4'!$B:$B,'4'!F:F,)</f>
        <v>2023</v>
      </c>
      <c r="G310" s="40">
        <f>_xlfn.XLOOKUP($B310,'4'!$B:$B,'4'!G:G,)</f>
        <v>2022</v>
      </c>
      <c r="H310" s="40">
        <f>_xlfn.XLOOKUP($B310,'4'!$B:$B,'4'!H:H,)</f>
        <v>2023</v>
      </c>
      <c r="I310" s="40">
        <f>_xlfn.XLOOKUP($B310,'4'!$B:$B,'4'!I:I,)</f>
        <v>93.351699999999994</v>
      </c>
      <c r="J310" s="40">
        <f>_xlfn.XLOOKUP($B310,'4'!$B:$B,'4'!J:J,)</f>
        <v>100</v>
      </c>
      <c r="K310" s="629">
        <f>_xlfn.XLOOKUP($B310,'4'!$B:$B,'4'!K:K,)</f>
        <v>8342</v>
      </c>
      <c r="L310" s="629">
        <f>_xlfn.XLOOKUP($B310,'4'!$B:$B,'4'!L:L,)</f>
        <v>8936.0986463021036</v>
      </c>
      <c r="M310" s="40" t="str">
        <f>_xlfn.XLOOKUP($B310,'4'!$B:$B,'4'!M:M,)</f>
        <v>WTA</v>
      </c>
      <c r="N310" s="326">
        <f>_xlfn.XLOOKUP($B310,'4'!$B:$B,'4'!N:N,)</f>
        <v>2.5714285714285698</v>
      </c>
      <c r="O310" s="40" t="str">
        <f>_xlfn.XLOOKUP($B310,'4'!$B:$B,'4'!O:O,)</f>
        <v>Yes</v>
      </c>
      <c r="P310" s="40" t="str">
        <f>_xlfn.XLOOKUP($B310,'4'!$B:$B,'4'!P:P,)</f>
        <v>Ofwat collaborative customer research source</v>
      </c>
      <c r="Q310" s="40">
        <f>_xlfn.XLOOKUP($B310,'4'!$B:$B,'4'!Q:Q,)</f>
        <v>16</v>
      </c>
      <c r="R310" s="40" t="str">
        <f>_xlfn.XLOOKUP($B310,'4'!$B:$B,'4'!R:R,)</f>
        <v>Ofwat (2023) PR24: Using collaborative customer research to set outcome delivery incentive rates</v>
      </c>
      <c r="S310" s="40" t="str">
        <f>_xlfn.XLOOKUP($B310,'4'!$B:$B,'4'!S:S,)</f>
        <v>/</v>
      </c>
      <c r="T310" s="40">
        <f>_xlfn.XLOOKUP($B310,'4'!$B:$B,'4'!T:T,)</f>
        <v>2023</v>
      </c>
      <c r="U310" s="40" t="str">
        <f>_xlfn.XLOOKUP($B310,'4'!$B:$B,'4'!U:U,)</f>
        <v>UK</v>
      </c>
      <c r="V310" s="40" t="str">
        <f>_xlfn.XLOOKUP($B310,'4'!$B:$B,'4'!V:V,)</f>
        <v>England and Wales</v>
      </c>
      <c r="W310" s="40">
        <f>_xlfn.XLOOKUP($B310,'4'!$B:$B,'4'!W:W,)</f>
        <v>16295</v>
      </c>
    </row>
    <row r="311" spans="2:23">
      <c r="B311" s="39" t="s">
        <v>1142</v>
      </c>
      <c r="C311" s="40" t="str">
        <f>_xlfn.XLOOKUP($B311,'4'!$B:$B,'4'!C:C,)</f>
        <v>Planned interruptions</v>
      </c>
      <c r="D311" s="40" t="str">
        <f>_xlfn.XLOOKUP($B311,'4'!$B:$B,'4'!D:D,)</f>
        <v>6 to 12 hour interruption to Supply</v>
      </c>
      <c r="E311" s="40" t="str">
        <f>_xlfn.XLOOKUP($B311,'4'!$B:$B,'4'!E:E,)</f>
        <v>Local economy</v>
      </c>
      <c r="F311" s="40">
        <f>_xlfn.XLOOKUP($B311,'4'!$B:$B,'4'!F:F,)</f>
        <v>2023</v>
      </c>
      <c r="G311" s="40">
        <f>_xlfn.XLOOKUP($B311,'4'!$B:$B,'4'!G:G,)</f>
        <v>2022</v>
      </c>
      <c r="H311" s="40">
        <f>_xlfn.XLOOKUP($B311,'4'!$B:$B,'4'!H:H,)</f>
        <v>2023</v>
      </c>
      <c r="I311" s="40">
        <f>_xlfn.XLOOKUP($B311,'4'!$B:$B,'4'!I:I,)</f>
        <v>93.351699999999994</v>
      </c>
      <c r="J311" s="40">
        <f>_xlfn.XLOOKUP($B311,'4'!$B:$B,'4'!J:J,)</f>
        <v>100</v>
      </c>
      <c r="K311" s="629">
        <f>_xlfn.XLOOKUP($B311,'4'!$B:$B,'4'!K:K,)</f>
        <v>10079.380834926313</v>
      </c>
      <c r="L311" s="629">
        <f>_xlfn.XLOOKUP($B311,'4'!$B:$B,'4'!L:L,)</f>
        <v>10797.211871799136</v>
      </c>
      <c r="M311" s="40" t="str">
        <f>_xlfn.XLOOKUP($B311,'4'!$B:$B,'4'!M:M,)</f>
        <v>WTA</v>
      </c>
      <c r="N311" s="326">
        <f>_xlfn.XLOOKUP($B311,'4'!$B:$B,'4'!N:N,)</f>
        <v>2.5714285714285698</v>
      </c>
      <c r="O311" s="40" t="str">
        <f>_xlfn.XLOOKUP($B311,'4'!$B:$B,'4'!O:O,)</f>
        <v>Yes</v>
      </c>
      <c r="P311" s="40" t="str">
        <f>_xlfn.XLOOKUP($B311,'4'!$B:$B,'4'!P:P,)</f>
        <v>Ofwat collaborative customer research source</v>
      </c>
      <c r="Q311" s="40">
        <f>_xlfn.XLOOKUP($B311,'4'!$B:$B,'4'!Q:Q,)</f>
        <v>16</v>
      </c>
      <c r="R311" s="40" t="str">
        <f>_xlfn.XLOOKUP($B311,'4'!$B:$B,'4'!R:R,)</f>
        <v>Ofwat (2023) PR24: Using collaborative customer research to set outcome delivery incentive rates</v>
      </c>
      <c r="S311" s="40" t="str">
        <f>_xlfn.XLOOKUP($B311,'4'!$B:$B,'4'!S:S,)</f>
        <v>/</v>
      </c>
      <c r="T311" s="40">
        <f>_xlfn.XLOOKUP($B311,'4'!$B:$B,'4'!T:T,)</f>
        <v>2023</v>
      </c>
      <c r="U311" s="40" t="str">
        <f>_xlfn.XLOOKUP($B311,'4'!$B:$B,'4'!U:U,)</f>
        <v>UK</v>
      </c>
      <c r="V311" s="40" t="str">
        <f>_xlfn.XLOOKUP($B311,'4'!$B:$B,'4'!V:V,)</f>
        <v>England and Wales</v>
      </c>
      <c r="W311" s="40">
        <f>_xlfn.XLOOKUP($B311,'4'!$B:$B,'4'!W:W,)</f>
        <v>16295</v>
      </c>
    </row>
    <row r="312" spans="2:23">
      <c r="B312" s="39" t="s">
        <v>1855</v>
      </c>
      <c r="C312" s="40" t="str">
        <f>_xlfn.XLOOKUP($B312,'26'!$B:$B,'26'!C:C,)</f>
        <v>Pollution incidents</v>
      </c>
      <c r="D312" s="40" t="str">
        <f>_xlfn.XLOOKUP($B312,'26'!$B:$B,'26'!D:D,)</f>
        <v>Category 1 pollution incident (wastewater) - Major incident</v>
      </c>
      <c r="E312" s="40" t="str">
        <f>_xlfn.XLOOKUP($B312,'26'!$B:$B,'26'!E:E,)</f>
        <v>Quality of place</v>
      </c>
      <c r="F312" s="40">
        <f>_xlfn.XLOOKUP($B312,'26'!$B:$B,'26'!F:F,)</f>
        <v>2023</v>
      </c>
      <c r="G312" s="40">
        <f>_xlfn.XLOOKUP($B312,'26'!$B:$B,'26'!G:G,)</f>
        <v>2022</v>
      </c>
      <c r="H312" s="40">
        <f>_xlfn.XLOOKUP($B312,'26'!$B:$B,'26'!H:H,)</f>
        <v>2023</v>
      </c>
      <c r="I312" s="40">
        <f>_xlfn.XLOOKUP($B312,'26'!$B:$B,'26'!I:I,)</f>
        <v>93.351699999999994</v>
      </c>
      <c r="J312" s="40">
        <f>_xlfn.XLOOKUP($B312,'26'!$B:$B,'26'!J:J,)</f>
        <v>100</v>
      </c>
      <c r="K312" s="40">
        <f>_xlfn.XLOOKUP($B312,'26'!$B:$B,'26'!K:K,)</f>
        <v>4844769.4608649015</v>
      </c>
      <c r="L312" s="40">
        <f>_xlfn.XLOOKUP($B312,'26'!$B:$B,'26'!L:L,)</f>
        <v>5189803.1432367079</v>
      </c>
      <c r="M312" s="40" t="str">
        <f>_xlfn.XLOOKUP($B312,'26'!$B:$B,'26'!M:M,)</f>
        <v>Willingness to Accept</v>
      </c>
      <c r="N312" s="326">
        <f>_xlfn.XLOOKUP($B312,'26'!$B:$B,'26'!N:N,)</f>
        <v>2.1428571428571401</v>
      </c>
      <c r="O312" s="40" t="str">
        <f>_xlfn.XLOOKUP($B312,'26'!$B:$B,'26'!O:O,)</f>
        <v>Yes</v>
      </c>
      <c r="P312" s="40" t="str">
        <f>_xlfn.XLOOKUP($B312,'26'!$B:$B,'26'!P:P,)</f>
        <v>Ofwat collaborative customer research source</v>
      </c>
      <c r="Q312" s="40">
        <f>_xlfn.XLOOKUP($B312,'26'!$B:$B,'26'!Q:Q,)</f>
        <v>16</v>
      </c>
      <c r="R312" s="40" t="str">
        <f>_xlfn.XLOOKUP($B312,'26'!$B:$B,'26'!R:R,)</f>
        <v xml:space="preserve">Ofwat - PR24: Using collaborative customer research to set outcome delivery incentive rates </v>
      </c>
      <c r="S312" s="40">
        <f>_xlfn.XLOOKUP($B312,'26'!$B:$B,'26'!S:S,)</f>
        <v>0</v>
      </c>
      <c r="T312" s="40">
        <f>_xlfn.XLOOKUP($B312,'26'!$B:$B,'26'!T:T,)</f>
        <v>2023</v>
      </c>
      <c r="U312" s="40" t="str">
        <f>_xlfn.XLOOKUP($B312,'26'!$B:$B,'26'!U:U,)</f>
        <v>England and Wales</v>
      </c>
      <c r="V312" s="40" t="str">
        <f>_xlfn.XLOOKUP($B312,'26'!$B:$B,'26'!V:V,)</f>
        <v>England and Wales</v>
      </c>
      <c r="W312" s="40">
        <f>_xlfn.XLOOKUP($B312,'26'!$B:$B,'26'!W:W,)</f>
        <v>16295</v>
      </c>
    </row>
    <row r="313" spans="2:23">
      <c r="B313" s="39" t="s">
        <v>1856</v>
      </c>
      <c r="C313" s="40" t="str">
        <f>_xlfn.XLOOKUP($B313,'26'!$B:$B,'26'!C:C,)</f>
        <v>Pollution incidents</v>
      </c>
      <c r="D313" s="40" t="str">
        <f>_xlfn.XLOOKUP($B313,'26'!$B:$B,'26'!D:D,)</f>
        <v>Category 2 pollution incident (wastewater) - Significant impact</v>
      </c>
      <c r="E313" s="40" t="str">
        <f>_xlfn.XLOOKUP($B313,'26'!$B:$B,'26'!E:E,)</f>
        <v>Quality of place</v>
      </c>
      <c r="F313" s="40">
        <f>_xlfn.XLOOKUP($B313,'26'!$B:$B,'26'!F:F,)</f>
        <v>2023</v>
      </c>
      <c r="G313" s="40">
        <f>_xlfn.XLOOKUP($B313,'26'!$B:$B,'26'!G:G,)</f>
        <v>2022</v>
      </c>
      <c r="H313" s="40">
        <f>_xlfn.XLOOKUP($B313,'26'!$B:$B,'26'!H:H,)</f>
        <v>2023</v>
      </c>
      <c r="I313" s="40">
        <f>_xlfn.XLOOKUP($B313,'26'!$B:$B,'26'!I:I,)</f>
        <v>93.351699999999994</v>
      </c>
      <c r="J313" s="40">
        <f>_xlfn.XLOOKUP($B313,'26'!$B:$B,'26'!J:J,)</f>
        <v>100</v>
      </c>
      <c r="K313" s="40">
        <f>_xlfn.XLOOKUP($B313,'26'!$B:$B,'26'!K:K,)</f>
        <v>3153977.434254332</v>
      </c>
      <c r="L313" s="40">
        <f>_xlfn.XLOOKUP($B313,'26'!$B:$B,'26'!L:L,)</f>
        <v>3378596.677140676</v>
      </c>
      <c r="M313" s="40" t="str">
        <f>_xlfn.XLOOKUP($B313,'26'!$B:$B,'26'!M:M,)</f>
        <v>Willingness to Accept</v>
      </c>
      <c r="N313" s="326">
        <f>_xlfn.XLOOKUP($B313,'26'!$B:$B,'26'!N:N,)</f>
        <v>2.1428571428571401</v>
      </c>
      <c r="O313" s="40" t="str">
        <f>_xlfn.XLOOKUP($B313,'26'!$B:$B,'26'!O:O,)</f>
        <v>Yes</v>
      </c>
      <c r="P313" s="40" t="str">
        <f>_xlfn.XLOOKUP($B313,'26'!$B:$B,'26'!P:P,)</f>
        <v>Ofwat collaborative customer research source</v>
      </c>
      <c r="Q313" s="40">
        <f>_xlfn.XLOOKUP($B313,'26'!$B:$B,'26'!Q:Q,)</f>
        <v>16</v>
      </c>
      <c r="R313" s="40" t="str">
        <f>_xlfn.XLOOKUP($B313,'26'!$B:$B,'26'!R:R,)</f>
        <v xml:space="preserve">Ofwat - PR24: Using collaborative customer research to set outcome delivery incentive rates </v>
      </c>
      <c r="S313" s="40">
        <f>_xlfn.XLOOKUP($B313,'26'!$B:$B,'26'!S:S,)</f>
        <v>0</v>
      </c>
      <c r="T313" s="40">
        <f>_xlfn.XLOOKUP($B313,'26'!$B:$B,'26'!T:T,)</f>
        <v>2023</v>
      </c>
      <c r="U313" s="40" t="str">
        <f>_xlfn.XLOOKUP($B313,'26'!$B:$B,'26'!U:U,)</f>
        <v>England and Wales</v>
      </c>
      <c r="V313" s="40" t="str">
        <f>_xlfn.XLOOKUP($B313,'26'!$B:$B,'26'!V:V,)</f>
        <v>England and Wales</v>
      </c>
      <c r="W313" s="40">
        <f>_xlfn.XLOOKUP($B313,'26'!$B:$B,'26'!W:W,)</f>
        <v>16295</v>
      </c>
    </row>
    <row r="314" spans="2:23">
      <c r="B314" s="39" t="s">
        <v>1857</v>
      </c>
      <c r="C314" s="40" t="str">
        <f>_xlfn.XLOOKUP($B314,'26'!$B:$B,'26'!C:C,)</f>
        <v>Pollution incidents</v>
      </c>
      <c r="D314" s="40" t="str">
        <f>_xlfn.XLOOKUP($B314,'26'!$B:$B,'26'!D:D,)</f>
        <v>Category 3 pollution incident (wastewater) - Minor impact</v>
      </c>
      <c r="E314" s="40" t="str">
        <f>_xlfn.XLOOKUP($B314,'26'!$B:$B,'26'!E:E,)</f>
        <v>Quality of place</v>
      </c>
      <c r="F314" s="40">
        <f>_xlfn.XLOOKUP($B314,'26'!$B:$B,'26'!F:F,)</f>
        <v>2023</v>
      </c>
      <c r="G314" s="40">
        <f>_xlfn.XLOOKUP($B314,'26'!$B:$B,'26'!G:G,)</f>
        <v>2022</v>
      </c>
      <c r="H314" s="40">
        <f>_xlfn.XLOOKUP($B314,'26'!$B:$B,'26'!H:H,)</f>
        <v>2023</v>
      </c>
      <c r="I314" s="40">
        <f>_xlfn.XLOOKUP($B314,'26'!$B:$B,'26'!I:I,)</f>
        <v>93.351699999999994</v>
      </c>
      <c r="J314" s="40">
        <f>_xlfn.XLOOKUP($B314,'26'!$B:$B,'26'!J:J,)</f>
        <v>100</v>
      </c>
      <c r="K314" s="40">
        <f>_xlfn.XLOOKUP($B314,'26'!$B:$B,'26'!K:K,)</f>
        <v>1463185.4076437622</v>
      </c>
      <c r="L314" s="40">
        <f>_xlfn.XLOOKUP($B314,'26'!$B:$B,'26'!L:L,)</f>
        <v>1567390.2110446433</v>
      </c>
      <c r="M314" s="40" t="str">
        <f>_xlfn.XLOOKUP($B314,'26'!$B:$B,'26'!M:M,)</f>
        <v>Willingness to Accept</v>
      </c>
      <c r="N314" s="326">
        <f>_xlfn.XLOOKUP($B314,'26'!$B:$B,'26'!N:N,)</f>
        <v>2.1428571428571401</v>
      </c>
      <c r="O314" s="40" t="str">
        <f>_xlfn.XLOOKUP($B314,'26'!$B:$B,'26'!O:O,)</f>
        <v>Yes</v>
      </c>
      <c r="P314" s="40" t="str">
        <f>_xlfn.XLOOKUP($B314,'26'!$B:$B,'26'!P:P,)</f>
        <v>Ofwat collaborative customer research source</v>
      </c>
      <c r="Q314" s="40">
        <f>_xlfn.XLOOKUP($B314,'26'!$B:$B,'26'!Q:Q,)</f>
        <v>16</v>
      </c>
      <c r="R314" s="40" t="str">
        <f>_xlfn.XLOOKUP($B314,'26'!$B:$B,'26'!R:R,)</f>
        <v xml:space="preserve">Ofwat - PR24: Using collaborative customer research to set outcome delivery incentive rates </v>
      </c>
      <c r="S314" s="40">
        <f>_xlfn.XLOOKUP($B314,'26'!$B:$B,'26'!S:S,)</f>
        <v>0</v>
      </c>
      <c r="T314" s="40">
        <f>_xlfn.XLOOKUP($B314,'26'!$B:$B,'26'!T:T,)</f>
        <v>2023</v>
      </c>
      <c r="U314" s="40" t="str">
        <f>_xlfn.XLOOKUP($B314,'26'!$B:$B,'26'!U:U,)</f>
        <v>England and Wales</v>
      </c>
      <c r="V314" s="40" t="str">
        <f>_xlfn.XLOOKUP($B314,'26'!$B:$B,'26'!V:V,)</f>
        <v>England and Wales</v>
      </c>
      <c r="W314" s="40">
        <f>_xlfn.XLOOKUP($B314,'26'!$B:$B,'26'!W:W,)</f>
        <v>16295</v>
      </c>
    </row>
    <row r="315" spans="2:23">
      <c r="B315" s="39" t="s">
        <v>1344</v>
      </c>
      <c r="C315" s="40" t="str">
        <f>_xlfn.XLOOKUP($B315,'11'!$B:$B,'11'!C:C,)</f>
        <v>Rainwater management</v>
      </c>
      <c r="D315" s="40" t="str">
        <f>_xlfn.XLOOKUP($B315,'11'!$B:$B,'11'!D:D,)</f>
        <v>Surface water intercepted/harvested</v>
      </c>
      <c r="E315" s="40" t="str">
        <f>_xlfn.XLOOKUP($B315,'11'!$B:$B,'11'!E:E,)</f>
        <v>Water resources</v>
      </c>
      <c r="F315" s="40">
        <f>_xlfn.XLOOKUP($B315,'11'!$B:$B,'11'!F:F,)</f>
        <v>2018</v>
      </c>
      <c r="G315" s="40">
        <f>_xlfn.XLOOKUP($B315,'11'!$B:$B,'11'!G:G,)</f>
        <v>2023</v>
      </c>
      <c r="H315" s="40">
        <f>_xlfn.XLOOKUP($B315,'11'!$B:$B,'11'!H:H,)</f>
        <v>2023</v>
      </c>
      <c r="I315" s="40">
        <f>_xlfn.XLOOKUP($B315,'11'!$B:$B,'11'!I:I,)</f>
        <v>100</v>
      </c>
      <c r="J315" s="40">
        <f>_xlfn.XLOOKUP($B315,'11'!$B:$B,'11'!J:J,)</f>
        <v>100</v>
      </c>
      <c r="K315" s="629">
        <f>_xlfn.XLOOKUP($B315,'11'!$B:$B,'11'!K:K,)</f>
        <v>-1030</v>
      </c>
      <c r="L315" s="629">
        <f>_xlfn.XLOOKUP($B315,'11'!$B:$B,'11'!L:L,)</f>
        <v>-1030</v>
      </c>
      <c r="M315" s="40" t="str">
        <f>_xlfn.XLOOKUP($B315,'11'!$B:$B,'11'!M:M,)</f>
        <v>Avoided cost</v>
      </c>
      <c r="N315" s="326">
        <f>_xlfn.XLOOKUP($B315,'11'!$B:$B,'11'!N:N,)</f>
        <v>2.8333333333333335</v>
      </c>
      <c r="O315" s="40" t="str">
        <f>_xlfn.XLOOKUP($B315,'11'!$B:$B,'11'!O:O,)</f>
        <v>Yes</v>
      </c>
      <c r="P315" s="40">
        <f>_xlfn.XLOOKUP($B315,'11'!$B:$B,'11'!P:P,)</f>
        <v>0</v>
      </c>
      <c r="Q315" s="40">
        <f>_xlfn.XLOOKUP($B315,'11'!$B:$B,'11'!Q:Q,)</f>
        <v>22</v>
      </c>
      <c r="R315" s="40" t="str">
        <f>_xlfn.XLOOKUP($B315,'11'!$B:$B,'11'!R:R,)</f>
        <v>NIC (2018) Analysis of the costs of water resource management options to enhance drought resilience</v>
      </c>
      <c r="S315" s="40" t="str">
        <f>_xlfn.XLOOKUP($B315,'11'!$B:$B,'11'!S:S,)</f>
        <v>NCEM</v>
      </c>
      <c r="T315" s="40">
        <f>_xlfn.XLOOKUP($B315,'11'!$B:$B,'11'!T:T,)</f>
        <v>2018</v>
      </c>
      <c r="U315" s="40" t="str">
        <f>_xlfn.XLOOKUP($B315,'11'!$B:$B,'11'!U:U,)</f>
        <v>UK</v>
      </c>
      <c r="V315" s="40" t="str">
        <f>_xlfn.XLOOKUP($B315,'11'!$B:$B,'11'!V:V,)</f>
        <v>UK</v>
      </c>
      <c r="W315" s="40" t="str">
        <f>_xlfn.XLOOKUP($B315,'11'!$B:$B,'11'!W:W,)</f>
        <v>/</v>
      </c>
    </row>
    <row r="316" spans="2:23">
      <c r="B316" s="39" t="s">
        <v>1353</v>
      </c>
      <c r="C316" s="40" t="str">
        <f>_xlfn.XLOOKUP($B316,'11'!$B:$B,'11'!C:C,)</f>
        <v>Rainwater management</v>
      </c>
      <c r="D316" s="40" t="str">
        <f>_xlfn.XLOOKUP($B316,'11'!$B:$B,'11'!D:D,)</f>
        <v>Surface water separated from combined</v>
      </c>
      <c r="E316" s="40" t="str">
        <f>_xlfn.XLOOKUP($B316,'11'!$B:$B,'11'!E:E,)</f>
        <v>GHG Emissions</v>
      </c>
      <c r="F316" s="40">
        <f>_xlfn.XLOOKUP($B316,'11'!$B:$B,'11'!F:F,)</f>
        <v>2024</v>
      </c>
      <c r="G316" s="40">
        <f>_xlfn.XLOOKUP($B316,'11'!$B:$B,'11'!G:G,)</f>
        <v>2020</v>
      </c>
      <c r="H316" s="40">
        <f>_xlfn.XLOOKUP($B316,'11'!$B:$B,'11'!H:H,)</f>
        <v>2023</v>
      </c>
      <c r="I316" s="40">
        <f>_xlfn.XLOOKUP($B316,'11'!$B:$B,'11'!I:I,)</f>
        <v>89.073499999999996</v>
      </c>
      <c r="J316" s="40">
        <f>_xlfn.XLOOKUP($B316,'11'!$B:$B,'11'!J:J,)</f>
        <v>100</v>
      </c>
      <c r="K316" s="629">
        <f ca="1">_xlfn.XLOOKUP($B316,'11'!$B:$B,'11'!K:K,)</f>
        <v>-120.32000000000001</v>
      </c>
      <c r="L316" s="629">
        <f ca="1">_xlfn.XLOOKUP($B316,'11'!$B:$B,'11'!L:L,)</f>
        <v>-135.07945685304833</v>
      </c>
      <c r="M316" s="40" t="str">
        <f>_xlfn.XLOOKUP($B316,'11'!$B:$B,'11'!M:M,)</f>
        <v>Avoided cost</v>
      </c>
      <c r="N316" s="326">
        <f>_xlfn.XLOOKUP($B316,'11'!$B:$B,'11'!N:N,)</f>
        <v>3</v>
      </c>
      <c r="O316" s="40" t="str">
        <f>_xlfn.XLOOKUP($B316,'11'!$B:$B,'11'!O:O,)</f>
        <v>Yes</v>
      </c>
      <c r="P316" s="40" t="str">
        <f>_xlfn.XLOOKUP($B316,'11'!$B:$B,'11'!P:P,)</f>
        <v>UK government values</v>
      </c>
      <c r="Q316" s="40">
        <f>_xlfn.XLOOKUP($B316,'11'!$B:$B,'11'!Q:Q,)</f>
        <v>74</v>
      </c>
      <c r="R316" s="40" t="str">
        <f>_xlfn.XLOOKUP($B316,'11'!$B:$B,'11'!R:R,)</f>
        <v>Discover Water (2024) Energy and emissions: Greenhouse gas emissions from English and Welsh water companies. Available online: https://www.discoverwater.co.uk/energy-emissions (Accessed 27 Feb 25)</v>
      </c>
      <c r="S316" s="40" t="str">
        <f>_xlfn.XLOOKUP($B316,'11'!$B:$B,'11'!S:S,)</f>
        <v>ENCA</v>
      </c>
      <c r="T316" s="40">
        <f>_xlfn.XLOOKUP($B316,'11'!$B:$B,'11'!T:T,)</f>
        <v>2024</v>
      </c>
      <c r="U316" s="40" t="str">
        <f>_xlfn.XLOOKUP($B316,'11'!$B:$B,'11'!U:U,)</f>
        <v>UK</v>
      </c>
      <c r="V316" s="40" t="str">
        <f>_xlfn.XLOOKUP($B316,'11'!$B:$B,'11'!V:V,)</f>
        <v>UK</v>
      </c>
      <c r="W316" s="40" t="str">
        <f>_xlfn.XLOOKUP($B316,'11'!$B:$B,'11'!W:W,)</f>
        <v>/</v>
      </c>
    </row>
    <row r="317" spans="2:23">
      <c r="B317" s="39" t="s">
        <v>1354</v>
      </c>
      <c r="C317" s="40" t="str">
        <f>_xlfn.XLOOKUP($B317,'11'!$B:$B,'11'!C:C,)</f>
        <v>Rainwater management</v>
      </c>
      <c r="D317" s="40" t="str">
        <f>_xlfn.XLOOKUP($B317,'11'!$B:$B,'11'!D:D,)</f>
        <v>Surface water intercepted/harvested</v>
      </c>
      <c r="E317" s="40" t="str">
        <f>_xlfn.XLOOKUP($B317,'11'!$B:$B,'11'!E:E,)</f>
        <v>GHG Emissions</v>
      </c>
      <c r="F317" s="40">
        <f>_xlfn.XLOOKUP($B317,'11'!$B:$B,'11'!F:F,)</f>
        <v>2024</v>
      </c>
      <c r="G317" s="40">
        <f>_xlfn.XLOOKUP($B317,'11'!$B:$B,'11'!G:G,)</f>
        <v>2020</v>
      </c>
      <c r="H317" s="40">
        <f>_xlfn.XLOOKUP($B317,'11'!$B:$B,'11'!H:H,)</f>
        <v>2023</v>
      </c>
      <c r="I317" s="40">
        <f>_xlfn.XLOOKUP($B317,'11'!$B:$B,'11'!I:I,)</f>
        <v>89.073499999999996</v>
      </c>
      <c r="J317" s="40">
        <f>_xlfn.XLOOKUP($B317,'11'!$B:$B,'11'!J:J,)</f>
        <v>100</v>
      </c>
      <c r="K317" s="629">
        <f ca="1">_xlfn.XLOOKUP($B317,'11'!$B:$B,'11'!K:K,)</f>
        <v>-93.248000000000005</v>
      </c>
      <c r="L317" s="629">
        <f ca="1">_xlfn.XLOOKUP($B317,'11'!$B:$B,'11'!L:L,)</f>
        <v>-104.68657906111245</v>
      </c>
      <c r="M317" s="40" t="str">
        <f>_xlfn.XLOOKUP($B317,'11'!$B:$B,'11'!M:M,)</f>
        <v>Avoided cost</v>
      </c>
      <c r="N317" s="326">
        <f>_xlfn.XLOOKUP($B317,'11'!$B:$B,'11'!N:N,)</f>
        <v>3</v>
      </c>
      <c r="O317" s="40" t="str">
        <f>_xlfn.XLOOKUP($B317,'11'!$B:$B,'11'!O:O,)</f>
        <v>Yes</v>
      </c>
      <c r="P317" s="40" t="str">
        <f>_xlfn.XLOOKUP($B317,'11'!$B:$B,'11'!P:P,)</f>
        <v>UK government values</v>
      </c>
      <c r="Q317" s="40">
        <f>_xlfn.XLOOKUP($B317,'11'!$B:$B,'11'!Q:Q,)</f>
        <v>74</v>
      </c>
      <c r="R317" s="40" t="str">
        <f>_xlfn.XLOOKUP($B317,'11'!$B:$B,'11'!R:R,)</f>
        <v>Discover Water (2024) Energy and emissions: Greenhouse gas emissions from English and Welsh water companies. Available online: https://www.discoverwater.co.uk/energy-emissions (Accessed 27 Feb 25)</v>
      </c>
      <c r="S317" s="40" t="str">
        <f>_xlfn.XLOOKUP($B317,'11'!$B:$B,'11'!S:S,)</f>
        <v>ENCA</v>
      </c>
      <c r="T317" s="40">
        <f>_xlfn.XLOOKUP($B317,'11'!$B:$B,'11'!T:T,)</f>
        <v>2024</v>
      </c>
      <c r="U317" s="40" t="str">
        <f>_xlfn.XLOOKUP($B317,'11'!$B:$B,'11'!U:U,)</f>
        <v>UK</v>
      </c>
      <c r="V317" s="40" t="str">
        <f>_xlfn.XLOOKUP($B317,'11'!$B:$B,'11'!V:V,)</f>
        <v>UK</v>
      </c>
      <c r="W317" s="40" t="str">
        <f>_xlfn.XLOOKUP($B317,'11'!$B:$B,'11'!W:W,)</f>
        <v>/</v>
      </c>
    </row>
    <row r="318" spans="2:23">
      <c r="B318" s="39" t="s">
        <v>3214</v>
      </c>
      <c r="C318" s="40" t="str">
        <f>_xlfn.XLOOKUP($B318,'38'!$B:$B,'38'!C:C,)</f>
        <v>Recreation</v>
      </c>
      <c r="D318" s="40" t="str">
        <f>_xlfn.XLOOKUP($B318,'38'!$B:$B,'38'!D:D,)</f>
        <v>Recreational visits</v>
      </c>
      <c r="E318" s="40" t="str">
        <f>_xlfn.XLOOKUP($B318,'38'!$B:$B,'38'!E:E,)</f>
        <v>Local economy - trip-related expenditure</v>
      </c>
      <c r="F318" s="40">
        <f>_xlfn.XLOOKUP($B318,'38'!$B:$B,'38'!F:F,)</f>
        <v>2018</v>
      </c>
      <c r="G318" s="40">
        <f>_xlfn.XLOOKUP($B318,'38'!$B:$B,'38'!G:G,)</f>
        <v>2016</v>
      </c>
      <c r="H318" s="40">
        <f>_xlfn.XLOOKUP($B318,'38'!$B:$B,'38'!H:H,)</f>
        <v>2023</v>
      </c>
      <c r="I318" s="40">
        <f>_xlfn.XLOOKUP($B318,'38'!$B:$B,'38'!I:I,)</f>
        <v>79.790499999999994</v>
      </c>
      <c r="J318" s="40">
        <f>_xlfn.XLOOKUP($B318,'38'!$B:$B,'38'!J:J,)</f>
        <v>100</v>
      </c>
      <c r="K318" s="629">
        <f>_xlfn.XLOOKUP($B318,'38'!$B:$B,'38'!K:K,)</f>
        <v>-3.1</v>
      </c>
      <c r="L318" s="629">
        <f>_xlfn.XLOOKUP($B318,'38'!$B:$B,'38'!L:L,)</f>
        <v>-3.8851743001986452</v>
      </c>
      <c r="M318" s="40" t="str">
        <f>_xlfn.XLOOKUP($B318,'38'!$B:$B,'38'!M:M,)</f>
        <v>Market valuation</v>
      </c>
      <c r="N318" s="326">
        <f>_xlfn.XLOOKUP($B318,'38'!$B:$B,'38'!N:N,)</f>
        <v>2.8333333333333335</v>
      </c>
      <c r="O318" s="40" t="str">
        <f>_xlfn.XLOOKUP($B318,'38'!$B:$B,'38'!O:O,)</f>
        <v>Yes</v>
      </c>
      <c r="P318" s="40" t="str">
        <f>_xlfn.XLOOKUP($B318,'38'!$B:$B,'38'!P:P,)</f>
        <v>Valuation used in WINEP 2021 methodology</v>
      </c>
      <c r="Q318" s="40">
        <f>_xlfn.XLOOKUP($B318,'38'!$B:$B,'38'!Q:Q,)</f>
        <v>50</v>
      </c>
      <c r="R318" s="40" t="str">
        <f>_xlfn.XLOOKUP($B318,'38'!$B:$B,'38'!R:R,)</f>
        <v>Outdoor Recreation Valuation Tool (ORVal: Version 2.0) (2018)</v>
      </c>
      <c r="S318" s="40" t="str">
        <f>_xlfn.XLOOKUP($B318,'38'!$B:$B,'38'!S:S,)</f>
        <v>ENCA</v>
      </c>
      <c r="T318" s="40">
        <f>_xlfn.XLOOKUP($B318,'38'!$B:$B,'38'!T:T,)</f>
        <v>2018</v>
      </c>
      <c r="U318" s="40" t="str">
        <f>_xlfn.XLOOKUP($B318,'38'!$B:$B,'38'!U:U,)</f>
        <v>UK</v>
      </c>
      <c r="V318" s="40" t="str">
        <f>_xlfn.XLOOKUP($B318,'38'!$B:$B,'38'!V:V,)</f>
        <v>UK</v>
      </c>
      <c r="W318" s="40">
        <f>_xlfn.XLOOKUP($B318,'38'!$B:$B,'38'!W:W,)</f>
        <v>0</v>
      </c>
    </row>
    <row r="319" spans="2:23">
      <c r="B319" s="39" t="s">
        <v>3215</v>
      </c>
      <c r="C319" s="40" t="str">
        <f>_xlfn.XLOOKUP($B319,'38'!$B:$B,'38'!C:C,)</f>
        <v>Recreation</v>
      </c>
      <c r="D319" s="40" t="str">
        <f>_xlfn.XLOOKUP($B319,'38'!$B:$B,'38'!D:D,)</f>
        <v>Fishing visits</v>
      </c>
      <c r="E319" s="40" t="str">
        <f>_xlfn.XLOOKUP($B319,'38'!$B:$B,'38'!E:E,)</f>
        <v>Local economy - trip-related expenditure</v>
      </c>
      <c r="F319" s="40">
        <f>_xlfn.XLOOKUP($B319,'38'!$B:$B,'38'!F:F,)</f>
        <v>2018</v>
      </c>
      <c r="G319" s="40">
        <f>_xlfn.XLOOKUP($B319,'38'!$B:$B,'38'!G:G,)</f>
        <v>2015</v>
      </c>
      <c r="H319" s="40">
        <f>_xlfn.XLOOKUP($B319,'38'!$B:$B,'38'!H:H,)</f>
        <v>2023</v>
      </c>
      <c r="I319" s="40">
        <f>_xlfn.XLOOKUP($B319,'38'!$B:$B,'38'!I:I,)</f>
        <v>78.255300000000005</v>
      </c>
      <c r="J319" s="40">
        <f>_xlfn.XLOOKUP($B319,'38'!$B:$B,'38'!J:J,)</f>
        <v>100</v>
      </c>
      <c r="K319" s="629">
        <f>_xlfn.XLOOKUP($B319,'38'!$B:$B,'38'!K:K,)</f>
        <v>-64.888888888888886</v>
      </c>
      <c r="L319" s="629">
        <f>_xlfn.XLOOKUP($B319,'38'!$B:$B,'38'!L:L,)</f>
        <v>-82.919481350002968</v>
      </c>
      <c r="M319" s="40" t="str">
        <f>_xlfn.XLOOKUP($B319,'38'!$B:$B,'38'!M:M,)</f>
        <v>Market valuation</v>
      </c>
      <c r="N319" s="326">
        <f>_xlfn.XLOOKUP($B319,'38'!$B:$B,'38'!N:N,)</f>
        <v>2.8333333333333335</v>
      </c>
      <c r="O319" s="40" t="str">
        <f>_xlfn.XLOOKUP($B319,'38'!$B:$B,'38'!O:O,)</f>
        <v>Yes</v>
      </c>
      <c r="P319" s="40" t="str">
        <f>_xlfn.XLOOKUP($B319,'38'!$B:$B,'38'!P:P,)</f>
        <v>Valuation used in WINEP 2021 methodology</v>
      </c>
      <c r="Q319" s="40">
        <f>_xlfn.XLOOKUP($B319,'38'!$B:$B,'38'!Q:Q,)</f>
        <v>50</v>
      </c>
      <c r="R319" s="40" t="str">
        <f>_xlfn.XLOOKUP($B319,'38'!$B:$B,'38'!R:R,)</f>
        <v>Outdoor Recreation Valuation Tool (ORVal: Version 2.0) (2018)</v>
      </c>
      <c r="S319" s="40" t="str">
        <f>_xlfn.XLOOKUP($B319,'38'!$B:$B,'38'!S:S,)</f>
        <v>ENCA</v>
      </c>
      <c r="T319" s="40">
        <f>_xlfn.XLOOKUP($B319,'38'!$B:$B,'38'!T:T,)</f>
        <v>2018</v>
      </c>
      <c r="U319" s="40" t="str">
        <f>_xlfn.XLOOKUP($B319,'38'!$B:$B,'38'!U:U,)</f>
        <v>UK</v>
      </c>
      <c r="V319" s="40" t="str">
        <f>_xlfn.XLOOKUP($B319,'38'!$B:$B,'38'!V:V,)</f>
        <v>UK</v>
      </c>
      <c r="W319" s="40">
        <f>_xlfn.XLOOKUP($B319,'38'!$B:$B,'38'!W:W,)</f>
        <v>0</v>
      </c>
    </row>
    <row r="320" spans="2:23">
      <c r="B320" s="39" t="s">
        <v>3220</v>
      </c>
      <c r="C320" s="40" t="str">
        <f>_xlfn.XLOOKUP($B320,'38'!$B:$B,'38'!C:C,)</f>
        <v>Recreation</v>
      </c>
      <c r="D320" s="40" t="str">
        <f>_xlfn.XLOOKUP($B320,'38'!$B:$B,'38'!D:D,)</f>
        <v>Recreational visits</v>
      </c>
      <c r="E320" s="40" t="str">
        <f>_xlfn.XLOOKUP($B320,'38'!$B:$B,'38'!E:E,)</f>
        <v>Local economy - avoidance of public health costs</v>
      </c>
      <c r="F320" s="40">
        <f>_xlfn.XLOOKUP($B320,'38'!$B:$B,'38'!F:F,)</f>
        <v>2024</v>
      </c>
      <c r="G320" s="40">
        <f>_xlfn.XLOOKUP($B320,'38'!$B:$B,'38'!G:G,)</f>
        <v>2022</v>
      </c>
      <c r="H320" s="40">
        <f>_xlfn.XLOOKUP($B320,'38'!$B:$B,'38'!H:H,)</f>
        <v>2023</v>
      </c>
      <c r="I320" s="40">
        <f>_xlfn.XLOOKUP($B320,'38'!$B:$B,'38'!I:I,)</f>
        <v>93.351699999999994</v>
      </c>
      <c r="J320" s="40">
        <f>_xlfn.XLOOKUP($B320,'38'!$B:$B,'38'!J:J,)</f>
        <v>100</v>
      </c>
      <c r="K320" s="629">
        <f>_xlfn.XLOOKUP($B320,'38'!$B:$B,'38'!K:K,)</f>
        <v>-3.52</v>
      </c>
      <c r="L320" s="629">
        <f>_xlfn.XLOOKUP($B320,'38'!$B:$B,'38'!L:L,)</f>
        <v>-3.7706865541816597</v>
      </c>
      <c r="M320" s="40" t="str">
        <f>_xlfn.XLOOKUP($B320,'38'!$B:$B,'38'!M:M,)</f>
        <v>Avoided cost</v>
      </c>
      <c r="N320" s="326">
        <f>_xlfn.XLOOKUP($B320,'38'!$B:$B,'38'!N:N,)</f>
        <v>3</v>
      </c>
      <c r="O320" s="40" t="str">
        <f>_xlfn.XLOOKUP($B320,'38'!$B:$B,'38'!O:O,)</f>
        <v>Yes</v>
      </c>
      <c r="P320" s="40" t="str">
        <f>_xlfn.XLOOKUP($B320,'38'!$B:$B,'38'!P:P,)</f>
        <v>QALY method has sufficient guidance on applying the valuation</v>
      </c>
      <c r="Q320" s="40">
        <f>_xlfn.XLOOKUP($B320,'38'!$B:$B,'38'!Q:Q,)</f>
        <v>2</v>
      </c>
      <c r="R320" s="40" t="str">
        <f>_xlfn.XLOOKUP($B320,'38'!$B:$B,'38'!R:R,)</f>
        <v>ENCA - Physical Health tab</v>
      </c>
      <c r="S320" s="40">
        <f>_xlfn.XLOOKUP($B320,'38'!$B:$B,'38'!S:S,)</f>
        <v>0</v>
      </c>
      <c r="T320" s="40">
        <f>_xlfn.XLOOKUP($B320,'38'!$B:$B,'38'!T:T,)</f>
        <v>2024</v>
      </c>
      <c r="U320" s="40" t="str">
        <f>_xlfn.XLOOKUP($B320,'38'!$B:$B,'38'!U:U,)</f>
        <v>UK</v>
      </c>
      <c r="V320" s="40" t="str">
        <f>_xlfn.XLOOKUP($B320,'38'!$B:$B,'38'!V:V,)</f>
        <v>UK</v>
      </c>
      <c r="W320" s="40">
        <f>_xlfn.XLOOKUP($B320,'38'!$B:$B,'38'!W:W,)</f>
        <v>0</v>
      </c>
    </row>
    <row r="321" spans="2:23">
      <c r="B321" s="39" t="s">
        <v>3221</v>
      </c>
      <c r="C321" s="40" t="str">
        <f>_xlfn.XLOOKUP($B321,'38'!$B:$B,'38'!C:C,)</f>
        <v>Recreation</v>
      </c>
      <c r="D321" s="40" t="str">
        <f>_xlfn.XLOOKUP($B321,'38'!$B:$B,'38'!D:D,)</f>
        <v>Fishing visits</v>
      </c>
      <c r="E321" s="40" t="str">
        <f>_xlfn.XLOOKUP($B321,'38'!$B:$B,'38'!E:E,)</f>
        <v>Local economy - avoidance of public health costs</v>
      </c>
      <c r="F321" s="40">
        <f>_xlfn.XLOOKUP($B321,'38'!$B:$B,'38'!F:F,)</f>
        <v>2024</v>
      </c>
      <c r="G321" s="40">
        <f>_xlfn.XLOOKUP($B321,'38'!$B:$B,'38'!G:G,)</f>
        <v>2022</v>
      </c>
      <c r="H321" s="40">
        <f>_xlfn.XLOOKUP($B321,'38'!$B:$B,'38'!H:H,)</f>
        <v>2023</v>
      </c>
      <c r="I321" s="40">
        <f>_xlfn.XLOOKUP($B321,'38'!$B:$B,'38'!I:I,)</f>
        <v>93.351699999999994</v>
      </c>
      <c r="J321" s="40">
        <f>_xlfn.XLOOKUP($B321,'38'!$B:$B,'38'!J:J,)</f>
        <v>100</v>
      </c>
      <c r="K321" s="629">
        <f>_xlfn.XLOOKUP($B321,'38'!$B:$B,'38'!K:K,)</f>
        <v>-3.52</v>
      </c>
      <c r="L321" s="629">
        <f>_xlfn.XLOOKUP($B321,'38'!$B:$B,'38'!L:L,)</f>
        <v>-3.7706865541816597</v>
      </c>
      <c r="M321" s="40" t="str">
        <f>_xlfn.XLOOKUP($B321,'38'!$B:$B,'38'!M:M,)</f>
        <v>Avoided cost</v>
      </c>
      <c r="N321" s="326">
        <f>_xlfn.XLOOKUP($B321,'38'!$B:$B,'38'!N:N,)</f>
        <v>3</v>
      </c>
      <c r="O321" s="40" t="str">
        <f>_xlfn.XLOOKUP($B321,'38'!$B:$B,'38'!O:O,)</f>
        <v>Yes</v>
      </c>
      <c r="P321" s="40" t="str">
        <f>_xlfn.XLOOKUP($B321,'38'!$B:$B,'38'!P:P,)</f>
        <v>QALY method has sufficient guidance on applying the valuation</v>
      </c>
      <c r="Q321" s="40">
        <f>_xlfn.XLOOKUP($B321,'38'!$B:$B,'38'!Q:Q,)</f>
        <v>2</v>
      </c>
      <c r="R321" s="40" t="str">
        <f>_xlfn.XLOOKUP($B321,'38'!$B:$B,'38'!R:R,)</f>
        <v>ENCA - Physical Health tab</v>
      </c>
      <c r="S321" s="40">
        <f>_xlfn.XLOOKUP($B321,'38'!$B:$B,'38'!S:S,)</f>
        <v>0</v>
      </c>
      <c r="T321" s="40">
        <f>_xlfn.XLOOKUP($B321,'38'!$B:$B,'38'!T:T,)</f>
        <v>2024</v>
      </c>
      <c r="U321" s="40" t="str">
        <f>_xlfn.XLOOKUP($B321,'38'!$B:$B,'38'!U:U,)</f>
        <v>UK</v>
      </c>
      <c r="V321" s="40" t="str">
        <f>_xlfn.XLOOKUP($B321,'38'!$B:$B,'38'!V:V,)</f>
        <v>UK</v>
      </c>
      <c r="W321" s="40">
        <f>_xlfn.XLOOKUP($B321,'38'!$B:$B,'38'!W:W,)</f>
        <v>0</v>
      </c>
    </row>
    <row r="322" spans="2:23">
      <c r="B322" s="39" t="s">
        <v>3228</v>
      </c>
      <c r="C322" s="40" t="str">
        <f>_xlfn.XLOOKUP($B322,'38'!$B:$B,'38'!C:C,)</f>
        <v>Recreation</v>
      </c>
      <c r="D322" s="40" t="str">
        <f>_xlfn.XLOOKUP($B322,'38'!$B:$B,'38'!D:D,)</f>
        <v>Recreational visits</v>
      </c>
      <c r="E322" s="40" t="str">
        <f>_xlfn.XLOOKUP($B322,'38'!$B:$B,'38'!E:E,)</f>
        <v>Health and wellbeing</v>
      </c>
      <c r="F322" s="40">
        <f>_xlfn.XLOOKUP($B322,'38'!$B:$B,'38'!F:F,)</f>
        <v>2018</v>
      </c>
      <c r="G322" s="40">
        <f>_xlfn.XLOOKUP($B322,'38'!$B:$B,'38'!G:G,)</f>
        <v>2018</v>
      </c>
      <c r="H322" s="40">
        <f>_xlfn.XLOOKUP($B322,'38'!$B:$B,'38'!H:H,)</f>
        <v>2023</v>
      </c>
      <c r="I322" s="40">
        <f>_xlfn.XLOOKUP($B322,'38'!$B:$B,'38'!I:I,)</f>
        <v>82.835999999999999</v>
      </c>
      <c r="J322" s="40">
        <f>_xlfn.XLOOKUP($B322,'38'!$B:$B,'38'!J:J,)</f>
        <v>100</v>
      </c>
      <c r="K322" s="629">
        <f>_xlfn.XLOOKUP($B322,'38'!$B:$B,'38'!K:K,)</f>
        <v>-8.4700000000000006</v>
      </c>
      <c r="L322" s="629">
        <f>_xlfn.XLOOKUP($B322,'38'!$B:$B,'38'!L:L,)</f>
        <v>-10.225022936887344</v>
      </c>
      <c r="M322" s="40" t="str">
        <f>_xlfn.XLOOKUP($B322,'38'!$B:$B,'38'!M:M,)</f>
        <v>Wellbeing valuation</v>
      </c>
      <c r="N322" s="326">
        <f>_xlfn.XLOOKUP($B322,'38'!$B:$B,'38'!N:N,)</f>
        <v>2.8333333333333335</v>
      </c>
      <c r="O322" s="40" t="str">
        <f>_xlfn.XLOOKUP($B322,'38'!$B:$B,'38'!O:O,)</f>
        <v>Yes</v>
      </c>
      <c r="P322" s="40" t="str">
        <f>_xlfn.XLOOKUP($B322,'38'!$B:$B,'38'!P:P,)</f>
        <v>EA study including information on what valuation represents</v>
      </c>
      <c r="Q322" s="40">
        <f>_xlfn.XLOOKUP($B322,'38'!$B:$B,'38'!Q:Q,)</f>
        <v>51</v>
      </c>
      <c r="R322" s="40" t="str">
        <f>_xlfn.XLOOKUP($B322,'38'!$B:$B,'38'!R:R,)</f>
        <v>Revaluing Parks and Green Spaces, Fields in trust</v>
      </c>
      <c r="S322" s="40" t="str">
        <f>_xlfn.XLOOKUP($B322,'38'!$B:$B,'38'!S:S,)</f>
        <v>B£ST</v>
      </c>
      <c r="T322" s="40">
        <f>_xlfn.XLOOKUP($B322,'38'!$B:$B,'38'!T:T,)</f>
        <v>2018</v>
      </c>
      <c r="U322" s="40" t="str">
        <f>_xlfn.XLOOKUP($B322,'38'!$B:$B,'38'!U:U,)</f>
        <v>UK</v>
      </c>
      <c r="V322" s="40" t="str">
        <f>_xlfn.XLOOKUP($B322,'38'!$B:$B,'38'!V:V,)</f>
        <v>UK</v>
      </c>
      <c r="W322" s="40">
        <f>_xlfn.XLOOKUP($B322,'38'!$B:$B,'38'!W:W,)</f>
        <v>0</v>
      </c>
    </row>
    <row r="323" spans="2:23">
      <c r="B323" s="39" t="s">
        <v>3229</v>
      </c>
      <c r="C323" s="40" t="str">
        <f>_xlfn.XLOOKUP($B323,'38'!$B:$B,'38'!C:C,)</f>
        <v>Recreation</v>
      </c>
      <c r="D323" s="40" t="str">
        <f>_xlfn.XLOOKUP($B323,'38'!$B:$B,'38'!D:D,)</f>
        <v>Fishing visits</v>
      </c>
      <c r="E323" s="40" t="str">
        <f>_xlfn.XLOOKUP($B323,'38'!$B:$B,'38'!E:E,)</f>
        <v>Health and wellbeing</v>
      </c>
      <c r="F323" s="40">
        <f>_xlfn.XLOOKUP($B323,'38'!$B:$B,'38'!F:F,)</f>
        <v>2018</v>
      </c>
      <c r="G323" s="40">
        <f>_xlfn.XLOOKUP($B323,'38'!$B:$B,'38'!G:G,)</f>
        <v>2018</v>
      </c>
      <c r="H323" s="40">
        <f>_xlfn.XLOOKUP($B323,'38'!$B:$B,'38'!H:H,)</f>
        <v>2023</v>
      </c>
      <c r="I323" s="40">
        <f>_xlfn.XLOOKUP($B323,'38'!$B:$B,'38'!I:I,)</f>
        <v>82.835999999999999</v>
      </c>
      <c r="J323" s="40">
        <f>_xlfn.XLOOKUP($B323,'38'!$B:$B,'38'!J:J,)</f>
        <v>100</v>
      </c>
      <c r="K323" s="629">
        <f>_xlfn.XLOOKUP($B323,'38'!$B:$B,'38'!K:K,)</f>
        <v>-8.4700000000000006</v>
      </c>
      <c r="L323" s="629">
        <f>_xlfn.XLOOKUP($B323,'38'!$B:$B,'38'!L:L,)</f>
        <v>-10.225022936887344</v>
      </c>
      <c r="M323" s="40" t="str">
        <f>_xlfn.XLOOKUP($B323,'38'!$B:$B,'38'!M:M,)</f>
        <v>Wellbeing valuation</v>
      </c>
      <c r="N323" s="326">
        <f>_xlfn.XLOOKUP($B323,'38'!$B:$B,'38'!N:N,)</f>
        <v>2.8333333333333335</v>
      </c>
      <c r="O323" s="40" t="str">
        <f>_xlfn.XLOOKUP($B323,'38'!$B:$B,'38'!O:O,)</f>
        <v>Yes</v>
      </c>
      <c r="P323" s="40" t="str">
        <f>_xlfn.XLOOKUP($B323,'38'!$B:$B,'38'!P:P,)</f>
        <v>EA study including information on what valuation represents</v>
      </c>
      <c r="Q323" s="40">
        <f>_xlfn.XLOOKUP($B323,'38'!$B:$B,'38'!Q:Q,)</f>
        <v>51</v>
      </c>
      <c r="R323" s="40" t="str">
        <f>_xlfn.XLOOKUP($B323,'38'!$B:$B,'38'!R:R,)</f>
        <v>Revaluing Parks and Green Spaces, Fields in trust</v>
      </c>
      <c r="S323" s="40" t="str">
        <f>_xlfn.XLOOKUP($B323,'38'!$B:$B,'38'!S:S,)</f>
        <v>B£ST</v>
      </c>
      <c r="T323" s="40">
        <f>_xlfn.XLOOKUP($B323,'38'!$B:$B,'38'!T:T,)</f>
        <v>2018</v>
      </c>
      <c r="U323" s="40" t="str">
        <f>_xlfn.XLOOKUP($B323,'38'!$B:$B,'38'!U:U,)</f>
        <v>UK</v>
      </c>
      <c r="V323" s="40" t="str">
        <f>_xlfn.XLOOKUP($B323,'38'!$B:$B,'38'!V:V,)</f>
        <v>UK</v>
      </c>
      <c r="W323" s="40">
        <f>_xlfn.XLOOKUP($B323,'38'!$B:$B,'38'!W:W,)</f>
        <v>0</v>
      </c>
    </row>
    <row r="324" spans="2:23">
      <c r="B324" s="39" t="s">
        <v>1902</v>
      </c>
      <c r="C324" s="40" t="str">
        <f>_xlfn.XLOOKUP($B324,'27'!$B:$B,'27'!C:C,)</f>
        <v>Quality of the water environment</v>
      </c>
      <c r="D324" s="40" t="str">
        <f>_xlfn.XLOOKUP($B324,'27'!$B:$B,'27'!D:D,)</f>
        <v>In class benefit on river quality</v>
      </c>
      <c r="E324" s="40" t="str">
        <f>_xlfn.XLOOKUP($B324,'27'!$B:$B,'27'!E:E,)</f>
        <v>Recreation</v>
      </c>
      <c r="F324" s="40">
        <f>_xlfn.XLOOKUP($B324,'27'!$B:$B,'27'!F:F,)</f>
        <v>2013</v>
      </c>
      <c r="G324" s="40">
        <f>_xlfn.XLOOKUP($B324,'27'!$B:$B,'27'!G:G,)</f>
        <v>2012</v>
      </c>
      <c r="H324" s="40">
        <f>_xlfn.XLOOKUP($B324,'27'!$B:$B,'27'!H:H,)</f>
        <v>2023</v>
      </c>
      <c r="I324" s="40">
        <f>_xlfn.XLOOKUP($B324,'27'!$B:$B,'27'!I:I,)</f>
        <v>75.139399999999995</v>
      </c>
      <c r="J324" s="40">
        <f>_xlfn.XLOOKUP($B324,'27'!$B:$B,'27'!J:J,)</f>
        <v>100</v>
      </c>
      <c r="K324" s="629">
        <f>_xlfn.XLOOKUP($B324,'27'!$B:$B,'27'!K:K,)</f>
        <v>-955.55555555555554</v>
      </c>
      <c r="L324" s="629">
        <f>_xlfn.XLOOKUP($B324,'27'!$B:$B,'27'!L:L,)</f>
        <v>-1271.7103883655654</v>
      </c>
      <c r="M324" s="40" t="str">
        <f>_xlfn.XLOOKUP($B324,'27'!$B:$B,'27'!M:M,)</f>
        <v>Willingness to Pay</v>
      </c>
      <c r="N324" s="326">
        <f>_xlfn.XLOOKUP($B324,'27'!$B:$B,'27'!N:N,)</f>
        <v>2.1428571428571401</v>
      </c>
      <c r="O324" s="40" t="str">
        <f>_xlfn.XLOOKUP($B324,'27'!$B:$B,'27'!O:O,)</f>
        <v>Yes</v>
      </c>
      <c r="P324" s="40" t="str">
        <f>_xlfn.XLOOKUP($B324,'27'!$B:$B,'27'!P:P,)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24" s="40">
        <f>_xlfn.XLOOKUP($B324,'27'!$B:$B,'27'!Q:Q,)</f>
        <v>1</v>
      </c>
      <c r="R324" s="40" t="str">
        <f>_xlfn.XLOOKUP($B324,'27'!$B:$B,'27'!R:R,)</f>
        <v>Environment Agency (2013) Updating the National Water Environment Benefit Survey values: summary of the peer review</v>
      </c>
      <c r="S324" s="40" t="str">
        <f>_xlfn.XLOOKUP($B324,'27'!$B:$B,'27'!S:S,)</f>
        <v>ENCA</v>
      </c>
      <c r="T324" s="40">
        <f>_xlfn.XLOOKUP($B324,'27'!$B:$B,'27'!T:T,)</f>
        <v>2013</v>
      </c>
      <c r="U324" s="40" t="str">
        <f>_xlfn.XLOOKUP($B324,'27'!$B:$B,'27'!U:U,)</f>
        <v>England and Wales</v>
      </c>
      <c r="V324" s="40" t="str">
        <f>_xlfn.XLOOKUP($B324,'27'!$B:$B,'27'!V:V,)</f>
        <v>National average</v>
      </c>
      <c r="W324" s="40">
        <f>_xlfn.XLOOKUP($B324,'27'!$B:$B,'27'!W:W,)</f>
        <v>100</v>
      </c>
    </row>
    <row r="325" spans="2:23">
      <c r="B325" s="39" t="s">
        <v>1903</v>
      </c>
      <c r="C325" s="40" t="str">
        <f>_xlfn.XLOOKUP($B325,'27'!$B:$B,'27'!C:C,)</f>
        <v>Quality of the water environment</v>
      </c>
      <c r="D325" s="40" t="str">
        <f>_xlfn.XLOOKUP($B325,'27'!$B:$B,'27'!D:D,)</f>
        <v>Length of river improved (bad to poor)</v>
      </c>
      <c r="E325" s="40" t="str">
        <f>_xlfn.XLOOKUP($B325,'27'!$B:$B,'27'!E:E,)</f>
        <v>Recreation</v>
      </c>
      <c r="F325" s="40">
        <f>_xlfn.XLOOKUP($B325,'27'!$B:$B,'27'!F:F,)</f>
        <v>2013</v>
      </c>
      <c r="G325" s="40">
        <f>_xlfn.XLOOKUP($B325,'27'!$B:$B,'27'!G:G,)</f>
        <v>2012</v>
      </c>
      <c r="H325" s="40">
        <f>_xlfn.XLOOKUP($B325,'27'!$B:$B,'27'!H:H,)</f>
        <v>2023</v>
      </c>
      <c r="I325" s="40">
        <f>_xlfn.XLOOKUP($B325,'27'!$B:$B,'27'!I:I,)</f>
        <v>75.139399999999995</v>
      </c>
      <c r="J325" s="40">
        <f>_xlfn.XLOOKUP($B325,'27'!$B:$B,'27'!J:J,)</f>
        <v>100</v>
      </c>
      <c r="K325" s="629">
        <f>_xlfn.XLOOKUP($B325,'27'!$B:$B,'27'!K:K,)</f>
        <v>-5800</v>
      </c>
      <c r="L325" s="629">
        <f>_xlfn.XLOOKUP($B325,'27'!$B:$B,'27'!L:L,)</f>
        <v>-7718.9863107770361</v>
      </c>
      <c r="M325" s="40" t="str">
        <f>_xlfn.XLOOKUP($B325,'27'!$B:$B,'27'!M:M,)</f>
        <v>Willingness to Pay</v>
      </c>
      <c r="N325" s="326">
        <f>_xlfn.XLOOKUP($B325,'27'!$B:$B,'27'!N:N,)</f>
        <v>2.1428571428571401</v>
      </c>
      <c r="O325" s="40" t="str">
        <f>_xlfn.XLOOKUP($B325,'27'!$B:$B,'27'!O:O,)</f>
        <v>Yes</v>
      </c>
      <c r="P325" s="40" t="str">
        <f>_xlfn.XLOOKUP($B325,'27'!$B:$B,'27'!P:P,)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25" s="40">
        <f>_xlfn.XLOOKUP($B325,'27'!$B:$B,'27'!Q:Q,)</f>
        <v>1</v>
      </c>
      <c r="R325" s="40" t="str">
        <f>_xlfn.XLOOKUP($B325,'27'!$B:$B,'27'!R:R,)</f>
        <v>Environment Agency (2013) Updating the National Water Environment Benefit Survey values: summary of the peer review</v>
      </c>
      <c r="S325" s="40" t="str">
        <f>_xlfn.XLOOKUP($B325,'27'!$B:$B,'27'!S:S,)</f>
        <v>ENCA</v>
      </c>
      <c r="T325" s="40">
        <f>_xlfn.XLOOKUP($B325,'27'!$B:$B,'27'!T:T,)</f>
        <v>2013</v>
      </c>
      <c r="U325" s="40" t="str">
        <f>_xlfn.XLOOKUP($B325,'27'!$B:$B,'27'!U:U,)</f>
        <v>England and Wales</v>
      </c>
      <c r="V325" s="40" t="str">
        <f>_xlfn.XLOOKUP($B325,'27'!$B:$B,'27'!V:V,)</f>
        <v>National average</v>
      </c>
      <c r="W325" s="40">
        <f>_xlfn.XLOOKUP($B325,'27'!$B:$B,'27'!W:W,)</f>
        <v>100</v>
      </c>
    </row>
    <row r="326" spans="2:23">
      <c r="B326" s="39" t="s">
        <v>1904</v>
      </c>
      <c r="C326" s="40" t="str">
        <f>_xlfn.XLOOKUP($B326,'27'!$B:$B,'27'!C:C,)</f>
        <v>Quality of the water environment</v>
      </c>
      <c r="D326" s="40" t="str">
        <f>_xlfn.XLOOKUP($B326,'27'!$B:$B,'27'!D:D,)</f>
        <v>Length of river improved (poor to moderate)</v>
      </c>
      <c r="E326" s="40" t="str">
        <f>_xlfn.XLOOKUP($B326,'27'!$B:$B,'27'!E:E,)</f>
        <v>Recreation</v>
      </c>
      <c r="F326" s="40">
        <f>_xlfn.XLOOKUP($B326,'27'!$B:$B,'27'!F:F,)</f>
        <v>2013</v>
      </c>
      <c r="G326" s="40">
        <f>_xlfn.XLOOKUP($B326,'27'!$B:$B,'27'!G:G,)</f>
        <v>2012</v>
      </c>
      <c r="H326" s="40">
        <f>_xlfn.XLOOKUP($B326,'27'!$B:$B,'27'!H:H,)</f>
        <v>2023</v>
      </c>
      <c r="I326" s="40">
        <f>_xlfn.XLOOKUP($B326,'27'!$B:$B,'27'!I:I,)</f>
        <v>75.139399999999995</v>
      </c>
      <c r="J326" s="40">
        <f>_xlfn.XLOOKUP($B326,'27'!$B:$B,'27'!J:J,)</f>
        <v>100</v>
      </c>
      <c r="K326" s="629">
        <f>_xlfn.XLOOKUP($B326,'27'!$B:$B,'27'!K:K,)</f>
        <v>-6666.666666666667</v>
      </c>
      <c r="L326" s="629">
        <f>_xlfn.XLOOKUP($B326,'27'!$B:$B,'27'!L:L,)</f>
        <v>-8872.3980583644097</v>
      </c>
      <c r="M326" s="40" t="str">
        <f>_xlfn.XLOOKUP($B326,'27'!$B:$B,'27'!M:M,)</f>
        <v>Willingness to Pay</v>
      </c>
      <c r="N326" s="326">
        <f>_xlfn.XLOOKUP($B326,'27'!$B:$B,'27'!N:N,)</f>
        <v>2.1428571428571401</v>
      </c>
      <c r="O326" s="40" t="str">
        <f>_xlfn.XLOOKUP($B326,'27'!$B:$B,'27'!O:O,)</f>
        <v>Yes</v>
      </c>
      <c r="P326" s="40" t="str">
        <f>_xlfn.XLOOKUP($B326,'27'!$B:$B,'27'!P:P,)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26" s="40">
        <f>_xlfn.XLOOKUP($B326,'27'!$B:$B,'27'!Q:Q,)</f>
        <v>1</v>
      </c>
      <c r="R326" s="40" t="str">
        <f>_xlfn.XLOOKUP($B326,'27'!$B:$B,'27'!R:R,)</f>
        <v>Environment Agency (2013) Updating the National Water Environment Benefit Survey values: summary of the peer review</v>
      </c>
      <c r="S326" s="40" t="str">
        <f>_xlfn.XLOOKUP($B326,'27'!$B:$B,'27'!S:S,)</f>
        <v>ENCA</v>
      </c>
      <c r="T326" s="40">
        <f>_xlfn.XLOOKUP($B326,'27'!$B:$B,'27'!T:T,)</f>
        <v>2013</v>
      </c>
      <c r="U326" s="40" t="str">
        <f>_xlfn.XLOOKUP($B326,'27'!$B:$B,'27'!U:U,)</f>
        <v>England and Wales</v>
      </c>
      <c r="V326" s="40" t="str">
        <f>_xlfn.XLOOKUP($B326,'27'!$B:$B,'27'!V:V,)</f>
        <v>National average</v>
      </c>
      <c r="W326" s="40">
        <f>_xlfn.XLOOKUP($B326,'27'!$B:$B,'27'!W:W,)</f>
        <v>100</v>
      </c>
    </row>
    <row r="327" spans="2:23">
      <c r="B327" s="39" t="s">
        <v>1905</v>
      </c>
      <c r="C327" s="40" t="str">
        <f>_xlfn.XLOOKUP($B327,'27'!$B:$B,'27'!C:C,)</f>
        <v>Quality of the water environment</v>
      </c>
      <c r="D327" s="40" t="str">
        <f>_xlfn.XLOOKUP($B327,'27'!$B:$B,'27'!D:D,)</f>
        <v>Length of river improved (moderate to good)</v>
      </c>
      <c r="E327" s="40" t="str">
        <f>_xlfn.XLOOKUP($B327,'27'!$B:$B,'27'!E:E,)</f>
        <v>Recreation</v>
      </c>
      <c r="F327" s="40">
        <f>_xlfn.XLOOKUP($B327,'27'!$B:$B,'27'!F:F,)</f>
        <v>2013</v>
      </c>
      <c r="G327" s="40">
        <f>_xlfn.XLOOKUP($B327,'27'!$B:$B,'27'!G:G,)</f>
        <v>2012</v>
      </c>
      <c r="H327" s="40">
        <f>_xlfn.XLOOKUP($B327,'27'!$B:$B,'27'!H:H,)</f>
        <v>2023</v>
      </c>
      <c r="I327" s="40">
        <f>_xlfn.XLOOKUP($B327,'27'!$B:$B,'27'!I:I,)</f>
        <v>75.139399999999995</v>
      </c>
      <c r="J327" s="40">
        <f>_xlfn.XLOOKUP($B327,'27'!$B:$B,'27'!J:J,)</f>
        <v>100</v>
      </c>
      <c r="K327" s="629">
        <f>_xlfn.XLOOKUP($B327,'27'!$B:$B,'27'!K:K,)</f>
        <v>-7733.333333333333</v>
      </c>
      <c r="L327" s="629">
        <f>_xlfn.XLOOKUP($B327,'27'!$B:$B,'27'!L:L,)</f>
        <v>-10291.981747702715</v>
      </c>
      <c r="M327" s="40" t="str">
        <f>_xlfn.XLOOKUP($B327,'27'!$B:$B,'27'!M:M,)</f>
        <v>Willingness to Pay</v>
      </c>
      <c r="N327" s="326">
        <f>_xlfn.XLOOKUP($B327,'27'!$B:$B,'27'!N:N,)</f>
        <v>2.1428571428571401</v>
      </c>
      <c r="O327" s="40" t="str">
        <f>_xlfn.XLOOKUP($B327,'27'!$B:$B,'27'!O:O,)</f>
        <v>Yes</v>
      </c>
      <c r="P327" s="40" t="str">
        <f>_xlfn.XLOOKUP($B327,'27'!$B:$B,'27'!P:P,)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27" s="40">
        <f>_xlfn.XLOOKUP($B327,'27'!$B:$B,'27'!Q:Q,)</f>
        <v>1</v>
      </c>
      <c r="R327" s="40" t="str">
        <f>_xlfn.XLOOKUP($B327,'27'!$B:$B,'27'!R:R,)</f>
        <v>Environment Agency (2013) Updating the National Water Environment Benefit Survey values: summary of the peer review</v>
      </c>
      <c r="S327" s="40" t="str">
        <f>_xlfn.XLOOKUP($B327,'27'!$B:$B,'27'!S:S,)</f>
        <v>ENCA</v>
      </c>
      <c r="T327" s="40">
        <f>_xlfn.XLOOKUP($B327,'27'!$B:$B,'27'!T:T,)</f>
        <v>2013</v>
      </c>
      <c r="U327" s="40" t="str">
        <f>_xlfn.XLOOKUP($B327,'27'!$B:$B,'27'!U:U,)</f>
        <v>England and Wales</v>
      </c>
      <c r="V327" s="40" t="str">
        <f>_xlfn.XLOOKUP($B327,'27'!$B:$B,'27'!V:V,)</f>
        <v>National average</v>
      </c>
      <c r="W327" s="40">
        <f>_xlfn.XLOOKUP($B327,'27'!$B:$B,'27'!W:W,)</f>
        <v>100</v>
      </c>
    </row>
    <row r="328" spans="2:23">
      <c r="B328" s="39" t="s">
        <v>1906</v>
      </c>
      <c r="C328" s="40" t="str">
        <f>_xlfn.XLOOKUP($B328,'27'!$B:$B,'27'!C:C,)</f>
        <v>Quality of the water environment</v>
      </c>
      <c r="D328" s="40" t="str">
        <f>_xlfn.XLOOKUP($B328,'27'!$B:$B,'27'!D:D,)</f>
        <v>Length of river improved (good to high)</v>
      </c>
      <c r="E328" s="40" t="str">
        <f>_xlfn.XLOOKUP($B328,'27'!$B:$B,'27'!E:E,)</f>
        <v>Recreation</v>
      </c>
      <c r="F328" s="40">
        <f>_xlfn.XLOOKUP($B328,'27'!$B:$B,'27'!F:F,)</f>
        <v>2013</v>
      </c>
      <c r="G328" s="40">
        <f>_xlfn.XLOOKUP($B328,'27'!$B:$B,'27'!G:G,)</f>
        <v>2012</v>
      </c>
      <c r="H328" s="40">
        <f>_xlfn.XLOOKUP($B328,'27'!$B:$B,'27'!H:H,)</f>
        <v>2023</v>
      </c>
      <c r="I328" s="40">
        <f>_xlfn.XLOOKUP($B328,'27'!$B:$B,'27'!I:I,)</f>
        <v>75.139399999999995</v>
      </c>
      <c r="J328" s="40">
        <f>_xlfn.XLOOKUP($B328,'27'!$B:$B,'27'!J:J,)</f>
        <v>100</v>
      </c>
      <c r="K328" s="629">
        <f>_xlfn.XLOOKUP($B328,'27'!$B:$B,'27'!K:K,)</f>
        <v>-8666.6666666666661</v>
      </c>
      <c r="L328" s="629">
        <f>_xlfn.XLOOKUP($B328,'27'!$B:$B,'27'!L:L,)</f>
        <v>-11534.117475873731</v>
      </c>
      <c r="M328" s="40" t="str">
        <f>_xlfn.XLOOKUP($B328,'27'!$B:$B,'27'!M:M,)</f>
        <v>Willingness to Pay</v>
      </c>
      <c r="N328" s="326">
        <f>_xlfn.XLOOKUP($B328,'27'!$B:$B,'27'!N:N,)</f>
        <v>2.1428571428571401</v>
      </c>
      <c r="O328" s="40" t="str">
        <f>_xlfn.XLOOKUP($B328,'27'!$B:$B,'27'!O:O,)</f>
        <v>Yes</v>
      </c>
      <c r="P328" s="40" t="str">
        <f>_xlfn.XLOOKUP($B328,'27'!$B:$B,'27'!P:P,)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28" s="40">
        <f>_xlfn.XLOOKUP($B328,'27'!$B:$B,'27'!Q:Q,)</f>
        <v>1</v>
      </c>
      <c r="R328" s="40" t="str">
        <f>_xlfn.XLOOKUP($B328,'27'!$B:$B,'27'!R:R,)</f>
        <v>Environment Agency (2013) Updating the National Water Environment Benefit Survey values: summary of the peer review</v>
      </c>
      <c r="S328" s="40" t="str">
        <f>_xlfn.XLOOKUP($B328,'27'!$B:$B,'27'!S:S,)</f>
        <v>ENCA</v>
      </c>
      <c r="T328" s="40">
        <f>_xlfn.XLOOKUP($B328,'27'!$B:$B,'27'!T:T,)</f>
        <v>2013</v>
      </c>
      <c r="U328" s="40" t="str">
        <f>_xlfn.XLOOKUP($B328,'27'!$B:$B,'27'!U:U,)</f>
        <v>England and Wales</v>
      </c>
      <c r="V328" s="40" t="str">
        <f>_xlfn.XLOOKUP($B328,'27'!$B:$B,'27'!V:V,)</f>
        <v>National average</v>
      </c>
      <c r="W328" s="40">
        <f>_xlfn.XLOOKUP($B328,'27'!$B:$B,'27'!W:W,)</f>
        <v>100</v>
      </c>
    </row>
    <row r="329" spans="2:23">
      <c r="B329" s="39" t="s">
        <v>1907</v>
      </c>
      <c r="C329" s="40" t="str">
        <f>_xlfn.XLOOKUP($B329,'27'!$B:$B,'27'!C:C,)</f>
        <v>Quality of the water environment</v>
      </c>
      <c r="D329" s="40" t="str">
        <f>_xlfn.XLOOKUP($B329,'27'!$B:$B,'27'!D:D,)</f>
        <v>In class benefit on river quality</v>
      </c>
      <c r="E329" s="40" t="str">
        <f>_xlfn.XLOOKUP($B329,'27'!$B:$B,'27'!E:E,)</f>
        <v>Biodiversity</v>
      </c>
      <c r="F329" s="40">
        <f>_xlfn.XLOOKUP($B329,'27'!$B:$B,'27'!F:F,)</f>
        <v>2013</v>
      </c>
      <c r="G329" s="40">
        <f>_xlfn.XLOOKUP($B329,'27'!$B:$B,'27'!G:G,)</f>
        <v>2012</v>
      </c>
      <c r="H329" s="40">
        <f>_xlfn.XLOOKUP($B329,'27'!$B:$B,'27'!H:H,)</f>
        <v>2023</v>
      </c>
      <c r="I329" s="40">
        <f>_xlfn.XLOOKUP($B329,'27'!$B:$B,'27'!I:I,)</f>
        <v>75.139399999999995</v>
      </c>
      <c r="J329" s="40">
        <f>_xlfn.XLOOKUP($B329,'27'!$B:$B,'27'!J:J,)</f>
        <v>100</v>
      </c>
      <c r="K329" s="629">
        <f>_xlfn.XLOOKUP($B329,'27'!$B:$B,'27'!K:K,)</f>
        <v>-955.55555555555554</v>
      </c>
      <c r="L329" s="629">
        <f>_xlfn.XLOOKUP($B329,'27'!$B:$B,'27'!L:L,)</f>
        <v>-1271.7103883655654</v>
      </c>
      <c r="M329" s="40" t="str">
        <f>_xlfn.XLOOKUP($B329,'27'!$B:$B,'27'!M:M,)</f>
        <v>Willingness to Pay</v>
      </c>
      <c r="N329" s="326">
        <f>_xlfn.XLOOKUP($B329,'27'!$B:$B,'27'!N:N,)</f>
        <v>2.1428571428571401</v>
      </c>
      <c r="O329" s="40" t="str">
        <f>_xlfn.XLOOKUP($B329,'27'!$B:$B,'27'!O:O,)</f>
        <v>Yes</v>
      </c>
      <c r="P329" s="40" t="str">
        <f>_xlfn.XLOOKUP($B329,'27'!$B:$B,'27'!P:P,)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29" s="40">
        <f>_xlfn.XLOOKUP($B329,'27'!$B:$B,'27'!Q:Q,)</f>
        <v>1</v>
      </c>
      <c r="R329" s="40" t="str">
        <f>_xlfn.XLOOKUP($B329,'27'!$B:$B,'27'!R:R,)</f>
        <v>Environment Agency (2013) Updating the National Water Environment Benefit Survey values: summary of the peer review</v>
      </c>
      <c r="S329" s="40" t="str">
        <f>_xlfn.XLOOKUP($B329,'27'!$B:$B,'27'!S:S,)</f>
        <v>ENCA</v>
      </c>
      <c r="T329" s="40">
        <f>_xlfn.XLOOKUP($B329,'27'!$B:$B,'27'!T:T,)</f>
        <v>2013</v>
      </c>
      <c r="U329" s="40" t="str">
        <f>_xlfn.XLOOKUP($B329,'27'!$B:$B,'27'!U:U,)</f>
        <v>England and Wales</v>
      </c>
      <c r="V329" s="40" t="str">
        <f>_xlfn.XLOOKUP($B329,'27'!$B:$B,'27'!V:V,)</f>
        <v>National average</v>
      </c>
      <c r="W329" s="40">
        <f>_xlfn.XLOOKUP($B329,'27'!$B:$B,'27'!W:W,)</f>
        <v>100</v>
      </c>
    </row>
    <row r="330" spans="2:23">
      <c r="B330" s="39" t="s">
        <v>1908</v>
      </c>
      <c r="C330" s="40" t="str">
        <f>_xlfn.XLOOKUP($B330,'27'!$B:$B,'27'!C:C,)</f>
        <v>Quality of the water environment</v>
      </c>
      <c r="D330" s="40" t="str">
        <f>_xlfn.XLOOKUP($B330,'27'!$B:$B,'27'!D:D,)</f>
        <v>Length of river improved (bad to poor)</v>
      </c>
      <c r="E330" s="40" t="str">
        <f>_xlfn.XLOOKUP($B330,'27'!$B:$B,'27'!E:E,)</f>
        <v>Biodiversity</v>
      </c>
      <c r="F330" s="40">
        <f>_xlfn.XLOOKUP($B330,'27'!$B:$B,'27'!F:F,)</f>
        <v>2013</v>
      </c>
      <c r="G330" s="40">
        <f>_xlfn.XLOOKUP($B330,'27'!$B:$B,'27'!G:G,)</f>
        <v>2012</v>
      </c>
      <c r="H330" s="40">
        <f>_xlfn.XLOOKUP($B330,'27'!$B:$B,'27'!H:H,)</f>
        <v>2023</v>
      </c>
      <c r="I330" s="40">
        <f>_xlfn.XLOOKUP($B330,'27'!$B:$B,'27'!I:I,)</f>
        <v>75.139399999999995</v>
      </c>
      <c r="J330" s="40">
        <f>_xlfn.XLOOKUP($B330,'27'!$B:$B,'27'!J:J,)</f>
        <v>100</v>
      </c>
      <c r="K330" s="629">
        <f>_xlfn.XLOOKUP($B330,'27'!$B:$B,'27'!K:K,)</f>
        <v>-5800</v>
      </c>
      <c r="L330" s="629">
        <f>_xlfn.XLOOKUP($B330,'27'!$B:$B,'27'!L:L,)</f>
        <v>-7718.9863107770361</v>
      </c>
      <c r="M330" s="40" t="str">
        <f>_xlfn.XLOOKUP($B330,'27'!$B:$B,'27'!M:M,)</f>
        <v>Willingness to Pay</v>
      </c>
      <c r="N330" s="326">
        <f>_xlfn.XLOOKUP($B330,'27'!$B:$B,'27'!N:N,)</f>
        <v>2.1428571428571401</v>
      </c>
      <c r="O330" s="40" t="str">
        <f>_xlfn.XLOOKUP($B330,'27'!$B:$B,'27'!O:O,)</f>
        <v>Yes</v>
      </c>
      <c r="P330" s="40" t="str">
        <f>_xlfn.XLOOKUP($B330,'27'!$B:$B,'27'!P:P,)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0" s="40">
        <f>_xlfn.XLOOKUP($B330,'27'!$B:$B,'27'!Q:Q,)</f>
        <v>1</v>
      </c>
      <c r="R330" s="40" t="str">
        <f>_xlfn.XLOOKUP($B330,'27'!$B:$B,'27'!R:R,)</f>
        <v>Environment Agency (2013) Updating the National Water Environment Benefit Survey values: summary of the peer review</v>
      </c>
      <c r="S330" s="40" t="str">
        <f>_xlfn.XLOOKUP($B330,'27'!$B:$B,'27'!S:S,)</f>
        <v>ENCA</v>
      </c>
      <c r="T330" s="40">
        <f>_xlfn.XLOOKUP($B330,'27'!$B:$B,'27'!T:T,)</f>
        <v>2013</v>
      </c>
      <c r="U330" s="40" t="str">
        <f>_xlfn.XLOOKUP($B330,'27'!$B:$B,'27'!U:U,)</f>
        <v>England and Wales</v>
      </c>
      <c r="V330" s="40" t="str">
        <f>_xlfn.XLOOKUP($B330,'27'!$B:$B,'27'!V:V,)</f>
        <v>National average</v>
      </c>
      <c r="W330" s="40">
        <f>_xlfn.XLOOKUP($B330,'27'!$B:$B,'27'!W:W,)</f>
        <v>100</v>
      </c>
    </row>
    <row r="331" spans="2:23">
      <c r="B331" s="39" t="s">
        <v>1909</v>
      </c>
      <c r="C331" s="40" t="str">
        <f>_xlfn.XLOOKUP($B331,'27'!$B:$B,'27'!C:C,)</f>
        <v>Quality of the water environment</v>
      </c>
      <c r="D331" s="40" t="str">
        <f>_xlfn.XLOOKUP($B331,'27'!$B:$B,'27'!D:D,)</f>
        <v>Length of river improved (poor to moderate)</v>
      </c>
      <c r="E331" s="40" t="str">
        <f>_xlfn.XLOOKUP($B331,'27'!$B:$B,'27'!E:E,)</f>
        <v>Biodiversity</v>
      </c>
      <c r="F331" s="40">
        <f>_xlfn.XLOOKUP($B331,'27'!$B:$B,'27'!F:F,)</f>
        <v>2013</v>
      </c>
      <c r="G331" s="40">
        <f>_xlfn.XLOOKUP($B331,'27'!$B:$B,'27'!G:G,)</f>
        <v>2012</v>
      </c>
      <c r="H331" s="40">
        <f>_xlfn.XLOOKUP($B331,'27'!$B:$B,'27'!H:H,)</f>
        <v>2023</v>
      </c>
      <c r="I331" s="40">
        <f>_xlfn.XLOOKUP($B331,'27'!$B:$B,'27'!I:I,)</f>
        <v>75.139399999999995</v>
      </c>
      <c r="J331" s="40">
        <f>_xlfn.XLOOKUP($B331,'27'!$B:$B,'27'!J:J,)</f>
        <v>100</v>
      </c>
      <c r="K331" s="629">
        <f>_xlfn.XLOOKUP($B331,'27'!$B:$B,'27'!K:K,)</f>
        <v>-6666.666666666667</v>
      </c>
      <c r="L331" s="629">
        <f>_xlfn.XLOOKUP($B331,'27'!$B:$B,'27'!L:L,)</f>
        <v>-8872.3980583644097</v>
      </c>
      <c r="M331" s="40" t="str">
        <f>_xlfn.XLOOKUP($B331,'27'!$B:$B,'27'!M:M,)</f>
        <v>Willingness to Pay</v>
      </c>
      <c r="N331" s="326">
        <f>_xlfn.XLOOKUP($B331,'27'!$B:$B,'27'!N:N,)</f>
        <v>2.1428571428571401</v>
      </c>
      <c r="O331" s="40" t="str">
        <f>_xlfn.XLOOKUP($B331,'27'!$B:$B,'27'!O:O,)</f>
        <v>Yes</v>
      </c>
      <c r="P331" s="40" t="str">
        <f>_xlfn.XLOOKUP($B331,'27'!$B:$B,'27'!P:P,)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1" s="40">
        <f>_xlfn.XLOOKUP($B331,'27'!$B:$B,'27'!Q:Q,)</f>
        <v>1</v>
      </c>
      <c r="R331" s="40" t="str">
        <f>_xlfn.XLOOKUP($B331,'27'!$B:$B,'27'!R:R,)</f>
        <v>Environment Agency (2013) Updating the National Water Environment Benefit Survey values: summary of the peer review</v>
      </c>
      <c r="S331" s="40" t="str">
        <f>_xlfn.XLOOKUP($B331,'27'!$B:$B,'27'!S:S,)</f>
        <v>ENCA</v>
      </c>
      <c r="T331" s="40">
        <f>_xlfn.XLOOKUP($B331,'27'!$B:$B,'27'!T:T,)</f>
        <v>2013</v>
      </c>
      <c r="U331" s="40" t="str">
        <f>_xlfn.XLOOKUP($B331,'27'!$B:$B,'27'!U:U,)</f>
        <v>England and Wales</v>
      </c>
      <c r="V331" s="40" t="str">
        <f>_xlfn.XLOOKUP($B331,'27'!$B:$B,'27'!V:V,)</f>
        <v>National average</v>
      </c>
      <c r="W331" s="40">
        <f>_xlfn.XLOOKUP($B331,'27'!$B:$B,'27'!W:W,)</f>
        <v>100</v>
      </c>
    </row>
    <row r="332" spans="2:23">
      <c r="B332" s="39" t="s">
        <v>1910</v>
      </c>
      <c r="C332" s="40" t="str">
        <f>_xlfn.XLOOKUP($B332,'27'!$B:$B,'27'!C:C,)</f>
        <v>Quality of the water environment</v>
      </c>
      <c r="D332" s="40" t="str">
        <f>_xlfn.XLOOKUP($B332,'27'!$B:$B,'27'!D:D,)</f>
        <v>Length of river improved (moderate to good)</v>
      </c>
      <c r="E332" s="40" t="str">
        <f>_xlfn.XLOOKUP($B332,'27'!$B:$B,'27'!E:E,)</f>
        <v>Biodiversity</v>
      </c>
      <c r="F332" s="40">
        <f>_xlfn.XLOOKUP($B332,'27'!$B:$B,'27'!F:F,)</f>
        <v>2013</v>
      </c>
      <c r="G332" s="40">
        <f>_xlfn.XLOOKUP($B332,'27'!$B:$B,'27'!G:G,)</f>
        <v>2012</v>
      </c>
      <c r="H332" s="40">
        <f>_xlfn.XLOOKUP($B332,'27'!$B:$B,'27'!H:H,)</f>
        <v>2023</v>
      </c>
      <c r="I332" s="40">
        <f>_xlfn.XLOOKUP($B332,'27'!$B:$B,'27'!I:I,)</f>
        <v>75.139399999999995</v>
      </c>
      <c r="J332" s="40">
        <f>_xlfn.XLOOKUP($B332,'27'!$B:$B,'27'!J:J,)</f>
        <v>100</v>
      </c>
      <c r="K332" s="629">
        <f>_xlfn.XLOOKUP($B332,'27'!$B:$B,'27'!K:K,)</f>
        <v>-7733.333333333333</v>
      </c>
      <c r="L332" s="629">
        <f>_xlfn.XLOOKUP($B332,'27'!$B:$B,'27'!L:L,)</f>
        <v>-10291.981747702715</v>
      </c>
      <c r="M332" s="40" t="str">
        <f>_xlfn.XLOOKUP($B332,'27'!$B:$B,'27'!M:M,)</f>
        <v>Willingness to Pay</v>
      </c>
      <c r="N332" s="326">
        <f>_xlfn.XLOOKUP($B332,'27'!$B:$B,'27'!N:N,)</f>
        <v>2.1428571428571401</v>
      </c>
      <c r="O332" s="40" t="str">
        <f>_xlfn.XLOOKUP($B332,'27'!$B:$B,'27'!O:O,)</f>
        <v>Yes</v>
      </c>
      <c r="P332" s="40" t="str">
        <f>_xlfn.XLOOKUP($B332,'27'!$B:$B,'27'!P:P,)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2" s="40">
        <f>_xlfn.XLOOKUP($B332,'27'!$B:$B,'27'!Q:Q,)</f>
        <v>1</v>
      </c>
      <c r="R332" s="40" t="str">
        <f>_xlfn.XLOOKUP($B332,'27'!$B:$B,'27'!R:R,)</f>
        <v>Environment Agency (2013) Updating the National Water Environment Benefit Survey values: summary of the peer review</v>
      </c>
      <c r="S332" s="40" t="str">
        <f>_xlfn.XLOOKUP($B332,'27'!$B:$B,'27'!S:S,)</f>
        <v>ENCA</v>
      </c>
      <c r="T332" s="40">
        <f>_xlfn.XLOOKUP($B332,'27'!$B:$B,'27'!T:T,)</f>
        <v>2013</v>
      </c>
      <c r="U332" s="40" t="str">
        <f>_xlfn.XLOOKUP($B332,'27'!$B:$B,'27'!U:U,)</f>
        <v>England and Wales</v>
      </c>
      <c r="V332" s="40" t="str">
        <f>_xlfn.XLOOKUP($B332,'27'!$B:$B,'27'!V:V,)</f>
        <v>National average</v>
      </c>
      <c r="W332" s="40">
        <f>_xlfn.XLOOKUP($B332,'27'!$B:$B,'27'!W:W,)</f>
        <v>100</v>
      </c>
    </row>
    <row r="333" spans="2:23">
      <c r="B333" s="39" t="s">
        <v>1911</v>
      </c>
      <c r="C333" s="40" t="str">
        <f>_xlfn.XLOOKUP($B333,'27'!$B:$B,'27'!C:C,)</f>
        <v>Quality of the water environment</v>
      </c>
      <c r="D333" s="40" t="str">
        <f>_xlfn.XLOOKUP($B333,'27'!$B:$B,'27'!D:D,)</f>
        <v>Length of river improved (good to high)</v>
      </c>
      <c r="E333" s="40" t="str">
        <f>_xlfn.XLOOKUP($B333,'27'!$B:$B,'27'!E:E,)</f>
        <v>Biodiversity</v>
      </c>
      <c r="F333" s="40">
        <f>_xlfn.XLOOKUP($B333,'27'!$B:$B,'27'!F:F,)</f>
        <v>2013</v>
      </c>
      <c r="G333" s="40">
        <f>_xlfn.XLOOKUP($B333,'27'!$B:$B,'27'!G:G,)</f>
        <v>2012</v>
      </c>
      <c r="H333" s="40">
        <f>_xlfn.XLOOKUP($B333,'27'!$B:$B,'27'!H:H,)</f>
        <v>2023</v>
      </c>
      <c r="I333" s="40">
        <f>_xlfn.XLOOKUP($B333,'27'!$B:$B,'27'!I:I,)</f>
        <v>75.139399999999995</v>
      </c>
      <c r="J333" s="40">
        <f>_xlfn.XLOOKUP($B333,'27'!$B:$B,'27'!J:J,)</f>
        <v>100</v>
      </c>
      <c r="K333" s="629">
        <f>_xlfn.XLOOKUP($B333,'27'!$B:$B,'27'!K:K,)</f>
        <v>-8666.6666666666661</v>
      </c>
      <c r="L333" s="629">
        <f>_xlfn.XLOOKUP($B333,'27'!$B:$B,'27'!L:L,)</f>
        <v>-11534.117475873731</v>
      </c>
      <c r="M333" s="40" t="str">
        <f>_xlfn.XLOOKUP($B333,'27'!$B:$B,'27'!M:M,)</f>
        <v>Willingness to Pay</v>
      </c>
      <c r="N333" s="326">
        <f>_xlfn.XLOOKUP($B333,'27'!$B:$B,'27'!N:N,)</f>
        <v>2.1428571428571401</v>
      </c>
      <c r="O333" s="40" t="str">
        <f>_xlfn.XLOOKUP($B333,'27'!$B:$B,'27'!O:O,)</f>
        <v>Yes</v>
      </c>
      <c r="P333" s="40" t="str">
        <f>_xlfn.XLOOKUP($B333,'27'!$B:$B,'27'!P:P,)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3" s="40">
        <f>_xlfn.XLOOKUP($B333,'27'!$B:$B,'27'!Q:Q,)</f>
        <v>1</v>
      </c>
      <c r="R333" s="40" t="str">
        <f>_xlfn.XLOOKUP($B333,'27'!$B:$B,'27'!R:R,)</f>
        <v>Environment Agency (2013) Updating the National Water Environment Benefit Survey values: summary of the peer review</v>
      </c>
      <c r="S333" s="40" t="str">
        <f>_xlfn.XLOOKUP($B333,'27'!$B:$B,'27'!S:S,)</f>
        <v>ENCA</v>
      </c>
      <c r="T333" s="40">
        <f>_xlfn.XLOOKUP($B333,'27'!$B:$B,'27'!T:T,)</f>
        <v>2013</v>
      </c>
      <c r="U333" s="40" t="str">
        <f>_xlfn.XLOOKUP($B333,'27'!$B:$B,'27'!U:U,)</f>
        <v>England and Wales</v>
      </c>
      <c r="V333" s="40" t="str">
        <f>_xlfn.XLOOKUP($B333,'27'!$B:$B,'27'!V:V,)</f>
        <v>National average</v>
      </c>
      <c r="W333" s="40">
        <f>_xlfn.XLOOKUP($B333,'27'!$B:$B,'27'!W:W,)</f>
        <v>100</v>
      </c>
    </row>
    <row r="334" spans="2:23">
      <c r="B334" s="39" t="s">
        <v>1912</v>
      </c>
      <c r="C334" s="40" t="str">
        <f>_xlfn.XLOOKUP($B334,'27'!$B:$B,'27'!C:C,)</f>
        <v>Quality of the water environment</v>
      </c>
      <c r="D334" s="40" t="str">
        <f>_xlfn.XLOOKUP($B334,'27'!$B:$B,'27'!D:D,)</f>
        <v>In class benefit on river quality</v>
      </c>
      <c r="E334" s="40" t="str">
        <f>_xlfn.XLOOKUP($B334,'27'!$B:$B,'27'!E:E,)</f>
        <v>Quality of place</v>
      </c>
      <c r="F334" s="40">
        <f>_xlfn.XLOOKUP($B334,'27'!$B:$B,'27'!F:F,)</f>
        <v>2013</v>
      </c>
      <c r="G334" s="40">
        <f>_xlfn.XLOOKUP($B334,'27'!$B:$B,'27'!G:G,)</f>
        <v>2012</v>
      </c>
      <c r="H334" s="40">
        <f>_xlfn.XLOOKUP($B334,'27'!$B:$B,'27'!H:H,)</f>
        <v>2023</v>
      </c>
      <c r="I334" s="40">
        <f>_xlfn.XLOOKUP($B334,'27'!$B:$B,'27'!I:I,)</f>
        <v>75.139399999999995</v>
      </c>
      <c r="J334" s="40">
        <f>_xlfn.XLOOKUP($B334,'27'!$B:$B,'27'!J:J,)</f>
        <v>100</v>
      </c>
      <c r="K334" s="629">
        <f>_xlfn.XLOOKUP($B334,'27'!$B:$B,'27'!K:K,)</f>
        <v>-955.55555555555554</v>
      </c>
      <c r="L334" s="629">
        <f>_xlfn.XLOOKUP($B334,'27'!$B:$B,'27'!L:L,)</f>
        <v>-1271.7103883655654</v>
      </c>
      <c r="M334" s="40" t="str">
        <f>_xlfn.XLOOKUP($B334,'27'!$B:$B,'27'!M:M,)</f>
        <v>Willingness to Pay</v>
      </c>
      <c r="N334" s="326">
        <f>_xlfn.XLOOKUP($B334,'27'!$B:$B,'27'!N:N,)</f>
        <v>2.1428571428571401</v>
      </c>
      <c r="O334" s="40" t="str">
        <f>_xlfn.XLOOKUP($B334,'27'!$B:$B,'27'!O:O,)</f>
        <v>Yes</v>
      </c>
      <c r="P334" s="40" t="str">
        <f>_xlfn.XLOOKUP($B334,'27'!$B:$B,'27'!P:P,)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4" s="40">
        <f>_xlfn.XLOOKUP($B334,'27'!$B:$B,'27'!Q:Q,)</f>
        <v>1</v>
      </c>
      <c r="R334" s="40" t="str">
        <f>_xlfn.XLOOKUP($B334,'27'!$B:$B,'27'!R:R,)</f>
        <v>Environment Agency (2013) Updating the National Water Environment Benefit Survey values: summary of the peer review</v>
      </c>
      <c r="S334" s="40" t="str">
        <f>_xlfn.XLOOKUP($B334,'27'!$B:$B,'27'!S:S,)</f>
        <v>ENCA</v>
      </c>
      <c r="T334" s="40">
        <f>_xlfn.XLOOKUP($B334,'27'!$B:$B,'27'!T:T,)</f>
        <v>2013</v>
      </c>
      <c r="U334" s="40" t="str">
        <f>_xlfn.XLOOKUP($B334,'27'!$B:$B,'27'!U:U,)</f>
        <v>England and Wales</v>
      </c>
      <c r="V334" s="40" t="str">
        <f>_xlfn.XLOOKUP($B334,'27'!$B:$B,'27'!V:V,)</f>
        <v>National average</v>
      </c>
      <c r="W334" s="40">
        <f>_xlfn.XLOOKUP($B334,'27'!$B:$B,'27'!W:W,)</f>
        <v>100</v>
      </c>
    </row>
    <row r="335" spans="2:23">
      <c r="B335" s="39" t="s">
        <v>1913</v>
      </c>
      <c r="C335" s="40" t="str">
        <f>_xlfn.XLOOKUP($B335,'27'!$B:$B,'27'!C:C,)</f>
        <v>Quality of the water environment</v>
      </c>
      <c r="D335" s="40" t="str">
        <f>_xlfn.XLOOKUP($B335,'27'!$B:$B,'27'!D:D,)</f>
        <v>Length of river improved (bad to poor)</v>
      </c>
      <c r="E335" s="40" t="str">
        <f>_xlfn.XLOOKUP($B335,'27'!$B:$B,'27'!E:E,)</f>
        <v>Quality of place</v>
      </c>
      <c r="F335" s="40">
        <f>_xlfn.XLOOKUP($B335,'27'!$B:$B,'27'!F:F,)</f>
        <v>2013</v>
      </c>
      <c r="G335" s="40">
        <f>_xlfn.XLOOKUP($B335,'27'!$B:$B,'27'!G:G,)</f>
        <v>2012</v>
      </c>
      <c r="H335" s="40">
        <f>_xlfn.XLOOKUP($B335,'27'!$B:$B,'27'!H:H,)</f>
        <v>2023</v>
      </c>
      <c r="I335" s="40">
        <f>_xlfn.XLOOKUP($B335,'27'!$B:$B,'27'!I:I,)</f>
        <v>75.139399999999995</v>
      </c>
      <c r="J335" s="40">
        <f>_xlfn.XLOOKUP($B335,'27'!$B:$B,'27'!J:J,)</f>
        <v>100</v>
      </c>
      <c r="K335" s="629">
        <f>_xlfn.XLOOKUP($B335,'27'!$B:$B,'27'!K:K,)</f>
        <v>-5800</v>
      </c>
      <c r="L335" s="629">
        <f>_xlfn.XLOOKUP($B335,'27'!$B:$B,'27'!L:L,)</f>
        <v>-7718.9863107770361</v>
      </c>
      <c r="M335" s="40" t="str">
        <f>_xlfn.XLOOKUP($B335,'27'!$B:$B,'27'!M:M,)</f>
        <v>Willingness to Pay</v>
      </c>
      <c r="N335" s="326">
        <f>_xlfn.XLOOKUP($B335,'27'!$B:$B,'27'!N:N,)</f>
        <v>2.1428571428571401</v>
      </c>
      <c r="O335" s="40" t="str">
        <f>_xlfn.XLOOKUP($B335,'27'!$B:$B,'27'!O:O,)</f>
        <v>Yes</v>
      </c>
      <c r="P335" s="40" t="str">
        <f>_xlfn.XLOOKUP($B335,'27'!$B:$B,'27'!P:P,)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5" s="40">
        <f>_xlfn.XLOOKUP($B335,'27'!$B:$B,'27'!Q:Q,)</f>
        <v>1</v>
      </c>
      <c r="R335" s="40" t="str">
        <f>_xlfn.XLOOKUP($B335,'27'!$B:$B,'27'!R:R,)</f>
        <v>Environment Agency (2013) Updating the National Water Environment Benefit Survey values: summary of the peer review</v>
      </c>
      <c r="S335" s="40" t="str">
        <f>_xlfn.XLOOKUP($B335,'27'!$B:$B,'27'!S:S,)</f>
        <v>ENCA</v>
      </c>
      <c r="T335" s="40">
        <f>_xlfn.XLOOKUP($B335,'27'!$B:$B,'27'!T:T,)</f>
        <v>2013</v>
      </c>
      <c r="U335" s="40" t="str">
        <f>_xlfn.XLOOKUP($B335,'27'!$B:$B,'27'!U:U,)</f>
        <v>England and Wales</v>
      </c>
      <c r="V335" s="40" t="str">
        <f>_xlfn.XLOOKUP($B335,'27'!$B:$B,'27'!V:V,)</f>
        <v>National average</v>
      </c>
      <c r="W335" s="40">
        <f>_xlfn.XLOOKUP($B335,'27'!$B:$B,'27'!W:W,)</f>
        <v>100</v>
      </c>
    </row>
    <row r="336" spans="2:23">
      <c r="B336" s="39" t="s">
        <v>1914</v>
      </c>
      <c r="C336" s="40" t="str">
        <f>_xlfn.XLOOKUP($B336,'27'!$B:$B,'27'!C:C,)</f>
        <v>Quality of the water environment</v>
      </c>
      <c r="D336" s="40" t="str">
        <f>_xlfn.XLOOKUP($B336,'27'!$B:$B,'27'!D:D,)</f>
        <v>Length of river improved (poor to moderate)</v>
      </c>
      <c r="E336" s="40" t="str">
        <f>_xlfn.XLOOKUP($B336,'27'!$B:$B,'27'!E:E,)</f>
        <v>Quality of place</v>
      </c>
      <c r="F336" s="40">
        <f>_xlfn.XLOOKUP($B336,'27'!$B:$B,'27'!F:F,)</f>
        <v>2013</v>
      </c>
      <c r="G336" s="40">
        <f>_xlfn.XLOOKUP($B336,'27'!$B:$B,'27'!G:G,)</f>
        <v>2012</v>
      </c>
      <c r="H336" s="40">
        <f>_xlfn.XLOOKUP($B336,'27'!$B:$B,'27'!H:H,)</f>
        <v>2023</v>
      </c>
      <c r="I336" s="40">
        <f>_xlfn.XLOOKUP($B336,'27'!$B:$B,'27'!I:I,)</f>
        <v>75.139399999999995</v>
      </c>
      <c r="J336" s="40">
        <f>_xlfn.XLOOKUP($B336,'27'!$B:$B,'27'!J:J,)</f>
        <v>100</v>
      </c>
      <c r="K336" s="629">
        <f>_xlfn.XLOOKUP($B336,'27'!$B:$B,'27'!K:K,)</f>
        <v>-6666.666666666667</v>
      </c>
      <c r="L336" s="629">
        <f>_xlfn.XLOOKUP($B336,'27'!$B:$B,'27'!L:L,)</f>
        <v>-8872.3980583644097</v>
      </c>
      <c r="M336" s="40" t="str">
        <f>_xlfn.XLOOKUP($B336,'27'!$B:$B,'27'!M:M,)</f>
        <v>Willingness to Pay</v>
      </c>
      <c r="N336" s="326">
        <f>_xlfn.XLOOKUP($B336,'27'!$B:$B,'27'!N:N,)</f>
        <v>2.1428571428571401</v>
      </c>
      <c r="O336" s="40" t="str">
        <f>_xlfn.XLOOKUP($B336,'27'!$B:$B,'27'!O:O,)</f>
        <v>Yes</v>
      </c>
      <c r="P336" s="40" t="str">
        <f>_xlfn.XLOOKUP($B336,'27'!$B:$B,'27'!P:P,)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6" s="40">
        <f>_xlfn.XLOOKUP($B336,'27'!$B:$B,'27'!Q:Q,)</f>
        <v>1</v>
      </c>
      <c r="R336" s="40" t="str">
        <f>_xlfn.XLOOKUP($B336,'27'!$B:$B,'27'!R:R,)</f>
        <v>Environment Agency (2013) Updating the National Water Environment Benefit Survey values: summary of the peer review</v>
      </c>
      <c r="S336" s="40" t="str">
        <f>_xlfn.XLOOKUP($B336,'27'!$B:$B,'27'!S:S,)</f>
        <v>ENCA</v>
      </c>
      <c r="T336" s="40">
        <f>_xlfn.XLOOKUP($B336,'27'!$B:$B,'27'!T:T,)</f>
        <v>2013</v>
      </c>
      <c r="U336" s="40" t="str">
        <f>_xlfn.XLOOKUP($B336,'27'!$B:$B,'27'!U:U,)</f>
        <v>England and Wales</v>
      </c>
      <c r="V336" s="40" t="str">
        <f>_xlfn.XLOOKUP($B336,'27'!$B:$B,'27'!V:V,)</f>
        <v>National average</v>
      </c>
      <c r="W336" s="40">
        <f>_xlfn.XLOOKUP($B336,'27'!$B:$B,'27'!W:W,)</f>
        <v>100</v>
      </c>
    </row>
    <row r="337" spans="2:23">
      <c r="B337" s="39" t="s">
        <v>1915</v>
      </c>
      <c r="C337" s="40" t="str">
        <f>_xlfn.XLOOKUP($B337,'27'!$B:$B,'27'!C:C,)</f>
        <v>Quality of the water environment</v>
      </c>
      <c r="D337" s="40" t="str">
        <f>_xlfn.XLOOKUP($B337,'27'!$B:$B,'27'!D:D,)</f>
        <v>Length of river improved (moderate to good)</v>
      </c>
      <c r="E337" s="40" t="str">
        <f>_xlfn.XLOOKUP($B337,'27'!$B:$B,'27'!E:E,)</f>
        <v>Quality of place</v>
      </c>
      <c r="F337" s="40">
        <f>_xlfn.XLOOKUP($B337,'27'!$B:$B,'27'!F:F,)</f>
        <v>2013</v>
      </c>
      <c r="G337" s="40">
        <f>_xlfn.XLOOKUP($B337,'27'!$B:$B,'27'!G:G,)</f>
        <v>2012</v>
      </c>
      <c r="H337" s="40">
        <f>_xlfn.XLOOKUP($B337,'27'!$B:$B,'27'!H:H,)</f>
        <v>2023</v>
      </c>
      <c r="I337" s="40">
        <f>_xlfn.XLOOKUP($B337,'27'!$B:$B,'27'!I:I,)</f>
        <v>75.139399999999995</v>
      </c>
      <c r="J337" s="40">
        <f>_xlfn.XLOOKUP($B337,'27'!$B:$B,'27'!J:J,)</f>
        <v>100</v>
      </c>
      <c r="K337" s="629">
        <f>_xlfn.XLOOKUP($B337,'27'!$B:$B,'27'!K:K,)</f>
        <v>-7733.333333333333</v>
      </c>
      <c r="L337" s="629">
        <f>_xlfn.XLOOKUP($B337,'27'!$B:$B,'27'!L:L,)</f>
        <v>-10291.981747702715</v>
      </c>
      <c r="M337" s="40" t="str">
        <f>_xlfn.XLOOKUP($B337,'27'!$B:$B,'27'!M:M,)</f>
        <v>Willingness to Pay</v>
      </c>
      <c r="N337" s="326">
        <f>_xlfn.XLOOKUP($B337,'27'!$B:$B,'27'!N:N,)</f>
        <v>2.1428571428571401</v>
      </c>
      <c r="O337" s="40" t="str">
        <f>_xlfn.XLOOKUP($B337,'27'!$B:$B,'27'!O:O,)</f>
        <v>Yes</v>
      </c>
      <c r="P337" s="40" t="str">
        <f>_xlfn.XLOOKUP($B337,'27'!$B:$B,'27'!P:P,)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7" s="40">
        <f>_xlfn.XLOOKUP($B337,'27'!$B:$B,'27'!Q:Q,)</f>
        <v>1</v>
      </c>
      <c r="R337" s="40" t="str">
        <f>_xlfn.XLOOKUP($B337,'27'!$B:$B,'27'!R:R,)</f>
        <v>Environment Agency (2013) Updating the National Water Environment Benefit Survey values: summary of the peer review</v>
      </c>
      <c r="S337" s="40" t="str">
        <f>_xlfn.XLOOKUP($B337,'27'!$B:$B,'27'!S:S,)</f>
        <v>ENCA</v>
      </c>
      <c r="T337" s="40">
        <f>_xlfn.XLOOKUP($B337,'27'!$B:$B,'27'!T:T,)</f>
        <v>2013</v>
      </c>
      <c r="U337" s="40" t="str">
        <f>_xlfn.XLOOKUP($B337,'27'!$B:$B,'27'!U:U,)</f>
        <v>England and Wales</v>
      </c>
      <c r="V337" s="40" t="str">
        <f>_xlfn.XLOOKUP($B337,'27'!$B:$B,'27'!V:V,)</f>
        <v>National average</v>
      </c>
      <c r="W337" s="40">
        <f>_xlfn.XLOOKUP($B337,'27'!$B:$B,'27'!W:W,)</f>
        <v>100</v>
      </c>
    </row>
    <row r="338" spans="2:23">
      <c r="B338" s="39" t="s">
        <v>1916</v>
      </c>
      <c r="C338" s="40" t="str">
        <f>_xlfn.XLOOKUP($B338,'27'!$B:$B,'27'!C:C,)</f>
        <v>Quality of the water environment</v>
      </c>
      <c r="D338" s="40" t="str">
        <f>_xlfn.XLOOKUP($B338,'27'!$B:$B,'27'!D:D,)</f>
        <v>Length of river improved (good to high)</v>
      </c>
      <c r="E338" s="40" t="str">
        <f>_xlfn.XLOOKUP($B338,'27'!$B:$B,'27'!E:E,)</f>
        <v>Quality of place</v>
      </c>
      <c r="F338" s="40">
        <f>_xlfn.XLOOKUP($B338,'27'!$B:$B,'27'!F:F,)</f>
        <v>2013</v>
      </c>
      <c r="G338" s="40">
        <f>_xlfn.XLOOKUP($B338,'27'!$B:$B,'27'!G:G,)</f>
        <v>2012</v>
      </c>
      <c r="H338" s="40">
        <f>_xlfn.XLOOKUP($B338,'27'!$B:$B,'27'!H:H,)</f>
        <v>2023</v>
      </c>
      <c r="I338" s="40">
        <f>_xlfn.XLOOKUP($B338,'27'!$B:$B,'27'!I:I,)</f>
        <v>75.139399999999995</v>
      </c>
      <c r="J338" s="40">
        <f>_xlfn.XLOOKUP($B338,'27'!$B:$B,'27'!J:J,)</f>
        <v>100</v>
      </c>
      <c r="K338" s="629">
        <f>_xlfn.XLOOKUP($B338,'27'!$B:$B,'27'!K:K,)</f>
        <v>-8666.6666666666661</v>
      </c>
      <c r="L338" s="629">
        <f>_xlfn.XLOOKUP($B338,'27'!$B:$B,'27'!L:L,)</f>
        <v>-11534.117475873731</v>
      </c>
      <c r="M338" s="40" t="str">
        <f>_xlfn.XLOOKUP($B338,'27'!$B:$B,'27'!M:M,)</f>
        <v>Willingness to Pay</v>
      </c>
      <c r="N338" s="326">
        <f>_xlfn.XLOOKUP($B338,'27'!$B:$B,'27'!N:N,)</f>
        <v>2.1428571428571401</v>
      </c>
      <c r="O338" s="40" t="str">
        <f>_xlfn.XLOOKUP($B338,'27'!$B:$B,'27'!O:O,)</f>
        <v>Yes</v>
      </c>
      <c r="P338" s="40" t="str">
        <f>_xlfn.XLOOKUP($B338,'27'!$B:$B,'27'!P:P,)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8" s="40">
        <f>_xlfn.XLOOKUP($B338,'27'!$B:$B,'27'!Q:Q,)</f>
        <v>1</v>
      </c>
      <c r="R338" s="40" t="str">
        <f>_xlfn.XLOOKUP($B338,'27'!$B:$B,'27'!R:R,)</f>
        <v>Environment Agency (2013) Updating the National Water Environment Benefit Survey values: summary of the peer review</v>
      </c>
      <c r="S338" s="40" t="str">
        <f>_xlfn.XLOOKUP($B338,'27'!$B:$B,'27'!S:S,)</f>
        <v>ENCA</v>
      </c>
      <c r="T338" s="40">
        <f>_xlfn.XLOOKUP($B338,'27'!$B:$B,'27'!T:T,)</f>
        <v>2013</v>
      </c>
      <c r="U338" s="40" t="str">
        <f>_xlfn.XLOOKUP($B338,'27'!$B:$B,'27'!U:U,)</f>
        <v>England and Wales</v>
      </c>
      <c r="V338" s="40" t="str">
        <f>_xlfn.XLOOKUP($B338,'27'!$B:$B,'27'!V:V,)</f>
        <v>National average</v>
      </c>
      <c r="W338" s="40">
        <f>_xlfn.XLOOKUP($B338,'27'!$B:$B,'27'!W:W,)</f>
        <v>100</v>
      </c>
    </row>
    <row r="339" spans="2:23">
      <c r="B339" s="39" t="s">
        <v>1917</v>
      </c>
      <c r="C339" s="40" t="str">
        <f>_xlfn.XLOOKUP($B339,'27'!$B:$B,'27'!C:C,)</f>
        <v>Quality of the water environment</v>
      </c>
      <c r="D339" s="40" t="str">
        <f>_xlfn.XLOOKUP($B339,'27'!$B:$B,'27'!D:D,)</f>
        <v>In class benefit on transitional water, coastal water, or lake water quality</v>
      </c>
      <c r="E339" s="40" t="str">
        <f>_xlfn.XLOOKUP($B339,'27'!$B:$B,'27'!E:E,)</f>
        <v>Recreation</v>
      </c>
      <c r="F339" s="40">
        <f>_xlfn.XLOOKUP($B339,'27'!$B:$B,'27'!F:F,)</f>
        <v>2013</v>
      </c>
      <c r="G339" s="40">
        <f>_xlfn.XLOOKUP($B339,'27'!$B:$B,'27'!G:G,)</f>
        <v>2012</v>
      </c>
      <c r="H339" s="40">
        <f>_xlfn.XLOOKUP($B339,'27'!$B:$B,'27'!H:H,)</f>
        <v>2023</v>
      </c>
      <c r="I339" s="40">
        <f>_xlfn.XLOOKUP($B339,'27'!$B:$B,'27'!I:I,)</f>
        <v>75.139399999999995</v>
      </c>
      <c r="J339" s="40">
        <f>_xlfn.XLOOKUP($B339,'27'!$B:$B,'27'!J:J,)</f>
        <v>100</v>
      </c>
      <c r="K339" s="629">
        <f>_xlfn.XLOOKUP($B339,'27'!$B:$B,'27'!K:K,)</f>
        <v>-348.14814814814804</v>
      </c>
      <c r="L339" s="629">
        <f>_xlfn.XLOOKUP($B339,'27'!$B:$B,'27'!L:L,)</f>
        <v>-463.336343047919</v>
      </c>
      <c r="M339" s="40" t="str">
        <f>_xlfn.XLOOKUP($B339,'27'!$B:$B,'27'!M:M,)</f>
        <v>Willingness to Pay</v>
      </c>
      <c r="N339" s="326">
        <f>_xlfn.XLOOKUP($B339,'27'!$B:$B,'27'!N:N,)</f>
        <v>2.1428571428571401</v>
      </c>
      <c r="O339" s="40" t="str">
        <f>_xlfn.XLOOKUP($B339,'27'!$B:$B,'27'!O:O,)</f>
        <v>Yes</v>
      </c>
      <c r="P339" s="40" t="str">
        <f>_xlfn.XLOOKUP($B339,'27'!$B:$B,'27'!P:P,)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39" s="40">
        <f>_xlfn.XLOOKUP($B339,'27'!$B:$B,'27'!Q:Q,)</f>
        <v>1</v>
      </c>
      <c r="R339" s="40" t="str">
        <f>_xlfn.XLOOKUP($B339,'27'!$B:$B,'27'!R:R,)</f>
        <v>Environment Agency (2013) Updating the National Water Environment Benefit Survey values: summary of the peer review</v>
      </c>
      <c r="S339" s="40" t="str">
        <f>_xlfn.XLOOKUP($B339,'27'!$B:$B,'27'!S:S,)</f>
        <v>ENCA</v>
      </c>
      <c r="T339" s="40">
        <f>_xlfn.XLOOKUP($B339,'27'!$B:$B,'27'!T:T,)</f>
        <v>2013</v>
      </c>
      <c r="U339" s="40" t="str">
        <f>_xlfn.XLOOKUP($B339,'27'!$B:$B,'27'!U:U,)</f>
        <v>England and Wales</v>
      </c>
      <c r="V339" s="40" t="str">
        <f>_xlfn.XLOOKUP($B339,'27'!$B:$B,'27'!V:V,)</f>
        <v>National average</v>
      </c>
      <c r="W339" s="40">
        <f>_xlfn.XLOOKUP($B339,'27'!$B:$B,'27'!W:W,)</f>
        <v>100</v>
      </c>
    </row>
    <row r="340" spans="2:23">
      <c r="B340" s="39" t="s">
        <v>1918</v>
      </c>
      <c r="C340" s="40" t="str">
        <f>_xlfn.XLOOKUP($B340,'27'!$B:$B,'27'!C:C,)</f>
        <v>Quality of the water environment</v>
      </c>
      <c r="D340" s="40" t="str">
        <f>_xlfn.XLOOKUP($B340,'27'!$B:$B,'27'!D:D,)</f>
        <v>Area of transitional water, coastal water, or lake water improved (bad to poor)</v>
      </c>
      <c r="E340" s="40" t="str">
        <f>_xlfn.XLOOKUP($B340,'27'!$B:$B,'27'!E:E,)</f>
        <v>Recreation</v>
      </c>
      <c r="F340" s="40">
        <f>_xlfn.XLOOKUP($B340,'27'!$B:$B,'27'!F:F,)</f>
        <v>2013</v>
      </c>
      <c r="G340" s="40">
        <f>_xlfn.XLOOKUP($B340,'27'!$B:$B,'27'!G:G,)</f>
        <v>2012</v>
      </c>
      <c r="H340" s="40">
        <f>_xlfn.XLOOKUP($B340,'27'!$B:$B,'27'!H:H,)</f>
        <v>2023</v>
      </c>
      <c r="I340" s="40">
        <f>_xlfn.XLOOKUP($B340,'27'!$B:$B,'27'!I:I,)</f>
        <v>75.139399999999995</v>
      </c>
      <c r="J340" s="40">
        <f>_xlfn.XLOOKUP($B340,'27'!$B:$B,'27'!J:J,)</f>
        <v>100</v>
      </c>
      <c r="K340" s="629">
        <f>_xlfn.XLOOKUP($B340,'27'!$B:$B,'27'!K:K,)</f>
        <v>-2133.3333333333335</v>
      </c>
      <c r="L340" s="629">
        <f>_xlfn.XLOOKUP($B340,'27'!$B:$B,'27'!L:L,)</f>
        <v>-2839.1673786766114</v>
      </c>
      <c r="M340" s="40" t="str">
        <f>_xlfn.XLOOKUP($B340,'27'!$B:$B,'27'!M:M,)</f>
        <v>Willingness to Pay</v>
      </c>
      <c r="N340" s="326">
        <f>_xlfn.XLOOKUP($B340,'27'!$B:$B,'27'!N:N,)</f>
        <v>2.1428571428571401</v>
      </c>
      <c r="O340" s="40" t="str">
        <f>_xlfn.XLOOKUP($B340,'27'!$B:$B,'27'!O:O,)</f>
        <v>Yes</v>
      </c>
      <c r="P340" s="40" t="str">
        <f>_xlfn.XLOOKUP($B340,'27'!$B:$B,'27'!P:P,)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0" s="40">
        <f>_xlfn.XLOOKUP($B340,'27'!$B:$B,'27'!Q:Q,)</f>
        <v>1</v>
      </c>
      <c r="R340" s="40" t="str">
        <f>_xlfn.XLOOKUP($B340,'27'!$B:$B,'27'!R:R,)</f>
        <v>Environment Agency (2013) Updating the National Water Environment Benefit Survey values: summary of the peer review</v>
      </c>
      <c r="S340" s="40" t="str">
        <f>_xlfn.XLOOKUP($B340,'27'!$B:$B,'27'!S:S,)</f>
        <v>ENCA</v>
      </c>
      <c r="T340" s="40">
        <f>_xlfn.XLOOKUP($B340,'27'!$B:$B,'27'!T:T,)</f>
        <v>2013</v>
      </c>
      <c r="U340" s="40" t="str">
        <f>_xlfn.XLOOKUP($B340,'27'!$B:$B,'27'!U:U,)</f>
        <v>England and Wales</v>
      </c>
      <c r="V340" s="40" t="str">
        <f>_xlfn.XLOOKUP($B340,'27'!$B:$B,'27'!V:V,)</f>
        <v>National average</v>
      </c>
      <c r="W340" s="40">
        <f>_xlfn.XLOOKUP($B340,'27'!$B:$B,'27'!W:W,)</f>
        <v>100</v>
      </c>
    </row>
    <row r="341" spans="2:23">
      <c r="B341" s="39" t="s">
        <v>1919</v>
      </c>
      <c r="C341" s="40" t="str">
        <f>_xlfn.XLOOKUP($B341,'27'!$B:$B,'27'!C:C,)</f>
        <v>Quality of the water environment</v>
      </c>
      <c r="D341" s="40" t="str">
        <f>_xlfn.XLOOKUP($B341,'27'!$B:$B,'27'!D:D,)</f>
        <v>Area of transitional water, coastal water, or lake water improved (poor to moderate)</v>
      </c>
      <c r="E341" s="40" t="str">
        <f>_xlfn.XLOOKUP($B341,'27'!$B:$B,'27'!E:E,)</f>
        <v>Recreation</v>
      </c>
      <c r="F341" s="40">
        <f>_xlfn.XLOOKUP($B341,'27'!$B:$B,'27'!F:F,)</f>
        <v>2013</v>
      </c>
      <c r="G341" s="40">
        <f>_xlfn.XLOOKUP($B341,'27'!$B:$B,'27'!G:G,)</f>
        <v>2012</v>
      </c>
      <c r="H341" s="40">
        <f>_xlfn.XLOOKUP($B341,'27'!$B:$B,'27'!H:H,)</f>
        <v>2023</v>
      </c>
      <c r="I341" s="40">
        <f>_xlfn.XLOOKUP($B341,'27'!$B:$B,'27'!I:I,)</f>
        <v>75.139399999999995</v>
      </c>
      <c r="J341" s="40">
        <f>_xlfn.XLOOKUP($B341,'27'!$B:$B,'27'!J:J,)</f>
        <v>100</v>
      </c>
      <c r="K341" s="629">
        <f>_xlfn.XLOOKUP($B341,'27'!$B:$B,'27'!K:K,)</f>
        <v>-2466.6666666666665</v>
      </c>
      <c r="L341" s="629">
        <f>_xlfn.XLOOKUP($B341,'27'!$B:$B,'27'!L:L,)</f>
        <v>-3282.7872815948313</v>
      </c>
      <c r="M341" s="40" t="str">
        <f>_xlfn.XLOOKUP($B341,'27'!$B:$B,'27'!M:M,)</f>
        <v>Willingness to Pay</v>
      </c>
      <c r="N341" s="326">
        <f>_xlfn.XLOOKUP($B341,'27'!$B:$B,'27'!N:N,)</f>
        <v>2.1428571428571401</v>
      </c>
      <c r="O341" s="40" t="str">
        <f>_xlfn.XLOOKUP($B341,'27'!$B:$B,'27'!O:O,)</f>
        <v>Yes</v>
      </c>
      <c r="P341" s="40" t="str">
        <f>_xlfn.XLOOKUP($B341,'27'!$B:$B,'27'!P:P,)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1" s="40">
        <f>_xlfn.XLOOKUP($B341,'27'!$B:$B,'27'!Q:Q,)</f>
        <v>1</v>
      </c>
      <c r="R341" s="40" t="str">
        <f>_xlfn.XLOOKUP($B341,'27'!$B:$B,'27'!R:R,)</f>
        <v>Environment Agency (2013) Updating the National Water Environment Benefit Survey values: summary of the peer review</v>
      </c>
      <c r="S341" s="40" t="str">
        <f>_xlfn.XLOOKUP($B341,'27'!$B:$B,'27'!S:S,)</f>
        <v>ENCA</v>
      </c>
      <c r="T341" s="40">
        <f>_xlfn.XLOOKUP($B341,'27'!$B:$B,'27'!T:T,)</f>
        <v>2013</v>
      </c>
      <c r="U341" s="40" t="str">
        <f>_xlfn.XLOOKUP($B341,'27'!$B:$B,'27'!U:U,)</f>
        <v>England and Wales</v>
      </c>
      <c r="V341" s="40" t="str">
        <f>_xlfn.XLOOKUP($B341,'27'!$B:$B,'27'!V:V,)</f>
        <v>National average</v>
      </c>
      <c r="W341" s="40">
        <f>_xlfn.XLOOKUP($B341,'27'!$B:$B,'27'!W:W,)</f>
        <v>100</v>
      </c>
    </row>
    <row r="342" spans="2:23">
      <c r="B342" s="39" t="s">
        <v>1920</v>
      </c>
      <c r="C342" s="40" t="str">
        <f>_xlfn.XLOOKUP($B342,'27'!$B:$B,'27'!C:C,)</f>
        <v>Quality of the water environment</v>
      </c>
      <c r="D342" s="40" t="str">
        <f>_xlfn.XLOOKUP($B342,'27'!$B:$B,'27'!D:D,)</f>
        <v>Area of transitional water, coastal water, or lake water improved (moderate to good)</v>
      </c>
      <c r="E342" s="40" t="str">
        <f>_xlfn.XLOOKUP($B342,'27'!$B:$B,'27'!E:E,)</f>
        <v>Recreation</v>
      </c>
      <c r="F342" s="40">
        <f>_xlfn.XLOOKUP($B342,'27'!$B:$B,'27'!F:F,)</f>
        <v>2013</v>
      </c>
      <c r="G342" s="40">
        <f>_xlfn.XLOOKUP($B342,'27'!$B:$B,'27'!G:G,)</f>
        <v>2012</v>
      </c>
      <c r="H342" s="40">
        <f>_xlfn.XLOOKUP($B342,'27'!$B:$B,'27'!H:H,)</f>
        <v>2023</v>
      </c>
      <c r="I342" s="40">
        <f>_xlfn.XLOOKUP($B342,'27'!$B:$B,'27'!I:I,)</f>
        <v>75.139399999999995</v>
      </c>
      <c r="J342" s="40">
        <f>_xlfn.XLOOKUP($B342,'27'!$B:$B,'27'!J:J,)</f>
        <v>100</v>
      </c>
      <c r="K342" s="629">
        <f>_xlfn.XLOOKUP($B342,'27'!$B:$B,'27'!K:K,)</f>
        <v>-2833.3333333333335</v>
      </c>
      <c r="L342" s="629">
        <f>_xlfn.XLOOKUP($B342,'27'!$B:$B,'27'!L:L,)</f>
        <v>-3770.7691748048742</v>
      </c>
      <c r="M342" s="40" t="str">
        <f>_xlfn.XLOOKUP($B342,'27'!$B:$B,'27'!M:M,)</f>
        <v>Willingness to Pay</v>
      </c>
      <c r="N342" s="326">
        <f>_xlfn.XLOOKUP($B342,'27'!$B:$B,'27'!N:N,)</f>
        <v>2.1428571428571401</v>
      </c>
      <c r="O342" s="40" t="str">
        <f>_xlfn.XLOOKUP($B342,'27'!$B:$B,'27'!O:O,)</f>
        <v>Yes</v>
      </c>
      <c r="P342" s="40" t="str">
        <f>_xlfn.XLOOKUP($B342,'27'!$B:$B,'27'!P:P,)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2" s="40">
        <f>_xlfn.XLOOKUP($B342,'27'!$B:$B,'27'!Q:Q,)</f>
        <v>1</v>
      </c>
      <c r="R342" s="40" t="str">
        <f>_xlfn.XLOOKUP($B342,'27'!$B:$B,'27'!R:R,)</f>
        <v>Environment Agency (2013) Updating the National Water Environment Benefit Survey values: summary of the peer review</v>
      </c>
      <c r="S342" s="40" t="str">
        <f>_xlfn.XLOOKUP($B342,'27'!$B:$B,'27'!S:S,)</f>
        <v>ENCA</v>
      </c>
      <c r="T342" s="40">
        <f>_xlfn.XLOOKUP($B342,'27'!$B:$B,'27'!T:T,)</f>
        <v>2013</v>
      </c>
      <c r="U342" s="40" t="str">
        <f>_xlfn.XLOOKUP($B342,'27'!$B:$B,'27'!U:U,)</f>
        <v>England and Wales</v>
      </c>
      <c r="V342" s="40" t="str">
        <f>_xlfn.XLOOKUP($B342,'27'!$B:$B,'27'!V:V,)</f>
        <v>National average</v>
      </c>
      <c r="W342" s="40">
        <f>_xlfn.XLOOKUP($B342,'27'!$B:$B,'27'!W:W,)</f>
        <v>100</v>
      </c>
    </row>
    <row r="343" spans="2:23">
      <c r="B343" s="39" t="s">
        <v>1921</v>
      </c>
      <c r="C343" s="40" t="str">
        <f>_xlfn.XLOOKUP($B343,'27'!$B:$B,'27'!C:C,)</f>
        <v>Quality of the water environment</v>
      </c>
      <c r="D343" s="40" t="str">
        <f>_xlfn.XLOOKUP($B343,'27'!$B:$B,'27'!D:D,)</f>
        <v>Area of transitional water, coastal water, or lake water improved (good to high)</v>
      </c>
      <c r="E343" s="40" t="str">
        <f>_xlfn.XLOOKUP($B343,'27'!$B:$B,'27'!E:E,)</f>
        <v>Recreation</v>
      </c>
      <c r="F343" s="40">
        <f>_xlfn.XLOOKUP($B343,'27'!$B:$B,'27'!F:F,)</f>
        <v>2013</v>
      </c>
      <c r="G343" s="40">
        <f>_xlfn.XLOOKUP($B343,'27'!$B:$B,'27'!G:G,)</f>
        <v>2012</v>
      </c>
      <c r="H343" s="40">
        <f>_xlfn.XLOOKUP($B343,'27'!$B:$B,'27'!H:H,)</f>
        <v>2023</v>
      </c>
      <c r="I343" s="40">
        <f>_xlfn.XLOOKUP($B343,'27'!$B:$B,'27'!I:I,)</f>
        <v>75.139399999999995</v>
      </c>
      <c r="J343" s="40">
        <f>_xlfn.XLOOKUP($B343,'27'!$B:$B,'27'!J:J,)</f>
        <v>100</v>
      </c>
      <c r="K343" s="629">
        <f>_xlfn.XLOOKUP($B343,'27'!$B:$B,'27'!K:K,)</f>
        <v>-3177.7777777777774</v>
      </c>
      <c r="L343" s="629">
        <f>_xlfn.XLOOKUP($B343,'27'!$B:$B,'27'!L:L,)</f>
        <v>-4229.1764078203678</v>
      </c>
      <c r="M343" s="40" t="str">
        <f>_xlfn.XLOOKUP($B343,'27'!$B:$B,'27'!M:M,)</f>
        <v>Willingness to Pay</v>
      </c>
      <c r="N343" s="326">
        <f>_xlfn.XLOOKUP($B343,'27'!$B:$B,'27'!N:N,)</f>
        <v>2.1428571428571401</v>
      </c>
      <c r="O343" s="40" t="str">
        <f>_xlfn.XLOOKUP($B343,'27'!$B:$B,'27'!O:O,)</f>
        <v>Yes</v>
      </c>
      <c r="P343" s="40" t="str">
        <f>_xlfn.XLOOKUP($B343,'27'!$B:$B,'27'!P:P,)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3" s="40">
        <f>_xlfn.XLOOKUP($B343,'27'!$B:$B,'27'!Q:Q,)</f>
        <v>1</v>
      </c>
      <c r="R343" s="40" t="str">
        <f>_xlfn.XLOOKUP($B343,'27'!$B:$B,'27'!R:R,)</f>
        <v>Environment Agency (2013) Updating the National Water Environment Benefit Survey values: summary of the peer review</v>
      </c>
      <c r="S343" s="40" t="str">
        <f>_xlfn.XLOOKUP($B343,'27'!$B:$B,'27'!S:S,)</f>
        <v>ENCA</v>
      </c>
      <c r="T343" s="40">
        <f>_xlfn.XLOOKUP($B343,'27'!$B:$B,'27'!T:T,)</f>
        <v>2013</v>
      </c>
      <c r="U343" s="40" t="str">
        <f>_xlfn.XLOOKUP($B343,'27'!$B:$B,'27'!U:U,)</f>
        <v>England and Wales</v>
      </c>
      <c r="V343" s="40" t="str">
        <f>_xlfn.XLOOKUP($B343,'27'!$B:$B,'27'!V:V,)</f>
        <v>National average</v>
      </c>
      <c r="W343" s="40">
        <f>_xlfn.XLOOKUP($B343,'27'!$B:$B,'27'!W:W,)</f>
        <v>100</v>
      </c>
    </row>
    <row r="344" spans="2:23">
      <c r="B344" s="39" t="s">
        <v>1922</v>
      </c>
      <c r="C344" s="40" t="str">
        <f>_xlfn.XLOOKUP($B344,'27'!$B:$B,'27'!C:C,)</f>
        <v>Quality of the water environment</v>
      </c>
      <c r="D344" s="40" t="str">
        <f>_xlfn.XLOOKUP($B344,'27'!$B:$B,'27'!D:D,)</f>
        <v>In class benefit on transitional water, coastal water, or lake water quality</v>
      </c>
      <c r="E344" s="40" t="str">
        <f>_xlfn.XLOOKUP($B344,'27'!$B:$B,'27'!E:E,)</f>
        <v>Biodiversity</v>
      </c>
      <c r="F344" s="40">
        <f>_xlfn.XLOOKUP($B344,'27'!$B:$B,'27'!F:F,)</f>
        <v>2013</v>
      </c>
      <c r="G344" s="40">
        <f>_xlfn.XLOOKUP($B344,'27'!$B:$B,'27'!G:G,)</f>
        <v>2012</v>
      </c>
      <c r="H344" s="40">
        <f>_xlfn.XLOOKUP($B344,'27'!$B:$B,'27'!H:H,)</f>
        <v>2023</v>
      </c>
      <c r="I344" s="40">
        <f>_xlfn.XLOOKUP($B344,'27'!$B:$B,'27'!I:I,)</f>
        <v>75.139399999999995</v>
      </c>
      <c r="J344" s="40">
        <f>_xlfn.XLOOKUP($B344,'27'!$B:$B,'27'!J:J,)</f>
        <v>100</v>
      </c>
      <c r="K344" s="629">
        <f>_xlfn.XLOOKUP($B344,'27'!$B:$B,'27'!K:K,)</f>
        <v>-348.14814814814804</v>
      </c>
      <c r="L344" s="629">
        <f>_xlfn.XLOOKUP($B344,'27'!$B:$B,'27'!L:L,)</f>
        <v>-463.336343047919</v>
      </c>
      <c r="M344" s="40" t="str">
        <f>_xlfn.XLOOKUP($B344,'27'!$B:$B,'27'!M:M,)</f>
        <v>Willingness to Pay</v>
      </c>
      <c r="N344" s="326">
        <f>_xlfn.XLOOKUP($B344,'27'!$B:$B,'27'!N:N,)</f>
        <v>2.1428571428571401</v>
      </c>
      <c r="O344" s="40" t="str">
        <f>_xlfn.XLOOKUP($B344,'27'!$B:$B,'27'!O:O,)</f>
        <v>Yes</v>
      </c>
      <c r="P344" s="40" t="str">
        <f>_xlfn.XLOOKUP($B344,'27'!$B:$B,'27'!P:P,)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4" s="40">
        <f>_xlfn.XLOOKUP($B344,'27'!$B:$B,'27'!Q:Q,)</f>
        <v>1</v>
      </c>
      <c r="R344" s="40" t="str">
        <f>_xlfn.XLOOKUP($B344,'27'!$B:$B,'27'!R:R,)</f>
        <v>Environment Agency (2013) Updating the National Water Environment Benefit Survey values: summary of the peer review</v>
      </c>
      <c r="S344" s="40" t="str">
        <f>_xlfn.XLOOKUP($B344,'27'!$B:$B,'27'!S:S,)</f>
        <v>ENCA</v>
      </c>
      <c r="T344" s="40">
        <f>_xlfn.XLOOKUP($B344,'27'!$B:$B,'27'!T:T,)</f>
        <v>2013</v>
      </c>
      <c r="U344" s="40" t="str">
        <f>_xlfn.XLOOKUP($B344,'27'!$B:$B,'27'!U:U,)</f>
        <v>England and Wales</v>
      </c>
      <c r="V344" s="40" t="str">
        <f>_xlfn.XLOOKUP($B344,'27'!$B:$B,'27'!V:V,)</f>
        <v>National average</v>
      </c>
      <c r="W344" s="40">
        <f>_xlfn.XLOOKUP($B344,'27'!$B:$B,'27'!W:W,)</f>
        <v>100</v>
      </c>
    </row>
    <row r="345" spans="2:23">
      <c r="B345" s="39" t="s">
        <v>1923</v>
      </c>
      <c r="C345" s="40" t="str">
        <f>_xlfn.XLOOKUP($B345,'27'!$B:$B,'27'!C:C,)</f>
        <v>Quality of the water environment</v>
      </c>
      <c r="D345" s="40" t="str">
        <f>_xlfn.XLOOKUP($B345,'27'!$B:$B,'27'!D:D,)</f>
        <v>Area of transitional water, coastal water, or lake water improved (bad to poor)</v>
      </c>
      <c r="E345" s="40" t="str">
        <f>_xlfn.XLOOKUP($B345,'27'!$B:$B,'27'!E:E,)</f>
        <v>Biodiversity</v>
      </c>
      <c r="F345" s="40">
        <f>_xlfn.XLOOKUP($B345,'27'!$B:$B,'27'!F:F,)</f>
        <v>2013</v>
      </c>
      <c r="G345" s="40">
        <f>_xlfn.XLOOKUP($B345,'27'!$B:$B,'27'!G:G,)</f>
        <v>2012</v>
      </c>
      <c r="H345" s="40">
        <f>_xlfn.XLOOKUP($B345,'27'!$B:$B,'27'!H:H,)</f>
        <v>2023</v>
      </c>
      <c r="I345" s="40">
        <f>_xlfn.XLOOKUP($B345,'27'!$B:$B,'27'!I:I,)</f>
        <v>75.139399999999995</v>
      </c>
      <c r="J345" s="40">
        <f>_xlfn.XLOOKUP($B345,'27'!$B:$B,'27'!J:J,)</f>
        <v>100</v>
      </c>
      <c r="K345" s="629">
        <f>_xlfn.XLOOKUP($B345,'27'!$B:$B,'27'!K:K,)</f>
        <v>-2133.3333333333335</v>
      </c>
      <c r="L345" s="629">
        <f>_xlfn.XLOOKUP($B345,'27'!$B:$B,'27'!L:L,)</f>
        <v>-2839.1673786766114</v>
      </c>
      <c r="M345" s="40" t="str">
        <f>_xlfn.XLOOKUP($B345,'27'!$B:$B,'27'!M:M,)</f>
        <v>Willingness to Pay</v>
      </c>
      <c r="N345" s="326">
        <f>_xlfn.XLOOKUP($B345,'27'!$B:$B,'27'!N:N,)</f>
        <v>2.1428571428571401</v>
      </c>
      <c r="O345" s="40" t="str">
        <f>_xlfn.XLOOKUP($B345,'27'!$B:$B,'27'!O:O,)</f>
        <v>Yes</v>
      </c>
      <c r="P345" s="40" t="str">
        <f>_xlfn.XLOOKUP($B345,'27'!$B:$B,'27'!P:P,)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5" s="40">
        <f>_xlfn.XLOOKUP($B345,'27'!$B:$B,'27'!Q:Q,)</f>
        <v>1</v>
      </c>
      <c r="R345" s="40" t="str">
        <f>_xlfn.XLOOKUP($B345,'27'!$B:$B,'27'!R:R,)</f>
        <v>Environment Agency (2013) Updating the National Water Environment Benefit Survey values: summary of the peer review</v>
      </c>
      <c r="S345" s="40" t="str">
        <f>_xlfn.XLOOKUP($B345,'27'!$B:$B,'27'!S:S,)</f>
        <v>ENCA</v>
      </c>
      <c r="T345" s="40">
        <f>_xlfn.XLOOKUP($B345,'27'!$B:$B,'27'!T:T,)</f>
        <v>2013</v>
      </c>
      <c r="U345" s="40" t="str">
        <f>_xlfn.XLOOKUP($B345,'27'!$B:$B,'27'!U:U,)</f>
        <v>England and Wales</v>
      </c>
      <c r="V345" s="40" t="str">
        <f>_xlfn.XLOOKUP($B345,'27'!$B:$B,'27'!V:V,)</f>
        <v>National average</v>
      </c>
      <c r="W345" s="40">
        <f>_xlfn.XLOOKUP($B345,'27'!$B:$B,'27'!W:W,)</f>
        <v>100</v>
      </c>
    </row>
    <row r="346" spans="2:23">
      <c r="B346" s="39" t="s">
        <v>1924</v>
      </c>
      <c r="C346" s="40" t="str">
        <f>_xlfn.XLOOKUP($B346,'27'!$B:$B,'27'!C:C,)</f>
        <v>Quality of the water environment</v>
      </c>
      <c r="D346" s="40" t="str">
        <f>_xlfn.XLOOKUP($B346,'27'!$B:$B,'27'!D:D,)</f>
        <v>Area of transitional water, coastal water, or lake water improved (poor to moderate)</v>
      </c>
      <c r="E346" s="40" t="str">
        <f>_xlfn.XLOOKUP($B346,'27'!$B:$B,'27'!E:E,)</f>
        <v>Biodiversity</v>
      </c>
      <c r="F346" s="40">
        <f>_xlfn.XLOOKUP($B346,'27'!$B:$B,'27'!F:F,)</f>
        <v>2013</v>
      </c>
      <c r="G346" s="40">
        <f>_xlfn.XLOOKUP($B346,'27'!$B:$B,'27'!G:G,)</f>
        <v>2012</v>
      </c>
      <c r="H346" s="40">
        <f>_xlfn.XLOOKUP($B346,'27'!$B:$B,'27'!H:H,)</f>
        <v>2023</v>
      </c>
      <c r="I346" s="40">
        <f>_xlfn.XLOOKUP($B346,'27'!$B:$B,'27'!I:I,)</f>
        <v>75.139399999999995</v>
      </c>
      <c r="J346" s="40">
        <f>_xlfn.XLOOKUP($B346,'27'!$B:$B,'27'!J:J,)</f>
        <v>100</v>
      </c>
      <c r="K346" s="629">
        <f>_xlfn.XLOOKUP($B346,'27'!$B:$B,'27'!K:K,)</f>
        <v>-2466.6666666666665</v>
      </c>
      <c r="L346" s="629">
        <f>_xlfn.XLOOKUP($B346,'27'!$B:$B,'27'!L:L,)</f>
        <v>-3282.7872815948313</v>
      </c>
      <c r="M346" s="40" t="str">
        <f>_xlfn.XLOOKUP($B346,'27'!$B:$B,'27'!M:M,)</f>
        <v>Willingness to Pay</v>
      </c>
      <c r="N346" s="326">
        <f>_xlfn.XLOOKUP($B346,'27'!$B:$B,'27'!N:N,)</f>
        <v>2.1428571428571401</v>
      </c>
      <c r="O346" s="40" t="str">
        <f>_xlfn.XLOOKUP($B346,'27'!$B:$B,'27'!O:O,)</f>
        <v>Yes</v>
      </c>
      <c r="P346" s="40" t="str">
        <f>_xlfn.XLOOKUP($B346,'27'!$B:$B,'27'!P:P,)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6" s="40">
        <f>_xlfn.XLOOKUP($B346,'27'!$B:$B,'27'!Q:Q,)</f>
        <v>1</v>
      </c>
      <c r="R346" s="40" t="str">
        <f>_xlfn.XLOOKUP($B346,'27'!$B:$B,'27'!R:R,)</f>
        <v>Environment Agency (2013) Updating the National Water Environment Benefit Survey values: summary of the peer review</v>
      </c>
      <c r="S346" s="40" t="str">
        <f>_xlfn.XLOOKUP($B346,'27'!$B:$B,'27'!S:S,)</f>
        <v>ENCA</v>
      </c>
      <c r="T346" s="40">
        <f>_xlfn.XLOOKUP($B346,'27'!$B:$B,'27'!T:T,)</f>
        <v>2013</v>
      </c>
      <c r="U346" s="40" t="str">
        <f>_xlfn.XLOOKUP($B346,'27'!$B:$B,'27'!U:U,)</f>
        <v>England and Wales</v>
      </c>
      <c r="V346" s="40" t="str">
        <f>_xlfn.XLOOKUP($B346,'27'!$B:$B,'27'!V:V,)</f>
        <v>National average</v>
      </c>
      <c r="W346" s="40">
        <f>_xlfn.XLOOKUP($B346,'27'!$B:$B,'27'!W:W,)</f>
        <v>100</v>
      </c>
    </row>
    <row r="347" spans="2:23">
      <c r="B347" s="39" t="s">
        <v>1925</v>
      </c>
      <c r="C347" s="40" t="str">
        <f>_xlfn.XLOOKUP($B347,'27'!$B:$B,'27'!C:C,)</f>
        <v>Quality of the water environment</v>
      </c>
      <c r="D347" s="40" t="str">
        <f>_xlfn.XLOOKUP($B347,'27'!$B:$B,'27'!D:D,)</f>
        <v>Area of transitional water, coastal water, or lake water improved (moderate to good)</v>
      </c>
      <c r="E347" s="40" t="str">
        <f>_xlfn.XLOOKUP($B347,'27'!$B:$B,'27'!E:E,)</f>
        <v>Biodiversity</v>
      </c>
      <c r="F347" s="40">
        <f>_xlfn.XLOOKUP($B347,'27'!$B:$B,'27'!F:F,)</f>
        <v>2013</v>
      </c>
      <c r="G347" s="40">
        <f>_xlfn.XLOOKUP($B347,'27'!$B:$B,'27'!G:G,)</f>
        <v>2012</v>
      </c>
      <c r="H347" s="40">
        <f>_xlfn.XLOOKUP($B347,'27'!$B:$B,'27'!H:H,)</f>
        <v>2023</v>
      </c>
      <c r="I347" s="40">
        <f>_xlfn.XLOOKUP($B347,'27'!$B:$B,'27'!I:I,)</f>
        <v>75.139399999999995</v>
      </c>
      <c r="J347" s="40">
        <f>_xlfn.XLOOKUP($B347,'27'!$B:$B,'27'!J:J,)</f>
        <v>100</v>
      </c>
      <c r="K347" s="629">
        <f>_xlfn.XLOOKUP($B347,'27'!$B:$B,'27'!K:K,)</f>
        <v>-2833.3333333333335</v>
      </c>
      <c r="L347" s="629">
        <f>_xlfn.XLOOKUP($B347,'27'!$B:$B,'27'!L:L,)</f>
        <v>-3770.7691748048742</v>
      </c>
      <c r="M347" s="40" t="str">
        <f>_xlfn.XLOOKUP($B347,'27'!$B:$B,'27'!M:M,)</f>
        <v>Willingness to Pay</v>
      </c>
      <c r="N347" s="326">
        <f>_xlfn.XLOOKUP($B347,'27'!$B:$B,'27'!N:N,)</f>
        <v>2.1428571428571401</v>
      </c>
      <c r="O347" s="40" t="str">
        <f>_xlfn.XLOOKUP($B347,'27'!$B:$B,'27'!O:O,)</f>
        <v>Yes</v>
      </c>
      <c r="P347" s="40" t="str">
        <f>_xlfn.XLOOKUP($B347,'27'!$B:$B,'27'!P:P,)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7" s="40">
        <f>_xlfn.XLOOKUP($B347,'27'!$B:$B,'27'!Q:Q,)</f>
        <v>1</v>
      </c>
      <c r="R347" s="40" t="str">
        <f>_xlfn.XLOOKUP($B347,'27'!$B:$B,'27'!R:R,)</f>
        <v>Environment Agency (2013) Updating the National Water Environment Benefit Survey values: summary of the peer review</v>
      </c>
      <c r="S347" s="40" t="str">
        <f>_xlfn.XLOOKUP($B347,'27'!$B:$B,'27'!S:S,)</f>
        <v>ENCA</v>
      </c>
      <c r="T347" s="40">
        <f>_xlfn.XLOOKUP($B347,'27'!$B:$B,'27'!T:T,)</f>
        <v>2013</v>
      </c>
      <c r="U347" s="40" t="str">
        <f>_xlfn.XLOOKUP($B347,'27'!$B:$B,'27'!U:U,)</f>
        <v>England and Wales</v>
      </c>
      <c r="V347" s="40" t="str">
        <f>_xlfn.XLOOKUP($B347,'27'!$B:$B,'27'!V:V,)</f>
        <v>National average</v>
      </c>
      <c r="W347" s="40">
        <f>_xlfn.XLOOKUP($B347,'27'!$B:$B,'27'!W:W,)</f>
        <v>100</v>
      </c>
    </row>
    <row r="348" spans="2:23">
      <c r="B348" s="39" t="s">
        <v>1926</v>
      </c>
      <c r="C348" s="40" t="str">
        <f>_xlfn.XLOOKUP($B348,'27'!$B:$B,'27'!C:C,)</f>
        <v>Quality of the water environment</v>
      </c>
      <c r="D348" s="40" t="str">
        <f>_xlfn.XLOOKUP($B348,'27'!$B:$B,'27'!D:D,)</f>
        <v>Area of transitional water, coastal water, or lake water improved (good to high)</v>
      </c>
      <c r="E348" s="40" t="str">
        <f>_xlfn.XLOOKUP($B348,'27'!$B:$B,'27'!E:E,)</f>
        <v>Biodiversity</v>
      </c>
      <c r="F348" s="40">
        <f>_xlfn.XLOOKUP($B348,'27'!$B:$B,'27'!F:F,)</f>
        <v>2013</v>
      </c>
      <c r="G348" s="40">
        <f>_xlfn.XLOOKUP($B348,'27'!$B:$B,'27'!G:G,)</f>
        <v>2012</v>
      </c>
      <c r="H348" s="40">
        <f>_xlfn.XLOOKUP($B348,'27'!$B:$B,'27'!H:H,)</f>
        <v>2023</v>
      </c>
      <c r="I348" s="40">
        <f>_xlfn.XLOOKUP($B348,'27'!$B:$B,'27'!I:I,)</f>
        <v>75.139399999999995</v>
      </c>
      <c r="J348" s="40">
        <f>_xlfn.XLOOKUP($B348,'27'!$B:$B,'27'!J:J,)</f>
        <v>100</v>
      </c>
      <c r="K348" s="629">
        <f>_xlfn.XLOOKUP($B348,'27'!$B:$B,'27'!K:K,)</f>
        <v>-3177.7777777777774</v>
      </c>
      <c r="L348" s="629">
        <f>_xlfn.XLOOKUP($B348,'27'!$B:$B,'27'!L:L,)</f>
        <v>-4229.1764078203678</v>
      </c>
      <c r="M348" s="40" t="str">
        <f>_xlfn.XLOOKUP($B348,'27'!$B:$B,'27'!M:M,)</f>
        <v>Willingness to Pay</v>
      </c>
      <c r="N348" s="326">
        <f>_xlfn.XLOOKUP($B348,'27'!$B:$B,'27'!N:N,)</f>
        <v>2.1428571428571401</v>
      </c>
      <c r="O348" s="40" t="str">
        <f>_xlfn.XLOOKUP($B348,'27'!$B:$B,'27'!O:O,)</f>
        <v>Yes</v>
      </c>
      <c r="P348" s="40" t="str">
        <f>_xlfn.XLOOKUP($B348,'27'!$B:$B,'27'!P:P,)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8" s="40">
        <f>_xlfn.XLOOKUP($B348,'27'!$B:$B,'27'!Q:Q,)</f>
        <v>1</v>
      </c>
      <c r="R348" s="40" t="str">
        <f>_xlfn.XLOOKUP($B348,'27'!$B:$B,'27'!R:R,)</f>
        <v>Environment Agency (2013) Updating the National Water Environment Benefit Survey values: summary of the peer review</v>
      </c>
      <c r="S348" s="40" t="str">
        <f>_xlfn.XLOOKUP($B348,'27'!$B:$B,'27'!S:S,)</f>
        <v>ENCA</v>
      </c>
      <c r="T348" s="40">
        <f>_xlfn.XLOOKUP($B348,'27'!$B:$B,'27'!T:T,)</f>
        <v>2013</v>
      </c>
      <c r="U348" s="40" t="str">
        <f>_xlfn.XLOOKUP($B348,'27'!$B:$B,'27'!U:U,)</f>
        <v>England and Wales</v>
      </c>
      <c r="V348" s="40" t="str">
        <f>_xlfn.XLOOKUP($B348,'27'!$B:$B,'27'!V:V,)</f>
        <v>National average</v>
      </c>
      <c r="W348" s="40">
        <f>_xlfn.XLOOKUP($B348,'27'!$B:$B,'27'!W:W,)</f>
        <v>100</v>
      </c>
    </row>
    <row r="349" spans="2:23">
      <c r="B349" s="39" t="s">
        <v>1927</v>
      </c>
      <c r="C349" s="40" t="str">
        <f>_xlfn.XLOOKUP($B349,'27'!$B:$B,'27'!C:C,)</f>
        <v>Quality of the water environment</v>
      </c>
      <c r="D349" s="40" t="str">
        <f>_xlfn.XLOOKUP($B349,'27'!$B:$B,'27'!D:D,)</f>
        <v>In class benefit on transitional water, coastal water, or lake water quality</v>
      </c>
      <c r="E349" s="40" t="str">
        <f>_xlfn.XLOOKUP($B349,'27'!$B:$B,'27'!E:E,)</f>
        <v>Quality of place</v>
      </c>
      <c r="F349" s="40">
        <f>_xlfn.XLOOKUP($B349,'27'!$B:$B,'27'!F:F,)</f>
        <v>2013</v>
      </c>
      <c r="G349" s="40">
        <f>_xlfn.XLOOKUP($B349,'27'!$B:$B,'27'!G:G,)</f>
        <v>2012</v>
      </c>
      <c r="H349" s="40">
        <f>_xlfn.XLOOKUP($B349,'27'!$B:$B,'27'!H:H,)</f>
        <v>2023</v>
      </c>
      <c r="I349" s="40">
        <f>_xlfn.XLOOKUP($B349,'27'!$B:$B,'27'!I:I,)</f>
        <v>75.139399999999995</v>
      </c>
      <c r="J349" s="40">
        <f>_xlfn.XLOOKUP($B349,'27'!$B:$B,'27'!J:J,)</f>
        <v>100</v>
      </c>
      <c r="K349" s="629">
        <f>_xlfn.XLOOKUP($B349,'27'!$B:$B,'27'!K:K,)</f>
        <v>-348.14814814814804</v>
      </c>
      <c r="L349" s="629">
        <f>_xlfn.XLOOKUP($B349,'27'!$B:$B,'27'!L:L,)</f>
        <v>-463.336343047919</v>
      </c>
      <c r="M349" s="40" t="str">
        <f>_xlfn.XLOOKUP($B349,'27'!$B:$B,'27'!M:M,)</f>
        <v>Willingness to Pay</v>
      </c>
      <c r="N349" s="326">
        <f>_xlfn.XLOOKUP($B349,'27'!$B:$B,'27'!N:N,)</f>
        <v>2.1428571428571401</v>
      </c>
      <c r="O349" s="40" t="str">
        <f>_xlfn.XLOOKUP($B349,'27'!$B:$B,'27'!O:O,)</f>
        <v>Yes</v>
      </c>
      <c r="P349" s="40" t="str">
        <f>_xlfn.XLOOKUP($B349,'27'!$B:$B,'27'!P:P,)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49" s="40">
        <f>_xlfn.XLOOKUP($B349,'27'!$B:$B,'27'!Q:Q,)</f>
        <v>1</v>
      </c>
      <c r="R349" s="40" t="str">
        <f>_xlfn.XLOOKUP($B349,'27'!$B:$B,'27'!R:R,)</f>
        <v>Environment Agency (2013) Updating the National Water Environment Benefit Survey values: summary of the peer review</v>
      </c>
      <c r="S349" s="40" t="str">
        <f>_xlfn.XLOOKUP($B349,'27'!$B:$B,'27'!S:S,)</f>
        <v>ENCA</v>
      </c>
      <c r="T349" s="40">
        <f>_xlfn.XLOOKUP($B349,'27'!$B:$B,'27'!T:T,)</f>
        <v>2013</v>
      </c>
      <c r="U349" s="40" t="str">
        <f>_xlfn.XLOOKUP($B349,'27'!$B:$B,'27'!U:U,)</f>
        <v>England and Wales</v>
      </c>
      <c r="V349" s="40" t="str">
        <f>_xlfn.XLOOKUP($B349,'27'!$B:$B,'27'!V:V,)</f>
        <v>National average</v>
      </c>
      <c r="W349" s="40">
        <f>_xlfn.XLOOKUP($B349,'27'!$B:$B,'27'!W:W,)</f>
        <v>100</v>
      </c>
    </row>
    <row r="350" spans="2:23">
      <c r="B350" s="39" t="s">
        <v>1928</v>
      </c>
      <c r="C350" s="40" t="str">
        <f>_xlfn.XLOOKUP($B350,'27'!$B:$B,'27'!C:C,)</f>
        <v>Quality of the water environment</v>
      </c>
      <c r="D350" s="40" t="str">
        <f>_xlfn.XLOOKUP($B350,'27'!$B:$B,'27'!D:D,)</f>
        <v>Area of transitional water, coastal water, or lake water improved (bad to poor)</v>
      </c>
      <c r="E350" s="40" t="str">
        <f>_xlfn.XLOOKUP($B350,'27'!$B:$B,'27'!E:E,)</f>
        <v>Quality of place</v>
      </c>
      <c r="F350" s="40">
        <f>_xlfn.XLOOKUP($B350,'27'!$B:$B,'27'!F:F,)</f>
        <v>2013</v>
      </c>
      <c r="G350" s="40">
        <f>_xlfn.XLOOKUP($B350,'27'!$B:$B,'27'!G:G,)</f>
        <v>2012</v>
      </c>
      <c r="H350" s="40">
        <f>_xlfn.XLOOKUP($B350,'27'!$B:$B,'27'!H:H,)</f>
        <v>2023</v>
      </c>
      <c r="I350" s="40">
        <f>_xlfn.XLOOKUP($B350,'27'!$B:$B,'27'!I:I,)</f>
        <v>75.139399999999995</v>
      </c>
      <c r="J350" s="40">
        <f>_xlfn.XLOOKUP($B350,'27'!$B:$B,'27'!J:J,)</f>
        <v>100</v>
      </c>
      <c r="K350" s="629">
        <f>_xlfn.XLOOKUP($B350,'27'!$B:$B,'27'!K:K,)</f>
        <v>-2133.3333333333335</v>
      </c>
      <c r="L350" s="629">
        <f>_xlfn.XLOOKUP($B350,'27'!$B:$B,'27'!L:L,)</f>
        <v>-2839.1673786766114</v>
      </c>
      <c r="M350" s="40" t="str">
        <f>_xlfn.XLOOKUP($B350,'27'!$B:$B,'27'!M:M,)</f>
        <v>Willingness to Pay</v>
      </c>
      <c r="N350" s="326">
        <f>_xlfn.XLOOKUP($B350,'27'!$B:$B,'27'!N:N,)</f>
        <v>2.1428571428571401</v>
      </c>
      <c r="O350" s="40" t="str">
        <f>_xlfn.XLOOKUP($B350,'27'!$B:$B,'27'!O:O,)</f>
        <v>Yes</v>
      </c>
      <c r="P350" s="40" t="str">
        <f>_xlfn.XLOOKUP($B350,'27'!$B:$B,'27'!P:P,)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50" s="40">
        <f>_xlfn.XLOOKUP($B350,'27'!$B:$B,'27'!Q:Q,)</f>
        <v>1</v>
      </c>
      <c r="R350" s="40" t="str">
        <f>_xlfn.XLOOKUP($B350,'27'!$B:$B,'27'!R:R,)</f>
        <v>Environment Agency (2013) Updating the National Water Environment Benefit Survey values: summary of the peer review</v>
      </c>
      <c r="S350" s="40" t="str">
        <f>_xlfn.XLOOKUP($B350,'27'!$B:$B,'27'!S:S,)</f>
        <v>ENCA</v>
      </c>
      <c r="T350" s="40">
        <f>_xlfn.XLOOKUP($B350,'27'!$B:$B,'27'!T:T,)</f>
        <v>2013</v>
      </c>
      <c r="U350" s="40" t="str">
        <f>_xlfn.XLOOKUP($B350,'27'!$B:$B,'27'!U:U,)</f>
        <v>England and Wales</v>
      </c>
      <c r="V350" s="40" t="str">
        <f>_xlfn.XLOOKUP($B350,'27'!$B:$B,'27'!V:V,)</f>
        <v>National average</v>
      </c>
      <c r="W350" s="40">
        <f>_xlfn.XLOOKUP($B350,'27'!$B:$B,'27'!W:W,)</f>
        <v>100</v>
      </c>
    </row>
    <row r="351" spans="2:23">
      <c r="B351" s="39" t="s">
        <v>1929</v>
      </c>
      <c r="C351" s="40" t="str">
        <f>_xlfn.XLOOKUP($B351,'27'!$B:$B,'27'!C:C,)</f>
        <v>Quality of the water environment</v>
      </c>
      <c r="D351" s="40" t="str">
        <f>_xlfn.XLOOKUP($B351,'27'!$B:$B,'27'!D:D,)</f>
        <v>Area of transitional water, coastal water, or lake water improved (poor to moderate)</v>
      </c>
      <c r="E351" s="40" t="str">
        <f>_xlfn.XLOOKUP($B351,'27'!$B:$B,'27'!E:E,)</f>
        <v>Quality of place</v>
      </c>
      <c r="F351" s="40">
        <f>_xlfn.XLOOKUP($B351,'27'!$B:$B,'27'!F:F,)</f>
        <v>2013</v>
      </c>
      <c r="G351" s="40">
        <f>_xlfn.XLOOKUP($B351,'27'!$B:$B,'27'!G:G,)</f>
        <v>2012</v>
      </c>
      <c r="H351" s="40">
        <f>_xlfn.XLOOKUP($B351,'27'!$B:$B,'27'!H:H,)</f>
        <v>2023</v>
      </c>
      <c r="I351" s="40">
        <f>_xlfn.XLOOKUP($B351,'27'!$B:$B,'27'!I:I,)</f>
        <v>75.139399999999995</v>
      </c>
      <c r="J351" s="40">
        <f>_xlfn.XLOOKUP($B351,'27'!$B:$B,'27'!J:J,)</f>
        <v>100</v>
      </c>
      <c r="K351" s="629">
        <f>_xlfn.XLOOKUP($B351,'27'!$B:$B,'27'!K:K,)</f>
        <v>-2466.6666666666665</v>
      </c>
      <c r="L351" s="629">
        <f>_xlfn.XLOOKUP($B351,'27'!$B:$B,'27'!L:L,)</f>
        <v>-3282.7872815948313</v>
      </c>
      <c r="M351" s="40" t="str">
        <f>_xlfn.XLOOKUP($B351,'27'!$B:$B,'27'!M:M,)</f>
        <v>Willingness to Pay</v>
      </c>
      <c r="N351" s="326">
        <f>_xlfn.XLOOKUP($B351,'27'!$B:$B,'27'!N:N,)</f>
        <v>2.1428571428571401</v>
      </c>
      <c r="O351" s="40" t="str">
        <f>_xlfn.XLOOKUP($B351,'27'!$B:$B,'27'!O:O,)</f>
        <v>Yes</v>
      </c>
      <c r="P351" s="40" t="str">
        <f>_xlfn.XLOOKUP($B351,'27'!$B:$B,'27'!P:P,)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51" s="40">
        <f>_xlfn.XLOOKUP($B351,'27'!$B:$B,'27'!Q:Q,)</f>
        <v>1</v>
      </c>
      <c r="R351" s="40" t="str">
        <f>_xlfn.XLOOKUP($B351,'27'!$B:$B,'27'!R:R,)</f>
        <v>Environment Agency (2013) Updating the National Water Environment Benefit Survey values: summary of the peer review</v>
      </c>
      <c r="S351" s="40" t="str">
        <f>_xlfn.XLOOKUP($B351,'27'!$B:$B,'27'!S:S,)</f>
        <v>ENCA</v>
      </c>
      <c r="T351" s="40">
        <f>_xlfn.XLOOKUP($B351,'27'!$B:$B,'27'!T:T,)</f>
        <v>2013</v>
      </c>
      <c r="U351" s="40" t="str">
        <f>_xlfn.XLOOKUP($B351,'27'!$B:$B,'27'!U:U,)</f>
        <v>England and Wales</v>
      </c>
      <c r="V351" s="40" t="str">
        <f>_xlfn.XLOOKUP($B351,'27'!$B:$B,'27'!V:V,)</f>
        <v>National average</v>
      </c>
      <c r="W351" s="40">
        <f>_xlfn.XLOOKUP($B351,'27'!$B:$B,'27'!W:W,)</f>
        <v>100</v>
      </c>
    </row>
    <row r="352" spans="2:23">
      <c r="B352" s="39" t="s">
        <v>1930</v>
      </c>
      <c r="C352" s="40" t="str">
        <f>_xlfn.XLOOKUP($B352,'27'!$B:$B,'27'!C:C,)</f>
        <v>Quality of the water environment</v>
      </c>
      <c r="D352" s="40" t="str">
        <f>_xlfn.XLOOKUP($B352,'27'!$B:$B,'27'!D:D,)</f>
        <v>Area of transitional water, coastal water, or lake water improved (moderate to good)</v>
      </c>
      <c r="E352" s="40" t="str">
        <f>_xlfn.XLOOKUP($B352,'27'!$B:$B,'27'!E:E,)</f>
        <v>Quality of place</v>
      </c>
      <c r="F352" s="40">
        <f>_xlfn.XLOOKUP($B352,'27'!$B:$B,'27'!F:F,)</f>
        <v>2013</v>
      </c>
      <c r="G352" s="40">
        <f>_xlfn.XLOOKUP($B352,'27'!$B:$B,'27'!G:G,)</f>
        <v>2012</v>
      </c>
      <c r="H352" s="40">
        <f>_xlfn.XLOOKUP($B352,'27'!$B:$B,'27'!H:H,)</f>
        <v>2023</v>
      </c>
      <c r="I352" s="40">
        <f>_xlfn.XLOOKUP($B352,'27'!$B:$B,'27'!I:I,)</f>
        <v>75.139399999999995</v>
      </c>
      <c r="J352" s="40">
        <f>_xlfn.XLOOKUP($B352,'27'!$B:$B,'27'!J:J,)</f>
        <v>100</v>
      </c>
      <c r="K352" s="629">
        <f>_xlfn.XLOOKUP($B352,'27'!$B:$B,'27'!K:K,)</f>
        <v>-2833.3333333333335</v>
      </c>
      <c r="L352" s="629">
        <f>_xlfn.XLOOKUP($B352,'27'!$B:$B,'27'!L:L,)</f>
        <v>-3770.7691748048742</v>
      </c>
      <c r="M352" s="40" t="str">
        <f>_xlfn.XLOOKUP($B352,'27'!$B:$B,'27'!M:M,)</f>
        <v>Willingness to Pay</v>
      </c>
      <c r="N352" s="326">
        <f>_xlfn.XLOOKUP($B352,'27'!$B:$B,'27'!N:N,)</f>
        <v>2.1428571428571401</v>
      </c>
      <c r="O352" s="40" t="str">
        <f>_xlfn.XLOOKUP($B352,'27'!$B:$B,'27'!O:O,)</f>
        <v>Yes</v>
      </c>
      <c r="P352" s="40" t="str">
        <f>_xlfn.XLOOKUP($B352,'27'!$B:$B,'27'!P:P,)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52" s="40">
        <f>_xlfn.XLOOKUP($B352,'27'!$B:$B,'27'!Q:Q,)</f>
        <v>1</v>
      </c>
      <c r="R352" s="40" t="str">
        <f>_xlfn.XLOOKUP($B352,'27'!$B:$B,'27'!R:R,)</f>
        <v>Environment Agency (2013) Updating the National Water Environment Benefit Survey values: summary of the peer review</v>
      </c>
      <c r="S352" s="40" t="str">
        <f>_xlfn.XLOOKUP($B352,'27'!$B:$B,'27'!S:S,)</f>
        <v>ENCA</v>
      </c>
      <c r="T352" s="40">
        <f>_xlfn.XLOOKUP($B352,'27'!$B:$B,'27'!T:T,)</f>
        <v>2013</v>
      </c>
      <c r="U352" s="40" t="str">
        <f>_xlfn.XLOOKUP($B352,'27'!$B:$B,'27'!U:U,)</f>
        <v>England and Wales</v>
      </c>
      <c r="V352" s="40" t="str">
        <f>_xlfn.XLOOKUP($B352,'27'!$B:$B,'27'!V:V,)</f>
        <v>National average</v>
      </c>
      <c r="W352" s="40">
        <f>_xlfn.XLOOKUP($B352,'27'!$B:$B,'27'!W:W,)</f>
        <v>100</v>
      </c>
    </row>
    <row r="353" spans="2:23">
      <c r="B353" s="39" t="s">
        <v>1931</v>
      </c>
      <c r="C353" s="40" t="str">
        <f>_xlfn.XLOOKUP($B353,'27'!$B:$B,'27'!C:C,)</f>
        <v>Quality of the water environment</v>
      </c>
      <c r="D353" s="40" t="str">
        <f>_xlfn.XLOOKUP($B353,'27'!$B:$B,'27'!D:D,)</f>
        <v>Area of transitional water, coastal water, or lake water improved (good to high)</v>
      </c>
      <c r="E353" s="40" t="str">
        <f>_xlfn.XLOOKUP($B353,'27'!$B:$B,'27'!E:E,)</f>
        <v>Quality of place</v>
      </c>
      <c r="F353" s="40">
        <f>_xlfn.XLOOKUP($B353,'27'!$B:$B,'27'!F:F,)</f>
        <v>2013</v>
      </c>
      <c r="G353" s="40">
        <f>_xlfn.XLOOKUP($B353,'27'!$B:$B,'27'!G:G,)</f>
        <v>2012</v>
      </c>
      <c r="H353" s="40">
        <f>_xlfn.XLOOKUP($B353,'27'!$B:$B,'27'!H:H,)</f>
        <v>2023</v>
      </c>
      <c r="I353" s="40">
        <f>_xlfn.XLOOKUP($B353,'27'!$B:$B,'27'!I:I,)</f>
        <v>75.139399999999995</v>
      </c>
      <c r="J353" s="40">
        <f>_xlfn.XLOOKUP($B353,'27'!$B:$B,'27'!J:J,)</f>
        <v>100</v>
      </c>
      <c r="K353" s="629">
        <f>_xlfn.XLOOKUP($B353,'27'!$B:$B,'27'!K:K,)</f>
        <v>-3177.7777777777774</v>
      </c>
      <c r="L353" s="629">
        <f>_xlfn.XLOOKUP($B353,'27'!$B:$B,'27'!L:L,)</f>
        <v>-4229.1764078203678</v>
      </c>
      <c r="M353" s="40" t="str">
        <f>_xlfn.XLOOKUP($B353,'27'!$B:$B,'27'!M:M,)</f>
        <v>Willingness to Pay</v>
      </c>
      <c r="N353" s="326">
        <f>_xlfn.XLOOKUP($B353,'27'!$B:$B,'27'!N:N,)</f>
        <v>2.1428571428571401</v>
      </c>
      <c r="O353" s="40" t="str">
        <f>_xlfn.XLOOKUP($B353,'27'!$B:$B,'27'!O:O,)</f>
        <v>Yes</v>
      </c>
      <c r="P353" s="40" t="str">
        <f>_xlfn.XLOOKUP($B353,'27'!$B:$B,'27'!P:P,)</f>
        <v xml:space="preserve">We have chosen the NWEBS study quoted in ENCA because it provides the distinction between different bands of water quality classifications. As the value includes recreation, amenity and non-use, we have split the value across these three outcomes. ENCA is a reputable source and the values are geographically relevant. </v>
      </c>
      <c r="Q353" s="40">
        <f>_xlfn.XLOOKUP($B353,'27'!$B:$B,'27'!Q:Q,)</f>
        <v>1</v>
      </c>
      <c r="R353" s="40" t="str">
        <f>_xlfn.XLOOKUP($B353,'27'!$B:$B,'27'!R:R,)</f>
        <v>Environment Agency (2013) Updating the National Water Environment Benefit Survey values: summary of the peer review</v>
      </c>
      <c r="S353" s="40" t="str">
        <f>_xlfn.XLOOKUP($B353,'27'!$B:$B,'27'!S:S,)</f>
        <v>ENCA</v>
      </c>
      <c r="T353" s="40">
        <f>_xlfn.XLOOKUP($B353,'27'!$B:$B,'27'!T:T,)</f>
        <v>2013</v>
      </c>
      <c r="U353" s="40" t="str">
        <f>_xlfn.XLOOKUP($B353,'27'!$B:$B,'27'!U:U,)</f>
        <v>England and Wales</v>
      </c>
      <c r="V353" s="40" t="str">
        <f>_xlfn.XLOOKUP($B353,'27'!$B:$B,'27'!V:V,)</f>
        <v>National average</v>
      </c>
      <c r="W353" s="40">
        <f>_xlfn.XLOOKUP($B353,'27'!$B:$B,'27'!W:W,)</f>
        <v>100</v>
      </c>
    </row>
    <row r="354" spans="2:23">
      <c r="B354" s="39" t="s">
        <v>3962</v>
      </c>
      <c r="C354" s="40" t="str">
        <f>_xlfn.XLOOKUP($B354,'45'!$B:$B,'45'!C:C,)</f>
        <v>Security (physical &amp; cyber)</v>
      </c>
      <c r="D354" s="40" t="str">
        <f>_xlfn.XLOOKUP($B354,'45'!$B:$B,'45'!D:D,)</f>
        <v>Physical security breach</v>
      </c>
      <c r="E354" s="40" t="str">
        <f>_xlfn.XLOOKUP($B354,'45'!$B:$B,'45'!E:E,)</f>
        <v>Private costs</v>
      </c>
      <c r="F354" s="40">
        <f>_xlfn.XLOOKUP($B354,'45'!$B:$B,'45'!F:F,)</f>
        <v>2018</v>
      </c>
      <c r="G354" s="40">
        <f>_xlfn.XLOOKUP($B354,'45'!$B:$B,'45'!G:G,)</f>
        <v>2016</v>
      </c>
      <c r="H354" s="40">
        <f>_xlfn.XLOOKUP($B354,'45'!$B:$B,'45'!H:H,)</f>
        <v>2023</v>
      </c>
      <c r="I354" s="40">
        <f>_xlfn.XLOOKUP($B354,'45'!$B:$B,'45'!I:I,)</f>
        <v>79.790499999999994</v>
      </c>
      <c r="J354" s="40">
        <f>_xlfn.XLOOKUP($B354,'45'!$B:$B,'45'!J:J,)</f>
        <v>100</v>
      </c>
      <c r="K354" s="629">
        <f>_xlfn.XLOOKUP($B354,'45'!$B:$B,'45'!K:K,)</f>
        <v>4837.1428571428569</v>
      </c>
      <c r="L354" s="629">
        <f>_xlfn.XLOOKUP($B354,'45'!$B:$B,'45'!L:L,)</f>
        <v>6062.3042306325406</v>
      </c>
      <c r="M354" s="40" t="str">
        <f>_xlfn.XLOOKUP($B354,'45'!$B:$B,'45'!M:M,)</f>
        <v>Damage costs</v>
      </c>
      <c r="N354" s="326">
        <f>_xlfn.XLOOKUP($B354,'45'!$B:$B,'45'!N:N,)</f>
        <v>2.8333333333333335</v>
      </c>
      <c r="O354" s="40" t="str">
        <f>_xlfn.XLOOKUP($B354,'45'!$B:$B,'45'!O:O,)</f>
        <v>Yes</v>
      </c>
      <c r="P354" s="40" t="str">
        <f>_xlfn.XLOOKUP($B354,'45'!$B:$B,'45'!P:P,)</f>
        <v>Reputable source and based on survey data</v>
      </c>
      <c r="Q354" s="40">
        <f>_xlfn.XLOOKUP($B354,'45'!$B:$B,'45'!Q:Q,)</f>
        <v>56</v>
      </c>
      <c r="R354" s="40" t="str">
        <f>_xlfn.XLOOKUP($B354,'45'!$B:$B,'45'!R:R,)</f>
        <v>Home Office (2018) The economic and social costs of crime second edition.</v>
      </c>
      <c r="S354" s="40">
        <f>_xlfn.XLOOKUP($B354,'45'!$B:$B,'45'!S:S,)</f>
        <v>0</v>
      </c>
      <c r="T354" s="40">
        <f>_xlfn.XLOOKUP($B354,'45'!$B:$B,'45'!T:T,)</f>
        <v>2018</v>
      </c>
      <c r="U354" s="40" t="str">
        <f>_xlfn.XLOOKUP($B354,'45'!$B:$B,'45'!U:U,)</f>
        <v>England and Wales</v>
      </c>
      <c r="V354" s="40" t="str">
        <f>_xlfn.XLOOKUP($B354,'45'!$B:$B,'45'!V:V,)</f>
        <v>England and Wales</v>
      </c>
      <c r="W354" s="40">
        <f>_xlfn.XLOOKUP($B354,'45'!$B:$B,'45'!W:W,)</f>
        <v>0</v>
      </c>
    </row>
    <row r="355" spans="2:23">
      <c r="B355" s="39" t="s">
        <v>3963</v>
      </c>
      <c r="C355" s="40" t="str">
        <f>_xlfn.XLOOKUP($B355,'45'!$B:$B,'45'!C:C,)</f>
        <v>Security (physical &amp; cyber)</v>
      </c>
      <c r="D355" s="40" t="str">
        <f>_xlfn.XLOOKUP($B355,'45'!$B:$B,'45'!D:D,)</f>
        <v>Physical security breach</v>
      </c>
      <c r="E355" s="40" t="str">
        <f>_xlfn.XLOOKUP($B355,'45'!$B:$B,'45'!E:E,)</f>
        <v>Local economy</v>
      </c>
      <c r="F355" s="40">
        <f>_xlfn.XLOOKUP($B355,'45'!$B:$B,'45'!F:F,)</f>
        <v>2018</v>
      </c>
      <c r="G355" s="40">
        <f>_xlfn.XLOOKUP($B355,'45'!$B:$B,'45'!G:G,)</f>
        <v>2016</v>
      </c>
      <c r="H355" s="40">
        <f>_xlfn.XLOOKUP($B355,'45'!$B:$B,'45'!H:H,)</f>
        <v>2023</v>
      </c>
      <c r="I355" s="40">
        <f>_xlfn.XLOOKUP($B355,'45'!$B:$B,'45'!I:I,)</f>
        <v>79.790499999999994</v>
      </c>
      <c r="J355" s="40">
        <f>_xlfn.XLOOKUP($B355,'45'!$B:$B,'45'!J:J,)</f>
        <v>100</v>
      </c>
      <c r="K355" s="629">
        <f>_xlfn.XLOOKUP($B355,'45'!$B:$B,'45'!K:K,)</f>
        <v>2475.7142857142858</v>
      </c>
      <c r="L355" s="629">
        <f>_xlfn.XLOOKUP($B355,'45'!$B:$B,'45'!L:L,)</f>
        <v>3102.7682314489643</v>
      </c>
      <c r="M355" s="40" t="str">
        <f>_xlfn.XLOOKUP($B355,'45'!$B:$B,'45'!M:M,)</f>
        <v>Damage costs</v>
      </c>
      <c r="N355" s="326">
        <f>_xlfn.XLOOKUP($B355,'45'!$B:$B,'45'!N:N,)</f>
        <v>2.8333333333333335</v>
      </c>
      <c r="O355" s="40" t="str">
        <f>_xlfn.XLOOKUP($B355,'45'!$B:$B,'45'!O:O,)</f>
        <v>Yes</v>
      </c>
      <c r="P355" s="40" t="str">
        <f>_xlfn.XLOOKUP($B355,'45'!$B:$B,'45'!P:P,)</f>
        <v>Reputable source and based on survey data</v>
      </c>
      <c r="Q355" s="40">
        <f>_xlfn.XLOOKUP($B355,'45'!$B:$B,'45'!Q:Q,)</f>
        <v>56</v>
      </c>
      <c r="R355" s="40" t="str">
        <f>_xlfn.XLOOKUP($B355,'45'!$B:$B,'45'!R:R,)</f>
        <v>Home Office (2018) The economic and social costs of crime second edition.</v>
      </c>
      <c r="S355" s="40">
        <f>_xlfn.XLOOKUP($B355,'45'!$B:$B,'45'!S:S,)</f>
        <v>0</v>
      </c>
      <c r="T355" s="40">
        <f>_xlfn.XLOOKUP($B355,'45'!$B:$B,'45'!T:T,)</f>
        <v>2018</v>
      </c>
      <c r="U355" s="40" t="str">
        <f>_xlfn.XLOOKUP($B355,'45'!$B:$B,'45'!U:U,)</f>
        <v>England and Wales</v>
      </c>
      <c r="V355" s="40" t="str">
        <f>_xlfn.XLOOKUP($B355,'45'!$B:$B,'45'!V:V,)</f>
        <v>England and Wales</v>
      </c>
      <c r="W355" s="40">
        <f>_xlfn.XLOOKUP($B355,'45'!$B:$B,'45'!W:W,)</f>
        <v>0</v>
      </c>
    </row>
    <row r="356" spans="2:23">
      <c r="B356" s="39" t="s">
        <v>3964</v>
      </c>
      <c r="C356" s="40" t="str">
        <f>_xlfn.XLOOKUP($B356,'45'!$B:$B,'45'!C:C,)</f>
        <v>Security (physical &amp; cyber)</v>
      </c>
      <c r="D356" s="40" t="str">
        <f>_xlfn.XLOOKUP($B356,'45'!$B:$B,'45'!D:D,)</f>
        <v>Physical security breach</v>
      </c>
      <c r="E356" s="40" t="str">
        <f>_xlfn.XLOOKUP($B356,'45'!$B:$B,'45'!E:E,)</f>
        <v>Health and wellbeing</v>
      </c>
      <c r="F356" s="40">
        <f>_xlfn.XLOOKUP($B356,'45'!$B:$B,'45'!F:F,)</f>
        <v>2018</v>
      </c>
      <c r="G356" s="40">
        <f>_xlfn.XLOOKUP($B356,'45'!$B:$B,'45'!G:G,)</f>
        <v>2016</v>
      </c>
      <c r="H356" s="40">
        <f>_xlfn.XLOOKUP($B356,'45'!$B:$B,'45'!H:H,)</f>
        <v>2023</v>
      </c>
      <c r="I356" s="40">
        <f>_xlfn.XLOOKUP($B356,'45'!$B:$B,'45'!I:I,)</f>
        <v>79.790499999999994</v>
      </c>
      <c r="J356" s="40">
        <f>_xlfn.XLOOKUP($B356,'45'!$B:$B,'45'!J:J,)</f>
        <v>100</v>
      </c>
      <c r="K356" s="629">
        <f>_xlfn.XLOOKUP($B356,'45'!$B:$B,'45'!K:K,)</f>
        <v>443.57142857142856</v>
      </c>
      <c r="L356" s="629">
        <f>_xlfn.XLOOKUP($B356,'45'!$B:$B,'45'!L:L,)</f>
        <v>555.92010148003658</v>
      </c>
      <c r="M356" s="40" t="str">
        <f>_xlfn.XLOOKUP($B356,'45'!$B:$B,'45'!M:M,)</f>
        <v>Damage costs</v>
      </c>
      <c r="N356" s="326">
        <f>_xlfn.XLOOKUP($B356,'45'!$B:$B,'45'!N:N,)</f>
        <v>2.8333333333333335</v>
      </c>
      <c r="O356" s="40" t="str">
        <f>_xlfn.XLOOKUP($B356,'45'!$B:$B,'45'!O:O,)</f>
        <v>Yes</v>
      </c>
      <c r="P356" s="40" t="str">
        <f>_xlfn.XLOOKUP($B356,'45'!$B:$B,'45'!P:P,)</f>
        <v>Reputable source and based on survey data</v>
      </c>
      <c r="Q356" s="40">
        <f>_xlfn.XLOOKUP($B356,'45'!$B:$B,'45'!Q:Q,)</f>
        <v>56</v>
      </c>
      <c r="R356" s="40" t="str">
        <f>_xlfn.XLOOKUP($B356,'45'!$B:$B,'45'!R:R,)</f>
        <v>Home Office (2018) The economic and social costs of crime second edition.</v>
      </c>
      <c r="S356" s="40">
        <f>_xlfn.XLOOKUP($B356,'45'!$B:$B,'45'!S:S,)</f>
        <v>0</v>
      </c>
      <c r="T356" s="40">
        <f>_xlfn.XLOOKUP($B356,'45'!$B:$B,'45'!T:T,)</f>
        <v>2018</v>
      </c>
      <c r="U356" s="40" t="str">
        <f>_xlfn.XLOOKUP($B356,'45'!$B:$B,'45'!U:U,)</f>
        <v>England and Wales</v>
      </c>
      <c r="V356" s="40" t="str">
        <f>_xlfn.XLOOKUP($B356,'45'!$B:$B,'45'!V:V,)</f>
        <v>England and Wales</v>
      </c>
      <c r="W356" s="40">
        <f>_xlfn.XLOOKUP($B356,'45'!$B:$B,'45'!W:W,)</f>
        <v>0</v>
      </c>
    </row>
    <row r="357" spans="2:23">
      <c r="B357" s="39" t="s">
        <v>3965</v>
      </c>
      <c r="C357" s="40" t="str">
        <f>_xlfn.XLOOKUP($B357,'45'!$B:$B,'45'!C:C,)</f>
        <v>Security (physical &amp; cyber)</v>
      </c>
      <c r="D357" s="40" t="str">
        <f>_xlfn.XLOOKUP($B357,'45'!$B:$B,'45'!D:D,)</f>
        <v xml:space="preserve">Loss of customer data </v>
      </c>
      <c r="E357" s="40" t="str">
        <f>_xlfn.XLOOKUP($B357,'45'!$B:$B,'45'!E:E,)</f>
        <v>Health and wellbeing</v>
      </c>
      <c r="F357" s="40">
        <f>_xlfn.XLOOKUP($B357,'45'!$B:$B,'45'!F:F,)</f>
        <v>2018</v>
      </c>
      <c r="G357" s="40">
        <f>_xlfn.XLOOKUP($B357,'45'!$B:$B,'45'!G:G,)</f>
        <v>2016</v>
      </c>
      <c r="H357" s="40">
        <f>_xlfn.XLOOKUP($B357,'45'!$B:$B,'45'!H:H,)</f>
        <v>2023</v>
      </c>
      <c r="I357" s="40">
        <f>_xlfn.XLOOKUP($B357,'45'!$B:$B,'45'!I:I,)</f>
        <v>79.790499999999994</v>
      </c>
      <c r="J357" s="40">
        <f>_xlfn.XLOOKUP($B357,'45'!$B:$B,'45'!J:J,)</f>
        <v>100</v>
      </c>
      <c r="K357" s="629">
        <f>_xlfn.XLOOKUP($B357,'45'!$B:$B,'45'!K:K,)</f>
        <v>150</v>
      </c>
      <c r="L357" s="629">
        <f>_xlfn.XLOOKUP($B357,'45'!$B:$B,'45'!L:L,)</f>
        <v>187.99230484832154</v>
      </c>
      <c r="M357" s="40" t="str">
        <f>_xlfn.XLOOKUP($B357,'45'!$B:$B,'45'!M:M,)</f>
        <v>Damage costs</v>
      </c>
      <c r="N357" s="326">
        <f>_xlfn.XLOOKUP($B357,'45'!$B:$B,'45'!N:N,)</f>
        <v>2.8333333333333335</v>
      </c>
      <c r="O357" s="40" t="str">
        <f>_xlfn.XLOOKUP($B357,'45'!$B:$B,'45'!O:O,)</f>
        <v>Yes</v>
      </c>
      <c r="P357" s="40" t="str">
        <f>_xlfn.XLOOKUP($B357,'45'!$B:$B,'45'!P:P,)</f>
        <v>Reputable source and based on survey data</v>
      </c>
      <c r="Q357" s="40">
        <f>_xlfn.XLOOKUP($B357,'45'!$B:$B,'45'!Q:Q,)</f>
        <v>56</v>
      </c>
      <c r="R357" s="40" t="str">
        <f>_xlfn.XLOOKUP($B357,'45'!$B:$B,'45'!R:R,)</f>
        <v>Home Office (2018) The economic and social costs of crime second edition.</v>
      </c>
      <c r="S357" s="40">
        <f>_xlfn.XLOOKUP($B357,'45'!$B:$B,'45'!S:S,)</f>
        <v>0</v>
      </c>
      <c r="T357" s="40">
        <f>_xlfn.XLOOKUP($B357,'45'!$B:$B,'45'!T:T,)</f>
        <v>2018</v>
      </c>
      <c r="U357" s="40" t="str">
        <f>_xlfn.XLOOKUP($B357,'45'!$B:$B,'45'!U:U,)</f>
        <v>England and Wales</v>
      </c>
      <c r="V357" s="40" t="str">
        <f>_xlfn.XLOOKUP($B357,'45'!$B:$B,'45'!V:V,)</f>
        <v>England and Wales</v>
      </c>
      <c r="W357" s="40">
        <f>_xlfn.XLOOKUP($B357,'45'!$B:$B,'45'!W:W,)</f>
        <v>0</v>
      </c>
    </row>
    <row r="358" spans="2:23">
      <c r="B358" s="39" t="s">
        <v>3966</v>
      </c>
      <c r="C358" s="40" t="str">
        <f>_xlfn.XLOOKUP($B358,'45'!$B:$B,'45'!C:C,)</f>
        <v>Security (physical &amp; cyber)</v>
      </c>
      <c r="D358" s="40" t="str">
        <f>_xlfn.XLOOKUP($B358,'45'!$B:$B,'45'!D:D,)</f>
        <v>Physical security breach</v>
      </c>
      <c r="E358" s="40" t="str">
        <f>_xlfn.XLOOKUP($B358,'45'!$B:$B,'45'!E:E,)</f>
        <v>Safety and security</v>
      </c>
      <c r="F358" s="40">
        <f>_xlfn.XLOOKUP($B358,'45'!$B:$B,'45'!F:F,)</f>
        <v>2018</v>
      </c>
      <c r="G358" s="40">
        <f>_xlfn.XLOOKUP($B358,'45'!$B:$B,'45'!G:G,)</f>
        <v>2016</v>
      </c>
      <c r="H358" s="40">
        <f>_xlfn.XLOOKUP($B358,'45'!$B:$B,'45'!H:H,)</f>
        <v>2023</v>
      </c>
      <c r="I358" s="40">
        <f>_xlfn.XLOOKUP($B358,'45'!$B:$B,'45'!I:I,)</f>
        <v>79.790499999999994</v>
      </c>
      <c r="J358" s="40">
        <f>_xlfn.XLOOKUP($B358,'45'!$B:$B,'45'!J:J,)</f>
        <v>100</v>
      </c>
      <c r="K358" s="629">
        <f>_xlfn.XLOOKUP($B358,'45'!$B:$B,'45'!K:K,)</f>
        <v>443.57142857142856</v>
      </c>
      <c r="L358" s="629">
        <f>_xlfn.XLOOKUP($B358,'45'!$B:$B,'45'!L:L,)</f>
        <v>555.92010148003658</v>
      </c>
      <c r="M358" s="40" t="str">
        <f>_xlfn.XLOOKUP($B358,'45'!$B:$B,'45'!M:M,)</f>
        <v>Damage costs</v>
      </c>
      <c r="N358" s="326">
        <f>_xlfn.XLOOKUP($B358,'45'!$B:$B,'45'!N:N,)</f>
        <v>2.8333333333333335</v>
      </c>
      <c r="O358" s="40" t="str">
        <f>_xlfn.XLOOKUP($B358,'45'!$B:$B,'45'!O:O,)</f>
        <v>Yes</v>
      </c>
      <c r="P358" s="40" t="str">
        <f>_xlfn.XLOOKUP($B358,'45'!$B:$B,'45'!P:P,)</f>
        <v>Reputable source and based on survey data</v>
      </c>
      <c r="Q358" s="40">
        <f>_xlfn.XLOOKUP($B358,'45'!$B:$B,'45'!Q:Q,)</f>
        <v>56</v>
      </c>
      <c r="R358" s="40" t="str">
        <f>_xlfn.XLOOKUP($B358,'45'!$B:$B,'45'!R:R,)</f>
        <v>Home Office (2018) The economic and social costs of crime second edition.</v>
      </c>
      <c r="S358" s="40">
        <f>_xlfn.XLOOKUP($B358,'45'!$B:$B,'45'!S:S,)</f>
        <v>0</v>
      </c>
      <c r="T358" s="40">
        <f>_xlfn.XLOOKUP($B358,'45'!$B:$B,'45'!T:T,)</f>
        <v>2018</v>
      </c>
      <c r="U358" s="40" t="str">
        <f>_xlfn.XLOOKUP($B358,'45'!$B:$B,'45'!U:U,)</f>
        <v>England and Wales</v>
      </c>
      <c r="V358" s="40" t="str">
        <f>_xlfn.XLOOKUP($B358,'45'!$B:$B,'45'!V:V,)</f>
        <v>England and Wales</v>
      </c>
      <c r="W358" s="40">
        <f>_xlfn.XLOOKUP($B358,'45'!$B:$B,'45'!W:W,)</f>
        <v>0</v>
      </c>
    </row>
    <row r="359" spans="2:23">
      <c r="B359" s="39" t="s">
        <v>3967</v>
      </c>
      <c r="C359" s="40" t="str">
        <f>_xlfn.XLOOKUP($B359,'45'!$B:$B,'45'!C:C,)</f>
        <v>Security (physical &amp; cyber)</v>
      </c>
      <c r="D359" s="40" t="str">
        <f>_xlfn.XLOOKUP($B359,'45'!$B:$B,'45'!D:D,)</f>
        <v>Physical security breach</v>
      </c>
      <c r="E359" s="40" t="str">
        <f>_xlfn.XLOOKUP($B359,'45'!$B:$B,'45'!E:E,)</f>
        <v>Routine and practices</v>
      </c>
      <c r="F359" s="40">
        <f>_xlfn.XLOOKUP($B359,'45'!$B:$B,'45'!F:F,)</f>
        <v>2018</v>
      </c>
      <c r="G359" s="40">
        <f>_xlfn.XLOOKUP($B359,'45'!$B:$B,'45'!G:G,)</f>
        <v>2016</v>
      </c>
      <c r="H359" s="40">
        <f>_xlfn.XLOOKUP($B359,'45'!$B:$B,'45'!H:H,)</f>
        <v>2023</v>
      </c>
      <c r="I359" s="40">
        <f>_xlfn.XLOOKUP($B359,'45'!$B:$B,'45'!I:I,)</f>
        <v>79.790499999999994</v>
      </c>
      <c r="J359" s="40">
        <f>_xlfn.XLOOKUP($B359,'45'!$B:$B,'45'!J:J,)</f>
        <v>100</v>
      </c>
      <c r="K359" s="629">
        <f>_xlfn.XLOOKUP($B359,'45'!$B:$B,'45'!K:K,)</f>
        <v>491.42857142857144</v>
      </c>
      <c r="L359" s="629">
        <f>_xlfn.XLOOKUP($B359,'45'!$B:$B,'45'!L:L,)</f>
        <v>615.8985987411678</v>
      </c>
      <c r="M359" s="40" t="str">
        <f>_xlfn.XLOOKUP($B359,'45'!$B:$B,'45'!M:M,)</f>
        <v>Damage costs</v>
      </c>
      <c r="N359" s="326">
        <f>_xlfn.XLOOKUP($B359,'45'!$B:$B,'45'!N:N,)</f>
        <v>2.8333333333333335</v>
      </c>
      <c r="O359" s="40" t="str">
        <f>_xlfn.XLOOKUP($B359,'45'!$B:$B,'45'!O:O,)</f>
        <v>Yes</v>
      </c>
      <c r="P359" s="40" t="str">
        <f>_xlfn.XLOOKUP($B359,'45'!$B:$B,'45'!P:P,)</f>
        <v>Reputable source and based on survey data</v>
      </c>
      <c r="Q359" s="40">
        <f>_xlfn.XLOOKUP($B359,'45'!$B:$B,'45'!Q:Q,)</f>
        <v>56</v>
      </c>
      <c r="R359" s="40" t="str">
        <f>_xlfn.XLOOKUP($B359,'45'!$B:$B,'45'!R:R,)</f>
        <v>Home Office (2018) The economic and social costs of crime second edition.</v>
      </c>
      <c r="S359" s="40">
        <f>_xlfn.XLOOKUP($B359,'45'!$B:$B,'45'!S:S,)</f>
        <v>0</v>
      </c>
      <c r="T359" s="40">
        <f>_xlfn.XLOOKUP($B359,'45'!$B:$B,'45'!T:T,)</f>
        <v>2018</v>
      </c>
      <c r="U359" s="40" t="str">
        <f>_xlfn.XLOOKUP($B359,'45'!$B:$B,'45'!U:U,)</f>
        <v>England and Wales</v>
      </c>
      <c r="V359" s="40" t="str">
        <f>_xlfn.XLOOKUP($B359,'45'!$B:$B,'45'!V:V,)</f>
        <v>England and Wales</v>
      </c>
      <c r="W359" s="40">
        <f>_xlfn.XLOOKUP($B359,'45'!$B:$B,'45'!W:W,)</f>
        <v>0</v>
      </c>
    </row>
    <row r="360" spans="2:23">
      <c r="B360" s="39" t="s">
        <v>3975</v>
      </c>
      <c r="C360" s="40" t="str">
        <f>_xlfn.XLOOKUP($B360,'45'!$B:$B,'45'!C:C,)</f>
        <v>Security (physical &amp; cyber)</v>
      </c>
      <c r="D360" s="40" t="str">
        <f>_xlfn.XLOOKUP($B360,'45'!$B:$B,'45'!D:D,)</f>
        <v>Cyber security breach - without outcome</v>
      </c>
      <c r="E360" s="40" t="str">
        <f>_xlfn.XLOOKUP($B360,'45'!$B:$B,'45'!E:E,)</f>
        <v>Private costs</v>
      </c>
      <c r="F360" s="40">
        <f>_xlfn.XLOOKUP($B360,'45'!$B:$B,'45'!F:F,)</f>
        <v>2022</v>
      </c>
      <c r="G360" s="40">
        <f>_xlfn.XLOOKUP($B360,'45'!$B:$B,'45'!G:G,)</f>
        <v>2022</v>
      </c>
      <c r="H360" s="40">
        <f>_xlfn.XLOOKUP($B360,'45'!$B:$B,'45'!H:H,)</f>
        <v>2023</v>
      </c>
      <c r="I360" s="40">
        <f>_xlfn.XLOOKUP($B360,'45'!$B:$B,'45'!I:I,)</f>
        <v>93.351699999999994</v>
      </c>
      <c r="J360" s="40">
        <f>_xlfn.XLOOKUP($B360,'45'!$B:$B,'45'!J:J,)</f>
        <v>100</v>
      </c>
      <c r="K360" s="629">
        <f>_xlfn.XLOOKUP($B360,'45'!$B:$B,'45'!K:K,)</f>
        <v>4050</v>
      </c>
      <c r="L360" s="629">
        <f>_xlfn.XLOOKUP($B360,'45'!$B:$B,'45'!L:L,)</f>
        <v>4338.4319728510573</v>
      </c>
      <c r="M360" s="40" t="str">
        <f>_xlfn.XLOOKUP($B360,'45'!$B:$B,'45'!M:M,)</f>
        <v>Damage costs</v>
      </c>
      <c r="N360" s="326">
        <f>_xlfn.XLOOKUP($B360,'45'!$B:$B,'45'!N:N,)</f>
        <v>3</v>
      </c>
      <c r="O360" s="40" t="str">
        <f>_xlfn.XLOOKUP($B360,'45'!$B:$B,'45'!O:O,)</f>
        <v>Yes</v>
      </c>
      <c r="P360" s="40" t="str">
        <f>_xlfn.XLOOKUP($B360,'45'!$B:$B,'45'!P:P,)</f>
        <v>Data produced by the UK Gov based on latest annual survey</v>
      </c>
      <c r="Q360" s="40">
        <f>_xlfn.XLOOKUP($B360,'45'!$B:$B,'45'!Q:Q,)</f>
        <v>62</v>
      </c>
      <c r="R360" s="40" t="str">
        <f>_xlfn.XLOOKUP($B360,'45'!$B:$B,'45'!R:R,)</f>
        <v>Department for Digital, Culture, Media &amp; Sport (2022) Cyber Security Breaches Survey 2022</v>
      </c>
      <c r="S360" s="40">
        <f>_xlfn.XLOOKUP($B360,'45'!$B:$B,'45'!S:S,)</f>
        <v>0</v>
      </c>
      <c r="T360" s="40">
        <f>_xlfn.XLOOKUP($B360,'45'!$B:$B,'45'!T:T,)</f>
        <v>2022</v>
      </c>
      <c r="U360" s="40" t="str">
        <f>_xlfn.XLOOKUP($B360,'45'!$B:$B,'45'!U:U,)</f>
        <v>UK</v>
      </c>
      <c r="V360" s="40" t="str">
        <f>_xlfn.XLOOKUP($B360,'45'!$B:$B,'45'!V:V,)</f>
        <v>UK</v>
      </c>
      <c r="W360" s="40">
        <f>_xlfn.XLOOKUP($B360,'45'!$B:$B,'45'!W:W,)</f>
        <v>0</v>
      </c>
    </row>
    <row r="361" spans="2:23">
      <c r="B361" s="39" t="s">
        <v>3976</v>
      </c>
      <c r="C361" s="40" t="str">
        <f>_xlfn.XLOOKUP($B361,'45'!$B:$B,'45'!C:C,)</f>
        <v>Security (physical &amp; cyber)</v>
      </c>
      <c r="D361" s="40" t="str">
        <f>_xlfn.XLOOKUP($B361,'45'!$B:$B,'45'!D:D,)</f>
        <v>Cyber security breach - with outcome e.g. data loss</v>
      </c>
      <c r="E361" s="40" t="str">
        <f>_xlfn.XLOOKUP($B361,'45'!$B:$B,'45'!E:E,)</f>
        <v>Private costs</v>
      </c>
      <c r="F361" s="40">
        <f>_xlfn.XLOOKUP($B361,'45'!$B:$B,'45'!F:F,)</f>
        <v>2022</v>
      </c>
      <c r="G361" s="40">
        <f>_xlfn.XLOOKUP($B361,'45'!$B:$B,'45'!G:G,)</f>
        <v>2022</v>
      </c>
      <c r="H361" s="40">
        <f>_xlfn.XLOOKUP($B361,'45'!$B:$B,'45'!H:H,)</f>
        <v>2023</v>
      </c>
      <c r="I361" s="40">
        <f>_xlfn.XLOOKUP($B361,'45'!$B:$B,'45'!I:I,)</f>
        <v>93.351699999999994</v>
      </c>
      <c r="J361" s="40">
        <f>_xlfn.XLOOKUP($B361,'45'!$B:$B,'45'!J:J,)</f>
        <v>100</v>
      </c>
      <c r="K361" s="629">
        <f>_xlfn.XLOOKUP($B361,'45'!$B:$B,'45'!K:K,)</f>
        <v>6490</v>
      </c>
      <c r="L361" s="629">
        <f>_xlfn.XLOOKUP($B361,'45'!$B:$B,'45'!L:L,)</f>
        <v>6952.2033342724353</v>
      </c>
      <c r="M361" s="40" t="str">
        <f>_xlfn.XLOOKUP($B361,'45'!$B:$B,'45'!M:M,)</f>
        <v>Damage costs</v>
      </c>
      <c r="N361" s="326">
        <f>_xlfn.XLOOKUP($B361,'45'!$B:$B,'45'!N:N,)</f>
        <v>3</v>
      </c>
      <c r="O361" s="40" t="str">
        <f>_xlfn.XLOOKUP($B361,'45'!$B:$B,'45'!O:O,)</f>
        <v>Yes</v>
      </c>
      <c r="P361" s="40" t="str">
        <f>_xlfn.XLOOKUP($B361,'45'!$B:$B,'45'!P:P,)</f>
        <v>Data produced by the UK Gov based on latest annual survey</v>
      </c>
      <c r="Q361" s="40">
        <f>_xlfn.XLOOKUP($B361,'45'!$B:$B,'45'!Q:Q,)</f>
        <v>62</v>
      </c>
      <c r="R361" s="40" t="str">
        <f>_xlfn.XLOOKUP($B361,'45'!$B:$B,'45'!R:R,)</f>
        <v>Department for Digital, Culture, Media &amp; Sport (2022) Cyber Security Breaches Survey 2022</v>
      </c>
      <c r="S361" s="40">
        <f>_xlfn.XLOOKUP($B361,'45'!$B:$B,'45'!S:S,)</f>
        <v>0</v>
      </c>
      <c r="T361" s="40">
        <f>_xlfn.XLOOKUP($B361,'45'!$B:$B,'45'!T:T,)</f>
        <v>2022</v>
      </c>
      <c r="U361" s="40" t="str">
        <f>_xlfn.XLOOKUP($B361,'45'!$B:$B,'45'!U:U,)</f>
        <v>UK</v>
      </c>
      <c r="V361" s="40" t="str">
        <f>_xlfn.XLOOKUP($B361,'45'!$B:$B,'45'!V:V,)</f>
        <v>UK</v>
      </c>
      <c r="W361" s="40">
        <f>_xlfn.XLOOKUP($B361,'45'!$B:$B,'45'!W:W,)</f>
        <v>0</v>
      </c>
    </row>
    <row r="362" spans="2:23">
      <c r="B362" s="39" t="s">
        <v>3977</v>
      </c>
      <c r="C362" s="40" t="str">
        <f>_xlfn.XLOOKUP($B362,'45'!$B:$B,'45'!C:C,)</f>
        <v>Security (physical &amp; cyber)</v>
      </c>
      <c r="D362" s="40" t="str">
        <f>_xlfn.XLOOKUP($B362,'45'!$B:$B,'45'!D:D,)</f>
        <v>Cyber security breach - without outcome</v>
      </c>
      <c r="E362" s="40" t="str">
        <f>_xlfn.XLOOKUP($B362,'45'!$B:$B,'45'!E:E,)</f>
        <v>Routine and practices</v>
      </c>
      <c r="F362" s="40">
        <f>_xlfn.XLOOKUP($B362,'45'!$B:$B,'45'!F:F,)</f>
        <v>2022</v>
      </c>
      <c r="G362" s="40">
        <f>_xlfn.XLOOKUP($B362,'45'!$B:$B,'45'!G:G,)</f>
        <v>2022</v>
      </c>
      <c r="H362" s="40">
        <f>_xlfn.XLOOKUP($B362,'45'!$B:$B,'45'!H:H,)</f>
        <v>2023</v>
      </c>
      <c r="I362" s="40">
        <f>_xlfn.XLOOKUP($B362,'45'!$B:$B,'45'!I:I,)</f>
        <v>93.351699999999994</v>
      </c>
      <c r="J362" s="40">
        <f>_xlfn.XLOOKUP($B362,'45'!$B:$B,'45'!J:J,)</f>
        <v>100</v>
      </c>
      <c r="K362" s="629">
        <f>_xlfn.XLOOKUP($B362,'45'!$B:$B,'45'!K:K,)</f>
        <v>3790</v>
      </c>
      <c r="L362" s="629">
        <f>_xlfn.XLOOKUP($B362,'45'!$B:$B,'45'!L:L,)</f>
        <v>4059.91535237173</v>
      </c>
      <c r="M362" s="40" t="str">
        <f>_xlfn.XLOOKUP($B362,'45'!$B:$B,'45'!M:M,)</f>
        <v>Damage costs</v>
      </c>
      <c r="N362" s="326">
        <f>_xlfn.XLOOKUP($B362,'45'!$B:$B,'45'!N:N,)</f>
        <v>3</v>
      </c>
      <c r="O362" s="40" t="str">
        <f>_xlfn.XLOOKUP($B362,'45'!$B:$B,'45'!O:O,)</f>
        <v>Yes</v>
      </c>
      <c r="P362" s="40" t="str">
        <f>_xlfn.XLOOKUP($B362,'45'!$B:$B,'45'!P:P,)</f>
        <v>Data produced by the UK Gov based on latest annual survey</v>
      </c>
      <c r="Q362" s="40">
        <f>_xlfn.XLOOKUP($B362,'45'!$B:$B,'45'!Q:Q,)</f>
        <v>62</v>
      </c>
      <c r="R362" s="40" t="str">
        <f>_xlfn.XLOOKUP($B362,'45'!$B:$B,'45'!R:R,)</f>
        <v>Department for Digital, Culture, Media &amp; Sport (2022) Cyber Security Breaches Survey 2022</v>
      </c>
      <c r="S362" s="40">
        <f>_xlfn.XLOOKUP($B362,'45'!$B:$B,'45'!S:S,)</f>
        <v>0</v>
      </c>
      <c r="T362" s="40">
        <f>_xlfn.XLOOKUP($B362,'45'!$B:$B,'45'!T:T,)</f>
        <v>2022</v>
      </c>
      <c r="U362" s="40" t="str">
        <f>_xlfn.XLOOKUP($B362,'45'!$B:$B,'45'!U:U,)</f>
        <v>UK</v>
      </c>
      <c r="V362" s="40" t="str">
        <f>_xlfn.XLOOKUP($B362,'45'!$B:$B,'45'!V:V,)</f>
        <v>UK</v>
      </c>
      <c r="W362" s="40">
        <f>_xlfn.XLOOKUP($B362,'45'!$B:$B,'45'!W:W,)</f>
        <v>0</v>
      </c>
    </row>
    <row r="363" spans="2:23">
      <c r="B363" s="39" t="s">
        <v>3978</v>
      </c>
      <c r="C363" s="40" t="str">
        <f>_xlfn.XLOOKUP($B363,'45'!$B:$B,'45'!C:C,)</f>
        <v>Security (physical &amp; cyber)</v>
      </c>
      <c r="D363" s="40" t="str">
        <f>_xlfn.XLOOKUP($B363,'45'!$B:$B,'45'!D:D,)</f>
        <v>Cyber security breach - with outcome e.g. data loss</v>
      </c>
      <c r="E363" s="40" t="str">
        <f>_xlfn.XLOOKUP($B363,'45'!$B:$B,'45'!E:E,)</f>
        <v>Routine and practices</v>
      </c>
      <c r="F363" s="40">
        <f>_xlfn.XLOOKUP($B363,'45'!$B:$B,'45'!F:F,)</f>
        <v>2022</v>
      </c>
      <c r="G363" s="40">
        <f>_xlfn.XLOOKUP($B363,'45'!$B:$B,'45'!G:G,)</f>
        <v>2022</v>
      </c>
      <c r="H363" s="40">
        <f>_xlfn.XLOOKUP($B363,'45'!$B:$B,'45'!H:H,)</f>
        <v>2023</v>
      </c>
      <c r="I363" s="40">
        <f>_xlfn.XLOOKUP($B363,'45'!$B:$B,'45'!I:I,)</f>
        <v>93.351699999999994</v>
      </c>
      <c r="J363" s="40">
        <f>_xlfn.XLOOKUP($B363,'45'!$B:$B,'45'!J:J,)</f>
        <v>100</v>
      </c>
      <c r="K363" s="629">
        <f>_xlfn.XLOOKUP($B363,'45'!$B:$B,'45'!K:K,)</f>
        <v>6370</v>
      </c>
      <c r="L363" s="629">
        <f>_xlfn.XLOOKUP($B363,'45'!$B:$B,'45'!L:L,)</f>
        <v>6823.6572017435146</v>
      </c>
      <c r="M363" s="40" t="str">
        <f>_xlfn.XLOOKUP($B363,'45'!$B:$B,'45'!M:M,)</f>
        <v>Damage costs</v>
      </c>
      <c r="N363" s="326">
        <f>_xlfn.XLOOKUP($B363,'45'!$B:$B,'45'!N:N,)</f>
        <v>3</v>
      </c>
      <c r="O363" s="40" t="str">
        <f>_xlfn.XLOOKUP($B363,'45'!$B:$B,'45'!O:O,)</f>
        <v>Yes</v>
      </c>
      <c r="P363" s="40" t="str">
        <f>_xlfn.XLOOKUP($B363,'45'!$B:$B,'45'!P:P,)</f>
        <v>Data produced by the UK Gov based on latest annual survey</v>
      </c>
      <c r="Q363" s="40">
        <f>_xlfn.XLOOKUP($B363,'45'!$B:$B,'45'!Q:Q,)</f>
        <v>62</v>
      </c>
      <c r="R363" s="40" t="str">
        <f>_xlfn.XLOOKUP($B363,'45'!$B:$B,'45'!R:R,)</f>
        <v>Department for Digital, Culture, Media &amp; Sport (2022) Cyber Security Breaches Survey 2022</v>
      </c>
      <c r="S363" s="40">
        <f>_xlfn.XLOOKUP($B363,'45'!$B:$B,'45'!S:S,)</f>
        <v>0</v>
      </c>
      <c r="T363" s="40">
        <f>_xlfn.XLOOKUP($B363,'45'!$B:$B,'45'!T:T,)</f>
        <v>2022</v>
      </c>
      <c r="U363" s="40" t="str">
        <f>_xlfn.XLOOKUP($B363,'45'!$B:$B,'45'!U:U,)</f>
        <v>UK</v>
      </c>
      <c r="V363" s="40" t="str">
        <f>_xlfn.XLOOKUP($B363,'45'!$B:$B,'45'!V:V,)</f>
        <v>UK</v>
      </c>
      <c r="W363" s="40">
        <f>_xlfn.XLOOKUP($B363,'45'!$B:$B,'45'!W:W,)</f>
        <v>0</v>
      </c>
    </row>
    <row r="364" spans="2:23">
      <c r="B364" s="39" t="s">
        <v>3986</v>
      </c>
      <c r="C364" s="40" t="str">
        <f>_xlfn.XLOOKUP($B364,'45'!$B:$B,'45'!C:C,)</f>
        <v>Security (physical &amp; cyber)</v>
      </c>
      <c r="D364" s="40" t="str">
        <f>_xlfn.XLOOKUP($B364,'45'!$B:$B,'45'!D:D,)</f>
        <v>Cyber security breach - with outcome e.g. data loss</v>
      </c>
      <c r="E364" s="40" t="str">
        <f>_xlfn.XLOOKUP($B364,'45'!$B:$B,'45'!E:E,)</f>
        <v>Trust</v>
      </c>
      <c r="F364" s="40">
        <f>_xlfn.XLOOKUP($B364,'45'!$B:$B,'45'!F:F,)</f>
        <v>2014</v>
      </c>
      <c r="G364" s="40">
        <f>_xlfn.XLOOKUP($B364,'45'!$B:$B,'45'!G:G,)</f>
        <v>2014</v>
      </c>
      <c r="H364" s="40">
        <f>_xlfn.XLOOKUP($B364,'45'!$B:$B,'45'!H:H,)</f>
        <v>2023</v>
      </c>
      <c r="I364" s="40">
        <f>_xlfn.XLOOKUP($B364,'45'!$B:$B,'45'!I:I,)</f>
        <v>77.739900000000006</v>
      </c>
      <c r="J364" s="40">
        <f>_xlfn.XLOOKUP($B364,'45'!$B:$B,'45'!J:J,)</f>
        <v>100</v>
      </c>
      <c r="K364" s="629">
        <f>_xlfn.XLOOKUP($B364,'45'!$B:$B,'45'!K:K,)</f>
        <v>380000</v>
      </c>
      <c r="L364" s="629">
        <f>_xlfn.XLOOKUP($B364,'45'!$B:$B,'45'!L:L,)</f>
        <v>488809.47878759808</v>
      </c>
      <c r="M364" s="40" t="str">
        <f>_xlfn.XLOOKUP($B364,'45'!$B:$B,'45'!M:M,)</f>
        <v>Damage costs</v>
      </c>
      <c r="N364" s="326">
        <f>_xlfn.XLOOKUP($B364,'45'!$B:$B,'45'!N:N,)</f>
        <v>2.5714285714285698</v>
      </c>
      <c r="O364" s="40" t="str">
        <f>_xlfn.XLOOKUP($B364,'45'!$B:$B,'45'!O:O,)</f>
        <v>Yes</v>
      </c>
      <c r="P364" s="40" t="str">
        <f>_xlfn.XLOOKUP($B364,'45'!$B:$B,'45'!P:P,)</f>
        <v>Based on UK specific cyber attack survey data</v>
      </c>
      <c r="Q364" s="40">
        <f>_xlfn.XLOOKUP($B364,'45'!$B:$B,'45'!Q:Q,)</f>
        <v>75</v>
      </c>
      <c r="R364" s="40" t="str">
        <f>_xlfn.XLOOKUP($B364,'45'!$B:$B,'45'!R:R,)</f>
        <v>Oxford Economics (2014) Cyber-attacks: Effects on UK Companies</v>
      </c>
      <c r="S364" s="40">
        <f>_xlfn.XLOOKUP($B364,'45'!$B:$B,'45'!S:S,)</f>
        <v>0</v>
      </c>
      <c r="T364" s="40">
        <f>_xlfn.XLOOKUP($B364,'45'!$B:$B,'45'!T:T,)</f>
        <v>2014</v>
      </c>
      <c r="U364" s="40" t="str">
        <f>_xlfn.XLOOKUP($B364,'45'!$B:$B,'45'!U:U,)</f>
        <v>UK</v>
      </c>
      <c r="V364" s="40" t="str">
        <f>_xlfn.XLOOKUP($B364,'45'!$B:$B,'45'!V:V,)</f>
        <v>UK</v>
      </c>
      <c r="W364" s="40">
        <f>_xlfn.XLOOKUP($B364,'45'!$B:$B,'45'!W:W,)</f>
        <v>0</v>
      </c>
    </row>
    <row r="365" spans="2:23">
      <c r="B365" s="40" t="s">
        <v>2102</v>
      </c>
      <c r="C365" s="40" t="str">
        <f>_xlfn.XLOOKUP($B365,'29'!$B:$B,'29'!C:C,)</f>
        <v>Shellfish water quality</v>
      </c>
      <c r="D365" s="40" t="str">
        <f>_xlfn.XLOOKUP($B365,'29'!$B:$B,'29'!D:D,)</f>
        <v>In class benefit on shellfish water quality</v>
      </c>
      <c r="E365" s="40" t="str">
        <f>_xlfn.XLOOKUP($B365,'29'!$B:$B,'29'!E:E,)</f>
        <v>Biodiversity</v>
      </c>
      <c r="F365" s="40">
        <f>_xlfn.XLOOKUP($B365,'29'!$B:$B,'29'!F:F,)</f>
        <v>2020</v>
      </c>
      <c r="G365" s="40">
        <f>_xlfn.XLOOKUP($B365,'29'!$B:$B,'29'!G:G,)</f>
        <v>2020</v>
      </c>
      <c r="H365" s="40">
        <f>_xlfn.XLOOKUP($B365,'29'!$B:$B,'29'!H:H,)</f>
        <v>2023</v>
      </c>
      <c r="I365" s="40">
        <f>_xlfn.XLOOKUP($B365,'29'!$B:$B,'29'!I:I,)</f>
        <v>89.073499999999996</v>
      </c>
      <c r="J365" s="40">
        <f>_xlfn.XLOOKUP($B365,'29'!$B:$B,'29'!J:J,)</f>
        <v>100</v>
      </c>
      <c r="K365" s="629">
        <f>_xlfn.XLOOKUP($B365,'29'!$B:$B,'29'!K:K,)</f>
        <v>692.13636363636397</v>
      </c>
      <c r="L365" s="629">
        <f>_xlfn.XLOOKUP($B365,'29'!$B:$B,'29'!L:L,)</f>
        <v>-777.0395949820811</v>
      </c>
      <c r="M365" s="40" t="str">
        <f>_xlfn.XLOOKUP($B365,'29'!$B:$B,'29'!M:M,)</f>
        <v>Replacement cost</v>
      </c>
      <c r="N365" s="326">
        <f>_xlfn.XLOOKUP($B365,'29'!$B:$B,'29'!N:N,)</f>
        <v>2.1428571428571401</v>
      </c>
      <c r="O365" s="40" t="str">
        <f>_xlfn.XLOOKUP($B365,'29'!$B:$B,'29'!O:O,)</f>
        <v>Yes</v>
      </c>
      <c r="P365" s="40" t="str">
        <f>_xlfn.XLOOKUP($B365,'29'!$B:$B,'29'!P:P,)</f>
        <v>UK-specific value</v>
      </c>
      <c r="Q365" s="40">
        <f>_xlfn.XLOOKUP($B365,'29'!$B:$B,'29'!Q:Q,)</f>
        <v>82</v>
      </c>
      <c r="R365" s="40" t="str">
        <f>_xlfn.XLOOKUP($B365,'29'!$B:$B,'29'!R:R,)</f>
        <v>Environment Agency / University of Portsmouth (2020) Valuing the Solent Marine Sites Habitats and Species: A natural Capital Study of Benthic Ecosystem Services and how they Contribute to Water Quality Regulation</v>
      </c>
      <c r="S365" s="40" t="str">
        <f>_xlfn.XLOOKUP($B365,'29'!$B:$B,'29'!S:S,)</f>
        <v>No</v>
      </c>
      <c r="T365" s="40">
        <f>_xlfn.XLOOKUP($B365,'29'!$B:$B,'29'!T:T,)</f>
        <v>2020</v>
      </c>
      <c r="U365" s="40" t="str">
        <f>_xlfn.XLOOKUP($B365,'29'!$B:$B,'29'!U:U,)</f>
        <v>UK</v>
      </c>
      <c r="V365" s="40" t="str">
        <f>_xlfn.XLOOKUP($B365,'29'!$B:$B,'29'!V:V,)</f>
        <v>Solent</v>
      </c>
      <c r="W365" s="40" t="str">
        <f>_xlfn.XLOOKUP($B365,'29'!$B:$B,'29'!W:W,)</f>
        <v>/</v>
      </c>
    </row>
    <row r="366" spans="2:23">
      <c r="B366" s="40" t="s">
        <v>2103</v>
      </c>
      <c r="C366" s="40" t="str">
        <f>_xlfn.XLOOKUP($B366,'29'!$B:$B,'29'!C:C,)</f>
        <v>Shellfish water quality</v>
      </c>
      <c r="D366" s="40" t="str">
        <f>_xlfn.XLOOKUP($B366,'29'!$B:$B,'29'!D:D,)</f>
        <v>Shellfish water quality - class A</v>
      </c>
      <c r="E366" s="40" t="str">
        <f>_xlfn.XLOOKUP($B366,'29'!$B:$B,'29'!E:E,)</f>
        <v>Biodiversity</v>
      </c>
      <c r="F366" s="40">
        <f>_xlfn.XLOOKUP($B366,'29'!$B:$B,'29'!F:F,)</f>
        <v>2020</v>
      </c>
      <c r="G366" s="40">
        <f>_xlfn.XLOOKUP($B366,'29'!$B:$B,'29'!G:G,)</f>
        <v>2020</v>
      </c>
      <c r="H366" s="40">
        <f>_xlfn.XLOOKUP($B366,'29'!$B:$B,'29'!H:H,)</f>
        <v>2023</v>
      </c>
      <c r="I366" s="40">
        <f>_xlfn.XLOOKUP($B366,'29'!$B:$B,'29'!I:I,)</f>
        <v>89.073499999999996</v>
      </c>
      <c r="J366" s="40">
        <f>_xlfn.XLOOKUP($B366,'29'!$B:$B,'29'!J:J,)</f>
        <v>100</v>
      </c>
      <c r="K366" s="629">
        <f>_xlfn.XLOOKUP($B366,'29'!$B:$B,'29'!K:K,)</f>
        <v>16611.272727272728</v>
      </c>
      <c r="L366" s="629">
        <f>_xlfn.XLOOKUP($B366,'29'!$B:$B,'29'!L:L,)</f>
        <v>-18648.950279569937</v>
      </c>
      <c r="M366" s="40" t="str">
        <f>_xlfn.XLOOKUP($B366,'29'!$B:$B,'29'!M:M,)</f>
        <v>Replacement cost</v>
      </c>
      <c r="N366" s="326">
        <f>_xlfn.XLOOKUP($B366,'29'!$B:$B,'29'!N:N,)</f>
        <v>2.1428571428571401</v>
      </c>
      <c r="O366" s="40" t="str">
        <f>_xlfn.XLOOKUP($B366,'29'!$B:$B,'29'!O:O,)</f>
        <v>Yes</v>
      </c>
      <c r="P366" s="40" t="str">
        <f>_xlfn.XLOOKUP($B366,'29'!$B:$B,'29'!P:P,)</f>
        <v>UK-specific value</v>
      </c>
      <c r="Q366" s="40">
        <f>_xlfn.XLOOKUP($B366,'29'!$B:$B,'29'!Q:Q,)</f>
        <v>82</v>
      </c>
      <c r="R366" s="40" t="str">
        <f>_xlfn.XLOOKUP($B366,'29'!$B:$B,'29'!R:R,)</f>
        <v>Environment Agency / University of Portsmouth (2020) Valuing the Solent Marine Sites Habitats and Species: A natural Capital Study of Benthic Ecosystem Services and how they Contribute to Water Quality Regulation</v>
      </c>
      <c r="S366" s="40" t="str">
        <f>_xlfn.XLOOKUP($B366,'29'!$B:$B,'29'!S:S,)</f>
        <v>No</v>
      </c>
      <c r="T366" s="40">
        <f>_xlfn.XLOOKUP($B366,'29'!$B:$B,'29'!T:T,)</f>
        <v>2020</v>
      </c>
      <c r="U366" s="40" t="str">
        <f>_xlfn.XLOOKUP($B366,'29'!$B:$B,'29'!U:U,)</f>
        <v>UK</v>
      </c>
      <c r="V366" s="40" t="str">
        <f>_xlfn.XLOOKUP($B366,'29'!$B:$B,'29'!V:V,)</f>
        <v>Solent</v>
      </c>
      <c r="W366" s="40" t="str">
        <f>_xlfn.XLOOKUP($B366,'29'!$B:$B,'29'!W:W,)</f>
        <v>/</v>
      </c>
    </row>
    <row r="367" spans="2:23">
      <c r="B367" s="40" t="s">
        <v>2104</v>
      </c>
      <c r="C367" s="40" t="str">
        <f>_xlfn.XLOOKUP($B367,'29'!$B:$B,'29'!C:C,)</f>
        <v>Shellfish water quality</v>
      </c>
      <c r="D367" s="40" t="str">
        <f>_xlfn.XLOOKUP($B367,'29'!$B:$B,'29'!D:D,)</f>
        <v>Shellfish water quality - class B</v>
      </c>
      <c r="E367" s="40" t="str">
        <f>_xlfn.XLOOKUP($B367,'29'!$B:$B,'29'!E:E,)</f>
        <v>Biodiversity</v>
      </c>
      <c r="F367" s="40">
        <f>_xlfn.XLOOKUP($B367,'29'!$B:$B,'29'!F:F,)</f>
        <v>2020</v>
      </c>
      <c r="G367" s="40">
        <f>_xlfn.XLOOKUP($B367,'29'!$B:$B,'29'!G:G,)</f>
        <v>2020</v>
      </c>
      <c r="H367" s="40">
        <f>_xlfn.XLOOKUP($B367,'29'!$B:$B,'29'!H:H,)</f>
        <v>2023</v>
      </c>
      <c r="I367" s="40">
        <f>_xlfn.XLOOKUP($B367,'29'!$B:$B,'29'!I:I,)</f>
        <v>89.073499999999996</v>
      </c>
      <c r="J367" s="40">
        <f>_xlfn.XLOOKUP($B367,'29'!$B:$B,'29'!J:J,)</f>
        <v>100</v>
      </c>
      <c r="K367" s="629">
        <f>_xlfn.XLOOKUP($B367,'29'!$B:$B,'29'!K:K,)</f>
        <v>15227</v>
      </c>
      <c r="L367" s="629">
        <f>_xlfn.XLOOKUP($B367,'29'!$B:$B,'29'!L:L,)</f>
        <v>-17094.871089605775</v>
      </c>
      <c r="M367" s="40" t="str">
        <f>_xlfn.XLOOKUP($B367,'29'!$B:$B,'29'!M:M,)</f>
        <v>Replacement cost</v>
      </c>
      <c r="N367" s="326">
        <f>_xlfn.XLOOKUP($B367,'29'!$B:$B,'29'!N:N,)</f>
        <v>2.1428571428571401</v>
      </c>
      <c r="O367" s="40" t="str">
        <f>_xlfn.XLOOKUP($B367,'29'!$B:$B,'29'!O:O,)</f>
        <v>Yes</v>
      </c>
      <c r="P367" s="40" t="str">
        <f>_xlfn.XLOOKUP($B367,'29'!$B:$B,'29'!P:P,)</f>
        <v>UK-specific value</v>
      </c>
      <c r="Q367" s="40">
        <f>_xlfn.XLOOKUP($B367,'29'!$B:$B,'29'!Q:Q,)</f>
        <v>82</v>
      </c>
      <c r="R367" s="40" t="str">
        <f>_xlfn.XLOOKUP($B367,'29'!$B:$B,'29'!R:R,)</f>
        <v>Environment Agency / University of Portsmouth (2020) Valuing the Solent Marine Sites Habitats and Species: A natural Capital Study of Benthic Ecosystem Services and how they Contribute to Water Quality Regulation</v>
      </c>
      <c r="S367" s="40" t="str">
        <f>_xlfn.XLOOKUP($B367,'29'!$B:$B,'29'!S:S,)</f>
        <v>No</v>
      </c>
      <c r="T367" s="40">
        <f>_xlfn.XLOOKUP($B367,'29'!$B:$B,'29'!T:T,)</f>
        <v>2020</v>
      </c>
      <c r="U367" s="40" t="str">
        <f>_xlfn.XLOOKUP($B367,'29'!$B:$B,'29'!U:U,)</f>
        <v>UK</v>
      </c>
      <c r="V367" s="40" t="str">
        <f>_xlfn.XLOOKUP($B367,'29'!$B:$B,'29'!V:V,)</f>
        <v>Solent</v>
      </c>
      <c r="W367" s="40" t="str">
        <f>_xlfn.XLOOKUP($B367,'29'!$B:$B,'29'!W:W,)</f>
        <v>/</v>
      </c>
    </row>
    <row r="368" spans="2:23">
      <c r="B368" s="40" t="s">
        <v>2105</v>
      </c>
      <c r="C368" s="40" t="str">
        <f>_xlfn.XLOOKUP($B368,'29'!$B:$B,'29'!C:C,)</f>
        <v>Shellfish water quality</v>
      </c>
      <c r="D368" s="40" t="str">
        <f>_xlfn.XLOOKUP($B368,'29'!$B:$B,'29'!D:D,)</f>
        <v>Shellfish water quality - class C</v>
      </c>
      <c r="E368" s="40" t="str">
        <f>_xlfn.XLOOKUP($B368,'29'!$B:$B,'29'!E:E,)</f>
        <v>Biodiversity</v>
      </c>
      <c r="F368" s="40">
        <f>_xlfn.XLOOKUP($B368,'29'!$B:$B,'29'!F:F,)</f>
        <v>2020</v>
      </c>
      <c r="G368" s="40">
        <f>_xlfn.XLOOKUP($B368,'29'!$B:$B,'29'!G:G,)</f>
        <v>2020</v>
      </c>
      <c r="H368" s="40">
        <f>_xlfn.XLOOKUP($B368,'29'!$B:$B,'29'!H:H,)</f>
        <v>2023</v>
      </c>
      <c r="I368" s="40">
        <f>_xlfn.XLOOKUP($B368,'29'!$B:$B,'29'!I:I,)</f>
        <v>89.073499999999996</v>
      </c>
      <c r="J368" s="40">
        <f>_xlfn.XLOOKUP($B368,'29'!$B:$B,'29'!J:J,)</f>
        <v>100</v>
      </c>
      <c r="K368" s="629">
        <f>_xlfn.XLOOKUP($B368,'29'!$B:$B,'29'!K:K,)</f>
        <v>13842.727272727274</v>
      </c>
      <c r="L368" s="629">
        <f>_xlfn.XLOOKUP($B368,'29'!$B:$B,'29'!L:L,)</f>
        <v>-15540.791899641616</v>
      </c>
      <c r="M368" s="40" t="str">
        <f>_xlfn.XLOOKUP($B368,'29'!$B:$B,'29'!M:M,)</f>
        <v>Replacement cost</v>
      </c>
      <c r="N368" s="326">
        <f>_xlfn.XLOOKUP($B368,'29'!$B:$B,'29'!N:N,)</f>
        <v>2.1428571428571401</v>
      </c>
      <c r="O368" s="40" t="str">
        <f>_xlfn.XLOOKUP($B368,'29'!$B:$B,'29'!O:O,)</f>
        <v>Yes</v>
      </c>
      <c r="P368" s="40" t="str">
        <f>_xlfn.XLOOKUP($B368,'29'!$B:$B,'29'!P:P,)</f>
        <v>UK-specific value</v>
      </c>
      <c r="Q368" s="40">
        <f>_xlfn.XLOOKUP($B368,'29'!$B:$B,'29'!Q:Q,)</f>
        <v>82</v>
      </c>
      <c r="R368" s="40" t="str">
        <f>_xlfn.XLOOKUP($B368,'29'!$B:$B,'29'!R:R,)</f>
        <v>Environment Agency / University of Portsmouth (2020) Valuing the Solent Marine Sites Habitats and Species: A natural Capital Study of Benthic Ecosystem Services and how they Contribute to Water Quality Regulation</v>
      </c>
      <c r="S368" s="40" t="str">
        <f>_xlfn.XLOOKUP($B368,'29'!$B:$B,'29'!S:S,)</f>
        <v>No</v>
      </c>
      <c r="T368" s="40">
        <f>_xlfn.XLOOKUP($B368,'29'!$B:$B,'29'!T:T,)</f>
        <v>2020</v>
      </c>
      <c r="U368" s="40" t="str">
        <f>_xlfn.XLOOKUP($B368,'29'!$B:$B,'29'!U:U,)</f>
        <v>UK</v>
      </c>
      <c r="V368" s="40" t="str">
        <f>_xlfn.XLOOKUP($B368,'29'!$B:$B,'29'!V:V,)</f>
        <v>Solent</v>
      </c>
      <c r="W368" s="40" t="str">
        <f>_xlfn.XLOOKUP($B368,'29'!$B:$B,'29'!W:W,)</f>
        <v>/</v>
      </c>
    </row>
    <row r="369" spans="2:23">
      <c r="B369" s="40" t="s">
        <v>2106</v>
      </c>
      <c r="C369" s="40" t="str">
        <f>_xlfn.XLOOKUP($B369,'29'!$B:$B,'29'!C:C,)</f>
        <v>Shellfish water quality</v>
      </c>
      <c r="D369" s="40" t="str">
        <f>_xlfn.XLOOKUP($B369,'29'!$B:$B,'29'!D:D,)</f>
        <v>Prohibited area</v>
      </c>
      <c r="E369" s="40" t="str">
        <f>_xlfn.XLOOKUP($B369,'29'!$B:$B,'29'!E:E,)</f>
        <v>Biodiversity</v>
      </c>
      <c r="F369" s="40">
        <f>_xlfn.XLOOKUP($B369,'29'!$B:$B,'29'!F:F,)</f>
        <v>2020</v>
      </c>
      <c r="G369" s="40">
        <f>_xlfn.XLOOKUP($B369,'29'!$B:$B,'29'!G:G,)</f>
        <v>2020</v>
      </c>
      <c r="H369" s="40">
        <f>_xlfn.XLOOKUP($B369,'29'!$B:$B,'29'!H:H,)</f>
        <v>2023</v>
      </c>
      <c r="I369" s="40">
        <f>_xlfn.XLOOKUP($B369,'29'!$B:$B,'29'!I:I,)</f>
        <v>89.073499999999996</v>
      </c>
      <c r="J369" s="40">
        <f>_xlfn.XLOOKUP($B369,'29'!$B:$B,'29'!J:J,)</f>
        <v>100</v>
      </c>
      <c r="K369" s="629">
        <f>_xlfn.XLOOKUP($B369,'29'!$B:$B,'29'!K:K,)</f>
        <v>0</v>
      </c>
      <c r="L369" s="629">
        <f>_xlfn.XLOOKUP($B369,'29'!$B:$B,'29'!L:L,)</f>
        <v>0</v>
      </c>
      <c r="M369" s="40" t="str">
        <f>_xlfn.XLOOKUP($B369,'29'!$B:$B,'29'!M:M,)</f>
        <v>Replacement cost</v>
      </c>
      <c r="N369" s="326">
        <f>_xlfn.XLOOKUP($B369,'29'!$B:$B,'29'!N:N,)</f>
        <v>2.1428571428571401</v>
      </c>
      <c r="O369" s="40" t="str">
        <f>_xlfn.XLOOKUP($B369,'29'!$B:$B,'29'!O:O,)</f>
        <v>Yes</v>
      </c>
      <c r="P369" s="40" t="str">
        <f>_xlfn.XLOOKUP($B369,'29'!$B:$B,'29'!P:P,)</f>
        <v>UK-specific value</v>
      </c>
      <c r="Q369" s="40">
        <f>_xlfn.XLOOKUP($B369,'29'!$B:$B,'29'!Q:Q,)</f>
        <v>82</v>
      </c>
      <c r="R369" s="40" t="str">
        <f>_xlfn.XLOOKUP($B369,'29'!$B:$B,'29'!R:R,)</f>
        <v>Environment Agency / University of Portsmouth (2020) Valuing the Solent Marine Sites Habitats and Species: A natural Capital Study of Benthic Ecosystem Services and how they Contribute to Water Quality Regulation</v>
      </c>
      <c r="S369" s="40" t="str">
        <f>_xlfn.XLOOKUP($B369,'29'!$B:$B,'29'!S:S,)</f>
        <v>No</v>
      </c>
      <c r="T369" s="40">
        <f>_xlfn.XLOOKUP($B369,'29'!$B:$B,'29'!T:T,)</f>
        <v>2020</v>
      </c>
      <c r="U369" s="40" t="str">
        <f>_xlfn.XLOOKUP($B369,'29'!$B:$B,'29'!U:U,)</f>
        <v>UK</v>
      </c>
      <c r="V369" s="40" t="str">
        <f>_xlfn.XLOOKUP($B369,'29'!$B:$B,'29'!V:V,)</f>
        <v>Solent</v>
      </c>
      <c r="W369" s="40" t="str">
        <f>_xlfn.XLOOKUP($B369,'29'!$B:$B,'29'!W:W,)</f>
        <v>/</v>
      </c>
    </row>
    <row r="370" spans="2:23">
      <c r="B370" s="40" t="s">
        <v>2139</v>
      </c>
      <c r="C370" s="40" t="str">
        <f>_xlfn.XLOOKUP($B370,'29'!$B:$B,'29'!C:C,)</f>
        <v>Shellfish water quality</v>
      </c>
      <c r="D370" s="40" t="str">
        <f>_xlfn.XLOOKUP($B370,'29'!$B:$B,'29'!D:D,)</f>
        <v>In class benefit on shellfish water quality</v>
      </c>
      <c r="E370" s="40" t="str">
        <f>_xlfn.XLOOKUP($B370,'29'!$B:$B,'29'!E:E,)</f>
        <v>Food provision</v>
      </c>
      <c r="F370" s="40">
        <f>_xlfn.XLOOKUP($B370,'29'!$B:$B,'29'!F:F,)</f>
        <v>2024</v>
      </c>
      <c r="G370" s="40">
        <f>_xlfn.XLOOKUP($B370,'29'!$B:$B,'29'!G:G,)</f>
        <v>2023</v>
      </c>
      <c r="H370" s="40">
        <f>_xlfn.XLOOKUP($B370,'29'!$B:$B,'29'!H:H,)</f>
        <v>2023</v>
      </c>
      <c r="I370" s="40">
        <f>_xlfn.XLOOKUP($B370,'29'!$B:$B,'29'!I:I,)</f>
        <v>100</v>
      </c>
      <c r="J370" s="40">
        <f>_xlfn.XLOOKUP($B370,'29'!$B:$B,'29'!J:J,)</f>
        <v>100</v>
      </c>
      <c r="K370" s="629">
        <f>_xlfn.XLOOKUP($B370,'29'!$B:$B,'29'!K:K,)</f>
        <v>-1769.42</v>
      </c>
      <c r="L370" s="629">
        <f>_xlfn.XLOOKUP($B370,'29'!$B:$B,'29'!L:L,)</f>
        <v>-1769.42</v>
      </c>
      <c r="M370" s="40" t="str">
        <f>_xlfn.XLOOKUP($B370,'29'!$B:$B,'29'!M:M,)</f>
        <v>Market value</v>
      </c>
      <c r="N370" s="326">
        <f>_xlfn.XLOOKUP($B370,'29'!$B:$B,'29'!N:N,)</f>
        <v>2.1428571428571401</v>
      </c>
      <c r="O370" s="40" t="str">
        <f>_xlfn.XLOOKUP($B370,'29'!$B:$B,'29'!O:O,)</f>
        <v>Yes</v>
      </c>
      <c r="P370" s="40" t="str">
        <f>_xlfn.XLOOKUP($B370,'29'!$B:$B,'29'!P:P,)</f>
        <v>Only suitable source identified</v>
      </c>
      <c r="Q370" s="40">
        <f>_xlfn.XLOOKUP($B370,'29'!$B:$B,'29'!Q:Q,)</f>
        <v>31</v>
      </c>
      <c r="R370" s="40" t="str">
        <f>_xlfn.XLOOKUP($B370,'29'!$B:$B,'29'!R:R,)</f>
        <v>Marine Management Organisation (2024) UK sea fisheries annual statistics report 2023.</v>
      </c>
      <c r="S370" s="40" t="str">
        <f>_xlfn.XLOOKUP($B370,'29'!$B:$B,'29'!S:S,)</f>
        <v>ENCA</v>
      </c>
      <c r="T370" s="40">
        <f>_xlfn.XLOOKUP($B370,'29'!$B:$B,'29'!T:T,)</f>
        <v>2024</v>
      </c>
      <c r="U370" s="40" t="str">
        <f>_xlfn.XLOOKUP($B370,'29'!$B:$B,'29'!U:U,)</f>
        <v>UK</v>
      </c>
      <c r="V370" s="40" t="str">
        <f>_xlfn.XLOOKUP($B370,'29'!$B:$B,'29'!V:V,)</f>
        <v>UK</v>
      </c>
      <c r="W370" s="40" t="str">
        <f>_xlfn.XLOOKUP($B370,'29'!$B:$B,'29'!W:W,)</f>
        <v>/</v>
      </c>
    </row>
    <row r="371" spans="2:23">
      <c r="B371" s="40" t="s">
        <v>2140</v>
      </c>
      <c r="C371" s="40" t="str">
        <f>_xlfn.XLOOKUP($B371,'29'!$B:$B,'29'!C:C,)</f>
        <v>Shellfish water quality</v>
      </c>
      <c r="D371" s="40" t="str">
        <f>_xlfn.XLOOKUP($B371,'29'!$B:$B,'29'!D:D,)</f>
        <v>Shellfish water quality - class A</v>
      </c>
      <c r="E371" s="40" t="str">
        <f>_xlfn.XLOOKUP($B371,'29'!$B:$B,'29'!E:E,)</f>
        <v>Food provision</v>
      </c>
      <c r="F371" s="40">
        <f>_xlfn.XLOOKUP($B371,'29'!$B:$B,'29'!F:F,)</f>
        <v>2024</v>
      </c>
      <c r="G371" s="40">
        <f>_xlfn.XLOOKUP($B371,'29'!$B:$B,'29'!G:G,)</f>
        <v>2023</v>
      </c>
      <c r="H371" s="40">
        <f>_xlfn.XLOOKUP($B371,'29'!$B:$B,'29'!H:H,)</f>
        <v>2023</v>
      </c>
      <c r="I371" s="40">
        <f>_xlfn.XLOOKUP($B371,'29'!$B:$B,'29'!I:I,)</f>
        <v>100</v>
      </c>
      <c r="J371" s="40">
        <f>_xlfn.XLOOKUP($B371,'29'!$B:$B,'29'!J:J,)</f>
        <v>100</v>
      </c>
      <c r="K371" s="629">
        <f>_xlfn.XLOOKUP($B371,'29'!$B:$B,'29'!K:K,)</f>
        <v>-42466.080000000002</v>
      </c>
      <c r="L371" s="629">
        <f>_xlfn.XLOOKUP($B371,'29'!$B:$B,'29'!L:L,)</f>
        <v>-42466.080000000002</v>
      </c>
      <c r="M371" s="40" t="str">
        <f>_xlfn.XLOOKUP($B371,'29'!$B:$B,'29'!M:M,)</f>
        <v>Market value</v>
      </c>
      <c r="N371" s="326">
        <f>_xlfn.XLOOKUP($B371,'29'!$B:$B,'29'!N:N,)</f>
        <v>2.1428571428571401</v>
      </c>
      <c r="O371" s="40" t="str">
        <f>_xlfn.XLOOKUP($B371,'29'!$B:$B,'29'!O:O,)</f>
        <v>Yes</v>
      </c>
      <c r="P371" s="40" t="str">
        <f>_xlfn.XLOOKUP($B371,'29'!$B:$B,'29'!P:P,)</f>
        <v>Only suitable source identified</v>
      </c>
      <c r="Q371" s="40">
        <f>_xlfn.XLOOKUP($B371,'29'!$B:$B,'29'!Q:Q,)</f>
        <v>31</v>
      </c>
      <c r="R371" s="40" t="str">
        <f>_xlfn.XLOOKUP($B371,'29'!$B:$B,'29'!R:R,)</f>
        <v>Marine Management Organisation (2024) UK sea fisheries annual statistics report 2023.</v>
      </c>
      <c r="S371" s="40" t="str">
        <f>_xlfn.XLOOKUP($B371,'29'!$B:$B,'29'!S:S,)</f>
        <v>ENCA</v>
      </c>
      <c r="T371" s="40">
        <f>_xlfn.XLOOKUP($B371,'29'!$B:$B,'29'!T:T,)</f>
        <v>2024</v>
      </c>
      <c r="U371" s="40" t="str">
        <f>_xlfn.XLOOKUP($B371,'29'!$B:$B,'29'!U:U,)</f>
        <v>UK</v>
      </c>
      <c r="V371" s="40" t="str">
        <f>_xlfn.XLOOKUP($B371,'29'!$B:$B,'29'!V:V,)</f>
        <v>UK</v>
      </c>
      <c r="W371" s="40" t="str">
        <f>_xlfn.XLOOKUP($B371,'29'!$B:$B,'29'!W:W,)</f>
        <v>/</v>
      </c>
    </row>
    <row r="372" spans="2:23">
      <c r="B372" s="40" t="s">
        <v>2141</v>
      </c>
      <c r="C372" s="40" t="str">
        <f>_xlfn.XLOOKUP($B372,'29'!$B:$B,'29'!C:C,)</f>
        <v>Shellfish water quality</v>
      </c>
      <c r="D372" s="40" t="str">
        <f>_xlfn.XLOOKUP($B372,'29'!$B:$B,'29'!D:D,)</f>
        <v>Shellfish water quality - class B</v>
      </c>
      <c r="E372" s="40" t="str">
        <f>_xlfn.XLOOKUP($B372,'29'!$B:$B,'29'!E:E,)</f>
        <v>Food provision</v>
      </c>
      <c r="F372" s="40">
        <f>_xlfn.XLOOKUP($B372,'29'!$B:$B,'29'!F:F,)</f>
        <v>2024</v>
      </c>
      <c r="G372" s="40">
        <f>_xlfn.XLOOKUP($B372,'29'!$B:$B,'29'!G:G,)</f>
        <v>2023</v>
      </c>
      <c r="H372" s="40">
        <f>_xlfn.XLOOKUP($B372,'29'!$B:$B,'29'!H:H,)</f>
        <v>2023</v>
      </c>
      <c r="I372" s="40">
        <f>_xlfn.XLOOKUP($B372,'29'!$B:$B,'29'!I:I,)</f>
        <v>100</v>
      </c>
      <c r="J372" s="40">
        <f>_xlfn.XLOOKUP($B372,'29'!$B:$B,'29'!J:J,)</f>
        <v>100</v>
      </c>
      <c r="K372" s="629">
        <f>_xlfn.XLOOKUP($B372,'29'!$B:$B,'29'!K:K,)</f>
        <v>-38927.24</v>
      </c>
      <c r="L372" s="629">
        <f>_xlfn.XLOOKUP($B372,'29'!$B:$B,'29'!L:L,)</f>
        <v>-38927.24</v>
      </c>
      <c r="M372" s="40" t="str">
        <f>_xlfn.XLOOKUP($B372,'29'!$B:$B,'29'!M:M,)</f>
        <v>Market value</v>
      </c>
      <c r="N372" s="326">
        <f>_xlfn.XLOOKUP($B372,'29'!$B:$B,'29'!N:N,)</f>
        <v>2.1428571428571401</v>
      </c>
      <c r="O372" s="40" t="str">
        <f>_xlfn.XLOOKUP($B372,'29'!$B:$B,'29'!O:O,)</f>
        <v>Yes</v>
      </c>
      <c r="P372" s="40" t="str">
        <f>_xlfn.XLOOKUP($B372,'29'!$B:$B,'29'!P:P,)</f>
        <v>Only suitable source identified</v>
      </c>
      <c r="Q372" s="40">
        <f>_xlfn.XLOOKUP($B372,'29'!$B:$B,'29'!Q:Q,)</f>
        <v>31</v>
      </c>
      <c r="R372" s="40" t="str">
        <f>_xlfn.XLOOKUP($B372,'29'!$B:$B,'29'!R:R,)</f>
        <v>Marine Management Organisation (2024) UK sea fisheries annual statistics report 2023.</v>
      </c>
      <c r="S372" s="40" t="str">
        <f>_xlfn.XLOOKUP($B372,'29'!$B:$B,'29'!S:S,)</f>
        <v>ENCA</v>
      </c>
      <c r="T372" s="40">
        <f>_xlfn.XLOOKUP($B372,'29'!$B:$B,'29'!T:T,)</f>
        <v>2024</v>
      </c>
      <c r="U372" s="40" t="str">
        <f>_xlfn.XLOOKUP($B372,'29'!$B:$B,'29'!U:U,)</f>
        <v>UK</v>
      </c>
      <c r="V372" s="40" t="str">
        <f>_xlfn.XLOOKUP($B372,'29'!$B:$B,'29'!V:V,)</f>
        <v>UK</v>
      </c>
      <c r="W372" s="40" t="str">
        <f>_xlfn.XLOOKUP($B372,'29'!$B:$B,'29'!W:W,)</f>
        <v>/</v>
      </c>
    </row>
    <row r="373" spans="2:23">
      <c r="B373" s="40" t="s">
        <v>2142</v>
      </c>
      <c r="C373" s="40" t="str">
        <f>_xlfn.XLOOKUP($B373,'29'!$B:$B,'29'!C:C,)</f>
        <v>Shellfish water quality</v>
      </c>
      <c r="D373" s="40" t="str">
        <f>_xlfn.XLOOKUP($B373,'29'!$B:$B,'29'!D:D,)</f>
        <v>Shellfish water quality - class C</v>
      </c>
      <c r="E373" s="40" t="str">
        <f>_xlfn.XLOOKUP($B373,'29'!$B:$B,'29'!E:E,)</f>
        <v>Food provision</v>
      </c>
      <c r="F373" s="40">
        <f>_xlfn.XLOOKUP($B373,'29'!$B:$B,'29'!F:F,)</f>
        <v>2024</v>
      </c>
      <c r="G373" s="40">
        <f>_xlfn.XLOOKUP($B373,'29'!$B:$B,'29'!G:G,)</f>
        <v>2023</v>
      </c>
      <c r="H373" s="40">
        <f>_xlfn.XLOOKUP($B373,'29'!$B:$B,'29'!H:H,)</f>
        <v>2023</v>
      </c>
      <c r="I373" s="40">
        <f>_xlfn.XLOOKUP($B373,'29'!$B:$B,'29'!I:I,)</f>
        <v>100</v>
      </c>
      <c r="J373" s="40">
        <f>_xlfn.XLOOKUP($B373,'29'!$B:$B,'29'!J:J,)</f>
        <v>100</v>
      </c>
      <c r="K373" s="629">
        <f>_xlfn.XLOOKUP($B373,'29'!$B:$B,'29'!K:K,)</f>
        <v>-35388.400000000001</v>
      </c>
      <c r="L373" s="629">
        <f>_xlfn.XLOOKUP($B373,'29'!$B:$B,'29'!L:L,)</f>
        <v>-35388.400000000001</v>
      </c>
      <c r="M373" s="40" t="str">
        <f>_xlfn.XLOOKUP($B373,'29'!$B:$B,'29'!M:M,)</f>
        <v>Market value</v>
      </c>
      <c r="N373" s="326">
        <f>_xlfn.XLOOKUP($B373,'29'!$B:$B,'29'!N:N,)</f>
        <v>2.1428571428571401</v>
      </c>
      <c r="O373" s="40" t="str">
        <f>_xlfn.XLOOKUP($B373,'29'!$B:$B,'29'!O:O,)</f>
        <v>Yes</v>
      </c>
      <c r="P373" s="40" t="str">
        <f>_xlfn.XLOOKUP($B373,'29'!$B:$B,'29'!P:P,)</f>
        <v>Only suitable source identified</v>
      </c>
      <c r="Q373" s="40">
        <f>_xlfn.XLOOKUP($B373,'29'!$B:$B,'29'!Q:Q,)</f>
        <v>31</v>
      </c>
      <c r="R373" s="40" t="str">
        <f>_xlfn.XLOOKUP($B373,'29'!$B:$B,'29'!R:R,)</f>
        <v>Marine Management Organisation (2024) UK sea fisheries annual statistics report 2023.</v>
      </c>
      <c r="S373" s="40" t="str">
        <f>_xlfn.XLOOKUP($B373,'29'!$B:$B,'29'!S:S,)</f>
        <v>ENCA</v>
      </c>
      <c r="T373" s="40">
        <f>_xlfn.XLOOKUP($B373,'29'!$B:$B,'29'!T:T,)</f>
        <v>2024</v>
      </c>
      <c r="U373" s="40" t="str">
        <f>_xlfn.XLOOKUP($B373,'29'!$B:$B,'29'!U:U,)</f>
        <v>UK</v>
      </c>
      <c r="V373" s="40" t="str">
        <f>_xlfn.XLOOKUP($B373,'29'!$B:$B,'29'!V:V,)</f>
        <v>UK</v>
      </c>
      <c r="W373" s="40" t="str">
        <f>_xlfn.XLOOKUP($B373,'29'!$B:$B,'29'!W:W,)</f>
        <v>/</v>
      </c>
    </row>
    <row r="374" spans="2:23">
      <c r="B374" s="40" t="s">
        <v>2143</v>
      </c>
      <c r="C374" s="40" t="str">
        <f>_xlfn.XLOOKUP($B374,'29'!$B:$B,'29'!C:C,)</f>
        <v>Shellfish water quality</v>
      </c>
      <c r="D374" s="40" t="str">
        <f>_xlfn.XLOOKUP($B374,'29'!$B:$B,'29'!D:D,)</f>
        <v>Prohibited area</v>
      </c>
      <c r="E374" s="40" t="str">
        <f>_xlfn.XLOOKUP($B374,'29'!$B:$B,'29'!E:E,)</f>
        <v>Food provision</v>
      </c>
      <c r="F374" s="40">
        <f>_xlfn.XLOOKUP($B374,'29'!$B:$B,'29'!F:F,)</f>
        <v>2024</v>
      </c>
      <c r="G374" s="40">
        <f>_xlfn.XLOOKUP($B374,'29'!$B:$B,'29'!G:G,)</f>
        <v>2023</v>
      </c>
      <c r="H374" s="40">
        <f>_xlfn.XLOOKUP($B374,'29'!$B:$B,'29'!H:H,)</f>
        <v>2023</v>
      </c>
      <c r="I374" s="40">
        <f>_xlfn.XLOOKUP($B374,'29'!$B:$B,'29'!I:I,)</f>
        <v>100</v>
      </c>
      <c r="J374" s="40">
        <f>_xlfn.XLOOKUP($B374,'29'!$B:$B,'29'!J:J,)</f>
        <v>100</v>
      </c>
      <c r="K374" s="629">
        <f>_xlfn.XLOOKUP($B374,'29'!$B:$B,'29'!K:K,)</f>
        <v>0</v>
      </c>
      <c r="L374" s="629">
        <f>_xlfn.XLOOKUP($B374,'29'!$B:$B,'29'!L:L,)</f>
        <v>0</v>
      </c>
      <c r="M374" s="40" t="str">
        <f>_xlfn.XLOOKUP($B374,'29'!$B:$B,'29'!M:M,)</f>
        <v>Market value</v>
      </c>
      <c r="N374" s="326">
        <f>_xlfn.XLOOKUP($B374,'29'!$B:$B,'29'!N:N,)</f>
        <v>2.1428571428571401</v>
      </c>
      <c r="O374" s="40" t="str">
        <f>_xlfn.XLOOKUP($B374,'29'!$B:$B,'29'!O:O,)</f>
        <v>Yes</v>
      </c>
      <c r="P374" s="40" t="str">
        <f>_xlfn.XLOOKUP($B374,'29'!$B:$B,'29'!P:P,)</f>
        <v>Only suitable source identified</v>
      </c>
      <c r="Q374" s="40">
        <f>_xlfn.XLOOKUP($B374,'29'!$B:$B,'29'!Q:Q,)</f>
        <v>31</v>
      </c>
      <c r="R374" s="40" t="str">
        <f>_xlfn.XLOOKUP($B374,'29'!$B:$B,'29'!R:R,)</f>
        <v>Marine Management Organisation (2024) UK sea fisheries annual statistics report 2023.</v>
      </c>
      <c r="S374" s="40" t="str">
        <f>_xlfn.XLOOKUP($B374,'29'!$B:$B,'29'!S:S,)</f>
        <v>ENCA</v>
      </c>
      <c r="T374" s="40">
        <f>_xlfn.XLOOKUP($B374,'29'!$B:$B,'29'!T:T,)</f>
        <v>2024</v>
      </c>
      <c r="U374" s="40" t="str">
        <f>_xlfn.XLOOKUP($B374,'29'!$B:$B,'29'!U:U,)</f>
        <v>UK</v>
      </c>
      <c r="V374" s="40" t="str">
        <f>_xlfn.XLOOKUP($B374,'29'!$B:$B,'29'!V:V,)</f>
        <v>UK</v>
      </c>
      <c r="W374" s="40" t="str">
        <f>_xlfn.XLOOKUP($B374,'29'!$B:$B,'29'!W:W,)</f>
        <v>/</v>
      </c>
    </row>
    <row r="375" spans="2:23">
      <c r="B375" s="39" t="s">
        <v>1810</v>
      </c>
      <c r="C375" s="40" t="str">
        <f>_xlfn.XLOOKUP($B375,'24'!$B:$B,'24'!C:C,)</f>
        <v>Sludge disposal</v>
      </c>
      <c r="D375" s="40" t="str">
        <f>_xlfn.XLOOKUP($B375,'24'!$B:$B,'24'!D:D,)</f>
        <v>Sludge to landfill (instead of to land)</v>
      </c>
      <c r="E375" s="40" t="str">
        <f>_xlfn.XLOOKUP($B375,'24'!$B:$B,'24'!E:E,)</f>
        <v>Private costs</v>
      </c>
      <c r="F375" s="40">
        <f>_xlfn.XLOOKUP($B375,'24'!$B:$B,'24'!F:F,)</f>
        <v>2024</v>
      </c>
      <c r="G375" s="40">
        <f>_xlfn.XLOOKUP($B375,'24'!$B:$B,'24'!G:G,)</f>
        <v>2024</v>
      </c>
      <c r="H375" s="40">
        <f>_xlfn.XLOOKUP($B375,'24'!$B:$B,'24'!H:H,)</f>
        <v>2023</v>
      </c>
      <c r="I375" s="40">
        <f>_xlfn.XLOOKUP($B375,'24'!$B:$B,'24'!I:I,)</f>
        <v>101.52460002617836</v>
      </c>
      <c r="J375" s="40">
        <f>_xlfn.XLOOKUP($B375,'24'!$B:$B,'24'!J:J,)</f>
        <v>100</v>
      </c>
      <c r="K375" s="629">
        <f>_xlfn.XLOOKUP($B375,'24'!$B:$B,'24'!K:K,)</f>
        <v>27</v>
      </c>
      <c r="L375" s="629">
        <f>_xlfn.XLOOKUP($B375,'24'!$B:$B,'24'!L:L,)</f>
        <v>26.594539641661218</v>
      </c>
      <c r="M375" s="40" t="str">
        <f>_xlfn.XLOOKUP($B375,'24'!$B:$B,'24'!M:M,)</f>
        <v>Gate fees</v>
      </c>
      <c r="N375" s="326">
        <f>_xlfn.XLOOKUP($B375,'24'!$B:$B,'24'!N:N,)</f>
        <v>2.8333333333333335</v>
      </c>
      <c r="O375" s="40" t="str">
        <f>_xlfn.XLOOKUP($B375,'24'!$B:$B,'24'!O:O,)</f>
        <v>Yes</v>
      </c>
      <c r="P375" s="40" t="str">
        <f>_xlfn.XLOOKUP($B375,'24'!$B:$B,'24'!P:P,)</f>
        <v>Recent reputable source</v>
      </c>
      <c r="Q375" s="40">
        <f>_xlfn.XLOOKUP($B375,'24'!$B:$B,'24'!Q:Q,)</f>
        <v>102</v>
      </c>
      <c r="R375" s="40" t="str">
        <f>_xlfn.XLOOKUP($B375,'24'!$B:$B,'24'!R:R,)</f>
        <v>WRAP (2024) Gate Fees Report 2023/24</v>
      </c>
      <c r="S375" s="40" t="str">
        <f>_xlfn.XLOOKUP($B375,'24'!$B:$B,'24'!S:S,)</f>
        <v>/</v>
      </c>
      <c r="T375" s="40">
        <f>_xlfn.XLOOKUP($B375,'24'!$B:$B,'24'!T:T,)</f>
        <v>2024</v>
      </c>
      <c r="U375" s="40" t="str">
        <f>_xlfn.XLOOKUP($B375,'24'!$B:$B,'24'!U:U,)</f>
        <v>UK</v>
      </c>
      <c r="V375" s="40" t="str">
        <f>_xlfn.XLOOKUP($B375,'24'!$B:$B,'24'!V:V,)</f>
        <v>UK wide</v>
      </c>
      <c r="W375" s="40">
        <f>_xlfn.XLOOKUP($B375,'24'!$B:$B,'24'!W:W,)</f>
        <v>255</v>
      </c>
    </row>
    <row r="376" spans="2:23">
      <c r="B376" s="39" t="s">
        <v>1811</v>
      </c>
      <c r="C376" s="40" t="str">
        <f>_xlfn.XLOOKUP($B376,'24'!$B:$B,'24'!C:C,)</f>
        <v>Sludge disposal</v>
      </c>
      <c r="D376" s="40" t="str">
        <f>_xlfn.XLOOKUP($B376,'24'!$B:$B,'24'!D:D,)</f>
        <v>Sludge to incineration (instead of to land)</v>
      </c>
      <c r="E376" s="40" t="str">
        <f>_xlfn.XLOOKUP($B376,'24'!$B:$B,'24'!E:E,)</f>
        <v>Private costs</v>
      </c>
      <c r="F376" s="40">
        <f>_xlfn.XLOOKUP($B376,'24'!$B:$B,'24'!F:F,)</f>
        <v>2024</v>
      </c>
      <c r="G376" s="40">
        <f>_xlfn.XLOOKUP($B376,'24'!$B:$B,'24'!G:G,)</f>
        <v>2024</v>
      </c>
      <c r="H376" s="40">
        <f>_xlfn.XLOOKUP($B376,'24'!$B:$B,'24'!H:H,)</f>
        <v>2023</v>
      </c>
      <c r="I376" s="40">
        <f>_xlfn.XLOOKUP($B376,'24'!$B:$B,'24'!I:I,)</f>
        <v>101.52460002617836</v>
      </c>
      <c r="J376" s="40">
        <f>_xlfn.XLOOKUP($B376,'24'!$B:$B,'24'!J:J,)</f>
        <v>100</v>
      </c>
      <c r="K376" s="629">
        <f>_xlfn.XLOOKUP($B376,'24'!$B:$B,'24'!K:K,)</f>
        <v>110</v>
      </c>
      <c r="L376" s="629">
        <f>_xlfn.XLOOKUP($B376,'24'!$B:$B,'24'!L:L,)</f>
        <v>108.34812446602719</v>
      </c>
      <c r="M376" s="40" t="str">
        <f>_xlfn.XLOOKUP($B376,'24'!$B:$B,'24'!M:M,)</f>
        <v>Gate fees</v>
      </c>
      <c r="N376" s="326">
        <f>_xlfn.XLOOKUP($B376,'24'!$B:$B,'24'!N:N,)</f>
        <v>2.8333333333333335</v>
      </c>
      <c r="O376" s="40" t="str">
        <f>_xlfn.XLOOKUP($B376,'24'!$B:$B,'24'!O:O,)</f>
        <v>Yes</v>
      </c>
      <c r="P376" s="40" t="str">
        <f>_xlfn.XLOOKUP($B376,'24'!$B:$B,'24'!P:P,)</f>
        <v>Recent reputable source</v>
      </c>
      <c r="Q376" s="40">
        <f>_xlfn.XLOOKUP($B376,'24'!$B:$B,'24'!Q:Q,)</f>
        <v>102</v>
      </c>
      <c r="R376" s="40" t="str">
        <f>_xlfn.XLOOKUP($B376,'24'!$B:$B,'24'!R:R,)</f>
        <v>WRAP (2024) Gate Fees Report 2023/24</v>
      </c>
      <c r="S376" s="40" t="str">
        <f>_xlfn.XLOOKUP($B376,'24'!$B:$B,'24'!S:S,)</f>
        <v>/</v>
      </c>
      <c r="T376" s="40">
        <f>_xlfn.XLOOKUP($B376,'24'!$B:$B,'24'!T:T,)</f>
        <v>2024</v>
      </c>
      <c r="U376" s="40" t="str">
        <f>_xlfn.XLOOKUP($B376,'24'!$B:$B,'24'!U:U,)</f>
        <v>UK</v>
      </c>
      <c r="V376" s="40" t="str">
        <f>_xlfn.XLOOKUP($B376,'24'!$B:$B,'24'!V:V,)</f>
        <v>UK wide</v>
      </c>
      <c r="W376" s="40">
        <f>_xlfn.XLOOKUP($B376,'24'!$B:$B,'24'!W:W,)</f>
        <v>255</v>
      </c>
    </row>
    <row r="377" spans="2:23">
      <c r="B377" s="39" t="s">
        <v>1812</v>
      </c>
      <c r="C377" s="40" t="str">
        <f>_xlfn.XLOOKUP($B377,'24'!$B:$B,'24'!C:C,)</f>
        <v>Sludge disposal</v>
      </c>
      <c r="D377" s="40" t="str">
        <f>_xlfn.XLOOKUP($B377,'24'!$B:$B,'24'!D:D,)</f>
        <v>Sludge to landfill (instead of to land)</v>
      </c>
      <c r="E377" s="40" t="str">
        <f>_xlfn.XLOOKUP($B377,'24'!$B:$B,'24'!E:E,)</f>
        <v>Soil</v>
      </c>
      <c r="F377" s="40">
        <f>_xlfn.XLOOKUP($B377,'24'!$B:$B,'24'!F:F,)</f>
        <v>2023</v>
      </c>
      <c r="G377" s="40">
        <f>_xlfn.XLOOKUP($B377,'24'!$B:$B,'24'!G:G,)</f>
        <v>2024</v>
      </c>
      <c r="H377" s="40">
        <f>_xlfn.XLOOKUP($B377,'24'!$B:$B,'24'!H:H,)</f>
        <v>2023</v>
      </c>
      <c r="I377" s="40">
        <f>_xlfn.XLOOKUP($B377,'24'!$B:$B,'24'!I:I,)</f>
        <v>101.52460002617836</v>
      </c>
      <c r="J377" s="40">
        <f>_xlfn.XLOOKUP($B377,'24'!$B:$B,'24'!J:J,)</f>
        <v>100</v>
      </c>
      <c r="K377" s="629">
        <f>_xlfn.XLOOKUP($B377,'24'!$B:$B,'24'!K:K,)</f>
        <v>79.807715794009908</v>
      </c>
      <c r="L377" s="629">
        <f>_xlfn.XLOOKUP($B377,'24'!$B:$B,'24'!L:L,)</f>
        <v>78.609239310897351</v>
      </c>
      <c r="M377" s="40" t="str">
        <f>_xlfn.XLOOKUP($B377,'24'!$B:$B,'24'!M:M,)</f>
        <v>Market value</v>
      </c>
      <c r="N377" s="326">
        <f>_xlfn.XLOOKUP($B377,'24'!$B:$B,'24'!N:N,)</f>
        <v>2.1428571428571401</v>
      </c>
      <c r="O377" s="40" t="str">
        <f>_xlfn.XLOOKUP($B377,'24'!$B:$B,'24'!O:O,)</f>
        <v>Yes</v>
      </c>
      <c r="P377" s="40" t="str">
        <f>_xlfn.XLOOKUP($B377,'24'!$B:$B,'24'!P:P,)</f>
        <v>Recent market value equivalent</v>
      </c>
      <c r="Q377" s="40">
        <f>_xlfn.XLOOKUP($B377,'24'!$B:$B,'24'!Q:Q,)</f>
        <v>104</v>
      </c>
      <c r="R377" s="40" t="str">
        <f>_xlfn.XLOOKUP($B377,'24'!$B:$B,'24'!R:R,)</f>
        <v>AHDB (2023) Nutrient Management Guide (RB209) Section 2 Organic Materials</v>
      </c>
      <c r="S377" s="40" t="str">
        <f>_xlfn.XLOOKUP($B377,'24'!$B:$B,'24'!S:S,)</f>
        <v>/</v>
      </c>
      <c r="T377" s="40">
        <f>_xlfn.XLOOKUP($B377,'24'!$B:$B,'24'!T:T,)</f>
        <v>2023</v>
      </c>
      <c r="U377" s="40" t="str">
        <f>_xlfn.XLOOKUP($B377,'24'!$B:$B,'24'!U:U,)</f>
        <v>UK</v>
      </c>
      <c r="V377" s="40" t="str">
        <f>_xlfn.XLOOKUP($B377,'24'!$B:$B,'24'!V:V,)</f>
        <v>UK wide</v>
      </c>
      <c r="W377" s="40" t="str">
        <f>_xlfn.XLOOKUP($B377,'24'!$B:$B,'24'!W:W,)</f>
        <v>N/A</v>
      </c>
    </row>
    <row r="378" spans="2:23">
      <c r="B378" s="39" t="s">
        <v>1813</v>
      </c>
      <c r="C378" s="40" t="str">
        <f>_xlfn.XLOOKUP($B378,'24'!$B:$B,'24'!C:C,)</f>
        <v>Sludge disposal</v>
      </c>
      <c r="D378" s="40" t="str">
        <f>_xlfn.XLOOKUP($B378,'24'!$B:$B,'24'!D:D,)</f>
        <v>Sludge to restoration (instead of to land)</v>
      </c>
      <c r="E378" s="40" t="str">
        <f>_xlfn.XLOOKUP($B378,'24'!$B:$B,'24'!E:E,)</f>
        <v>Soil</v>
      </c>
      <c r="F378" s="40">
        <f>_xlfn.XLOOKUP($B378,'24'!$B:$B,'24'!F:F,)</f>
        <v>2023</v>
      </c>
      <c r="G378" s="40">
        <f>_xlfn.XLOOKUP($B378,'24'!$B:$B,'24'!G:G,)</f>
        <v>2024</v>
      </c>
      <c r="H378" s="40">
        <f>_xlfn.XLOOKUP($B378,'24'!$B:$B,'24'!H:H,)</f>
        <v>2023</v>
      </c>
      <c r="I378" s="40">
        <f>_xlfn.XLOOKUP($B378,'24'!$B:$B,'24'!I:I,)</f>
        <v>101.52460002617836</v>
      </c>
      <c r="J378" s="40">
        <f>_xlfn.XLOOKUP($B378,'24'!$B:$B,'24'!J:J,)</f>
        <v>100</v>
      </c>
      <c r="K378" s="629">
        <f>_xlfn.XLOOKUP($B378,'24'!$B:$B,'24'!K:K,)</f>
        <v>79.807715794009908</v>
      </c>
      <c r="L378" s="629">
        <f>_xlfn.XLOOKUP($B378,'24'!$B:$B,'24'!L:L,)</f>
        <v>78.609239310897351</v>
      </c>
      <c r="M378" s="40" t="str">
        <f>_xlfn.XLOOKUP($B378,'24'!$B:$B,'24'!M:M,)</f>
        <v>Market value</v>
      </c>
      <c r="N378" s="326">
        <f>_xlfn.XLOOKUP($B378,'24'!$B:$B,'24'!N:N,)</f>
        <v>2.1428571428571401</v>
      </c>
      <c r="O378" s="40" t="str">
        <f>_xlfn.XLOOKUP($B378,'24'!$B:$B,'24'!O:O,)</f>
        <v>Yes</v>
      </c>
      <c r="P378" s="40" t="str">
        <f>_xlfn.XLOOKUP($B378,'24'!$B:$B,'24'!P:P,)</f>
        <v>Recent market value equivalent</v>
      </c>
      <c r="Q378" s="40">
        <f>_xlfn.XLOOKUP($B378,'24'!$B:$B,'24'!Q:Q,)</f>
        <v>104</v>
      </c>
      <c r="R378" s="40" t="str">
        <f>_xlfn.XLOOKUP($B378,'24'!$B:$B,'24'!R:R,)</f>
        <v>AHDB (2023) Nutrient Management Guide (RB209) Section 2 Organic Materials</v>
      </c>
      <c r="S378" s="40" t="str">
        <f>_xlfn.XLOOKUP($B378,'24'!$B:$B,'24'!S:S,)</f>
        <v>/</v>
      </c>
      <c r="T378" s="40">
        <f>_xlfn.XLOOKUP($B378,'24'!$B:$B,'24'!T:T,)</f>
        <v>2023</v>
      </c>
      <c r="U378" s="40" t="str">
        <f>_xlfn.XLOOKUP($B378,'24'!$B:$B,'24'!U:U,)</f>
        <v>UK</v>
      </c>
      <c r="V378" s="40" t="str">
        <f>_xlfn.XLOOKUP($B378,'24'!$B:$B,'24'!V:V,)</f>
        <v>UK wide</v>
      </c>
      <c r="W378" s="40" t="str">
        <f>_xlfn.XLOOKUP($B378,'24'!$B:$B,'24'!W:W,)</f>
        <v>N/A</v>
      </c>
    </row>
    <row r="379" spans="2:23">
      <c r="B379" s="39" t="s">
        <v>1814</v>
      </c>
      <c r="C379" s="40" t="str">
        <f>_xlfn.XLOOKUP($B379,'24'!$B:$B,'24'!C:C,)</f>
        <v>Sludge disposal</v>
      </c>
      <c r="D379" s="40" t="str">
        <f>_xlfn.XLOOKUP($B379,'24'!$B:$B,'24'!D:D,)</f>
        <v>Sludge to incineration (instead of to land)</v>
      </c>
      <c r="E379" s="40" t="str">
        <f>_xlfn.XLOOKUP($B379,'24'!$B:$B,'24'!E:E,)</f>
        <v>Soil</v>
      </c>
      <c r="F379" s="40">
        <f>_xlfn.XLOOKUP($B379,'24'!$B:$B,'24'!F:F,)</f>
        <v>2023</v>
      </c>
      <c r="G379" s="40">
        <f>_xlfn.XLOOKUP($B379,'24'!$B:$B,'24'!G:G,)</f>
        <v>2024</v>
      </c>
      <c r="H379" s="40">
        <f>_xlfn.XLOOKUP($B379,'24'!$B:$B,'24'!H:H,)</f>
        <v>2023</v>
      </c>
      <c r="I379" s="40">
        <f>_xlfn.XLOOKUP($B379,'24'!$B:$B,'24'!I:I,)</f>
        <v>101.52460002617836</v>
      </c>
      <c r="J379" s="40">
        <f>_xlfn.XLOOKUP($B379,'24'!$B:$B,'24'!J:J,)</f>
        <v>100</v>
      </c>
      <c r="K379" s="629">
        <f>_xlfn.XLOOKUP($B379,'24'!$B:$B,'24'!K:K,)</f>
        <v>79.807715794009908</v>
      </c>
      <c r="L379" s="629">
        <f>_xlfn.XLOOKUP($B379,'24'!$B:$B,'24'!L:L,)</f>
        <v>78.609239310897351</v>
      </c>
      <c r="M379" s="40" t="str">
        <f>_xlfn.XLOOKUP($B379,'24'!$B:$B,'24'!M:M,)</f>
        <v>Market value</v>
      </c>
      <c r="N379" s="326">
        <f>_xlfn.XLOOKUP($B379,'24'!$B:$B,'24'!N:N,)</f>
        <v>2.1428571428571401</v>
      </c>
      <c r="O379" s="40" t="str">
        <f>_xlfn.XLOOKUP($B379,'24'!$B:$B,'24'!O:O,)</f>
        <v>Yes</v>
      </c>
      <c r="P379" s="40" t="str">
        <f>_xlfn.XLOOKUP($B379,'24'!$B:$B,'24'!P:P,)</f>
        <v>Recent market value equivalent</v>
      </c>
      <c r="Q379" s="40">
        <f>_xlfn.XLOOKUP($B379,'24'!$B:$B,'24'!Q:Q,)</f>
        <v>104</v>
      </c>
      <c r="R379" s="40" t="str">
        <f>_xlfn.XLOOKUP($B379,'24'!$B:$B,'24'!R:R,)</f>
        <v>AHDB (2023) Nutrient Management Guide (RB209) Section 2 Organic Materials</v>
      </c>
      <c r="S379" s="40" t="str">
        <f>_xlfn.XLOOKUP($B379,'24'!$B:$B,'24'!S:S,)</f>
        <v>/</v>
      </c>
      <c r="T379" s="40">
        <f>_xlfn.XLOOKUP($B379,'24'!$B:$B,'24'!T:T,)</f>
        <v>2023</v>
      </c>
      <c r="U379" s="40" t="str">
        <f>_xlfn.XLOOKUP($B379,'24'!$B:$B,'24'!U:U,)</f>
        <v>UK</v>
      </c>
      <c r="V379" s="40" t="str">
        <f>_xlfn.XLOOKUP($B379,'24'!$B:$B,'24'!V:V,)</f>
        <v>UK wide</v>
      </c>
      <c r="W379" s="40" t="str">
        <f>_xlfn.XLOOKUP($B379,'24'!$B:$B,'24'!W:W,)</f>
        <v>N/A</v>
      </c>
    </row>
    <row r="380" spans="2:23">
      <c r="B380" s="39" t="s">
        <v>1815</v>
      </c>
      <c r="C380" s="40" t="str">
        <f>_xlfn.XLOOKUP($B380,'24'!$B:$B,'24'!C:C,)</f>
        <v>Sludge disposal</v>
      </c>
      <c r="D380" s="40" t="str">
        <f>_xlfn.XLOOKUP($B380,'24'!$B:$B,'24'!D:D,)</f>
        <v>Sludge to landfill (instead of to land)</v>
      </c>
      <c r="E380" s="40" t="str">
        <f>_xlfn.XLOOKUP($B380,'24'!$B:$B,'24'!E:E,)</f>
        <v>GHG</v>
      </c>
      <c r="F380" s="40">
        <f>_xlfn.XLOOKUP($B380,'24'!$B:$B,'24'!F:F,)</f>
        <v>2013</v>
      </c>
      <c r="G380" s="40">
        <f>_xlfn.XLOOKUP($B380,'24'!$B:$B,'24'!G:G,)</f>
        <v>2020</v>
      </c>
      <c r="H380" s="40">
        <f>_xlfn.XLOOKUP($B380,'24'!$B:$B,'24'!H:H,)</f>
        <v>2023</v>
      </c>
      <c r="I380" s="40">
        <f>_xlfn.XLOOKUP($B380,'24'!$B:$B,'24'!I:I,)</f>
        <v>89.073499999999996</v>
      </c>
      <c r="J380" s="40">
        <f>_xlfn.XLOOKUP($B380,'24'!$B:$B,'24'!J:J,)</f>
        <v>100</v>
      </c>
      <c r="K380" s="629">
        <f ca="1">_xlfn.XLOOKUP($B380,'24'!$B:$B,'24'!K:K,)</f>
        <v>514.695290909091</v>
      </c>
      <c r="L380" s="629">
        <f ca="1">_xlfn.XLOOKUP($B380,'24'!$B:$B,'24'!L:L,)</f>
        <v>577.83211719432938</v>
      </c>
      <c r="M380" s="40" t="str">
        <f>_xlfn.XLOOKUP($B380,'24'!$B:$B,'24'!M:M,)</f>
        <v>Abatement cost</v>
      </c>
      <c r="N380" s="326">
        <f>_xlfn.XLOOKUP($B380,'24'!$B:$B,'24'!N:N,)</f>
        <v>1.6666666666666667</v>
      </c>
      <c r="O380" s="40" t="str">
        <f>_xlfn.XLOOKUP($B380,'24'!$B:$B,'24'!O:O,)</f>
        <v>Yes</v>
      </c>
      <c r="P380" s="40" t="str">
        <f>_xlfn.XLOOKUP($B380,'24'!$B:$B,'24'!P:P,)</f>
        <v>Best available source</v>
      </c>
      <c r="Q380" s="40">
        <f>_xlfn.XLOOKUP($B380,'24'!$B:$B,'24'!Q:Q,)</f>
        <v>109</v>
      </c>
      <c r="R380" s="40" t="str">
        <f>_xlfn.XLOOKUP($B380,'24'!$B:$B,'24'!R:R,)</f>
        <v>Pradel &amp; Reverdy (2013) Assessing GHG emissions from sludge treatment and disposal routes: the method behind GESTABoues tool</v>
      </c>
      <c r="S380" s="40" t="str">
        <f>_xlfn.XLOOKUP($B380,'24'!$B:$B,'24'!S:S,)</f>
        <v>/</v>
      </c>
      <c r="T380" s="40">
        <f>_xlfn.XLOOKUP($B380,'24'!$B:$B,'24'!T:T,)</f>
        <v>2013</v>
      </c>
      <c r="U380" s="40" t="str">
        <f>_xlfn.XLOOKUP($B380,'24'!$B:$B,'24'!U:U,)</f>
        <v>France</v>
      </c>
      <c r="V380" s="40" t="str">
        <f>_xlfn.XLOOKUP($B380,'24'!$B:$B,'24'!V:V,)</f>
        <v>France</v>
      </c>
      <c r="W380" s="40" t="str">
        <f>_xlfn.XLOOKUP($B380,'24'!$B:$B,'24'!W:W,)</f>
        <v>N/A</v>
      </c>
    </row>
    <row r="381" spans="2:23">
      <c r="B381" s="39" t="s">
        <v>1816</v>
      </c>
      <c r="C381" s="40" t="str">
        <f>_xlfn.XLOOKUP($B381,'24'!$B:$B,'24'!C:C,)</f>
        <v>Sludge disposal</v>
      </c>
      <c r="D381" s="40" t="str">
        <f>_xlfn.XLOOKUP($B381,'24'!$B:$B,'24'!D:D,)</f>
        <v>Sludge to incineration (instead of to land)</v>
      </c>
      <c r="E381" s="40" t="str">
        <f>_xlfn.XLOOKUP($B381,'24'!$B:$B,'24'!E:E,)</f>
        <v>GHG</v>
      </c>
      <c r="F381" s="40">
        <f>_xlfn.XLOOKUP($B381,'24'!$B:$B,'24'!F:F,)</f>
        <v>2013</v>
      </c>
      <c r="G381" s="40">
        <f>_xlfn.XLOOKUP($B381,'24'!$B:$B,'24'!G:G,)</f>
        <v>2020</v>
      </c>
      <c r="H381" s="40">
        <f>_xlfn.XLOOKUP($B381,'24'!$B:$B,'24'!H:H,)</f>
        <v>2023</v>
      </c>
      <c r="I381" s="40">
        <f>_xlfn.XLOOKUP($B381,'24'!$B:$B,'24'!I:I,)</f>
        <v>89.073499999999996</v>
      </c>
      <c r="J381" s="40">
        <f>_xlfn.XLOOKUP($B381,'24'!$B:$B,'24'!J:J,)</f>
        <v>100</v>
      </c>
      <c r="K381" s="629">
        <f ca="1">_xlfn.XLOOKUP($B381,'24'!$B:$B,'24'!K:K,)</f>
        <v>151.54491999999999</v>
      </c>
      <c r="L381" s="629">
        <f ca="1">_xlfn.XLOOKUP($B381,'24'!$B:$B,'24'!L:L,)</f>
        <v>170.13468652292769</v>
      </c>
      <c r="M381" s="40" t="str">
        <f>_xlfn.XLOOKUP($B381,'24'!$B:$B,'24'!M:M,)</f>
        <v>Abatement cost</v>
      </c>
      <c r="N381" s="326">
        <f>_xlfn.XLOOKUP($B381,'24'!$B:$B,'24'!N:N,)</f>
        <v>1.6666666666666667</v>
      </c>
      <c r="O381" s="40" t="str">
        <f>_xlfn.XLOOKUP($B381,'24'!$B:$B,'24'!O:O,)</f>
        <v>Yes</v>
      </c>
      <c r="P381" s="40" t="str">
        <f>_xlfn.XLOOKUP($B381,'24'!$B:$B,'24'!P:P,)</f>
        <v>Best available source</v>
      </c>
      <c r="Q381" s="40">
        <f>_xlfn.XLOOKUP($B381,'24'!$B:$B,'24'!Q:Q,)</f>
        <v>109</v>
      </c>
      <c r="R381" s="40" t="str">
        <f>_xlfn.XLOOKUP($B381,'24'!$B:$B,'24'!R:R,)</f>
        <v>Pradel &amp; Reverdy (2013) Assessing GHG emissions from sludge treatment and disposal routes: the method behind GESTABoues tool</v>
      </c>
      <c r="S381" s="40" t="str">
        <f>_xlfn.XLOOKUP($B381,'24'!$B:$B,'24'!S:S,)</f>
        <v>/</v>
      </c>
      <c r="T381" s="40">
        <f>_xlfn.XLOOKUP($B381,'24'!$B:$B,'24'!T:T,)</f>
        <v>2013</v>
      </c>
      <c r="U381" s="40" t="str">
        <f>_xlfn.XLOOKUP($B381,'24'!$B:$B,'24'!U:U,)</f>
        <v>France</v>
      </c>
      <c r="V381" s="40" t="str">
        <f>_xlfn.XLOOKUP($B381,'24'!$B:$B,'24'!V:V,)</f>
        <v>France</v>
      </c>
      <c r="W381" s="40" t="str">
        <f>_xlfn.XLOOKUP($B381,'24'!$B:$B,'24'!W:W,)</f>
        <v>N/A</v>
      </c>
    </row>
    <row r="382" spans="2:23">
      <c r="B382" s="39" t="s">
        <v>1710</v>
      </c>
      <c r="C382" s="40" t="str">
        <f>_xlfn.XLOOKUP($B382,'23'!$B:$B,'23'!C:C,)</f>
        <v>Sludge treatment</v>
      </c>
      <c r="D382" s="40" t="str">
        <f>_xlfn.XLOOKUP($B382,'23'!$B:$B,'23'!D:D,)</f>
        <v>Re-treatment through AD</v>
      </c>
      <c r="E382" s="40" t="str">
        <f>_xlfn.XLOOKUP($B382,'23'!$B:$B,'23'!E:E,)</f>
        <v>Private benefits</v>
      </c>
      <c r="F382" s="40">
        <f>_xlfn.XLOOKUP($B382,'23'!$B:$B,'23'!F:F,)</f>
        <v>2024</v>
      </c>
      <c r="G382" s="40">
        <f>_xlfn.XLOOKUP($B382,'23'!$B:$B,'23'!G:G,)</f>
        <v>2024</v>
      </c>
      <c r="H382" s="40">
        <f>_xlfn.XLOOKUP($B382,'23'!$B:$B,'23'!H:H,)</f>
        <v>2023</v>
      </c>
      <c r="I382" s="40">
        <f>_xlfn.XLOOKUP($B382,'23'!$B:$B,'23'!I:I,)</f>
        <v>101.52460002617836</v>
      </c>
      <c r="J382" s="40">
        <f>_xlfn.XLOOKUP($B382,'23'!$B:$B,'23'!J:J,)</f>
        <v>100</v>
      </c>
      <c r="K382" s="629">
        <f>_xlfn.XLOOKUP($B382,'23'!$B:$B,'23'!K:K,)</f>
        <v>-579.94018554324782</v>
      </c>
      <c r="L382" s="629">
        <f>_xlfn.XLOOKUP($B382,'23'!$B:$B,'23'!L:L,)</f>
        <v>-571.23119460082467</v>
      </c>
      <c r="M382" s="40" t="str">
        <f>_xlfn.XLOOKUP($B382,'23'!$B:$B,'23'!M:M,)</f>
        <v>Energy price</v>
      </c>
      <c r="N382" s="326">
        <f>_xlfn.XLOOKUP($B382,'23'!$B:$B,'23'!N:N,)</f>
        <v>2</v>
      </c>
      <c r="O382" s="40" t="str">
        <f>_xlfn.XLOOKUP($B382,'23'!$B:$B,'23'!O:O,)</f>
        <v>Yes</v>
      </c>
      <c r="P382" s="40" t="str">
        <f>_xlfn.XLOOKUP($B382,'23'!$B:$B,'23'!P:P,)</f>
        <v>Source selected for consistency so we can use the volume of gas value for other calculations</v>
      </c>
      <c r="Q382" s="40">
        <f>_xlfn.XLOOKUP($B382,'23'!$B:$B,'23'!Q:Q,)</f>
        <v>130</v>
      </c>
      <c r="R382" s="40" t="str">
        <f>_xlfn.XLOOKUP($B382,'23'!$B:$B,'23'!R:R,)</f>
        <v>DESNZ (2024) Prices of fuels purchased by non-domestic consumers in the UK</v>
      </c>
      <c r="S382" s="40" t="str">
        <f>_xlfn.XLOOKUP($B382,'23'!$B:$B,'23'!S:S,)</f>
        <v>/</v>
      </c>
      <c r="T382" s="40">
        <f>_xlfn.XLOOKUP($B382,'23'!$B:$B,'23'!T:T,)</f>
        <v>2024</v>
      </c>
      <c r="U382" s="40" t="str">
        <f>_xlfn.XLOOKUP($B382,'23'!$B:$B,'23'!U:U,)</f>
        <v>UK</v>
      </c>
      <c r="V382" s="40" t="str">
        <f>_xlfn.XLOOKUP($B382,'23'!$B:$B,'23'!V:V,)</f>
        <v>UK</v>
      </c>
      <c r="W382" s="40" t="str">
        <f>_xlfn.XLOOKUP($B382,'23'!$B:$B,'23'!W:W,)</f>
        <v>N/A</v>
      </c>
    </row>
    <row r="383" spans="2:23">
      <c r="B383" s="39" t="s">
        <v>1711</v>
      </c>
      <c r="C383" s="40" t="str">
        <f>_xlfn.XLOOKUP($B383,'23'!$B:$B,'23'!C:C,)</f>
        <v>Sludge treatment</v>
      </c>
      <c r="D383" s="40" t="str">
        <f>_xlfn.XLOOKUP($B383,'23'!$B:$B,'23'!D:D,)</f>
        <v>Re-treatment through AAD</v>
      </c>
      <c r="E383" s="40" t="str">
        <f>_xlfn.XLOOKUP($B383,'23'!$B:$B,'23'!E:E,)</f>
        <v>Private benefits</v>
      </c>
      <c r="F383" s="40">
        <f>_xlfn.XLOOKUP($B383,'23'!$B:$B,'23'!F:F,)</f>
        <v>2024</v>
      </c>
      <c r="G383" s="40">
        <f>_xlfn.XLOOKUP($B383,'23'!$B:$B,'23'!G:G,)</f>
        <v>2024</v>
      </c>
      <c r="H383" s="40">
        <f>_xlfn.XLOOKUP($B383,'23'!$B:$B,'23'!H:H,)</f>
        <v>2023</v>
      </c>
      <c r="I383" s="40">
        <f>_xlfn.XLOOKUP($B383,'23'!$B:$B,'23'!I:I,)</f>
        <v>101.52460002617836</v>
      </c>
      <c r="J383" s="40">
        <f>_xlfn.XLOOKUP($B383,'23'!$B:$B,'23'!J:J,)</f>
        <v>100</v>
      </c>
      <c r="K383" s="629">
        <f>_xlfn.XLOOKUP($B383,'23'!$B:$B,'23'!K:K,)</f>
        <v>-652.43270873615381</v>
      </c>
      <c r="L383" s="629">
        <f>_xlfn.XLOOKUP($B383,'23'!$B:$B,'23'!L:L,)</f>
        <v>-642.63509392592778</v>
      </c>
      <c r="M383" s="40" t="str">
        <f>_xlfn.XLOOKUP($B383,'23'!$B:$B,'23'!M:M,)</f>
        <v>Energy price</v>
      </c>
      <c r="N383" s="326">
        <f>_xlfn.XLOOKUP($B383,'23'!$B:$B,'23'!N:N,)</f>
        <v>2</v>
      </c>
      <c r="O383" s="40" t="str">
        <f>_xlfn.XLOOKUP($B383,'23'!$B:$B,'23'!O:O,)</f>
        <v>Yes</v>
      </c>
      <c r="P383" s="40" t="str">
        <f>_xlfn.XLOOKUP($B383,'23'!$B:$B,'23'!P:P,)</f>
        <v>Source selected for consistency so we can use the volume of gas value for other calculations</v>
      </c>
      <c r="Q383" s="40">
        <f>_xlfn.XLOOKUP($B383,'23'!$B:$B,'23'!Q:Q,)</f>
        <v>130</v>
      </c>
      <c r="R383" s="40" t="str">
        <f>_xlfn.XLOOKUP($B383,'23'!$B:$B,'23'!R:R,)</f>
        <v>DESNZ (2024) Prices of fuels purchased by non-domestic consumers in the UK</v>
      </c>
      <c r="S383" s="40" t="str">
        <f>_xlfn.XLOOKUP($B383,'23'!$B:$B,'23'!S:S,)</f>
        <v>/</v>
      </c>
      <c r="T383" s="40">
        <f>_xlfn.XLOOKUP($B383,'23'!$B:$B,'23'!T:T,)</f>
        <v>2024</v>
      </c>
      <c r="U383" s="40" t="str">
        <f>_xlfn.XLOOKUP($B383,'23'!$B:$B,'23'!U:U,)</f>
        <v>UK</v>
      </c>
      <c r="V383" s="40" t="str">
        <f>_xlfn.XLOOKUP($B383,'23'!$B:$B,'23'!V:V,)</f>
        <v>UK</v>
      </c>
      <c r="W383" s="40" t="str">
        <f>_xlfn.XLOOKUP($B383,'23'!$B:$B,'23'!W:W,)</f>
        <v>N/A</v>
      </c>
    </row>
    <row r="384" spans="2:23">
      <c r="B384" s="39" t="s">
        <v>1712</v>
      </c>
      <c r="C384" s="40" t="str">
        <f>_xlfn.XLOOKUP($B384,'23'!$B:$B,'23'!C:C,)</f>
        <v>Sludge treatment</v>
      </c>
      <c r="D384" s="40" t="str">
        <f>_xlfn.XLOOKUP($B384,'23'!$B:$B,'23'!D:D,)</f>
        <v>Re-treatment through AD</v>
      </c>
      <c r="E384" s="40" t="str">
        <f>_xlfn.XLOOKUP($B384,'23'!$B:$B,'23'!E:E,)</f>
        <v>Private benefits</v>
      </c>
      <c r="F384" s="40">
        <f>_xlfn.XLOOKUP($B384,'23'!$B:$B,'23'!F:F,)</f>
        <v>2024</v>
      </c>
      <c r="G384" s="40">
        <f>_xlfn.XLOOKUP($B384,'23'!$B:$B,'23'!G:G,)</f>
        <v>2024</v>
      </c>
      <c r="H384" s="40">
        <f>_xlfn.XLOOKUP($B384,'23'!$B:$B,'23'!H:H,)</f>
        <v>2023</v>
      </c>
      <c r="I384" s="40">
        <f>_xlfn.XLOOKUP($B384,'23'!$B:$B,'23'!I:I,)</f>
        <v>101.52460002617836</v>
      </c>
      <c r="J384" s="40">
        <f>_xlfn.XLOOKUP($B384,'23'!$B:$B,'23'!J:J,)</f>
        <v>100</v>
      </c>
      <c r="K384" s="629">
        <f>_xlfn.XLOOKUP($B384,'23'!$B:$B,'23'!K:K,)</f>
        <v>-169.63866666666669</v>
      </c>
      <c r="L384" s="629">
        <f>_xlfn.XLOOKUP($B384,'23'!$B:$B,'23'!L:L,)</f>
        <v>-167.09119427500818</v>
      </c>
      <c r="M384" s="40" t="str">
        <f>_xlfn.XLOOKUP($B384,'23'!$B:$B,'23'!M:M,)</f>
        <v>Energy price</v>
      </c>
      <c r="N384" s="326">
        <f>_xlfn.XLOOKUP($B384,'23'!$B:$B,'23'!N:N,)</f>
        <v>1.6666666666666667</v>
      </c>
      <c r="O384" s="40" t="str">
        <f>_xlfn.XLOOKUP($B384,'23'!$B:$B,'23'!O:O,)</f>
        <v>No</v>
      </c>
      <c r="P384" s="40" t="str">
        <f>_xlfn.XLOOKUP($B384,'23'!$B:$B,'23'!P:P,)</f>
        <v>Source discounted as another source is more preferable for consistency</v>
      </c>
      <c r="Q384" s="40">
        <f>_xlfn.XLOOKUP($B384,'23'!$B:$B,'23'!Q:Q,)</f>
        <v>130</v>
      </c>
      <c r="R384" s="40" t="str">
        <f>_xlfn.XLOOKUP($B384,'23'!$B:$B,'23'!R:R,)</f>
        <v>DESNZ (2024) Prices of fuels purchased by non-domestic consumers in the UK</v>
      </c>
      <c r="S384" s="40" t="str">
        <f>_xlfn.XLOOKUP($B384,'23'!$B:$B,'23'!S:S,)</f>
        <v>/</v>
      </c>
      <c r="T384" s="40">
        <f>_xlfn.XLOOKUP($B384,'23'!$B:$B,'23'!T:T,)</f>
        <v>2024</v>
      </c>
      <c r="U384" s="40" t="str">
        <f>_xlfn.XLOOKUP($B384,'23'!$B:$B,'23'!U:U,)</f>
        <v>UK</v>
      </c>
      <c r="V384" s="40" t="str">
        <f>_xlfn.XLOOKUP($B384,'23'!$B:$B,'23'!V:V,)</f>
        <v>UK</v>
      </c>
      <c r="W384" s="40" t="str">
        <f>_xlfn.XLOOKUP($B384,'23'!$B:$B,'23'!W:W,)</f>
        <v>N/A</v>
      </c>
    </row>
    <row r="385" spans="2:23">
      <c r="B385" s="39" t="s">
        <v>1714</v>
      </c>
      <c r="C385" s="40" t="str">
        <f>_xlfn.XLOOKUP($B385,'23'!$B:$B,'23'!C:C,)</f>
        <v>Sludge treatment</v>
      </c>
      <c r="D385" s="40" t="str">
        <f>_xlfn.XLOOKUP($B385,'23'!$B:$B,'23'!D:D,)</f>
        <v>Re-treatment through AAD</v>
      </c>
      <c r="E385" s="40" t="str">
        <f>_xlfn.XLOOKUP($B385,'23'!$B:$B,'23'!E:E,)</f>
        <v>Private benefits</v>
      </c>
      <c r="F385" s="40">
        <f>_xlfn.XLOOKUP($B385,'23'!$B:$B,'23'!F:F,)</f>
        <v>2024</v>
      </c>
      <c r="G385" s="40">
        <f>_xlfn.XLOOKUP($B385,'23'!$B:$B,'23'!G:G,)</f>
        <v>2024</v>
      </c>
      <c r="H385" s="40">
        <f>_xlfn.XLOOKUP($B385,'23'!$B:$B,'23'!H:H,)</f>
        <v>2023</v>
      </c>
      <c r="I385" s="40">
        <f>_xlfn.XLOOKUP($B385,'23'!$B:$B,'23'!I:I,)</f>
        <v>101.52460002617836</v>
      </c>
      <c r="J385" s="40">
        <f>_xlfn.XLOOKUP($B385,'23'!$B:$B,'23'!J:J,)</f>
        <v>100</v>
      </c>
      <c r="K385" s="629">
        <f>_xlfn.XLOOKUP($B385,'23'!$B:$B,'23'!K:K,)</f>
        <v>-190.84350000000003</v>
      </c>
      <c r="L385" s="629">
        <f>_xlfn.XLOOKUP($B385,'23'!$B:$B,'23'!L:L,)</f>
        <v>-187.97759355938419</v>
      </c>
      <c r="M385" s="40" t="str">
        <f>_xlfn.XLOOKUP($B385,'23'!$B:$B,'23'!M:M,)</f>
        <v>Energy price</v>
      </c>
      <c r="N385" s="326">
        <f>_xlfn.XLOOKUP($B385,'23'!$B:$B,'23'!N:N,)</f>
        <v>1.6666666666666667</v>
      </c>
      <c r="O385" s="40" t="str">
        <f>_xlfn.XLOOKUP($B385,'23'!$B:$B,'23'!O:O,)</f>
        <v>No</v>
      </c>
      <c r="P385" s="40" t="str">
        <f>_xlfn.XLOOKUP($B385,'23'!$B:$B,'23'!P:P,)</f>
        <v>Source discounted as another source is more preferable for consistency</v>
      </c>
      <c r="Q385" s="40">
        <f>_xlfn.XLOOKUP($B385,'23'!$B:$B,'23'!Q:Q,)</f>
        <v>130</v>
      </c>
      <c r="R385" s="40" t="str">
        <f>_xlfn.XLOOKUP($B385,'23'!$B:$B,'23'!R:R,)</f>
        <v>DESNZ (2024) Prices of fuels purchased by non-domestic consumers in the UK</v>
      </c>
      <c r="S385" s="40" t="str">
        <f>_xlfn.XLOOKUP($B385,'23'!$B:$B,'23'!S:S,)</f>
        <v>/</v>
      </c>
      <c r="T385" s="40">
        <f>_xlfn.XLOOKUP($B385,'23'!$B:$B,'23'!T:T,)</f>
        <v>2024</v>
      </c>
      <c r="U385" s="40" t="str">
        <f>_xlfn.XLOOKUP($B385,'23'!$B:$B,'23'!U:U,)</f>
        <v>UK</v>
      </c>
      <c r="V385" s="40" t="str">
        <f>_xlfn.XLOOKUP($B385,'23'!$B:$B,'23'!V:V,)</f>
        <v>UK</v>
      </c>
      <c r="W385" s="40" t="str">
        <f>_xlfn.XLOOKUP($B385,'23'!$B:$B,'23'!W:W,)</f>
        <v>N/A</v>
      </c>
    </row>
    <row r="386" spans="2:23">
      <c r="B386" s="39" t="s">
        <v>1715</v>
      </c>
      <c r="C386" s="40" t="str">
        <f>_xlfn.XLOOKUP($B386,'23'!$B:$B,'23'!C:C,)</f>
        <v>Sludge treatment</v>
      </c>
      <c r="D386" s="40" t="str">
        <f>_xlfn.XLOOKUP($B386,'23'!$B:$B,'23'!D:D,)</f>
        <v>Re-treatment through AD</v>
      </c>
      <c r="E386" s="40" t="str">
        <f>_xlfn.XLOOKUP($B386,'23'!$B:$B,'23'!E:E,)</f>
        <v>GHG</v>
      </c>
      <c r="F386" s="40" t="str">
        <f>_xlfn.XLOOKUP($B386,'23'!$B:$B,'23'!F:F,)</f>
        <v>Unknown</v>
      </c>
      <c r="G386" s="40">
        <f>_xlfn.XLOOKUP($B386,'23'!$B:$B,'23'!G:G,)</f>
        <v>2020</v>
      </c>
      <c r="H386" s="40">
        <f>_xlfn.XLOOKUP($B386,'23'!$B:$B,'23'!H:H,)</f>
        <v>2023</v>
      </c>
      <c r="I386" s="40">
        <f>_xlfn.XLOOKUP($B386,'23'!$B:$B,'23'!I:I,)</f>
        <v>89.073499999999996</v>
      </c>
      <c r="J386" s="40">
        <f>_xlfn.XLOOKUP($B386,'23'!$B:$B,'23'!J:J,)</f>
        <v>100</v>
      </c>
      <c r="K386" s="629">
        <f ca="1">_xlfn.XLOOKUP($B386,'23'!$B:$B,'23'!K:K,)</f>
        <v>-303.30508559424067</v>
      </c>
      <c r="L386" s="629">
        <f ca="1">_xlfn.XLOOKUP($B386,'23'!$B:$B,'23'!L:L,)</f>
        <v>-340.51102246374137</v>
      </c>
      <c r="M386" s="40" t="str">
        <f>_xlfn.XLOOKUP($B386,'23'!$B:$B,'23'!M:M,)</f>
        <v>Damage cost avoided</v>
      </c>
      <c r="N386" s="326">
        <f>_xlfn.XLOOKUP($B386,'23'!$B:$B,'23'!N:N,)</f>
        <v>2</v>
      </c>
      <c r="O386" s="40" t="str">
        <f>_xlfn.XLOOKUP($B386,'23'!$B:$B,'23'!O:O,)</f>
        <v>Yes</v>
      </c>
      <c r="P386" s="40" t="str">
        <f>_xlfn.XLOOKUP($B386,'23'!$B:$B,'23'!P:P,)</f>
        <v>Best source available</v>
      </c>
      <c r="Q386" s="40">
        <f>_xlfn.XLOOKUP($B386,'23'!$B:$B,'23'!Q:Q,)</f>
        <v>110</v>
      </c>
      <c r="R386" s="40" t="str">
        <f>_xlfn.XLOOKUP($B386,'23'!$B:$B,'23'!R:R,)</f>
        <v>IRENA (unknown) Avoided emissions calculator</v>
      </c>
      <c r="S386" s="40" t="str">
        <f>_xlfn.XLOOKUP($B386,'23'!$B:$B,'23'!S:S,)</f>
        <v>/</v>
      </c>
      <c r="T386" s="40" t="str">
        <f>_xlfn.XLOOKUP($B386,'23'!$B:$B,'23'!T:T,)</f>
        <v>Unknown</v>
      </c>
      <c r="U386" s="40" t="str">
        <f>_xlfn.XLOOKUP($B386,'23'!$B:$B,'23'!U:U,)</f>
        <v>Global</v>
      </c>
      <c r="V386" s="40" t="str">
        <f>_xlfn.XLOOKUP($B386,'23'!$B:$B,'23'!V:V,)</f>
        <v>UK</v>
      </c>
      <c r="W386" s="40" t="str">
        <f>_xlfn.XLOOKUP($B386,'23'!$B:$B,'23'!W:W,)</f>
        <v>N/A</v>
      </c>
    </row>
    <row r="387" spans="2:23">
      <c r="B387" s="39" t="s">
        <v>1716</v>
      </c>
      <c r="C387" s="40" t="str">
        <f>_xlfn.XLOOKUP($B387,'23'!$B:$B,'23'!C:C,)</f>
        <v>Sludge treatment</v>
      </c>
      <c r="D387" s="40" t="str">
        <f>_xlfn.XLOOKUP($B387,'23'!$B:$B,'23'!D:D,)</f>
        <v>Re-treatment through AAD</v>
      </c>
      <c r="E387" s="40" t="str">
        <f>_xlfn.XLOOKUP($B387,'23'!$B:$B,'23'!E:E,)</f>
        <v>GHG</v>
      </c>
      <c r="F387" s="40" t="str">
        <f>_xlfn.XLOOKUP($B387,'23'!$B:$B,'23'!F:F,)</f>
        <v>Unknown</v>
      </c>
      <c r="G387" s="40">
        <f>_xlfn.XLOOKUP($B387,'23'!$B:$B,'23'!G:G,)</f>
        <v>2020</v>
      </c>
      <c r="H387" s="40">
        <f>_xlfn.XLOOKUP($B387,'23'!$B:$B,'23'!H:H,)</f>
        <v>2023</v>
      </c>
      <c r="I387" s="40">
        <f>_xlfn.XLOOKUP($B387,'23'!$B:$B,'23'!I:I,)</f>
        <v>89.073499999999996</v>
      </c>
      <c r="J387" s="40">
        <f>_xlfn.XLOOKUP($B387,'23'!$B:$B,'23'!J:J,)</f>
        <v>100</v>
      </c>
      <c r="K387" s="629">
        <f ca="1">_xlfn.XLOOKUP($B387,'23'!$B:$B,'23'!K:K,)</f>
        <v>-303.30508559424067</v>
      </c>
      <c r="L387" s="629">
        <f ca="1">_xlfn.XLOOKUP($B387,'23'!$B:$B,'23'!L:L,)</f>
        <v>-340.51102246374137</v>
      </c>
      <c r="M387" s="40" t="str">
        <f>_xlfn.XLOOKUP($B387,'23'!$B:$B,'23'!M:M,)</f>
        <v>Damage cost avoided</v>
      </c>
      <c r="N387" s="326">
        <f>_xlfn.XLOOKUP($B387,'23'!$B:$B,'23'!N:N,)</f>
        <v>2</v>
      </c>
      <c r="O387" s="40" t="str">
        <f>_xlfn.XLOOKUP($B387,'23'!$B:$B,'23'!O:O,)</f>
        <v>Yes</v>
      </c>
      <c r="P387" s="40" t="str">
        <f>_xlfn.XLOOKUP($B387,'23'!$B:$B,'23'!P:P,)</f>
        <v>Best source available</v>
      </c>
      <c r="Q387" s="40">
        <f>_xlfn.XLOOKUP($B387,'23'!$B:$B,'23'!Q:Q,)</f>
        <v>110</v>
      </c>
      <c r="R387" s="40" t="str">
        <f>_xlfn.XLOOKUP($B387,'23'!$B:$B,'23'!R:R,)</f>
        <v>IRENA (unknown) Avoided emissions calculator</v>
      </c>
      <c r="S387" s="40" t="str">
        <f>_xlfn.XLOOKUP($B387,'23'!$B:$B,'23'!S:S,)</f>
        <v>/</v>
      </c>
      <c r="T387" s="40" t="str">
        <f>_xlfn.XLOOKUP($B387,'23'!$B:$B,'23'!T:T,)</f>
        <v>Unknown</v>
      </c>
      <c r="U387" s="40" t="str">
        <f>_xlfn.XLOOKUP($B387,'23'!$B:$B,'23'!U:U,)</f>
        <v>Global</v>
      </c>
      <c r="V387" s="40" t="str">
        <f>_xlfn.XLOOKUP($B387,'23'!$B:$B,'23'!V:V,)</f>
        <v>UK</v>
      </c>
      <c r="W387" s="40" t="str">
        <f>_xlfn.XLOOKUP($B387,'23'!$B:$B,'23'!W:W,)</f>
        <v>N/A</v>
      </c>
    </row>
    <row r="388" spans="2:23">
      <c r="B388" s="39" t="s">
        <v>1717</v>
      </c>
      <c r="C388" s="40" t="str">
        <f>_xlfn.XLOOKUP($B388,'23'!$B:$B,'23'!C:C,)</f>
        <v>Sludge treatment</v>
      </c>
      <c r="D388" s="40" t="str">
        <f>_xlfn.XLOOKUP($B388,'23'!$B:$B,'23'!D:D,)</f>
        <v>Loss of generation (e.g. CHP, gas to grid failure)</v>
      </c>
      <c r="E388" s="40" t="str">
        <f>_xlfn.XLOOKUP($B388,'23'!$B:$B,'23'!E:E,)</f>
        <v>GHG</v>
      </c>
      <c r="F388" s="40" t="str">
        <f>_xlfn.XLOOKUP($B388,'23'!$B:$B,'23'!F:F,)</f>
        <v>Unknown</v>
      </c>
      <c r="G388" s="40">
        <f>_xlfn.XLOOKUP($B388,'23'!$B:$B,'23'!G:G,)</f>
        <v>2020</v>
      </c>
      <c r="H388" s="40">
        <f>_xlfn.XLOOKUP($B388,'23'!$B:$B,'23'!H:H,)</f>
        <v>2023</v>
      </c>
      <c r="I388" s="40">
        <f>_xlfn.XLOOKUP($B388,'23'!$B:$B,'23'!I:I,)</f>
        <v>89.073499999999996</v>
      </c>
      <c r="J388" s="40">
        <f>_xlfn.XLOOKUP($B388,'23'!$B:$B,'23'!J:J,)</f>
        <v>100</v>
      </c>
      <c r="K388" s="629">
        <f ca="1">_xlfn.XLOOKUP($B388,'23'!$B:$B,'23'!K:K,)</f>
        <v>125844.82157965461</v>
      </c>
      <c r="L388" s="629">
        <f ca="1">_xlfn.XLOOKUP($B388,'23'!$B:$B,'23'!L:L,)</f>
        <v>141281.99922497108</v>
      </c>
      <c r="M388" s="40" t="str">
        <f>_xlfn.XLOOKUP($B388,'23'!$B:$B,'23'!M:M,)</f>
        <v>Damage cost</v>
      </c>
      <c r="N388" s="326">
        <f>_xlfn.XLOOKUP($B388,'23'!$B:$B,'23'!N:N,)</f>
        <v>2</v>
      </c>
      <c r="O388" s="40" t="str">
        <f>_xlfn.XLOOKUP($B388,'23'!$B:$B,'23'!O:O,)</f>
        <v>Yes</v>
      </c>
      <c r="P388" s="40" t="str">
        <f>_xlfn.XLOOKUP($B388,'23'!$B:$B,'23'!P:P,)</f>
        <v>Best source available</v>
      </c>
      <c r="Q388" s="40">
        <f>_xlfn.XLOOKUP($B388,'23'!$B:$B,'23'!Q:Q,)</f>
        <v>110</v>
      </c>
      <c r="R388" s="40" t="str">
        <f>_xlfn.XLOOKUP($B388,'23'!$B:$B,'23'!R:R,)</f>
        <v>IRENA (unknown) Avoided emissions calculator</v>
      </c>
      <c r="S388" s="40" t="str">
        <f>_xlfn.XLOOKUP($B388,'23'!$B:$B,'23'!S:S,)</f>
        <v>/</v>
      </c>
      <c r="T388" s="40" t="str">
        <f>_xlfn.XLOOKUP($B388,'23'!$B:$B,'23'!T:T,)</f>
        <v>Unknown</v>
      </c>
      <c r="U388" s="40" t="str">
        <f>_xlfn.XLOOKUP($B388,'23'!$B:$B,'23'!U:U,)</f>
        <v>Global</v>
      </c>
      <c r="V388" s="40" t="str">
        <f>_xlfn.XLOOKUP($B388,'23'!$B:$B,'23'!V:V,)</f>
        <v>UK</v>
      </c>
      <c r="W388" s="40" t="str">
        <f>_xlfn.XLOOKUP($B388,'23'!$B:$B,'23'!W:W,)</f>
        <v>N/A</v>
      </c>
    </row>
    <row r="389" spans="2:23">
      <c r="B389" s="39" t="s">
        <v>3837</v>
      </c>
      <c r="C389" s="40" t="str">
        <f>_xlfn.XLOOKUP($B389,'42'!$B:$B,'42'!C:C,)</f>
        <v>Transport disruption</v>
      </c>
      <c r="D389" s="40" t="str">
        <f>_xlfn.XLOOKUP($B389,'42'!$B:$B,'42'!D:D,)</f>
        <v>Minor roads (B and C roads)</v>
      </c>
      <c r="E389" s="40" t="str">
        <f>_xlfn.XLOOKUP($B389,'42'!$B:$B,'42'!E:E,)</f>
        <v>Air quality</v>
      </c>
      <c r="F389" s="40">
        <f>_xlfn.XLOOKUP($B389,'42'!$B:$B,'42'!F:F,)</f>
        <v>2023</v>
      </c>
      <c r="G389" s="40">
        <f>_xlfn.XLOOKUP($B389,'42'!$B:$B,'42'!G:G,)</f>
        <v>2022</v>
      </c>
      <c r="H389" s="40">
        <f>_xlfn.XLOOKUP($B389,'42'!$B:$B,'42'!H:H,)</f>
        <v>2023</v>
      </c>
      <c r="I389" s="40">
        <f>_xlfn.XLOOKUP($B389,'42'!$B:$B,'42'!I:I,)</f>
        <v>93.351699999999994</v>
      </c>
      <c r="J389" s="40">
        <f>_xlfn.XLOOKUP($B389,'42'!$B:$B,'42'!J:J,)</f>
        <v>100</v>
      </c>
      <c r="K389" s="629">
        <f>_xlfn.XLOOKUP($B389,'42'!$B:$B,'42'!K:K,)</f>
        <v>11.416903807567596</v>
      </c>
      <c r="L389" s="629">
        <f>_xlfn.XLOOKUP($B389,'42'!$B:$B,'42'!L:L,)</f>
        <v>12.229990249312651</v>
      </c>
      <c r="M389" s="40" t="str">
        <f>_xlfn.XLOOKUP($B389,'42'!$B:$B,'42'!M:M,)</f>
        <v>Activity costs</v>
      </c>
      <c r="N389" s="326">
        <f>_xlfn.XLOOKUP($B389,'42'!$B:$B,'42'!N:N,)</f>
        <v>2.1428571428571401</v>
      </c>
      <c r="O389" s="40" t="str">
        <f>_xlfn.XLOOKUP($B389,'42'!$B:$B,'42'!O:O,)</f>
        <v>Yes</v>
      </c>
      <c r="P389" s="40" t="str">
        <f>_xlfn.XLOOKUP($B389,'42'!$B:$B,'42'!P:P,)</f>
        <v>Based on UK-specific data and costs</v>
      </c>
      <c r="Q389" s="40">
        <f>_xlfn.XLOOKUP($B389,'42'!$B:$B,'42'!Q:Q,)</f>
        <v>93</v>
      </c>
      <c r="R389" s="40" t="str">
        <f>_xlfn.XLOOKUP($B389,'42'!$B:$B,'42'!R:R,)</f>
        <v>DESNZ (2023) Green Book supplementary guidance: valuation of energy use and greenhouse gas emissions for appraisal</v>
      </c>
      <c r="S389" s="40" t="str">
        <f>_xlfn.XLOOKUP($B389,'42'!$B:$B,'42'!S:S,)</f>
        <v>/</v>
      </c>
      <c r="T389" s="40">
        <f>_xlfn.XLOOKUP($B389,'42'!$B:$B,'42'!T:T,)</f>
        <v>2023</v>
      </c>
      <c r="U389" s="40" t="str">
        <f>_xlfn.XLOOKUP($B389,'42'!$B:$B,'42'!U:U,)</f>
        <v>UK</v>
      </c>
      <c r="V389" s="40" t="str">
        <f>_xlfn.XLOOKUP($B389,'42'!$B:$B,'42'!V:V,)</f>
        <v>UK</v>
      </c>
      <c r="W389" s="40" t="str">
        <f>_xlfn.XLOOKUP($B389,'42'!$B:$B,'42'!W:W,)</f>
        <v>/</v>
      </c>
    </row>
    <row r="390" spans="2:23">
      <c r="B390" s="39" t="s">
        <v>3838</v>
      </c>
      <c r="C390" s="40" t="str">
        <f>_xlfn.XLOOKUP($B390,'42'!$B:$B,'42'!C:C,)</f>
        <v>Transport disruption</v>
      </c>
      <c r="D390" s="40" t="str">
        <f>_xlfn.XLOOKUP($B390,'42'!$B:$B,'42'!D:D,)</f>
        <v>Main roads (A and principal roads)</v>
      </c>
      <c r="E390" s="40" t="str">
        <f>_xlfn.XLOOKUP($B390,'42'!$B:$B,'42'!E:E,)</f>
        <v>Air quality</v>
      </c>
      <c r="F390" s="40">
        <f>_xlfn.XLOOKUP($B390,'42'!$B:$B,'42'!F:F,)</f>
        <v>2023</v>
      </c>
      <c r="G390" s="40">
        <f>_xlfn.XLOOKUP($B390,'42'!$B:$B,'42'!G:G,)</f>
        <v>2022</v>
      </c>
      <c r="H390" s="40">
        <f>_xlfn.XLOOKUP($B390,'42'!$B:$B,'42'!H:H,)</f>
        <v>2023</v>
      </c>
      <c r="I390" s="40">
        <f>_xlfn.XLOOKUP($B390,'42'!$B:$B,'42'!I:I,)</f>
        <v>93.351699999999994</v>
      </c>
      <c r="J390" s="40">
        <f>_xlfn.XLOOKUP($B390,'42'!$B:$B,'42'!J:J,)</f>
        <v>100</v>
      </c>
      <c r="K390" s="629">
        <f>_xlfn.XLOOKUP($B390,'42'!$B:$B,'42'!K:K,)</f>
        <v>100.74184404964301</v>
      </c>
      <c r="L390" s="629">
        <f>_xlfn.XLOOKUP($B390,'42'!$B:$B,'42'!L:L,)</f>
        <v>107.91645363677685</v>
      </c>
      <c r="M390" s="40" t="str">
        <f>_xlfn.XLOOKUP($B390,'42'!$B:$B,'42'!M:M,)</f>
        <v>Activity costs</v>
      </c>
      <c r="N390" s="326">
        <f>_xlfn.XLOOKUP($B390,'42'!$B:$B,'42'!N:N,)</f>
        <v>2.1428571428571401</v>
      </c>
      <c r="O390" s="40" t="str">
        <f>_xlfn.XLOOKUP($B390,'42'!$B:$B,'42'!O:O,)</f>
        <v>Yes</v>
      </c>
      <c r="P390" s="40" t="str">
        <f>_xlfn.XLOOKUP($B390,'42'!$B:$B,'42'!P:P,)</f>
        <v>Based on UK-specific data and costs</v>
      </c>
      <c r="Q390" s="40">
        <f>_xlfn.XLOOKUP($B390,'42'!$B:$B,'42'!Q:Q,)</f>
        <v>93</v>
      </c>
      <c r="R390" s="40" t="str">
        <f>_xlfn.XLOOKUP($B390,'42'!$B:$B,'42'!R:R,)</f>
        <v>DESNZ (2023) Green Book supplementary guidance: valuation of energy use and greenhouse gas emissions for appraisal</v>
      </c>
      <c r="S390" s="40" t="str">
        <f>_xlfn.XLOOKUP($B390,'42'!$B:$B,'42'!S:S,)</f>
        <v>/</v>
      </c>
      <c r="T390" s="40">
        <f>_xlfn.XLOOKUP($B390,'42'!$B:$B,'42'!T:T,)</f>
        <v>2023</v>
      </c>
      <c r="U390" s="40" t="str">
        <f>_xlfn.XLOOKUP($B390,'42'!$B:$B,'42'!U:U,)</f>
        <v>UK</v>
      </c>
      <c r="V390" s="40" t="str">
        <f>_xlfn.XLOOKUP($B390,'42'!$B:$B,'42'!V:V,)</f>
        <v>UK</v>
      </c>
      <c r="W390" s="40" t="str">
        <f>_xlfn.XLOOKUP($B390,'42'!$B:$B,'42'!W:W,)</f>
        <v>/</v>
      </c>
    </row>
    <row r="391" spans="2:23">
      <c r="B391" s="39" t="s">
        <v>3839</v>
      </c>
      <c r="C391" s="40" t="str">
        <f>_xlfn.XLOOKUP($B391,'42'!$B:$B,'42'!C:C,)</f>
        <v>Transport disruption</v>
      </c>
      <c r="D391" s="40" t="str">
        <f>_xlfn.XLOOKUP($B391,'42'!$B:$B,'42'!D:D,)</f>
        <v>Motorways</v>
      </c>
      <c r="E391" s="40" t="str">
        <f>_xlfn.XLOOKUP($B391,'42'!$B:$B,'42'!E:E,)</f>
        <v>Air quality</v>
      </c>
      <c r="F391" s="40">
        <f>_xlfn.XLOOKUP($B391,'42'!$B:$B,'42'!F:F,)</f>
        <v>2023</v>
      </c>
      <c r="G391" s="40">
        <f>_xlfn.XLOOKUP($B391,'42'!$B:$B,'42'!G:G,)</f>
        <v>2022</v>
      </c>
      <c r="H391" s="40">
        <f>_xlfn.XLOOKUP($B391,'42'!$B:$B,'42'!H:H,)</f>
        <v>2023</v>
      </c>
      <c r="I391" s="40">
        <f>_xlfn.XLOOKUP($B391,'42'!$B:$B,'42'!I:I,)</f>
        <v>93.351699999999994</v>
      </c>
      <c r="J391" s="40">
        <f>_xlfn.XLOOKUP($B391,'42'!$B:$B,'42'!J:J,)</f>
        <v>100</v>
      </c>
      <c r="K391" s="629">
        <f>_xlfn.XLOOKUP($B391,'42'!$B:$B,'42'!K:K,)</f>
        <v>788.5938010935522</v>
      </c>
      <c r="L391" s="629">
        <f>_xlfn.XLOOKUP($B391,'42'!$B:$B,'42'!L:L,)</f>
        <v>844.75569389047257</v>
      </c>
      <c r="M391" s="40" t="str">
        <f>_xlfn.XLOOKUP($B391,'42'!$B:$B,'42'!M:M,)</f>
        <v>Activity costs</v>
      </c>
      <c r="N391" s="326">
        <f>_xlfn.XLOOKUP($B391,'42'!$B:$B,'42'!N:N,)</f>
        <v>2.1428571428571401</v>
      </c>
      <c r="O391" s="40" t="str">
        <f>_xlfn.XLOOKUP($B391,'42'!$B:$B,'42'!O:O,)</f>
        <v>Yes</v>
      </c>
      <c r="P391" s="40" t="str">
        <f>_xlfn.XLOOKUP($B391,'42'!$B:$B,'42'!P:P,)</f>
        <v>Based on UK-specific data and costs</v>
      </c>
      <c r="Q391" s="40">
        <f>_xlfn.XLOOKUP($B391,'42'!$B:$B,'42'!Q:Q,)</f>
        <v>93</v>
      </c>
      <c r="R391" s="40" t="str">
        <f>_xlfn.XLOOKUP($B391,'42'!$B:$B,'42'!R:R,)</f>
        <v>DESNZ (2023) Green Book supplementary guidance: valuation of energy use and greenhouse gas emissions for appraisal</v>
      </c>
      <c r="S391" s="40" t="str">
        <f>_xlfn.XLOOKUP($B391,'42'!$B:$B,'42'!S:S,)</f>
        <v>/</v>
      </c>
      <c r="T391" s="40">
        <f>_xlfn.XLOOKUP($B391,'42'!$B:$B,'42'!T:T,)</f>
        <v>2023</v>
      </c>
      <c r="U391" s="40" t="str">
        <f>_xlfn.XLOOKUP($B391,'42'!$B:$B,'42'!U:U,)</f>
        <v>UK</v>
      </c>
      <c r="V391" s="40" t="str">
        <f>_xlfn.XLOOKUP($B391,'42'!$B:$B,'42'!V:V,)</f>
        <v>UK</v>
      </c>
      <c r="W391" s="40" t="str">
        <f>_xlfn.XLOOKUP($B391,'42'!$B:$B,'42'!W:W,)</f>
        <v>/</v>
      </c>
    </row>
    <row r="392" spans="2:23">
      <c r="B392" s="39" t="s">
        <v>3847</v>
      </c>
      <c r="C392" s="40" t="str">
        <f>_xlfn.XLOOKUP($B392,'42'!$B:$B,'42'!C:C,)</f>
        <v>Transport disruption</v>
      </c>
      <c r="D392" s="40" t="str">
        <f>_xlfn.XLOOKUP($B392,'42'!$B:$B,'42'!D:D,)</f>
        <v>Minor roads (B and C roads)</v>
      </c>
      <c r="E392" s="40" t="str">
        <f>_xlfn.XLOOKUP($B392,'42'!$B:$B,'42'!E:E,)</f>
        <v>GHG</v>
      </c>
      <c r="F392" s="40">
        <f>_xlfn.XLOOKUP($B392,'42'!$B:$B,'42'!F:F,)</f>
        <v>2021</v>
      </c>
      <c r="G392" s="40">
        <f>_xlfn.XLOOKUP($B392,'42'!$B:$B,'42'!G:G,)</f>
        <v>2020</v>
      </c>
      <c r="H392" s="40">
        <f>_xlfn.XLOOKUP($B392,'42'!$B:$B,'42'!H:H,)</f>
        <v>2023</v>
      </c>
      <c r="I392" s="40">
        <f>_xlfn.XLOOKUP($B392,'42'!$B:$B,'42'!I:I,)</f>
        <v>89.073499999999996</v>
      </c>
      <c r="J392" s="40">
        <f>_xlfn.XLOOKUP($B392,'42'!$B:$B,'42'!J:J,)</f>
        <v>100</v>
      </c>
      <c r="K392" s="629">
        <f ca="1">_xlfn.XLOOKUP($B392,'42'!$B:$B,'42'!K:K,)</f>
        <v>193.17669159560216</v>
      </c>
      <c r="L392" s="629">
        <f ca="1">_xlfn.XLOOKUP($B392,'42'!$B:$B,'42'!L:L,)</f>
        <v>216.87335918719054</v>
      </c>
      <c r="M392" s="40" t="str">
        <f>_xlfn.XLOOKUP($B392,'42'!$B:$B,'42'!M:M,)</f>
        <v>Carbon appraisal values</v>
      </c>
      <c r="N392" s="326">
        <f>_xlfn.XLOOKUP($B392,'42'!$B:$B,'42'!N:N,)</f>
        <v>2.1428571428571401</v>
      </c>
      <c r="O392" s="40" t="str">
        <f>_xlfn.XLOOKUP($B392,'42'!$B:$B,'42'!O:O,)</f>
        <v>Yes</v>
      </c>
      <c r="P392" s="40" t="str">
        <f>_xlfn.XLOOKUP($B392,'42'!$B:$B,'42'!P:P,)</f>
        <v>Based on UK-specific data and costs</v>
      </c>
      <c r="Q392" s="40">
        <f>_xlfn.XLOOKUP($B392,'42'!$B:$B,'42'!Q:Q,)</f>
        <v>40</v>
      </c>
      <c r="R392" s="40" t="str">
        <f>_xlfn.XLOOKUP($B392,'42'!$B:$B,'42'!R:R,)</f>
        <v>BEIS (2021) Valuing greenhouse gas emissions in policy appraisal.</v>
      </c>
      <c r="S392" s="40" t="str">
        <f>_xlfn.XLOOKUP($B392,'42'!$B:$B,'42'!S:S,)</f>
        <v>ENCA</v>
      </c>
      <c r="T392" s="40">
        <f>_xlfn.XLOOKUP($B392,'42'!$B:$B,'42'!T:T,)</f>
        <v>2021</v>
      </c>
      <c r="U392" s="40" t="str">
        <f>_xlfn.XLOOKUP($B392,'42'!$B:$B,'42'!U:U,)</f>
        <v>UK</v>
      </c>
      <c r="V392" s="40" t="str">
        <f>_xlfn.XLOOKUP($B392,'42'!$B:$B,'42'!V:V,)</f>
        <v>UK</v>
      </c>
      <c r="W392" s="40" t="str">
        <f>_xlfn.XLOOKUP($B392,'42'!$B:$B,'42'!W:W,)</f>
        <v>/</v>
      </c>
    </row>
    <row r="393" spans="2:23">
      <c r="B393" s="39" t="s">
        <v>3848</v>
      </c>
      <c r="C393" s="40" t="str">
        <f>_xlfn.XLOOKUP($B393,'42'!$B:$B,'42'!C:C,)</f>
        <v>Transport disruption</v>
      </c>
      <c r="D393" s="40" t="str">
        <f>_xlfn.XLOOKUP($B393,'42'!$B:$B,'42'!D:D,)</f>
        <v>Main roads (A and principal roads)</v>
      </c>
      <c r="E393" s="40" t="str">
        <f>_xlfn.XLOOKUP($B393,'42'!$B:$B,'42'!E:E,)</f>
        <v>GHG</v>
      </c>
      <c r="F393" s="40">
        <f>_xlfn.XLOOKUP($B393,'42'!$B:$B,'42'!F:F,)</f>
        <v>2021</v>
      </c>
      <c r="G393" s="40">
        <f>_xlfn.XLOOKUP($B393,'42'!$B:$B,'42'!G:G,)</f>
        <v>2020</v>
      </c>
      <c r="H393" s="40">
        <f>_xlfn.XLOOKUP($B393,'42'!$B:$B,'42'!H:H,)</f>
        <v>2023</v>
      </c>
      <c r="I393" s="40">
        <f>_xlfn.XLOOKUP($B393,'42'!$B:$B,'42'!I:I,)</f>
        <v>89.073499999999996</v>
      </c>
      <c r="J393" s="40">
        <f>_xlfn.XLOOKUP($B393,'42'!$B:$B,'42'!J:J,)</f>
        <v>100</v>
      </c>
      <c r="K393" s="629">
        <f ca="1">_xlfn.XLOOKUP($B393,'42'!$B:$B,'42'!K:K,)</f>
        <v>1704.5756421150356</v>
      </c>
      <c r="L393" s="629">
        <f ca="1">_xlfn.XLOOKUP($B393,'42'!$B:$B,'42'!L:L,)</f>
        <v>1913.6731374820072</v>
      </c>
      <c r="M393" s="40" t="str">
        <f>_xlfn.XLOOKUP($B393,'42'!$B:$B,'42'!M:M,)</f>
        <v>Carbon appraisal values</v>
      </c>
      <c r="N393" s="326">
        <f>_xlfn.XLOOKUP($B393,'42'!$B:$B,'42'!N:N,)</f>
        <v>2.1428571428571401</v>
      </c>
      <c r="O393" s="40" t="str">
        <f>_xlfn.XLOOKUP($B393,'42'!$B:$B,'42'!O:O,)</f>
        <v>Yes</v>
      </c>
      <c r="P393" s="40" t="str">
        <f>_xlfn.XLOOKUP($B393,'42'!$B:$B,'42'!P:P,)</f>
        <v>Based on UK-specific data and costs</v>
      </c>
      <c r="Q393" s="40">
        <f>_xlfn.XLOOKUP($B393,'42'!$B:$B,'42'!Q:Q,)</f>
        <v>40</v>
      </c>
      <c r="R393" s="40" t="str">
        <f>_xlfn.XLOOKUP($B393,'42'!$B:$B,'42'!R:R,)</f>
        <v>BEIS (2021) Valuing greenhouse gas emissions in policy appraisal.</v>
      </c>
      <c r="S393" s="40" t="str">
        <f>_xlfn.XLOOKUP($B393,'42'!$B:$B,'42'!S:S,)</f>
        <v>ENCA</v>
      </c>
      <c r="T393" s="40">
        <f>_xlfn.XLOOKUP($B393,'42'!$B:$B,'42'!T:T,)</f>
        <v>2021</v>
      </c>
      <c r="U393" s="40" t="str">
        <f>_xlfn.XLOOKUP($B393,'42'!$B:$B,'42'!U:U,)</f>
        <v>UK</v>
      </c>
      <c r="V393" s="40" t="str">
        <f>_xlfn.XLOOKUP($B393,'42'!$B:$B,'42'!V:V,)</f>
        <v>UK</v>
      </c>
      <c r="W393" s="40" t="str">
        <f>_xlfn.XLOOKUP($B393,'42'!$B:$B,'42'!W:W,)</f>
        <v>/</v>
      </c>
    </row>
    <row r="394" spans="2:23">
      <c r="B394" s="39" t="s">
        <v>3802</v>
      </c>
      <c r="C394" s="40" t="str">
        <f>_xlfn.XLOOKUP($B394,'42'!$B:$B,'42'!C:C,)</f>
        <v>Transport disruption</v>
      </c>
      <c r="D394" s="40" t="str">
        <f>_xlfn.XLOOKUP($B394,'42'!$B:$B,'42'!D:D,)</f>
        <v>Minor roads (B and C roads)</v>
      </c>
      <c r="E394" s="40" t="str">
        <f>_xlfn.XLOOKUP($B394,'42'!$B:$B,'42'!E:E,)</f>
        <v>Local economy</v>
      </c>
      <c r="F394" s="40">
        <f>_xlfn.XLOOKUP($B394,'42'!$B:$B,'42'!F:F,)</f>
        <v>2024</v>
      </c>
      <c r="G394" s="40">
        <f>_xlfn.XLOOKUP($B394,'42'!$B:$B,'42'!G:G,)</f>
        <v>2023</v>
      </c>
      <c r="H394" s="40">
        <f>_xlfn.XLOOKUP($B394,'42'!$B:$B,'42'!H:H,)</f>
        <v>2023</v>
      </c>
      <c r="I394" s="40">
        <f>_xlfn.XLOOKUP($B394,'42'!$B:$B,'42'!I:I,)</f>
        <v>100</v>
      </c>
      <c r="J394" s="40">
        <f>_xlfn.XLOOKUP($B394,'42'!$B:$B,'42'!J:J,)</f>
        <v>100</v>
      </c>
      <c r="K394" s="629">
        <f>_xlfn.XLOOKUP($B394,'42'!$B:$B,'42'!K:K,)</f>
        <v>2605.0637116031949</v>
      </c>
      <c r="L394" s="629">
        <f>_xlfn.XLOOKUP($B394,'42'!$B:$B,'42'!L:L,)</f>
        <v>2605.0637116031949</v>
      </c>
      <c r="M394" s="40" t="str">
        <f>_xlfn.XLOOKUP($B394,'42'!$B:$B,'42'!M:M,)</f>
        <v>Resource cost</v>
      </c>
      <c r="N394" s="326">
        <f>_xlfn.XLOOKUP($B394,'42'!$B:$B,'42'!N:N,)</f>
        <v>2.1428571428571401</v>
      </c>
      <c r="O394" s="40" t="str">
        <f>_xlfn.XLOOKUP($B394,'42'!$B:$B,'42'!O:O,)</f>
        <v>Yes</v>
      </c>
      <c r="P394" s="40" t="str">
        <f>_xlfn.XLOOKUP($B394,'42'!$B:$B,'42'!P:P,)</f>
        <v>Value option 1 covers more of the costs associated with disruption that option 2</v>
      </c>
      <c r="Q394" s="40">
        <f>_xlfn.XLOOKUP($B394,'42'!$B:$B,'42'!Q:Q,)</f>
        <v>85</v>
      </c>
      <c r="R394" s="40" t="str">
        <f>_xlfn.XLOOKUP($B394,'42'!$B:$B,'42'!R:R,)</f>
        <v>MCM (2024) Multicoloured Manual - Chapter 6 Other losses - Tables and Figures</v>
      </c>
      <c r="S394" s="40" t="str">
        <f>_xlfn.XLOOKUP($B394,'42'!$B:$B,'42'!S:S,)</f>
        <v>Multicoloured Manual</v>
      </c>
      <c r="T394" s="40">
        <f>_xlfn.XLOOKUP($B394,'42'!$B:$B,'42'!T:T,)</f>
        <v>2024</v>
      </c>
      <c r="U394" s="40" t="str">
        <f>_xlfn.XLOOKUP($B394,'42'!$B:$B,'42'!U:U,)</f>
        <v>UK</v>
      </c>
      <c r="V394" s="40" t="str">
        <f>_xlfn.XLOOKUP($B394,'42'!$B:$B,'42'!V:V,)</f>
        <v>UK</v>
      </c>
      <c r="W394" s="40" t="str">
        <f>_xlfn.XLOOKUP($B394,'42'!$B:$B,'42'!W:W,)</f>
        <v>/</v>
      </c>
    </row>
    <row r="395" spans="2:23">
      <c r="B395" s="39" t="s">
        <v>1151</v>
      </c>
      <c r="C395" s="40" t="str">
        <f>_xlfn.XLOOKUP($B395,'5'!$B:$B,'5'!C:C,)</f>
        <v>Unplanned interruptions</v>
      </c>
      <c r="D395" s="40" t="str">
        <f>_xlfn.XLOOKUP($B395,'5'!$B:$B,'5'!D:D,)</f>
        <v>&gt;3 to 6 Hour Interruption to Supply</v>
      </c>
      <c r="E395" s="40" t="str">
        <f>_xlfn.XLOOKUP($B395,'5'!$B:$B,'5'!E:E,)</f>
        <v>Quality of place</v>
      </c>
      <c r="F395" s="40">
        <f>_xlfn.XLOOKUP($B395,'5'!$B:$B,'5'!F:F,)</f>
        <v>2023</v>
      </c>
      <c r="G395" s="40">
        <f>_xlfn.XLOOKUP($B395,'5'!$B:$B,'5'!G:G,)</f>
        <v>2022</v>
      </c>
      <c r="H395" s="40">
        <f>_xlfn.XLOOKUP($B395,'5'!$B:$B,'5'!H:H,)</f>
        <v>2023</v>
      </c>
      <c r="I395" s="40">
        <f>_xlfn.XLOOKUP($B395,'5'!$B:$B,'5'!I:I,)</f>
        <v>93.351699999999994</v>
      </c>
      <c r="J395" s="40">
        <f>_xlfn.XLOOKUP($B395,'5'!$B:$B,'5'!J:J,)</f>
        <v>100</v>
      </c>
      <c r="K395" s="629">
        <f>_xlfn.XLOOKUP($B395,'5'!$B:$B,'5'!K:K,)</f>
        <v>121</v>
      </c>
      <c r="L395" s="629">
        <f>_xlfn.XLOOKUP($B395,'5'!$B:$B,'5'!L:L,)</f>
        <v>129.61735029999454</v>
      </c>
      <c r="M395" s="40" t="str">
        <f>_xlfn.XLOOKUP($B395,'5'!$B:$B,'5'!M:M,)</f>
        <v>Willingness to Accept</v>
      </c>
      <c r="N395" s="326">
        <f>_xlfn.XLOOKUP($B395,'5'!$B:$B,'5'!N:N,)</f>
        <v>2.5714285714285698</v>
      </c>
      <c r="O395" s="40" t="str">
        <f>_xlfn.XLOOKUP($B395,'5'!$B:$B,'5'!O:O,)</f>
        <v>Yes</v>
      </c>
      <c r="P395" s="40" t="str">
        <f>_xlfn.XLOOKUP($B395,'5'!$B:$B,'5'!P:P,)</f>
        <v>Ofwat collaborative research valuations</v>
      </c>
      <c r="Q395" s="40">
        <f>_xlfn.XLOOKUP($B395,'5'!$B:$B,'5'!Q:Q,)</f>
        <v>16</v>
      </c>
      <c r="R395" s="40" t="str">
        <f>_xlfn.XLOOKUP($B395,'5'!$B:$B,'5'!R:R,)</f>
        <v>Ofwat (2023) PR24: Using collaborative customer research to set outcome delivery incentive rates</v>
      </c>
      <c r="S395" s="40" t="str">
        <f>_xlfn.XLOOKUP($B395,'5'!$B:$B,'5'!S:S,)</f>
        <v>/</v>
      </c>
      <c r="T395" s="40">
        <f>_xlfn.XLOOKUP($B395,'5'!$B:$B,'5'!T:T,)</f>
        <v>2023</v>
      </c>
      <c r="U395" s="40" t="str">
        <f>_xlfn.XLOOKUP($B395,'5'!$B:$B,'5'!U:U,)</f>
        <v>UK</v>
      </c>
      <c r="V395" s="40" t="str">
        <f>_xlfn.XLOOKUP($B395,'5'!$B:$B,'5'!V:V,)</f>
        <v>England and Wales</v>
      </c>
      <c r="W395" s="40">
        <f>_xlfn.XLOOKUP($B395,'5'!$B:$B,'5'!W:W,)</f>
        <v>16295</v>
      </c>
    </row>
    <row r="396" spans="2:23">
      <c r="B396" s="39" t="s">
        <v>1152</v>
      </c>
      <c r="C396" s="40" t="str">
        <f>_xlfn.XLOOKUP($B396,'5'!$B:$B,'5'!C:C,)</f>
        <v>Unplanned interruptions</v>
      </c>
      <c r="D396" s="40" t="str">
        <f>_xlfn.XLOOKUP($B396,'5'!$B:$B,'5'!D:D,)</f>
        <v>&gt;6 to 12 Hour Interruption to Supply</v>
      </c>
      <c r="E396" s="40" t="str">
        <f>_xlfn.XLOOKUP($B396,'5'!$B:$B,'5'!E:E,)</f>
        <v>Quality of place</v>
      </c>
      <c r="F396" s="40">
        <f>_xlfn.XLOOKUP($B396,'5'!$B:$B,'5'!F:F,)</f>
        <v>2023</v>
      </c>
      <c r="G396" s="40">
        <f>_xlfn.XLOOKUP($B396,'5'!$B:$B,'5'!G:G,)</f>
        <v>2022</v>
      </c>
      <c r="H396" s="40">
        <f>_xlfn.XLOOKUP($B396,'5'!$B:$B,'5'!H:H,)</f>
        <v>2023</v>
      </c>
      <c r="I396" s="40">
        <f>_xlfn.XLOOKUP($B396,'5'!$B:$B,'5'!I:I,)</f>
        <v>93.351699999999994</v>
      </c>
      <c r="J396" s="40">
        <f>_xlfn.XLOOKUP($B396,'5'!$B:$B,'5'!J:J,)</f>
        <v>100</v>
      </c>
      <c r="K396" s="629">
        <f>_xlfn.XLOOKUP($B396,'5'!$B:$B,'5'!K:K,)</f>
        <v>162.5</v>
      </c>
      <c r="L396" s="629">
        <f>_xlfn.XLOOKUP($B396,'5'!$B:$B,'5'!L:L,)</f>
        <v>174.07288779957946</v>
      </c>
      <c r="M396" s="40" t="str">
        <f>_xlfn.XLOOKUP($B396,'5'!$B:$B,'5'!M:M,)</f>
        <v>Willingness to Accept</v>
      </c>
      <c r="N396" s="326">
        <f>_xlfn.XLOOKUP($B396,'5'!$B:$B,'5'!N:N,)</f>
        <v>2.5714285714285698</v>
      </c>
      <c r="O396" s="40" t="str">
        <f>_xlfn.XLOOKUP($B396,'5'!$B:$B,'5'!O:O,)</f>
        <v>Yes</v>
      </c>
      <c r="P396" s="40" t="str">
        <f>_xlfn.XLOOKUP($B396,'5'!$B:$B,'5'!P:P,)</f>
        <v>Ofwat collaborative research valuations</v>
      </c>
      <c r="Q396" s="40">
        <f>_xlfn.XLOOKUP($B396,'5'!$B:$B,'5'!Q:Q,)</f>
        <v>16</v>
      </c>
      <c r="R396" s="40" t="str">
        <f>_xlfn.XLOOKUP($B396,'5'!$B:$B,'5'!R:R,)</f>
        <v>Ofwat (2023) PR24: Using collaborative customer research to set outcome delivery incentive rates</v>
      </c>
      <c r="S396" s="40" t="str">
        <f>_xlfn.XLOOKUP($B396,'5'!$B:$B,'5'!S:S,)</f>
        <v>/</v>
      </c>
      <c r="T396" s="40">
        <f>_xlfn.XLOOKUP($B396,'5'!$B:$B,'5'!T:T,)</f>
        <v>2023</v>
      </c>
      <c r="U396" s="40" t="str">
        <f>_xlfn.XLOOKUP($B396,'5'!$B:$B,'5'!U:U,)</f>
        <v>UK</v>
      </c>
      <c r="V396" s="40" t="str">
        <f>_xlfn.XLOOKUP($B396,'5'!$B:$B,'5'!V:V,)</f>
        <v>England and Wales</v>
      </c>
      <c r="W396" s="40">
        <f>_xlfn.XLOOKUP($B396,'5'!$B:$B,'5'!W:W,)</f>
        <v>16295</v>
      </c>
    </row>
    <row r="397" spans="2:23">
      <c r="B397" s="39" t="s">
        <v>1153</v>
      </c>
      <c r="C397" s="40" t="str">
        <f>_xlfn.XLOOKUP($B397,'5'!$B:$B,'5'!C:C,)</f>
        <v>Unplanned interruptions</v>
      </c>
      <c r="D397" s="40" t="str">
        <f>_xlfn.XLOOKUP($B397,'5'!$B:$B,'5'!D:D,)</f>
        <v>&gt;12 to 24 Hour Interruption to Supply</v>
      </c>
      <c r="E397" s="40" t="str">
        <f>_xlfn.XLOOKUP($B397,'5'!$B:$B,'5'!E:E,)</f>
        <v>Quality of place</v>
      </c>
      <c r="F397" s="40">
        <f>_xlfn.XLOOKUP($B397,'5'!$B:$B,'5'!F:F,)</f>
        <v>2023</v>
      </c>
      <c r="G397" s="40">
        <f>_xlfn.XLOOKUP($B397,'5'!$B:$B,'5'!G:G,)</f>
        <v>2022</v>
      </c>
      <c r="H397" s="40">
        <f>_xlfn.XLOOKUP($B397,'5'!$B:$B,'5'!H:H,)</f>
        <v>2023</v>
      </c>
      <c r="I397" s="40">
        <f>_xlfn.XLOOKUP($B397,'5'!$B:$B,'5'!I:I,)</f>
        <v>93.351699999999994</v>
      </c>
      <c r="J397" s="40">
        <f>_xlfn.XLOOKUP($B397,'5'!$B:$B,'5'!J:J,)</f>
        <v>100</v>
      </c>
      <c r="K397" s="629">
        <f>_xlfn.XLOOKUP($B397,'5'!$B:$B,'5'!K:K,)</f>
        <v>204</v>
      </c>
      <c r="L397" s="629">
        <f>_xlfn.XLOOKUP($B397,'5'!$B:$B,'5'!L:L,)</f>
        <v>218.52842529916435</v>
      </c>
      <c r="M397" s="40" t="str">
        <f>_xlfn.XLOOKUP($B397,'5'!$B:$B,'5'!M:M,)</f>
        <v>Willingness to Accept</v>
      </c>
      <c r="N397" s="326">
        <f>_xlfn.XLOOKUP($B397,'5'!$B:$B,'5'!N:N,)</f>
        <v>2.5714285714285698</v>
      </c>
      <c r="O397" s="40" t="str">
        <f>_xlfn.XLOOKUP($B397,'5'!$B:$B,'5'!O:O,)</f>
        <v>Yes</v>
      </c>
      <c r="P397" s="40" t="str">
        <f>_xlfn.XLOOKUP($B397,'5'!$B:$B,'5'!P:P,)</f>
        <v>Ofwat collaborative research valuations</v>
      </c>
      <c r="Q397" s="40">
        <f>_xlfn.XLOOKUP($B397,'5'!$B:$B,'5'!Q:Q,)</f>
        <v>16</v>
      </c>
      <c r="R397" s="40" t="str">
        <f>_xlfn.XLOOKUP($B397,'5'!$B:$B,'5'!R:R,)</f>
        <v>Ofwat (2023) PR24: Using collaborative customer research to set outcome delivery incentive rates</v>
      </c>
      <c r="S397" s="40" t="str">
        <f>_xlfn.XLOOKUP($B397,'5'!$B:$B,'5'!S:S,)</f>
        <v>/</v>
      </c>
      <c r="T397" s="40">
        <f>_xlfn.XLOOKUP($B397,'5'!$B:$B,'5'!T:T,)</f>
        <v>2023</v>
      </c>
      <c r="U397" s="40" t="str">
        <f>_xlfn.XLOOKUP($B397,'5'!$B:$B,'5'!U:U,)</f>
        <v>UK</v>
      </c>
      <c r="V397" s="40" t="str">
        <f>_xlfn.XLOOKUP($B397,'5'!$B:$B,'5'!V:V,)</f>
        <v>England and Wales</v>
      </c>
      <c r="W397" s="40">
        <f>_xlfn.XLOOKUP($B397,'5'!$B:$B,'5'!W:W,)</f>
        <v>16295</v>
      </c>
    </row>
    <row r="398" spans="2:23">
      <c r="B398" s="39" t="s">
        <v>1154</v>
      </c>
      <c r="C398" s="40" t="str">
        <f>_xlfn.XLOOKUP($B398,'5'!$B:$B,'5'!C:C,)</f>
        <v>Unplanned interruptions</v>
      </c>
      <c r="D398" s="40" t="str">
        <f>_xlfn.XLOOKUP($B398,'5'!$B:$B,'5'!D:D,)</f>
        <v>24+ Hour Interruption to Supply</v>
      </c>
      <c r="E398" s="40" t="str">
        <f>_xlfn.XLOOKUP($B398,'5'!$B:$B,'5'!E:E,)</f>
        <v>Quality of place</v>
      </c>
      <c r="F398" s="40">
        <f>_xlfn.XLOOKUP($B398,'5'!$B:$B,'5'!F:F,)</f>
        <v>2023</v>
      </c>
      <c r="G398" s="40">
        <f>_xlfn.XLOOKUP($B398,'5'!$B:$B,'5'!G:G,)</f>
        <v>2022</v>
      </c>
      <c r="H398" s="40">
        <f>_xlfn.XLOOKUP($B398,'5'!$B:$B,'5'!H:H,)</f>
        <v>2023</v>
      </c>
      <c r="I398" s="40">
        <f>_xlfn.XLOOKUP($B398,'5'!$B:$B,'5'!I:I,)</f>
        <v>93.351699999999994</v>
      </c>
      <c r="J398" s="40">
        <f>_xlfn.XLOOKUP($B398,'5'!$B:$B,'5'!J:J,)</f>
        <v>100</v>
      </c>
      <c r="K398" s="629">
        <f>_xlfn.XLOOKUP($B398,'5'!$B:$B,'5'!K:K,)</f>
        <v>245.5</v>
      </c>
      <c r="L398" s="629">
        <f>_xlfn.XLOOKUP($B398,'5'!$B:$B,'5'!L:L,)</f>
        <v>262.9839627987493</v>
      </c>
      <c r="M398" s="40" t="str">
        <f>_xlfn.XLOOKUP($B398,'5'!$B:$B,'5'!M:M,)</f>
        <v>Willingness to Accept</v>
      </c>
      <c r="N398" s="326">
        <f>_xlfn.XLOOKUP($B398,'5'!$B:$B,'5'!N:N,)</f>
        <v>2.5714285714285698</v>
      </c>
      <c r="O398" s="40" t="str">
        <f>_xlfn.XLOOKUP($B398,'5'!$B:$B,'5'!O:O,)</f>
        <v>Yes</v>
      </c>
      <c r="P398" s="40" t="str">
        <f>_xlfn.XLOOKUP($B398,'5'!$B:$B,'5'!P:P,)</f>
        <v>Ofwat collaborative research valuations</v>
      </c>
      <c r="Q398" s="40">
        <f>_xlfn.XLOOKUP($B398,'5'!$B:$B,'5'!Q:Q,)</f>
        <v>16</v>
      </c>
      <c r="R398" s="40" t="str">
        <f>_xlfn.XLOOKUP($B398,'5'!$B:$B,'5'!R:R,)</f>
        <v>Ofwat (2023) PR24: Using collaborative customer research to set outcome delivery incentive rates</v>
      </c>
      <c r="S398" s="40" t="str">
        <f>_xlfn.XLOOKUP($B398,'5'!$B:$B,'5'!S:S,)</f>
        <v>/</v>
      </c>
      <c r="T398" s="40">
        <f>_xlfn.XLOOKUP($B398,'5'!$B:$B,'5'!T:T,)</f>
        <v>2023</v>
      </c>
      <c r="U398" s="40" t="str">
        <f>_xlfn.XLOOKUP($B398,'5'!$B:$B,'5'!U:U,)</f>
        <v>UK</v>
      </c>
      <c r="V398" s="40" t="str">
        <f>_xlfn.XLOOKUP($B398,'5'!$B:$B,'5'!V:V,)</f>
        <v>England and Wales</v>
      </c>
      <c r="W398" s="40">
        <f>_xlfn.XLOOKUP($B398,'5'!$B:$B,'5'!W:W,)</f>
        <v>16295</v>
      </c>
    </row>
    <row r="399" spans="2:23">
      <c r="B399" s="39" t="s">
        <v>1155</v>
      </c>
      <c r="C399" s="40" t="str">
        <f>_xlfn.XLOOKUP($B399,'5'!$B:$B,'5'!C:C,)</f>
        <v>Unplanned interruptions</v>
      </c>
      <c r="D399" s="40" t="str">
        <f>_xlfn.XLOOKUP($B399,'5'!$B:$B,'5'!D:D,)</f>
        <v>&gt;3 to 6 Hour Interruption to Supply</v>
      </c>
      <c r="E399" s="40" t="str">
        <f>_xlfn.XLOOKUP($B399,'5'!$B:$B,'5'!E:E,)</f>
        <v>Local economy</v>
      </c>
      <c r="F399" s="40">
        <f>_xlfn.XLOOKUP($B399,'5'!$B:$B,'5'!F:F,)</f>
        <v>2023</v>
      </c>
      <c r="G399" s="40">
        <f>_xlfn.XLOOKUP($B399,'5'!$B:$B,'5'!G:G,)</f>
        <v>2022</v>
      </c>
      <c r="H399" s="40">
        <f>_xlfn.XLOOKUP($B399,'5'!$B:$B,'5'!H:H,)</f>
        <v>2023</v>
      </c>
      <c r="I399" s="40">
        <f>_xlfn.XLOOKUP($B399,'5'!$B:$B,'5'!I:I,)</f>
        <v>93.351699999999994</v>
      </c>
      <c r="J399" s="40">
        <f>_xlfn.XLOOKUP($B399,'5'!$B:$B,'5'!J:J,)</f>
        <v>100</v>
      </c>
      <c r="K399" s="629">
        <f>_xlfn.XLOOKUP($B399,'5'!$B:$B,'5'!K:K,)</f>
        <v>16217</v>
      </c>
      <c r="L399" s="629">
        <f>_xlfn.XLOOKUP($B399,'5'!$B:$B,'5'!L:L,)</f>
        <v>17371.938593512492</v>
      </c>
      <c r="M399" s="40" t="str">
        <f>_xlfn.XLOOKUP($B399,'5'!$B:$B,'5'!M:M,)</f>
        <v>Willingness to Accept</v>
      </c>
      <c r="N399" s="326">
        <f>_xlfn.XLOOKUP($B399,'5'!$B:$B,'5'!N:N,)</f>
        <v>2.5714285714285698</v>
      </c>
      <c r="O399" s="40" t="str">
        <f>_xlfn.XLOOKUP($B399,'5'!$B:$B,'5'!O:O,)</f>
        <v>Yes</v>
      </c>
      <c r="P399" s="40" t="str">
        <f>_xlfn.XLOOKUP($B399,'5'!$B:$B,'5'!P:P,)</f>
        <v>Ofwat collaborative research valuations</v>
      </c>
      <c r="Q399" s="40">
        <f>_xlfn.XLOOKUP($B399,'5'!$B:$B,'5'!Q:Q,)</f>
        <v>16</v>
      </c>
      <c r="R399" s="40" t="str">
        <f>_xlfn.XLOOKUP($B399,'5'!$B:$B,'5'!R:R,)</f>
        <v>Ofwat (2023) PR24: Using collaborative customer research to set outcome delivery incentive rates</v>
      </c>
      <c r="S399" s="40" t="str">
        <f>_xlfn.XLOOKUP($B399,'5'!$B:$B,'5'!S:S,)</f>
        <v>/</v>
      </c>
      <c r="T399" s="40">
        <f>_xlfn.XLOOKUP($B399,'5'!$B:$B,'5'!T:T,)</f>
        <v>2023</v>
      </c>
      <c r="U399" s="40" t="str">
        <f>_xlfn.XLOOKUP($B399,'5'!$B:$B,'5'!U:U,)</f>
        <v>UK</v>
      </c>
      <c r="V399" s="40" t="str">
        <f>_xlfn.XLOOKUP($B399,'5'!$B:$B,'5'!V:V,)</f>
        <v>England and Wales</v>
      </c>
      <c r="W399" s="40">
        <f>_xlfn.XLOOKUP($B399,'5'!$B:$B,'5'!W:W,)</f>
        <v>16295</v>
      </c>
    </row>
    <row r="400" spans="2:23">
      <c r="B400" s="39" t="s">
        <v>1156</v>
      </c>
      <c r="C400" s="40" t="str">
        <f>_xlfn.XLOOKUP($B400,'5'!$B:$B,'5'!C:C,)</f>
        <v>Unplanned interruptions</v>
      </c>
      <c r="D400" s="40" t="str">
        <f>_xlfn.XLOOKUP($B400,'5'!$B:$B,'5'!D:D,)</f>
        <v>&gt;6 to 12 Hour Interruption to Supply</v>
      </c>
      <c r="E400" s="40" t="str">
        <f>_xlfn.XLOOKUP($B400,'5'!$B:$B,'5'!E:E,)</f>
        <v>Local economy</v>
      </c>
      <c r="F400" s="40">
        <f>_xlfn.XLOOKUP($B400,'5'!$B:$B,'5'!F:F,)</f>
        <v>2023</v>
      </c>
      <c r="G400" s="40">
        <f>_xlfn.XLOOKUP($B400,'5'!$B:$B,'5'!G:G,)</f>
        <v>2022</v>
      </c>
      <c r="H400" s="40">
        <f>_xlfn.XLOOKUP($B400,'5'!$B:$B,'5'!H:H,)</f>
        <v>2023</v>
      </c>
      <c r="I400" s="40">
        <f>_xlfn.XLOOKUP($B400,'5'!$B:$B,'5'!I:I,)</f>
        <v>93.351699999999994</v>
      </c>
      <c r="J400" s="40">
        <f>_xlfn.XLOOKUP($B400,'5'!$B:$B,'5'!J:J,)</f>
        <v>100</v>
      </c>
      <c r="K400" s="629">
        <f>_xlfn.XLOOKUP($B400,'5'!$B:$B,'5'!K:K,)</f>
        <v>19594.5</v>
      </c>
      <c r="L400" s="629">
        <f>_xlfn.XLOOKUP($B400,'5'!$B:$B,'5'!L:L,)</f>
        <v>20989.97661531606</v>
      </c>
      <c r="M400" s="40" t="str">
        <f>_xlfn.XLOOKUP($B400,'5'!$B:$B,'5'!M:M,)</f>
        <v>Willingness to Accept</v>
      </c>
      <c r="N400" s="326">
        <f>_xlfn.XLOOKUP($B400,'5'!$B:$B,'5'!N:N,)</f>
        <v>2.5714285714285698</v>
      </c>
      <c r="O400" s="40" t="str">
        <f>_xlfn.XLOOKUP($B400,'5'!$B:$B,'5'!O:O,)</f>
        <v>Yes</v>
      </c>
      <c r="P400" s="40" t="str">
        <f>_xlfn.XLOOKUP($B400,'5'!$B:$B,'5'!P:P,)</f>
        <v>Ofwat collaborative research valuations</v>
      </c>
      <c r="Q400" s="40">
        <f>_xlfn.XLOOKUP($B400,'5'!$B:$B,'5'!Q:Q,)</f>
        <v>16</v>
      </c>
      <c r="R400" s="40" t="str">
        <f>_xlfn.XLOOKUP($B400,'5'!$B:$B,'5'!R:R,)</f>
        <v>Ofwat (2023) PR24: Using collaborative customer research to set outcome delivery incentive rates</v>
      </c>
      <c r="S400" s="40" t="str">
        <f>_xlfn.XLOOKUP($B400,'5'!$B:$B,'5'!S:S,)</f>
        <v>/</v>
      </c>
      <c r="T400" s="40">
        <f>_xlfn.XLOOKUP($B400,'5'!$B:$B,'5'!T:T,)</f>
        <v>2023</v>
      </c>
      <c r="U400" s="40" t="str">
        <f>_xlfn.XLOOKUP($B400,'5'!$B:$B,'5'!U:U,)</f>
        <v>UK</v>
      </c>
      <c r="V400" s="40" t="str">
        <f>_xlfn.XLOOKUP($B400,'5'!$B:$B,'5'!V:V,)</f>
        <v>England and Wales</v>
      </c>
      <c r="W400" s="40">
        <f>_xlfn.XLOOKUP($B400,'5'!$B:$B,'5'!W:W,)</f>
        <v>16295</v>
      </c>
    </row>
    <row r="401" spans="2:23">
      <c r="B401" s="39" t="s">
        <v>1157</v>
      </c>
      <c r="C401" s="40" t="str">
        <f>_xlfn.XLOOKUP($B401,'5'!$B:$B,'5'!C:C,)</f>
        <v>Unplanned interruptions</v>
      </c>
      <c r="D401" s="40" t="str">
        <f>_xlfn.XLOOKUP($B401,'5'!$B:$B,'5'!D:D,)</f>
        <v>&gt;12 to 24 Hour Interruption to Supply</v>
      </c>
      <c r="E401" s="40" t="str">
        <f>_xlfn.XLOOKUP($B401,'5'!$B:$B,'5'!E:E,)</f>
        <v>Local economy</v>
      </c>
      <c r="F401" s="40">
        <f>_xlfn.XLOOKUP($B401,'5'!$B:$B,'5'!F:F,)</f>
        <v>2023</v>
      </c>
      <c r="G401" s="40">
        <f>_xlfn.XLOOKUP($B401,'5'!$B:$B,'5'!G:G,)</f>
        <v>2022</v>
      </c>
      <c r="H401" s="40">
        <f>_xlfn.XLOOKUP($B401,'5'!$B:$B,'5'!H:H,)</f>
        <v>2023</v>
      </c>
      <c r="I401" s="40">
        <f>_xlfn.XLOOKUP($B401,'5'!$B:$B,'5'!I:I,)</f>
        <v>93.351699999999994</v>
      </c>
      <c r="J401" s="40">
        <f>_xlfn.XLOOKUP($B401,'5'!$B:$B,'5'!J:J,)</f>
        <v>100</v>
      </c>
      <c r="K401" s="629">
        <f>_xlfn.XLOOKUP($B401,'5'!$B:$B,'5'!K:K,)</f>
        <v>22972</v>
      </c>
      <c r="L401" s="629">
        <f>_xlfn.XLOOKUP($B401,'5'!$B:$B,'5'!L:L,)</f>
        <v>24608.014637119628</v>
      </c>
      <c r="M401" s="40" t="str">
        <f>_xlfn.XLOOKUP($B401,'5'!$B:$B,'5'!M:M,)</f>
        <v>Willingness to Accept</v>
      </c>
      <c r="N401" s="326">
        <f>_xlfn.XLOOKUP($B401,'5'!$B:$B,'5'!N:N,)</f>
        <v>2.5714285714285698</v>
      </c>
      <c r="O401" s="40" t="str">
        <f>_xlfn.XLOOKUP($B401,'5'!$B:$B,'5'!O:O,)</f>
        <v>Yes</v>
      </c>
      <c r="P401" s="40" t="str">
        <f>_xlfn.XLOOKUP($B401,'5'!$B:$B,'5'!P:P,)</f>
        <v>Ofwat collaborative research valuations</v>
      </c>
      <c r="Q401" s="40">
        <f>_xlfn.XLOOKUP($B401,'5'!$B:$B,'5'!Q:Q,)</f>
        <v>16</v>
      </c>
      <c r="R401" s="40" t="str">
        <f>_xlfn.XLOOKUP($B401,'5'!$B:$B,'5'!R:R,)</f>
        <v>Ofwat (2023) PR24: Using collaborative customer research to set outcome delivery incentive rates</v>
      </c>
      <c r="S401" s="40" t="str">
        <f>_xlfn.XLOOKUP($B401,'5'!$B:$B,'5'!S:S,)</f>
        <v>/</v>
      </c>
      <c r="T401" s="40">
        <f>_xlfn.XLOOKUP($B401,'5'!$B:$B,'5'!T:T,)</f>
        <v>2023</v>
      </c>
      <c r="U401" s="40" t="str">
        <f>_xlfn.XLOOKUP($B401,'5'!$B:$B,'5'!U:U,)</f>
        <v>UK</v>
      </c>
      <c r="V401" s="40" t="str">
        <f>_xlfn.XLOOKUP($B401,'5'!$B:$B,'5'!V:V,)</f>
        <v>England and Wales</v>
      </c>
      <c r="W401" s="40">
        <f>_xlfn.XLOOKUP($B401,'5'!$B:$B,'5'!W:W,)</f>
        <v>16295</v>
      </c>
    </row>
    <row r="402" spans="2:23">
      <c r="B402" s="39" t="s">
        <v>1158</v>
      </c>
      <c r="C402" s="40" t="str">
        <f>_xlfn.XLOOKUP($B402,'5'!$B:$B,'5'!C:C,)</f>
        <v>Unplanned interruptions</v>
      </c>
      <c r="D402" s="40" t="str">
        <f>_xlfn.XLOOKUP($B402,'5'!$B:$B,'5'!D:D,)</f>
        <v>24+ Hour Interruption to Supply</v>
      </c>
      <c r="E402" s="40" t="str">
        <f>_xlfn.XLOOKUP($B402,'5'!$B:$B,'5'!E:E,)</f>
        <v>Local economy</v>
      </c>
      <c r="F402" s="40">
        <f>_xlfn.XLOOKUP($B402,'5'!$B:$B,'5'!F:F,)</f>
        <v>2023</v>
      </c>
      <c r="G402" s="40">
        <f>_xlfn.XLOOKUP($B402,'5'!$B:$B,'5'!G:G,)</f>
        <v>2022</v>
      </c>
      <c r="H402" s="40">
        <f>_xlfn.XLOOKUP($B402,'5'!$B:$B,'5'!H:H,)</f>
        <v>2023</v>
      </c>
      <c r="I402" s="40">
        <f>_xlfn.XLOOKUP($B402,'5'!$B:$B,'5'!I:I,)</f>
        <v>93.351699999999994</v>
      </c>
      <c r="J402" s="40">
        <f>_xlfn.XLOOKUP($B402,'5'!$B:$B,'5'!J:J,)</f>
        <v>100</v>
      </c>
      <c r="K402" s="629">
        <f>_xlfn.XLOOKUP($B402,'5'!$B:$B,'5'!K:K,)</f>
        <v>26349.5</v>
      </c>
      <c r="L402" s="629">
        <f>_xlfn.XLOOKUP($B402,'5'!$B:$B,'5'!L:L,)</f>
        <v>28226.052658923192</v>
      </c>
      <c r="M402" s="40" t="str">
        <f>_xlfn.XLOOKUP($B402,'5'!$B:$B,'5'!M:M,)</f>
        <v>Willingness to Accept</v>
      </c>
      <c r="N402" s="326">
        <f>_xlfn.XLOOKUP($B402,'5'!$B:$B,'5'!N:N,)</f>
        <v>2.5714285714285698</v>
      </c>
      <c r="O402" s="40" t="str">
        <f>_xlfn.XLOOKUP($B402,'5'!$B:$B,'5'!O:O,)</f>
        <v>Yes</v>
      </c>
      <c r="P402" s="40" t="str">
        <f>_xlfn.XLOOKUP($B402,'5'!$B:$B,'5'!P:P,)</f>
        <v>Ofwat collaborative research valuations</v>
      </c>
      <c r="Q402" s="40">
        <f>_xlfn.XLOOKUP($B402,'5'!$B:$B,'5'!Q:Q,)</f>
        <v>16</v>
      </c>
      <c r="R402" s="40" t="str">
        <f>_xlfn.XLOOKUP($B402,'5'!$B:$B,'5'!R:R,)</f>
        <v>Ofwat (2023) PR24: Using collaborative customer research to set outcome delivery incentive rates</v>
      </c>
      <c r="S402" s="40" t="str">
        <f>_xlfn.XLOOKUP($B402,'5'!$B:$B,'5'!S:S,)</f>
        <v>/</v>
      </c>
      <c r="T402" s="40">
        <f>_xlfn.XLOOKUP($B402,'5'!$B:$B,'5'!T:T,)</f>
        <v>2023</v>
      </c>
      <c r="U402" s="40" t="str">
        <f>_xlfn.XLOOKUP($B402,'5'!$B:$B,'5'!U:U,)</f>
        <v>UK</v>
      </c>
      <c r="V402" s="40" t="str">
        <f>_xlfn.XLOOKUP($B402,'5'!$B:$B,'5'!V:V,)</f>
        <v>England and Wales</v>
      </c>
      <c r="W402" s="40">
        <f>_xlfn.XLOOKUP($B402,'5'!$B:$B,'5'!W:W,)</f>
        <v>16295</v>
      </c>
    </row>
    <row r="403" spans="2:23">
      <c r="B403" s="39" t="s">
        <v>3170</v>
      </c>
      <c r="C403" s="40" t="str">
        <f>_xlfn.XLOOKUP($B403,'35'!$B:$B,'35'!C:C,)</f>
        <v>External contact</v>
      </c>
      <c r="D403" s="40" t="str">
        <f>_xlfn.XLOOKUP($B403,'35'!$B:$B,'35'!D:D,)</f>
        <v>Customer complaint</v>
      </c>
      <c r="E403" s="40" t="str">
        <f>_xlfn.XLOOKUP($B403,'35'!$B:$B,'35'!E:E,)</f>
        <v>Local economy</v>
      </c>
      <c r="F403" s="40">
        <f>_xlfn.XLOOKUP($B403,'35'!$B:$B,'35'!F:F,)</f>
        <v>2024</v>
      </c>
      <c r="G403" s="40">
        <f>_xlfn.XLOOKUP($B403,'35'!$B:$B,'35'!G:G,)</f>
        <v>2022</v>
      </c>
      <c r="H403" s="40">
        <f>_xlfn.XLOOKUP($B403,'35'!$B:$B,'35'!H:H,)</f>
        <v>2023</v>
      </c>
      <c r="I403" s="40">
        <f>_xlfn.XLOOKUP($B403,'35'!$B:$B,'35'!I:I,)</f>
        <v>93.351699999999994</v>
      </c>
      <c r="J403" s="40">
        <f>_xlfn.XLOOKUP($B403,'35'!$B:$B,'35'!J:J,)</f>
        <v>100</v>
      </c>
      <c r="K403" s="629">
        <f>_xlfn.XLOOKUP($B403,'35'!$B:$B,'35'!K:K,)</f>
        <v>39.700000000000003</v>
      </c>
      <c r="L403" s="629">
        <f>_xlfn.XLOOKUP($B403,'35'!$B:$B,'35'!L:L,)</f>
        <v>42.527345511651106</v>
      </c>
      <c r="M403" s="40" t="str">
        <f>_xlfn.XLOOKUP($B403,'35'!$B:$B,'35'!M:M,)</f>
        <v>GVA</v>
      </c>
      <c r="N403" s="326">
        <f>_xlfn.XLOOKUP($B403,'35'!$B:$B,'35'!N:N,)</f>
        <v>2.8333333333333335</v>
      </c>
      <c r="O403" s="40" t="str">
        <f>_xlfn.XLOOKUP($B403,'35'!$B:$B,'35'!O:O,)</f>
        <v>Yes</v>
      </c>
      <c r="P403" s="40" t="str">
        <f>_xlfn.XLOOKUP($B403,'35'!$B:$B,'35'!P:P,)</f>
        <v xml:space="preserve">This value is more suitable for regional analysis that will be completed by companies. </v>
      </c>
      <c r="Q403" s="40">
        <f>_xlfn.XLOOKUP($B403,'35'!$B:$B,'35'!Q:Q,)</f>
        <v>6</v>
      </c>
      <c r="R403" s="40" t="str">
        <f>_xlfn.XLOOKUP($B403,'35'!$B:$B,'35'!R:R,)</f>
        <v>ONS (2024) Subregional productivity: labour productivity indices by city region</v>
      </c>
      <c r="S403" s="40" t="str">
        <f>_xlfn.XLOOKUP($B403,'35'!$B:$B,'35'!S:S,)</f>
        <v>/</v>
      </c>
      <c r="T403" s="40">
        <f>_xlfn.XLOOKUP($B403,'35'!$B:$B,'35'!T:T,)</f>
        <v>2024</v>
      </c>
      <c r="U403" s="40" t="str">
        <f>_xlfn.XLOOKUP($B403,'35'!$B:$B,'35'!U:U,)</f>
        <v>UK</v>
      </c>
      <c r="V403" s="40" t="str">
        <f>_xlfn.XLOOKUP($B403,'35'!$B:$B,'35'!V:V,)</f>
        <v>UK</v>
      </c>
      <c r="W403" s="40" t="str">
        <f>_xlfn.XLOOKUP($B403,'35'!$B:$B,'35'!W:W,)</f>
        <v>/</v>
      </c>
    </row>
    <row r="404" spans="2:23">
      <c r="B404" s="39" t="s">
        <v>1166</v>
      </c>
      <c r="C404" s="40" t="str">
        <f>_xlfn.XLOOKUP($B404,'6'!$B:$B,'6'!C:C,)</f>
        <v>Water pressure</v>
      </c>
      <c r="D404" s="40" t="str">
        <f>_xlfn.XLOOKUP($B404,'6'!$B:$B,'6'!D:D,)</f>
        <v xml:space="preserve">Pressure below acceptable level (Ofwat DG2) </v>
      </c>
      <c r="E404" s="40" t="str">
        <f>_xlfn.XLOOKUP($B404,'6'!$B:$B,'6'!E:E,)</f>
        <v>Quality of place</v>
      </c>
      <c r="F404" s="40">
        <f>_xlfn.XLOOKUP($B404,'6'!$B:$B,'6'!F:F,)</f>
        <v>2023</v>
      </c>
      <c r="G404" s="40">
        <f>_xlfn.XLOOKUP($B404,'6'!$B:$B,'6'!G:G,)</f>
        <v>2022</v>
      </c>
      <c r="H404" s="40">
        <f>_xlfn.XLOOKUP($B404,'6'!$B:$B,'6'!H:H,)</f>
        <v>2023</v>
      </c>
      <c r="I404" s="40">
        <f>_xlfn.XLOOKUP($B404,'6'!$B:$B,'6'!I:I,)</f>
        <v>93.351699999999994</v>
      </c>
      <c r="J404" s="40">
        <f>_xlfn.XLOOKUP($B404,'6'!$B:$B,'6'!J:J,)</f>
        <v>100</v>
      </c>
      <c r="K404" s="629">
        <f>_xlfn.XLOOKUP($B404,'6'!$B:$B,'6'!K:K,)</f>
        <v>62</v>
      </c>
      <c r="L404" s="629">
        <f>_xlfn.XLOOKUP($B404,'6'!$B:$B,'6'!L:L,)</f>
        <v>66.415501806608773</v>
      </c>
      <c r="M404" s="40" t="str">
        <f>_xlfn.XLOOKUP($B404,'6'!$B:$B,'6'!M:M,)</f>
        <v>Willingness to Accept</v>
      </c>
      <c r="N404" s="326">
        <f>_xlfn.XLOOKUP($B404,'6'!$B:$B,'6'!N:N,)</f>
        <v>2.8333333333333335</v>
      </c>
      <c r="O404" s="40" t="str">
        <f>_xlfn.XLOOKUP($B404,'6'!$B:$B,'6'!O:O,)</f>
        <v>Yes</v>
      </c>
      <c r="P404" s="40" t="str">
        <f>_xlfn.XLOOKUP($B404,'6'!$B:$B,'6'!P:P,)</f>
        <v>Ofwat collaborative customer research valuation</v>
      </c>
      <c r="Q404" s="40">
        <f>_xlfn.XLOOKUP($B404,'6'!$B:$B,'6'!Q:Q,)</f>
        <v>16</v>
      </c>
      <c r="R404" s="40" t="str">
        <f>_xlfn.XLOOKUP($B404,'6'!$B:$B,'6'!R:R,)</f>
        <v>Ofwat (2023) PR24: Using collaborative customer research to set outcome delivery incentive rates</v>
      </c>
      <c r="S404" s="40" t="str">
        <f>_xlfn.XLOOKUP($B404,'6'!$B:$B,'6'!S:S,)</f>
        <v>/</v>
      </c>
      <c r="T404" s="40">
        <f>_xlfn.XLOOKUP($B404,'6'!$B:$B,'6'!T:T,)</f>
        <v>2023</v>
      </c>
      <c r="U404" s="40" t="str">
        <f>_xlfn.XLOOKUP($B404,'6'!$B:$B,'6'!U:U,)</f>
        <v>UK</v>
      </c>
      <c r="V404" s="40" t="str">
        <f>_xlfn.XLOOKUP($B404,'6'!$B:$B,'6'!V:V,)</f>
        <v>England and Wales</v>
      </c>
      <c r="W404" s="40">
        <f>_xlfn.XLOOKUP($B404,'6'!$B:$B,'6'!W:W,)</f>
        <v>16295</v>
      </c>
    </row>
    <row r="405" spans="2:23">
      <c r="B405" s="39" t="s">
        <v>1167</v>
      </c>
      <c r="C405" s="40" t="str">
        <f>_xlfn.XLOOKUP($B405,'6'!$B:$B,'6'!C:C,)</f>
        <v>Water pressure</v>
      </c>
      <c r="D405" s="40" t="str">
        <f>_xlfn.XLOOKUP($B405,'6'!$B:$B,'6'!D:D,)</f>
        <v>Low pressure noticed by customer but above or at acceptable level</v>
      </c>
      <c r="E405" s="40" t="str">
        <f>_xlfn.XLOOKUP($B405,'6'!$B:$B,'6'!E:E,)</f>
        <v>Quality of place</v>
      </c>
      <c r="F405" s="40">
        <f>_xlfn.XLOOKUP($B405,'6'!$B:$B,'6'!F:F,)</f>
        <v>2023</v>
      </c>
      <c r="G405" s="40">
        <f>_xlfn.XLOOKUP($B405,'6'!$B:$B,'6'!G:G,)</f>
        <v>2022</v>
      </c>
      <c r="H405" s="40">
        <f>_xlfn.XLOOKUP($B405,'6'!$B:$B,'6'!H:H,)</f>
        <v>2023</v>
      </c>
      <c r="I405" s="40">
        <f>_xlfn.XLOOKUP($B405,'6'!$B:$B,'6'!I:I,)</f>
        <v>93.351699999999994</v>
      </c>
      <c r="J405" s="40">
        <f>_xlfn.XLOOKUP($B405,'6'!$B:$B,'6'!J:J,)</f>
        <v>100</v>
      </c>
      <c r="K405" s="629">
        <f>_xlfn.XLOOKUP($B405,'6'!$B:$B,'6'!K:K,)</f>
        <v>62</v>
      </c>
      <c r="L405" s="629">
        <f>_xlfn.XLOOKUP($B405,'6'!$B:$B,'6'!L:L,)</f>
        <v>66.415501806608773</v>
      </c>
      <c r="M405" s="40" t="str">
        <f>_xlfn.XLOOKUP($B405,'6'!$B:$B,'6'!M:M,)</f>
        <v>Willingness to Accept</v>
      </c>
      <c r="N405" s="326">
        <f>_xlfn.XLOOKUP($B405,'6'!$B:$B,'6'!N:N,)</f>
        <v>2.8333333333333335</v>
      </c>
      <c r="O405" s="40" t="str">
        <f>_xlfn.XLOOKUP($B405,'6'!$B:$B,'6'!O:O,)</f>
        <v>Yes</v>
      </c>
      <c r="P405" s="40" t="str">
        <f>_xlfn.XLOOKUP($B405,'6'!$B:$B,'6'!P:P,)</f>
        <v>Ofwat collaborative customer research valuation</v>
      </c>
      <c r="Q405" s="40">
        <f>_xlfn.XLOOKUP($B405,'6'!$B:$B,'6'!Q:Q,)</f>
        <v>16</v>
      </c>
      <c r="R405" s="40" t="str">
        <f>_xlfn.XLOOKUP($B405,'6'!$B:$B,'6'!R:R,)</f>
        <v>Ofwat (2023) PR24: Using collaborative customer research to set outcome delivery incentive rates</v>
      </c>
      <c r="S405" s="40" t="str">
        <f>_xlfn.XLOOKUP($B405,'6'!$B:$B,'6'!S:S,)</f>
        <v>/</v>
      </c>
      <c r="T405" s="40">
        <f>_xlfn.XLOOKUP($B405,'6'!$B:$B,'6'!T:T,)</f>
        <v>2023</v>
      </c>
      <c r="U405" s="40" t="str">
        <f>_xlfn.XLOOKUP($B405,'6'!$B:$B,'6'!U:U,)</f>
        <v>UK</v>
      </c>
      <c r="V405" s="40" t="str">
        <f>_xlfn.XLOOKUP($B405,'6'!$B:$B,'6'!V:V,)</f>
        <v>England and Wales</v>
      </c>
      <c r="W405" s="40">
        <f>_xlfn.XLOOKUP($B405,'6'!$B:$B,'6'!W:W,)</f>
        <v>16295</v>
      </c>
    </row>
    <row r="406" spans="2:23">
      <c r="B406" s="39" t="s">
        <v>1168</v>
      </c>
      <c r="C406" s="40" t="str">
        <f>_xlfn.XLOOKUP($B406,'6'!$B:$B,'6'!C:C,)</f>
        <v>Water pressure</v>
      </c>
      <c r="D406" s="40" t="str">
        <f>_xlfn.XLOOKUP($B406,'6'!$B:$B,'6'!D:D,)</f>
        <v xml:space="preserve">Pressure below acceptable level (Ofwat DG2) </v>
      </c>
      <c r="E406" s="40" t="str">
        <f>_xlfn.XLOOKUP($B406,'6'!$B:$B,'6'!E:E,)</f>
        <v>Local economy</v>
      </c>
      <c r="F406" s="40">
        <f>_xlfn.XLOOKUP($B406,'6'!$B:$B,'6'!F:F,)</f>
        <v>2023</v>
      </c>
      <c r="G406" s="40">
        <f>_xlfn.XLOOKUP($B406,'6'!$B:$B,'6'!G:G,)</f>
        <v>2022</v>
      </c>
      <c r="H406" s="40">
        <f>_xlfn.XLOOKUP($B406,'6'!$B:$B,'6'!H:H,)</f>
        <v>2023</v>
      </c>
      <c r="I406" s="40">
        <f>_xlfn.XLOOKUP($B406,'6'!$B:$B,'6'!I:I,)</f>
        <v>93.351699999999994</v>
      </c>
      <c r="J406" s="40">
        <f>_xlfn.XLOOKUP($B406,'6'!$B:$B,'6'!J:J,)</f>
        <v>100</v>
      </c>
      <c r="K406" s="629">
        <f>_xlfn.XLOOKUP($B406,'6'!$B:$B,'6'!K:K,)</f>
        <v>4612</v>
      </c>
      <c r="L406" s="629">
        <f>_xlfn.XLOOKUP($B406,'6'!$B:$B,'6'!L:L,)</f>
        <v>4940.4563601948339</v>
      </c>
      <c r="M406" s="40" t="str">
        <f>_xlfn.XLOOKUP($B406,'6'!$B:$B,'6'!M:M,)</f>
        <v>Willingness to Accept</v>
      </c>
      <c r="N406" s="326">
        <f>_xlfn.XLOOKUP($B406,'6'!$B:$B,'6'!N:N,)</f>
        <v>2.8333333333333335</v>
      </c>
      <c r="O406" s="40" t="str">
        <f>_xlfn.XLOOKUP($B406,'6'!$B:$B,'6'!O:O,)</f>
        <v>Yes</v>
      </c>
      <c r="P406" s="40" t="str">
        <f>_xlfn.XLOOKUP($B406,'6'!$B:$B,'6'!P:P,)</f>
        <v>Ofwat collaborative customer research valuation</v>
      </c>
      <c r="Q406" s="40">
        <f>_xlfn.XLOOKUP($B406,'6'!$B:$B,'6'!Q:Q,)</f>
        <v>16</v>
      </c>
      <c r="R406" s="40" t="str">
        <f>_xlfn.XLOOKUP($B406,'6'!$B:$B,'6'!R:R,)</f>
        <v>Ofwat (2023) PR24: Using collaborative customer research to set outcome delivery incentive rates</v>
      </c>
      <c r="S406" s="40" t="str">
        <f>_xlfn.XLOOKUP($B406,'6'!$B:$B,'6'!S:S,)</f>
        <v>/</v>
      </c>
      <c r="T406" s="40">
        <f>_xlfn.XLOOKUP($B406,'6'!$B:$B,'6'!T:T,)</f>
        <v>2023</v>
      </c>
      <c r="U406" s="40" t="str">
        <f>_xlfn.XLOOKUP($B406,'6'!$B:$B,'6'!U:U,)</f>
        <v>UK</v>
      </c>
      <c r="V406" s="40" t="str">
        <f>_xlfn.XLOOKUP($B406,'6'!$B:$B,'6'!V:V,)</f>
        <v>England and Wales</v>
      </c>
      <c r="W406" s="40">
        <f>_xlfn.XLOOKUP($B406,'6'!$B:$B,'6'!W:W,)</f>
        <v>16295</v>
      </c>
    </row>
    <row r="407" spans="2:23">
      <c r="B407" s="39" t="s">
        <v>1169</v>
      </c>
      <c r="C407" s="40" t="str">
        <f>_xlfn.XLOOKUP($B407,'6'!$B:$B,'6'!C:C,)</f>
        <v>Water pressure</v>
      </c>
      <c r="D407" s="40" t="str">
        <f>_xlfn.XLOOKUP($B407,'6'!$B:$B,'6'!D:D,)</f>
        <v>Low pressure noticed by customer but above or at acceptable level</v>
      </c>
      <c r="E407" s="40" t="str">
        <f>_xlfn.XLOOKUP($B407,'6'!$B:$B,'6'!E:E,)</f>
        <v>Local economy</v>
      </c>
      <c r="F407" s="40">
        <f>_xlfn.XLOOKUP($B407,'6'!$B:$B,'6'!F:F,)</f>
        <v>2023</v>
      </c>
      <c r="G407" s="40">
        <f>_xlfn.XLOOKUP($B407,'6'!$B:$B,'6'!G:G,)</f>
        <v>2022</v>
      </c>
      <c r="H407" s="40">
        <f>_xlfn.XLOOKUP($B407,'6'!$B:$B,'6'!H:H,)</f>
        <v>2023</v>
      </c>
      <c r="I407" s="40">
        <f>_xlfn.XLOOKUP($B407,'6'!$B:$B,'6'!I:I,)</f>
        <v>93.351699999999994</v>
      </c>
      <c r="J407" s="40">
        <f>_xlfn.XLOOKUP($B407,'6'!$B:$B,'6'!J:J,)</f>
        <v>100</v>
      </c>
      <c r="K407" s="629">
        <f>_xlfn.XLOOKUP($B407,'6'!$B:$B,'6'!K:K,)</f>
        <v>4612</v>
      </c>
      <c r="L407" s="629">
        <f>_xlfn.XLOOKUP($B407,'6'!$B:$B,'6'!L:L,)</f>
        <v>4940.4563601948339</v>
      </c>
      <c r="M407" s="40" t="str">
        <f>_xlfn.XLOOKUP($B407,'6'!$B:$B,'6'!M:M,)</f>
        <v>Willingness to Accept</v>
      </c>
      <c r="N407" s="326">
        <f>_xlfn.XLOOKUP($B407,'6'!$B:$B,'6'!N:N,)</f>
        <v>2.8333333333333335</v>
      </c>
      <c r="O407" s="40" t="str">
        <f>_xlfn.XLOOKUP($B407,'6'!$B:$B,'6'!O:O,)</f>
        <v>Yes</v>
      </c>
      <c r="P407" s="40" t="str">
        <f>_xlfn.XLOOKUP($B407,'6'!$B:$B,'6'!P:P,)</f>
        <v>Ofwat collaborative customer research valuation</v>
      </c>
      <c r="Q407" s="40">
        <f>_xlfn.XLOOKUP($B407,'6'!$B:$B,'6'!Q:Q,)</f>
        <v>16</v>
      </c>
      <c r="R407" s="40" t="str">
        <f>_xlfn.XLOOKUP($B407,'6'!$B:$B,'6'!R:R,)</f>
        <v>Ofwat (2023) PR24: Using collaborative customer research to set outcome delivery incentive rates</v>
      </c>
      <c r="S407" s="40" t="str">
        <f>_xlfn.XLOOKUP($B407,'6'!$B:$B,'6'!S:S,)</f>
        <v>/</v>
      </c>
      <c r="T407" s="40">
        <f>_xlfn.XLOOKUP($B407,'6'!$B:$B,'6'!T:T,)</f>
        <v>2023</v>
      </c>
      <c r="U407" s="40" t="str">
        <f>_xlfn.XLOOKUP($B407,'6'!$B:$B,'6'!U:U,)</f>
        <v>UK</v>
      </c>
      <c r="V407" s="40" t="str">
        <f>_xlfn.XLOOKUP($B407,'6'!$B:$B,'6'!V:V,)</f>
        <v>England and Wales</v>
      </c>
      <c r="W407" s="40">
        <f>_xlfn.XLOOKUP($B407,'6'!$B:$B,'6'!W:W,)</f>
        <v>16295</v>
      </c>
    </row>
    <row r="408" spans="2:23">
      <c r="B408" s="39" t="s">
        <v>1125</v>
      </c>
      <c r="C408" s="40" t="str">
        <f>_xlfn.XLOOKUP($B408,'3'!$B:$B,'3'!C:C,)</f>
        <v>Water quality (lead risk)</v>
      </c>
      <c r="D408" s="40" t="str">
        <f>_xlfn.XLOOKUP($B408,'3'!$B:$B,'3'!D:D,)</f>
        <v>Properties with lead risk reduced</v>
      </c>
      <c r="E408" s="40" t="str">
        <f>_xlfn.XLOOKUP($B408,'3'!$B:$B,'3'!E:E,)</f>
        <v>Quality of place</v>
      </c>
      <c r="F408" s="40">
        <f>_xlfn.XLOOKUP($B408,'3'!$B:$B,'3'!F:F,)</f>
        <v>2018</v>
      </c>
      <c r="G408" s="40">
        <f>_xlfn.XLOOKUP($B408,'3'!$B:$B,'3'!G:G,)</f>
        <v>2017</v>
      </c>
      <c r="H408" s="40">
        <f>_xlfn.XLOOKUP($B408,'3'!$B:$B,'3'!H:H,)</f>
        <v>2023</v>
      </c>
      <c r="I408" s="40">
        <f>_xlfn.XLOOKUP($B408,'3'!$B:$B,'3'!I:I,)</f>
        <v>81.273099999999999</v>
      </c>
      <c r="J408" s="40">
        <f>_xlfn.XLOOKUP($B408,'3'!$B:$B,'3'!J:J,)</f>
        <v>100</v>
      </c>
      <c r="K408" s="629">
        <f>_xlfn.XLOOKUP($B408,'3'!$B:$B,'3'!K:K,)</f>
        <v>4707.67</v>
      </c>
      <c r="L408" s="629">
        <f>_xlfn.XLOOKUP($B408,'3'!$B:$B,'3'!L:L,)</f>
        <v>5792.4085583052702</v>
      </c>
      <c r="M408" s="40" t="str">
        <f>_xlfn.XLOOKUP($B408,'3'!$B:$B,'3'!M:M,)</f>
        <v>Willingness to Accept</v>
      </c>
      <c r="N408" s="326">
        <f>_xlfn.XLOOKUP($B408,'3'!$B:$B,'3'!N:N,)</f>
        <v>2.3333333333333335</v>
      </c>
      <c r="O408" s="40" t="str">
        <f>_xlfn.XLOOKUP($B408,'3'!$B:$B,'3'!O:O,)</f>
        <v>Yes</v>
      </c>
      <c r="P408" s="40" t="str">
        <f>_xlfn.XLOOKUP($B408,'3'!$B:$B,'3'!P:P,)</f>
        <v>WTP study that most closely aligns to service measure impact categories. No Ofwat Collaborative Customer Research valuation available.</v>
      </c>
      <c r="Q408" s="40">
        <f>_xlfn.XLOOKUP($B408,'3'!$B:$B,'3'!Q:Q,)</f>
        <v>136</v>
      </c>
      <c r="R408" s="40" t="str">
        <f>_xlfn.XLOOKUP($B408,'3'!$B:$B,'3'!R:R,)</f>
        <v>UU (2018) Customer research triangulation report</v>
      </c>
      <c r="S408" s="40" t="str">
        <f>_xlfn.XLOOKUP($B408,'3'!$B:$B,'3'!S:S,)</f>
        <v>/</v>
      </c>
      <c r="T408" s="40">
        <f>_xlfn.XLOOKUP($B408,'3'!$B:$B,'3'!T:T,)</f>
        <v>2018</v>
      </c>
      <c r="U408" s="40" t="str">
        <f>_xlfn.XLOOKUP($B408,'3'!$B:$B,'3'!U:U,)</f>
        <v>England</v>
      </c>
      <c r="V408" s="40" t="str">
        <f>_xlfn.XLOOKUP($B408,'3'!$B:$B,'3'!V:V,)</f>
        <v>UU region</v>
      </c>
      <c r="W408" s="40" t="str">
        <f>_xlfn.XLOOKUP($B408,'3'!$B:$B,'3'!W:W,)</f>
        <v>Unknown</v>
      </c>
    </row>
    <row r="409" spans="2:23">
      <c r="B409" s="39" t="s">
        <v>1126</v>
      </c>
      <c r="C409" s="40" t="str">
        <f>_xlfn.XLOOKUP($B409,'3'!$B:$B,'3'!C:C,)</f>
        <v>Water quality (lead risk)</v>
      </c>
      <c r="D409" s="40" t="str">
        <f>_xlfn.XLOOKUP($B409,'3'!$B:$B,'3'!D:D,)</f>
        <v>Properties with lead risk reduced</v>
      </c>
      <c r="E409" s="40" t="str">
        <f>_xlfn.XLOOKUP($B409,'3'!$B:$B,'3'!E:E,)</f>
        <v>Local economy</v>
      </c>
      <c r="F409" s="40">
        <f>_xlfn.XLOOKUP($B409,'3'!$B:$B,'3'!F:F,)</f>
        <v>2018</v>
      </c>
      <c r="G409" s="40">
        <f>_xlfn.XLOOKUP($B409,'3'!$B:$B,'3'!G:G,)</f>
        <v>2017</v>
      </c>
      <c r="H409" s="40">
        <f>_xlfn.XLOOKUP($B409,'3'!$B:$B,'3'!H:H,)</f>
        <v>2023</v>
      </c>
      <c r="I409" s="40">
        <f>_xlfn.XLOOKUP($B409,'3'!$B:$B,'3'!I:I,)</f>
        <v>81.273099999999999</v>
      </c>
      <c r="J409" s="40">
        <f>_xlfn.XLOOKUP($B409,'3'!$B:$B,'3'!J:J,)</f>
        <v>100</v>
      </c>
      <c r="K409" s="629">
        <f>_xlfn.XLOOKUP($B409,'3'!$B:$B,'3'!K:K,)</f>
        <v>1102</v>
      </c>
      <c r="L409" s="629">
        <f>_xlfn.XLOOKUP($B409,'3'!$B:$B,'3'!L:L,)</f>
        <v>1355.9221931979955</v>
      </c>
      <c r="M409" s="40" t="str">
        <f>_xlfn.XLOOKUP($B409,'3'!$B:$B,'3'!M:M,)</f>
        <v>Willingness to Accept</v>
      </c>
      <c r="N409" s="326">
        <f>_xlfn.XLOOKUP($B409,'3'!$B:$B,'3'!N:N,)</f>
        <v>2.3333333333333335</v>
      </c>
      <c r="O409" s="40" t="str">
        <f>_xlfn.XLOOKUP($B409,'3'!$B:$B,'3'!O:O,)</f>
        <v>Yes</v>
      </c>
      <c r="P409" s="40" t="str">
        <f>_xlfn.XLOOKUP($B409,'3'!$B:$B,'3'!P:P,)</f>
        <v>WTP study that most closely aligns to service measure impact categories. No Ofwat Collaborative Customer Research valuation available.</v>
      </c>
      <c r="Q409" s="40">
        <f>_xlfn.XLOOKUP($B409,'3'!$B:$B,'3'!Q:Q,)</f>
        <v>136</v>
      </c>
      <c r="R409" s="40" t="str">
        <f>_xlfn.XLOOKUP($B409,'3'!$B:$B,'3'!R:R,)</f>
        <v>UU (2018) Customer research triangulation report</v>
      </c>
      <c r="S409" s="40" t="str">
        <f>_xlfn.XLOOKUP($B409,'3'!$B:$B,'3'!S:S,)</f>
        <v>/</v>
      </c>
      <c r="T409" s="40">
        <f>_xlfn.XLOOKUP($B409,'3'!$B:$B,'3'!T:T,)</f>
        <v>2018</v>
      </c>
      <c r="U409" s="40" t="str">
        <f>_xlfn.XLOOKUP($B409,'3'!$B:$B,'3'!U:U,)</f>
        <v>England</v>
      </c>
      <c r="V409" s="40" t="str">
        <f>_xlfn.XLOOKUP($B409,'3'!$B:$B,'3'!V:V,)</f>
        <v>UU region</v>
      </c>
      <c r="W409" s="40" t="str">
        <f>_xlfn.XLOOKUP($B409,'3'!$B:$B,'3'!W:W,)</f>
        <v>Unknown</v>
      </c>
    </row>
    <row r="410" spans="2:23">
      <c r="B410" s="39" t="s">
        <v>1292</v>
      </c>
      <c r="C410" s="40" t="str">
        <f>_xlfn.XLOOKUP($B410,'10'!$B:$B,'10'!C:C,)</f>
        <v>Water use</v>
      </c>
      <c r="D410" s="40" t="str">
        <f>_xlfn.XLOOKUP($B410,'10'!$B:$B,'10'!D:D,)</f>
        <v>Reduction in per capita consumption</v>
      </c>
      <c r="E410" s="40" t="str">
        <f>_xlfn.XLOOKUP($B410,'10'!$B:$B,'10'!E:E,)</f>
        <v>Water resources</v>
      </c>
      <c r="F410" s="40">
        <f>_xlfn.XLOOKUP($B410,'10'!$B:$B,'10'!F:F,)</f>
        <v>2018</v>
      </c>
      <c r="G410" s="40">
        <f>_xlfn.XLOOKUP($B410,'10'!$B:$B,'10'!G:G,)</f>
        <v>2022</v>
      </c>
      <c r="H410" s="40">
        <f>_xlfn.XLOOKUP($B410,'10'!$B:$B,'10'!H:H,)</f>
        <v>2023</v>
      </c>
      <c r="I410" s="40">
        <f>_xlfn.XLOOKUP($B410,'10'!$B:$B,'10'!I:I,)</f>
        <v>93.351699999999994</v>
      </c>
      <c r="J410" s="40">
        <f>_xlfn.XLOOKUP($B410,'10'!$B:$B,'10'!J:J,)</f>
        <v>100</v>
      </c>
      <c r="K410" s="629">
        <f>_xlfn.XLOOKUP($B410,'10'!$B:$B,'10'!K:K,)</f>
        <v>-1045332.4607500001</v>
      </c>
      <c r="L410" s="629">
        <f>_xlfn.XLOOKUP($B410,'10'!$B:$B,'10'!L:L,)</f>
        <v>-1119778.708636265</v>
      </c>
      <c r="M410" s="40" t="str">
        <f>_xlfn.XLOOKUP($B410,'10'!$B:$B,'10'!M:M,)</f>
        <v>Financial</v>
      </c>
      <c r="N410" s="326">
        <f>_xlfn.XLOOKUP($B410,'10'!$B:$B,'10'!N:N,)</f>
        <v>2.1428571428571401</v>
      </c>
      <c r="O410" s="40" t="str">
        <f>_xlfn.XLOOKUP($B410,'10'!$B:$B,'10'!O:O,)</f>
        <v>Yes</v>
      </c>
      <c r="P410" s="40" t="str">
        <f>_xlfn.XLOOKUP($B410,'10'!$B:$B,'10'!P:P,)</f>
        <v>Reliable source and logical application</v>
      </c>
      <c r="Q410" s="40">
        <f>_xlfn.XLOOKUP($B410,'10'!$B:$B,'10'!Q:Q,)</f>
        <v>22</v>
      </c>
      <c r="R410" s="40" t="str">
        <f>_xlfn.XLOOKUP($B410,'10'!$B:$B,'10'!R:R,)</f>
        <v>NIC (2018) Analysis of the costs of water resource management options to enhance drought resilience</v>
      </c>
      <c r="S410" s="40" t="str">
        <f>_xlfn.XLOOKUP($B410,'10'!$B:$B,'10'!S:S,)</f>
        <v>NCEM</v>
      </c>
      <c r="T410" s="40">
        <f>_xlfn.XLOOKUP($B410,'10'!$B:$B,'10'!T:T,)</f>
        <v>2018</v>
      </c>
      <c r="U410" s="40" t="str">
        <f>_xlfn.XLOOKUP($B410,'10'!$B:$B,'10'!U:U,)</f>
        <v>UK</v>
      </c>
      <c r="V410" s="40" t="str">
        <f>_xlfn.XLOOKUP($B410,'10'!$B:$B,'10'!V:V,)</f>
        <v>UK</v>
      </c>
      <c r="W410" s="40" t="str">
        <f>_xlfn.XLOOKUP($B410,'10'!$B:$B,'10'!W:W,)</f>
        <v>/</v>
      </c>
    </row>
    <row r="411" spans="2:23">
      <c r="B411" s="39" t="s">
        <v>1293</v>
      </c>
      <c r="C411" s="40" t="str">
        <f>_xlfn.XLOOKUP($B411,'10'!$B:$B,'10'!C:C,)</f>
        <v>Water use</v>
      </c>
      <c r="D411" s="40" t="str">
        <f>_xlfn.XLOOKUP($B411,'10'!$B:$B,'10'!D:D,)</f>
        <v>Treated effluent recycled as a potable substitute</v>
      </c>
      <c r="E411" s="40" t="str">
        <f>_xlfn.XLOOKUP($B411,'10'!$B:$B,'10'!E:E,)</f>
        <v>Water resources</v>
      </c>
      <c r="F411" s="40">
        <f>_xlfn.XLOOKUP($B411,'10'!$B:$B,'10'!F:F,)</f>
        <v>2018</v>
      </c>
      <c r="G411" s="40">
        <f>_xlfn.XLOOKUP($B411,'10'!$B:$B,'10'!G:G,)</f>
        <v>2022</v>
      </c>
      <c r="H411" s="40">
        <f>_xlfn.XLOOKUP($B411,'10'!$B:$B,'10'!H:H,)</f>
        <v>2023</v>
      </c>
      <c r="I411" s="40">
        <f>_xlfn.XLOOKUP($B411,'10'!$B:$B,'10'!I:I,)</f>
        <v>93.351699999999994</v>
      </c>
      <c r="J411" s="40">
        <f>_xlfn.XLOOKUP($B411,'10'!$B:$B,'10'!J:J,)</f>
        <v>100</v>
      </c>
      <c r="K411" s="629">
        <f>_xlfn.XLOOKUP($B411,'10'!$B:$B,'10'!K:K,)</f>
        <v>-1070</v>
      </c>
      <c r="L411" s="629">
        <f>_xlfn.XLOOKUP($B411,'10'!$B:$B,'10'!L:L,)</f>
        <v>-1146.2030150495386</v>
      </c>
      <c r="M411" s="40" t="str">
        <f>_xlfn.XLOOKUP($B411,'10'!$B:$B,'10'!M:M,)</f>
        <v>Financial</v>
      </c>
      <c r="N411" s="326">
        <f>_xlfn.XLOOKUP($B411,'10'!$B:$B,'10'!N:N,)</f>
        <v>2.1428571428571401</v>
      </c>
      <c r="O411" s="40" t="str">
        <f>_xlfn.XLOOKUP($B411,'10'!$B:$B,'10'!O:O,)</f>
        <v>Yes</v>
      </c>
      <c r="P411" s="40" t="str">
        <f>_xlfn.XLOOKUP($B411,'10'!$B:$B,'10'!P:P,)</f>
        <v>Reliable source and logical application</v>
      </c>
      <c r="Q411" s="40">
        <f>_xlfn.XLOOKUP($B411,'10'!$B:$B,'10'!Q:Q,)</f>
        <v>22</v>
      </c>
      <c r="R411" s="40" t="str">
        <f>_xlfn.XLOOKUP($B411,'10'!$B:$B,'10'!R:R,)</f>
        <v>NIC (2018) Analysis of the costs of water resource management options to enhance drought resilience</v>
      </c>
      <c r="S411" s="40" t="str">
        <f>_xlfn.XLOOKUP($B411,'10'!$B:$B,'10'!S:S,)</f>
        <v>NCEM</v>
      </c>
      <c r="T411" s="40">
        <f>_xlfn.XLOOKUP($B411,'10'!$B:$B,'10'!T:T,)</f>
        <v>2018</v>
      </c>
      <c r="U411" s="40" t="str">
        <f>_xlfn.XLOOKUP($B411,'10'!$B:$B,'10'!U:U,)</f>
        <v>UK</v>
      </c>
      <c r="V411" s="40" t="str">
        <f>_xlfn.XLOOKUP($B411,'10'!$B:$B,'10'!V:V,)</f>
        <v>UK</v>
      </c>
      <c r="W411" s="40" t="str">
        <f>_xlfn.XLOOKUP($B411,'10'!$B:$B,'10'!W:W,)</f>
        <v>/</v>
      </c>
    </row>
    <row r="412" spans="2:23">
      <c r="B412" s="39" t="s">
        <v>1294</v>
      </c>
      <c r="C412" s="40" t="str">
        <f>_xlfn.XLOOKUP($B412,'10'!$B:$B,'10'!C:C,)</f>
        <v>Water use</v>
      </c>
      <c r="D412" s="40" t="str">
        <f>_xlfn.XLOOKUP($B412,'10'!$B:$B,'10'!D:D,)</f>
        <v>Grey water recycled as a potable substitute</v>
      </c>
      <c r="E412" s="40" t="str">
        <f>_xlfn.XLOOKUP($B412,'10'!$B:$B,'10'!E:E,)</f>
        <v>Water resources</v>
      </c>
      <c r="F412" s="40">
        <f>_xlfn.XLOOKUP($B412,'10'!$B:$B,'10'!F:F,)</f>
        <v>2023</v>
      </c>
      <c r="G412" s="40">
        <f>_xlfn.XLOOKUP($B412,'10'!$B:$B,'10'!G:G,)</f>
        <v>2022</v>
      </c>
      <c r="H412" s="40">
        <f>_xlfn.XLOOKUP($B412,'10'!$B:$B,'10'!H:H,)</f>
        <v>2023</v>
      </c>
      <c r="I412" s="40">
        <f>_xlfn.XLOOKUP($B412,'10'!$B:$B,'10'!I:I,)</f>
        <v>93.351699999999994</v>
      </c>
      <c r="J412" s="40">
        <f>_xlfn.XLOOKUP($B412,'10'!$B:$B,'10'!J:J,)</f>
        <v>100</v>
      </c>
      <c r="K412" s="629">
        <f>_xlfn.XLOOKUP($B412,'10'!$B:$B,'10'!K:K,)</f>
        <v>-1070</v>
      </c>
      <c r="L412" s="629">
        <f>_xlfn.XLOOKUP($B412,'10'!$B:$B,'10'!L:L,)</f>
        <v>-1146.2030150495386</v>
      </c>
      <c r="M412" s="40" t="str">
        <f>_xlfn.XLOOKUP($B412,'10'!$B:$B,'10'!M:M,)</f>
        <v>Financial</v>
      </c>
      <c r="N412" s="326">
        <f>_xlfn.XLOOKUP($B412,'10'!$B:$B,'10'!N:N,)</f>
        <v>2.1428571428571401</v>
      </c>
      <c r="O412" s="40" t="str">
        <f>_xlfn.XLOOKUP($B412,'10'!$B:$B,'10'!O:O,)</f>
        <v>Yes</v>
      </c>
      <c r="P412" s="40" t="str">
        <f>_xlfn.XLOOKUP($B412,'10'!$B:$B,'10'!P:P,)</f>
        <v>Reliable source and logical application</v>
      </c>
      <c r="Q412" s="40">
        <f>_xlfn.XLOOKUP($B412,'10'!$B:$B,'10'!Q:Q,)</f>
        <v>22</v>
      </c>
      <c r="R412" s="40" t="str">
        <f>_xlfn.XLOOKUP($B412,'10'!$B:$B,'10'!R:R,)</f>
        <v>NIC (2018) Analysis of the costs of water resource management options to enhance drought resilience</v>
      </c>
      <c r="S412" s="40" t="str">
        <f>_xlfn.XLOOKUP($B412,'10'!$B:$B,'10'!S:S,)</f>
        <v>NCEM</v>
      </c>
      <c r="T412" s="40">
        <f>_xlfn.XLOOKUP($B412,'10'!$B:$B,'10'!T:T,)</f>
        <v>2018</v>
      </c>
      <c r="U412" s="40" t="str">
        <f>_xlfn.XLOOKUP($B412,'10'!$B:$B,'10'!U:U,)</f>
        <v>UK</v>
      </c>
      <c r="V412" s="40" t="str">
        <f>_xlfn.XLOOKUP($B412,'10'!$B:$B,'10'!V:V,)</f>
        <v>UK</v>
      </c>
      <c r="W412" s="40" t="str">
        <f>_xlfn.XLOOKUP($B412,'10'!$B:$B,'10'!W:W,)</f>
        <v>/</v>
      </c>
    </row>
    <row r="413" spans="2:23">
      <c r="B413" s="39" t="s">
        <v>1295</v>
      </c>
      <c r="C413" s="40" t="str">
        <f>_xlfn.XLOOKUP($B413,'10'!$B:$B,'10'!C:C,)</f>
        <v>Water use</v>
      </c>
      <c r="D413" s="40" t="str">
        <f>_xlfn.XLOOKUP($B413,'10'!$B:$B,'10'!D:D,)</f>
        <v>Groundwater recharge - Seriously water stressed areas</v>
      </c>
      <c r="E413" s="40" t="str">
        <f>_xlfn.XLOOKUP($B413,'10'!$B:$B,'10'!E:E,)</f>
        <v>Water resources</v>
      </c>
      <c r="F413" s="40">
        <f>_xlfn.XLOOKUP($B413,'10'!$B:$B,'10'!F:F,)</f>
        <v>2019</v>
      </c>
      <c r="G413" s="40">
        <f>_xlfn.XLOOKUP($B413,'10'!$B:$B,'10'!G:G,)</f>
        <v>2018</v>
      </c>
      <c r="H413" s="40">
        <f>_xlfn.XLOOKUP($B413,'10'!$B:$B,'10'!H:H,)</f>
        <v>2023</v>
      </c>
      <c r="I413" s="40">
        <f>_xlfn.XLOOKUP($B413,'10'!$B:$B,'10'!I:I,)</f>
        <v>82.835999999999999</v>
      </c>
      <c r="J413" s="40">
        <f>_xlfn.XLOOKUP($B413,'10'!$B:$B,'10'!J:J,)</f>
        <v>100</v>
      </c>
      <c r="K413" s="629">
        <f>_xlfn.XLOOKUP($B413,'10'!$B:$B,'10'!K:K,)</f>
        <v>-253144.20147345131</v>
      </c>
      <c r="L413" s="629">
        <f>_xlfn.XLOOKUP($B413,'10'!$B:$B,'10'!L:L,)</f>
        <v>-305596.84373153135</v>
      </c>
      <c r="M413" s="40" t="str">
        <f>_xlfn.XLOOKUP($B413,'10'!$B:$B,'10'!M:M,)</f>
        <v>Financial</v>
      </c>
      <c r="N413" s="326">
        <f>_xlfn.XLOOKUP($B413,'10'!$B:$B,'10'!N:N,)</f>
        <v>2.1428571428571401</v>
      </c>
      <c r="O413" s="40" t="str">
        <f>_xlfn.XLOOKUP($B413,'10'!$B:$B,'10'!O:O,)</f>
        <v>Yes</v>
      </c>
      <c r="P413" s="40" t="str">
        <f>_xlfn.XLOOKUP($B413,'10'!$B:$B,'10'!P:P,)</f>
        <v>Reliable source and logical application</v>
      </c>
      <c r="Q413" s="40">
        <f>_xlfn.XLOOKUP($B413,'10'!$B:$B,'10'!Q:Q,)</f>
        <v>3</v>
      </c>
      <c r="R413" s="40" t="str">
        <f>_xlfn.XLOOKUP($B413,'10'!$B:$B,'10'!R:R,)</f>
        <v>CIRIA (2019) B£ST W047b B£ST Guidance - Guidance to assess the benefits of blue and green infrastructure using B£ST Release Version 5</v>
      </c>
      <c r="S413" s="40" t="str">
        <f>_xlfn.XLOOKUP($B413,'10'!$B:$B,'10'!S:S,)</f>
        <v>B£ST</v>
      </c>
      <c r="T413" s="40">
        <f>_xlfn.XLOOKUP($B413,'10'!$B:$B,'10'!T:T,)</f>
        <v>2019</v>
      </c>
      <c r="U413" s="40" t="str">
        <f>_xlfn.XLOOKUP($B413,'10'!$B:$B,'10'!U:U,)</f>
        <v>UK</v>
      </c>
      <c r="V413" s="40" t="str">
        <f>_xlfn.XLOOKUP($B413,'10'!$B:$B,'10'!V:V,)</f>
        <v>UK Wide</v>
      </c>
      <c r="W413" s="40" t="str">
        <f>_xlfn.XLOOKUP($B413,'10'!$B:$B,'10'!W:W,)</f>
        <v>/</v>
      </c>
    </row>
    <row r="414" spans="2:23">
      <c r="B414" s="39" t="s">
        <v>1296</v>
      </c>
      <c r="C414" s="40" t="str">
        <f>_xlfn.XLOOKUP($B414,'10'!$B:$B,'10'!C:C,)</f>
        <v>Water use</v>
      </c>
      <c r="D414" s="40" t="str">
        <f>_xlfn.XLOOKUP($B414,'10'!$B:$B,'10'!D:D,)</f>
        <v>Groundwater recharge - Areas not water stressed</v>
      </c>
      <c r="E414" s="40" t="str">
        <f>_xlfn.XLOOKUP($B414,'10'!$B:$B,'10'!E:E,)</f>
        <v>Water resources</v>
      </c>
      <c r="F414" s="40">
        <f>_xlfn.XLOOKUP($B414,'10'!$B:$B,'10'!F:F,)</f>
        <v>2019</v>
      </c>
      <c r="G414" s="40">
        <f>_xlfn.XLOOKUP($B414,'10'!$B:$B,'10'!G:G,)</f>
        <v>2018</v>
      </c>
      <c r="H414" s="40">
        <f>_xlfn.XLOOKUP($B414,'10'!$B:$B,'10'!H:H,)</f>
        <v>2023</v>
      </c>
      <c r="I414" s="40">
        <f>_xlfn.XLOOKUP($B414,'10'!$B:$B,'10'!I:I,)</f>
        <v>82.835999999999999</v>
      </c>
      <c r="J414" s="40">
        <f>_xlfn.XLOOKUP($B414,'10'!$B:$B,'10'!J:J,)</f>
        <v>100</v>
      </c>
      <c r="K414" s="629">
        <f>_xlfn.XLOOKUP($B414,'10'!$B:$B,'10'!K:K,)</f>
        <v>-100420.84025393079</v>
      </c>
      <c r="L414" s="629">
        <f>_xlfn.XLOOKUP($B414,'10'!$B:$B,'10'!L:L,)</f>
        <v>-121228.49999267321</v>
      </c>
      <c r="M414" s="40" t="str">
        <f>_xlfn.XLOOKUP($B414,'10'!$B:$B,'10'!M:M,)</f>
        <v>Financial</v>
      </c>
      <c r="N414" s="326">
        <f>_xlfn.XLOOKUP($B414,'10'!$B:$B,'10'!N:N,)</f>
        <v>2.1428571428571401</v>
      </c>
      <c r="O414" s="40" t="str">
        <f>_xlfn.XLOOKUP($B414,'10'!$B:$B,'10'!O:O,)</f>
        <v>Yes</v>
      </c>
      <c r="P414" s="40" t="str">
        <f>_xlfn.XLOOKUP($B414,'10'!$B:$B,'10'!P:P,)</f>
        <v>Reliable source and logical application</v>
      </c>
      <c r="Q414" s="40">
        <f>_xlfn.XLOOKUP($B414,'10'!$B:$B,'10'!Q:Q,)</f>
        <v>3</v>
      </c>
      <c r="R414" s="40" t="str">
        <f>_xlfn.XLOOKUP($B414,'10'!$B:$B,'10'!R:R,)</f>
        <v>CIRIA (2019) B£ST W047b B£ST Guidance - Guidance to assess the benefits of blue and green infrastructure using B£ST Release Version 5</v>
      </c>
      <c r="S414" s="40" t="str">
        <f>_xlfn.XLOOKUP($B414,'10'!$B:$B,'10'!S:S,)</f>
        <v>B£ST</v>
      </c>
      <c r="T414" s="40">
        <f>_xlfn.XLOOKUP($B414,'10'!$B:$B,'10'!T:T,)</f>
        <v>2019</v>
      </c>
      <c r="U414" s="40" t="str">
        <f>_xlfn.XLOOKUP($B414,'10'!$B:$B,'10'!U:U,)</f>
        <v>UK</v>
      </c>
      <c r="V414" s="40" t="str">
        <f>_xlfn.XLOOKUP($B414,'10'!$B:$B,'10'!V:V,)</f>
        <v>UK Wide</v>
      </c>
      <c r="W414" s="40" t="str">
        <f>_xlfn.XLOOKUP($B414,'10'!$B:$B,'10'!W:W,)</f>
        <v>/</v>
      </c>
    </row>
    <row r="415" spans="2:23">
      <c r="B415" s="39" t="s">
        <v>1330</v>
      </c>
      <c r="C415" s="40" t="str">
        <f>_xlfn.XLOOKUP($B415,'10'!$B:$B,'10'!C:C,)</f>
        <v>Water use</v>
      </c>
      <c r="D415" s="40" t="str">
        <f>_xlfn.XLOOKUP($B415,'10'!$B:$B,'10'!D:D,)</f>
        <v>Reduction in per capita consumption</v>
      </c>
      <c r="E415" s="40" t="str">
        <f>_xlfn.XLOOKUP($B415,'10'!$B:$B,'10'!E:E,)</f>
        <v xml:space="preserve">GHG </v>
      </c>
      <c r="F415" s="40">
        <f>_xlfn.XLOOKUP($B415,'10'!$B:$B,'10'!F:F,)</f>
        <v>2024</v>
      </c>
      <c r="G415" s="40">
        <f>_xlfn.XLOOKUP($B415,'10'!$B:$B,'10'!G:G,)</f>
        <v>2020</v>
      </c>
      <c r="H415" s="40">
        <f>_xlfn.XLOOKUP($B415,'10'!$B:$B,'10'!H:H,)</f>
        <v>2023</v>
      </c>
      <c r="I415" s="40">
        <f>_xlfn.XLOOKUP($B415,'10'!$B:$B,'10'!I:I,)</f>
        <v>89.073499999999996</v>
      </c>
      <c r="J415" s="40">
        <f>_xlfn.XLOOKUP($B415,'10'!$B:$B,'10'!J:J,)</f>
        <v>100</v>
      </c>
      <c r="K415" s="629">
        <f ca="1">_xlfn.XLOOKUP($B415,'10'!$B:$B,'10'!K:K,)</f>
        <v>-91098.281588800004</v>
      </c>
      <c r="L415" s="629">
        <f ca="1">_xlfn.XLOOKUP($B415,'10'!$B:$B,'10'!L:L,)</f>
        <v>-102273.15822191785</v>
      </c>
      <c r="M415" s="40" t="str">
        <f>_xlfn.XLOOKUP($B415,'10'!$B:$B,'10'!M:M,)</f>
        <v>Carbon price</v>
      </c>
      <c r="N415" s="326">
        <f>_xlfn.XLOOKUP($B415,'10'!$B:$B,'10'!N:N,)</f>
        <v>2.1428571428571401</v>
      </c>
      <c r="O415" s="40" t="str">
        <f>_xlfn.XLOOKUP($B415,'10'!$B:$B,'10'!O:O,)</f>
        <v>Yes</v>
      </c>
      <c r="P415" s="40" t="str">
        <f>_xlfn.XLOOKUP($B415,'10'!$B:$B,'10'!P:P,)</f>
        <v>UK government carbon prices and sector-specific carbon emissions</v>
      </c>
      <c r="Q415" s="40">
        <f>_xlfn.XLOOKUP($B415,'10'!$B:$B,'10'!Q:Q,)</f>
        <v>74</v>
      </c>
      <c r="R415" s="40" t="str">
        <f>_xlfn.XLOOKUP($B415,'10'!$B:$B,'10'!R:R,)</f>
        <v xml:space="preserve">Discover Water (2024) Energy and emissions: Greenhouse gas emissions from English and Welsh water companies. </v>
      </c>
      <c r="S415" s="40" t="str">
        <f>_xlfn.XLOOKUP($B415,'10'!$B:$B,'10'!S:S,)</f>
        <v>No</v>
      </c>
      <c r="T415" s="40">
        <f>_xlfn.XLOOKUP($B415,'10'!$B:$B,'10'!T:T,)</f>
        <v>2024</v>
      </c>
      <c r="U415" s="40" t="str">
        <f>_xlfn.XLOOKUP($B415,'10'!$B:$B,'10'!U:U,)</f>
        <v>UK</v>
      </c>
      <c r="V415" s="40" t="str">
        <f>_xlfn.XLOOKUP($B415,'10'!$B:$B,'10'!V:V,)</f>
        <v>UK</v>
      </c>
      <c r="W415" s="40" t="str">
        <f>_xlfn.XLOOKUP($B415,'10'!$B:$B,'10'!W:W,)</f>
        <v>/</v>
      </c>
    </row>
    <row r="416" spans="2:23">
      <c r="B416" s="39" t="s">
        <v>1331</v>
      </c>
      <c r="C416" s="40" t="str">
        <f>_xlfn.XLOOKUP($B416,'10'!$B:$B,'10'!C:C,)</f>
        <v>Water use</v>
      </c>
      <c r="D416" s="40" t="str">
        <f>_xlfn.XLOOKUP($B416,'10'!$B:$B,'10'!D:D,)</f>
        <v>Treated effluent recycled as a potable substitute</v>
      </c>
      <c r="E416" s="40" t="str">
        <f>_xlfn.XLOOKUP($B416,'10'!$B:$B,'10'!E:E,)</f>
        <v xml:space="preserve">GHG </v>
      </c>
      <c r="F416" s="40">
        <f>_xlfn.XLOOKUP($B416,'10'!$B:$B,'10'!F:F,)</f>
        <v>2024</v>
      </c>
      <c r="G416" s="40">
        <f>_xlfn.XLOOKUP($B416,'10'!$B:$B,'10'!G:G,)</f>
        <v>2020</v>
      </c>
      <c r="H416" s="40">
        <f>_xlfn.XLOOKUP($B416,'10'!$B:$B,'10'!H:H,)</f>
        <v>2023</v>
      </c>
      <c r="I416" s="40">
        <f>_xlfn.XLOOKUP($B416,'10'!$B:$B,'10'!I:I,)</f>
        <v>89.073499999999996</v>
      </c>
      <c r="J416" s="40">
        <f>_xlfn.XLOOKUP($B416,'10'!$B:$B,'10'!J:J,)</f>
        <v>100</v>
      </c>
      <c r="K416" s="629">
        <f ca="1">_xlfn.XLOOKUP($B416,'10'!$B:$B,'10'!K:K,)</f>
        <v>-93.248000000000005</v>
      </c>
      <c r="L416" s="629">
        <f ca="1">_xlfn.XLOOKUP($B416,'10'!$B:$B,'10'!L:L,)</f>
        <v>-104.68657906111245</v>
      </c>
      <c r="M416" s="40" t="str">
        <f>_xlfn.XLOOKUP($B416,'10'!$B:$B,'10'!M:M,)</f>
        <v>Carbon price</v>
      </c>
      <c r="N416" s="326">
        <f>_xlfn.XLOOKUP($B416,'10'!$B:$B,'10'!N:N,)</f>
        <v>2.1428571428571401</v>
      </c>
      <c r="O416" s="40" t="str">
        <f>_xlfn.XLOOKUP($B416,'10'!$B:$B,'10'!O:O,)</f>
        <v>Yes</v>
      </c>
      <c r="P416" s="40" t="str">
        <f>_xlfn.XLOOKUP($B416,'10'!$B:$B,'10'!P:P,)</f>
        <v>UK government carbon prices and sector-specific carbon emissions</v>
      </c>
      <c r="Q416" s="40">
        <f>_xlfn.XLOOKUP($B416,'10'!$B:$B,'10'!Q:Q,)</f>
        <v>74</v>
      </c>
      <c r="R416" s="40" t="str">
        <f>_xlfn.XLOOKUP($B416,'10'!$B:$B,'10'!R:R,)</f>
        <v xml:space="preserve">Discover Water (2024) Energy and emissions: Greenhouse gas emissions from English and Welsh water companies. </v>
      </c>
      <c r="S416" s="40" t="str">
        <f>_xlfn.XLOOKUP($B416,'10'!$B:$B,'10'!S:S,)</f>
        <v>No</v>
      </c>
      <c r="T416" s="40">
        <f>_xlfn.XLOOKUP($B416,'10'!$B:$B,'10'!T:T,)</f>
        <v>2024</v>
      </c>
      <c r="U416" s="40" t="str">
        <f>_xlfn.XLOOKUP($B416,'10'!$B:$B,'10'!U:U,)</f>
        <v>UK</v>
      </c>
      <c r="V416" s="40" t="str">
        <f>_xlfn.XLOOKUP($B416,'10'!$B:$B,'10'!V:V,)</f>
        <v>UK</v>
      </c>
      <c r="W416" s="40" t="str">
        <f>_xlfn.XLOOKUP($B416,'10'!$B:$B,'10'!W:W,)</f>
        <v>/</v>
      </c>
    </row>
    <row r="417" spans="2:23">
      <c r="B417" s="39" t="s">
        <v>1332</v>
      </c>
      <c r="C417" s="40" t="str">
        <f>_xlfn.XLOOKUP($B417,'10'!$B:$B,'10'!C:C,)</f>
        <v>Water use</v>
      </c>
      <c r="D417" s="40" t="str">
        <f>_xlfn.XLOOKUP($B417,'10'!$B:$B,'10'!D:D,)</f>
        <v>Grey water recycled as a potable substitute</v>
      </c>
      <c r="E417" s="40" t="str">
        <f>_xlfn.XLOOKUP($B417,'10'!$B:$B,'10'!E:E,)</f>
        <v xml:space="preserve">GHG </v>
      </c>
      <c r="F417" s="40">
        <f>_xlfn.XLOOKUP($B417,'10'!$B:$B,'10'!F:F,)</f>
        <v>2024</v>
      </c>
      <c r="G417" s="40">
        <f>_xlfn.XLOOKUP($B417,'10'!$B:$B,'10'!G:G,)</f>
        <v>2020</v>
      </c>
      <c r="H417" s="40">
        <f>_xlfn.XLOOKUP($B417,'10'!$B:$B,'10'!H:H,)</f>
        <v>2023</v>
      </c>
      <c r="I417" s="40">
        <f>_xlfn.XLOOKUP($B417,'10'!$B:$B,'10'!I:I,)</f>
        <v>89.073499999999996</v>
      </c>
      <c r="J417" s="40">
        <f>_xlfn.XLOOKUP($B417,'10'!$B:$B,'10'!J:J,)</f>
        <v>100</v>
      </c>
      <c r="K417" s="629">
        <f ca="1">_xlfn.XLOOKUP($B417,'10'!$B:$B,'10'!K:K,)</f>
        <v>-93.248000000000005</v>
      </c>
      <c r="L417" s="629">
        <f ca="1">_xlfn.XLOOKUP($B417,'10'!$B:$B,'10'!L:L,)</f>
        <v>-104.68657906111245</v>
      </c>
      <c r="M417" s="40" t="str">
        <f>_xlfn.XLOOKUP($B417,'10'!$B:$B,'10'!M:M,)</f>
        <v>Carbon price</v>
      </c>
      <c r="N417" s="326">
        <f>_xlfn.XLOOKUP($B417,'10'!$B:$B,'10'!N:N,)</f>
        <v>2.1428571428571401</v>
      </c>
      <c r="O417" s="40" t="str">
        <f>_xlfn.XLOOKUP($B417,'10'!$B:$B,'10'!O:O,)</f>
        <v>Yes</v>
      </c>
      <c r="P417" s="40" t="str">
        <f>_xlfn.XLOOKUP($B417,'10'!$B:$B,'10'!P:P,)</f>
        <v>UK government carbon prices and sector-specific carbon emissions</v>
      </c>
      <c r="Q417" s="40">
        <f>_xlfn.XLOOKUP($B417,'10'!$B:$B,'10'!Q:Q,)</f>
        <v>74</v>
      </c>
      <c r="R417" s="40" t="str">
        <f>_xlfn.XLOOKUP($B417,'10'!$B:$B,'10'!R:R,)</f>
        <v xml:space="preserve">Discover Water (2024) Energy and emissions: Greenhouse gas emissions from English and Welsh water companies. </v>
      </c>
      <c r="S417" s="40" t="str">
        <f>_xlfn.XLOOKUP($B417,'10'!$B:$B,'10'!S:S,)</f>
        <v>No</v>
      </c>
      <c r="T417" s="40">
        <f>_xlfn.XLOOKUP($B417,'10'!$B:$B,'10'!T:T,)</f>
        <v>2024</v>
      </c>
      <c r="U417" s="40" t="str">
        <f>_xlfn.XLOOKUP($B417,'10'!$B:$B,'10'!U:U,)</f>
        <v>UK</v>
      </c>
      <c r="V417" s="40" t="str">
        <f>_xlfn.XLOOKUP($B417,'10'!$B:$B,'10'!V:V,)</f>
        <v>UK</v>
      </c>
      <c r="W417" s="40" t="str">
        <f>_xlfn.XLOOKUP($B417,'10'!$B:$B,'10'!W:W,)</f>
        <v>/</v>
      </c>
    </row>
    <row r="418" spans="2:23">
      <c r="B418" s="39" t="s">
        <v>1218</v>
      </c>
      <c r="C418" s="40" t="str">
        <f>_xlfn.XLOOKUP($B418,'9'!$B:$B,'9'!C:C,)</f>
        <v>Water use restriction</v>
      </c>
      <c r="D418" s="40" t="str">
        <f>_xlfn.XLOOKUP($B418,'9'!$B:$B,'9'!D:D,)</f>
        <v>Drought trigger level 2: Implementation of hosepipe ban</v>
      </c>
      <c r="E418" s="40" t="str">
        <f>_xlfn.XLOOKUP($B418,'9'!$B:$B,'9'!E:E,)</f>
        <v>Quality of place</v>
      </c>
      <c r="F418" s="40">
        <f>_xlfn.XLOOKUP($B418,'9'!$B:$B,'9'!F:F,)</f>
        <v>2023</v>
      </c>
      <c r="G418" s="40">
        <f>_xlfn.XLOOKUP($B418,'9'!$B:$B,'9'!G:G,)</f>
        <v>2022</v>
      </c>
      <c r="H418" s="40">
        <f>_xlfn.XLOOKUP($B418,'9'!$B:$B,'9'!H:H,)</f>
        <v>2023</v>
      </c>
      <c r="I418" s="40">
        <f>_xlfn.XLOOKUP($B418,'9'!$B:$B,'9'!I:I,)</f>
        <v>93.351699999999994</v>
      </c>
      <c r="J418" s="40">
        <f>_xlfn.XLOOKUP($B418,'9'!$B:$B,'9'!J:J,)</f>
        <v>100</v>
      </c>
      <c r="K418" s="629">
        <f>_xlfn.XLOOKUP($B418,'9'!$B:$B,'9'!K:K,)</f>
        <v>40</v>
      </c>
      <c r="L418" s="629">
        <f>_xlfn.XLOOKUP($B418,'9'!$B:$B,'9'!L:L,)</f>
        <v>42.848710842973404</v>
      </c>
      <c r="M418" s="40" t="str">
        <f>_xlfn.XLOOKUP($B418,'9'!$B:$B,'9'!M:M,)</f>
        <v>Willingness to Accept</v>
      </c>
      <c r="N418" s="326">
        <f>_xlfn.XLOOKUP($B418,'9'!$B:$B,'9'!N:N,)</f>
        <v>2.5714285714285698</v>
      </c>
      <c r="O418" s="40" t="str">
        <f>_xlfn.XLOOKUP($B418,'9'!$B:$B,'9'!O:O,)</f>
        <v>Yes</v>
      </c>
      <c r="P418" s="40" t="str">
        <f>_xlfn.XLOOKUP($B418,'9'!$B:$B,'9'!P:P,)</f>
        <v>Ofwat collaborative research brings together WTA across all companies</v>
      </c>
      <c r="Q418" s="40">
        <f>_xlfn.XLOOKUP($B418,'9'!$B:$B,'9'!Q:Q,)</f>
        <v>16</v>
      </c>
      <c r="R418" s="40" t="str">
        <f>_xlfn.XLOOKUP($B418,'9'!$B:$B,'9'!R:R,)</f>
        <v>Ofwat (2023) PR24: Using collaborative customer research to set outcome delivery incentive rates</v>
      </c>
      <c r="S418" s="40" t="str">
        <f>_xlfn.XLOOKUP($B418,'9'!$B:$B,'9'!S:S,)</f>
        <v>No</v>
      </c>
      <c r="T418" s="40">
        <f>_xlfn.XLOOKUP($B418,'9'!$B:$B,'9'!T:T,)</f>
        <v>2023</v>
      </c>
      <c r="U418" s="40" t="str">
        <f>_xlfn.XLOOKUP($B418,'9'!$B:$B,'9'!U:U,)</f>
        <v>England and Wales</v>
      </c>
      <c r="V418" s="40" t="str">
        <f>_xlfn.XLOOKUP($B418,'9'!$B:$B,'9'!V:V,)</f>
        <v>England and Wales</v>
      </c>
      <c r="W418" s="40" t="str">
        <f>_xlfn.XLOOKUP($B418,'9'!$B:$B,'9'!W:W,)</f>
        <v>12,567 household interviews, 3,728 non-household interviews</v>
      </c>
    </row>
    <row r="419" spans="2:23">
      <c r="B419" s="39" t="s">
        <v>1220</v>
      </c>
      <c r="C419" s="40" t="str">
        <f>_xlfn.XLOOKUP($B419,'9'!$B:$B,'9'!C:C,)</f>
        <v>Water use restriction</v>
      </c>
      <c r="D419" s="40" t="str">
        <f>_xlfn.XLOOKUP($B419,'9'!$B:$B,'9'!D:D,)</f>
        <v>Drought trigger level 3: Implementation of drought permit / drought order</v>
      </c>
      <c r="E419" s="40" t="str">
        <f>_xlfn.XLOOKUP($B419,'9'!$B:$B,'9'!E:E,)</f>
        <v>Quality of place</v>
      </c>
      <c r="F419" s="40">
        <f>_xlfn.XLOOKUP($B419,'9'!$B:$B,'9'!F:F,)</f>
        <v>2023</v>
      </c>
      <c r="G419" s="40">
        <f>_xlfn.XLOOKUP($B419,'9'!$B:$B,'9'!G:G,)</f>
        <v>2022</v>
      </c>
      <c r="H419" s="40">
        <f>_xlfn.XLOOKUP($B419,'9'!$B:$B,'9'!H:H,)</f>
        <v>2023</v>
      </c>
      <c r="I419" s="40">
        <f>_xlfn.XLOOKUP($B419,'9'!$B:$B,'9'!I:I,)</f>
        <v>93.351699999999994</v>
      </c>
      <c r="J419" s="40">
        <f>_xlfn.XLOOKUP($B419,'9'!$B:$B,'9'!J:J,)</f>
        <v>100</v>
      </c>
      <c r="K419" s="629">
        <f>_xlfn.XLOOKUP($B419,'9'!$B:$B,'9'!K:K,)</f>
        <v>138</v>
      </c>
      <c r="L419" s="629">
        <f>_xlfn.XLOOKUP($B419,'9'!$B:$B,'9'!L:L,)</f>
        <v>147.82805240825826</v>
      </c>
      <c r="M419" s="40" t="str">
        <f>_xlfn.XLOOKUP($B419,'9'!$B:$B,'9'!M:M,)</f>
        <v>Willingness to Accept</v>
      </c>
      <c r="N419" s="326">
        <f>_xlfn.XLOOKUP($B419,'9'!$B:$B,'9'!N:N,)</f>
        <v>2.5714285714285698</v>
      </c>
      <c r="O419" s="40" t="str">
        <f>_xlfn.XLOOKUP($B419,'9'!$B:$B,'9'!O:O,)</f>
        <v>Yes</v>
      </c>
      <c r="P419" s="40" t="str">
        <f>_xlfn.XLOOKUP($B419,'9'!$B:$B,'9'!P:P,)</f>
        <v>Ofwat collaborative research brings together WTA across all companies</v>
      </c>
      <c r="Q419" s="40">
        <f>_xlfn.XLOOKUP($B419,'9'!$B:$B,'9'!Q:Q,)</f>
        <v>16</v>
      </c>
      <c r="R419" s="40" t="str">
        <f>_xlfn.XLOOKUP($B419,'9'!$B:$B,'9'!R:R,)</f>
        <v>Ofwat (2023) PR24: Using collaborative customer research to set outcome delivery incentive rates</v>
      </c>
      <c r="S419" s="40" t="str">
        <f>_xlfn.XLOOKUP($B419,'9'!$B:$B,'9'!S:S,)</f>
        <v>No</v>
      </c>
      <c r="T419" s="40">
        <f>_xlfn.XLOOKUP($B419,'9'!$B:$B,'9'!T:T,)</f>
        <v>2023</v>
      </c>
      <c r="U419" s="40" t="str">
        <f>_xlfn.XLOOKUP($B419,'9'!$B:$B,'9'!U:U,)</f>
        <v>England and Wales</v>
      </c>
      <c r="V419" s="40" t="str">
        <f>_xlfn.XLOOKUP($B419,'9'!$B:$B,'9'!V:V,)</f>
        <v>England and Wales</v>
      </c>
      <c r="W419" s="40" t="str">
        <f>_xlfn.XLOOKUP($B419,'9'!$B:$B,'9'!W:W,)</f>
        <v>12,567 household interviews, 3,728 non-household interviews</v>
      </c>
    </row>
    <row r="420" spans="2:23">
      <c r="B420" s="39" t="s">
        <v>1221</v>
      </c>
      <c r="C420" s="40" t="str">
        <f>_xlfn.XLOOKUP($B420,'9'!$B:$B,'9'!C:C,)</f>
        <v>Water use restriction</v>
      </c>
      <c r="D420" s="40" t="str">
        <f>_xlfn.XLOOKUP($B420,'9'!$B:$B,'9'!D:D,)</f>
        <v>Drought trigger level 4: Emergency conditions</v>
      </c>
      <c r="E420" s="40" t="str">
        <f>_xlfn.XLOOKUP($B420,'9'!$B:$B,'9'!E:E,)</f>
        <v>Quality of place</v>
      </c>
      <c r="F420" s="40">
        <f>_xlfn.XLOOKUP($B420,'9'!$B:$B,'9'!F:F,)</f>
        <v>2023</v>
      </c>
      <c r="G420" s="40">
        <f>_xlfn.XLOOKUP($B420,'9'!$B:$B,'9'!G:G,)</f>
        <v>2022</v>
      </c>
      <c r="H420" s="40">
        <f>_xlfn.XLOOKUP($B420,'9'!$B:$B,'9'!H:H,)</f>
        <v>2023</v>
      </c>
      <c r="I420" s="40">
        <f>_xlfn.XLOOKUP($B420,'9'!$B:$B,'9'!I:I,)</f>
        <v>93.351699999999994</v>
      </c>
      <c r="J420" s="40">
        <f>_xlfn.XLOOKUP($B420,'9'!$B:$B,'9'!J:J,)</f>
        <v>100</v>
      </c>
      <c r="K420" s="629">
        <f>_xlfn.XLOOKUP($B420,'9'!$B:$B,'9'!K:K,)</f>
        <v>236</v>
      </c>
      <c r="L420" s="629">
        <f>_xlfn.XLOOKUP($B420,'9'!$B:$B,'9'!L:L,)</f>
        <v>252.8073939735431</v>
      </c>
      <c r="M420" s="40" t="str">
        <f>_xlfn.XLOOKUP($B420,'9'!$B:$B,'9'!M:M,)</f>
        <v>Willingness to Accept</v>
      </c>
      <c r="N420" s="326">
        <f>_xlfn.XLOOKUP($B420,'9'!$B:$B,'9'!N:N,)</f>
        <v>2.5714285714285698</v>
      </c>
      <c r="O420" s="40" t="str">
        <f>_xlfn.XLOOKUP($B420,'9'!$B:$B,'9'!O:O,)</f>
        <v>Yes</v>
      </c>
      <c r="P420" s="40" t="str">
        <f>_xlfn.XLOOKUP($B420,'9'!$B:$B,'9'!P:P,)</f>
        <v>Ofwat collaborative research brings together WTA across all companies</v>
      </c>
      <c r="Q420" s="40">
        <f>_xlfn.XLOOKUP($B420,'9'!$B:$B,'9'!Q:Q,)</f>
        <v>16</v>
      </c>
      <c r="R420" s="40" t="str">
        <f>_xlfn.XLOOKUP($B420,'9'!$B:$B,'9'!R:R,)</f>
        <v>Ofwat (2023) PR24: Using collaborative customer research to set outcome delivery incentive rates</v>
      </c>
      <c r="S420" s="40" t="str">
        <f>_xlfn.XLOOKUP($B420,'9'!$B:$B,'9'!S:S,)</f>
        <v>No</v>
      </c>
      <c r="T420" s="40">
        <f>_xlfn.XLOOKUP($B420,'9'!$B:$B,'9'!T:T,)</f>
        <v>2023</v>
      </c>
      <c r="U420" s="40" t="str">
        <f>_xlfn.XLOOKUP($B420,'9'!$B:$B,'9'!U:U,)</f>
        <v>England and Wales</v>
      </c>
      <c r="V420" s="40" t="str">
        <f>_xlfn.XLOOKUP($B420,'9'!$B:$B,'9'!V:V,)</f>
        <v>England and Wales</v>
      </c>
      <c r="W420" s="40" t="str">
        <f>_xlfn.XLOOKUP($B420,'9'!$B:$B,'9'!W:W,)</f>
        <v>12,567 household interviews, 3,728 non-household interviews</v>
      </c>
    </row>
    <row r="421" spans="2:23">
      <c r="B421" s="39" t="s">
        <v>1222</v>
      </c>
      <c r="C421" s="40" t="str">
        <f>_xlfn.XLOOKUP($B421,'9'!$B:$B,'9'!C:C,)</f>
        <v>Water use restriction</v>
      </c>
      <c r="D421" s="40" t="str">
        <f>_xlfn.XLOOKUP($B421,'9'!$B:$B,'9'!D:D,)</f>
        <v>Drought trigger level 2: Implementation of hosepipe ban</v>
      </c>
      <c r="E421" s="40" t="str">
        <f>_xlfn.XLOOKUP($B421,'9'!$B:$B,'9'!E:E,)</f>
        <v>Local economy</v>
      </c>
      <c r="F421" s="40">
        <f>_xlfn.XLOOKUP($B421,'9'!$B:$B,'9'!F:F,)</f>
        <v>2023</v>
      </c>
      <c r="G421" s="40">
        <f>_xlfn.XLOOKUP($B421,'9'!$B:$B,'9'!G:G,)</f>
        <v>2022</v>
      </c>
      <c r="H421" s="40">
        <f>_xlfn.XLOOKUP($B421,'9'!$B:$B,'9'!H:H,)</f>
        <v>2023</v>
      </c>
      <c r="I421" s="40">
        <f>_xlfn.XLOOKUP($B421,'9'!$B:$B,'9'!I:I,)</f>
        <v>93.351699999999994</v>
      </c>
      <c r="J421" s="40">
        <f>_xlfn.XLOOKUP($B421,'9'!$B:$B,'9'!J:J,)</f>
        <v>100</v>
      </c>
      <c r="K421" s="629">
        <f>_xlfn.XLOOKUP($B421,'9'!$B:$B,'9'!K:K,)</f>
        <v>1341</v>
      </c>
      <c r="L421" s="629">
        <f>_xlfn.XLOOKUP($B421,'9'!$B:$B,'9'!L:L,)</f>
        <v>1436.5030310106833</v>
      </c>
      <c r="M421" s="40" t="str">
        <f>_xlfn.XLOOKUP($B421,'9'!$B:$B,'9'!M:M,)</f>
        <v>Willingness to Accept</v>
      </c>
      <c r="N421" s="326">
        <f>_xlfn.XLOOKUP($B421,'9'!$B:$B,'9'!N:N,)</f>
        <v>2.5714285714285698</v>
      </c>
      <c r="O421" s="40" t="str">
        <f>_xlfn.XLOOKUP($B421,'9'!$B:$B,'9'!O:O,)</f>
        <v>Yes</v>
      </c>
      <c r="P421" s="40" t="str">
        <f>_xlfn.XLOOKUP($B421,'9'!$B:$B,'9'!P:P,)</f>
        <v>Ofwat collaborative research brings together WTA across all companies</v>
      </c>
      <c r="Q421" s="40">
        <f>_xlfn.XLOOKUP($B421,'9'!$B:$B,'9'!Q:Q,)</f>
        <v>16</v>
      </c>
      <c r="R421" s="40" t="str">
        <f>_xlfn.XLOOKUP($B421,'9'!$B:$B,'9'!R:R,)</f>
        <v>Ofwat (2023) PR24: Using collaborative customer research to set outcome delivery incentive rates</v>
      </c>
      <c r="S421" s="40" t="str">
        <f>_xlfn.XLOOKUP($B421,'9'!$B:$B,'9'!S:S,)</f>
        <v>No</v>
      </c>
      <c r="T421" s="40">
        <f>_xlfn.XLOOKUP($B421,'9'!$B:$B,'9'!T:T,)</f>
        <v>2023</v>
      </c>
      <c r="U421" s="40" t="str">
        <f>_xlfn.XLOOKUP($B421,'9'!$B:$B,'9'!U:U,)</f>
        <v>England and Wales</v>
      </c>
      <c r="V421" s="40" t="str">
        <f>_xlfn.XLOOKUP($B421,'9'!$B:$B,'9'!V:V,)</f>
        <v>England and Wales</v>
      </c>
      <c r="W421" s="40" t="str">
        <f>_xlfn.XLOOKUP($B421,'9'!$B:$B,'9'!W:W,)</f>
        <v>12,567 household interviews, 3,728 non-household interviews</v>
      </c>
    </row>
    <row r="422" spans="2:23">
      <c r="B422" s="39" t="s">
        <v>1223</v>
      </c>
      <c r="C422" s="40" t="str">
        <f>_xlfn.XLOOKUP($B422,'9'!$B:$B,'9'!C:C,)</f>
        <v>Water use restriction</v>
      </c>
      <c r="D422" s="40" t="str">
        <f>_xlfn.XLOOKUP($B422,'9'!$B:$B,'9'!D:D,)</f>
        <v>Drought trigger level 3: Implementation of drought permit / drought order</v>
      </c>
      <c r="E422" s="40" t="str">
        <f>_xlfn.XLOOKUP($B422,'9'!$B:$B,'9'!E:E,)</f>
        <v>Local economy</v>
      </c>
      <c r="F422" s="40">
        <f>_xlfn.XLOOKUP($B422,'9'!$B:$B,'9'!F:F,)</f>
        <v>2023</v>
      </c>
      <c r="G422" s="40">
        <f>_xlfn.XLOOKUP($B422,'9'!$B:$B,'9'!G:G,)</f>
        <v>2022</v>
      </c>
      <c r="H422" s="40">
        <f>_xlfn.XLOOKUP($B422,'9'!$B:$B,'9'!H:H,)</f>
        <v>2023</v>
      </c>
      <c r="I422" s="40">
        <f>_xlfn.XLOOKUP($B422,'9'!$B:$B,'9'!I:I,)</f>
        <v>93.351699999999994</v>
      </c>
      <c r="J422" s="40">
        <f>_xlfn.XLOOKUP($B422,'9'!$B:$B,'9'!J:J,)</f>
        <v>100</v>
      </c>
      <c r="K422" s="629">
        <f>_xlfn.XLOOKUP($B422,'9'!$B:$B,'9'!K:K,)</f>
        <v>10797.5</v>
      </c>
      <c r="L422" s="629">
        <f>_xlfn.XLOOKUP($B422,'9'!$B:$B,'9'!L:L,)</f>
        <v>11566.473883175133</v>
      </c>
      <c r="M422" s="40" t="str">
        <f>_xlfn.XLOOKUP($B422,'9'!$B:$B,'9'!M:M,)</f>
        <v>Willingness to Accept</v>
      </c>
      <c r="N422" s="326">
        <f>_xlfn.XLOOKUP($B422,'9'!$B:$B,'9'!N:N,)</f>
        <v>2.5714285714285698</v>
      </c>
      <c r="O422" s="40" t="str">
        <f>_xlfn.XLOOKUP($B422,'9'!$B:$B,'9'!O:O,)</f>
        <v>Yes</v>
      </c>
      <c r="P422" s="40" t="str">
        <f>_xlfn.XLOOKUP($B422,'9'!$B:$B,'9'!P:P,)</f>
        <v>Ofwat collaborative research brings together WTA across all companies</v>
      </c>
      <c r="Q422" s="40">
        <f>_xlfn.XLOOKUP($B422,'9'!$B:$B,'9'!Q:Q,)</f>
        <v>16</v>
      </c>
      <c r="R422" s="40" t="str">
        <f>_xlfn.XLOOKUP($B422,'9'!$B:$B,'9'!R:R,)</f>
        <v>Ofwat (2023) PR24: Using collaborative customer research to set outcome delivery incentive rates</v>
      </c>
      <c r="S422" s="40" t="str">
        <f>_xlfn.XLOOKUP($B422,'9'!$B:$B,'9'!S:S,)</f>
        <v>No</v>
      </c>
      <c r="T422" s="40">
        <f>_xlfn.XLOOKUP($B422,'9'!$B:$B,'9'!T:T,)</f>
        <v>2023</v>
      </c>
      <c r="U422" s="40" t="str">
        <f>_xlfn.XLOOKUP($B422,'9'!$B:$B,'9'!U:U,)</f>
        <v>England and Wales</v>
      </c>
      <c r="V422" s="40" t="str">
        <f>_xlfn.XLOOKUP($B422,'9'!$B:$B,'9'!V:V,)</f>
        <v>England and Wales</v>
      </c>
      <c r="W422" s="40" t="str">
        <f>_xlfn.XLOOKUP($B422,'9'!$B:$B,'9'!W:W,)</f>
        <v>12,567 household interviews, 3,728 non-household interviews</v>
      </c>
    </row>
    <row r="423" spans="2:23">
      <c r="B423" s="39" t="s">
        <v>1224</v>
      </c>
      <c r="C423" s="40" t="str">
        <f>_xlfn.XLOOKUP($B423,'9'!$B:$B,'9'!C:C,)</f>
        <v>Water use restriction</v>
      </c>
      <c r="D423" s="40" t="str">
        <f>_xlfn.XLOOKUP($B423,'9'!$B:$B,'9'!D:D,)</f>
        <v>Drought trigger level 4: Emergency conditions</v>
      </c>
      <c r="E423" s="40" t="str">
        <f>_xlfn.XLOOKUP($B423,'9'!$B:$B,'9'!E:E,)</f>
        <v>Local economy</v>
      </c>
      <c r="F423" s="40">
        <f>_xlfn.XLOOKUP($B423,'9'!$B:$B,'9'!F:F,)</f>
        <v>2023</v>
      </c>
      <c r="G423" s="40">
        <f>_xlfn.XLOOKUP($B423,'9'!$B:$B,'9'!G:G,)</f>
        <v>2022</v>
      </c>
      <c r="H423" s="40">
        <f>_xlfn.XLOOKUP($B423,'9'!$B:$B,'9'!H:H,)</f>
        <v>2023</v>
      </c>
      <c r="I423" s="40">
        <f>_xlfn.XLOOKUP($B423,'9'!$B:$B,'9'!I:I,)</f>
        <v>93.351699999999994</v>
      </c>
      <c r="J423" s="40">
        <f>_xlfn.XLOOKUP($B423,'9'!$B:$B,'9'!J:J,)</f>
        <v>100</v>
      </c>
      <c r="K423" s="629">
        <f>_xlfn.XLOOKUP($B423,'9'!$B:$B,'9'!K:K,)</f>
        <v>20254</v>
      </c>
      <c r="L423" s="629">
        <f>_xlfn.XLOOKUP($B423,'9'!$B:$B,'9'!L:L,)</f>
        <v>21696.444735339584</v>
      </c>
      <c r="M423" s="40" t="str">
        <f>_xlfn.XLOOKUP($B423,'9'!$B:$B,'9'!M:M,)</f>
        <v>Willingness to Accept</v>
      </c>
      <c r="N423" s="326">
        <f>_xlfn.XLOOKUP($B423,'9'!$B:$B,'9'!N:N,)</f>
        <v>2.5714285714285698</v>
      </c>
      <c r="O423" s="40" t="str">
        <f>_xlfn.XLOOKUP($B423,'9'!$B:$B,'9'!O:O,)</f>
        <v>Yes</v>
      </c>
      <c r="P423" s="40" t="str">
        <f>_xlfn.XLOOKUP($B423,'9'!$B:$B,'9'!P:P,)</f>
        <v>Ofwat collaborative research brings together WTA across all companies</v>
      </c>
      <c r="Q423" s="40">
        <f>_xlfn.XLOOKUP($B423,'9'!$B:$B,'9'!Q:Q,)</f>
        <v>16</v>
      </c>
      <c r="R423" s="40" t="str">
        <f>_xlfn.XLOOKUP($B423,'9'!$B:$B,'9'!R:R,)</f>
        <v>Ofwat (2023) PR24: Using collaborative customer research to set outcome delivery incentive rates</v>
      </c>
      <c r="S423" s="40" t="str">
        <f>_xlfn.XLOOKUP($B423,'9'!$B:$B,'9'!S:S,)</f>
        <v>No</v>
      </c>
      <c r="T423" s="40">
        <f>_xlfn.XLOOKUP($B423,'9'!$B:$B,'9'!T:T,)</f>
        <v>2023</v>
      </c>
      <c r="U423" s="40" t="str">
        <f>_xlfn.XLOOKUP($B423,'9'!$B:$B,'9'!U:U,)</f>
        <v>England and Wales</v>
      </c>
      <c r="V423" s="40" t="str">
        <f>_xlfn.XLOOKUP($B423,'9'!$B:$B,'9'!V:V,)</f>
        <v>England and Wales</v>
      </c>
      <c r="W423" s="40" t="str">
        <f>_xlfn.XLOOKUP($B423,'9'!$B:$B,'9'!W:W,)</f>
        <v>12,567 household interviews, 3,728 non-household interviews</v>
      </c>
    </row>
    <row r="424" spans="2:23">
      <c r="B424" s="40"/>
    </row>
    <row r="425" spans="2:23">
      <c r="B425" s="40"/>
    </row>
    <row r="426" spans="2:23">
      <c r="B426" s="40"/>
    </row>
    <row r="427" spans="2:23">
      <c r="B427" s="40"/>
    </row>
    <row r="428" spans="2:23">
      <c r="B428" s="40"/>
    </row>
    <row r="429" spans="2:23">
      <c r="B429" s="40"/>
    </row>
    <row r="430" spans="2:23">
      <c r="B430" s="40"/>
    </row>
    <row r="431" spans="2:23">
      <c r="B431" s="40"/>
    </row>
    <row r="432" spans="2:23">
      <c r="B432" s="40"/>
    </row>
    <row r="433" spans="2:2">
      <c r="B433" s="40"/>
    </row>
    <row r="434" spans="2:2">
      <c r="B434" s="40"/>
    </row>
    <row r="435" spans="2:2">
      <c r="B435" s="40"/>
    </row>
    <row r="436" spans="2:2">
      <c r="B436" s="40"/>
    </row>
    <row r="437" spans="2:2">
      <c r="B437" s="40"/>
    </row>
    <row r="438" spans="2:2">
      <c r="B438" s="40"/>
    </row>
    <row r="439" spans="2:2">
      <c r="B439" s="40"/>
    </row>
    <row r="440" spans="2:2">
      <c r="B440" s="40"/>
    </row>
    <row r="441" spans="2:2">
      <c r="B441" s="40"/>
    </row>
    <row r="442" spans="2:2">
      <c r="B442" s="40"/>
    </row>
    <row r="443" spans="2:2">
      <c r="B443" s="40"/>
    </row>
    <row r="444" spans="2:2">
      <c r="B444" s="40"/>
    </row>
    <row r="445" spans="2:2">
      <c r="B445" s="40"/>
    </row>
    <row r="446" spans="2:2">
      <c r="B446" s="40"/>
    </row>
    <row r="447" spans="2:2">
      <c r="B447" s="40"/>
    </row>
    <row r="448" spans="2:2">
      <c r="B448" s="40"/>
    </row>
    <row r="449" spans="2:2">
      <c r="B449" s="40"/>
    </row>
    <row r="450" spans="2:2">
      <c r="B450" s="40"/>
    </row>
    <row r="451" spans="2:2">
      <c r="B451" s="40"/>
    </row>
    <row r="452" spans="2:2">
      <c r="B452" s="40"/>
    </row>
    <row r="453" spans="2:2">
      <c r="B453" s="40"/>
    </row>
    <row r="454" spans="2:2">
      <c r="B454" s="40"/>
    </row>
    <row r="455" spans="2:2">
      <c r="B455" s="40"/>
    </row>
    <row r="456" spans="2:2">
      <c r="B456" s="40"/>
    </row>
    <row r="457" spans="2:2">
      <c r="B457" s="40"/>
    </row>
    <row r="458" spans="2:2">
      <c r="B458" s="40"/>
    </row>
    <row r="459" spans="2:2">
      <c r="B459" s="40"/>
    </row>
    <row r="460" spans="2:2">
      <c r="B460" s="40"/>
    </row>
    <row r="461" spans="2:2">
      <c r="B461" s="40"/>
    </row>
    <row r="462" spans="2:2">
      <c r="B462" s="40"/>
    </row>
    <row r="463" spans="2:2">
      <c r="B463" s="40"/>
    </row>
    <row r="464" spans="2:2">
      <c r="B464" s="40"/>
    </row>
    <row r="465" spans="2:2">
      <c r="B465" s="40"/>
    </row>
    <row r="466" spans="2:2">
      <c r="B466" s="40"/>
    </row>
    <row r="467" spans="2:2">
      <c r="B467" s="40"/>
    </row>
    <row r="468" spans="2:2">
      <c r="B468" s="40"/>
    </row>
    <row r="469" spans="2:2">
      <c r="B469" s="40"/>
    </row>
    <row r="470" spans="2:2">
      <c r="B470" s="40"/>
    </row>
    <row r="471" spans="2:2">
      <c r="B471" s="40"/>
    </row>
    <row r="472" spans="2:2">
      <c r="B472" s="40"/>
    </row>
    <row r="473" spans="2:2">
      <c r="B473" s="40"/>
    </row>
    <row r="474" spans="2:2">
      <c r="B474" s="40"/>
    </row>
    <row r="475" spans="2:2">
      <c r="B475" s="40"/>
    </row>
    <row r="476" spans="2:2">
      <c r="B476" s="40"/>
    </row>
    <row r="477" spans="2:2">
      <c r="B477" s="40"/>
    </row>
    <row r="478" spans="2:2">
      <c r="B478" s="40"/>
    </row>
    <row r="479" spans="2:2">
      <c r="B479" s="40"/>
    </row>
    <row r="480" spans="2:2">
      <c r="B480" s="40"/>
    </row>
    <row r="481" spans="2:2">
      <c r="B481" s="40"/>
    </row>
    <row r="482" spans="2:2">
      <c r="B482" s="40"/>
    </row>
    <row r="483" spans="2:2">
      <c r="B483" s="40"/>
    </row>
    <row r="484" spans="2:2">
      <c r="B484" s="40"/>
    </row>
    <row r="485" spans="2:2">
      <c r="B485" s="40"/>
    </row>
    <row r="486" spans="2:2">
      <c r="B486" s="40"/>
    </row>
    <row r="487" spans="2:2">
      <c r="B487" s="40"/>
    </row>
    <row r="488" spans="2:2">
      <c r="B488" s="40"/>
    </row>
    <row r="489" spans="2:2">
      <c r="B489" s="40"/>
    </row>
    <row r="490" spans="2:2">
      <c r="B490" s="40"/>
    </row>
    <row r="491" spans="2:2">
      <c r="B491" s="40"/>
    </row>
    <row r="492" spans="2:2">
      <c r="B492" s="40"/>
    </row>
    <row r="493" spans="2:2">
      <c r="B493" s="40"/>
    </row>
    <row r="494" spans="2:2">
      <c r="B494" s="40"/>
    </row>
    <row r="495" spans="2:2">
      <c r="B495" s="40"/>
    </row>
    <row r="496" spans="2:2">
      <c r="B496" s="40"/>
    </row>
    <row r="497" spans="2:2">
      <c r="B497" s="40"/>
    </row>
    <row r="498" spans="2:2">
      <c r="B498" s="40"/>
    </row>
    <row r="499" spans="2:2">
      <c r="B499" s="40"/>
    </row>
    <row r="500" spans="2:2">
      <c r="B500" s="40"/>
    </row>
    <row r="501" spans="2:2">
      <c r="B501" s="40"/>
    </row>
    <row r="502" spans="2:2">
      <c r="B502" s="40"/>
    </row>
    <row r="503" spans="2:2">
      <c r="B503" s="40"/>
    </row>
    <row r="504" spans="2:2">
      <c r="B504" s="40"/>
    </row>
    <row r="505" spans="2:2">
      <c r="B505" s="40"/>
    </row>
    <row r="506" spans="2:2">
      <c r="B506" s="40"/>
    </row>
    <row r="507" spans="2:2">
      <c r="B507" s="40"/>
    </row>
    <row r="508" spans="2:2">
      <c r="B508" s="40"/>
    </row>
    <row r="509" spans="2:2">
      <c r="B509" s="40"/>
    </row>
    <row r="510" spans="2:2">
      <c r="B510" s="40"/>
    </row>
    <row r="511" spans="2:2">
      <c r="B511" s="40"/>
    </row>
    <row r="512" spans="2:2">
      <c r="B512" s="40"/>
    </row>
    <row r="513" spans="2:2">
      <c r="B513" s="40"/>
    </row>
    <row r="514" spans="2:2">
      <c r="B514" s="40"/>
    </row>
    <row r="515" spans="2:2">
      <c r="B515" s="40"/>
    </row>
    <row r="516" spans="2:2">
      <c r="B516" s="40"/>
    </row>
    <row r="517" spans="2:2">
      <c r="B517" s="40"/>
    </row>
    <row r="518" spans="2:2">
      <c r="B518" s="40"/>
    </row>
    <row r="519" spans="2:2">
      <c r="B519" s="40"/>
    </row>
    <row r="520" spans="2:2">
      <c r="B520" s="40"/>
    </row>
    <row r="521" spans="2:2">
      <c r="B521" s="40"/>
    </row>
    <row r="522" spans="2:2">
      <c r="B522" s="40"/>
    </row>
    <row r="523" spans="2:2">
      <c r="B523" s="40"/>
    </row>
    <row r="524" spans="2:2">
      <c r="B524" s="40"/>
    </row>
    <row r="525" spans="2:2">
      <c r="B525" s="40"/>
    </row>
    <row r="526" spans="2:2">
      <c r="B526" s="40"/>
    </row>
    <row r="527" spans="2:2">
      <c r="B527" s="40"/>
    </row>
  </sheetData>
  <sheetProtection algorithmName="SHA-512" hashValue="UuHrbUyE4zxkB/gyvHSwLH0DN5R1Uc7uKRyXxkNhorXu7BrcTT9CDBst88kvhjggjEaewqBjy0lX4uwiXKvooQ==" saltValue="VvpAVZP9OgpSPhTJlubqCQ==" spinCount="100000" sheet="1" objects="1" scenarios="1"/>
  <phoneticPr fontId="16" type="noConversion"/>
  <conditionalFormatting sqref="N3:N423">
    <cfRule type="cellIs" dxfId="6" priority="1" operator="lessThanOrEqual">
      <formula>2.14</formula>
    </cfRule>
    <cfRule type="cellIs" dxfId="5" priority="2" operator="lessThanOrEqual">
      <formula>2.57</formula>
    </cfRule>
    <cfRule type="cellIs" dxfId="4" priority="3" operator="lessThanOrEqual">
      <formula>3</formula>
    </cfRule>
  </conditionalFormatting>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95217-DADF-48B8-A7F8-2F44B16A86CE}">
  <sheetPr codeName="Sheet54">
    <tabColor theme="7"/>
  </sheetPr>
  <dimension ref="A1"/>
  <sheetViews>
    <sheetView workbookViewId="0"/>
  </sheetViews>
  <sheetFormatPr defaultColWidth="9" defaultRowHeight="14.45"/>
  <cols>
    <col min="1" max="16384" width="9" style="8"/>
  </cols>
  <sheetData/>
  <sheetProtection algorithmName="SHA-512" hashValue="yQfY6+McbH9N0xlxOafbsLLfrwoJEo8KRiQnFCHQ/ztvy+7wFGoI8f1ph/EcBDG49DujbsNhN2BvIgwmQ9cJgw==" saltValue="si6S803mbK4yOrI4CR7KlA=="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5D888-BA91-4D61-84F9-4F5909582DC5}">
  <sheetPr codeName="Sheet55">
    <tabColor theme="7"/>
  </sheetPr>
  <dimension ref="A2:Y110"/>
  <sheetViews>
    <sheetView workbookViewId="0"/>
  </sheetViews>
  <sheetFormatPr defaultColWidth="9" defaultRowHeight="14.45"/>
  <cols>
    <col min="1" max="1" width="1.375" style="7" customWidth="1"/>
    <col min="2" max="16384" width="9" style="7"/>
  </cols>
  <sheetData>
    <row r="2" spans="1:14" ht="14.25" customHeight="1">
      <c r="B2" s="1307" t="s">
        <v>169</v>
      </c>
      <c r="C2" s="1358" t="s">
        <v>4157</v>
      </c>
      <c r="D2" s="1358"/>
      <c r="E2" s="1358"/>
      <c r="F2" s="1358"/>
      <c r="G2" s="1358"/>
      <c r="H2" s="1358"/>
      <c r="I2" s="1358"/>
      <c r="J2" s="1358"/>
      <c r="K2" s="1358"/>
      <c r="L2" s="1358"/>
      <c r="M2" s="1358"/>
      <c r="N2" s="1358"/>
    </row>
    <row r="3" spans="1:14" ht="14.25" customHeight="1">
      <c r="B3" s="1307"/>
      <c r="C3" s="1358"/>
      <c r="D3" s="1358"/>
      <c r="E3" s="1358"/>
      <c r="F3" s="1358"/>
      <c r="G3" s="1358"/>
      <c r="H3" s="1358"/>
      <c r="I3" s="1358"/>
      <c r="J3" s="1358"/>
      <c r="K3" s="1358"/>
      <c r="L3" s="1358"/>
      <c r="M3" s="1358"/>
      <c r="N3" s="1358"/>
    </row>
    <row r="4" spans="1:14">
      <c r="B4" s="1307"/>
      <c r="C4" s="1358"/>
      <c r="D4" s="1358"/>
      <c r="E4" s="1358"/>
      <c r="F4" s="1358"/>
      <c r="G4" s="1358"/>
      <c r="H4" s="1358"/>
      <c r="I4" s="1358"/>
      <c r="J4" s="1358"/>
      <c r="K4" s="1358"/>
      <c r="L4" s="1358"/>
      <c r="M4" s="1358"/>
      <c r="N4" s="1358"/>
    </row>
    <row r="6" spans="1:14">
      <c r="A6" s="41"/>
      <c r="B6" s="49" t="s">
        <v>4158</v>
      </c>
      <c r="C6" s="43"/>
      <c r="D6" s="44"/>
      <c r="E6" s="45"/>
      <c r="F6" s="45"/>
      <c r="G6" s="41"/>
      <c r="H6" s="41"/>
      <c r="I6" s="46"/>
      <c r="J6" s="47"/>
      <c r="K6" s="48"/>
      <c r="L6" s="41"/>
      <c r="M6" s="41"/>
    </row>
    <row r="7" spans="1:14">
      <c r="A7" s="41"/>
      <c r="B7" s="49"/>
      <c r="C7" s="43"/>
      <c r="D7" s="44"/>
      <c r="E7" s="45"/>
      <c r="F7" s="45"/>
      <c r="G7" s="41"/>
      <c r="H7" s="41"/>
      <c r="I7" s="46"/>
      <c r="J7" s="47"/>
      <c r="K7" s="48"/>
      <c r="L7" s="41"/>
      <c r="M7" s="41"/>
    </row>
    <row r="8" spans="1:14">
      <c r="A8" s="50"/>
      <c r="B8" s="1500" t="s">
        <v>4159</v>
      </c>
      <c r="C8" s="1500"/>
      <c r="D8" s="1500"/>
      <c r="E8" s="1500"/>
      <c r="F8" s="1500"/>
      <c r="G8" s="1500"/>
      <c r="H8" s="1500"/>
      <c r="I8" s="1500"/>
      <c r="J8" s="1500"/>
      <c r="K8" s="1500"/>
      <c r="L8" s="50"/>
      <c r="M8" s="50"/>
    </row>
    <row r="9" spans="1:14">
      <c r="A9" s="50"/>
      <c r="B9" s="1501" t="s">
        <v>4160</v>
      </c>
      <c r="C9" s="1501"/>
      <c r="D9" s="1501"/>
      <c r="E9" s="1501"/>
      <c r="F9" s="1501"/>
      <c r="G9" s="1501"/>
      <c r="H9" s="1501"/>
      <c r="I9" s="1501"/>
      <c r="J9" s="1501"/>
      <c r="K9" s="1501"/>
      <c r="L9" s="50"/>
      <c r="M9" s="50"/>
    </row>
    <row r="10" spans="1:14">
      <c r="A10" s="50"/>
      <c r="B10" s="1509" t="s">
        <v>4161</v>
      </c>
      <c r="C10" s="1510"/>
      <c r="D10" s="1510"/>
      <c r="E10" s="1510"/>
      <c r="F10" s="1511"/>
      <c r="G10" s="53"/>
      <c r="H10" s="1502" t="s">
        <v>4162</v>
      </c>
      <c r="I10" s="1503"/>
      <c r="J10" s="1503"/>
      <c r="K10" s="1504"/>
      <c r="L10" s="50"/>
      <c r="M10" s="50"/>
    </row>
    <row r="11" spans="1:14" ht="15">
      <c r="A11" s="41"/>
      <c r="B11" s="54"/>
      <c r="C11" s="1505" t="s">
        <v>4163</v>
      </c>
      <c r="D11" s="1506"/>
      <c r="E11" s="55" t="s">
        <v>4164</v>
      </c>
      <c r="F11" s="56"/>
      <c r="G11" s="41"/>
      <c r="H11" s="57"/>
      <c r="I11" s="1507" t="s">
        <v>4163</v>
      </c>
      <c r="J11" s="1508"/>
      <c r="K11" s="58" t="s">
        <v>4165</v>
      </c>
      <c r="L11" s="41"/>
      <c r="M11" s="41"/>
    </row>
    <row r="12" spans="1:14" ht="78">
      <c r="A12" s="59"/>
      <c r="B12" s="60" t="s">
        <v>4161</v>
      </c>
      <c r="C12" s="700" t="s">
        <v>4166</v>
      </c>
      <c r="D12" s="61" t="s">
        <v>4167</v>
      </c>
      <c r="E12" s="566" t="s">
        <v>4168</v>
      </c>
      <c r="F12" s="566" t="s">
        <v>4169</v>
      </c>
      <c r="G12" s="701"/>
      <c r="H12" s="60" t="s">
        <v>4162</v>
      </c>
      <c r="I12" s="702" t="s">
        <v>4170</v>
      </c>
      <c r="J12" s="61" t="s">
        <v>4167</v>
      </c>
      <c r="K12" s="566" t="s">
        <v>4171</v>
      </c>
      <c r="L12" s="59" t="s">
        <v>4172</v>
      </c>
      <c r="M12" s="62" t="s">
        <v>4173</v>
      </c>
    </row>
    <row r="13" spans="1:14">
      <c r="A13" s="59"/>
      <c r="B13" s="63" t="s">
        <v>4174</v>
      </c>
      <c r="C13" s="64">
        <v>3.3163</v>
      </c>
      <c r="D13" s="65"/>
      <c r="E13" s="66">
        <v>19574</v>
      </c>
      <c r="F13" s="67">
        <v>19589</v>
      </c>
      <c r="G13" s="68"/>
      <c r="H13" s="54">
        <v>1955</v>
      </c>
      <c r="I13" s="64">
        <v>3.3003999999999998</v>
      </c>
      <c r="J13" s="65"/>
      <c r="K13" s="66">
        <v>19169</v>
      </c>
      <c r="L13" s="68"/>
      <c r="M13" s="68"/>
    </row>
    <row r="14" spans="1:14">
      <c r="A14" s="59"/>
      <c r="B14" s="63" t="s">
        <v>4175</v>
      </c>
      <c r="C14" s="64">
        <v>3.5221</v>
      </c>
      <c r="D14" s="65">
        <v>6.2057111841510109</v>
      </c>
      <c r="E14" s="66">
        <v>21162</v>
      </c>
      <c r="F14" s="67">
        <v>21138</v>
      </c>
      <c r="G14" s="68"/>
      <c r="H14" s="54">
        <v>1956</v>
      </c>
      <c r="I14" s="64">
        <v>3.5295000000000001</v>
      </c>
      <c r="J14" s="65">
        <v>6.9415828384438338</v>
      </c>
      <c r="K14" s="66">
        <v>20844</v>
      </c>
      <c r="L14" s="68"/>
      <c r="M14" s="68"/>
    </row>
    <row r="15" spans="1:14">
      <c r="A15" s="59"/>
      <c r="B15" s="63" t="s">
        <v>4176</v>
      </c>
      <c r="C15" s="64">
        <v>3.6844000000000001</v>
      </c>
      <c r="D15" s="65">
        <v>4.6080463359927348</v>
      </c>
      <c r="E15" s="66">
        <v>22509</v>
      </c>
      <c r="F15" s="67">
        <v>22524</v>
      </c>
      <c r="G15" s="68"/>
      <c r="H15" s="54">
        <v>1957</v>
      </c>
      <c r="I15" s="64">
        <v>3.6709000000000001</v>
      </c>
      <c r="J15" s="65">
        <v>4.0062331775038951</v>
      </c>
      <c r="K15" s="66">
        <v>22104</v>
      </c>
      <c r="L15" s="68"/>
      <c r="M15" s="68"/>
    </row>
    <row r="16" spans="1:14">
      <c r="A16" s="59"/>
      <c r="B16" s="63" t="s">
        <v>4177</v>
      </c>
      <c r="C16" s="64">
        <v>3.7738999999999998</v>
      </c>
      <c r="D16" s="65">
        <v>2.4291607860167108</v>
      </c>
      <c r="E16" s="66">
        <v>23335</v>
      </c>
      <c r="F16" s="67">
        <v>23305</v>
      </c>
      <c r="G16" s="68"/>
      <c r="H16" s="54">
        <v>1958</v>
      </c>
      <c r="I16" s="64">
        <v>3.8048999999999999</v>
      </c>
      <c r="J16" s="65">
        <v>3.6503309815031706</v>
      </c>
      <c r="K16" s="66">
        <v>23220</v>
      </c>
      <c r="L16" s="68"/>
      <c r="M16" s="68"/>
    </row>
    <row r="17" spans="1:13">
      <c r="A17" s="59"/>
      <c r="B17" s="63" t="s">
        <v>4178</v>
      </c>
      <c r="C17" s="64">
        <v>3.7934999999999999</v>
      </c>
      <c r="D17" s="65">
        <v>0.51935663372108587</v>
      </c>
      <c r="E17" s="66">
        <v>24873</v>
      </c>
      <c r="F17" s="67">
        <v>24928</v>
      </c>
      <c r="G17" s="68"/>
      <c r="H17" s="54">
        <v>1959</v>
      </c>
      <c r="I17" s="64">
        <v>3.8323999999999998</v>
      </c>
      <c r="J17" s="65">
        <v>0.72275224053194198</v>
      </c>
      <c r="K17" s="66">
        <v>24388</v>
      </c>
      <c r="L17" s="68"/>
      <c r="M17" s="68"/>
    </row>
    <row r="18" spans="1:13">
      <c r="A18" s="59"/>
      <c r="B18" s="63" t="s">
        <v>4179</v>
      </c>
      <c r="C18" s="64">
        <v>3.8694000000000002</v>
      </c>
      <c r="D18" s="65">
        <v>2.0007908264136103</v>
      </c>
      <c r="E18" s="66">
        <v>26639</v>
      </c>
      <c r="F18" s="67">
        <v>26657</v>
      </c>
      <c r="G18" s="68"/>
      <c r="H18" s="54">
        <v>1960</v>
      </c>
      <c r="I18" s="64">
        <v>3.8723999999999998</v>
      </c>
      <c r="J18" s="65">
        <v>1.04373238701597</v>
      </c>
      <c r="K18" s="66">
        <v>26201</v>
      </c>
      <c r="L18" s="68"/>
      <c r="M18" s="68"/>
    </row>
    <row r="19" spans="1:13">
      <c r="A19" s="59"/>
      <c r="B19" s="63" t="s">
        <v>4180</v>
      </c>
      <c r="C19" s="64">
        <v>4.0114999999999998</v>
      </c>
      <c r="D19" s="65">
        <v>3.6724039902827221</v>
      </c>
      <c r="E19" s="66">
        <v>28141</v>
      </c>
      <c r="F19" s="67">
        <v>28169</v>
      </c>
      <c r="G19" s="68"/>
      <c r="H19" s="54">
        <v>1961</v>
      </c>
      <c r="I19" s="64">
        <v>4.0191999999999997</v>
      </c>
      <c r="J19" s="65">
        <v>3.7909306889784071</v>
      </c>
      <c r="K19" s="66">
        <v>27918</v>
      </c>
      <c r="L19" s="68"/>
      <c r="M19" s="68"/>
    </row>
    <row r="20" spans="1:13">
      <c r="A20" s="59"/>
      <c r="B20" s="63" t="s">
        <v>4181</v>
      </c>
      <c r="C20" s="64">
        <v>4.1364999999999998</v>
      </c>
      <c r="D20" s="65">
        <v>3.11604138102954</v>
      </c>
      <c r="E20" s="66">
        <v>29450</v>
      </c>
      <c r="F20" s="67">
        <v>29468</v>
      </c>
      <c r="G20" s="68"/>
      <c r="H20" s="54">
        <v>1962</v>
      </c>
      <c r="I20" s="64">
        <v>4.1638999999999999</v>
      </c>
      <c r="J20" s="65">
        <v>3.6002189490445931</v>
      </c>
      <c r="K20" s="66">
        <v>29235</v>
      </c>
      <c r="L20" s="68"/>
      <c r="M20" s="68"/>
    </row>
    <row r="21" spans="1:13">
      <c r="A21" s="59"/>
      <c r="B21" s="63" t="s">
        <v>4182</v>
      </c>
      <c r="C21" s="64">
        <v>4.2060000000000004</v>
      </c>
      <c r="D21" s="204">
        <v>1.6801643901849528</v>
      </c>
      <c r="E21" s="66">
        <v>31921</v>
      </c>
      <c r="F21" s="67">
        <v>31876</v>
      </c>
      <c r="G21" s="68"/>
      <c r="H21" s="54">
        <v>1963</v>
      </c>
      <c r="I21" s="64">
        <v>4.2244999999999999</v>
      </c>
      <c r="J21" s="65">
        <v>1.4553663632652079</v>
      </c>
      <c r="K21" s="66">
        <v>31099</v>
      </c>
      <c r="L21" s="68"/>
      <c r="M21" s="68"/>
    </row>
    <row r="22" spans="1:13">
      <c r="A22" s="50"/>
      <c r="B22" s="69" t="s">
        <v>4183</v>
      </c>
      <c r="C22" s="46">
        <v>4.4042000000000003</v>
      </c>
      <c r="D22" s="65">
        <v>4.712315739419874</v>
      </c>
      <c r="E22" s="70">
        <v>34855</v>
      </c>
      <c r="F22" s="71">
        <v>34924</v>
      </c>
      <c r="G22" s="68"/>
      <c r="H22" s="54">
        <v>1964</v>
      </c>
      <c r="I22" s="46">
        <v>4.3756000000000004</v>
      </c>
      <c r="J22" s="72">
        <v>3.5767546455201908</v>
      </c>
      <c r="K22" s="70">
        <v>34047</v>
      </c>
      <c r="L22" s="68"/>
      <c r="M22" s="68"/>
    </row>
    <row r="23" spans="1:13">
      <c r="A23" s="50"/>
      <c r="B23" s="69" t="s">
        <v>4184</v>
      </c>
      <c r="C23" s="73">
        <v>4.6412000000000004</v>
      </c>
      <c r="D23" s="65">
        <v>5.3812270105808109</v>
      </c>
      <c r="E23" s="74">
        <v>37461</v>
      </c>
      <c r="F23" s="75">
        <v>37415</v>
      </c>
      <c r="G23" s="68"/>
      <c r="H23" s="54">
        <v>1965</v>
      </c>
      <c r="I23" s="46">
        <v>4.6356000000000002</v>
      </c>
      <c r="J23" s="72">
        <v>5.9420422342078751</v>
      </c>
      <c r="K23" s="70">
        <v>36828</v>
      </c>
      <c r="L23" s="68"/>
      <c r="M23" s="68"/>
    </row>
    <row r="24" spans="1:13">
      <c r="A24" s="50"/>
      <c r="B24" s="69" t="s">
        <v>4185</v>
      </c>
      <c r="C24" s="73">
        <v>4.8773</v>
      </c>
      <c r="D24" s="65">
        <v>5.0870464535033939</v>
      </c>
      <c r="E24" s="74">
        <v>39949</v>
      </c>
      <c r="F24" s="75">
        <v>39946</v>
      </c>
      <c r="G24" s="68"/>
      <c r="H24" s="54">
        <v>1966</v>
      </c>
      <c r="I24" s="46">
        <v>4.883</v>
      </c>
      <c r="J24" s="72">
        <v>5.3369574596600184</v>
      </c>
      <c r="K24" s="70">
        <v>39394</v>
      </c>
      <c r="L24" s="68"/>
      <c r="M24" s="68"/>
    </row>
    <row r="25" spans="1:13">
      <c r="A25" s="50"/>
      <c r="B25" s="69" t="s">
        <v>4186</v>
      </c>
      <c r="C25" s="73">
        <v>5.0106999999999999</v>
      </c>
      <c r="D25" s="65">
        <v>2.7351198408955768</v>
      </c>
      <c r="E25" s="74">
        <v>42504</v>
      </c>
      <c r="F25" s="75">
        <v>42612</v>
      </c>
      <c r="G25" s="68"/>
      <c r="H25" s="54">
        <v>1967</v>
      </c>
      <c r="I25" s="46">
        <v>5.0267999999999997</v>
      </c>
      <c r="J25" s="72">
        <v>2.9449109154208419</v>
      </c>
      <c r="K25" s="70">
        <v>41673</v>
      </c>
      <c r="L25" s="68"/>
      <c r="M25" s="68"/>
    </row>
    <row r="26" spans="1:13">
      <c r="A26" s="50"/>
      <c r="B26" s="69" t="s">
        <v>4187</v>
      </c>
      <c r="C26" s="73">
        <v>5.2728999999999999</v>
      </c>
      <c r="D26" s="65">
        <v>5.2328018041391422</v>
      </c>
      <c r="E26" s="74">
        <v>46763</v>
      </c>
      <c r="F26" s="75">
        <v>46784</v>
      </c>
      <c r="G26" s="68"/>
      <c r="H26" s="54">
        <v>1968</v>
      </c>
      <c r="I26" s="46">
        <v>5.2378999999999998</v>
      </c>
      <c r="J26" s="72">
        <v>4.1994907296888693</v>
      </c>
      <c r="K26" s="70">
        <v>45795</v>
      </c>
      <c r="L26" s="68"/>
      <c r="M26" s="68"/>
    </row>
    <row r="27" spans="1:13">
      <c r="A27" s="50"/>
      <c r="B27" s="69" t="s">
        <v>4188</v>
      </c>
      <c r="C27" s="73">
        <v>5.6372</v>
      </c>
      <c r="D27" s="65">
        <v>6.9089116046198491</v>
      </c>
      <c r="E27" s="74">
        <v>50843</v>
      </c>
      <c r="F27" s="75">
        <v>50895</v>
      </c>
      <c r="G27" s="68"/>
      <c r="H27" s="54">
        <v>1969</v>
      </c>
      <c r="I27" s="46">
        <v>5.5849000000000002</v>
      </c>
      <c r="J27" s="72">
        <v>6.6247923786250302</v>
      </c>
      <c r="K27" s="70">
        <v>49761</v>
      </c>
      <c r="L27" s="68"/>
      <c r="M27" s="68"/>
    </row>
    <row r="28" spans="1:13">
      <c r="A28" s="50"/>
      <c r="B28" s="69" t="s">
        <v>4189</v>
      </c>
      <c r="C28" s="73">
        <v>6.1936</v>
      </c>
      <c r="D28" s="65">
        <v>9.870148300574753</v>
      </c>
      <c r="E28" s="74">
        <v>57723</v>
      </c>
      <c r="F28" s="75">
        <v>57807</v>
      </c>
      <c r="G28" s="68"/>
      <c r="H28" s="54">
        <v>1970</v>
      </c>
      <c r="I28" s="46">
        <v>6.1226000000000003</v>
      </c>
      <c r="J28" s="72">
        <v>9.6277462443374109</v>
      </c>
      <c r="K28" s="70">
        <v>56041</v>
      </c>
      <c r="L28" s="68"/>
      <c r="M28" s="68"/>
    </row>
    <row r="29" spans="1:13">
      <c r="A29" s="50"/>
      <c r="B29" s="69" t="s">
        <v>4190</v>
      </c>
      <c r="C29" s="73">
        <v>6.6619000000000002</v>
      </c>
      <c r="D29" s="65">
        <v>7.5610307414104909</v>
      </c>
      <c r="E29" s="74">
        <v>64575</v>
      </c>
      <c r="F29" s="75">
        <v>64483</v>
      </c>
      <c r="G29" s="68"/>
      <c r="H29" s="54">
        <v>1971</v>
      </c>
      <c r="I29" s="46">
        <v>6.6295999999999999</v>
      </c>
      <c r="J29" s="72">
        <v>8.2807957403717332</v>
      </c>
      <c r="K29" s="70">
        <v>62870</v>
      </c>
      <c r="L29" s="68"/>
      <c r="M29" s="68"/>
    </row>
    <row r="30" spans="1:13">
      <c r="A30" s="50"/>
      <c r="B30" s="69" t="s">
        <v>4191</v>
      </c>
      <c r="C30" s="73">
        <v>7.2286000000000001</v>
      </c>
      <c r="D30" s="65">
        <v>8.5065822062774874</v>
      </c>
      <c r="E30" s="74">
        <v>73925</v>
      </c>
      <c r="F30" s="75">
        <v>74025</v>
      </c>
      <c r="G30" s="68"/>
      <c r="H30" s="54">
        <v>1972</v>
      </c>
      <c r="I30" s="46">
        <v>7.1302000000000003</v>
      </c>
      <c r="J30" s="72">
        <v>7.5509834680825447</v>
      </c>
      <c r="K30" s="70">
        <v>70578</v>
      </c>
      <c r="L30" s="68"/>
      <c r="M30" s="68"/>
    </row>
    <row r="31" spans="1:13">
      <c r="A31" s="50"/>
      <c r="B31" s="69" t="s">
        <v>4192</v>
      </c>
      <c r="C31" s="73">
        <v>7.8635000000000002</v>
      </c>
      <c r="D31" s="65">
        <v>8.7831668649531025</v>
      </c>
      <c r="E31" s="74">
        <v>82855</v>
      </c>
      <c r="F31" s="75">
        <v>82879</v>
      </c>
      <c r="G31" s="68"/>
      <c r="H31" s="54">
        <v>1973</v>
      </c>
      <c r="I31" s="46">
        <v>7.7633000000000001</v>
      </c>
      <c r="J31" s="72">
        <v>8.8791338251381404</v>
      </c>
      <c r="K31" s="70">
        <v>81793</v>
      </c>
      <c r="L31" s="68"/>
      <c r="M31" s="68"/>
    </row>
    <row r="32" spans="1:13">
      <c r="A32" s="50"/>
      <c r="B32" s="69" t="s">
        <v>4193</v>
      </c>
      <c r="C32" s="73">
        <v>9.4617000000000004</v>
      </c>
      <c r="D32" s="65">
        <v>20.324283080053416</v>
      </c>
      <c r="E32" s="74">
        <v>98182</v>
      </c>
      <c r="F32" s="75">
        <v>98355</v>
      </c>
      <c r="G32" s="68"/>
      <c r="H32" s="54">
        <v>1974</v>
      </c>
      <c r="I32" s="46">
        <v>9.0182000000000002</v>
      </c>
      <c r="J32" s="72">
        <v>16.164517666456277</v>
      </c>
      <c r="K32" s="70">
        <v>92673</v>
      </c>
      <c r="L32" s="68"/>
      <c r="M32" s="68"/>
    </row>
    <row r="33" spans="1:13">
      <c r="A33" s="50"/>
      <c r="B33" s="69" t="s">
        <v>4194</v>
      </c>
      <c r="C33" s="73">
        <v>11.7758</v>
      </c>
      <c r="D33" s="65">
        <v>24.457549911749471</v>
      </c>
      <c r="E33" s="74">
        <v>120844</v>
      </c>
      <c r="F33" s="75">
        <v>120728</v>
      </c>
      <c r="G33" s="68"/>
      <c r="H33" s="54">
        <v>1975</v>
      </c>
      <c r="I33" s="46">
        <v>11.3752</v>
      </c>
      <c r="J33" s="72">
        <v>26.136036016056412</v>
      </c>
      <c r="K33" s="70">
        <v>115093</v>
      </c>
      <c r="L33" s="68"/>
      <c r="M33" s="68"/>
    </row>
    <row r="34" spans="1:13">
      <c r="A34" s="50"/>
      <c r="B34" s="69" t="s">
        <v>4195</v>
      </c>
      <c r="C34" s="73">
        <v>13.4184</v>
      </c>
      <c r="D34" s="65">
        <v>13.948946143786408</v>
      </c>
      <c r="E34" s="74">
        <v>142077</v>
      </c>
      <c r="F34" s="75">
        <v>142588</v>
      </c>
      <c r="G34" s="68"/>
      <c r="H34" s="54">
        <v>1976</v>
      </c>
      <c r="I34" s="46">
        <v>13.1355</v>
      </c>
      <c r="J34" s="72">
        <v>15.474892749138485</v>
      </c>
      <c r="K34" s="70">
        <v>136999</v>
      </c>
      <c r="L34" s="68"/>
      <c r="M34" s="68"/>
    </row>
    <row r="35" spans="1:13">
      <c r="A35" s="50"/>
      <c r="B35" s="69" t="s">
        <v>4196</v>
      </c>
      <c r="C35" s="73">
        <v>15.2621</v>
      </c>
      <c r="D35" s="65">
        <v>13.740088237047637</v>
      </c>
      <c r="E35" s="74">
        <v>166100</v>
      </c>
      <c r="F35" s="75">
        <v>165888</v>
      </c>
      <c r="G35" s="68"/>
      <c r="H35" s="54">
        <v>1977</v>
      </c>
      <c r="I35" s="46">
        <v>14.9557</v>
      </c>
      <c r="J35" s="72">
        <v>13.857104792356589</v>
      </c>
      <c r="K35" s="70">
        <v>159786</v>
      </c>
      <c r="L35" s="68"/>
      <c r="M35" s="68"/>
    </row>
    <row r="36" spans="1:13">
      <c r="A36" s="50"/>
      <c r="B36" s="69" t="s">
        <v>4197</v>
      </c>
      <c r="C36" s="73">
        <v>16.980499999999999</v>
      </c>
      <c r="D36" s="65">
        <v>11.259263142031561</v>
      </c>
      <c r="E36" s="74">
        <v>192358</v>
      </c>
      <c r="F36" s="75">
        <v>192477</v>
      </c>
      <c r="G36" s="68"/>
      <c r="H36" s="54">
        <v>1978</v>
      </c>
      <c r="I36" s="46">
        <v>16.721</v>
      </c>
      <c r="J36" s="72">
        <v>11.803526414678014</v>
      </c>
      <c r="K36" s="70">
        <v>186158</v>
      </c>
      <c r="L36" s="68"/>
      <c r="M36" s="68"/>
    </row>
    <row r="37" spans="1:13">
      <c r="A37" s="50"/>
      <c r="B37" s="69" t="s">
        <v>4198</v>
      </c>
      <c r="C37" s="73">
        <v>19.8459</v>
      </c>
      <c r="D37" s="65">
        <v>16.874650334206891</v>
      </c>
      <c r="E37" s="74">
        <v>232592</v>
      </c>
      <c r="F37" s="75">
        <v>232629</v>
      </c>
      <c r="G37" s="68"/>
      <c r="H37" s="54">
        <v>1979</v>
      </c>
      <c r="I37" s="46">
        <v>19.135999999999999</v>
      </c>
      <c r="J37" s="72">
        <v>14.442916093535072</v>
      </c>
      <c r="K37" s="70">
        <v>220981</v>
      </c>
      <c r="L37" s="68"/>
      <c r="M37" s="68"/>
    </row>
    <row r="38" spans="1:13">
      <c r="A38" s="50"/>
      <c r="B38" s="69" t="s">
        <v>4199</v>
      </c>
      <c r="C38" s="73">
        <v>23.6341</v>
      </c>
      <c r="D38" s="65">
        <v>19.088073607143034</v>
      </c>
      <c r="E38" s="74">
        <v>267518</v>
      </c>
      <c r="F38" s="75">
        <v>267802</v>
      </c>
      <c r="G38" s="68"/>
      <c r="H38" s="54">
        <v>1980</v>
      </c>
      <c r="I38" s="46">
        <v>23.001799999999999</v>
      </c>
      <c r="J38" s="72">
        <v>20.201714046822744</v>
      </c>
      <c r="K38" s="70">
        <v>259970</v>
      </c>
      <c r="L38" s="68"/>
      <c r="M38" s="68"/>
    </row>
    <row r="39" spans="1:13">
      <c r="A39" s="50"/>
      <c r="B39" s="69" t="s">
        <v>4200</v>
      </c>
      <c r="C39" s="73">
        <v>26.124099999999999</v>
      </c>
      <c r="D39" s="65">
        <v>10.535624373257278</v>
      </c>
      <c r="E39" s="74">
        <v>298261</v>
      </c>
      <c r="F39" s="75">
        <v>297709</v>
      </c>
      <c r="G39" s="68"/>
      <c r="H39" s="54">
        <v>1981</v>
      </c>
      <c r="I39" s="46">
        <v>25.835799999999999</v>
      </c>
      <c r="J39" s="72">
        <v>12.320774895877713</v>
      </c>
      <c r="K39" s="70">
        <v>290180</v>
      </c>
      <c r="L39" s="68"/>
      <c r="M39" s="68"/>
    </row>
    <row r="40" spans="1:13">
      <c r="A40" s="50"/>
      <c r="B40" s="69" t="s">
        <v>4201</v>
      </c>
      <c r="C40" s="73">
        <v>28.0501</v>
      </c>
      <c r="D40" s="65">
        <v>7.3725027847849383</v>
      </c>
      <c r="E40" s="74">
        <v>327449</v>
      </c>
      <c r="F40" s="75">
        <v>327817</v>
      </c>
      <c r="G40" s="68"/>
      <c r="H40" s="54">
        <v>1982</v>
      </c>
      <c r="I40" s="46">
        <v>27.903700000000001</v>
      </c>
      <c r="J40" s="72">
        <v>8.0040099396960862</v>
      </c>
      <c r="K40" s="70">
        <v>319558</v>
      </c>
      <c r="L40" s="68"/>
      <c r="M40" s="68"/>
    </row>
    <row r="41" spans="1:13">
      <c r="A41" s="50"/>
      <c r="B41" s="69" t="s">
        <v>4202</v>
      </c>
      <c r="C41" s="73">
        <v>29.3857</v>
      </c>
      <c r="D41" s="65">
        <v>4.761480351228693</v>
      </c>
      <c r="E41" s="74">
        <v>358062</v>
      </c>
      <c r="F41" s="75">
        <v>357283</v>
      </c>
      <c r="G41" s="68"/>
      <c r="H41" s="54">
        <v>1983</v>
      </c>
      <c r="I41" s="46">
        <v>29.452400000000001</v>
      </c>
      <c r="J41" s="72">
        <v>5.5501600146217172</v>
      </c>
      <c r="K41" s="70">
        <v>351347</v>
      </c>
      <c r="L41" s="68"/>
      <c r="M41" s="68"/>
    </row>
    <row r="42" spans="1:13">
      <c r="A42" s="50"/>
      <c r="B42" s="69" t="s">
        <v>4203</v>
      </c>
      <c r="C42" s="73">
        <v>31.102399999999999</v>
      </c>
      <c r="D42" s="65">
        <v>5.8419571424196102</v>
      </c>
      <c r="E42" s="74">
        <v>385979</v>
      </c>
      <c r="F42" s="75">
        <v>385669</v>
      </c>
      <c r="G42" s="68"/>
      <c r="H42" s="54">
        <v>1984</v>
      </c>
      <c r="I42" s="46">
        <v>30.992999999999999</v>
      </c>
      <c r="J42" s="72">
        <v>5.2308131086091381</v>
      </c>
      <c r="K42" s="70">
        <v>377920</v>
      </c>
      <c r="L42" s="68"/>
      <c r="M42" s="68"/>
    </row>
    <row r="43" spans="1:13">
      <c r="A43" s="50"/>
      <c r="B43" s="69" t="s">
        <v>4204</v>
      </c>
      <c r="C43" s="73">
        <v>32.794499999999999</v>
      </c>
      <c r="D43" s="65">
        <v>5.4404161736714851</v>
      </c>
      <c r="E43" s="74">
        <v>423724</v>
      </c>
      <c r="F43" s="75">
        <v>423971</v>
      </c>
      <c r="G43" s="68"/>
      <c r="H43" s="54">
        <v>1985</v>
      </c>
      <c r="I43" s="46">
        <v>32.6663</v>
      </c>
      <c r="J43" s="72">
        <v>5.398961055722264</v>
      </c>
      <c r="K43" s="70">
        <v>414630</v>
      </c>
      <c r="L43" s="68"/>
      <c r="M43" s="68"/>
    </row>
    <row r="44" spans="1:13">
      <c r="A44" s="50"/>
      <c r="B44" s="69" t="s">
        <v>4205</v>
      </c>
      <c r="C44" s="73">
        <v>34.1235</v>
      </c>
      <c r="D44" s="65">
        <v>4.0525088048300804</v>
      </c>
      <c r="E44" s="74">
        <v>455183</v>
      </c>
      <c r="F44" s="75">
        <v>455983</v>
      </c>
      <c r="G44" s="68"/>
      <c r="H44" s="54">
        <v>1986</v>
      </c>
      <c r="I44" s="46">
        <v>34.124400000000001</v>
      </c>
      <c r="J44" s="72">
        <v>4.4636215304457547</v>
      </c>
      <c r="K44" s="70">
        <v>446600</v>
      </c>
      <c r="L44" s="68"/>
      <c r="M44" s="68"/>
    </row>
    <row r="45" spans="1:13">
      <c r="A45" s="50"/>
      <c r="B45" s="69" t="s">
        <v>4206</v>
      </c>
      <c r="C45" s="73">
        <v>36.111400000000003</v>
      </c>
      <c r="D45" s="65">
        <v>5.825604055855945</v>
      </c>
      <c r="E45" s="74">
        <v>511512</v>
      </c>
      <c r="F45" s="75">
        <v>511956</v>
      </c>
      <c r="G45" s="68"/>
      <c r="H45" s="54">
        <v>1987</v>
      </c>
      <c r="I45" s="46">
        <v>36.002200000000002</v>
      </c>
      <c r="J45" s="72">
        <v>5.5028073753677731</v>
      </c>
      <c r="K45" s="70">
        <v>496809</v>
      </c>
      <c r="L45" s="68"/>
      <c r="M45" s="68"/>
    </row>
    <row r="46" spans="1:13">
      <c r="A46" s="50"/>
      <c r="B46" s="69" t="s">
        <v>4207</v>
      </c>
      <c r="C46" s="73">
        <v>38.570099999999996</v>
      </c>
      <c r="D46" s="65">
        <v>6.8086532230818886</v>
      </c>
      <c r="E46" s="74">
        <v>570330</v>
      </c>
      <c r="F46" s="75">
        <v>571023</v>
      </c>
      <c r="G46" s="68"/>
      <c r="H46" s="54">
        <v>1988</v>
      </c>
      <c r="I46" s="46">
        <v>38.218299999999999</v>
      </c>
      <c r="J46" s="72">
        <v>6.1554571665064834</v>
      </c>
      <c r="K46" s="70">
        <v>555683</v>
      </c>
      <c r="L46" s="68"/>
      <c r="M46" s="68"/>
    </row>
    <row r="47" spans="1:13">
      <c r="A47" s="50"/>
      <c r="B47" s="69" t="s">
        <v>4208</v>
      </c>
      <c r="C47" s="73">
        <v>41.683199999999999</v>
      </c>
      <c r="D47" s="65">
        <v>8.0712780106870419</v>
      </c>
      <c r="E47" s="74">
        <v>629559</v>
      </c>
      <c r="F47" s="75">
        <v>629064</v>
      </c>
      <c r="G47" s="68"/>
      <c r="H47" s="54">
        <v>1989</v>
      </c>
      <c r="I47" s="46">
        <v>41.287300000000002</v>
      </c>
      <c r="J47" s="72">
        <v>8.0301844927691786</v>
      </c>
      <c r="K47" s="70">
        <v>614631</v>
      </c>
      <c r="L47" s="68"/>
      <c r="M47" s="68"/>
    </row>
    <row r="48" spans="1:13">
      <c r="A48" s="50"/>
      <c r="B48" s="69" t="s">
        <v>4209</v>
      </c>
      <c r="C48" s="73">
        <v>45.183700000000002</v>
      </c>
      <c r="D48" s="65">
        <v>8.3978677260862948</v>
      </c>
      <c r="E48" s="74">
        <v>679270</v>
      </c>
      <c r="F48" s="75">
        <v>680933</v>
      </c>
      <c r="G48" s="68"/>
      <c r="H48" s="54">
        <v>1990</v>
      </c>
      <c r="I48" s="46">
        <v>44.816499999999998</v>
      </c>
      <c r="J48" s="72">
        <v>8.5479069835033901</v>
      </c>
      <c r="K48" s="70">
        <v>670797</v>
      </c>
      <c r="L48" s="68"/>
      <c r="M48" s="68"/>
    </row>
    <row r="49" spans="1:18">
      <c r="A49" s="50"/>
      <c r="B49" s="69" t="s">
        <v>4210</v>
      </c>
      <c r="C49" s="73">
        <v>47.908700000000003</v>
      </c>
      <c r="D49" s="65">
        <v>6.0309359348614686</v>
      </c>
      <c r="E49" s="74">
        <v>714363</v>
      </c>
      <c r="F49" s="75">
        <v>714130</v>
      </c>
      <c r="G49" s="68"/>
      <c r="H49" s="54">
        <v>1991</v>
      </c>
      <c r="I49" s="46">
        <v>47.828099999999999</v>
      </c>
      <c r="J49" s="72">
        <v>6.7198464851115141</v>
      </c>
      <c r="K49" s="70">
        <v>705884</v>
      </c>
      <c r="L49" s="68"/>
      <c r="M49" s="68"/>
    </row>
    <row r="50" spans="1:18">
      <c r="A50" s="50"/>
      <c r="B50" s="69" t="s">
        <v>4211</v>
      </c>
      <c r="C50" s="73">
        <v>49.230499999999999</v>
      </c>
      <c r="D50" s="65">
        <v>2.7589978438154157</v>
      </c>
      <c r="E50" s="74">
        <v>738807</v>
      </c>
      <c r="F50" s="75">
        <v>739015</v>
      </c>
      <c r="G50" s="68"/>
      <c r="H50" s="54">
        <v>1992</v>
      </c>
      <c r="I50" s="46">
        <v>49.398899999999998</v>
      </c>
      <c r="J50" s="72">
        <v>3.2842617624367234</v>
      </c>
      <c r="K50" s="70">
        <v>730874</v>
      </c>
      <c r="L50" s="68"/>
      <c r="M50" s="68"/>
    </row>
    <row r="51" spans="1:18">
      <c r="A51" s="50"/>
      <c r="B51" s="69" t="s">
        <v>4212</v>
      </c>
      <c r="C51" s="73">
        <v>50.634099999999997</v>
      </c>
      <c r="D51" s="65">
        <v>2.8510780918333092</v>
      </c>
      <c r="E51" s="74">
        <v>780640</v>
      </c>
      <c r="F51" s="75">
        <v>780073</v>
      </c>
      <c r="G51" s="68"/>
      <c r="H51" s="54">
        <v>1993</v>
      </c>
      <c r="I51" s="46">
        <v>50.881500000000003</v>
      </c>
      <c r="J51" s="72">
        <v>3.00128140505154</v>
      </c>
      <c r="K51" s="70">
        <v>769855</v>
      </c>
      <c r="L51" s="68"/>
      <c r="M51" s="68"/>
    </row>
    <row r="52" spans="1:18">
      <c r="A52" s="50"/>
      <c r="B52" s="69" t="s">
        <v>4213</v>
      </c>
      <c r="C52" s="73">
        <v>51.4711</v>
      </c>
      <c r="D52" s="65">
        <v>1.6530361949753298</v>
      </c>
      <c r="E52" s="74">
        <v>820882</v>
      </c>
      <c r="F52" s="75">
        <v>819654</v>
      </c>
      <c r="G52" s="68"/>
      <c r="H52" s="54">
        <v>1994</v>
      </c>
      <c r="I52" s="46">
        <v>51.8215</v>
      </c>
      <c r="J52" s="72">
        <v>1.8474298124072555</v>
      </c>
      <c r="K52" s="70">
        <v>810794</v>
      </c>
      <c r="L52" s="68"/>
      <c r="M52" s="68"/>
    </row>
    <row r="53" spans="1:18">
      <c r="A53" s="50"/>
      <c r="B53" s="69" t="s">
        <v>4214</v>
      </c>
      <c r="C53" s="73">
        <v>53.104599999999998</v>
      </c>
      <c r="D53" s="65">
        <v>3.1736255879512933</v>
      </c>
      <c r="E53" s="74">
        <v>863062</v>
      </c>
      <c r="F53" s="75">
        <v>864621</v>
      </c>
      <c r="G53" s="68"/>
      <c r="H53" s="54">
        <v>1995</v>
      </c>
      <c r="I53" s="46">
        <v>53.174799999999998</v>
      </c>
      <c r="J53" s="72">
        <v>2.6114643535984046</v>
      </c>
      <c r="K53" s="70">
        <v>851845</v>
      </c>
      <c r="L53" s="68"/>
      <c r="M53" s="68"/>
    </row>
    <row r="54" spans="1:18">
      <c r="A54" s="50"/>
      <c r="B54" s="69" t="s">
        <v>4215</v>
      </c>
      <c r="C54" s="73">
        <v>54.902299999999997</v>
      </c>
      <c r="D54" s="65">
        <v>3.3852058013806694</v>
      </c>
      <c r="E54" s="74">
        <v>922997</v>
      </c>
      <c r="F54" s="75">
        <v>921289</v>
      </c>
      <c r="G54" s="68"/>
      <c r="H54" s="54">
        <v>1996</v>
      </c>
      <c r="I54" s="46">
        <v>55.374499999999998</v>
      </c>
      <c r="J54" s="72">
        <v>4.1367339416415296</v>
      </c>
      <c r="K54" s="70">
        <v>909993</v>
      </c>
      <c r="L54" s="68"/>
      <c r="M54" s="68"/>
      <c r="N54" s="50"/>
      <c r="O54" s="50"/>
      <c r="P54" s="50"/>
      <c r="Q54" s="50"/>
      <c r="R54" s="50"/>
    </row>
    <row r="55" spans="1:18">
      <c r="A55" s="50"/>
      <c r="B55" s="69" t="s">
        <v>4216</v>
      </c>
      <c r="C55" s="73">
        <v>54.893000000000001</v>
      </c>
      <c r="D55" s="65">
        <v>-1.6939181054338507E-2</v>
      </c>
      <c r="E55" s="74">
        <v>964687</v>
      </c>
      <c r="F55" s="75">
        <v>966520</v>
      </c>
      <c r="G55" s="68"/>
      <c r="H55" s="54">
        <v>1997</v>
      </c>
      <c r="I55" s="46">
        <v>55.2956</v>
      </c>
      <c r="J55" s="72">
        <v>-0.14248435651788696</v>
      </c>
      <c r="K55" s="70">
        <v>953405</v>
      </c>
      <c r="L55" s="68"/>
      <c r="M55" s="68"/>
      <c r="N55" s="50"/>
      <c r="O55" s="50"/>
      <c r="P55" s="50"/>
      <c r="Q55" s="50"/>
      <c r="R55" s="50"/>
    </row>
    <row r="56" spans="1:18">
      <c r="A56" s="50"/>
      <c r="B56" s="69" t="s">
        <v>4217</v>
      </c>
      <c r="C56" s="73">
        <v>55.6432</v>
      </c>
      <c r="D56" s="65">
        <v>1.3666587725210855</v>
      </c>
      <c r="E56" s="74">
        <v>1010042</v>
      </c>
      <c r="F56" s="75">
        <v>1008430</v>
      </c>
      <c r="G56" s="68"/>
      <c r="H56" s="54">
        <v>1998</v>
      </c>
      <c r="I56" s="46">
        <v>55.998399999999997</v>
      </c>
      <c r="J56" s="72">
        <v>1.2709872033217766</v>
      </c>
      <c r="K56" s="70">
        <v>998501</v>
      </c>
      <c r="L56" s="68"/>
      <c r="M56" s="68"/>
      <c r="N56" s="50"/>
      <c r="O56" s="50"/>
      <c r="P56" s="50"/>
      <c r="Q56" s="50"/>
      <c r="R56" s="50"/>
    </row>
    <row r="57" spans="1:18">
      <c r="A57" s="50"/>
      <c r="B57" s="69" t="s">
        <v>4218</v>
      </c>
      <c r="C57" s="73">
        <v>56.385599999999997</v>
      </c>
      <c r="D57" s="65">
        <v>1.3342151421916719</v>
      </c>
      <c r="E57" s="74">
        <v>1058069</v>
      </c>
      <c r="F57" s="75">
        <v>1059608</v>
      </c>
      <c r="G57" s="68"/>
      <c r="H57" s="54">
        <v>1999</v>
      </c>
      <c r="I57" s="46">
        <v>56.767000000000003</v>
      </c>
      <c r="J57" s="72">
        <v>1.372539215406166</v>
      </c>
      <c r="K57" s="70">
        <v>1043248</v>
      </c>
      <c r="L57" s="68"/>
      <c r="M57" s="68"/>
      <c r="N57" s="50"/>
      <c r="O57" s="50"/>
      <c r="P57" s="50"/>
      <c r="Q57" s="50"/>
      <c r="R57" s="50"/>
    </row>
    <row r="58" spans="1:18">
      <c r="A58" s="50"/>
      <c r="B58" s="69" t="s">
        <v>4219</v>
      </c>
      <c r="C58" s="73">
        <v>56.960999999999999</v>
      </c>
      <c r="D58" s="65">
        <v>1.0204733123350678</v>
      </c>
      <c r="E58" s="74">
        <v>1114639</v>
      </c>
      <c r="F58" s="75">
        <v>1111547</v>
      </c>
      <c r="G58" s="68"/>
      <c r="H58" s="54">
        <v>2000</v>
      </c>
      <c r="I58" s="46">
        <v>57.418300000000002</v>
      </c>
      <c r="J58" s="72">
        <v>1.1473215072136964</v>
      </c>
      <c r="K58" s="70">
        <v>1100752</v>
      </c>
      <c r="L58" s="68"/>
      <c r="M58" s="68"/>
      <c r="N58" s="50"/>
      <c r="O58" s="50"/>
      <c r="P58" s="50"/>
      <c r="Q58" s="50"/>
      <c r="R58" s="50"/>
    </row>
    <row r="59" spans="1:18">
      <c r="A59" s="50"/>
      <c r="B59" s="69" t="s">
        <v>4220</v>
      </c>
      <c r="C59" s="73">
        <v>57.927799999999998</v>
      </c>
      <c r="D59" s="65">
        <v>1.6973016625410355</v>
      </c>
      <c r="E59" s="74">
        <v>1152363</v>
      </c>
      <c r="F59" s="75">
        <v>1155639</v>
      </c>
      <c r="G59" s="68"/>
      <c r="H59" s="54">
        <v>2001</v>
      </c>
      <c r="I59" s="46">
        <v>58.282499999999999</v>
      </c>
      <c r="J59" s="72">
        <v>1.5050950655104673</v>
      </c>
      <c r="K59" s="70">
        <v>1146135</v>
      </c>
      <c r="L59" s="68"/>
      <c r="M59" s="68"/>
      <c r="N59" s="50"/>
      <c r="O59" s="50"/>
      <c r="P59" s="50"/>
      <c r="Q59" s="50"/>
      <c r="R59" s="50"/>
    </row>
    <row r="60" spans="1:18">
      <c r="A60" s="50"/>
      <c r="B60" s="69" t="s">
        <v>4221</v>
      </c>
      <c r="C60" s="73">
        <v>59.244199999999999</v>
      </c>
      <c r="D60" s="65">
        <v>2.2724840232151085</v>
      </c>
      <c r="E60" s="74">
        <v>1208864</v>
      </c>
      <c r="F60" s="75">
        <v>1206462</v>
      </c>
      <c r="G60" s="68"/>
      <c r="H60" s="54">
        <v>2002</v>
      </c>
      <c r="I60" s="46">
        <v>59.517200000000003</v>
      </c>
      <c r="J60" s="72">
        <v>2.118474670784547</v>
      </c>
      <c r="K60" s="70">
        <v>1191439</v>
      </c>
      <c r="L60" s="68"/>
      <c r="M60" s="68"/>
      <c r="N60" s="50"/>
      <c r="O60" s="50"/>
      <c r="P60" s="50"/>
      <c r="Q60" s="50"/>
      <c r="R60" s="50"/>
    </row>
    <row r="61" spans="1:18">
      <c r="A61" s="50"/>
      <c r="B61" s="69" t="s">
        <v>4222</v>
      </c>
      <c r="C61" s="73">
        <v>60.591000000000001</v>
      </c>
      <c r="D61" s="65">
        <v>2.2733027030494157</v>
      </c>
      <c r="E61" s="74">
        <v>1272601</v>
      </c>
      <c r="F61" s="75">
        <v>1273669</v>
      </c>
      <c r="G61" s="68"/>
      <c r="H61" s="54">
        <v>2003</v>
      </c>
      <c r="I61" s="46">
        <v>60.941099999999999</v>
      </c>
      <c r="J61" s="72">
        <v>2.3924176540562998</v>
      </c>
      <c r="K61" s="70">
        <v>1258334</v>
      </c>
      <c r="L61" s="68"/>
      <c r="M61" s="68"/>
      <c r="N61" s="50"/>
      <c r="O61" s="50"/>
      <c r="P61" s="50"/>
      <c r="Q61" s="50"/>
      <c r="R61" s="50"/>
    </row>
    <row r="62" spans="1:18">
      <c r="A62" s="50"/>
      <c r="B62" s="69" t="s">
        <v>4223</v>
      </c>
      <c r="C62" s="73">
        <v>62.410499999999999</v>
      </c>
      <c r="D62" s="65">
        <v>3.0029212259246387</v>
      </c>
      <c r="E62" s="74">
        <v>1342153</v>
      </c>
      <c r="F62" s="75">
        <v>1341238</v>
      </c>
      <c r="G62" s="68"/>
      <c r="H62" s="54">
        <v>2004</v>
      </c>
      <c r="I62" s="46">
        <v>62.537399999999998</v>
      </c>
      <c r="J62" s="72">
        <v>2.6194144838212625</v>
      </c>
      <c r="K62" s="70">
        <v>1322637</v>
      </c>
      <c r="L62" s="68"/>
      <c r="M62" s="68"/>
      <c r="N62" s="50"/>
      <c r="O62" s="50"/>
      <c r="P62" s="50"/>
      <c r="Q62" s="50"/>
      <c r="R62" s="50"/>
    </row>
    <row r="63" spans="1:18">
      <c r="A63" s="50"/>
      <c r="B63" s="69" t="s">
        <v>4224</v>
      </c>
      <c r="C63" s="73">
        <v>64.118499999999997</v>
      </c>
      <c r="D63" s="65">
        <v>2.7367189815816224</v>
      </c>
      <c r="E63" s="74">
        <v>1418417</v>
      </c>
      <c r="F63" s="75">
        <v>1418626</v>
      </c>
      <c r="G63" s="68"/>
      <c r="H63" s="54">
        <v>2005</v>
      </c>
      <c r="I63" s="46">
        <v>64.373199999999997</v>
      </c>
      <c r="J63" s="72">
        <v>2.9355233828077263</v>
      </c>
      <c r="K63" s="70">
        <v>1398749</v>
      </c>
      <c r="L63" s="68"/>
      <c r="M63" s="68"/>
      <c r="N63" s="50"/>
      <c r="O63" s="50"/>
      <c r="P63" s="50"/>
      <c r="Q63" s="50"/>
      <c r="R63" s="76"/>
    </row>
    <row r="64" spans="1:18">
      <c r="A64" s="50"/>
      <c r="B64" s="69" t="s">
        <v>4225</v>
      </c>
      <c r="C64" s="73">
        <v>65.833100000000002</v>
      </c>
      <c r="D64" s="65">
        <v>2.6741112159517213</v>
      </c>
      <c r="E64" s="74">
        <v>1486255</v>
      </c>
      <c r="F64" s="75">
        <v>1487819</v>
      </c>
      <c r="G64" s="68"/>
      <c r="H64" s="54">
        <v>2006</v>
      </c>
      <c r="I64" s="46">
        <v>66.1691</v>
      </c>
      <c r="J64" s="72">
        <v>2.7898255795890265</v>
      </c>
      <c r="K64" s="70">
        <v>1472038</v>
      </c>
      <c r="L64" s="68"/>
      <c r="M64" s="68"/>
      <c r="N64" s="50"/>
      <c r="O64" s="50" t="s">
        <v>4226</v>
      </c>
      <c r="P64" s="50"/>
      <c r="Q64" s="50"/>
      <c r="R64" s="76"/>
    </row>
    <row r="65" spans="1:25">
      <c r="A65" s="50"/>
      <c r="B65" s="69" t="s">
        <v>4227</v>
      </c>
      <c r="C65" s="73">
        <v>67.425899999999999</v>
      </c>
      <c r="D65" s="65">
        <v>2.4194516132462192</v>
      </c>
      <c r="E65" s="74">
        <v>1565822</v>
      </c>
      <c r="F65" s="75">
        <v>1565136</v>
      </c>
      <c r="G65" s="68"/>
      <c r="H65" s="54">
        <v>2007</v>
      </c>
      <c r="I65" s="46">
        <v>67.658299999999997</v>
      </c>
      <c r="J65" s="72">
        <v>2.2505973331963056</v>
      </c>
      <c r="K65" s="70">
        <v>1544637</v>
      </c>
      <c r="L65" s="68"/>
      <c r="M65" s="68"/>
      <c r="N65" s="50"/>
      <c r="O65" s="50"/>
      <c r="P65" s="50"/>
      <c r="Q65" s="50"/>
      <c r="R65" s="76"/>
    </row>
    <row r="66" spans="1:25">
      <c r="A66" s="50"/>
      <c r="B66" s="69" t="s">
        <v>4228</v>
      </c>
      <c r="C66" s="73">
        <v>69.853800000000007</v>
      </c>
      <c r="D66" s="65">
        <v>3.6008418130125195</v>
      </c>
      <c r="E66" s="74">
        <v>1582979</v>
      </c>
      <c r="F66" s="75">
        <v>1582791</v>
      </c>
      <c r="G66" s="68"/>
      <c r="H66" s="54">
        <v>2008</v>
      </c>
      <c r="I66" s="46">
        <v>69.978999999999999</v>
      </c>
      <c r="J66" s="72">
        <v>3.4300300184899739</v>
      </c>
      <c r="K66" s="70">
        <v>1593600</v>
      </c>
      <c r="L66" s="68"/>
      <c r="M66" s="68"/>
      <c r="N66" s="50"/>
      <c r="O66" s="50"/>
      <c r="P66" s="50"/>
      <c r="Q66" s="50"/>
      <c r="R66" s="76"/>
    </row>
    <row r="67" spans="1:25">
      <c r="A67" s="50"/>
      <c r="B67" s="69" t="s">
        <v>4229</v>
      </c>
      <c r="C67" s="73">
        <v>70.799099999999996</v>
      </c>
      <c r="D67" s="65">
        <v>1.3532549410339723</v>
      </c>
      <c r="E67" s="74">
        <v>1557028</v>
      </c>
      <c r="F67" s="75">
        <v>1558176</v>
      </c>
      <c r="G67" s="68"/>
      <c r="H67" s="54">
        <v>2009</v>
      </c>
      <c r="I67" s="46">
        <v>71.287800000000004</v>
      </c>
      <c r="J67" s="72">
        <v>1.8702753683247906</v>
      </c>
      <c r="K67" s="70">
        <v>1548802</v>
      </c>
      <c r="L67" s="50"/>
      <c r="M67" s="68"/>
      <c r="N67" s="50"/>
      <c r="O67" s="50"/>
      <c r="P67" s="50"/>
      <c r="Q67" s="50"/>
      <c r="R67" s="76"/>
    </row>
    <row r="68" spans="1:25">
      <c r="A68" s="50"/>
      <c r="B68" s="69" t="s">
        <v>4230</v>
      </c>
      <c r="C68" s="73">
        <v>72.133399999999995</v>
      </c>
      <c r="D68" s="65">
        <v>1.8846284769156656</v>
      </c>
      <c r="E68" s="74">
        <v>1627823</v>
      </c>
      <c r="F68" s="75">
        <v>1627172</v>
      </c>
      <c r="G68" s="68"/>
      <c r="H68" s="54">
        <v>2010</v>
      </c>
      <c r="I68" s="46">
        <v>72.415099999999995</v>
      </c>
      <c r="J68" s="72">
        <v>1.5813364979701872</v>
      </c>
      <c r="K68" s="70">
        <v>1608553</v>
      </c>
      <c r="L68" s="50"/>
      <c r="M68" s="68"/>
      <c r="N68" s="50"/>
      <c r="O68" s="50"/>
      <c r="P68" s="50"/>
      <c r="Q68" s="50"/>
      <c r="R68" s="76"/>
    </row>
    <row r="69" spans="1:25">
      <c r="A69" s="50"/>
      <c r="B69" s="69" t="s">
        <v>4231</v>
      </c>
      <c r="C69" s="73">
        <v>73.404700000000005</v>
      </c>
      <c r="D69" s="65">
        <v>1.7624290550563411</v>
      </c>
      <c r="E69" s="74">
        <v>1673244</v>
      </c>
      <c r="F69" s="75">
        <v>1672562</v>
      </c>
      <c r="G69" s="68"/>
      <c r="H69" s="54">
        <v>2011</v>
      </c>
      <c r="I69" s="46">
        <v>74.001400000000004</v>
      </c>
      <c r="J69" s="72">
        <v>2.19056522741805</v>
      </c>
      <c r="K69" s="70">
        <v>1662590</v>
      </c>
      <c r="L69" s="50"/>
      <c r="M69" s="68"/>
      <c r="N69" s="50"/>
      <c r="O69" s="50"/>
      <c r="P69" s="50"/>
      <c r="Q69" s="50"/>
      <c r="R69" s="76"/>
    </row>
    <row r="70" spans="1:25">
      <c r="A70" s="50"/>
      <c r="B70" s="69" t="s">
        <v>4232</v>
      </c>
      <c r="C70" s="73">
        <v>74.751999999999995</v>
      </c>
      <c r="D70" s="65">
        <v>1.8354410548643205</v>
      </c>
      <c r="E70" s="74">
        <v>1725339</v>
      </c>
      <c r="F70" s="75">
        <v>1727114</v>
      </c>
      <c r="G70" s="68"/>
      <c r="H70" s="54">
        <v>2012</v>
      </c>
      <c r="I70" s="46">
        <v>75.139399999999995</v>
      </c>
      <c r="J70" s="72">
        <v>1.5378087441588821</v>
      </c>
      <c r="K70" s="70">
        <v>1713715</v>
      </c>
      <c r="L70" s="50"/>
      <c r="M70" s="68"/>
      <c r="N70" s="50"/>
      <c r="O70" s="50"/>
      <c r="P70" s="50"/>
      <c r="Q70" s="50"/>
      <c r="R70" s="76"/>
      <c r="S70" s="50"/>
      <c r="T70" s="50"/>
      <c r="U70" s="50"/>
      <c r="V70" s="50"/>
      <c r="W70" s="50"/>
      <c r="X70" s="50"/>
      <c r="Y70" s="50"/>
    </row>
    <row r="71" spans="1:25">
      <c r="A71" s="50"/>
      <c r="B71" s="69" t="s">
        <v>4233</v>
      </c>
      <c r="C71" s="73">
        <v>76.189400000000006</v>
      </c>
      <c r="D71" s="65">
        <v>1.922891695205494</v>
      </c>
      <c r="E71" s="74">
        <v>1803853</v>
      </c>
      <c r="F71" s="75">
        <v>1801250</v>
      </c>
      <c r="G71" s="68"/>
      <c r="H71" s="54">
        <v>2013</v>
      </c>
      <c r="I71" s="46">
        <v>76.728899999999996</v>
      </c>
      <c r="J71" s="72">
        <v>2.1154015070655356</v>
      </c>
      <c r="K71" s="70">
        <v>1781361</v>
      </c>
      <c r="L71" s="50"/>
      <c r="M71" s="68"/>
      <c r="N71" s="50"/>
      <c r="O71" s="50"/>
      <c r="P71" s="50"/>
      <c r="Q71" s="50"/>
      <c r="R71" s="76"/>
      <c r="S71" s="50"/>
      <c r="T71" s="50"/>
      <c r="U71" s="50"/>
      <c r="V71" s="50"/>
      <c r="W71" s="50"/>
      <c r="X71" s="50"/>
      <c r="Y71" s="50"/>
    </row>
    <row r="72" spans="1:25">
      <c r="A72" s="50"/>
      <c r="B72" s="69" t="s">
        <v>4234</v>
      </c>
      <c r="C72" s="73">
        <v>77.116200000000006</v>
      </c>
      <c r="D72" s="65">
        <v>1.2164421822458242</v>
      </c>
      <c r="E72" s="74">
        <v>1875404</v>
      </c>
      <c r="F72" s="75">
        <v>1879260</v>
      </c>
      <c r="G72" s="68"/>
      <c r="H72" s="54">
        <v>2014</v>
      </c>
      <c r="I72" s="46">
        <v>77.739900000000006</v>
      </c>
      <c r="J72" s="72">
        <v>1.317626083522649</v>
      </c>
      <c r="K72" s="70">
        <v>1862514</v>
      </c>
      <c r="L72" s="50"/>
      <c r="M72" s="68"/>
      <c r="N72" s="50"/>
      <c r="O72" s="50"/>
      <c r="P72" s="50"/>
      <c r="Q72" s="50"/>
      <c r="R72" s="76"/>
      <c r="S72" s="50"/>
      <c r="T72" s="50"/>
      <c r="U72" s="50"/>
      <c r="V72" s="50"/>
      <c r="W72" s="50"/>
      <c r="X72" s="50"/>
      <c r="Y72" s="77"/>
    </row>
    <row r="73" spans="1:25">
      <c r="A73" s="50"/>
      <c r="B73" s="69" t="s">
        <v>4235</v>
      </c>
      <c r="C73" s="73">
        <v>77.671000000000006</v>
      </c>
      <c r="D73" s="65">
        <v>0.71943378952801118</v>
      </c>
      <c r="E73" s="74">
        <v>1932100</v>
      </c>
      <c r="F73" s="75">
        <v>1931443</v>
      </c>
      <c r="G73" s="50"/>
      <c r="H73" s="54">
        <v>2015</v>
      </c>
      <c r="I73" s="46">
        <v>78.255300000000005</v>
      </c>
      <c r="J73" s="72">
        <v>0.66298001412402074</v>
      </c>
      <c r="K73" s="70">
        <v>1916451</v>
      </c>
      <c r="L73" s="50"/>
      <c r="M73" s="68"/>
      <c r="N73" s="50"/>
      <c r="O73" s="50"/>
      <c r="P73" s="50"/>
      <c r="Q73" s="50"/>
      <c r="R73" s="76"/>
      <c r="S73" s="50"/>
      <c r="T73" s="50"/>
      <c r="U73" s="50"/>
      <c r="V73" s="50"/>
      <c r="W73" s="50"/>
      <c r="X73" s="50"/>
      <c r="Y73" s="77"/>
    </row>
    <row r="74" spans="1:25">
      <c r="A74" s="50"/>
      <c r="B74" s="69" t="s">
        <v>4236</v>
      </c>
      <c r="C74" s="73">
        <v>79.437700000000007</v>
      </c>
      <c r="D74" s="72">
        <v>2.2745941213580356</v>
      </c>
      <c r="E74" s="74">
        <v>2013605</v>
      </c>
      <c r="F74" s="75">
        <v>2015841</v>
      </c>
      <c r="G74" s="50"/>
      <c r="H74" s="54">
        <v>2016</v>
      </c>
      <c r="I74" s="46">
        <v>79.790499999999994</v>
      </c>
      <c r="J74" s="72">
        <v>1.9617840580765635</v>
      </c>
      <c r="K74" s="70">
        <v>1991645</v>
      </c>
      <c r="L74" s="50"/>
      <c r="M74" s="68"/>
      <c r="N74" s="50"/>
      <c r="O74" s="50"/>
      <c r="P74" s="50"/>
      <c r="Q74" s="50"/>
      <c r="R74" s="76"/>
      <c r="S74" s="50"/>
      <c r="T74" s="50"/>
      <c r="U74" s="50"/>
      <c r="V74" s="50"/>
      <c r="W74" s="50"/>
      <c r="X74" s="50"/>
      <c r="Y74" s="77"/>
    </row>
    <row r="75" spans="1:25">
      <c r="A75" s="50"/>
      <c r="B75" s="69" t="s">
        <v>4237</v>
      </c>
      <c r="C75" s="73">
        <v>80.681700000000006</v>
      </c>
      <c r="D75" s="72">
        <v>1.5660070722087871</v>
      </c>
      <c r="E75" s="74">
        <v>2098808</v>
      </c>
      <c r="F75" s="75">
        <v>2099822</v>
      </c>
      <c r="G75" s="50"/>
      <c r="H75" s="54">
        <v>2017</v>
      </c>
      <c r="I75" s="46">
        <v>81.273099999999999</v>
      </c>
      <c r="J75" s="72">
        <v>1.8581159411208166</v>
      </c>
      <c r="K75" s="70">
        <v>2082482</v>
      </c>
      <c r="L75" s="50"/>
      <c r="M75" s="68"/>
      <c r="N75" s="50"/>
      <c r="O75" s="50"/>
      <c r="P75" s="50"/>
      <c r="Q75" s="50"/>
      <c r="R75" s="76"/>
      <c r="S75" s="50"/>
      <c r="T75" s="50"/>
      <c r="U75" s="50"/>
      <c r="V75" s="50"/>
      <c r="W75" s="50"/>
      <c r="X75" s="50"/>
      <c r="Y75" s="77"/>
    </row>
    <row r="76" spans="1:25">
      <c r="A76" s="50"/>
      <c r="B76" s="69" t="s">
        <v>4238</v>
      </c>
      <c r="C76" s="73">
        <v>82.383700000000005</v>
      </c>
      <c r="D76" s="72">
        <v>2.1095242167678645</v>
      </c>
      <c r="E76" s="74">
        <v>2173677</v>
      </c>
      <c r="F76" s="75">
        <v>2170432</v>
      </c>
      <c r="G76" s="50"/>
      <c r="H76" s="54">
        <v>2018</v>
      </c>
      <c r="I76" s="46">
        <v>82.835999999999999</v>
      </c>
      <c r="J76" s="72">
        <v>1.9230225006798056</v>
      </c>
      <c r="K76" s="70">
        <v>2152304</v>
      </c>
      <c r="L76" s="50"/>
      <c r="M76" s="68"/>
      <c r="N76" s="50"/>
      <c r="O76" s="50"/>
      <c r="P76" s="50"/>
      <c r="Q76" s="50"/>
      <c r="R76" s="76"/>
      <c r="S76" s="50"/>
      <c r="T76" s="50"/>
      <c r="U76" s="50"/>
      <c r="V76" s="50"/>
      <c r="W76" s="50"/>
      <c r="X76" s="50"/>
      <c r="Y76" s="77"/>
    </row>
    <row r="77" spans="1:25">
      <c r="A77" s="50"/>
      <c r="B77" s="69" t="s">
        <v>4239</v>
      </c>
      <c r="C77" s="73">
        <v>84.328699999999998</v>
      </c>
      <c r="D77" s="72">
        <v>2.3609039166728287</v>
      </c>
      <c r="E77" s="74">
        <v>2244509</v>
      </c>
      <c r="F77" s="75">
        <v>2240706</v>
      </c>
      <c r="G77" s="50"/>
      <c r="H77" s="54">
        <v>2019</v>
      </c>
      <c r="I77" s="46">
        <v>84.587599999999995</v>
      </c>
      <c r="J77" s="72">
        <v>2.1145395721666862</v>
      </c>
      <c r="K77" s="70">
        <v>2233921</v>
      </c>
      <c r="L77" s="50"/>
      <c r="M77" s="68"/>
      <c r="N77" s="50"/>
      <c r="O77" s="50"/>
      <c r="P77" s="50"/>
      <c r="Q77" s="50"/>
      <c r="R77" s="76"/>
      <c r="S77" s="50"/>
      <c r="T77" s="50"/>
      <c r="U77" s="50"/>
      <c r="V77" s="50"/>
      <c r="W77" s="50"/>
      <c r="X77" s="50"/>
      <c r="Y77" s="77"/>
    </row>
    <row r="78" spans="1:25">
      <c r="A78" s="50"/>
      <c r="B78" s="69" t="s">
        <v>4240</v>
      </c>
      <c r="C78" s="73">
        <v>88.9208</v>
      </c>
      <c r="D78" s="72">
        <v>5.4454770439956999</v>
      </c>
      <c r="E78" s="74">
        <v>2085084</v>
      </c>
      <c r="F78" s="75">
        <v>2086121</v>
      </c>
      <c r="G78" s="50"/>
      <c r="H78" s="54">
        <v>2020</v>
      </c>
      <c r="I78" s="46">
        <v>89.073499999999996</v>
      </c>
      <c r="J78" s="72">
        <v>5.3032595794182606</v>
      </c>
      <c r="K78" s="70">
        <v>2104288</v>
      </c>
      <c r="L78" s="50"/>
      <c r="M78" s="50"/>
      <c r="N78" s="50"/>
      <c r="O78" s="50"/>
      <c r="P78" s="50"/>
      <c r="Q78" s="50"/>
      <c r="R78" s="76"/>
      <c r="S78" s="50"/>
      <c r="T78" s="50"/>
      <c r="U78" s="50"/>
      <c r="V78" s="50"/>
      <c r="W78" s="50"/>
      <c r="X78" s="50"/>
      <c r="Y78" s="77"/>
    </row>
    <row r="79" spans="1:25">
      <c r="A79" s="50"/>
      <c r="B79" s="69" t="s">
        <v>4241</v>
      </c>
      <c r="C79" s="73">
        <v>88.192300000000003</v>
      </c>
      <c r="D79" s="72">
        <v>-0.81926838265062485</v>
      </c>
      <c r="E79" s="74">
        <v>2361920</v>
      </c>
      <c r="F79" s="75">
        <v>2354396</v>
      </c>
      <c r="G79" s="50"/>
      <c r="H79" s="54">
        <v>2021</v>
      </c>
      <c r="I79" s="46">
        <v>88.789299999999997</v>
      </c>
      <c r="J79" s="72">
        <v>-0.31906234738726835</v>
      </c>
      <c r="K79" s="70">
        <v>2284079</v>
      </c>
      <c r="L79" s="50"/>
      <c r="M79" s="50"/>
      <c r="N79" s="50"/>
      <c r="O79" s="50"/>
      <c r="P79" s="50"/>
      <c r="Q79" s="50"/>
      <c r="R79" s="76"/>
      <c r="S79" s="50"/>
      <c r="T79" s="50"/>
      <c r="U79" s="50"/>
      <c r="V79" s="50"/>
      <c r="W79" s="50"/>
      <c r="X79" s="50"/>
      <c r="Y79" s="77"/>
    </row>
    <row r="80" spans="1:25">
      <c r="A80" s="50"/>
      <c r="B80" s="69" t="s">
        <v>4242</v>
      </c>
      <c r="C80" s="73">
        <v>94.133799999999994</v>
      </c>
      <c r="D80" s="72">
        <v>6.7369827071070727</v>
      </c>
      <c r="E80" s="74">
        <v>2553253</v>
      </c>
      <c r="F80" s="75">
        <v>2555445</v>
      </c>
      <c r="G80" s="50"/>
      <c r="H80" s="54">
        <v>2022</v>
      </c>
      <c r="I80" s="46">
        <v>93.351699999999994</v>
      </c>
      <c r="J80" s="72">
        <v>5.138456998759982</v>
      </c>
      <c r="K80" s="70">
        <v>2505981</v>
      </c>
      <c r="L80" s="50"/>
      <c r="M80" s="50"/>
      <c r="N80" s="50"/>
      <c r="O80" s="50"/>
      <c r="P80" s="50"/>
      <c r="Q80" s="50"/>
      <c r="R80" s="76"/>
      <c r="S80" s="50"/>
      <c r="T80" s="50"/>
      <c r="U80" s="50"/>
      <c r="V80" s="50"/>
      <c r="W80" s="50"/>
      <c r="X80" s="50"/>
      <c r="Y80" s="50"/>
    </row>
    <row r="81" spans="1:25">
      <c r="A81" s="50"/>
      <c r="B81" s="69" t="s">
        <v>4243</v>
      </c>
      <c r="C81" s="73">
        <v>100</v>
      </c>
      <c r="D81" s="72">
        <v>6.2317679728216717</v>
      </c>
      <c r="E81" s="74">
        <v>2720272</v>
      </c>
      <c r="F81" s="75">
        <v>2717531</v>
      </c>
      <c r="G81" s="50"/>
      <c r="H81" s="54">
        <v>2023</v>
      </c>
      <c r="I81" s="46">
        <v>100</v>
      </c>
      <c r="J81" s="72">
        <v>7.1217771074335081</v>
      </c>
      <c r="K81" s="70">
        <v>2687186</v>
      </c>
      <c r="L81" s="50"/>
      <c r="M81" s="50"/>
      <c r="N81" s="50"/>
      <c r="O81" s="50"/>
      <c r="P81" s="50"/>
      <c r="Q81" s="50"/>
      <c r="R81" s="76"/>
      <c r="S81" s="50"/>
      <c r="T81" s="50"/>
      <c r="U81" s="50"/>
      <c r="V81" s="50"/>
      <c r="W81" s="50"/>
      <c r="X81" s="50"/>
      <c r="Y81" s="50"/>
    </row>
    <row r="82" spans="1:25" ht="15">
      <c r="A82" s="50"/>
      <c r="B82" s="69" t="s">
        <v>4244</v>
      </c>
      <c r="C82" s="46" t="s">
        <v>1964</v>
      </c>
      <c r="D82" s="72">
        <v>0.80384499127270637</v>
      </c>
      <c r="E82" s="74">
        <v>2785614</v>
      </c>
      <c r="F82" s="75">
        <v>2784209</v>
      </c>
      <c r="G82" s="50"/>
      <c r="H82" s="54">
        <v>2024</v>
      </c>
      <c r="I82" s="78">
        <f>I81*(100+J82)/100</f>
        <v>101.52460002617836</v>
      </c>
      <c r="J82" s="72">
        <v>1.5246000261783577</v>
      </c>
      <c r="K82" s="70">
        <v>2766360</v>
      </c>
      <c r="L82" s="50" t="s">
        <v>4245</v>
      </c>
      <c r="M82" s="50"/>
      <c r="N82" s="50"/>
      <c r="O82" s="50"/>
      <c r="P82" s="50"/>
      <c r="Q82" s="50"/>
      <c r="R82" s="76"/>
      <c r="S82" s="50"/>
      <c r="T82" s="50"/>
      <c r="U82" s="50"/>
      <c r="V82" s="50"/>
      <c r="W82" s="50"/>
      <c r="X82" s="50"/>
      <c r="Y82" s="50"/>
    </row>
    <row r="83" spans="1:25" ht="15">
      <c r="A83" s="50"/>
      <c r="B83" s="69" t="s">
        <v>4246</v>
      </c>
      <c r="C83" s="46" t="s">
        <v>1964</v>
      </c>
      <c r="D83" s="72">
        <v>1.3481709104356421</v>
      </c>
      <c r="E83" s="74">
        <v>2875062</v>
      </c>
      <c r="F83" s="75">
        <v>2876148</v>
      </c>
      <c r="G83" s="50"/>
      <c r="H83" s="54">
        <v>2025</v>
      </c>
      <c r="I83" s="79">
        <f t="shared" ref="I83:I86" si="0">I82*(100+J83)/100</f>
        <v>102.71995638453714</v>
      </c>
      <c r="J83" s="72">
        <v>1.1774056317883197</v>
      </c>
      <c r="K83" s="70">
        <v>2850872</v>
      </c>
      <c r="L83" s="50" t="s">
        <v>4245</v>
      </c>
      <c r="M83" s="50"/>
      <c r="N83" s="50"/>
      <c r="O83" s="50"/>
      <c r="P83" s="50"/>
      <c r="Q83" s="50"/>
      <c r="R83" s="50"/>
      <c r="S83" s="50"/>
      <c r="T83" s="50"/>
      <c r="U83" s="50"/>
      <c r="V83" s="50"/>
      <c r="W83" s="50"/>
      <c r="X83" s="50"/>
      <c r="Y83" s="50"/>
    </row>
    <row r="84" spans="1:25" ht="15">
      <c r="A84" s="50"/>
      <c r="B84" s="69" t="s">
        <v>4247</v>
      </c>
      <c r="C84" s="46" t="s">
        <v>1964</v>
      </c>
      <c r="D84" s="72">
        <v>1.7435225739804494</v>
      </c>
      <c r="E84" s="74">
        <v>2984832</v>
      </c>
      <c r="F84" s="75">
        <v>2984381</v>
      </c>
      <c r="G84" s="50"/>
      <c r="H84" s="54">
        <v>2026</v>
      </c>
      <c r="I84" s="79">
        <f t="shared" si="0"/>
        <v>104.44049627224773</v>
      </c>
      <c r="J84" s="72">
        <v>1.674981131484965</v>
      </c>
      <c r="K84" s="70">
        <v>2956987</v>
      </c>
      <c r="L84" s="50" t="s">
        <v>4245</v>
      </c>
      <c r="M84" s="50"/>
      <c r="N84" s="50"/>
      <c r="O84" s="50"/>
      <c r="P84" s="50"/>
      <c r="Q84" s="50"/>
      <c r="R84" s="50"/>
      <c r="S84" s="50"/>
      <c r="T84" s="50"/>
      <c r="U84" s="50"/>
      <c r="V84" s="50"/>
      <c r="W84" s="50"/>
      <c r="X84" s="50"/>
      <c r="Y84" s="50"/>
    </row>
    <row r="85" spans="1:25" ht="15">
      <c r="A85" s="50"/>
      <c r="B85" s="69" t="s">
        <v>4248</v>
      </c>
      <c r="C85" s="46" t="s">
        <v>1964</v>
      </c>
      <c r="D85" s="72">
        <v>1.8729080096689721</v>
      </c>
      <c r="E85" s="74">
        <v>3094490</v>
      </c>
      <c r="F85" s="75">
        <v>3094490</v>
      </c>
      <c r="G85" s="50"/>
      <c r="H85" s="54">
        <v>2027</v>
      </c>
      <c r="I85" s="79">
        <f t="shared" si="0"/>
        <v>106.3749846840127</v>
      </c>
      <c r="J85" s="72">
        <v>1.8522397736624008</v>
      </c>
      <c r="K85" s="70">
        <v>3066787</v>
      </c>
      <c r="L85" s="50" t="s">
        <v>4245</v>
      </c>
      <c r="M85" s="50"/>
      <c r="N85" s="50"/>
      <c r="O85" s="50"/>
      <c r="P85" s="50"/>
      <c r="Q85" s="50"/>
      <c r="R85" s="50"/>
      <c r="S85" s="50"/>
      <c r="T85" s="50"/>
      <c r="U85" s="50"/>
      <c r="V85" s="50"/>
      <c r="W85" s="50"/>
      <c r="X85" s="50"/>
      <c r="Y85" s="50"/>
    </row>
    <row r="86" spans="1:25" ht="15">
      <c r="A86" s="50"/>
      <c r="B86" s="80" t="s">
        <v>4249</v>
      </c>
      <c r="C86" s="703" t="s">
        <v>1964</v>
      </c>
      <c r="D86" s="81">
        <v>1.932743780769397</v>
      </c>
      <c r="E86" s="82">
        <v>3207476</v>
      </c>
      <c r="F86" s="82">
        <v>3207476</v>
      </c>
      <c r="G86" s="50"/>
      <c r="H86" s="83">
        <v>2028</v>
      </c>
      <c r="I86" s="704">
        <f t="shared" si="0"/>
        <v>108.42065037815078</v>
      </c>
      <c r="J86" s="81">
        <v>1.9230702596242377</v>
      </c>
      <c r="K86" s="84">
        <v>3178873</v>
      </c>
      <c r="L86" s="50" t="s">
        <v>4245</v>
      </c>
      <c r="M86" s="50"/>
      <c r="N86" s="50"/>
      <c r="O86" s="50"/>
      <c r="P86" s="50"/>
    </row>
    <row r="87" spans="1:25">
      <c r="A87" s="50"/>
      <c r="B87" s="85" t="s">
        <v>4250</v>
      </c>
      <c r="C87" s="73"/>
      <c r="D87" s="86"/>
      <c r="E87" s="76"/>
      <c r="F87" s="76"/>
      <c r="G87" s="50"/>
      <c r="H87" s="50"/>
      <c r="I87" s="50"/>
      <c r="J87" s="50"/>
      <c r="K87" s="50"/>
      <c r="L87" s="50"/>
      <c r="M87" s="50"/>
      <c r="N87" s="50"/>
      <c r="O87" s="50"/>
      <c r="P87" s="50"/>
    </row>
    <row r="88" spans="1:25">
      <c r="A88" s="50"/>
      <c r="B88" s="87" t="s">
        <v>4251</v>
      </c>
      <c r="C88" s="1496" t="s">
        <v>4252</v>
      </c>
      <c r="D88" s="1496"/>
      <c r="E88" s="1496"/>
      <c r="F88" s="1496"/>
      <c r="G88" s="1496"/>
      <c r="H88" s="1496"/>
      <c r="I88" s="1496"/>
      <c r="J88" s="1496"/>
      <c r="K88" s="1496"/>
      <c r="L88" s="50"/>
      <c r="M88" s="50"/>
      <c r="N88" s="50"/>
      <c r="O88" s="50"/>
      <c r="P88" s="50"/>
    </row>
    <row r="89" spans="1:25">
      <c r="A89" s="50"/>
      <c r="B89" s="87"/>
      <c r="C89" s="1495" t="s">
        <v>4253</v>
      </c>
      <c r="D89" s="1496"/>
      <c r="E89" s="1496"/>
      <c r="F89" s="1496"/>
      <c r="G89" s="1496"/>
      <c r="H89" s="1496"/>
      <c r="I89" s="1496"/>
      <c r="J89" s="1496"/>
      <c r="K89" s="1496"/>
      <c r="L89" s="50"/>
      <c r="M89" s="50"/>
      <c r="N89" s="50"/>
      <c r="O89" s="50"/>
      <c r="P89" s="50"/>
    </row>
    <row r="90" spans="1:25">
      <c r="A90" s="50"/>
      <c r="B90" s="87"/>
      <c r="C90" s="1496" t="s">
        <v>4254</v>
      </c>
      <c r="D90" s="1496"/>
      <c r="E90" s="1496"/>
      <c r="F90" s="1496"/>
      <c r="G90" s="1496"/>
      <c r="H90" s="1496"/>
      <c r="I90" s="1496"/>
      <c r="J90" s="1496"/>
      <c r="K90" s="1496"/>
      <c r="L90" s="50"/>
      <c r="M90" s="50"/>
      <c r="N90" s="50"/>
      <c r="O90" s="50"/>
      <c r="P90" s="50"/>
    </row>
    <row r="91" spans="1:25">
      <c r="A91" s="50"/>
      <c r="B91" s="87"/>
      <c r="C91" s="1495" t="s">
        <v>4253</v>
      </c>
      <c r="D91" s="1496"/>
      <c r="E91" s="1496"/>
      <c r="F91" s="1496"/>
      <c r="G91" s="1496"/>
      <c r="H91" s="1496"/>
      <c r="I91" s="1496"/>
      <c r="J91" s="1496"/>
      <c r="K91" s="1496"/>
      <c r="L91" s="50"/>
      <c r="M91" s="50"/>
      <c r="N91" s="50"/>
      <c r="O91" s="50"/>
      <c r="P91" s="50"/>
    </row>
    <row r="92" spans="1:25">
      <c r="A92" s="50"/>
      <c r="B92" s="87"/>
      <c r="C92" s="1498" t="s">
        <v>4255</v>
      </c>
      <c r="D92" s="1498"/>
      <c r="E92" s="1498"/>
      <c r="F92" s="1498"/>
      <c r="G92" s="1498"/>
      <c r="H92" s="1498"/>
      <c r="I92" s="1498"/>
      <c r="J92" s="1498"/>
      <c r="K92" s="1498"/>
      <c r="L92" s="50"/>
      <c r="M92" s="50"/>
      <c r="N92" s="50"/>
      <c r="O92" s="50"/>
      <c r="P92" s="50"/>
    </row>
    <row r="93" spans="1:25">
      <c r="A93" s="50"/>
      <c r="B93" s="87"/>
      <c r="C93" s="1495" t="s">
        <v>4256</v>
      </c>
      <c r="D93" s="1499"/>
      <c r="E93" s="1499"/>
      <c r="F93" s="1499"/>
      <c r="G93" s="1499"/>
      <c r="H93" s="1499"/>
      <c r="I93" s="1499"/>
      <c r="J93" s="1499"/>
      <c r="K93" s="1499"/>
      <c r="L93" s="50"/>
      <c r="M93" s="88"/>
      <c r="N93" s="88"/>
      <c r="O93" s="50"/>
      <c r="P93" s="88"/>
    </row>
    <row r="94" spans="1:25">
      <c r="A94" s="50"/>
      <c r="B94" s="87" t="s">
        <v>4257</v>
      </c>
      <c r="C94" s="1496" t="s">
        <v>4258</v>
      </c>
      <c r="D94" s="1496"/>
      <c r="E94" s="1496"/>
      <c r="F94" s="1496"/>
      <c r="G94" s="1496"/>
      <c r="H94" s="1496"/>
      <c r="I94" s="1496"/>
      <c r="J94" s="1496"/>
      <c r="K94" s="1496"/>
      <c r="L94" s="50"/>
      <c r="M94" s="88"/>
      <c r="N94" s="88"/>
      <c r="O94" s="50"/>
      <c r="P94" s="88"/>
    </row>
    <row r="95" spans="1:25">
      <c r="A95" s="50"/>
      <c r="B95" s="87"/>
      <c r="C95" s="1495" t="s">
        <v>4253</v>
      </c>
      <c r="D95" s="1496"/>
      <c r="E95" s="1496"/>
      <c r="F95" s="1496"/>
      <c r="G95" s="1496"/>
      <c r="H95" s="1496"/>
      <c r="I95" s="1496"/>
      <c r="J95" s="1496"/>
      <c r="K95" s="1496"/>
      <c r="L95" s="50"/>
      <c r="M95" s="50"/>
      <c r="N95" s="50"/>
      <c r="O95" s="50"/>
      <c r="P95" s="50"/>
    </row>
    <row r="96" spans="1:25">
      <c r="A96" s="50"/>
      <c r="B96" s="87"/>
      <c r="C96" s="1496" t="s">
        <v>4259</v>
      </c>
      <c r="D96" s="1496"/>
      <c r="E96" s="1496"/>
      <c r="F96" s="1496"/>
      <c r="G96" s="1496"/>
      <c r="H96" s="1496"/>
      <c r="I96" s="1496"/>
      <c r="J96" s="1496"/>
      <c r="K96" s="1496"/>
      <c r="L96" s="50"/>
      <c r="M96" s="88"/>
      <c r="N96" s="88"/>
      <c r="O96" s="50"/>
      <c r="P96" s="88"/>
    </row>
    <row r="97" spans="1:16">
      <c r="A97" s="50"/>
      <c r="B97" s="87"/>
      <c r="C97" s="1495" t="s">
        <v>4253</v>
      </c>
      <c r="D97" s="1496"/>
      <c r="E97" s="1496"/>
      <c r="F97" s="1496"/>
      <c r="G97" s="1496"/>
      <c r="H97" s="1496"/>
      <c r="I97" s="1496"/>
      <c r="J97" s="1496"/>
      <c r="K97" s="1496"/>
      <c r="L97" s="50"/>
      <c r="M97" s="50"/>
      <c r="N97" s="50"/>
      <c r="O97" s="50"/>
      <c r="P97" s="50"/>
    </row>
    <row r="98" spans="1:16">
      <c r="A98" s="50"/>
      <c r="B98" s="87"/>
      <c r="C98" s="1498" t="s">
        <v>4255</v>
      </c>
      <c r="D98" s="1498"/>
      <c r="E98" s="1498"/>
      <c r="F98" s="1498"/>
      <c r="G98" s="1498"/>
      <c r="H98" s="1498"/>
      <c r="I98" s="1498"/>
      <c r="J98" s="1498"/>
      <c r="K98" s="1498"/>
      <c r="L98" s="50"/>
      <c r="M98" s="50"/>
      <c r="N98" s="50"/>
      <c r="O98" s="50"/>
      <c r="P98" s="50"/>
    </row>
    <row r="99" spans="1:16">
      <c r="A99" s="50"/>
      <c r="B99" s="87"/>
      <c r="C99" s="1495" t="s">
        <v>4256</v>
      </c>
      <c r="D99" s="1496"/>
      <c r="E99" s="1496"/>
      <c r="F99" s="1496"/>
      <c r="G99" s="1496"/>
      <c r="H99" s="1496"/>
      <c r="I99" s="1496"/>
      <c r="J99" s="1496"/>
      <c r="K99" s="1496"/>
      <c r="L99" s="50"/>
      <c r="M99" s="88"/>
      <c r="N99" s="88"/>
      <c r="O99" s="50"/>
      <c r="P99" s="88"/>
    </row>
    <row r="100" spans="1:16">
      <c r="A100" s="50"/>
      <c r="B100" s="87" t="s">
        <v>4260</v>
      </c>
      <c r="C100" s="88"/>
      <c r="D100" s="89"/>
      <c r="E100" s="68"/>
      <c r="F100" s="68"/>
      <c r="G100" s="59"/>
      <c r="H100" s="59"/>
      <c r="I100" s="88"/>
      <c r="J100" s="89"/>
      <c r="K100" s="68"/>
      <c r="L100" s="50"/>
      <c r="M100" s="50"/>
      <c r="N100" s="50"/>
      <c r="O100" s="50"/>
      <c r="P100" s="50"/>
    </row>
    <row r="101" spans="1:16">
      <c r="A101" s="50"/>
      <c r="B101" s="90" t="s">
        <v>4261</v>
      </c>
      <c r="C101" s="1497" t="s">
        <v>4262</v>
      </c>
      <c r="D101" s="1497"/>
      <c r="E101" s="1497"/>
      <c r="F101" s="1497"/>
      <c r="G101" s="1497"/>
      <c r="H101" s="1497"/>
      <c r="I101" s="1497"/>
      <c r="J101" s="1497"/>
      <c r="K101" s="1497"/>
      <c r="L101" s="50"/>
      <c r="M101" s="88"/>
      <c r="N101" s="88"/>
      <c r="O101" s="50"/>
      <c r="P101" s="88"/>
    </row>
    <row r="102" spans="1:16">
      <c r="A102" s="50"/>
      <c r="B102" s="90" t="s">
        <v>4263</v>
      </c>
      <c r="C102" s="1496" t="s">
        <v>4264</v>
      </c>
      <c r="D102" s="1496"/>
      <c r="E102" s="1496"/>
      <c r="F102" s="1496"/>
      <c r="G102" s="1496"/>
      <c r="H102" s="1496"/>
      <c r="I102" s="1496"/>
      <c r="J102" s="1496"/>
      <c r="K102" s="1496"/>
      <c r="L102" s="50"/>
      <c r="M102" s="88"/>
      <c r="N102" s="88"/>
      <c r="O102" s="50"/>
      <c r="P102" s="88"/>
    </row>
    <row r="103" spans="1:16">
      <c r="A103" s="50"/>
      <c r="B103" s="90" t="s">
        <v>4265</v>
      </c>
      <c r="C103" s="1496" t="s">
        <v>4266</v>
      </c>
      <c r="D103" s="1496"/>
      <c r="E103" s="1496"/>
      <c r="F103" s="1496"/>
      <c r="G103" s="1496"/>
      <c r="H103" s="1496"/>
      <c r="I103" s="1496"/>
      <c r="J103" s="1496"/>
      <c r="K103" s="1496"/>
      <c r="L103" s="50"/>
      <c r="M103" s="88"/>
      <c r="N103" s="88"/>
      <c r="O103" s="50"/>
      <c r="P103" s="88"/>
    </row>
    <row r="104" spans="1:16">
      <c r="A104" s="50"/>
      <c r="B104" s="90" t="s">
        <v>4267</v>
      </c>
      <c r="C104" s="1496" t="s">
        <v>4268</v>
      </c>
      <c r="D104" s="1496"/>
      <c r="E104" s="1496"/>
      <c r="F104" s="1496"/>
      <c r="G104" s="1496"/>
      <c r="H104" s="1496"/>
      <c r="I104" s="1496"/>
      <c r="J104" s="1496"/>
      <c r="K104" s="1496"/>
      <c r="L104" s="50"/>
      <c r="M104" s="88"/>
      <c r="N104" s="88"/>
      <c r="O104" s="50"/>
      <c r="P104" s="88"/>
    </row>
    <row r="105" spans="1:16">
      <c r="A105" s="50"/>
      <c r="B105" s="90" t="s">
        <v>4269</v>
      </c>
      <c r="C105" s="1496" t="s">
        <v>4270</v>
      </c>
      <c r="D105" s="1496"/>
      <c r="E105" s="1496"/>
      <c r="F105" s="1496"/>
      <c r="G105" s="1496"/>
      <c r="H105" s="1496"/>
      <c r="I105" s="1496"/>
      <c r="J105" s="1496"/>
      <c r="K105" s="1496"/>
      <c r="L105" s="50"/>
      <c r="M105" s="88"/>
      <c r="N105" s="88"/>
      <c r="O105" s="50"/>
      <c r="P105" s="88"/>
    </row>
    <row r="106" spans="1:16">
      <c r="A106" s="50"/>
      <c r="B106" s="87"/>
      <c r="C106" s="1495" t="s">
        <v>4271</v>
      </c>
      <c r="D106" s="1496"/>
      <c r="E106" s="1496"/>
      <c r="F106" s="1496"/>
      <c r="G106" s="1496"/>
      <c r="H106" s="1496"/>
      <c r="I106" s="1496"/>
      <c r="J106" s="1496"/>
      <c r="K106" s="1496"/>
      <c r="L106" s="50"/>
      <c r="M106" s="88"/>
      <c r="N106" s="88"/>
      <c r="O106" s="50"/>
      <c r="P106" s="88"/>
    </row>
    <row r="107" spans="1:16">
      <c r="A107" s="50"/>
      <c r="B107" s="90" t="s">
        <v>4272</v>
      </c>
      <c r="C107" s="1496" t="s">
        <v>4273</v>
      </c>
      <c r="D107" s="1496"/>
      <c r="E107" s="1496"/>
      <c r="F107" s="1496"/>
      <c r="G107" s="1496"/>
      <c r="H107" s="1496"/>
      <c r="I107" s="1496"/>
      <c r="J107" s="1496"/>
      <c r="K107" s="1496"/>
      <c r="L107" s="50"/>
      <c r="M107" s="88"/>
      <c r="N107" s="88"/>
      <c r="O107" s="50"/>
      <c r="P107" s="88"/>
    </row>
    <row r="108" spans="1:16">
      <c r="A108" s="50"/>
      <c r="B108" s="87"/>
      <c r="C108" s="1495" t="s">
        <v>4274</v>
      </c>
      <c r="D108" s="1496"/>
      <c r="E108" s="1496"/>
      <c r="F108" s="1496"/>
      <c r="G108" s="1496"/>
      <c r="H108" s="1496"/>
      <c r="I108" s="1496"/>
      <c r="J108" s="1496"/>
      <c r="K108" s="1496"/>
      <c r="L108" s="50"/>
      <c r="M108" s="88"/>
      <c r="N108" s="88"/>
      <c r="O108" s="50"/>
      <c r="P108" s="88"/>
    </row>
    <row r="110" spans="1:16">
      <c r="A110" s="50"/>
      <c r="B110" s="50"/>
      <c r="C110" s="50"/>
      <c r="D110" s="50"/>
      <c r="E110" s="50"/>
      <c r="F110" s="50"/>
      <c r="G110" s="50"/>
      <c r="H110" s="50"/>
      <c r="I110" s="50"/>
      <c r="J110" s="50"/>
      <c r="K110" s="50"/>
      <c r="L110" s="50"/>
      <c r="M110" s="50"/>
      <c r="N110" s="50"/>
      <c r="O110" s="50"/>
      <c r="P110" s="50"/>
    </row>
  </sheetData>
  <sheetProtection algorithmName="SHA-512" hashValue="J9feJx8G0gfiEMPGPFao6+c5eI/yoCUyE26noTuj2GxTOX1VhPajx8eOrBB1BkhByFDiSstVHFaOtdkcqxYF6w==" saltValue="c+pqmpMccuTIjfvyGfxe+g==" spinCount="100000" sheet="1" objects="1" scenarios="1"/>
  <mergeCells count="28">
    <mergeCell ref="B2:B4"/>
    <mergeCell ref="C2:N4"/>
    <mergeCell ref="B8:K8"/>
    <mergeCell ref="B9:K9"/>
    <mergeCell ref="C88:K88"/>
    <mergeCell ref="H10:K10"/>
    <mergeCell ref="C11:D11"/>
    <mergeCell ref="I11:J11"/>
    <mergeCell ref="B10:F10"/>
    <mergeCell ref="C89:K89"/>
    <mergeCell ref="C92:K92"/>
    <mergeCell ref="C105:K105"/>
    <mergeCell ref="C104:K104"/>
    <mergeCell ref="C102:K102"/>
    <mergeCell ref="C93:K93"/>
    <mergeCell ref="C99:K99"/>
    <mergeCell ref="C108:K108"/>
    <mergeCell ref="C107:K107"/>
    <mergeCell ref="C90:K90"/>
    <mergeCell ref="C91:K91"/>
    <mergeCell ref="C95:K95"/>
    <mergeCell ref="C96:K96"/>
    <mergeCell ref="C94:K94"/>
    <mergeCell ref="C103:K103"/>
    <mergeCell ref="C101:K101"/>
    <mergeCell ref="C106:K106"/>
    <mergeCell ref="C97:K97"/>
    <mergeCell ref="C98:K98"/>
  </mergeCells>
  <hyperlinks>
    <hyperlink ref="C108" r:id="rId1" xr:uid="{3E6FEF21-89D0-456D-A5AF-CD223D968F28}"/>
    <hyperlink ref="C106" r:id="rId2" xr:uid="{0F907F46-3233-4E17-B9ED-765824C2E62C}"/>
    <hyperlink ref="C93:K93" r:id="rId3" display="https://obr.uk/efo/economic-and-fiscal-outlook-march-2024/" xr:uid="{08F6BC13-6BE1-4481-AAD7-54628AD1F7DE}"/>
    <hyperlink ref="C99:K99" r:id="rId4" display="https://obr.uk/efo/economic-and-fiscal-outlook-march-2024/" xr:uid="{343BA92B-4A6B-4B4C-8B0C-2F037C1A3CBD}"/>
    <hyperlink ref="C89:K89" r:id="rId5" display="https://www.ons.gov.uk/file?uri=/economy/grossdomesticproductgdp/datasets/uksecondestimateofgdpdatatables/quarter1jantomar2024quarterlynationalaccounts/quarterlynationalaccountsdatatables.xlsx" xr:uid="{885D62BA-A1FE-45C1-9638-442CAE2317DC}"/>
    <hyperlink ref="C91:K91" r:id="rId6" display="https://www.ons.gov.uk/file?uri=/economy/grossdomesticproductgdp/datasets/uksecondestimateofgdpdatatables/quarter1jantomar2024quarterlynationalaccounts/quarterlynationalaccountsdatatables.xlsx" xr:uid="{4B9F54B6-4ECC-43DA-84AC-F7879B732C35}"/>
    <hyperlink ref="C95:K95" r:id="rId7" display="https://www.ons.gov.uk/file?uri=/economy/grossdomesticproductgdp/datasets/uksecondestimateofgdpdatatables/quarter1jantomar2024quarterlynationalaccounts/quarterlynationalaccountsdatatables.xlsx" xr:uid="{B4B1ACC3-1A64-4B1A-8787-AB1C174E8771}"/>
    <hyperlink ref="C97:K97" r:id="rId8" display="https://www.ons.gov.uk/file?uri=/economy/grossdomesticproductgdp/datasets/uksecondestimateofgdpdatatables/quarter1jantomar2024quarterlynationalaccounts/quarterlynationalaccountsdatatables.xlsx" xr:uid="{F43DFDF9-173C-4B61-9D2B-3914FAE8B248}"/>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AFBC-DD60-4210-A14B-4F764C39B3E9}">
  <sheetPr codeName="Sheet56">
    <tabColor theme="7"/>
  </sheetPr>
  <dimension ref="A2:P115"/>
  <sheetViews>
    <sheetView workbookViewId="0"/>
  </sheetViews>
  <sheetFormatPr defaultColWidth="9" defaultRowHeight="14.45"/>
  <cols>
    <col min="1" max="1" width="1.375" style="7" customWidth="1"/>
    <col min="2" max="6" width="9" style="7"/>
    <col min="7" max="7" width="25.625" style="7" customWidth="1"/>
    <col min="8" max="8" width="9" style="7"/>
    <col min="9" max="9" width="38" style="7" customWidth="1"/>
    <col min="10" max="16384" width="9" style="7"/>
  </cols>
  <sheetData>
    <row r="2" spans="1:16" ht="14.25" customHeight="1">
      <c r="B2" s="1307" t="s">
        <v>169</v>
      </c>
      <c r="C2" s="1358" t="s">
        <v>4046</v>
      </c>
      <c r="D2" s="1358"/>
      <c r="E2" s="1358"/>
      <c r="F2" s="1358"/>
      <c r="G2" s="1358"/>
      <c r="H2" s="1358"/>
      <c r="I2" s="1358"/>
      <c r="J2" s="1358"/>
      <c r="K2" s="1358"/>
      <c r="L2" s="1358"/>
      <c r="M2" s="1358"/>
      <c r="N2" s="1358"/>
    </row>
    <row r="3" spans="1:16" ht="14.25" customHeight="1">
      <c r="B3" s="1307"/>
      <c r="C3" s="1358"/>
      <c r="D3" s="1358"/>
      <c r="E3" s="1358"/>
      <c r="F3" s="1358"/>
      <c r="G3" s="1358"/>
      <c r="H3" s="1358"/>
      <c r="I3" s="1358"/>
      <c r="J3" s="1358"/>
      <c r="K3" s="1358"/>
      <c r="L3" s="1358"/>
      <c r="M3" s="1358"/>
      <c r="N3" s="1358"/>
    </row>
    <row r="4" spans="1:16">
      <c r="B4" s="1307"/>
      <c r="C4" s="1358"/>
      <c r="D4" s="1358"/>
      <c r="E4" s="1358"/>
      <c r="F4" s="1358"/>
      <c r="G4" s="1358"/>
      <c r="H4" s="1358"/>
      <c r="I4" s="1358"/>
      <c r="J4" s="1358"/>
      <c r="K4" s="1358"/>
      <c r="L4" s="1358"/>
      <c r="M4" s="1358"/>
      <c r="N4" s="1358"/>
    </row>
    <row r="6" spans="1:16" ht="15.95">
      <c r="A6" s="41"/>
      <c r="B6" s="42" t="s">
        <v>4275</v>
      </c>
      <c r="C6" s="43"/>
      <c r="D6" s="44"/>
      <c r="E6" s="45"/>
      <c r="F6" s="45"/>
      <c r="G6" s="41"/>
      <c r="H6" s="41"/>
      <c r="I6" s="46"/>
      <c r="J6" s="47"/>
      <c r="K6" s="48"/>
      <c r="L6" s="41"/>
      <c r="M6" s="41"/>
    </row>
    <row r="7" spans="1:16">
      <c r="A7" s="41"/>
      <c r="B7" s="49"/>
      <c r="C7" s="43"/>
      <c r="D7" s="44"/>
      <c r="E7" s="45"/>
      <c r="F7" s="45"/>
      <c r="G7" s="41"/>
      <c r="H7" s="41"/>
      <c r="I7" s="46"/>
      <c r="J7" s="47"/>
      <c r="K7" s="48"/>
      <c r="L7" s="41"/>
      <c r="M7" s="41"/>
    </row>
    <row r="8" spans="1:16">
      <c r="B8" s="399"/>
      <c r="C8" s="1138" t="s">
        <v>4276</v>
      </c>
      <c r="D8" s="1138"/>
      <c r="E8" s="1138"/>
      <c r="G8" s="7" t="s">
        <v>4277</v>
      </c>
    </row>
    <row r="9" spans="1:16">
      <c r="A9" s="50"/>
      <c r="B9" s="399"/>
      <c r="C9" s="522" t="s">
        <v>168</v>
      </c>
      <c r="D9" s="522" t="s">
        <v>4278</v>
      </c>
      <c r="E9" s="522" t="s">
        <v>166</v>
      </c>
      <c r="F9" s="50"/>
      <c r="G9" s="7" t="s">
        <v>4279</v>
      </c>
      <c r="H9" s="50"/>
      <c r="I9" s="50"/>
      <c r="J9" s="50"/>
      <c r="K9" s="50"/>
      <c r="L9" s="50"/>
      <c r="M9" s="50"/>
      <c r="N9" s="50"/>
      <c r="O9" s="50"/>
      <c r="P9" s="50"/>
    </row>
    <row r="10" spans="1:16">
      <c r="B10" s="567">
        <v>2020</v>
      </c>
      <c r="C10" s="568">
        <v>120.47923863557756</v>
      </c>
      <c r="D10" s="568">
        <v>240.95847727115512</v>
      </c>
      <c r="E10" s="568">
        <v>361.43771590673271</v>
      </c>
    </row>
    <row r="11" spans="1:16">
      <c r="B11" s="567">
        <v>2021</v>
      </c>
      <c r="C11" s="568">
        <v>122.31394785337824</v>
      </c>
      <c r="D11" s="568">
        <v>244.62789570675648</v>
      </c>
      <c r="E11" s="568">
        <v>366.94184356013471</v>
      </c>
      <c r="G11" s="651" t="s">
        <v>4280</v>
      </c>
      <c r="H11" s="652"/>
      <c r="I11" s="653"/>
    </row>
    <row r="12" spans="1:16" ht="29.1">
      <c r="B12" s="567">
        <v>2022</v>
      </c>
      <c r="C12" s="568">
        <v>124.17659680546014</v>
      </c>
      <c r="D12" s="568">
        <v>248.35319361091999</v>
      </c>
      <c r="E12" s="568">
        <v>372.52979041638042</v>
      </c>
      <c r="G12" s="569" t="s">
        <v>4281</v>
      </c>
      <c r="H12" s="282">
        <f>'COMPANY INPUT'!$C$16</f>
        <v>2023</v>
      </c>
      <c r="I12" s="276"/>
    </row>
    <row r="13" spans="1:16">
      <c r="B13" s="567">
        <v>2023</v>
      </c>
      <c r="C13" s="568">
        <v>126.06761097001029</v>
      </c>
      <c r="D13" s="568">
        <v>252.13522194002059</v>
      </c>
      <c r="E13" s="568">
        <v>378.20283291003091</v>
      </c>
      <c r="G13" s="569" t="s">
        <v>4282</v>
      </c>
      <c r="H13" s="282">
        <f>'COMPANY INPUT'!$C$17</f>
        <v>2073</v>
      </c>
      <c r="I13" s="276" t="s">
        <v>4283</v>
      </c>
    </row>
    <row r="14" spans="1:16">
      <c r="B14" s="567">
        <v>2024</v>
      </c>
      <c r="C14" s="568">
        <v>127.98742230457898</v>
      </c>
      <c r="D14" s="568">
        <v>255.97484460915797</v>
      </c>
      <c r="E14" s="568">
        <v>383.96226691373693</v>
      </c>
      <c r="G14" s="569" t="s">
        <v>4284</v>
      </c>
      <c r="H14" s="650">
        <f>'COMPANY INPUT'!$C$18</f>
        <v>51</v>
      </c>
      <c r="I14" s="276"/>
    </row>
    <row r="15" spans="1:16">
      <c r="B15" s="567">
        <v>2025</v>
      </c>
      <c r="C15" s="568">
        <v>129.93646934475024</v>
      </c>
      <c r="D15" s="568">
        <v>259.87293868950047</v>
      </c>
      <c r="E15" s="568">
        <v>389.80940803425074</v>
      </c>
      <c r="G15" s="51"/>
    </row>
    <row r="16" spans="1:16" ht="29.1">
      <c r="B16" s="567">
        <v>2026</v>
      </c>
      <c r="C16" s="568">
        <v>131.91519730431497</v>
      </c>
      <c r="D16" s="568">
        <v>263.83039460862994</v>
      </c>
      <c r="E16" s="568">
        <v>395.74559191294492</v>
      </c>
      <c r="G16" s="569" t="s">
        <v>2876</v>
      </c>
      <c r="H16" s="570">
        <f ca="1">ROUND(AVERAGE(OFFSET(_xlfn.XLOOKUP(H12, B10:B115, D10:D115), 0, 0, H14)), 0)</f>
        <v>376</v>
      </c>
      <c r="I16" s="411" t="s">
        <v>1193</v>
      </c>
    </row>
    <row r="17" spans="2:5">
      <c r="B17" s="567">
        <v>2027</v>
      </c>
      <c r="C17" s="568">
        <v>133.92405817696951</v>
      </c>
      <c r="D17" s="568">
        <v>267.84811635393902</v>
      </c>
      <c r="E17" s="568">
        <v>401.7721745309085</v>
      </c>
    </row>
    <row r="18" spans="2:5">
      <c r="B18" s="567">
        <v>2028</v>
      </c>
      <c r="C18" s="568">
        <v>135.96351083956296</v>
      </c>
      <c r="D18" s="568">
        <v>271.92702167912591</v>
      </c>
      <c r="E18" s="568">
        <v>407.89053251868887</v>
      </c>
    </row>
    <row r="19" spans="2:5">
      <c r="B19" s="567">
        <v>2029</v>
      </c>
      <c r="C19" s="568">
        <v>138.03402115691671</v>
      </c>
      <c r="D19" s="568">
        <v>276.06804231383342</v>
      </c>
      <c r="E19" s="568">
        <v>414.10206347075012</v>
      </c>
    </row>
    <row r="20" spans="2:5">
      <c r="B20" s="567">
        <v>2030</v>
      </c>
      <c r="C20" s="568">
        <v>140.13606208824032</v>
      </c>
      <c r="D20" s="568">
        <v>280.27212417648065</v>
      </c>
      <c r="E20" s="568">
        <v>420.40818626472094</v>
      </c>
    </row>
    <row r="21" spans="2:5">
      <c r="B21" s="567">
        <v>2031</v>
      </c>
      <c r="C21" s="568">
        <v>142.27011379516784</v>
      </c>
      <c r="D21" s="571">
        <v>284.54022759033569</v>
      </c>
      <c r="E21" s="568">
        <v>426.81034138550353</v>
      </c>
    </row>
    <row r="22" spans="2:5">
      <c r="B22" s="567">
        <v>2032</v>
      </c>
      <c r="C22" s="568">
        <v>144.43666375143943</v>
      </c>
      <c r="D22" s="568">
        <v>288.87332750287885</v>
      </c>
      <c r="E22" s="568">
        <v>433.30999125431828</v>
      </c>
    </row>
    <row r="23" spans="2:5">
      <c r="B23" s="567">
        <v>2033</v>
      </c>
      <c r="C23" s="568">
        <v>146.63620685425323</v>
      </c>
      <c r="D23" s="568">
        <v>293.27241370850646</v>
      </c>
      <c r="E23" s="568">
        <v>439.90862056275967</v>
      </c>
    </row>
    <row r="24" spans="2:5">
      <c r="B24" s="567">
        <v>2034</v>
      </c>
      <c r="C24" s="568">
        <v>148.86924553731293</v>
      </c>
      <c r="D24" s="568">
        <v>297.73849107462587</v>
      </c>
      <c r="E24" s="568">
        <v>446.60773661193878</v>
      </c>
    </row>
    <row r="25" spans="2:5">
      <c r="B25" s="567">
        <v>2035</v>
      </c>
      <c r="C25" s="568">
        <v>151.13628988559688</v>
      </c>
      <c r="D25" s="568">
        <v>302.27257977119376</v>
      </c>
      <c r="E25" s="568">
        <v>453.40886965679067</v>
      </c>
    </row>
    <row r="26" spans="2:5">
      <c r="B26" s="567">
        <v>2036</v>
      </c>
      <c r="C26" s="568">
        <v>153.43785775187501</v>
      </c>
      <c r="D26" s="568">
        <v>306.87571550375003</v>
      </c>
      <c r="E26" s="568">
        <v>460.31357325562504</v>
      </c>
    </row>
    <row r="27" spans="2:5">
      <c r="B27" s="567">
        <v>2037</v>
      </c>
      <c r="C27" s="568">
        <v>155.77447487500001</v>
      </c>
      <c r="D27" s="568">
        <v>311.54894975000002</v>
      </c>
      <c r="E27" s="568">
        <v>467.32342462500003</v>
      </c>
    </row>
    <row r="28" spans="2:5">
      <c r="B28" s="567">
        <v>2038</v>
      </c>
      <c r="C28" s="568">
        <v>158.14667500000002</v>
      </c>
      <c r="D28" s="568">
        <v>316.29335000000003</v>
      </c>
      <c r="E28" s="568">
        <v>474.44002500000005</v>
      </c>
    </row>
    <row r="29" spans="2:5">
      <c r="B29" s="567">
        <v>2039</v>
      </c>
      <c r="C29" s="568">
        <v>160.55500000000001</v>
      </c>
      <c r="D29" s="568">
        <v>321.11</v>
      </c>
      <c r="E29" s="568">
        <v>481.66500000000002</v>
      </c>
    </row>
    <row r="30" spans="2:5">
      <c r="B30" s="567">
        <v>2040</v>
      </c>
      <c r="C30" s="568">
        <v>163</v>
      </c>
      <c r="D30" s="568">
        <v>326</v>
      </c>
      <c r="E30" s="568">
        <v>489</v>
      </c>
    </row>
    <row r="31" spans="2:5">
      <c r="B31" s="567">
        <v>2041</v>
      </c>
      <c r="C31" s="568">
        <v>165.44499999999999</v>
      </c>
      <c r="D31" s="568">
        <v>330.89</v>
      </c>
      <c r="E31" s="568">
        <v>496.33499999999998</v>
      </c>
    </row>
    <row r="32" spans="2:5">
      <c r="B32" s="567">
        <v>2042</v>
      </c>
      <c r="C32" s="568">
        <v>167.92667499999999</v>
      </c>
      <c r="D32" s="568">
        <v>335.85334999999998</v>
      </c>
      <c r="E32" s="568">
        <v>503.78002499999997</v>
      </c>
    </row>
    <row r="33" spans="2:5">
      <c r="B33" s="567">
        <v>2043</v>
      </c>
      <c r="C33" s="568">
        <v>170.44557512499998</v>
      </c>
      <c r="D33" s="568">
        <v>340.89115024999995</v>
      </c>
      <c r="E33" s="568">
        <v>511.3367253749999</v>
      </c>
    </row>
    <row r="34" spans="2:5">
      <c r="B34" s="567">
        <v>2044</v>
      </c>
      <c r="C34" s="568">
        <v>173.00225875187496</v>
      </c>
      <c r="D34" s="568">
        <v>346.00451750374992</v>
      </c>
      <c r="E34" s="568">
        <v>519.00677625562491</v>
      </c>
    </row>
    <row r="35" spans="2:5">
      <c r="B35" s="567">
        <v>2045</v>
      </c>
      <c r="C35" s="568">
        <v>175.59729263315307</v>
      </c>
      <c r="D35" s="568">
        <v>351.19458526630615</v>
      </c>
      <c r="E35" s="568">
        <v>526.79187789945922</v>
      </c>
    </row>
    <row r="36" spans="2:5">
      <c r="B36" s="567">
        <v>2046</v>
      </c>
      <c r="C36" s="568">
        <v>178.23125202265035</v>
      </c>
      <c r="D36" s="568">
        <v>356.4625040453007</v>
      </c>
      <c r="E36" s="568">
        <v>534.69375606795109</v>
      </c>
    </row>
    <row r="37" spans="2:5">
      <c r="B37" s="567">
        <v>2047</v>
      </c>
      <c r="C37" s="568">
        <v>180.90472080299008</v>
      </c>
      <c r="D37" s="568">
        <v>361.80944160598017</v>
      </c>
      <c r="E37" s="568">
        <v>542.7141624089702</v>
      </c>
    </row>
    <row r="38" spans="2:5">
      <c r="B38" s="567">
        <v>2048</v>
      </c>
      <c r="C38" s="568">
        <v>183.61829161503491</v>
      </c>
      <c r="D38" s="568">
        <v>367.23658323006981</v>
      </c>
      <c r="E38" s="568">
        <v>550.85487484510475</v>
      </c>
    </row>
    <row r="39" spans="2:5">
      <c r="B39" s="567">
        <v>2049</v>
      </c>
      <c r="C39" s="568">
        <v>186.37256598926041</v>
      </c>
      <c r="D39" s="568">
        <v>372.74513197852082</v>
      </c>
      <c r="E39" s="568">
        <v>559.11769796778117</v>
      </c>
    </row>
    <row r="40" spans="2:5">
      <c r="B40" s="567">
        <v>2050</v>
      </c>
      <c r="C40" s="568">
        <v>189.16815447909929</v>
      </c>
      <c r="D40" s="568">
        <v>378.33630895819857</v>
      </c>
      <c r="E40" s="568">
        <v>567.50446343729789</v>
      </c>
    </row>
    <row r="41" spans="2:5">
      <c r="B41" s="567">
        <v>2051</v>
      </c>
      <c r="C41" s="568">
        <f>C40*1.015</f>
        <v>192.00567679628577</v>
      </c>
      <c r="D41" s="568">
        <f t="shared" ref="D41:E41" si="0">D40*1.015</f>
        <v>384.01135359257154</v>
      </c>
      <c r="E41" s="568">
        <f t="shared" si="0"/>
        <v>576.01703038885728</v>
      </c>
    </row>
    <row r="42" spans="2:5">
      <c r="B42" s="567">
        <v>2052</v>
      </c>
      <c r="C42" s="568">
        <f t="shared" ref="C42:C105" si="1">C41*1.015</f>
        <v>194.88576194823003</v>
      </c>
      <c r="D42" s="568">
        <f t="shared" ref="D42:D105" si="2">D41*1.015</f>
        <v>389.77152389646005</v>
      </c>
      <c r="E42" s="568">
        <f t="shared" ref="E42:E105" si="3">E41*1.015</f>
        <v>584.65728584469014</v>
      </c>
    </row>
    <row r="43" spans="2:5">
      <c r="B43" s="567">
        <v>2053</v>
      </c>
      <c r="C43" s="568">
        <f t="shared" si="1"/>
        <v>197.80904837745345</v>
      </c>
      <c r="D43" s="568">
        <f t="shared" si="2"/>
        <v>395.6180967549069</v>
      </c>
      <c r="E43" s="568">
        <f t="shared" si="3"/>
        <v>593.42714513236047</v>
      </c>
    </row>
    <row r="44" spans="2:5">
      <c r="B44" s="567">
        <v>2054</v>
      </c>
      <c r="C44" s="568">
        <f t="shared" si="1"/>
        <v>200.77618410311524</v>
      </c>
      <c r="D44" s="568">
        <f t="shared" si="2"/>
        <v>401.55236820623048</v>
      </c>
      <c r="E44" s="568">
        <f t="shared" si="3"/>
        <v>602.32855230934581</v>
      </c>
    </row>
    <row r="45" spans="2:5">
      <c r="B45" s="567">
        <v>2055</v>
      </c>
      <c r="C45" s="568">
        <f t="shared" si="1"/>
        <v>203.78782686466195</v>
      </c>
      <c r="D45" s="568">
        <f t="shared" si="2"/>
        <v>407.5756537293239</v>
      </c>
      <c r="E45" s="568">
        <f t="shared" si="3"/>
        <v>611.36348059398597</v>
      </c>
    </row>
    <row r="46" spans="2:5">
      <c r="B46" s="567">
        <v>2056</v>
      </c>
      <c r="C46" s="568">
        <f t="shared" si="1"/>
        <v>206.84464426763185</v>
      </c>
      <c r="D46" s="568">
        <f t="shared" si="2"/>
        <v>413.6892885352637</v>
      </c>
      <c r="E46" s="568">
        <f t="shared" si="3"/>
        <v>620.53393280289572</v>
      </c>
    </row>
    <row r="47" spans="2:5">
      <c r="B47" s="567">
        <v>2057</v>
      </c>
      <c r="C47" s="568">
        <f t="shared" si="1"/>
        <v>209.94731393164631</v>
      </c>
      <c r="D47" s="568">
        <f t="shared" si="2"/>
        <v>419.89462786329261</v>
      </c>
      <c r="E47" s="568">
        <f t="shared" si="3"/>
        <v>629.84194179493909</v>
      </c>
    </row>
    <row r="48" spans="2:5">
      <c r="B48" s="567">
        <v>2058</v>
      </c>
      <c r="C48" s="568">
        <f t="shared" si="1"/>
        <v>213.09652364062097</v>
      </c>
      <c r="D48" s="568">
        <f t="shared" si="2"/>
        <v>426.19304728124195</v>
      </c>
      <c r="E48" s="568">
        <f t="shared" si="3"/>
        <v>639.28957092186306</v>
      </c>
    </row>
    <row r="49" spans="2:5">
      <c r="B49" s="567">
        <v>2059</v>
      </c>
      <c r="C49" s="568">
        <f t="shared" si="1"/>
        <v>216.29297149523026</v>
      </c>
      <c r="D49" s="568">
        <f t="shared" si="2"/>
        <v>432.58594299046052</v>
      </c>
      <c r="E49" s="568">
        <f t="shared" si="3"/>
        <v>648.87891448569098</v>
      </c>
    </row>
    <row r="50" spans="2:5">
      <c r="B50" s="567">
        <v>2060</v>
      </c>
      <c r="C50" s="568">
        <f t="shared" si="1"/>
        <v>219.5373660676587</v>
      </c>
      <c r="D50" s="568">
        <f t="shared" si="2"/>
        <v>439.07473213531739</v>
      </c>
      <c r="E50" s="568">
        <f t="shared" si="3"/>
        <v>658.61209820297631</v>
      </c>
    </row>
    <row r="51" spans="2:5">
      <c r="B51" s="567">
        <v>2061</v>
      </c>
      <c r="C51" s="568">
        <f t="shared" si="1"/>
        <v>222.83042655867357</v>
      </c>
      <c r="D51" s="568">
        <f t="shared" si="2"/>
        <v>445.66085311734713</v>
      </c>
      <c r="E51" s="568">
        <f t="shared" si="3"/>
        <v>668.49127967602089</v>
      </c>
    </row>
    <row r="52" spans="2:5">
      <c r="B52" s="567">
        <v>2062</v>
      </c>
      <c r="C52" s="568">
        <f t="shared" si="1"/>
        <v>226.17288295705364</v>
      </c>
      <c r="D52" s="568">
        <f t="shared" si="2"/>
        <v>452.34576591410729</v>
      </c>
      <c r="E52" s="568">
        <f t="shared" si="3"/>
        <v>678.51864887116119</v>
      </c>
    </row>
    <row r="53" spans="2:5">
      <c r="B53" s="567">
        <v>2063</v>
      </c>
      <c r="C53" s="568">
        <f t="shared" si="1"/>
        <v>229.56547620140944</v>
      </c>
      <c r="D53" s="568">
        <f t="shared" si="2"/>
        <v>459.13095240281888</v>
      </c>
      <c r="E53" s="568">
        <f t="shared" si="3"/>
        <v>688.69642860422857</v>
      </c>
    </row>
    <row r="54" spans="2:5">
      <c r="B54" s="567">
        <v>2064</v>
      </c>
      <c r="C54" s="568">
        <f t="shared" si="1"/>
        <v>233.00895834443057</v>
      </c>
      <c r="D54" s="568">
        <f t="shared" si="2"/>
        <v>466.01791668886113</v>
      </c>
      <c r="E54" s="568">
        <f t="shared" si="3"/>
        <v>699.02687503329196</v>
      </c>
    </row>
    <row r="55" spans="2:5">
      <c r="B55" s="567">
        <v>2065</v>
      </c>
      <c r="C55" s="568">
        <f t="shared" si="1"/>
        <v>236.504092719597</v>
      </c>
      <c r="D55" s="568">
        <f t="shared" si="2"/>
        <v>473.00818543919399</v>
      </c>
      <c r="E55" s="568">
        <f t="shared" si="3"/>
        <v>709.51227815879122</v>
      </c>
    </row>
    <row r="56" spans="2:5">
      <c r="B56" s="567">
        <v>2066</v>
      </c>
      <c r="C56" s="568">
        <f t="shared" si="1"/>
        <v>240.05165411039093</v>
      </c>
      <c r="D56" s="568">
        <f t="shared" si="2"/>
        <v>480.10330822078186</v>
      </c>
      <c r="E56" s="568">
        <f t="shared" si="3"/>
        <v>720.15496233117301</v>
      </c>
    </row>
    <row r="57" spans="2:5">
      <c r="B57" s="567">
        <v>2067</v>
      </c>
      <c r="C57" s="568">
        <f t="shared" si="1"/>
        <v>243.65242892204677</v>
      </c>
      <c r="D57" s="568">
        <f t="shared" si="2"/>
        <v>487.30485784409353</v>
      </c>
      <c r="E57" s="568">
        <f t="shared" si="3"/>
        <v>730.95728676614056</v>
      </c>
    </row>
    <row r="58" spans="2:5">
      <c r="B58" s="567">
        <v>2068</v>
      </c>
      <c r="C58" s="568">
        <f t="shared" si="1"/>
        <v>247.30721535587745</v>
      </c>
      <c r="D58" s="568">
        <f t="shared" si="2"/>
        <v>494.61443071175489</v>
      </c>
      <c r="E58" s="568">
        <f t="shared" si="3"/>
        <v>741.92164606763254</v>
      </c>
    </row>
    <row r="59" spans="2:5">
      <c r="B59" s="567">
        <v>2069</v>
      </c>
      <c r="C59" s="568">
        <f t="shared" si="1"/>
        <v>251.01682358621559</v>
      </c>
      <c r="D59" s="568">
        <f t="shared" si="2"/>
        <v>502.03364717243119</v>
      </c>
      <c r="E59" s="568">
        <f t="shared" si="3"/>
        <v>753.05047075864695</v>
      </c>
    </row>
    <row r="60" spans="2:5">
      <c r="B60" s="567">
        <v>2070</v>
      </c>
      <c r="C60" s="568">
        <f t="shared" si="1"/>
        <v>254.78207594000881</v>
      </c>
      <c r="D60" s="568">
        <f t="shared" si="2"/>
        <v>509.56415188001762</v>
      </c>
      <c r="E60" s="568">
        <f t="shared" si="3"/>
        <v>764.34622782002657</v>
      </c>
    </row>
    <row r="61" spans="2:5">
      <c r="B61" s="567">
        <v>2071</v>
      </c>
      <c r="C61" s="568">
        <f t="shared" si="1"/>
        <v>258.60380707910889</v>
      </c>
      <c r="D61" s="568">
        <f t="shared" si="2"/>
        <v>517.20761415821778</v>
      </c>
      <c r="E61" s="568">
        <f t="shared" si="3"/>
        <v>775.81142123732684</v>
      </c>
    </row>
    <row r="62" spans="2:5">
      <c r="B62" s="567">
        <v>2072</v>
      </c>
      <c r="C62" s="568">
        <f t="shared" si="1"/>
        <v>262.48286418529551</v>
      </c>
      <c r="D62" s="568">
        <f t="shared" si="2"/>
        <v>524.96572837059102</v>
      </c>
      <c r="E62" s="568">
        <f t="shared" si="3"/>
        <v>787.44859255588665</v>
      </c>
    </row>
    <row r="63" spans="2:5">
      <c r="B63" s="567">
        <v>2073</v>
      </c>
      <c r="C63" s="568">
        <f t="shared" si="1"/>
        <v>266.42010714807492</v>
      </c>
      <c r="D63" s="568">
        <f t="shared" si="2"/>
        <v>532.84021429614984</v>
      </c>
      <c r="E63" s="568">
        <f t="shared" si="3"/>
        <v>799.26032144422481</v>
      </c>
    </row>
    <row r="64" spans="2:5">
      <c r="B64" s="567">
        <v>2074</v>
      </c>
      <c r="C64" s="568">
        <f t="shared" si="1"/>
        <v>270.416408755296</v>
      </c>
      <c r="D64" s="568">
        <f t="shared" si="2"/>
        <v>540.83281751059201</v>
      </c>
      <c r="E64" s="568">
        <f t="shared" si="3"/>
        <v>811.24922626588807</v>
      </c>
    </row>
    <row r="65" spans="2:5">
      <c r="B65" s="567">
        <v>2075</v>
      </c>
      <c r="C65" s="568">
        <f t="shared" si="1"/>
        <v>274.47265488662543</v>
      </c>
      <c r="D65" s="568">
        <f t="shared" si="2"/>
        <v>548.94530977325087</v>
      </c>
      <c r="E65" s="568">
        <f t="shared" si="3"/>
        <v>823.41796465987636</v>
      </c>
    </row>
    <row r="66" spans="2:5">
      <c r="B66" s="567">
        <v>2076</v>
      </c>
      <c r="C66" s="568">
        <f t="shared" si="1"/>
        <v>278.58974470992479</v>
      </c>
      <c r="D66" s="568">
        <f t="shared" si="2"/>
        <v>557.17948941984957</v>
      </c>
      <c r="E66" s="568">
        <f t="shared" si="3"/>
        <v>835.76923412977442</v>
      </c>
    </row>
    <row r="67" spans="2:5">
      <c r="B67" s="567">
        <v>2077</v>
      </c>
      <c r="C67" s="568">
        <f t="shared" si="1"/>
        <v>282.76859088057364</v>
      </c>
      <c r="D67" s="568">
        <f t="shared" si="2"/>
        <v>565.53718176114728</v>
      </c>
      <c r="E67" s="568">
        <f t="shared" si="3"/>
        <v>848.30577264172098</v>
      </c>
    </row>
    <row r="68" spans="2:5">
      <c r="B68" s="567">
        <v>2078</v>
      </c>
      <c r="C68" s="568">
        <f t="shared" si="1"/>
        <v>287.01011974378224</v>
      </c>
      <c r="D68" s="568">
        <f t="shared" si="2"/>
        <v>574.02023948756448</v>
      </c>
      <c r="E68" s="568">
        <f t="shared" si="3"/>
        <v>861.03035923134667</v>
      </c>
    </row>
    <row r="69" spans="2:5">
      <c r="B69" s="567">
        <v>2079</v>
      </c>
      <c r="C69" s="568">
        <f t="shared" si="1"/>
        <v>291.31527153993892</v>
      </c>
      <c r="D69" s="568">
        <f t="shared" si="2"/>
        <v>582.63054307987784</v>
      </c>
      <c r="E69" s="568">
        <f t="shared" si="3"/>
        <v>873.94581461981682</v>
      </c>
    </row>
    <row r="70" spans="2:5">
      <c r="B70" s="567">
        <v>2080</v>
      </c>
      <c r="C70" s="568">
        <f t="shared" si="1"/>
        <v>295.68500061303797</v>
      </c>
      <c r="D70" s="568">
        <f t="shared" si="2"/>
        <v>591.37000122607594</v>
      </c>
      <c r="E70" s="568">
        <f t="shared" si="3"/>
        <v>887.05500183911397</v>
      </c>
    </row>
    <row r="71" spans="2:5">
      <c r="B71" s="567">
        <v>2081</v>
      </c>
      <c r="C71" s="568">
        <f t="shared" si="1"/>
        <v>300.12027562223352</v>
      </c>
      <c r="D71" s="568">
        <f t="shared" si="2"/>
        <v>600.24055124446704</v>
      </c>
      <c r="E71" s="568">
        <f t="shared" si="3"/>
        <v>900.36082686670056</v>
      </c>
    </row>
    <row r="72" spans="2:5">
      <c r="B72" s="567">
        <v>2082</v>
      </c>
      <c r="C72" s="568">
        <f t="shared" si="1"/>
        <v>304.62207975656702</v>
      </c>
      <c r="D72" s="568">
        <f t="shared" si="2"/>
        <v>609.24415951313404</v>
      </c>
      <c r="E72" s="568">
        <f t="shared" si="3"/>
        <v>913.86623926970094</v>
      </c>
    </row>
    <row r="73" spans="2:5">
      <c r="B73" s="567">
        <v>2083</v>
      </c>
      <c r="C73" s="568">
        <f t="shared" si="1"/>
        <v>309.19141095291548</v>
      </c>
      <c r="D73" s="568">
        <f t="shared" si="2"/>
        <v>618.38282190583095</v>
      </c>
      <c r="E73" s="568">
        <f t="shared" si="3"/>
        <v>927.57423285874631</v>
      </c>
    </row>
    <row r="74" spans="2:5">
      <c r="B74" s="567">
        <v>2084</v>
      </c>
      <c r="C74" s="568">
        <f t="shared" si="1"/>
        <v>313.82928211720917</v>
      </c>
      <c r="D74" s="568">
        <f t="shared" si="2"/>
        <v>627.65856423441835</v>
      </c>
      <c r="E74" s="568">
        <f t="shared" si="3"/>
        <v>941.48784635162747</v>
      </c>
    </row>
    <row r="75" spans="2:5">
      <c r="B75" s="567">
        <v>2085</v>
      </c>
      <c r="C75" s="568">
        <f t="shared" si="1"/>
        <v>318.53672134896726</v>
      </c>
      <c r="D75" s="568">
        <f t="shared" si="2"/>
        <v>637.07344269793452</v>
      </c>
      <c r="E75" s="568">
        <f t="shared" si="3"/>
        <v>955.61016404690179</v>
      </c>
    </row>
    <row r="76" spans="2:5">
      <c r="B76" s="567">
        <v>2086</v>
      </c>
      <c r="C76" s="568">
        <f t="shared" si="1"/>
        <v>323.31477216920172</v>
      </c>
      <c r="D76" s="568">
        <f t="shared" si="2"/>
        <v>646.62954433840343</v>
      </c>
      <c r="E76" s="568">
        <f t="shared" si="3"/>
        <v>969.94431650760521</v>
      </c>
    </row>
    <row r="77" spans="2:5">
      <c r="B77" s="567">
        <v>2087</v>
      </c>
      <c r="C77" s="568">
        <f t="shared" si="1"/>
        <v>328.16449375173971</v>
      </c>
      <c r="D77" s="568">
        <f t="shared" si="2"/>
        <v>656.32898750347942</v>
      </c>
      <c r="E77" s="568">
        <f t="shared" si="3"/>
        <v>984.49348125521919</v>
      </c>
    </row>
    <row r="78" spans="2:5">
      <c r="B78" s="567">
        <v>2088</v>
      </c>
      <c r="C78" s="568">
        <f t="shared" si="1"/>
        <v>333.08696115801575</v>
      </c>
      <c r="D78" s="568">
        <f t="shared" si="2"/>
        <v>666.17392231603151</v>
      </c>
      <c r="E78" s="568">
        <f t="shared" si="3"/>
        <v>999.26088347404743</v>
      </c>
    </row>
    <row r="79" spans="2:5">
      <c r="B79" s="567">
        <v>2089</v>
      </c>
      <c r="C79" s="568">
        <f t="shared" si="1"/>
        <v>338.08326557538595</v>
      </c>
      <c r="D79" s="568">
        <f t="shared" si="2"/>
        <v>676.1665311507719</v>
      </c>
      <c r="E79" s="568">
        <f t="shared" si="3"/>
        <v>1014.249796726158</v>
      </c>
    </row>
    <row r="80" spans="2:5">
      <c r="B80" s="567">
        <v>2090</v>
      </c>
      <c r="C80" s="568">
        <f t="shared" si="1"/>
        <v>343.15451455901672</v>
      </c>
      <c r="D80" s="568">
        <f t="shared" si="2"/>
        <v>686.30902911803344</v>
      </c>
      <c r="E80" s="568">
        <f t="shared" si="3"/>
        <v>1029.4635436770502</v>
      </c>
    </row>
    <row r="81" spans="2:5">
      <c r="B81" s="567">
        <v>2091</v>
      </c>
      <c r="C81" s="568">
        <f t="shared" si="1"/>
        <v>348.30183227740196</v>
      </c>
      <c r="D81" s="568">
        <f t="shared" si="2"/>
        <v>696.60366455480391</v>
      </c>
      <c r="E81" s="568">
        <f t="shared" si="3"/>
        <v>1044.9054968322059</v>
      </c>
    </row>
    <row r="82" spans="2:5">
      <c r="B82" s="567">
        <v>2092</v>
      </c>
      <c r="C82" s="568">
        <f t="shared" si="1"/>
        <v>353.52635976156296</v>
      </c>
      <c r="D82" s="568">
        <f t="shared" si="2"/>
        <v>707.05271952312592</v>
      </c>
      <c r="E82" s="568">
        <f t="shared" si="3"/>
        <v>1060.579079284689</v>
      </c>
    </row>
    <row r="83" spans="2:5">
      <c r="B83" s="567">
        <v>2093</v>
      </c>
      <c r="C83" s="568">
        <f t="shared" si="1"/>
        <v>358.82925515798638</v>
      </c>
      <c r="D83" s="568">
        <f t="shared" si="2"/>
        <v>717.65851031597276</v>
      </c>
      <c r="E83" s="568">
        <f t="shared" si="3"/>
        <v>1076.4877654739591</v>
      </c>
    </row>
    <row r="84" spans="2:5">
      <c r="B84" s="567">
        <v>2094</v>
      </c>
      <c r="C84" s="568">
        <f t="shared" si="1"/>
        <v>364.21169398535613</v>
      </c>
      <c r="D84" s="568">
        <f t="shared" si="2"/>
        <v>728.42338797071227</v>
      </c>
      <c r="E84" s="568">
        <f t="shared" si="3"/>
        <v>1092.6350819560685</v>
      </c>
    </row>
    <row r="85" spans="2:5">
      <c r="B85" s="567">
        <v>2095</v>
      </c>
      <c r="C85" s="568">
        <f t="shared" si="1"/>
        <v>369.67486939513645</v>
      </c>
      <c r="D85" s="568">
        <f t="shared" si="2"/>
        <v>739.34973879027291</v>
      </c>
      <c r="E85" s="568">
        <f t="shared" si="3"/>
        <v>1109.0246081854093</v>
      </c>
    </row>
    <row r="86" spans="2:5">
      <c r="B86" s="567">
        <v>2096</v>
      </c>
      <c r="C86" s="568">
        <f t="shared" si="1"/>
        <v>375.21999243606348</v>
      </c>
      <c r="D86" s="568">
        <f t="shared" si="2"/>
        <v>750.43998487212696</v>
      </c>
      <c r="E86" s="568">
        <f t="shared" si="3"/>
        <v>1125.6599773081903</v>
      </c>
    </row>
    <row r="87" spans="2:5">
      <c r="B87" s="567">
        <v>2097</v>
      </c>
      <c r="C87" s="568">
        <f t="shared" si="1"/>
        <v>380.84829232260438</v>
      </c>
      <c r="D87" s="568">
        <f t="shared" si="2"/>
        <v>761.69658464520876</v>
      </c>
      <c r="E87" s="568">
        <f t="shared" si="3"/>
        <v>1142.544876967813</v>
      </c>
    </row>
    <row r="88" spans="2:5">
      <c r="B88" s="567">
        <v>2098</v>
      </c>
      <c r="C88" s="568">
        <f t="shared" si="1"/>
        <v>386.5610167074434</v>
      </c>
      <c r="D88" s="568">
        <f t="shared" si="2"/>
        <v>773.1220334148868</v>
      </c>
      <c r="E88" s="568">
        <f t="shared" si="3"/>
        <v>1159.6830501223301</v>
      </c>
    </row>
    <row r="89" spans="2:5">
      <c r="B89" s="567">
        <v>2099</v>
      </c>
      <c r="C89" s="568">
        <f t="shared" si="1"/>
        <v>392.35943195805504</v>
      </c>
      <c r="D89" s="568">
        <f t="shared" si="2"/>
        <v>784.71886391611008</v>
      </c>
      <c r="E89" s="568">
        <f t="shared" si="3"/>
        <v>1177.078295874165</v>
      </c>
    </row>
    <row r="90" spans="2:5">
      <c r="B90" s="567">
        <v>2100</v>
      </c>
      <c r="C90" s="568">
        <f t="shared" si="1"/>
        <v>398.24482343742585</v>
      </c>
      <c r="D90" s="568">
        <f t="shared" si="2"/>
        <v>796.4896468748517</v>
      </c>
      <c r="E90" s="568">
        <f t="shared" si="3"/>
        <v>1194.7344703122774</v>
      </c>
    </row>
    <row r="91" spans="2:5">
      <c r="B91" s="567">
        <v>2101</v>
      </c>
      <c r="C91" s="568">
        <f t="shared" si="1"/>
        <v>404.21849578898718</v>
      </c>
      <c r="D91" s="568">
        <f t="shared" si="2"/>
        <v>808.43699157797437</v>
      </c>
      <c r="E91" s="568">
        <f t="shared" si="3"/>
        <v>1212.6554873669613</v>
      </c>
    </row>
    <row r="92" spans="2:5">
      <c r="B92" s="567">
        <v>2102</v>
      </c>
      <c r="C92" s="568">
        <f t="shared" si="1"/>
        <v>410.28177322582195</v>
      </c>
      <c r="D92" s="568">
        <f t="shared" si="2"/>
        <v>820.5635464516439</v>
      </c>
      <c r="E92" s="568">
        <f t="shared" si="3"/>
        <v>1230.8453196774656</v>
      </c>
    </row>
    <row r="93" spans="2:5">
      <c r="B93" s="567">
        <v>2103</v>
      </c>
      <c r="C93" s="568">
        <f t="shared" si="1"/>
        <v>416.43599982420926</v>
      </c>
      <c r="D93" s="568">
        <f t="shared" si="2"/>
        <v>832.87199964841852</v>
      </c>
      <c r="E93" s="568">
        <f t="shared" si="3"/>
        <v>1249.3079994726274</v>
      </c>
    </row>
    <row r="94" spans="2:5">
      <c r="B94" s="567">
        <v>2104</v>
      </c>
      <c r="C94" s="568">
        <f t="shared" si="1"/>
        <v>422.68253982157233</v>
      </c>
      <c r="D94" s="568">
        <f t="shared" si="2"/>
        <v>845.36507964314467</v>
      </c>
      <c r="E94" s="568">
        <f t="shared" si="3"/>
        <v>1268.0476194647167</v>
      </c>
    </row>
    <row r="95" spans="2:5">
      <c r="B95" s="567">
        <v>2105</v>
      </c>
      <c r="C95" s="568">
        <f t="shared" si="1"/>
        <v>429.02277791889588</v>
      </c>
      <c r="D95" s="568">
        <f t="shared" si="2"/>
        <v>858.04555583779177</v>
      </c>
      <c r="E95" s="568">
        <f t="shared" si="3"/>
        <v>1287.0683337566873</v>
      </c>
    </row>
    <row r="96" spans="2:5">
      <c r="B96" s="567">
        <v>2106</v>
      </c>
      <c r="C96" s="568">
        <f t="shared" si="1"/>
        <v>435.45811958767928</v>
      </c>
      <c r="D96" s="568">
        <f t="shared" si="2"/>
        <v>870.91623917535856</v>
      </c>
      <c r="E96" s="568">
        <f t="shared" si="3"/>
        <v>1306.3743587630374</v>
      </c>
    </row>
    <row r="97" spans="2:5">
      <c r="B97" s="567">
        <v>2107</v>
      </c>
      <c r="C97" s="568">
        <f t="shared" si="1"/>
        <v>441.98999138149441</v>
      </c>
      <c r="D97" s="568">
        <f t="shared" si="2"/>
        <v>883.97998276298881</v>
      </c>
      <c r="E97" s="568">
        <f t="shared" si="3"/>
        <v>1325.9699741444829</v>
      </c>
    </row>
    <row r="98" spans="2:5">
      <c r="B98" s="567">
        <v>2108</v>
      </c>
      <c r="C98" s="568">
        <f t="shared" si="1"/>
        <v>448.61984125221676</v>
      </c>
      <c r="D98" s="568">
        <f t="shared" si="2"/>
        <v>897.23968250443352</v>
      </c>
      <c r="E98" s="568">
        <f t="shared" si="3"/>
        <v>1345.8595237566499</v>
      </c>
    </row>
    <row r="99" spans="2:5">
      <c r="B99" s="567">
        <v>2109</v>
      </c>
      <c r="C99" s="568">
        <f t="shared" si="1"/>
        <v>455.34913887099998</v>
      </c>
      <c r="D99" s="568">
        <f t="shared" si="2"/>
        <v>910.69827774199996</v>
      </c>
      <c r="E99" s="568">
        <f t="shared" si="3"/>
        <v>1366.0474166129995</v>
      </c>
    </row>
    <row r="100" spans="2:5">
      <c r="B100" s="567">
        <v>2110</v>
      </c>
      <c r="C100" s="568">
        <f t="shared" si="1"/>
        <v>462.17937595406494</v>
      </c>
      <c r="D100" s="568">
        <f t="shared" si="2"/>
        <v>924.35875190812988</v>
      </c>
      <c r="E100" s="568">
        <f t="shared" si="3"/>
        <v>1386.5381278621944</v>
      </c>
    </row>
    <row r="101" spans="2:5">
      <c r="B101" s="567">
        <v>2111</v>
      </c>
      <c r="C101" s="568">
        <f t="shared" si="1"/>
        <v>469.11206659337586</v>
      </c>
      <c r="D101" s="568">
        <f t="shared" si="2"/>
        <v>938.22413318675171</v>
      </c>
      <c r="E101" s="568">
        <f t="shared" si="3"/>
        <v>1407.3361997801271</v>
      </c>
    </row>
    <row r="102" spans="2:5">
      <c r="B102" s="567">
        <v>2112</v>
      </c>
      <c r="C102" s="568">
        <f t="shared" si="1"/>
        <v>476.14874759227644</v>
      </c>
      <c r="D102" s="568">
        <f t="shared" si="2"/>
        <v>952.29749518455287</v>
      </c>
      <c r="E102" s="568">
        <f t="shared" si="3"/>
        <v>1428.446242776829</v>
      </c>
    </row>
    <row r="103" spans="2:5">
      <c r="B103" s="567">
        <v>2113</v>
      </c>
      <c r="C103" s="568">
        <f t="shared" si="1"/>
        <v>483.29097880616052</v>
      </c>
      <c r="D103" s="568">
        <f t="shared" si="2"/>
        <v>966.58195761232105</v>
      </c>
      <c r="E103" s="568">
        <f t="shared" si="3"/>
        <v>1449.8729364184812</v>
      </c>
    </row>
    <row r="104" spans="2:5">
      <c r="B104" s="567">
        <v>2114</v>
      </c>
      <c r="C104" s="568">
        <f t="shared" si="1"/>
        <v>490.54034348825286</v>
      </c>
      <c r="D104" s="568">
        <f t="shared" si="2"/>
        <v>981.08068697650572</v>
      </c>
      <c r="E104" s="568">
        <f t="shared" si="3"/>
        <v>1471.6210304647584</v>
      </c>
    </row>
    <row r="105" spans="2:5">
      <c r="B105" s="567">
        <v>2115</v>
      </c>
      <c r="C105" s="568">
        <f t="shared" si="1"/>
        <v>497.89844864057659</v>
      </c>
      <c r="D105" s="568">
        <f t="shared" si="2"/>
        <v>995.79689728115318</v>
      </c>
      <c r="E105" s="568">
        <f t="shared" si="3"/>
        <v>1493.6953459217295</v>
      </c>
    </row>
    <row r="106" spans="2:5">
      <c r="B106" s="567">
        <v>2116</v>
      </c>
      <c r="C106" s="568">
        <f t="shared" ref="C106:C114" si="4">C105*1.015</f>
        <v>505.36692537018519</v>
      </c>
      <c r="D106" s="568">
        <f t="shared" ref="D106:D114" si="5">D105*1.015</f>
        <v>1010.7338507403704</v>
      </c>
      <c r="E106" s="568">
        <f t="shared" ref="E106:E114" si="6">E105*1.015</f>
        <v>1516.1007761105554</v>
      </c>
    </row>
    <row r="107" spans="2:5">
      <c r="B107" s="567">
        <v>2117</v>
      </c>
      <c r="C107" s="568">
        <f t="shared" si="4"/>
        <v>512.94742925073797</v>
      </c>
      <c r="D107" s="568">
        <f t="shared" si="5"/>
        <v>1025.8948585014759</v>
      </c>
      <c r="E107" s="568">
        <f t="shared" si="6"/>
        <v>1538.8422877522137</v>
      </c>
    </row>
    <row r="108" spans="2:5">
      <c r="B108" s="567">
        <v>2118</v>
      </c>
      <c r="C108" s="568">
        <f t="shared" si="4"/>
        <v>520.64164068949901</v>
      </c>
      <c r="D108" s="568">
        <f t="shared" si="5"/>
        <v>1041.283281378998</v>
      </c>
      <c r="E108" s="568">
        <f t="shared" si="6"/>
        <v>1561.9249220684967</v>
      </c>
    </row>
    <row r="109" spans="2:5">
      <c r="B109" s="567">
        <v>2119</v>
      </c>
      <c r="C109" s="568">
        <f t="shared" si="4"/>
        <v>528.45126529984145</v>
      </c>
      <c r="D109" s="568">
        <f t="shared" si="5"/>
        <v>1056.9025305996829</v>
      </c>
      <c r="E109" s="568">
        <f t="shared" si="6"/>
        <v>1585.3537958995239</v>
      </c>
    </row>
    <row r="110" spans="2:5">
      <c r="B110" s="567">
        <v>2120</v>
      </c>
      <c r="C110" s="568">
        <f t="shared" si="4"/>
        <v>536.37803427933898</v>
      </c>
      <c r="D110" s="568">
        <f t="shared" si="5"/>
        <v>1072.756068558678</v>
      </c>
      <c r="E110" s="568">
        <f t="shared" si="6"/>
        <v>1609.1341028380166</v>
      </c>
    </row>
    <row r="111" spans="2:5">
      <c r="B111" s="567">
        <v>2121</v>
      </c>
      <c r="C111" s="568">
        <f t="shared" si="4"/>
        <v>544.42370479352905</v>
      </c>
      <c r="D111" s="568">
        <f t="shared" si="5"/>
        <v>1088.8474095870581</v>
      </c>
      <c r="E111" s="568">
        <f t="shared" si="6"/>
        <v>1633.2711143805866</v>
      </c>
    </row>
    <row r="112" spans="2:5">
      <c r="B112" s="567">
        <v>2122</v>
      </c>
      <c r="C112" s="568">
        <f t="shared" si="4"/>
        <v>552.5900603654319</v>
      </c>
      <c r="D112" s="568">
        <f t="shared" si="5"/>
        <v>1105.1801207308638</v>
      </c>
      <c r="E112" s="568">
        <f t="shared" si="6"/>
        <v>1657.7701810962953</v>
      </c>
    </row>
    <row r="113" spans="2:5">
      <c r="B113" s="567">
        <v>2123</v>
      </c>
      <c r="C113" s="568">
        <f t="shared" si="4"/>
        <v>560.87891127091336</v>
      </c>
      <c r="D113" s="568">
        <f t="shared" si="5"/>
        <v>1121.7578225418267</v>
      </c>
      <c r="E113" s="568">
        <f t="shared" si="6"/>
        <v>1682.6367338127395</v>
      </c>
    </row>
    <row r="114" spans="2:5">
      <c r="B114" s="567">
        <v>2124</v>
      </c>
      <c r="C114" s="568">
        <f t="shared" si="4"/>
        <v>569.29209493997701</v>
      </c>
      <c r="D114" s="568">
        <f t="shared" si="5"/>
        <v>1138.584189879954</v>
      </c>
      <c r="E114" s="568">
        <f t="shared" si="6"/>
        <v>1707.8762848199306</v>
      </c>
    </row>
    <row r="115" spans="2:5">
      <c r="B115" s="567">
        <v>2125</v>
      </c>
      <c r="C115" s="568">
        <f t="shared" ref="C115" si="7">C114*1.015</f>
        <v>577.83147636407659</v>
      </c>
      <c r="D115" s="568">
        <f t="shared" ref="D115" si="8">D114*1.015</f>
        <v>1155.6629527281532</v>
      </c>
      <c r="E115" s="568">
        <f t="shared" ref="E115" si="9">E114*1.015</f>
        <v>1733.4944290922294</v>
      </c>
    </row>
  </sheetData>
  <sheetProtection algorithmName="SHA-512" hashValue="kqhK2FHjEHIv4T9xczIhG6GzgYZxMRKz7MlyEiR7QVvv4oID/kaMEj/2DyWpjpKgnd7481Drq/3IdalAmrwnkg==" saltValue="EVHZLvVPCVdvTPGA1A6qpg==" spinCount="100000" sheet="1" objects="1" scenarios="1"/>
  <mergeCells count="3">
    <mergeCell ref="C8:E8"/>
    <mergeCell ref="B2:B4"/>
    <mergeCell ref="C2:N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4BABF-3EDC-49CD-AD6A-1658BB738BBD}">
  <sheetPr codeName="Sheet57">
    <tabColor theme="7"/>
  </sheetPr>
  <dimension ref="B1:G79"/>
  <sheetViews>
    <sheetView workbookViewId="0"/>
  </sheetViews>
  <sheetFormatPr defaultColWidth="9" defaultRowHeight="14.45"/>
  <cols>
    <col min="1" max="1" width="9" style="22"/>
    <col min="2" max="6" width="21.5" style="22" customWidth="1"/>
    <col min="7" max="7" width="20.625" style="22" customWidth="1"/>
    <col min="8" max="9" width="9" style="22"/>
    <col min="10" max="12" width="26.125" style="22" customWidth="1"/>
    <col min="13" max="16384" width="9" style="22"/>
  </cols>
  <sheetData>
    <row r="1" spans="2:6">
      <c r="B1" s="253" t="s">
        <v>4285</v>
      </c>
    </row>
    <row r="3" spans="2:6">
      <c r="B3" s="254" t="s">
        <v>4286</v>
      </c>
      <c r="C3" s="15"/>
      <c r="D3" s="15"/>
      <c r="E3" s="15"/>
      <c r="F3" s="15" t="s">
        <v>4287</v>
      </c>
    </row>
    <row r="4" spans="2:6">
      <c r="B4" s="277" t="s">
        <v>4288</v>
      </c>
      <c r="C4" s="277" t="s">
        <v>331</v>
      </c>
      <c r="D4" s="277" t="s">
        <v>226</v>
      </c>
      <c r="E4" s="277" t="s">
        <v>913</v>
      </c>
      <c r="F4" s="393" t="s">
        <v>169</v>
      </c>
    </row>
    <row r="5" spans="2:6">
      <c r="B5" s="299" t="s">
        <v>820</v>
      </c>
      <c r="C5" s="572">
        <v>2313356</v>
      </c>
      <c r="D5" s="375" t="s">
        <v>360</v>
      </c>
      <c r="E5" s="278">
        <v>52</v>
      </c>
      <c r="F5" s="391" t="s">
        <v>1243</v>
      </c>
    </row>
    <row r="6" spans="2:6">
      <c r="B6" s="299" t="s">
        <v>821</v>
      </c>
      <c r="C6" s="572">
        <v>1473786</v>
      </c>
      <c r="D6" s="375" t="s">
        <v>360</v>
      </c>
      <c r="E6" s="278">
        <v>52</v>
      </c>
      <c r="F6" s="391" t="s">
        <v>1243</v>
      </c>
    </row>
    <row r="7" spans="2:6">
      <c r="B7" s="299" t="s">
        <v>822</v>
      </c>
      <c r="C7" s="572">
        <v>106462</v>
      </c>
      <c r="D7" s="375" t="s">
        <v>360</v>
      </c>
      <c r="E7" s="278">
        <v>52</v>
      </c>
      <c r="F7" s="391" t="s">
        <v>1243</v>
      </c>
    </row>
    <row r="8" spans="2:6">
      <c r="B8" s="299" t="s">
        <v>823</v>
      </c>
      <c r="C8" s="572">
        <v>2094202.0000000002</v>
      </c>
      <c r="D8" s="375" t="s">
        <v>360</v>
      </c>
      <c r="E8" s="278">
        <v>52</v>
      </c>
      <c r="F8" s="391" t="s">
        <v>1243</v>
      </c>
    </row>
    <row r="9" spans="2:6">
      <c r="B9" s="299" t="s">
        <v>824</v>
      </c>
      <c r="C9" s="572">
        <v>3776904</v>
      </c>
      <c r="D9" s="375" t="s">
        <v>360</v>
      </c>
      <c r="E9" s="278">
        <v>52</v>
      </c>
      <c r="F9" s="391" t="s">
        <v>1243</v>
      </c>
    </row>
    <row r="10" spans="2:6">
      <c r="B10" s="299" t="s">
        <v>329</v>
      </c>
      <c r="C10" s="572">
        <v>1165610</v>
      </c>
      <c r="D10" s="375" t="s">
        <v>360</v>
      </c>
      <c r="E10" s="278">
        <v>52</v>
      </c>
      <c r="F10" s="391" t="s">
        <v>1243</v>
      </c>
    </row>
    <row r="11" spans="2:6">
      <c r="B11" s="299" t="s">
        <v>826</v>
      </c>
      <c r="C11" s="572">
        <v>4058850</v>
      </c>
      <c r="D11" s="375" t="s">
        <v>360</v>
      </c>
      <c r="E11" s="278">
        <v>52</v>
      </c>
      <c r="F11" s="391" t="s">
        <v>1243</v>
      </c>
    </row>
    <row r="12" spans="2:6">
      <c r="B12" s="278" t="s">
        <v>4289</v>
      </c>
      <c r="C12" s="304">
        <v>3464433</v>
      </c>
      <c r="D12" s="375" t="s">
        <v>360</v>
      </c>
      <c r="E12" s="278">
        <v>52</v>
      </c>
      <c r="F12" s="391" t="s">
        <v>1243</v>
      </c>
    </row>
    <row r="13" spans="2:6">
      <c r="B13" s="278" t="s">
        <v>828</v>
      </c>
      <c r="C13" s="304">
        <v>642089</v>
      </c>
      <c r="D13" s="375" t="s">
        <v>360</v>
      </c>
      <c r="E13" s="278">
        <v>52</v>
      </c>
      <c r="F13" s="391" t="s">
        <v>1243</v>
      </c>
    </row>
    <row r="14" spans="2:6">
      <c r="B14" s="278" t="s">
        <v>829</v>
      </c>
      <c r="C14" s="304">
        <v>2393280</v>
      </c>
      <c r="D14" s="375" t="s">
        <v>360</v>
      </c>
      <c r="E14" s="278">
        <v>52</v>
      </c>
      <c r="F14" s="391" t="s">
        <v>1243</v>
      </c>
    </row>
    <row r="15" spans="2:6">
      <c r="B15" s="278" t="s">
        <v>830</v>
      </c>
      <c r="C15" s="304">
        <v>1580375</v>
      </c>
      <c r="D15" s="375" t="s">
        <v>360</v>
      </c>
      <c r="E15" s="278">
        <v>52</v>
      </c>
      <c r="F15" s="391" t="s">
        <v>1243</v>
      </c>
    </row>
    <row r="16" spans="2:6">
      <c r="B16" s="278" t="s">
        <v>833</v>
      </c>
      <c r="C16" s="304">
        <v>326298</v>
      </c>
      <c r="D16" s="375" t="s">
        <v>360</v>
      </c>
      <c r="E16" s="278">
        <v>52</v>
      </c>
      <c r="F16" s="391" t="s">
        <v>1243</v>
      </c>
    </row>
    <row r="17" spans="2:6">
      <c r="B17" s="278" t="s">
        <v>834</v>
      </c>
      <c r="C17" s="304">
        <v>1066222</v>
      </c>
      <c r="D17" s="375" t="s">
        <v>360</v>
      </c>
      <c r="E17" s="278">
        <v>52</v>
      </c>
      <c r="F17" s="391" t="s">
        <v>1243</v>
      </c>
    </row>
    <row r="18" spans="2:6">
      <c r="B18" s="278" t="s">
        <v>832</v>
      </c>
      <c r="C18" s="304">
        <v>760544</v>
      </c>
      <c r="D18" s="375" t="s">
        <v>360</v>
      </c>
      <c r="E18" s="278">
        <v>52</v>
      </c>
      <c r="F18" s="391" t="s">
        <v>1243</v>
      </c>
    </row>
    <row r="19" spans="2:6">
      <c r="B19" s="278" t="s">
        <v>835</v>
      </c>
      <c r="C19" s="304">
        <v>304741</v>
      </c>
      <c r="D19" s="375" t="s">
        <v>360</v>
      </c>
      <c r="E19" s="278">
        <v>52</v>
      </c>
      <c r="F19" s="391" t="s">
        <v>1243</v>
      </c>
    </row>
    <row r="20" spans="2:6">
      <c r="B20" s="278" t="s">
        <v>825</v>
      </c>
      <c r="C20" s="304">
        <v>1100066</v>
      </c>
      <c r="D20" s="375" t="s">
        <v>360</v>
      </c>
      <c r="E20" s="278">
        <v>52</v>
      </c>
      <c r="F20" s="391" t="s">
        <v>1243</v>
      </c>
    </row>
    <row r="21" spans="2:6">
      <c r="B21" s="278" t="s">
        <v>831</v>
      </c>
      <c r="C21" s="304">
        <v>561060</v>
      </c>
      <c r="D21" s="375" t="s">
        <v>360</v>
      </c>
      <c r="E21" s="278">
        <v>52</v>
      </c>
      <c r="F21" s="391" t="s">
        <v>1243</v>
      </c>
    </row>
    <row r="22" spans="2:6">
      <c r="B22" s="278" t="s">
        <v>823</v>
      </c>
      <c r="C22" s="304" t="s">
        <v>1964</v>
      </c>
      <c r="D22" s="375"/>
      <c r="E22" s="278">
        <v>52</v>
      </c>
      <c r="F22" s="391" t="s">
        <v>1243</v>
      </c>
    </row>
    <row r="23" spans="2:6">
      <c r="B23" s="278" t="s">
        <v>4290</v>
      </c>
      <c r="C23" s="304" t="s">
        <v>1964</v>
      </c>
      <c r="D23" s="375"/>
      <c r="E23" s="278">
        <v>52</v>
      </c>
      <c r="F23" s="391" t="s">
        <v>1243</v>
      </c>
    </row>
    <row r="24" spans="2:6">
      <c r="B24" s="278" t="s">
        <v>4291</v>
      </c>
      <c r="C24" s="304" t="s">
        <v>1964</v>
      </c>
      <c r="D24" s="375"/>
      <c r="E24" s="278">
        <v>52</v>
      </c>
      <c r="F24" s="391" t="s">
        <v>1243</v>
      </c>
    </row>
    <row r="25" spans="2:6">
      <c r="B25" s="278" t="s">
        <v>4292</v>
      </c>
      <c r="C25" s="304" t="s">
        <v>1964</v>
      </c>
      <c r="D25" s="375"/>
      <c r="E25" s="278">
        <v>52</v>
      </c>
      <c r="F25" s="391" t="s">
        <v>1243</v>
      </c>
    </row>
    <row r="27" spans="2:6">
      <c r="B27" s="254" t="s">
        <v>333</v>
      </c>
      <c r="C27" s="15"/>
      <c r="D27" s="15"/>
      <c r="E27" s="15"/>
      <c r="F27" s="15"/>
    </row>
    <row r="28" spans="2:6">
      <c r="B28" s="277" t="s">
        <v>4288</v>
      </c>
      <c r="C28" s="277" t="s">
        <v>331</v>
      </c>
      <c r="D28" s="277" t="s">
        <v>226</v>
      </c>
      <c r="E28" s="277" t="s">
        <v>913</v>
      </c>
      <c r="F28" s="393" t="s">
        <v>169</v>
      </c>
    </row>
    <row r="29" spans="2:6">
      <c r="B29" s="299" t="s">
        <v>820</v>
      </c>
      <c r="C29" s="572">
        <v>4941768</v>
      </c>
      <c r="D29" s="375" t="s">
        <v>660</v>
      </c>
      <c r="E29" s="278">
        <v>73</v>
      </c>
      <c r="F29" s="391" t="s">
        <v>1243</v>
      </c>
    </row>
    <row r="30" spans="2:6">
      <c r="B30" s="299" t="s">
        <v>821</v>
      </c>
      <c r="C30" s="572">
        <v>3002352</v>
      </c>
      <c r="D30" s="375" t="s">
        <v>660</v>
      </c>
      <c r="E30" s="278">
        <v>73</v>
      </c>
      <c r="F30" s="391" t="s">
        <v>1243</v>
      </c>
    </row>
    <row r="31" spans="2:6">
      <c r="B31" s="299" t="s">
        <v>822</v>
      </c>
      <c r="C31" s="572">
        <v>205836</v>
      </c>
      <c r="D31" s="375" t="s">
        <v>660</v>
      </c>
      <c r="E31" s="278">
        <v>73</v>
      </c>
      <c r="F31" s="391" t="s">
        <v>1243</v>
      </c>
    </row>
    <row r="32" spans="2:6">
      <c r="B32" s="299" t="s">
        <v>823</v>
      </c>
      <c r="C32" s="572">
        <v>4716845</v>
      </c>
      <c r="D32" s="375" t="s">
        <v>660</v>
      </c>
      <c r="E32" s="278">
        <v>73</v>
      </c>
      <c r="F32" s="391" t="s">
        <v>1243</v>
      </c>
    </row>
    <row r="33" spans="2:7">
      <c r="B33" s="299" t="s">
        <v>824</v>
      </c>
      <c r="C33" s="572">
        <v>8657744</v>
      </c>
      <c r="D33" s="375" t="s">
        <v>660</v>
      </c>
      <c r="E33" s="278">
        <v>73</v>
      </c>
      <c r="F33" s="391" t="s">
        <v>1243</v>
      </c>
    </row>
    <row r="34" spans="2:7">
      <c r="B34" s="299" t="s">
        <v>329</v>
      </c>
      <c r="C34" s="572">
        <v>2676565</v>
      </c>
      <c r="D34" s="375" t="s">
        <v>660</v>
      </c>
      <c r="E34" s="278">
        <v>73</v>
      </c>
      <c r="F34" s="391" t="s">
        <v>1243</v>
      </c>
    </row>
    <row r="35" spans="2:7">
      <c r="B35" s="299" t="s">
        <v>826</v>
      </c>
      <c r="C35" s="572">
        <v>10522000</v>
      </c>
      <c r="D35" s="375" t="s">
        <v>660</v>
      </c>
      <c r="E35" s="278">
        <v>73</v>
      </c>
      <c r="F35" s="391" t="s">
        <v>1243</v>
      </c>
    </row>
    <row r="36" spans="2:7">
      <c r="B36" s="278" t="s">
        <v>4289</v>
      </c>
      <c r="C36" s="572">
        <v>7181402</v>
      </c>
      <c r="D36" s="375" t="s">
        <v>660</v>
      </c>
      <c r="E36" s="278">
        <v>73</v>
      </c>
      <c r="F36" s="391" t="s">
        <v>1243</v>
      </c>
    </row>
    <row r="37" spans="2:7">
      <c r="B37" s="278" t="s">
        <v>828</v>
      </c>
      <c r="C37" s="572">
        <v>1335229</v>
      </c>
      <c r="D37" s="375" t="s">
        <v>660</v>
      </c>
      <c r="E37" s="278">
        <v>73</v>
      </c>
      <c r="F37" s="391" t="s">
        <v>1243</v>
      </c>
    </row>
    <row r="38" spans="2:7">
      <c r="B38" s="278" t="s">
        <v>829</v>
      </c>
      <c r="C38" s="572">
        <v>5302536</v>
      </c>
      <c r="D38" s="375" t="s">
        <v>660</v>
      </c>
      <c r="E38" s="278">
        <v>73</v>
      </c>
      <c r="F38" s="391" t="s">
        <v>1243</v>
      </c>
    </row>
    <row r="39" spans="2:7">
      <c r="B39" s="278" t="s">
        <v>830</v>
      </c>
      <c r="C39" s="572">
        <v>3901143</v>
      </c>
      <c r="D39" s="375" t="s">
        <v>660</v>
      </c>
      <c r="E39" s="278">
        <v>73</v>
      </c>
      <c r="F39" s="391" t="s">
        <v>1243</v>
      </c>
    </row>
    <row r="40" spans="2:7">
      <c r="B40" s="278" t="s">
        <v>833</v>
      </c>
      <c r="C40" s="572">
        <v>741705</v>
      </c>
      <c r="D40" s="375" t="s">
        <v>660</v>
      </c>
      <c r="E40" s="278">
        <v>73</v>
      </c>
      <c r="F40" s="391" t="s">
        <v>1243</v>
      </c>
    </row>
    <row r="41" spans="2:7">
      <c r="B41" s="278" t="s">
        <v>834</v>
      </c>
      <c r="C41" s="572">
        <v>2279750</v>
      </c>
      <c r="D41" s="375" t="s">
        <v>660</v>
      </c>
      <c r="E41" s="278">
        <v>73</v>
      </c>
      <c r="F41" s="391" t="s">
        <v>1243</v>
      </c>
    </row>
    <row r="42" spans="2:7">
      <c r="B42" s="278" t="s">
        <v>832</v>
      </c>
      <c r="C42" s="572">
        <v>1738954</v>
      </c>
      <c r="D42" s="375" t="s">
        <v>660</v>
      </c>
      <c r="E42" s="278">
        <v>73</v>
      </c>
      <c r="F42" s="391" t="s">
        <v>1243</v>
      </c>
    </row>
    <row r="43" spans="2:7">
      <c r="B43" s="278" t="s">
        <v>835</v>
      </c>
      <c r="C43" s="572">
        <v>744649</v>
      </c>
      <c r="D43" s="375" t="s">
        <v>660</v>
      </c>
      <c r="E43" s="278">
        <v>73</v>
      </c>
      <c r="F43" s="391" t="s">
        <v>1243</v>
      </c>
    </row>
    <row r="44" spans="2:7">
      <c r="B44" s="278" t="s">
        <v>825</v>
      </c>
      <c r="C44" s="572">
        <v>2331917</v>
      </c>
      <c r="D44" s="375" t="s">
        <v>660</v>
      </c>
      <c r="E44" s="278">
        <v>73</v>
      </c>
      <c r="F44" s="391" t="s">
        <v>1243</v>
      </c>
    </row>
    <row r="45" spans="2:7">
      <c r="B45" s="278" t="s">
        <v>831</v>
      </c>
      <c r="C45" s="572">
        <v>1198761</v>
      </c>
      <c r="D45" s="375" t="s">
        <v>660</v>
      </c>
      <c r="E45" s="278">
        <v>73</v>
      </c>
      <c r="F45" s="391" t="s">
        <v>1243</v>
      </c>
    </row>
    <row r="47" spans="2:7">
      <c r="B47" s="254" t="s">
        <v>4293</v>
      </c>
      <c r="C47" s="254"/>
      <c r="D47" s="254"/>
      <c r="E47" s="254"/>
      <c r="F47" s="254"/>
      <c r="G47" s="254"/>
    </row>
    <row r="48" spans="2:7" ht="57.95">
      <c r="B48" s="285" t="s">
        <v>4294</v>
      </c>
      <c r="C48" s="294" t="s">
        <v>4295</v>
      </c>
      <c r="D48" s="294" t="s">
        <v>4296</v>
      </c>
      <c r="E48" s="294" t="s">
        <v>4297</v>
      </c>
      <c r="F48" s="285" t="s">
        <v>913</v>
      </c>
      <c r="G48" s="285" t="s">
        <v>169</v>
      </c>
    </row>
    <row r="49" spans="2:7">
      <c r="B49" s="281" t="s">
        <v>4298</v>
      </c>
      <c r="C49" s="278" t="s">
        <v>830</v>
      </c>
      <c r="D49" s="281">
        <v>210</v>
      </c>
      <c r="E49" s="573" t="s">
        <v>1964</v>
      </c>
      <c r="F49" s="1230">
        <v>74</v>
      </c>
      <c r="G49" s="1230" t="s">
        <v>1307</v>
      </c>
    </row>
    <row r="50" spans="2:7">
      <c r="B50" s="281" t="s">
        <v>4299</v>
      </c>
      <c r="C50" s="299" t="s">
        <v>820</v>
      </c>
      <c r="D50" s="281">
        <v>278</v>
      </c>
      <c r="E50" s="574">
        <v>336</v>
      </c>
      <c r="F50" s="1231"/>
      <c r="G50" s="1231"/>
    </row>
    <row r="51" spans="2:7">
      <c r="B51" s="281" t="s">
        <v>4300</v>
      </c>
      <c r="C51" s="278" t="s">
        <v>831</v>
      </c>
      <c r="D51" s="281">
        <v>302</v>
      </c>
      <c r="E51" s="573" t="s">
        <v>1964</v>
      </c>
      <c r="F51" s="1231"/>
      <c r="G51" s="1231"/>
    </row>
    <row r="52" spans="2:7">
      <c r="B52" s="281" t="s">
        <v>821</v>
      </c>
      <c r="C52" s="299" t="s">
        <v>821</v>
      </c>
      <c r="D52" s="281">
        <v>123</v>
      </c>
      <c r="E52" s="574">
        <v>149</v>
      </c>
      <c r="F52" s="1231"/>
      <c r="G52" s="1231"/>
    </row>
    <row r="53" spans="2:7">
      <c r="B53" s="281" t="s">
        <v>822</v>
      </c>
      <c r="C53" s="299" t="s">
        <v>822</v>
      </c>
      <c r="D53" s="281">
        <v>280</v>
      </c>
      <c r="E53" s="574">
        <v>253</v>
      </c>
      <c r="F53" s="1231"/>
      <c r="G53" s="1231"/>
    </row>
    <row r="54" spans="2:7">
      <c r="B54" s="281" t="s">
        <v>4301</v>
      </c>
      <c r="C54" s="299" t="s">
        <v>823</v>
      </c>
      <c r="D54" s="281">
        <v>299</v>
      </c>
      <c r="E54" s="574">
        <v>287</v>
      </c>
      <c r="F54" s="1231"/>
      <c r="G54" s="1231"/>
    </row>
    <row r="55" spans="2:7">
      <c r="B55" s="281" t="s">
        <v>2410</v>
      </c>
      <c r="C55" s="278" t="s">
        <v>833</v>
      </c>
      <c r="D55" s="281">
        <v>107</v>
      </c>
      <c r="E55" s="573" t="s">
        <v>1964</v>
      </c>
      <c r="F55" s="1231"/>
      <c r="G55" s="1231"/>
    </row>
    <row r="56" spans="2:7">
      <c r="B56" s="281" t="s">
        <v>835</v>
      </c>
      <c r="C56" s="278" t="s">
        <v>835</v>
      </c>
      <c r="D56" s="281">
        <v>406</v>
      </c>
      <c r="E56" s="573" t="s">
        <v>1964</v>
      </c>
      <c r="F56" s="1231"/>
      <c r="G56" s="1231"/>
    </row>
    <row r="57" spans="2:7">
      <c r="B57" s="281" t="s">
        <v>4302</v>
      </c>
      <c r="C57" s="299" t="s">
        <v>824</v>
      </c>
      <c r="D57" s="281">
        <v>236</v>
      </c>
      <c r="E57" s="574">
        <v>242</v>
      </c>
      <c r="F57" s="1231"/>
      <c r="G57" s="1231"/>
    </row>
    <row r="58" spans="2:7">
      <c r="B58" s="281" t="s">
        <v>3499</v>
      </c>
      <c r="C58" s="278" t="s">
        <v>834</v>
      </c>
      <c r="D58" s="281">
        <v>270</v>
      </c>
      <c r="E58" s="573" t="s">
        <v>1964</v>
      </c>
      <c r="F58" s="1231"/>
      <c r="G58" s="1231"/>
    </row>
    <row r="59" spans="2:7">
      <c r="B59" s="281" t="s">
        <v>4303</v>
      </c>
      <c r="C59" s="278" t="s">
        <v>832</v>
      </c>
      <c r="D59" s="281">
        <v>422</v>
      </c>
      <c r="E59" s="573" t="s">
        <v>1964</v>
      </c>
      <c r="F59" s="1231"/>
      <c r="G59" s="1231"/>
    </row>
    <row r="60" spans="2:7">
      <c r="B60" s="281" t="s">
        <v>3565</v>
      </c>
      <c r="C60" s="278" t="s">
        <v>825</v>
      </c>
      <c r="D60" s="281">
        <v>269</v>
      </c>
      <c r="E60" s="574">
        <v>339</v>
      </c>
      <c r="F60" s="1231"/>
      <c r="G60" s="1231"/>
    </row>
    <row r="61" spans="2:7">
      <c r="B61" s="281" t="s">
        <v>4304</v>
      </c>
      <c r="C61" s="299" t="s">
        <v>329</v>
      </c>
      <c r="D61" s="281">
        <v>248</v>
      </c>
      <c r="E61" s="574">
        <v>320</v>
      </c>
      <c r="F61" s="1231"/>
      <c r="G61" s="1231"/>
    </row>
    <row r="62" spans="2:7">
      <c r="B62" s="281" t="s">
        <v>4305</v>
      </c>
      <c r="C62" s="299" t="s">
        <v>826</v>
      </c>
      <c r="D62" s="281">
        <v>199</v>
      </c>
      <c r="E62" s="574">
        <v>212</v>
      </c>
      <c r="F62" s="1231"/>
      <c r="G62" s="1231"/>
    </row>
    <row r="63" spans="2:7">
      <c r="B63" s="281" t="s">
        <v>4289</v>
      </c>
      <c r="C63" s="278" t="s">
        <v>4289</v>
      </c>
      <c r="D63" s="281">
        <v>177</v>
      </c>
      <c r="E63" s="574">
        <v>209</v>
      </c>
      <c r="F63" s="1231"/>
      <c r="G63" s="1231"/>
    </row>
    <row r="64" spans="2:7">
      <c r="B64" s="281" t="s">
        <v>994</v>
      </c>
      <c r="C64" s="278" t="s">
        <v>828</v>
      </c>
      <c r="D64" s="281">
        <v>273</v>
      </c>
      <c r="E64" s="574">
        <v>304</v>
      </c>
      <c r="F64" s="1231"/>
      <c r="G64" s="1231"/>
    </row>
    <row r="65" spans="2:7">
      <c r="B65" s="281" t="s">
        <v>4306</v>
      </c>
      <c r="C65" s="278" t="s">
        <v>829</v>
      </c>
      <c r="D65" s="281">
        <v>225</v>
      </c>
      <c r="E65" s="574">
        <v>224</v>
      </c>
      <c r="F65" s="1232"/>
      <c r="G65" s="1232"/>
    </row>
    <row r="67" spans="2:7">
      <c r="B67" s="254" t="s">
        <v>4307</v>
      </c>
      <c r="C67" s="15"/>
      <c r="D67" s="15"/>
      <c r="E67" s="15"/>
      <c r="F67" s="15"/>
      <c r="G67" s="15"/>
    </row>
    <row r="68" spans="2:7">
      <c r="B68" s="277" t="s">
        <v>4288</v>
      </c>
      <c r="C68" s="277" t="s">
        <v>4308</v>
      </c>
      <c r="D68" s="277" t="s">
        <v>4309</v>
      </c>
      <c r="E68" s="277" t="s">
        <v>226</v>
      </c>
      <c r="F68" s="277" t="s">
        <v>913</v>
      </c>
      <c r="G68" s="393" t="s">
        <v>169</v>
      </c>
    </row>
    <row r="69" spans="2:7">
      <c r="B69" s="299" t="s">
        <v>820</v>
      </c>
      <c r="C69" s="299">
        <v>2732.538</v>
      </c>
      <c r="D69" s="572">
        <v>107.236</v>
      </c>
      <c r="E69" s="375" t="s">
        <v>4310</v>
      </c>
      <c r="F69" s="278">
        <v>52</v>
      </c>
      <c r="G69" s="391" t="s">
        <v>1243</v>
      </c>
    </row>
    <row r="70" spans="2:7">
      <c r="B70" s="299" t="s">
        <v>823</v>
      </c>
      <c r="C70" s="299">
        <v>1203.646</v>
      </c>
      <c r="D70" s="572">
        <v>49.261000000000003</v>
      </c>
      <c r="E70" s="375" t="s">
        <v>4310</v>
      </c>
      <c r="F70" s="278">
        <v>52</v>
      </c>
      <c r="G70" s="391" t="s">
        <v>1243</v>
      </c>
    </row>
    <row r="71" spans="2:7">
      <c r="B71" s="299" t="s">
        <v>4289</v>
      </c>
      <c r="C71" s="299">
        <v>3157.578</v>
      </c>
      <c r="D71" s="572">
        <v>154.74299999999999</v>
      </c>
      <c r="E71" s="375" t="s">
        <v>4310</v>
      </c>
      <c r="F71" s="278">
        <v>52</v>
      </c>
      <c r="G71" s="391" t="s">
        <v>1243</v>
      </c>
    </row>
    <row r="72" spans="2:7">
      <c r="B72" s="299" t="s">
        <v>329</v>
      </c>
      <c r="C72" s="299">
        <v>1904.857</v>
      </c>
      <c r="D72" s="572">
        <v>75.242000000000004</v>
      </c>
      <c r="E72" s="375" t="s">
        <v>4310</v>
      </c>
      <c r="F72" s="278">
        <v>52</v>
      </c>
      <c r="G72" s="391" t="s">
        <v>1243</v>
      </c>
    </row>
    <row r="73" spans="2:7">
      <c r="B73" s="299" t="s">
        <v>825</v>
      </c>
      <c r="C73" s="299">
        <v>738.79499999999996</v>
      </c>
      <c r="D73" s="572">
        <v>41.698</v>
      </c>
      <c r="E73" s="375" t="s">
        <v>4310</v>
      </c>
      <c r="F73" s="278">
        <v>52</v>
      </c>
      <c r="G73" s="391" t="s">
        <v>1243</v>
      </c>
    </row>
    <row r="74" spans="2:7">
      <c r="B74" s="299" t="s">
        <v>826</v>
      </c>
      <c r="C74" s="299">
        <v>5718.5025000000014</v>
      </c>
      <c r="D74" s="572">
        <v>235.27250000000001</v>
      </c>
      <c r="E74" s="375" t="s">
        <v>4310</v>
      </c>
      <c r="F74" s="278">
        <v>52</v>
      </c>
      <c r="G74" s="391" t="s">
        <v>1243</v>
      </c>
    </row>
    <row r="75" spans="2:7">
      <c r="B75" s="281" t="s">
        <v>821</v>
      </c>
      <c r="C75" s="281">
        <v>1368.597</v>
      </c>
      <c r="D75" s="572">
        <v>71.394000000000005</v>
      </c>
      <c r="E75" s="375" t="s">
        <v>4310</v>
      </c>
      <c r="F75" s="278">
        <v>52</v>
      </c>
      <c r="G75" s="391" t="s">
        <v>1243</v>
      </c>
    </row>
    <row r="76" spans="2:7">
      <c r="B76" s="278" t="s">
        <v>828</v>
      </c>
      <c r="C76" s="278">
        <v>1213.6869999999999</v>
      </c>
      <c r="D76" s="572">
        <v>57.485999999999997</v>
      </c>
      <c r="E76" s="375" t="s">
        <v>4310</v>
      </c>
      <c r="F76" s="278">
        <v>52</v>
      </c>
      <c r="G76" s="391" t="s">
        <v>1243</v>
      </c>
    </row>
    <row r="77" spans="2:7">
      <c r="B77" s="278" t="s">
        <v>829</v>
      </c>
      <c r="C77" s="278">
        <v>2175.7379999999998</v>
      </c>
      <c r="D77" s="572">
        <v>97.963999999999999</v>
      </c>
      <c r="E77" s="375" t="s">
        <v>4310</v>
      </c>
      <c r="F77" s="278">
        <v>52</v>
      </c>
      <c r="G77" s="391" t="s">
        <v>1243</v>
      </c>
    </row>
    <row r="78" spans="2:7">
      <c r="B78" s="278" t="s">
        <v>824</v>
      </c>
      <c r="C78" s="278">
        <v>3910.623</v>
      </c>
      <c r="D78" s="572">
        <v>176.46279000000001</v>
      </c>
      <c r="E78" s="375" t="s">
        <v>4310</v>
      </c>
      <c r="F78" s="278">
        <v>52</v>
      </c>
      <c r="G78" s="391" t="s">
        <v>1243</v>
      </c>
    </row>
    <row r="79" spans="2:7">
      <c r="B79" s="281" t="s">
        <v>822</v>
      </c>
      <c r="C79" s="281">
        <v>19.442621639506338</v>
      </c>
      <c r="D79" s="572">
        <v>1.3649864481</v>
      </c>
      <c r="E79" s="375" t="s">
        <v>4310</v>
      </c>
      <c r="F79" s="278">
        <v>52</v>
      </c>
      <c r="G79" s="391" t="s">
        <v>1243</v>
      </c>
    </row>
  </sheetData>
  <mergeCells count="2">
    <mergeCell ref="F49:F65"/>
    <mergeCell ref="G49:G6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A98E4-AC53-422E-A6F7-C32604B16419}">
  <sheetPr codeName="Sheet3">
    <tabColor theme="5"/>
  </sheetPr>
  <dimension ref="B1:I116"/>
  <sheetViews>
    <sheetView workbookViewId="0">
      <selection activeCell="B1" sqref="B1"/>
    </sheetView>
  </sheetViews>
  <sheetFormatPr defaultColWidth="9" defaultRowHeight="14.45"/>
  <cols>
    <col min="1" max="1" width="3.75" style="8" customWidth="1"/>
    <col min="2" max="2" width="23.25" style="8" customWidth="1"/>
    <col min="3" max="3" width="62.75" style="10" customWidth="1"/>
    <col min="4" max="4" width="7.625" style="8" customWidth="1"/>
    <col min="5" max="5" width="16.125" style="8" customWidth="1"/>
    <col min="6" max="6" width="41.75" style="12" bestFit="1" customWidth="1"/>
    <col min="7" max="8" width="7.625" style="12" customWidth="1"/>
    <col min="9" max="9" width="7.375" style="706" customWidth="1"/>
    <col min="10" max="10" width="14.5" style="8" bestFit="1" customWidth="1"/>
    <col min="11" max="11" width="38.25" style="8" customWidth="1"/>
    <col min="12" max="16384" width="9" style="8"/>
  </cols>
  <sheetData>
    <row r="1" spans="2:9" s="3" customFormat="1" ht="30.95">
      <c r="B1" s="658" t="s">
        <v>345</v>
      </c>
      <c r="E1" s="24"/>
    </row>
    <row r="2" spans="2:9" s="3" customFormat="1">
      <c r="B2" s="1072" t="s">
        <v>346</v>
      </c>
      <c r="C2" s="1072"/>
      <c r="D2" s="1072"/>
      <c r="E2" s="1072"/>
      <c r="F2" s="1072"/>
      <c r="G2" s="1072"/>
      <c r="H2" s="1072"/>
      <c r="I2" s="1072"/>
    </row>
    <row r="3" spans="2:9" s="3" customFormat="1" ht="18.75" customHeight="1">
      <c r="B3" s="1072"/>
      <c r="C3" s="1072"/>
      <c r="D3" s="1072"/>
      <c r="E3" s="1072"/>
      <c r="F3" s="1072"/>
      <c r="G3" s="1072"/>
      <c r="H3" s="1072"/>
      <c r="I3" s="1072"/>
    </row>
    <row r="4" spans="2:9" s="3" customFormat="1" ht="18.75" customHeight="1">
      <c r="B4" s="1072"/>
      <c r="C4" s="1072"/>
      <c r="D4" s="1072"/>
      <c r="E4" s="1072"/>
      <c r="F4" s="1072"/>
      <c r="G4" s="1072"/>
      <c r="H4" s="1072"/>
      <c r="I4" s="1072"/>
    </row>
    <row r="5" spans="2:9" s="3" customFormat="1" ht="18.75" customHeight="1">
      <c r="B5" s="1072"/>
      <c r="C5" s="1072"/>
      <c r="D5" s="1072"/>
      <c r="E5" s="1072"/>
      <c r="F5" s="1072"/>
      <c r="G5" s="1072"/>
      <c r="H5" s="1072"/>
      <c r="I5" s="1072"/>
    </row>
    <row r="6" spans="2:9" s="3" customFormat="1" ht="18.75" customHeight="1">
      <c r="B6" s="1072"/>
      <c r="C6" s="1072"/>
      <c r="D6" s="1072"/>
      <c r="E6" s="1072"/>
      <c r="F6" s="1072"/>
      <c r="G6" s="1072"/>
      <c r="H6" s="1072"/>
      <c r="I6" s="1072"/>
    </row>
    <row r="7" spans="2:9" s="3" customFormat="1" ht="18.75" customHeight="1">
      <c r="B7" s="1072"/>
      <c r="C7" s="1072"/>
      <c r="D7" s="1072"/>
      <c r="E7" s="1072"/>
      <c r="F7" s="1072"/>
      <c r="G7" s="1072"/>
      <c r="H7" s="1072"/>
      <c r="I7" s="1072"/>
    </row>
    <row r="8" spans="2:9" s="3" customFormat="1" ht="18.75" customHeight="1">
      <c r="B8" s="1072"/>
      <c r="C8" s="1072"/>
      <c r="D8" s="1072"/>
      <c r="E8" s="1072"/>
      <c r="F8" s="1072"/>
      <c r="G8" s="1072"/>
      <c r="H8" s="1072"/>
      <c r="I8" s="1072"/>
    </row>
    <row r="9" spans="2:9" s="3" customFormat="1" ht="18.75" customHeight="1">
      <c r="B9" s="1072"/>
      <c r="C9" s="1072"/>
      <c r="D9" s="1072"/>
      <c r="E9" s="1072"/>
      <c r="F9" s="1072"/>
      <c r="G9" s="1072"/>
      <c r="H9" s="1072"/>
      <c r="I9" s="1072"/>
    </row>
    <row r="10" spans="2:9" s="3" customFormat="1" ht="18.75" customHeight="1">
      <c r="B10" s="1072"/>
      <c r="C10" s="1072"/>
      <c r="D10" s="1072"/>
      <c r="E10" s="1072"/>
      <c r="F10" s="1072"/>
      <c r="G10" s="1072"/>
      <c r="H10" s="1072"/>
      <c r="I10" s="1072"/>
    </row>
    <row r="11" spans="2:9" s="3" customFormat="1" ht="18.75" customHeight="1">
      <c r="B11" s="1072"/>
      <c r="C11" s="1072"/>
      <c r="D11" s="1072"/>
      <c r="E11" s="1072"/>
      <c r="F11" s="1072"/>
      <c r="G11" s="1072"/>
      <c r="H11" s="1072"/>
      <c r="I11" s="1072"/>
    </row>
    <row r="12" spans="2:9" s="3" customFormat="1" ht="18.75" customHeight="1">
      <c r="B12" s="1072"/>
      <c r="C12" s="1072"/>
      <c r="D12" s="1072"/>
      <c r="E12" s="1072"/>
      <c r="F12" s="1072"/>
      <c r="G12" s="1072"/>
      <c r="H12" s="1072"/>
      <c r="I12" s="1072"/>
    </row>
    <row r="13" spans="2:9" s="3" customFormat="1" ht="15" thickBot="1">
      <c r="B13" s="883"/>
      <c r="C13" s="883"/>
      <c r="D13" s="883"/>
      <c r="E13" s="883"/>
      <c r="F13" s="883"/>
      <c r="G13" s="883"/>
      <c r="H13" s="883"/>
      <c r="I13" s="883"/>
    </row>
    <row r="14" spans="2:9" s="2" customFormat="1" ht="15.95">
      <c r="B14" s="892" t="s">
        <v>347</v>
      </c>
      <c r="C14" s="893" t="s">
        <v>62</v>
      </c>
      <c r="D14" s="894" t="s">
        <v>348</v>
      </c>
      <c r="E14" s="894" t="s">
        <v>349</v>
      </c>
      <c r="F14" s="893" t="s">
        <v>350</v>
      </c>
      <c r="G14" s="894" t="s">
        <v>351</v>
      </c>
      <c r="H14" s="894" t="s">
        <v>352</v>
      </c>
      <c r="I14" s="895" t="s">
        <v>353</v>
      </c>
    </row>
    <row r="15" spans="2:9" s="2" customFormat="1" ht="15.95">
      <c r="B15" s="1074" t="s">
        <v>354</v>
      </c>
      <c r="C15" s="896" t="s">
        <v>355</v>
      </c>
      <c r="D15" s="897">
        <v>1</v>
      </c>
      <c r="E15" s="897">
        <v>1</v>
      </c>
      <c r="F15" s="896" t="s">
        <v>356</v>
      </c>
      <c r="G15" s="897" t="s">
        <v>351</v>
      </c>
      <c r="H15" s="897"/>
      <c r="I15" s="898"/>
    </row>
    <row r="16" spans="2:9" s="2" customFormat="1" ht="15.95">
      <c r="B16" s="1074"/>
      <c r="C16" s="896" t="s">
        <v>357</v>
      </c>
      <c r="D16" s="897">
        <v>2</v>
      </c>
      <c r="E16" s="897">
        <v>2</v>
      </c>
      <c r="F16" s="896" t="s">
        <v>358</v>
      </c>
      <c r="G16" s="897" t="s">
        <v>351</v>
      </c>
      <c r="H16" s="897"/>
      <c r="I16" s="898"/>
    </row>
    <row r="17" spans="2:9" s="2" customFormat="1" ht="15.95">
      <c r="B17" s="1074"/>
      <c r="C17" s="896" t="s">
        <v>359</v>
      </c>
      <c r="D17" s="897">
        <v>3</v>
      </c>
      <c r="E17" s="897">
        <v>3</v>
      </c>
      <c r="F17" s="896" t="s">
        <v>360</v>
      </c>
      <c r="G17" s="897"/>
      <c r="H17" s="897"/>
      <c r="I17" s="898" t="s">
        <v>361</v>
      </c>
    </row>
    <row r="18" spans="2:9" s="2" customFormat="1" ht="15.95">
      <c r="B18" s="1073" t="s">
        <v>362</v>
      </c>
      <c r="C18" s="884" t="s">
        <v>363</v>
      </c>
      <c r="D18" s="876">
        <v>4</v>
      </c>
      <c r="E18" s="876">
        <v>4</v>
      </c>
      <c r="F18" s="884" t="s">
        <v>364</v>
      </c>
      <c r="G18" s="876" t="s">
        <v>351</v>
      </c>
      <c r="H18" s="876"/>
      <c r="I18" s="885"/>
    </row>
    <row r="19" spans="2:9" s="2" customFormat="1" ht="15.95">
      <c r="B19" s="1073"/>
      <c r="C19" s="884" t="s">
        <v>365</v>
      </c>
      <c r="D19" s="876">
        <v>5</v>
      </c>
      <c r="E19" s="876">
        <v>5</v>
      </c>
      <c r="F19" s="884" t="s">
        <v>366</v>
      </c>
      <c r="G19" s="876" t="s">
        <v>351</v>
      </c>
      <c r="H19" s="876"/>
      <c r="I19" s="885"/>
    </row>
    <row r="20" spans="2:9" s="2" customFormat="1" ht="15.95">
      <c r="B20" s="1073"/>
      <c r="C20" s="884" t="s">
        <v>367</v>
      </c>
      <c r="D20" s="876">
        <v>6</v>
      </c>
      <c r="E20" s="876">
        <v>6</v>
      </c>
      <c r="F20" s="884" t="s">
        <v>360</v>
      </c>
      <c r="G20" s="876"/>
      <c r="H20" s="876"/>
      <c r="I20" s="885" t="s">
        <v>361</v>
      </c>
    </row>
    <row r="21" spans="2:9" s="2" customFormat="1" ht="15.95">
      <c r="B21" s="1073"/>
      <c r="C21" s="884" t="s">
        <v>368</v>
      </c>
      <c r="D21" s="876">
        <v>7</v>
      </c>
      <c r="E21" s="876">
        <v>7</v>
      </c>
      <c r="F21" s="884" t="s">
        <v>369</v>
      </c>
      <c r="G21" s="876" t="s">
        <v>351</v>
      </c>
      <c r="H21" s="876"/>
      <c r="I21" s="885"/>
    </row>
    <row r="22" spans="2:9" s="2" customFormat="1" ht="15.95">
      <c r="B22" s="1073"/>
      <c r="C22" s="884" t="s">
        <v>370</v>
      </c>
      <c r="D22" s="876">
        <v>8</v>
      </c>
      <c r="E22" s="876" t="s">
        <v>371</v>
      </c>
      <c r="F22" s="884" t="s">
        <v>372</v>
      </c>
      <c r="G22" s="876" t="s">
        <v>351</v>
      </c>
      <c r="H22" s="876"/>
      <c r="I22" s="885"/>
    </row>
    <row r="23" spans="2:9" s="2" customFormat="1" ht="15.95">
      <c r="B23" s="1073"/>
      <c r="C23" s="884" t="s">
        <v>373</v>
      </c>
      <c r="D23" s="876">
        <v>9</v>
      </c>
      <c r="E23" s="876">
        <v>9</v>
      </c>
      <c r="F23" s="884" t="s">
        <v>374</v>
      </c>
      <c r="G23" s="876"/>
      <c r="H23" s="876"/>
      <c r="I23" s="885" t="s">
        <v>361</v>
      </c>
    </row>
    <row r="24" spans="2:9" s="2" customFormat="1" ht="15.95">
      <c r="B24" s="1073"/>
      <c r="C24" s="884" t="s">
        <v>375</v>
      </c>
      <c r="D24" s="876">
        <v>10</v>
      </c>
      <c r="E24" s="876">
        <v>10</v>
      </c>
      <c r="F24" s="884" t="s">
        <v>376</v>
      </c>
      <c r="G24" s="876" t="s">
        <v>351</v>
      </c>
      <c r="H24" s="876" t="s">
        <v>352</v>
      </c>
      <c r="I24" s="885"/>
    </row>
    <row r="25" spans="2:9" s="2" customFormat="1" ht="15.95">
      <c r="B25" s="1073"/>
      <c r="C25" s="884" t="s">
        <v>377</v>
      </c>
      <c r="D25" s="876">
        <v>11</v>
      </c>
      <c r="E25" s="876">
        <v>11</v>
      </c>
      <c r="F25" s="884" t="s">
        <v>65</v>
      </c>
      <c r="G25" s="876"/>
      <c r="H25" s="876"/>
      <c r="I25" s="885" t="s">
        <v>361</v>
      </c>
    </row>
    <row r="26" spans="2:9" s="2" customFormat="1" ht="15.95">
      <c r="B26" s="1073"/>
      <c r="C26" s="884" t="s">
        <v>378</v>
      </c>
      <c r="D26" s="876">
        <v>12</v>
      </c>
      <c r="E26" s="876">
        <v>12</v>
      </c>
      <c r="F26" s="884" t="s">
        <v>379</v>
      </c>
      <c r="G26" s="876"/>
      <c r="H26" s="876"/>
      <c r="I26" s="885" t="s">
        <v>361</v>
      </c>
    </row>
    <row r="27" spans="2:9" s="2" customFormat="1" ht="15.95">
      <c r="B27" s="899" t="s">
        <v>380</v>
      </c>
      <c r="C27" s="896" t="s">
        <v>381</v>
      </c>
      <c r="D27" s="897">
        <v>13</v>
      </c>
      <c r="E27" s="897">
        <v>13</v>
      </c>
      <c r="F27" s="896" t="s">
        <v>382</v>
      </c>
      <c r="G27" s="897"/>
      <c r="H27" s="897"/>
      <c r="I27" s="898" t="s">
        <v>361</v>
      </c>
    </row>
    <row r="28" spans="2:9" s="2" customFormat="1" ht="15.95">
      <c r="B28" s="1073" t="s">
        <v>383</v>
      </c>
      <c r="C28" s="884" t="s">
        <v>384</v>
      </c>
      <c r="D28" s="876">
        <v>14</v>
      </c>
      <c r="E28" s="876">
        <v>14</v>
      </c>
      <c r="F28" s="884" t="s">
        <v>385</v>
      </c>
      <c r="G28" s="876" t="s">
        <v>351</v>
      </c>
      <c r="H28" s="876"/>
      <c r="I28" s="885"/>
    </row>
    <row r="29" spans="2:9" s="2" customFormat="1" ht="15.95">
      <c r="B29" s="1073"/>
      <c r="C29" s="884" t="s">
        <v>386</v>
      </c>
      <c r="D29" s="876">
        <v>15</v>
      </c>
      <c r="E29" s="876">
        <v>15</v>
      </c>
      <c r="F29" s="884" t="s">
        <v>385</v>
      </c>
      <c r="G29" s="876" t="s">
        <v>351</v>
      </c>
      <c r="H29" s="876"/>
      <c r="I29" s="885"/>
    </row>
    <row r="30" spans="2:9" s="2" customFormat="1" ht="15.95">
      <c r="B30" s="1073"/>
      <c r="C30" s="884" t="s">
        <v>387</v>
      </c>
      <c r="D30" s="876">
        <v>16</v>
      </c>
      <c r="E30" s="876">
        <v>16</v>
      </c>
      <c r="F30" s="884" t="s">
        <v>366</v>
      </c>
      <c r="G30" s="876"/>
      <c r="H30" s="876"/>
      <c r="I30" s="885" t="s">
        <v>361</v>
      </c>
    </row>
    <row r="31" spans="2:9" s="2" customFormat="1" ht="15.95">
      <c r="B31" s="1073"/>
      <c r="C31" s="884" t="s">
        <v>388</v>
      </c>
      <c r="D31" s="876">
        <v>17</v>
      </c>
      <c r="E31" s="876">
        <v>17</v>
      </c>
      <c r="F31" s="884" t="s">
        <v>366</v>
      </c>
      <c r="G31" s="876"/>
      <c r="H31" s="876"/>
      <c r="I31" s="885" t="s">
        <v>361</v>
      </c>
    </row>
    <row r="32" spans="2:9" s="2" customFormat="1" ht="15.95">
      <c r="B32" s="1074" t="s">
        <v>389</v>
      </c>
      <c r="C32" s="896" t="s">
        <v>390</v>
      </c>
      <c r="D32" s="897">
        <v>18</v>
      </c>
      <c r="E32" s="897">
        <v>18</v>
      </c>
      <c r="F32" s="896" t="s">
        <v>391</v>
      </c>
      <c r="G32" s="897" t="s">
        <v>351</v>
      </c>
      <c r="H32" s="897"/>
      <c r="I32" s="898"/>
    </row>
    <row r="33" spans="2:9" s="2" customFormat="1" ht="15.95">
      <c r="B33" s="1074"/>
      <c r="C33" s="896" t="s">
        <v>392</v>
      </c>
      <c r="D33" s="897">
        <v>19</v>
      </c>
      <c r="E33" s="897">
        <v>19</v>
      </c>
      <c r="F33" s="896" t="s">
        <v>393</v>
      </c>
      <c r="G33" s="897" t="s">
        <v>351</v>
      </c>
      <c r="H33" s="897"/>
      <c r="I33" s="898"/>
    </row>
    <row r="34" spans="2:9" s="2" customFormat="1" ht="15.95">
      <c r="B34" s="1074"/>
      <c r="C34" s="896" t="s">
        <v>394</v>
      </c>
      <c r="D34" s="897">
        <v>20</v>
      </c>
      <c r="E34" s="897">
        <v>20</v>
      </c>
      <c r="F34" s="896" t="s">
        <v>395</v>
      </c>
      <c r="G34" s="897" t="s">
        <v>351</v>
      </c>
      <c r="H34" s="897"/>
      <c r="I34" s="898"/>
    </row>
    <row r="35" spans="2:9" s="2" customFormat="1" ht="15.95">
      <c r="B35" s="1073" t="s">
        <v>396</v>
      </c>
      <c r="C35" s="884" t="s">
        <v>397</v>
      </c>
      <c r="D35" s="876">
        <v>21</v>
      </c>
      <c r="E35" s="876" t="s">
        <v>371</v>
      </c>
      <c r="F35" s="884" t="s">
        <v>372</v>
      </c>
      <c r="G35" s="876"/>
      <c r="H35" s="876"/>
      <c r="I35" s="885" t="s">
        <v>361</v>
      </c>
    </row>
    <row r="36" spans="2:9" s="2" customFormat="1" ht="15.95">
      <c r="B36" s="1073"/>
      <c r="C36" s="884" t="s">
        <v>398</v>
      </c>
      <c r="D36" s="876">
        <v>22</v>
      </c>
      <c r="E36" s="876" t="s">
        <v>371</v>
      </c>
      <c r="F36" s="884" t="s">
        <v>372</v>
      </c>
      <c r="G36" s="876" t="s">
        <v>351</v>
      </c>
      <c r="H36" s="876"/>
      <c r="I36" s="885"/>
    </row>
    <row r="37" spans="2:9" s="2" customFormat="1" ht="15.95">
      <c r="B37" s="1074" t="s">
        <v>399</v>
      </c>
      <c r="C37" s="896" t="s">
        <v>400</v>
      </c>
      <c r="D37" s="897">
        <v>23</v>
      </c>
      <c r="E37" s="897">
        <v>23</v>
      </c>
      <c r="F37" s="896" t="s">
        <v>401</v>
      </c>
      <c r="G37" s="897"/>
      <c r="H37" s="897"/>
      <c r="I37" s="898" t="s">
        <v>361</v>
      </c>
    </row>
    <row r="38" spans="2:9" s="2" customFormat="1" ht="15.95">
      <c r="B38" s="1074"/>
      <c r="C38" s="896" t="s">
        <v>402</v>
      </c>
      <c r="D38" s="897">
        <v>24</v>
      </c>
      <c r="E38" s="897">
        <v>24</v>
      </c>
      <c r="F38" s="896" t="s">
        <v>401</v>
      </c>
      <c r="G38" s="897"/>
      <c r="H38" s="897"/>
      <c r="I38" s="898" t="s">
        <v>361</v>
      </c>
    </row>
    <row r="39" spans="2:9" s="2" customFormat="1" ht="15.95">
      <c r="B39" s="1074"/>
      <c r="C39" s="896" t="s">
        <v>403</v>
      </c>
      <c r="D39" s="897">
        <v>25</v>
      </c>
      <c r="E39" s="897">
        <v>25</v>
      </c>
      <c r="F39" s="896" t="s">
        <v>404</v>
      </c>
      <c r="G39" s="897"/>
      <c r="H39" s="897"/>
      <c r="I39" s="898" t="s">
        <v>361</v>
      </c>
    </row>
    <row r="40" spans="2:9" s="2" customFormat="1" ht="15.95">
      <c r="B40" s="1073" t="s">
        <v>405</v>
      </c>
      <c r="C40" s="884" t="s">
        <v>406</v>
      </c>
      <c r="D40" s="876">
        <v>26</v>
      </c>
      <c r="E40" s="876">
        <v>26</v>
      </c>
      <c r="F40" s="884" t="s">
        <v>372</v>
      </c>
      <c r="G40" s="876" t="s">
        <v>351</v>
      </c>
      <c r="H40" s="876"/>
      <c r="I40" s="885"/>
    </row>
    <row r="41" spans="2:9" s="2" customFormat="1" ht="15.95">
      <c r="B41" s="1073"/>
      <c r="C41" s="884" t="s">
        <v>407</v>
      </c>
      <c r="D41" s="876">
        <v>27</v>
      </c>
      <c r="E41" s="876">
        <v>27</v>
      </c>
      <c r="F41" s="884" t="s">
        <v>408</v>
      </c>
      <c r="G41" s="876" t="s">
        <v>351</v>
      </c>
      <c r="H41" s="876" t="s">
        <v>352</v>
      </c>
      <c r="I41" s="885"/>
    </row>
    <row r="42" spans="2:9" s="2" customFormat="1" ht="15.95">
      <c r="B42" s="1073"/>
      <c r="C42" s="884" t="s">
        <v>409</v>
      </c>
      <c r="D42" s="876">
        <v>28</v>
      </c>
      <c r="E42" s="876">
        <v>28</v>
      </c>
      <c r="F42" s="884" t="s">
        <v>410</v>
      </c>
      <c r="G42" s="876" t="s">
        <v>351</v>
      </c>
      <c r="H42" s="876" t="s">
        <v>352</v>
      </c>
      <c r="I42" s="885"/>
    </row>
    <row r="43" spans="2:9" s="2" customFormat="1" ht="15.95">
      <c r="B43" s="1073"/>
      <c r="C43" s="884" t="s">
        <v>411</v>
      </c>
      <c r="D43" s="876">
        <v>29</v>
      </c>
      <c r="E43" s="876">
        <v>29</v>
      </c>
      <c r="F43" s="884" t="s">
        <v>412</v>
      </c>
      <c r="G43" s="876"/>
      <c r="H43" s="876" t="s">
        <v>352</v>
      </c>
      <c r="I43" s="885"/>
    </row>
    <row r="44" spans="2:9" s="2" customFormat="1" ht="15.95">
      <c r="B44" s="1073"/>
      <c r="C44" s="884" t="s">
        <v>413</v>
      </c>
      <c r="D44" s="876">
        <v>30</v>
      </c>
      <c r="E44" s="876">
        <v>30</v>
      </c>
      <c r="F44" s="884" t="s">
        <v>414</v>
      </c>
      <c r="G44" s="876"/>
      <c r="H44" s="876" t="s">
        <v>352</v>
      </c>
      <c r="I44" s="885"/>
    </row>
    <row r="45" spans="2:9" s="2" customFormat="1" ht="15.95">
      <c r="B45" s="1073"/>
      <c r="C45" s="884" t="s">
        <v>415</v>
      </c>
      <c r="D45" s="876">
        <v>31</v>
      </c>
      <c r="E45" s="876">
        <v>31</v>
      </c>
      <c r="F45" s="884" t="s">
        <v>416</v>
      </c>
      <c r="G45" s="876" t="s">
        <v>351</v>
      </c>
      <c r="H45" s="876" t="s">
        <v>352</v>
      </c>
      <c r="I45" s="885"/>
    </row>
    <row r="46" spans="2:9" s="2" customFormat="1" ht="15.95">
      <c r="B46" s="1073"/>
      <c r="C46" s="884" t="s">
        <v>417</v>
      </c>
      <c r="D46" s="876">
        <v>32</v>
      </c>
      <c r="E46" s="876">
        <v>32</v>
      </c>
      <c r="F46" s="884" t="s">
        <v>418</v>
      </c>
      <c r="G46" s="876"/>
      <c r="H46" s="876" t="s">
        <v>352</v>
      </c>
      <c r="I46" s="885"/>
    </row>
    <row r="47" spans="2:9" s="2" customFormat="1" ht="15.95">
      <c r="B47" s="1073"/>
      <c r="C47" s="884" t="s">
        <v>419</v>
      </c>
      <c r="D47" s="876">
        <v>33</v>
      </c>
      <c r="E47" s="876">
        <v>33</v>
      </c>
      <c r="F47" s="884" t="s">
        <v>420</v>
      </c>
      <c r="G47" s="876"/>
      <c r="H47" s="876"/>
      <c r="I47" s="885" t="s">
        <v>361</v>
      </c>
    </row>
    <row r="48" spans="2:9" s="2" customFormat="1" ht="15.95">
      <c r="B48" s="1073"/>
      <c r="C48" s="884" t="s">
        <v>421</v>
      </c>
      <c r="D48" s="876">
        <v>34</v>
      </c>
      <c r="E48" s="876">
        <v>34</v>
      </c>
      <c r="F48" s="884" t="s">
        <v>422</v>
      </c>
      <c r="G48" s="876"/>
      <c r="H48" s="876"/>
      <c r="I48" s="885" t="s">
        <v>361</v>
      </c>
    </row>
    <row r="49" spans="2:9" s="2" customFormat="1" ht="15.95">
      <c r="B49" s="1074" t="s">
        <v>423</v>
      </c>
      <c r="C49" s="896" t="s">
        <v>424</v>
      </c>
      <c r="D49" s="897">
        <v>35</v>
      </c>
      <c r="E49" s="897">
        <v>35</v>
      </c>
      <c r="F49" s="896" t="s">
        <v>425</v>
      </c>
      <c r="G49" s="897" t="s">
        <v>351</v>
      </c>
      <c r="H49" s="897"/>
      <c r="I49" s="898"/>
    </row>
    <row r="50" spans="2:9" s="2" customFormat="1" ht="15.95">
      <c r="B50" s="1074"/>
      <c r="C50" s="896" t="s">
        <v>426</v>
      </c>
      <c r="D50" s="897">
        <v>36</v>
      </c>
      <c r="E50" s="897">
        <v>36</v>
      </c>
      <c r="F50" s="896" t="s">
        <v>427</v>
      </c>
      <c r="G50" s="897"/>
      <c r="H50" s="897"/>
      <c r="I50" s="898" t="s">
        <v>361</v>
      </c>
    </row>
    <row r="51" spans="2:9" s="2" customFormat="1" ht="15.95">
      <c r="B51" s="1074"/>
      <c r="C51" s="900" t="s">
        <v>428</v>
      </c>
      <c r="D51" s="897">
        <v>37</v>
      </c>
      <c r="E51" s="897" t="s">
        <v>371</v>
      </c>
      <c r="F51" s="896" t="s">
        <v>429</v>
      </c>
      <c r="G51" s="897" t="s">
        <v>351</v>
      </c>
      <c r="H51" s="897"/>
      <c r="I51" s="898"/>
    </row>
    <row r="52" spans="2:9" s="2" customFormat="1" ht="15.95">
      <c r="B52" s="1074"/>
      <c r="C52" s="896" t="s">
        <v>269</v>
      </c>
      <c r="D52" s="897">
        <v>38</v>
      </c>
      <c r="E52" s="897">
        <v>38</v>
      </c>
      <c r="F52" s="896" t="s">
        <v>430</v>
      </c>
      <c r="G52" s="897"/>
      <c r="H52" s="897" t="s">
        <v>352</v>
      </c>
      <c r="I52" s="898"/>
    </row>
    <row r="53" spans="2:9" s="2" customFormat="1" ht="15.95">
      <c r="B53" s="1074"/>
      <c r="C53" s="896" t="s">
        <v>431</v>
      </c>
      <c r="D53" s="897">
        <v>39</v>
      </c>
      <c r="E53" s="897">
        <v>39</v>
      </c>
      <c r="F53" s="896" t="s">
        <v>432</v>
      </c>
      <c r="G53" s="897"/>
      <c r="H53" s="897" t="s">
        <v>352</v>
      </c>
      <c r="I53" s="898"/>
    </row>
    <row r="54" spans="2:9" s="2" customFormat="1" ht="15.95">
      <c r="B54" s="1074"/>
      <c r="C54" s="896" t="s">
        <v>433</v>
      </c>
      <c r="D54" s="897">
        <v>40</v>
      </c>
      <c r="E54" s="897">
        <v>40</v>
      </c>
      <c r="F54" s="896" t="s">
        <v>434</v>
      </c>
      <c r="G54" s="897"/>
      <c r="H54" s="897"/>
      <c r="I54" s="898" t="s">
        <v>361</v>
      </c>
    </row>
    <row r="55" spans="2:9" s="2" customFormat="1" ht="15.95">
      <c r="B55" s="1074"/>
      <c r="C55" s="896" t="s">
        <v>435</v>
      </c>
      <c r="D55" s="897">
        <v>41</v>
      </c>
      <c r="E55" s="897">
        <v>41</v>
      </c>
      <c r="F55" s="896" t="s">
        <v>436</v>
      </c>
      <c r="G55" s="897"/>
      <c r="H55" s="897"/>
      <c r="I55" s="898" t="s">
        <v>361</v>
      </c>
    </row>
    <row r="56" spans="2:9" s="2" customFormat="1" ht="15.95">
      <c r="B56" s="1074"/>
      <c r="C56" s="896" t="s">
        <v>437</v>
      </c>
      <c r="D56" s="897">
        <v>42</v>
      </c>
      <c r="E56" s="897">
        <v>42</v>
      </c>
      <c r="F56" s="896" t="s">
        <v>438</v>
      </c>
      <c r="G56" s="897"/>
      <c r="H56" s="897"/>
      <c r="I56" s="898" t="s">
        <v>361</v>
      </c>
    </row>
    <row r="57" spans="2:9" s="2" customFormat="1" ht="15.95">
      <c r="B57" s="1074"/>
      <c r="C57" s="896" t="s">
        <v>439</v>
      </c>
      <c r="D57" s="897">
        <v>43</v>
      </c>
      <c r="E57" s="897">
        <v>43</v>
      </c>
      <c r="F57" s="896" t="s">
        <v>83</v>
      </c>
      <c r="G57" s="897"/>
      <c r="H57" s="897"/>
      <c r="I57" s="898" t="s">
        <v>361</v>
      </c>
    </row>
    <row r="58" spans="2:9" s="2" customFormat="1" ht="15.95">
      <c r="B58" s="1074"/>
      <c r="C58" s="896" t="s">
        <v>440</v>
      </c>
      <c r="D58" s="897">
        <v>44</v>
      </c>
      <c r="E58" s="897">
        <v>44</v>
      </c>
      <c r="F58" s="896" t="s">
        <v>441</v>
      </c>
      <c r="G58" s="897"/>
      <c r="H58" s="897"/>
      <c r="I58" s="898" t="s">
        <v>361</v>
      </c>
    </row>
    <row r="59" spans="2:9" s="2" customFormat="1" ht="15.95">
      <c r="B59" s="1074"/>
      <c r="C59" s="896" t="s">
        <v>442</v>
      </c>
      <c r="D59" s="897">
        <v>45</v>
      </c>
      <c r="E59" s="897">
        <v>45</v>
      </c>
      <c r="F59" s="896" t="s">
        <v>443</v>
      </c>
      <c r="G59" s="897"/>
      <c r="H59" s="897"/>
      <c r="I59" s="898" t="s">
        <v>361</v>
      </c>
    </row>
    <row r="60" spans="2:9" s="2" customFormat="1" ht="16.5" thickBot="1">
      <c r="B60" s="1075"/>
      <c r="C60" s="901" t="s">
        <v>444</v>
      </c>
      <c r="D60" s="902">
        <v>46</v>
      </c>
      <c r="E60" s="902" t="s">
        <v>371</v>
      </c>
      <c r="F60" s="901" t="s">
        <v>445</v>
      </c>
      <c r="G60" s="902"/>
      <c r="H60" s="902"/>
      <c r="I60" s="903" t="s">
        <v>361</v>
      </c>
    </row>
    <row r="61" spans="2:9" s="7" customFormat="1" ht="15.95">
      <c r="B61" s="886"/>
      <c r="C61" s="887"/>
      <c r="D61" s="886"/>
      <c r="E61" s="886"/>
      <c r="F61" s="886"/>
      <c r="G61" s="886"/>
      <c r="H61" s="886"/>
      <c r="I61" s="886"/>
    </row>
    <row r="62" spans="2:9" s="7" customFormat="1" ht="16.5" thickBot="1">
      <c r="B62" s="886" t="s">
        <v>446</v>
      </c>
      <c r="C62" s="887"/>
      <c r="D62" s="886"/>
      <c r="E62" s="886"/>
      <c r="F62" s="888"/>
      <c r="G62" s="888"/>
      <c r="H62" s="888"/>
      <c r="I62" s="886"/>
    </row>
    <row r="63" spans="2:9" s="7" customFormat="1" ht="15.95">
      <c r="B63" s="1083" t="s">
        <v>447</v>
      </c>
      <c r="C63" s="904" t="s">
        <v>448</v>
      </c>
      <c r="D63" s="889"/>
      <c r="E63" s="886"/>
      <c r="F63" s="890"/>
      <c r="G63" s="890"/>
      <c r="H63" s="888"/>
      <c r="I63" s="886"/>
    </row>
    <row r="64" spans="2:9" s="7" customFormat="1" ht="15.95">
      <c r="B64" s="1081"/>
      <c r="C64" s="905" t="s">
        <v>449</v>
      </c>
      <c r="D64" s="889"/>
      <c r="E64" s="886"/>
      <c r="F64" s="890"/>
      <c r="G64" s="888"/>
      <c r="H64" s="888"/>
      <c r="I64" s="886"/>
    </row>
    <row r="65" spans="2:9" s="7" customFormat="1" ht="15.95">
      <c r="B65" s="1076" t="s">
        <v>450</v>
      </c>
      <c r="C65" s="891" t="s">
        <v>451</v>
      </c>
      <c r="D65" s="886"/>
      <c r="E65" s="886"/>
      <c r="F65" s="888"/>
      <c r="G65" s="888"/>
      <c r="H65" s="888"/>
      <c r="I65" s="886"/>
    </row>
    <row r="66" spans="2:9" s="7" customFormat="1" ht="15.95">
      <c r="B66" s="1077"/>
      <c r="C66" s="891" t="s">
        <v>452</v>
      </c>
      <c r="D66" s="886"/>
      <c r="E66" s="886"/>
      <c r="F66" s="888"/>
      <c r="G66" s="888"/>
      <c r="H66" s="888"/>
      <c r="I66" s="886"/>
    </row>
    <row r="67" spans="2:9" s="7" customFormat="1" ht="15.95">
      <c r="B67" s="1077"/>
      <c r="C67" s="891" t="s">
        <v>453</v>
      </c>
      <c r="D67" s="886"/>
      <c r="E67" s="886"/>
      <c r="F67" s="888"/>
      <c r="G67" s="888"/>
      <c r="H67" s="888"/>
      <c r="I67" s="886"/>
    </row>
    <row r="68" spans="2:9" s="7" customFormat="1" ht="15.95">
      <c r="B68" s="1077"/>
      <c r="C68" s="891" t="s">
        <v>354</v>
      </c>
      <c r="D68" s="886"/>
      <c r="E68" s="886"/>
      <c r="F68" s="888"/>
      <c r="G68" s="888"/>
      <c r="H68" s="888"/>
      <c r="I68" s="886"/>
    </row>
    <row r="69" spans="2:9" s="7" customFormat="1" ht="15.95">
      <c r="B69" s="1077"/>
      <c r="C69" s="891" t="s">
        <v>454</v>
      </c>
      <c r="D69" s="886"/>
      <c r="E69" s="886"/>
      <c r="F69" s="888"/>
      <c r="G69" s="888"/>
      <c r="H69" s="888"/>
      <c r="I69" s="886"/>
    </row>
    <row r="70" spans="2:9" s="7" customFormat="1" ht="15.95">
      <c r="B70" s="1077"/>
      <c r="C70" s="891" t="s">
        <v>455</v>
      </c>
      <c r="D70" s="886"/>
      <c r="E70" s="886"/>
      <c r="F70" s="888"/>
      <c r="G70" s="888"/>
      <c r="H70" s="888"/>
      <c r="I70" s="886"/>
    </row>
    <row r="71" spans="2:9" s="7" customFormat="1" ht="15.95">
      <c r="B71" s="1077"/>
      <c r="C71" s="891" t="s">
        <v>456</v>
      </c>
      <c r="D71" s="886"/>
      <c r="E71" s="886"/>
      <c r="F71" s="888"/>
      <c r="G71" s="888"/>
      <c r="H71" s="888"/>
      <c r="I71" s="886"/>
    </row>
    <row r="72" spans="2:9" s="7" customFormat="1" ht="15.95">
      <c r="B72" s="1077"/>
      <c r="C72" s="891" t="s">
        <v>457</v>
      </c>
      <c r="D72" s="886"/>
      <c r="E72" s="886"/>
      <c r="F72" s="888"/>
      <c r="G72" s="888"/>
      <c r="H72" s="888"/>
      <c r="I72" s="886"/>
    </row>
    <row r="73" spans="2:9" s="7" customFormat="1" ht="15.95">
      <c r="B73" s="1077"/>
      <c r="C73" s="891" t="s">
        <v>269</v>
      </c>
      <c r="D73" s="886"/>
      <c r="E73" s="886"/>
      <c r="F73" s="888"/>
      <c r="G73" s="888"/>
      <c r="H73" s="888"/>
      <c r="I73" s="886"/>
    </row>
    <row r="74" spans="2:9" s="7" customFormat="1" ht="15.95">
      <c r="B74" s="1077"/>
      <c r="C74" s="891" t="s">
        <v>458</v>
      </c>
      <c r="D74" s="886"/>
      <c r="E74" s="886"/>
      <c r="F74" s="888"/>
      <c r="G74" s="888"/>
      <c r="H74" s="888"/>
      <c r="I74" s="886"/>
    </row>
    <row r="75" spans="2:9" s="7" customFormat="1" ht="15.95">
      <c r="B75" s="1078"/>
      <c r="C75" s="891" t="s">
        <v>230</v>
      </c>
      <c r="D75" s="886"/>
      <c r="E75" s="886"/>
      <c r="F75" s="888"/>
      <c r="G75" s="888"/>
      <c r="H75" s="888"/>
      <c r="I75" s="886"/>
    </row>
    <row r="76" spans="2:9" s="7" customFormat="1" ht="15.95">
      <c r="B76" s="1079" t="s">
        <v>459</v>
      </c>
      <c r="C76" s="905" t="s">
        <v>460</v>
      </c>
      <c r="D76" s="886"/>
      <c r="E76" s="886"/>
      <c r="F76" s="888"/>
      <c r="G76" s="888"/>
      <c r="H76" s="888"/>
      <c r="I76" s="886"/>
    </row>
    <row r="77" spans="2:9" s="7" customFormat="1" ht="15.95">
      <c r="B77" s="1080"/>
      <c r="C77" s="905" t="s">
        <v>461</v>
      </c>
      <c r="D77" s="886"/>
      <c r="E77" s="886"/>
      <c r="F77" s="888"/>
      <c r="G77" s="888"/>
      <c r="H77" s="888"/>
      <c r="I77" s="886"/>
    </row>
    <row r="78" spans="2:9" s="7" customFormat="1" ht="15.95">
      <c r="B78" s="1080"/>
      <c r="C78" s="905" t="s">
        <v>151</v>
      </c>
      <c r="D78" s="886"/>
      <c r="E78" s="886"/>
      <c r="F78" s="888"/>
      <c r="G78" s="888"/>
      <c r="H78" s="888"/>
      <c r="I78" s="886"/>
    </row>
    <row r="79" spans="2:9" s="7" customFormat="1" ht="15.95">
      <c r="B79" s="1081"/>
      <c r="C79" s="905" t="s">
        <v>462</v>
      </c>
      <c r="D79" s="886"/>
      <c r="E79" s="886"/>
      <c r="F79" s="888"/>
      <c r="G79" s="888"/>
      <c r="H79" s="888"/>
      <c r="I79" s="886"/>
    </row>
    <row r="80" spans="2:9" s="7" customFormat="1" ht="15.95">
      <c r="B80" s="1076" t="s">
        <v>463</v>
      </c>
      <c r="C80" s="891" t="s">
        <v>464</v>
      </c>
      <c r="D80" s="886"/>
      <c r="E80" s="886"/>
      <c r="F80" s="888"/>
      <c r="G80" s="888"/>
      <c r="H80" s="888"/>
      <c r="I80" s="886"/>
    </row>
    <row r="81" spans="2:9" s="7" customFormat="1" ht="15.95">
      <c r="B81" s="1077"/>
      <c r="C81" s="891" t="s">
        <v>465</v>
      </c>
      <c r="D81" s="886"/>
      <c r="E81" s="886"/>
      <c r="F81" s="888"/>
      <c r="G81" s="888"/>
      <c r="H81" s="888"/>
      <c r="I81" s="886"/>
    </row>
    <row r="82" spans="2:9" s="7" customFormat="1" ht="15.95">
      <c r="B82" s="1078"/>
      <c r="C82" s="891" t="s">
        <v>466</v>
      </c>
      <c r="D82" s="886"/>
      <c r="E82" s="886"/>
      <c r="F82" s="888"/>
      <c r="G82" s="888"/>
      <c r="H82" s="888"/>
      <c r="I82" s="886"/>
    </row>
    <row r="83" spans="2:9" s="7" customFormat="1" ht="15.95">
      <c r="B83" s="1079" t="s">
        <v>467</v>
      </c>
      <c r="C83" s="905" t="s">
        <v>468</v>
      </c>
      <c r="D83" s="886"/>
      <c r="E83" s="886"/>
      <c r="F83" s="888"/>
      <c r="G83" s="888"/>
      <c r="H83" s="888"/>
      <c r="I83" s="886"/>
    </row>
    <row r="84" spans="2:9" s="7" customFormat="1" ht="16.5" thickBot="1">
      <c r="B84" s="1082"/>
      <c r="C84" s="906" t="s">
        <v>469</v>
      </c>
      <c r="D84" s="886"/>
      <c r="E84" s="886"/>
      <c r="F84" s="888"/>
      <c r="G84" s="888"/>
      <c r="H84" s="888"/>
      <c r="I84" s="886"/>
    </row>
    <row r="85" spans="2:9" s="7" customFormat="1" ht="15.95">
      <c r="B85" s="886"/>
      <c r="C85" s="887"/>
      <c r="D85" s="886"/>
      <c r="E85" s="886"/>
      <c r="F85" s="888"/>
      <c r="G85" s="888"/>
      <c r="H85" s="888"/>
      <c r="I85" s="886"/>
    </row>
    <row r="86" spans="2:9" s="7" customFormat="1">
      <c r="C86" s="9"/>
      <c r="F86" s="11"/>
      <c r="G86" s="11"/>
      <c r="H86" s="11"/>
    </row>
    <row r="87" spans="2:9" s="7" customFormat="1">
      <c r="C87" s="9"/>
      <c r="F87" s="11"/>
      <c r="G87" s="11"/>
      <c r="H87" s="11"/>
    </row>
    <row r="88" spans="2:9" s="7" customFormat="1">
      <c r="C88" s="9"/>
      <c r="F88" s="11"/>
      <c r="G88" s="11"/>
      <c r="H88" s="11"/>
    </row>
    <row r="89" spans="2:9" s="7" customFormat="1">
      <c r="C89" s="9"/>
      <c r="F89" s="11"/>
      <c r="G89" s="11"/>
      <c r="H89" s="11"/>
    </row>
    <row r="90" spans="2:9" s="7" customFormat="1">
      <c r="C90" s="9"/>
      <c r="F90" s="11"/>
      <c r="G90" s="11"/>
      <c r="H90" s="11"/>
    </row>
    <row r="91" spans="2:9" s="7" customFormat="1">
      <c r="C91" s="9"/>
      <c r="F91" s="11"/>
      <c r="G91" s="11"/>
      <c r="H91" s="11"/>
    </row>
    <row r="92" spans="2:9" s="7" customFormat="1">
      <c r="C92" s="9"/>
      <c r="F92" s="11"/>
      <c r="G92" s="11"/>
      <c r="H92" s="11"/>
    </row>
    <row r="93" spans="2:9" s="7" customFormat="1">
      <c r="C93" s="9"/>
      <c r="F93" s="11"/>
      <c r="G93" s="11"/>
      <c r="H93" s="11"/>
    </row>
    <row r="94" spans="2:9" s="7" customFormat="1">
      <c r="C94" s="9"/>
      <c r="F94" s="11"/>
      <c r="G94" s="11"/>
      <c r="H94" s="11"/>
    </row>
    <row r="95" spans="2:9" s="7" customFormat="1">
      <c r="C95" s="9"/>
      <c r="F95" s="11"/>
      <c r="G95" s="11"/>
      <c r="H95" s="11"/>
    </row>
    <row r="96" spans="2:9" s="7" customFormat="1">
      <c r="C96" s="9"/>
      <c r="F96" s="11"/>
      <c r="G96" s="11"/>
      <c r="H96" s="11"/>
    </row>
    <row r="97" spans="3:8" s="7" customFormat="1">
      <c r="C97" s="9"/>
      <c r="F97" s="11"/>
      <c r="G97" s="11"/>
      <c r="H97" s="11"/>
    </row>
    <row r="98" spans="3:8" s="7" customFormat="1">
      <c r="C98" s="9"/>
      <c r="F98" s="11"/>
      <c r="G98" s="11"/>
      <c r="H98" s="11"/>
    </row>
    <row r="99" spans="3:8" s="7" customFormat="1">
      <c r="C99" s="9"/>
      <c r="F99" s="11"/>
      <c r="G99" s="11"/>
      <c r="H99" s="11"/>
    </row>
    <row r="100" spans="3:8" s="7" customFormat="1">
      <c r="C100" s="9"/>
      <c r="F100" s="11"/>
      <c r="G100" s="11"/>
      <c r="H100" s="11"/>
    </row>
    <row r="101" spans="3:8" s="7" customFormat="1">
      <c r="C101" s="9"/>
      <c r="F101" s="11"/>
      <c r="G101" s="11"/>
      <c r="H101" s="11"/>
    </row>
    <row r="102" spans="3:8" s="7" customFormat="1">
      <c r="C102" s="9"/>
      <c r="F102" s="11"/>
      <c r="G102" s="11"/>
      <c r="H102" s="11"/>
    </row>
    <row r="103" spans="3:8" s="7" customFormat="1">
      <c r="C103" s="9"/>
      <c r="F103" s="11"/>
      <c r="G103" s="11"/>
      <c r="H103" s="11"/>
    </row>
    <row r="104" spans="3:8" s="7" customFormat="1">
      <c r="C104" s="9"/>
      <c r="F104" s="11"/>
      <c r="G104" s="11"/>
      <c r="H104" s="11"/>
    </row>
    <row r="105" spans="3:8" s="7" customFormat="1">
      <c r="C105" s="9"/>
      <c r="F105" s="11"/>
      <c r="G105" s="11"/>
      <c r="H105" s="11"/>
    </row>
    <row r="106" spans="3:8" s="7" customFormat="1">
      <c r="C106" s="9"/>
      <c r="F106" s="11"/>
      <c r="G106" s="11"/>
      <c r="H106" s="11"/>
    </row>
    <row r="107" spans="3:8" s="7" customFormat="1">
      <c r="C107" s="9"/>
      <c r="F107" s="11"/>
      <c r="G107" s="11"/>
      <c r="H107" s="11"/>
    </row>
    <row r="108" spans="3:8" s="7" customFormat="1">
      <c r="C108" s="9"/>
      <c r="F108" s="11"/>
      <c r="G108" s="11"/>
      <c r="H108" s="11"/>
    </row>
    <row r="109" spans="3:8" s="7" customFormat="1">
      <c r="C109" s="9"/>
      <c r="F109" s="11"/>
      <c r="G109" s="11"/>
      <c r="H109" s="11"/>
    </row>
    <row r="110" spans="3:8" s="7" customFormat="1">
      <c r="C110" s="9"/>
      <c r="F110" s="11"/>
      <c r="G110" s="11"/>
      <c r="H110" s="11"/>
    </row>
    <row r="111" spans="3:8" s="7" customFormat="1">
      <c r="C111" s="9"/>
      <c r="F111" s="11"/>
      <c r="G111" s="11"/>
      <c r="H111" s="11"/>
    </row>
    <row r="112" spans="3:8" s="7" customFormat="1">
      <c r="C112" s="9"/>
      <c r="F112" s="11"/>
      <c r="G112" s="11"/>
      <c r="H112" s="11"/>
    </row>
    <row r="113" spans="3:8" s="7" customFormat="1">
      <c r="C113" s="9"/>
      <c r="F113" s="11"/>
      <c r="G113" s="11"/>
      <c r="H113" s="11"/>
    </row>
    <row r="114" spans="3:8" s="7" customFormat="1">
      <c r="C114" s="9"/>
      <c r="F114" s="11"/>
      <c r="G114" s="11"/>
      <c r="H114" s="11"/>
    </row>
    <row r="115" spans="3:8" s="7" customFormat="1">
      <c r="C115" s="9"/>
      <c r="F115" s="11"/>
      <c r="G115" s="11"/>
      <c r="H115" s="11"/>
    </row>
    <row r="116" spans="3:8" s="7" customFormat="1">
      <c r="C116" s="9"/>
      <c r="F116" s="11"/>
      <c r="G116" s="11"/>
      <c r="H116" s="11"/>
    </row>
  </sheetData>
  <sheetProtection algorithmName="SHA-512" hashValue="nDOuiIfhiV8dDI1xnESGusjQg699Rs95YeM15ArYfnmxKaYULqmTN60WX68fG5ujEKCRQ/CU6PfewwneQx34Uw==" saltValue="XHXzyqcdi8Xg28bvF2flfA==" spinCount="100000" sheet="1" objects="1" scenarios="1"/>
  <mergeCells count="14">
    <mergeCell ref="B65:B75"/>
    <mergeCell ref="B76:B79"/>
    <mergeCell ref="B80:B82"/>
    <mergeCell ref="B83:B84"/>
    <mergeCell ref="B63:B64"/>
    <mergeCell ref="B2:I12"/>
    <mergeCell ref="B40:B48"/>
    <mergeCell ref="B49:B60"/>
    <mergeCell ref="B15:B17"/>
    <mergeCell ref="B18:B26"/>
    <mergeCell ref="B28:B31"/>
    <mergeCell ref="B32:B34"/>
    <mergeCell ref="B35:B36"/>
    <mergeCell ref="B37:B3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29B64-8D35-4B20-B998-1F70F32270CE}">
  <sheetPr codeName="Sheet6">
    <tabColor theme="5"/>
  </sheetPr>
  <dimension ref="A1:AA251"/>
  <sheetViews>
    <sheetView zoomScale="80" zoomScaleNormal="80" workbookViewId="0">
      <pane xSplit="4" ySplit="9" topLeftCell="E151" activePane="bottomRight" state="frozen"/>
      <selection pane="bottomRight"/>
      <selection pane="bottomLeft" activeCell="A10" sqref="A10"/>
      <selection pane="topRight" activeCell="E1" sqref="E1"/>
    </sheetView>
  </sheetViews>
  <sheetFormatPr defaultColWidth="9" defaultRowHeight="14.45"/>
  <cols>
    <col min="1" max="1" width="5.75" style="3" customWidth="1"/>
    <col min="2" max="2" width="18.5" style="6" customWidth="1"/>
    <col min="3" max="3" width="70.875" style="2" customWidth="1"/>
    <col min="4" max="4" width="31.875" style="2" customWidth="1"/>
    <col min="5" max="5" width="17.125" style="936" customWidth="1"/>
    <col min="6" max="9" width="8.75" style="2" customWidth="1"/>
    <col min="10" max="10" width="10.625" style="2" customWidth="1"/>
    <col min="11" max="20" width="8.75" style="2" customWidth="1"/>
    <col min="21" max="21" width="9.5" style="2" customWidth="1"/>
    <col min="22" max="22" width="10.5" style="2" customWidth="1"/>
    <col min="23" max="24" width="8.75" style="2" customWidth="1"/>
    <col min="25" max="25" width="9.625" style="2" customWidth="1"/>
    <col min="26" max="27" width="8.75" style="2" customWidth="1"/>
    <col min="28" max="28" width="2.75" style="2" customWidth="1"/>
    <col min="29" max="29" width="36.75" style="2" bestFit="1" customWidth="1"/>
    <col min="30" max="16384" width="9" style="2"/>
  </cols>
  <sheetData>
    <row r="1" spans="1:27" ht="30.95">
      <c r="A1" s="658" t="s">
        <v>470</v>
      </c>
      <c r="B1" s="674"/>
    </row>
    <row r="2" spans="1:27">
      <c r="A2" s="660"/>
      <c r="B2" s="674"/>
    </row>
    <row r="3" spans="1:27">
      <c r="A3" s="6"/>
      <c r="B3" s="978">
        <v>10</v>
      </c>
      <c r="C3" s="2" t="s">
        <v>471</v>
      </c>
      <c r="D3" s="238"/>
    </row>
    <row r="4" spans="1:27">
      <c r="A4" s="6"/>
      <c r="B4" s="979">
        <f>-10</f>
        <v>-10</v>
      </c>
      <c r="C4" s="2" t="s">
        <v>472</v>
      </c>
      <c r="D4" s="239"/>
    </row>
    <row r="5" spans="1:27">
      <c r="A5" s="6"/>
      <c r="B5" s="970" t="s">
        <v>473</v>
      </c>
      <c r="C5" s="2" t="s">
        <v>474</v>
      </c>
      <c r="D5" s="239"/>
    </row>
    <row r="6" spans="1:27">
      <c r="A6" s="6"/>
      <c r="B6" s="971" t="s">
        <v>475</v>
      </c>
      <c r="C6" s="2" t="s">
        <v>476</v>
      </c>
    </row>
    <row r="7" spans="1:27">
      <c r="B7" s="970" t="s">
        <v>477</v>
      </c>
      <c r="C7" s="2" t="s">
        <v>478</v>
      </c>
      <c r="D7" s="238"/>
    </row>
    <row r="8" spans="1:27">
      <c r="F8" s="1093" t="s">
        <v>479</v>
      </c>
      <c r="G8" s="1093"/>
      <c r="H8" s="1093"/>
      <c r="I8" s="1093"/>
      <c r="J8" s="1093"/>
      <c r="K8" s="1093"/>
      <c r="L8" s="1093"/>
      <c r="M8" s="1093"/>
      <c r="N8" s="1093"/>
      <c r="O8" s="1093"/>
      <c r="P8" s="1093"/>
      <c r="Q8" s="1093"/>
      <c r="R8" s="1093"/>
      <c r="S8" s="1093"/>
      <c r="T8" s="1093"/>
      <c r="U8" s="1093"/>
      <c r="V8" s="1093"/>
      <c r="W8" s="1093"/>
      <c r="X8" s="1093"/>
      <c r="Y8" s="1093"/>
      <c r="Z8" s="1093"/>
      <c r="AA8" s="1093"/>
    </row>
    <row r="9" spans="1:27" ht="105.75" customHeight="1">
      <c r="A9" s="973" t="s">
        <v>480</v>
      </c>
      <c r="B9" s="973" t="s">
        <v>62</v>
      </c>
      <c r="C9" s="974" t="s">
        <v>104</v>
      </c>
      <c r="D9" s="975" t="s">
        <v>481</v>
      </c>
      <c r="E9" s="976" t="s">
        <v>482</v>
      </c>
      <c r="F9" s="977" t="s">
        <v>448</v>
      </c>
      <c r="G9" s="977" t="s">
        <v>449</v>
      </c>
      <c r="H9" s="977" t="s">
        <v>451</v>
      </c>
      <c r="I9" s="977" t="s">
        <v>452</v>
      </c>
      <c r="J9" s="977" t="s">
        <v>453</v>
      </c>
      <c r="K9" s="977" t="s">
        <v>354</v>
      </c>
      <c r="L9" s="977" t="s">
        <v>454</v>
      </c>
      <c r="M9" s="977" t="s">
        <v>455</v>
      </c>
      <c r="N9" s="977" t="s">
        <v>456</v>
      </c>
      <c r="O9" s="977" t="s">
        <v>457</v>
      </c>
      <c r="P9" s="977" t="s">
        <v>269</v>
      </c>
      <c r="Q9" s="977" t="s">
        <v>458</v>
      </c>
      <c r="R9" s="977" t="s">
        <v>230</v>
      </c>
      <c r="S9" s="977" t="s">
        <v>460</v>
      </c>
      <c r="T9" s="977" t="s">
        <v>461</v>
      </c>
      <c r="U9" s="977" t="s">
        <v>151</v>
      </c>
      <c r="V9" s="977" t="s">
        <v>462</v>
      </c>
      <c r="W9" s="977" t="s">
        <v>464</v>
      </c>
      <c r="X9" s="977" t="s">
        <v>465</v>
      </c>
      <c r="Y9" s="977" t="s">
        <v>466</v>
      </c>
      <c r="Z9" s="977" t="s">
        <v>468</v>
      </c>
      <c r="AA9" s="977" t="s">
        <v>469</v>
      </c>
    </row>
    <row r="10" spans="1:27">
      <c r="A10" s="1099">
        <v>1</v>
      </c>
      <c r="B10" s="1094" t="s">
        <v>355</v>
      </c>
      <c r="C10" s="212" t="s">
        <v>483</v>
      </c>
      <c r="D10" s="212" t="s">
        <v>356</v>
      </c>
      <c r="E10" s="967">
        <f t="shared" ref="E10:E73" si="0">SUM(F10:AA10)</f>
        <v>0</v>
      </c>
      <c r="F10" s="972" t="str">
        <f>IF('1'!D11="","",'1'!D11)</f>
        <v>LG(H)</v>
      </c>
      <c r="G10" s="972"/>
      <c r="H10" s="972"/>
      <c r="I10" s="972"/>
      <c r="J10" s="972"/>
      <c r="K10" s="972"/>
      <c r="L10" s="972"/>
      <c r="M10" s="972"/>
      <c r="N10" s="972"/>
      <c r="O10" s="972"/>
      <c r="P10" s="972"/>
      <c r="Q10" s="972"/>
      <c r="R10" s="972"/>
      <c r="S10" s="972" t="str">
        <f>IF('1'!E11="","",'1'!E11)</f>
        <v>LG(H)</v>
      </c>
      <c r="T10" s="972"/>
      <c r="U10" s="972"/>
      <c r="V10" s="972"/>
      <c r="W10" s="972"/>
      <c r="X10" s="972"/>
      <c r="Y10" s="972"/>
      <c r="Z10" s="972"/>
      <c r="AA10" s="972"/>
    </row>
    <row r="11" spans="1:27">
      <c r="A11" s="1099"/>
      <c r="B11" s="1095"/>
      <c r="C11" s="278" t="s">
        <v>484</v>
      </c>
      <c r="D11" s="278" t="s">
        <v>356</v>
      </c>
      <c r="E11" s="967">
        <f t="shared" si="0"/>
        <v>0</v>
      </c>
      <c r="F11" s="964" t="str">
        <f>IF('1'!D12="","",'1'!D12)</f>
        <v>LG(H)</v>
      </c>
      <c r="G11" s="964"/>
      <c r="H11" s="964"/>
      <c r="I11" s="964"/>
      <c r="J11" s="964"/>
      <c r="K11" s="964"/>
      <c r="L11" s="964"/>
      <c r="M11" s="964"/>
      <c r="N11" s="964"/>
      <c r="O11" s="964"/>
      <c r="P11" s="964"/>
      <c r="Q11" s="964"/>
      <c r="R11" s="964"/>
      <c r="S11" s="964" t="str">
        <f>IF('1'!E12="","",'1'!E12)</f>
        <v>LG(H)</v>
      </c>
      <c r="T11" s="964"/>
      <c r="U11" s="964"/>
      <c r="V11" s="964"/>
      <c r="W11" s="964"/>
      <c r="X11" s="964"/>
      <c r="Y11" s="964"/>
      <c r="Z11" s="964"/>
      <c r="AA11" s="964"/>
    </row>
    <row r="12" spans="1:27">
      <c r="A12" s="1099"/>
      <c r="B12" s="1091"/>
      <c r="C12" s="278" t="s">
        <v>485</v>
      </c>
      <c r="D12" s="278" t="s">
        <v>356</v>
      </c>
      <c r="E12" s="967">
        <f t="shared" si="0"/>
        <v>502441.7673252282</v>
      </c>
      <c r="F12" s="964" t="str">
        <f>IF('1'!D13="","",'1'!D13)</f>
        <v>LG(H)</v>
      </c>
      <c r="G12" s="964"/>
      <c r="H12" s="964"/>
      <c r="I12" s="964"/>
      <c r="J12" s="964"/>
      <c r="K12" s="964"/>
      <c r="L12" s="964"/>
      <c r="M12" s="964"/>
      <c r="N12" s="964"/>
      <c r="O12" s="964"/>
      <c r="P12" s="964"/>
      <c r="Q12" s="964"/>
      <c r="R12" s="964"/>
      <c r="S12" s="964" t="str">
        <f>IF('1'!E13="","",'1'!E13)</f>
        <v>LG(H)</v>
      </c>
      <c r="T12" s="964"/>
      <c r="U12" s="964">
        <f>IF('1'!F13="","",'1'!F13)</f>
        <v>146481.43112542774</v>
      </c>
      <c r="V12" s="964">
        <f>IF('1'!G13="","",'1'!G13)</f>
        <v>355960.33619980043</v>
      </c>
      <c r="W12" s="964"/>
      <c r="X12" s="964"/>
      <c r="Y12" s="964"/>
      <c r="Z12" s="964"/>
      <c r="AA12" s="964"/>
    </row>
    <row r="13" spans="1:27">
      <c r="A13" s="1099"/>
      <c r="B13" s="1091"/>
      <c r="C13" s="278" t="s">
        <v>486</v>
      </c>
      <c r="D13" s="278" t="s">
        <v>356</v>
      </c>
      <c r="E13" s="967">
        <f t="shared" si="0"/>
        <v>721505.01918587042</v>
      </c>
      <c r="F13" s="964" t="str">
        <f>IF('1'!D14="","",'1'!D14)</f>
        <v>LG(H)</v>
      </c>
      <c r="G13" s="964"/>
      <c r="H13" s="964"/>
      <c r="I13" s="964"/>
      <c r="J13" s="964"/>
      <c r="K13" s="964"/>
      <c r="L13" s="964"/>
      <c r="M13" s="964"/>
      <c r="N13" s="964"/>
      <c r="O13" s="964"/>
      <c r="P13" s="964"/>
      <c r="Q13" s="964"/>
      <c r="R13" s="964"/>
      <c r="S13" s="964" t="str">
        <f>IF('1'!E14="","",'1'!E14)</f>
        <v>LG(H)</v>
      </c>
      <c r="T13" s="964"/>
      <c r="U13" s="964">
        <f>IF('1'!F14="","",'1'!F14)</f>
        <v>721505.01918587042</v>
      </c>
      <c r="V13" s="964" t="str">
        <f>IF('1'!G14="","",'1'!G14)</f>
        <v>LG(L)</v>
      </c>
      <c r="W13" s="964"/>
      <c r="X13" s="964"/>
      <c r="Y13" s="964"/>
      <c r="Z13" s="964"/>
      <c r="AA13" s="964"/>
    </row>
    <row r="14" spans="1:27">
      <c r="A14" s="1099"/>
      <c r="B14" s="1091"/>
      <c r="C14" s="278" t="s">
        <v>487</v>
      </c>
      <c r="D14" s="278" t="s">
        <v>356</v>
      </c>
      <c r="E14" s="967">
        <f t="shared" si="0"/>
        <v>502441.7673252282</v>
      </c>
      <c r="F14" s="964" t="str">
        <f>IF('1'!D15="","",'1'!D15)</f>
        <v>LG(H)</v>
      </c>
      <c r="G14" s="964"/>
      <c r="H14" s="964"/>
      <c r="I14" s="964"/>
      <c r="J14" s="964"/>
      <c r="K14" s="964"/>
      <c r="L14" s="964"/>
      <c r="M14" s="964"/>
      <c r="N14" s="964"/>
      <c r="O14" s="964"/>
      <c r="P14" s="964"/>
      <c r="Q14" s="964"/>
      <c r="R14" s="964"/>
      <c r="S14" s="964" t="str">
        <f>IF('1'!E15="","",'1'!E15)</f>
        <v>LG(H)</v>
      </c>
      <c r="T14" s="964"/>
      <c r="U14" s="964">
        <f>IF('1'!F15="","",'1'!F15)</f>
        <v>146481.43112542774</v>
      </c>
      <c r="V14" s="964">
        <f>IF('1'!G15="","",'1'!G15)</f>
        <v>355960.33619980043</v>
      </c>
      <c r="W14" s="964"/>
      <c r="X14" s="964" t="str">
        <f>IF('1'!H15="","",'1'!H15)</f>
        <v>LG(M)</v>
      </c>
      <c r="Y14" s="964"/>
      <c r="Z14" s="964"/>
      <c r="AA14" s="964"/>
    </row>
    <row r="15" spans="1:27">
      <c r="A15" s="1099"/>
      <c r="B15" s="1091"/>
      <c r="C15" s="278" t="s">
        <v>488</v>
      </c>
      <c r="D15" s="278" t="s">
        <v>356</v>
      </c>
      <c r="E15" s="967">
        <f t="shared" si="0"/>
        <v>721505.01918587042</v>
      </c>
      <c r="F15" s="964" t="str">
        <f>IF('1'!D16="","",'1'!D16)</f>
        <v>LG(H)</v>
      </c>
      <c r="G15" s="964"/>
      <c r="H15" s="964"/>
      <c r="I15" s="964"/>
      <c r="J15" s="964"/>
      <c r="K15" s="964"/>
      <c r="L15" s="964"/>
      <c r="M15" s="964"/>
      <c r="N15" s="964"/>
      <c r="O15" s="964"/>
      <c r="P15" s="964"/>
      <c r="Q15" s="964"/>
      <c r="R15" s="964"/>
      <c r="S15" s="964" t="str">
        <f>IF('1'!E16="","",'1'!E16)</f>
        <v>LG(H)</v>
      </c>
      <c r="T15" s="964"/>
      <c r="U15" s="964">
        <f>IF('1'!F16="","",'1'!F16)</f>
        <v>721505.01918587042</v>
      </c>
      <c r="V15" s="964" t="str">
        <f>IF('1'!G16="","",'1'!G16)</f>
        <v>LG(L)</v>
      </c>
      <c r="W15" s="964"/>
      <c r="X15" s="964" t="str">
        <f>IF('1'!H16="","",'1'!H16)</f>
        <v>LG(M)</v>
      </c>
      <c r="Y15" s="964"/>
      <c r="Z15" s="964"/>
      <c r="AA15" s="964"/>
    </row>
    <row r="16" spans="1:27">
      <c r="A16" s="1099"/>
      <c r="B16" s="1091"/>
      <c r="C16" s="278" t="s">
        <v>489</v>
      </c>
      <c r="D16" s="278" t="s">
        <v>356</v>
      </c>
      <c r="E16" s="967">
        <f t="shared" si="0"/>
        <v>502441.7673252282</v>
      </c>
      <c r="F16" s="964" t="str">
        <f>IF('1'!D17="","",'1'!D17)</f>
        <v>LG(H)</v>
      </c>
      <c r="G16" s="964"/>
      <c r="H16" s="964"/>
      <c r="I16" s="964"/>
      <c r="J16" s="964"/>
      <c r="K16" s="964"/>
      <c r="L16" s="964"/>
      <c r="M16" s="964"/>
      <c r="N16" s="964"/>
      <c r="O16" s="964"/>
      <c r="P16" s="964"/>
      <c r="Q16" s="964"/>
      <c r="R16" s="964"/>
      <c r="S16" s="964" t="str">
        <f>IF('1'!E17="","",'1'!E17)</f>
        <v>LG(H)</v>
      </c>
      <c r="T16" s="964"/>
      <c r="U16" s="964">
        <f>IF('1'!F17="","",'1'!F17)</f>
        <v>146481.43112542774</v>
      </c>
      <c r="V16" s="964">
        <f>IF('1'!G17="","",'1'!G17)</f>
        <v>355960.33619980043</v>
      </c>
      <c r="W16" s="964"/>
      <c r="X16" s="964"/>
      <c r="Y16" s="964"/>
      <c r="Z16" s="964"/>
      <c r="AA16" s="964"/>
    </row>
    <row r="17" spans="1:27">
      <c r="A17" s="1099"/>
      <c r="B17" s="1091"/>
      <c r="C17" s="278" t="s">
        <v>490</v>
      </c>
      <c r="D17" s="278" t="s">
        <v>356</v>
      </c>
      <c r="E17" s="967">
        <f t="shared" si="0"/>
        <v>721505.01918587042</v>
      </c>
      <c r="F17" s="964" t="str">
        <f>IF('1'!D18="","",'1'!D18)</f>
        <v>LG(H)</v>
      </c>
      <c r="G17" s="964"/>
      <c r="H17" s="964"/>
      <c r="I17" s="964"/>
      <c r="J17" s="964"/>
      <c r="K17" s="964"/>
      <c r="L17" s="964"/>
      <c r="M17" s="964"/>
      <c r="N17" s="964"/>
      <c r="O17" s="964"/>
      <c r="P17" s="964"/>
      <c r="Q17" s="964"/>
      <c r="R17" s="964"/>
      <c r="S17" s="964" t="str">
        <f>IF('1'!E18="","",'1'!E18)</f>
        <v>LG(H)</v>
      </c>
      <c r="T17" s="964"/>
      <c r="U17" s="964">
        <f>IF('1'!F18="","",'1'!F18)</f>
        <v>721505.01918587042</v>
      </c>
      <c r="V17" s="964" t="str">
        <f>IF('1'!G18="","",'1'!G18)</f>
        <v>LG(L)</v>
      </c>
      <c r="W17" s="964"/>
      <c r="X17" s="964"/>
      <c r="Y17" s="964"/>
      <c r="Z17" s="964"/>
      <c r="AA17" s="964"/>
    </row>
    <row r="18" spans="1:27">
      <c r="A18" s="1099"/>
      <c r="B18" s="1091"/>
      <c r="C18" s="278" t="s">
        <v>491</v>
      </c>
      <c r="D18" s="278" t="s">
        <v>356</v>
      </c>
      <c r="E18" s="967">
        <f t="shared" si="0"/>
        <v>502441.7673252282</v>
      </c>
      <c r="F18" s="964" t="str">
        <f>IF('1'!D19="","",'1'!D19)</f>
        <v>LG(H)</v>
      </c>
      <c r="G18" s="964"/>
      <c r="H18" s="964"/>
      <c r="I18" s="964"/>
      <c r="J18" s="964"/>
      <c r="K18" s="964"/>
      <c r="L18" s="964"/>
      <c r="M18" s="964"/>
      <c r="N18" s="964"/>
      <c r="O18" s="964"/>
      <c r="P18" s="964"/>
      <c r="Q18" s="964"/>
      <c r="R18" s="964"/>
      <c r="S18" s="964" t="str">
        <f>IF('1'!E19="","",'1'!E19)</f>
        <v>LG(H)</v>
      </c>
      <c r="T18" s="964"/>
      <c r="U18" s="964">
        <f>IF('1'!F19="","",'1'!F19)</f>
        <v>146481.43112542774</v>
      </c>
      <c r="V18" s="964">
        <f>IF('1'!G19="","",'1'!G19)</f>
        <v>355960.33619980043</v>
      </c>
      <c r="W18" s="964"/>
      <c r="X18" s="964" t="str">
        <f>IF('1'!H19="","",'1'!H19)</f>
        <v>LG(M)</v>
      </c>
      <c r="Y18" s="964"/>
      <c r="Z18" s="964"/>
      <c r="AA18" s="964"/>
    </row>
    <row r="19" spans="1:27">
      <c r="A19" s="1099"/>
      <c r="B19" s="1091"/>
      <c r="C19" s="278" t="s">
        <v>492</v>
      </c>
      <c r="D19" s="278" t="s">
        <v>356</v>
      </c>
      <c r="E19" s="967">
        <f t="shared" si="0"/>
        <v>721505.01918587042</v>
      </c>
      <c r="F19" s="964" t="str">
        <f>IF('1'!D20="","",'1'!D20)</f>
        <v>LG(H)</v>
      </c>
      <c r="G19" s="964"/>
      <c r="H19" s="964"/>
      <c r="I19" s="964"/>
      <c r="J19" s="964"/>
      <c r="K19" s="964"/>
      <c r="L19" s="964"/>
      <c r="M19" s="964"/>
      <c r="N19" s="964"/>
      <c r="O19" s="964"/>
      <c r="P19" s="964"/>
      <c r="Q19" s="964"/>
      <c r="R19" s="964"/>
      <c r="S19" s="964" t="str">
        <f>IF('1'!E20="","",'1'!E20)</f>
        <v>LG(H)</v>
      </c>
      <c r="T19" s="964"/>
      <c r="U19" s="964">
        <f>IF('1'!F20="","",'1'!F20)</f>
        <v>721505.01918587042</v>
      </c>
      <c r="V19" s="964" t="str">
        <f>IF('1'!G20="","",'1'!G20)</f>
        <v>LG(L)</v>
      </c>
      <c r="W19" s="964"/>
      <c r="X19" s="964" t="str">
        <f>IF('1'!H20="","",'1'!H20)</f>
        <v>LG(M)</v>
      </c>
      <c r="Y19" s="964"/>
      <c r="Z19" s="964"/>
      <c r="AA19" s="964"/>
    </row>
    <row r="20" spans="1:27">
      <c r="A20" s="1099"/>
      <c r="B20" s="1091"/>
      <c r="C20" s="278" t="s">
        <v>493</v>
      </c>
      <c r="D20" s="278" t="s">
        <v>356</v>
      </c>
      <c r="E20" s="967">
        <f t="shared" si="0"/>
        <v>502441.7673252282</v>
      </c>
      <c r="F20" s="964" t="str">
        <f>IF('1'!D21="","",'1'!D21)</f>
        <v>LG(H)</v>
      </c>
      <c r="G20" s="964"/>
      <c r="H20" s="964"/>
      <c r="I20" s="964"/>
      <c r="J20" s="964"/>
      <c r="K20" s="964"/>
      <c r="L20" s="964"/>
      <c r="M20" s="964"/>
      <c r="N20" s="964"/>
      <c r="O20" s="964"/>
      <c r="P20" s="964"/>
      <c r="Q20" s="964"/>
      <c r="R20" s="964"/>
      <c r="S20" s="964" t="str">
        <f>IF('1'!E21="","",'1'!E21)</f>
        <v>LG(H)</v>
      </c>
      <c r="T20" s="964"/>
      <c r="U20" s="964">
        <f>IF('1'!F21="","",'1'!F21)</f>
        <v>146481.43112542774</v>
      </c>
      <c r="V20" s="964">
        <f>IF('1'!G21="","",'1'!G21)</f>
        <v>355960.33619980043</v>
      </c>
      <c r="W20" s="964"/>
      <c r="X20" s="964"/>
      <c r="Y20" s="964"/>
      <c r="Z20" s="964"/>
      <c r="AA20" s="964"/>
    </row>
    <row r="21" spans="1:27">
      <c r="A21" s="1099"/>
      <c r="B21" s="1091"/>
      <c r="C21" s="278" t="s">
        <v>494</v>
      </c>
      <c r="D21" s="278" t="s">
        <v>356</v>
      </c>
      <c r="E21" s="967">
        <f t="shared" si="0"/>
        <v>721505.01918587042</v>
      </c>
      <c r="F21" s="964" t="str">
        <f>IF('1'!D22="","",'1'!D22)</f>
        <v>LG(H)</v>
      </c>
      <c r="G21" s="964"/>
      <c r="H21" s="964"/>
      <c r="I21" s="964"/>
      <c r="J21" s="964"/>
      <c r="K21" s="964"/>
      <c r="L21" s="964"/>
      <c r="M21" s="964"/>
      <c r="N21" s="964"/>
      <c r="O21" s="964"/>
      <c r="P21" s="964"/>
      <c r="Q21" s="964"/>
      <c r="R21" s="964"/>
      <c r="S21" s="964" t="str">
        <f>IF('1'!E22="","",'1'!E22)</f>
        <v>LG(H)</v>
      </c>
      <c r="T21" s="964"/>
      <c r="U21" s="964">
        <f>IF('1'!F22="","",'1'!F22)</f>
        <v>721505.01918587042</v>
      </c>
      <c r="V21" s="964" t="str">
        <f>IF('1'!G22="","",'1'!G22)</f>
        <v>LG(L)</v>
      </c>
      <c r="W21" s="964"/>
      <c r="X21" s="964"/>
      <c r="Y21" s="964"/>
      <c r="Z21" s="964"/>
      <c r="AA21" s="964"/>
    </row>
    <row r="22" spans="1:27">
      <c r="A22" s="1099"/>
      <c r="B22" s="1091"/>
      <c r="C22" s="278" t="s">
        <v>495</v>
      </c>
      <c r="D22" s="278" t="s">
        <v>356</v>
      </c>
      <c r="E22" s="967">
        <f t="shared" si="0"/>
        <v>502441.7673252282</v>
      </c>
      <c r="F22" s="964" t="str">
        <f>IF('1'!D23="","",'1'!D23)</f>
        <v>LG(H)</v>
      </c>
      <c r="G22" s="964"/>
      <c r="H22" s="964"/>
      <c r="I22" s="964"/>
      <c r="J22" s="964"/>
      <c r="K22" s="964"/>
      <c r="L22" s="964"/>
      <c r="M22" s="964"/>
      <c r="N22" s="964"/>
      <c r="O22" s="964"/>
      <c r="P22" s="964"/>
      <c r="Q22" s="964"/>
      <c r="R22" s="964"/>
      <c r="S22" s="964" t="str">
        <f>IF('1'!E23="","",'1'!E23)</f>
        <v>LG(H)</v>
      </c>
      <c r="T22" s="964"/>
      <c r="U22" s="964">
        <f>IF('1'!F23="","",'1'!F23)</f>
        <v>146481.43112542774</v>
      </c>
      <c r="V22" s="964">
        <f>IF('1'!G23="","",'1'!G23)</f>
        <v>355960.33619980043</v>
      </c>
      <c r="W22" s="964"/>
      <c r="X22" s="964" t="str">
        <f>IF('1'!H23="","",'1'!H23)</f>
        <v>LG(M)</v>
      </c>
      <c r="Y22" s="964"/>
      <c r="Z22" s="964"/>
      <c r="AA22" s="964"/>
    </row>
    <row r="23" spans="1:27">
      <c r="A23" s="1100"/>
      <c r="B23" s="1091"/>
      <c r="C23" s="278" t="s">
        <v>496</v>
      </c>
      <c r="D23" s="278" t="s">
        <v>356</v>
      </c>
      <c r="E23" s="967">
        <f t="shared" si="0"/>
        <v>721505.01918587042</v>
      </c>
      <c r="F23" s="964" t="str">
        <f>IF('1'!D24="","",'1'!D24)</f>
        <v>LG(H)</v>
      </c>
      <c r="G23" s="964"/>
      <c r="H23" s="964"/>
      <c r="I23" s="964"/>
      <c r="J23" s="964"/>
      <c r="K23" s="964"/>
      <c r="L23" s="964"/>
      <c r="M23" s="964"/>
      <c r="N23" s="964"/>
      <c r="O23" s="964"/>
      <c r="P23" s="964"/>
      <c r="Q23" s="964"/>
      <c r="R23" s="964"/>
      <c r="S23" s="964" t="str">
        <f>IF('1'!E23="","",'1'!E23)</f>
        <v>LG(H)</v>
      </c>
      <c r="T23" s="964"/>
      <c r="U23" s="964">
        <f>IF('1'!F24="","",'1'!F24)</f>
        <v>721505.01918587042</v>
      </c>
      <c r="V23" s="964" t="str">
        <f>IF('1'!G24="","",'1'!G24)</f>
        <v>LG(L)</v>
      </c>
      <c r="W23" s="964"/>
      <c r="X23" s="964" t="str">
        <f>IF('1'!H23="","",'1'!H23)</f>
        <v>LG(M)</v>
      </c>
      <c r="Y23" s="964"/>
      <c r="Z23" s="964"/>
      <c r="AA23" s="964"/>
    </row>
    <row r="24" spans="1:27">
      <c r="A24" s="1084">
        <v>2</v>
      </c>
      <c r="B24" s="1091" t="s">
        <v>357</v>
      </c>
      <c r="C24" s="278" t="s">
        <v>106</v>
      </c>
      <c r="D24" s="278" t="s">
        <v>358</v>
      </c>
      <c r="E24" s="967">
        <f t="shared" si="0"/>
        <v>4781.9161300758324</v>
      </c>
      <c r="F24" s="965" t="str">
        <f>IF('2'!D11="","",'2'!D11)</f>
        <v>LG(H)</v>
      </c>
      <c r="G24" s="964"/>
      <c r="H24" s="964"/>
      <c r="I24" s="964"/>
      <c r="J24" s="964"/>
      <c r="K24" s="964"/>
      <c r="L24" s="964"/>
      <c r="M24" s="964"/>
      <c r="N24" s="964"/>
      <c r="O24" s="964"/>
      <c r="P24" s="964"/>
      <c r="Q24" s="964"/>
      <c r="R24" s="964"/>
      <c r="S24" s="964" t="str">
        <f>IF('2'!E11="","",'2'!E11)</f>
        <v>LG(H)</v>
      </c>
      <c r="T24" s="964"/>
      <c r="U24" s="964">
        <f>IF('2'!F11="","",'2'!F11)</f>
        <v>76.05646174627779</v>
      </c>
      <c r="V24" s="964">
        <f>IF('2'!G11="","",'2'!G11)</f>
        <v>4705.8596683295546</v>
      </c>
      <c r="W24" s="964"/>
      <c r="X24" s="964"/>
      <c r="Y24" s="964"/>
      <c r="Z24" s="964"/>
      <c r="AA24" s="964"/>
    </row>
    <row r="25" spans="1:27">
      <c r="A25" s="1085"/>
      <c r="B25" s="1091"/>
      <c r="C25" s="278" t="s">
        <v>109</v>
      </c>
      <c r="D25" s="278" t="s">
        <v>358</v>
      </c>
      <c r="E25" s="967">
        <f t="shared" si="0"/>
        <v>4781.9161300758324</v>
      </c>
      <c r="F25" s="965" t="str">
        <f>IF('2'!D12="","",'2'!D12)</f>
        <v>LG(H)</v>
      </c>
      <c r="G25" s="964"/>
      <c r="H25" s="964"/>
      <c r="I25" s="964"/>
      <c r="J25" s="964"/>
      <c r="K25" s="964"/>
      <c r="L25" s="964"/>
      <c r="M25" s="964"/>
      <c r="N25" s="964"/>
      <c r="O25" s="964"/>
      <c r="P25" s="964"/>
      <c r="Q25" s="964"/>
      <c r="R25" s="964"/>
      <c r="S25" s="964" t="str">
        <f>IF('2'!E12="","",'2'!E12)</f>
        <v>LG(H)</v>
      </c>
      <c r="T25" s="964"/>
      <c r="U25" s="964">
        <f>IF('2'!F12="","",'2'!F12)</f>
        <v>76.05646174627779</v>
      </c>
      <c r="V25" s="964">
        <f>IF('2'!G12="","",'2'!G12)</f>
        <v>4705.8596683295546</v>
      </c>
      <c r="W25" s="964"/>
      <c r="X25" s="964"/>
      <c r="Y25" s="964"/>
      <c r="Z25" s="964"/>
      <c r="AA25" s="964"/>
    </row>
    <row r="26" spans="1:27">
      <c r="A26" s="1085"/>
      <c r="B26" s="1091"/>
      <c r="C26" s="278" t="s">
        <v>110</v>
      </c>
      <c r="D26" s="278" t="s">
        <v>358</v>
      </c>
      <c r="E26" s="967">
        <f t="shared" si="0"/>
        <v>4781.9161300758324</v>
      </c>
      <c r="F26" s="965" t="str">
        <f>IF('2'!D13="","",'2'!D13)</f>
        <v>LG(H)</v>
      </c>
      <c r="G26" s="964"/>
      <c r="H26" s="964"/>
      <c r="I26" s="964"/>
      <c r="J26" s="964"/>
      <c r="K26" s="964"/>
      <c r="L26" s="964"/>
      <c r="M26" s="964"/>
      <c r="N26" s="964"/>
      <c r="O26" s="964"/>
      <c r="P26" s="964"/>
      <c r="Q26" s="964"/>
      <c r="R26" s="964"/>
      <c r="S26" s="964" t="str">
        <f>IF('2'!E13="","",'2'!E13)</f>
        <v>LG(H)</v>
      </c>
      <c r="T26" s="964"/>
      <c r="U26" s="964">
        <f>IF('2'!F13="","",'2'!F13)</f>
        <v>76.05646174627779</v>
      </c>
      <c r="V26" s="964">
        <f>IF('2'!G13="","",'2'!G13)</f>
        <v>4705.8596683295546</v>
      </c>
      <c r="W26" s="964"/>
      <c r="X26" s="964"/>
      <c r="Y26" s="964"/>
      <c r="Z26" s="964"/>
      <c r="AA26" s="964"/>
    </row>
    <row r="27" spans="1:27">
      <c r="A27" s="1085"/>
      <c r="B27" s="1091"/>
      <c r="C27" s="278" t="s">
        <v>111</v>
      </c>
      <c r="D27" s="278" t="s">
        <v>358</v>
      </c>
      <c r="E27" s="967">
        <f t="shared" si="0"/>
        <v>4781.9161300758324</v>
      </c>
      <c r="F27" s="965" t="str">
        <f>IF('2'!D14="","",'2'!D14)</f>
        <v>LG(H)</v>
      </c>
      <c r="G27" s="964"/>
      <c r="H27" s="964"/>
      <c r="I27" s="964"/>
      <c r="J27" s="964"/>
      <c r="K27" s="964"/>
      <c r="L27" s="964"/>
      <c r="M27" s="964"/>
      <c r="N27" s="964"/>
      <c r="O27" s="964"/>
      <c r="P27" s="964"/>
      <c r="Q27" s="964"/>
      <c r="R27" s="964"/>
      <c r="S27" s="964" t="str">
        <f>IF('2'!E14="","",'2'!E14)</f>
        <v>LG(H)</v>
      </c>
      <c r="T27" s="964"/>
      <c r="U27" s="964">
        <f>IF('2'!F14="","",'2'!F14)</f>
        <v>76.05646174627779</v>
      </c>
      <c r="V27" s="964">
        <f>IF('2'!G14="","",'2'!G14)</f>
        <v>4705.8596683295546</v>
      </c>
      <c r="W27" s="964"/>
      <c r="X27" s="964"/>
      <c r="Y27" s="964"/>
      <c r="Z27" s="964"/>
      <c r="AA27" s="964"/>
    </row>
    <row r="28" spans="1:27">
      <c r="A28" s="1085"/>
      <c r="B28" s="1091"/>
      <c r="C28" s="278" t="s">
        <v>112</v>
      </c>
      <c r="D28" s="278" t="s">
        <v>358</v>
      </c>
      <c r="E28" s="967">
        <f t="shared" si="0"/>
        <v>5838.1368523551264</v>
      </c>
      <c r="F28" s="965" t="str">
        <f>IF('2'!D15="","",'2'!D15)</f>
        <v>LG(H)</v>
      </c>
      <c r="G28" s="964"/>
      <c r="H28" s="964"/>
      <c r="I28" s="964"/>
      <c r="J28" s="964"/>
      <c r="K28" s="964"/>
      <c r="L28" s="964"/>
      <c r="M28" s="964"/>
      <c r="N28" s="964"/>
      <c r="O28" s="964"/>
      <c r="P28" s="964"/>
      <c r="Q28" s="964"/>
      <c r="R28" s="964"/>
      <c r="S28" s="964" t="str">
        <f>IF('2'!E15="","",'2'!E15)</f>
        <v>LG(H)</v>
      </c>
      <c r="T28" s="964"/>
      <c r="U28" s="964">
        <f>IF('2'!F15="","",'2'!F15)</f>
        <v>76.05646174627779</v>
      </c>
      <c r="V28" s="964">
        <f>IF('2'!G15="","",'2'!G15)</f>
        <v>5762.0803906088486</v>
      </c>
      <c r="W28" s="964"/>
      <c r="X28" s="964"/>
      <c r="Y28" s="964"/>
      <c r="Z28" s="964"/>
      <c r="AA28" s="964"/>
    </row>
    <row r="29" spans="1:27">
      <c r="A29" s="1085"/>
      <c r="B29" s="1091"/>
      <c r="C29" s="278" t="s">
        <v>113</v>
      </c>
      <c r="D29" s="278" t="s">
        <v>358</v>
      </c>
      <c r="E29" s="967">
        <f t="shared" si="0"/>
        <v>5838.1368523551264</v>
      </c>
      <c r="F29" s="965" t="str">
        <f>IF('2'!D16="","",'2'!D16)</f>
        <v>LG(H)</v>
      </c>
      <c r="G29" s="964"/>
      <c r="H29" s="964"/>
      <c r="I29" s="964"/>
      <c r="J29" s="964"/>
      <c r="K29" s="964"/>
      <c r="L29" s="964"/>
      <c r="M29" s="964"/>
      <c r="N29" s="964"/>
      <c r="O29" s="964"/>
      <c r="P29" s="964"/>
      <c r="Q29" s="964"/>
      <c r="R29" s="964"/>
      <c r="S29" s="964" t="str">
        <f>IF('2'!E16="","",'2'!E16)</f>
        <v>LG(H)</v>
      </c>
      <c r="T29" s="964"/>
      <c r="U29" s="964">
        <f>IF('2'!F16="","",'2'!F16)</f>
        <v>76.05646174627779</v>
      </c>
      <c r="V29" s="964">
        <f>IF('2'!G16="","",'2'!G16)</f>
        <v>5762.0803906088486</v>
      </c>
      <c r="W29" s="964"/>
      <c r="X29" s="964"/>
      <c r="Y29" s="964"/>
      <c r="Z29" s="964"/>
      <c r="AA29" s="964"/>
    </row>
    <row r="30" spans="1:27">
      <c r="A30" s="1085"/>
      <c r="B30" s="1091"/>
      <c r="C30" s="278" t="s">
        <v>114</v>
      </c>
      <c r="D30" s="278" t="s">
        <v>358</v>
      </c>
      <c r="E30" s="967">
        <f t="shared" si="0"/>
        <v>5838.1368523551264</v>
      </c>
      <c r="F30" s="965" t="str">
        <f>IF('2'!D17="","",'2'!D17)</f>
        <v>LG(H)</v>
      </c>
      <c r="G30" s="964"/>
      <c r="H30" s="964"/>
      <c r="I30" s="964"/>
      <c r="J30" s="964"/>
      <c r="K30" s="964"/>
      <c r="L30" s="964"/>
      <c r="M30" s="964"/>
      <c r="N30" s="964"/>
      <c r="O30" s="964"/>
      <c r="P30" s="964"/>
      <c r="Q30" s="964"/>
      <c r="R30" s="964"/>
      <c r="S30" s="964" t="str">
        <f>IF('2'!E17="","",'2'!E17)</f>
        <v>LG(H)</v>
      </c>
      <c r="T30" s="964"/>
      <c r="U30" s="964">
        <f>IF('2'!F17="","",'2'!F17)</f>
        <v>76.05646174627779</v>
      </c>
      <c r="V30" s="964">
        <f>IF('2'!G17="","",'2'!G17)</f>
        <v>5762.0803906088486</v>
      </c>
      <c r="W30" s="964"/>
      <c r="X30" s="964"/>
      <c r="Y30" s="964"/>
      <c r="Z30" s="964"/>
      <c r="AA30" s="964"/>
    </row>
    <row r="31" spans="1:27">
      <c r="A31" s="1085"/>
      <c r="B31" s="1091"/>
      <c r="C31" s="278" t="s">
        <v>115</v>
      </c>
      <c r="D31" s="278" t="s">
        <v>358</v>
      </c>
      <c r="E31" s="967">
        <f t="shared" si="0"/>
        <v>5838.1368523551264</v>
      </c>
      <c r="F31" s="965" t="str">
        <f>IF('2'!D18="","",'2'!D18)</f>
        <v>LG(H)</v>
      </c>
      <c r="G31" s="966"/>
      <c r="H31" s="966"/>
      <c r="I31" s="966"/>
      <c r="J31" s="966"/>
      <c r="K31" s="966"/>
      <c r="L31" s="966"/>
      <c r="M31" s="966"/>
      <c r="N31" s="966"/>
      <c r="O31" s="966"/>
      <c r="P31" s="966"/>
      <c r="Q31" s="966"/>
      <c r="R31" s="966"/>
      <c r="S31" s="966" t="str">
        <f>IF('2'!E18="","",'2'!E18)</f>
        <v>LG(H)</v>
      </c>
      <c r="T31" s="966"/>
      <c r="U31" s="966">
        <f>IF('2'!F18="","",'2'!F18)</f>
        <v>76.05646174627779</v>
      </c>
      <c r="V31" s="966">
        <f>IF('2'!G18="","",'2'!G18)</f>
        <v>5762.0803906088486</v>
      </c>
      <c r="W31" s="966"/>
      <c r="X31" s="966"/>
      <c r="Y31" s="966"/>
      <c r="Z31" s="966"/>
      <c r="AA31" s="966"/>
    </row>
    <row r="32" spans="1:27">
      <c r="A32" s="1085"/>
      <c r="B32" s="1091"/>
      <c r="C32" s="278" t="s">
        <v>116</v>
      </c>
      <c r="D32" s="278" t="s">
        <v>358</v>
      </c>
      <c r="E32" s="967">
        <f t="shared" si="0"/>
        <v>5838.1368523551264</v>
      </c>
      <c r="F32" s="965" t="str">
        <f>IF('2'!D19="","",'2'!D19)</f>
        <v>LG(H)</v>
      </c>
      <c r="G32" s="966"/>
      <c r="H32" s="966"/>
      <c r="I32" s="966"/>
      <c r="J32" s="966"/>
      <c r="K32" s="966"/>
      <c r="L32" s="966"/>
      <c r="M32" s="966"/>
      <c r="N32" s="966"/>
      <c r="O32" s="966"/>
      <c r="P32" s="966"/>
      <c r="Q32" s="966"/>
      <c r="R32" s="966"/>
      <c r="S32" s="966" t="str">
        <f>IF('2'!E19="","",'2'!E19)</f>
        <v>LG(H)</v>
      </c>
      <c r="T32" s="966"/>
      <c r="U32" s="966">
        <f>IF('2'!F19="","",'2'!F19)</f>
        <v>76.05646174627779</v>
      </c>
      <c r="V32" s="966">
        <f>IF('2'!G19="","",'2'!G19)</f>
        <v>5762.0803906088486</v>
      </c>
      <c r="W32" s="966"/>
      <c r="X32" s="966"/>
      <c r="Y32" s="966"/>
      <c r="Z32" s="966"/>
      <c r="AA32" s="966"/>
    </row>
    <row r="33" spans="1:27">
      <c r="A33" s="1085"/>
      <c r="B33" s="1091"/>
      <c r="C33" s="278" t="s">
        <v>117</v>
      </c>
      <c r="D33" s="278" t="s">
        <v>358</v>
      </c>
      <c r="E33" s="967">
        <f t="shared" si="0"/>
        <v>5838.1368523551264</v>
      </c>
      <c r="F33" s="965" t="str">
        <f>IF('2'!D20="","",'2'!D20)</f>
        <v>LG(H)</v>
      </c>
      <c r="G33" s="966"/>
      <c r="H33" s="966"/>
      <c r="I33" s="966"/>
      <c r="J33" s="966"/>
      <c r="K33" s="966"/>
      <c r="L33" s="966"/>
      <c r="M33" s="966"/>
      <c r="N33" s="966"/>
      <c r="O33" s="966"/>
      <c r="P33" s="966"/>
      <c r="Q33" s="966"/>
      <c r="R33" s="966"/>
      <c r="S33" s="966" t="str">
        <f>IF('2'!E20="","",'2'!E20)</f>
        <v>LG(H)</v>
      </c>
      <c r="T33" s="966"/>
      <c r="U33" s="966">
        <f>IF('2'!F20="","",'2'!F20)</f>
        <v>76.05646174627779</v>
      </c>
      <c r="V33" s="966">
        <f>IF('2'!G20="","",'2'!G20)</f>
        <v>5762.0803906088486</v>
      </c>
      <c r="W33" s="966"/>
      <c r="X33" s="966"/>
      <c r="Y33" s="966"/>
      <c r="Z33" s="966"/>
      <c r="AA33" s="966"/>
    </row>
    <row r="34" spans="1:27">
      <c r="A34" s="1086"/>
      <c r="B34" s="1091"/>
      <c r="C34" s="278" t="s">
        <v>118</v>
      </c>
      <c r="D34" s="278" t="s">
        <v>358</v>
      </c>
      <c r="E34" s="967">
        <f t="shared" si="0"/>
        <v>5838.1368523551264</v>
      </c>
      <c r="F34" s="965" t="str">
        <f>IF('2'!D21="","",'2'!D21)</f>
        <v>LG(H)</v>
      </c>
      <c r="G34" s="964"/>
      <c r="H34" s="964"/>
      <c r="I34" s="964"/>
      <c r="J34" s="964"/>
      <c r="K34" s="964"/>
      <c r="L34" s="964"/>
      <c r="M34" s="964"/>
      <c r="N34" s="964"/>
      <c r="O34" s="964"/>
      <c r="P34" s="964"/>
      <c r="Q34" s="964"/>
      <c r="R34" s="964"/>
      <c r="S34" s="964" t="str">
        <f>IF('2'!E21="","",'2'!E21)</f>
        <v>LG(H)</v>
      </c>
      <c r="T34" s="964"/>
      <c r="U34" s="964">
        <f>IF('2'!F21="","",'2'!F21)</f>
        <v>76.05646174627779</v>
      </c>
      <c r="V34" s="964">
        <f>IF('2'!G21="","",'2'!G21)</f>
        <v>5762.0803906088486</v>
      </c>
      <c r="W34" s="964"/>
      <c r="X34" s="964"/>
      <c r="Y34" s="964"/>
      <c r="Z34" s="964"/>
      <c r="AA34" s="964"/>
    </row>
    <row r="35" spans="1:27" ht="29.1">
      <c r="A35" s="334">
        <v>3</v>
      </c>
      <c r="B35" s="419" t="s">
        <v>359</v>
      </c>
      <c r="C35" s="299" t="s">
        <v>497</v>
      </c>
      <c r="D35" s="299" t="s">
        <v>360</v>
      </c>
      <c r="E35" s="967">
        <f t="shared" si="0"/>
        <v>7148.33</v>
      </c>
      <c r="F35" s="965"/>
      <c r="G35" s="965"/>
      <c r="H35" s="965"/>
      <c r="I35" s="965"/>
      <c r="J35" s="965"/>
      <c r="K35" s="964" t="str">
        <f>IF('3'!D11="","",'3'!D11)</f>
        <v>LG(L)</v>
      </c>
      <c r="L35" s="965"/>
      <c r="M35" s="965"/>
      <c r="N35" s="965"/>
      <c r="O35" s="965"/>
      <c r="P35" s="965"/>
      <c r="Q35" s="965"/>
      <c r="R35" s="965"/>
      <c r="S35" s="964" t="str">
        <f>IF('3'!E11="","",'3'!E11)</f>
        <v>LG(H)</v>
      </c>
      <c r="T35" s="965"/>
      <c r="U35" s="964">
        <f>IF('3'!F11="","",'3'!F11)</f>
        <v>5792.41</v>
      </c>
      <c r="V35" s="964">
        <f>IF('3'!G11="","",'3'!G11)</f>
        <v>1355.92</v>
      </c>
      <c r="W35" s="965"/>
      <c r="X35" s="964" t="str">
        <f>IF('3'!H11="","",'3'!H11)</f>
        <v>&lt;/&gt;</v>
      </c>
      <c r="Y35" s="965"/>
      <c r="Z35" s="965"/>
      <c r="AA35" s="965"/>
    </row>
    <row r="36" spans="1:27">
      <c r="A36" s="1084">
        <v>4</v>
      </c>
      <c r="B36" s="1096" t="s">
        <v>363</v>
      </c>
      <c r="C36" s="299" t="s">
        <v>498</v>
      </c>
      <c r="D36" s="299" t="s">
        <v>364</v>
      </c>
      <c r="E36" s="967">
        <f t="shared" si="0"/>
        <v>0</v>
      </c>
      <c r="F36" s="965" t="str">
        <f>IF('4'!D11="","",'4'!D11)</f>
        <v>LG(H)</v>
      </c>
      <c r="G36" s="965"/>
      <c r="H36" s="965"/>
      <c r="I36" s="965"/>
      <c r="J36" s="965"/>
      <c r="K36" s="965"/>
      <c r="L36" s="965"/>
      <c r="M36" s="965"/>
      <c r="N36" s="965"/>
      <c r="O36" s="965"/>
      <c r="P36" s="965"/>
      <c r="Q36" s="965"/>
      <c r="R36" s="965"/>
      <c r="S36" s="964" t="str">
        <f>IF('4'!E11="","",'4'!E11)</f>
        <v>LG(H)</v>
      </c>
      <c r="T36" s="965"/>
      <c r="U36" s="965"/>
      <c r="V36" s="965"/>
      <c r="W36" s="965"/>
      <c r="X36" s="965"/>
      <c r="Y36" s="965"/>
      <c r="Z36" s="965"/>
      <c r="AA36" s="965"/>
    </row>
    <row r="37" spans="1:27">
      <c r="A37" s="1085"/>
      <c r="B37" s="1097"/>
      <c r="C37" s="299" t="s">
        <v>120</v>
      </c>
      <c r="D37" s="299" t="s">
        <v>364</v>
      </c>
      <c r="E37" s="967">
        <f t="shared" si="0"/>
        <v>9000.3717125665644</v>
      </c>
      <c r="F37" s="965" t="str">
        <f>IF('4'!D12="","",'4'!D12)</f>
        <v>LG(H)</v>
      </c>
      <c r="G37" s="965"/>
      <c r="H37" s="965"/>
      <c r="I37" s="965"/>
      <c r="J37" s="965"/>
      <c r="K37" s="965"/>
      <c r="L37" s="965"/>
      <c r="M37" s="965"/>
      <c r="N37" s="965"/>
      <c r="O37" s="965"/>
      <c r="P37" s="965"/>
      <c r="Q37" s="965"/>
      <c r="R37" s="965"/>
      <c r="S37" s="964" t="str">
        <f>IF('4'!E12="","",'4'!E12)</f>
        <v>LG(H)</v>
      </c>
      <c r="T37" s="965"/>
      <c r="U37" s="964">
        <f>IF('4'!F12="","",'4'!F12)</f>
        <v>64.273066264460113</v>
      </c>
      <c r="V37" s="964">
        <f>IF('4'!G12="","",'4'!G12)</f>
        <v>8936.0986463021036</v>
      </c>
      <c r="W37" s="965"/>
      <c r="X37" s="965"/>
      <c r="Y37" s="965"/>
      <c r="Z37" s="965"/>
      <c r="AA37" s="965"/>
    </row>
    <row r="38" spans="1:27">
      <c r="A38" s="1086"/>
      <c r="B38" s="1098"/>
      <c r="C38" s="299" t="s">
        <v>122</v>
      </c>
      <c r="D38" s="299" t="s">
        <v>364</v>
      </c>
      <c r="E38" s="967">
        <f t="shared" si="0"/>
        <v>10883.529006245208</v>
      </c>
      <c r="F38" s="965" t="str">
        <f>IF('4'!D13="","",'4'!D13)</f>
        <v>LG(H)</v>
      </c>
      <c r="G38" s="965"/>
      <c r="H38" s="965"/>
      <c r="I38" s="965"/>
      <c r="J38" s="965"/>
      <c r="K38" s="965"/>
      <c r="L38" s="965"/>
      <c r="M38" s="965"/>
      <c r="N38" s="965"/>
      <c r="O38" s="965"/>
      <c r="P38" s="965"/>
      <c r="Q38" s="965"/>
      <c r="R38" s="965"/>
      <c r="S38" s="964" t="str">
        <f>IF('4'!E13="","",'4'!E13)</f>
        <v>LG(H)</v>
      </c>
      <c r="T38" s="965"/>
      <c r="U38" s="964">
        <f>IF('4'!F13="","",'4'!F13)</f>
        <v>86.317134446072473</v>
      </c>
      <c r="V38" s="964">
        <f>IF('4'!G13="","",'4'!G13)</f>
        <v>10797.211871799136</v>
      </c>
      <c r="W38" s="965"/>
      <c r="X38" s="965"/>
      <c r="Y38" s="965"/>
      <c r="Z38" s="965"/>
      <c r="AA38" s="965"/>
    </row>
    <row r="39" spans="1:27" ht="29.1" customHeight="1">
      <c r="A39" s="1084">
        <v>5</v>
      </c>
      <c r="B39" s="1096" t="s">
        <v>365</v>
      </c>
      <c r="C39" s="299" t="s">
        <v>498</v>
      </c>
      <c r="D39" s="299" t="s">
        <v>366</v>
      </c>
      <c r="E39" s="967">
        <f t="shared" si="0"/>
        <v>0</v>
      </c>
      <c r="F39" s="965" t="str">
        <f>IF('5'!D11="","",'5'!D11)</f>
        <v>LG(H)</v>
      </c>
      <c r="G39" s="965"/>
      <c r="H39" s="965"/>
      <c r="I39" s="965"/>
      <c r="J39" s="965"/>
      <c r="K39" s="965"/>
      <c r="L39" s="965"/>
      <c r="M39" s="965"/>
      <c r="N39" s="965"/>
      <c r="O39" s="965"/>
      <c r="P39" s="965"/>
      <c r="Q39" s="965"/>
      <c r="R39" s="965"/>
      <c r="S39" s="964" t="str">
        <f>IF('5'!E11="","",'5'!E11)</f>
        <v>LG(H)</v>
      </c>
      <c r="T39" s="965"/>
      <c r="U39" s="965"/>
      <c r="V39" s="965"/>
      <c r="W39" s="965"/>
      <c r="X39" s="965"/>
      <c r="Y39" s="965"/>
      <c r="Z39" s="965"/>
      <c r="AA39" s="965"/>
    </row>
    <row r="40" spans="1:27">
      <c r="A40" s="1085"/>
      <c r="B40" s="1097"/>
      <c r="C40" s="299" t="s">
        <v>124</v>
      </c>
      <c r="D40" s="299" t="s">
        <v>366</v>
      </c>
      <c r="E40" s="967">
        <f t="shared" si="0"/>
        <v>17501.555943812487</v>
      </c>
      <c r="F40" s="965" t="str">
        <f>IF('5'!D12="","",'5'!D12)</f>
        <v>LG(H)</v>
      </c>
      <c r="G40" s="965"/>
      <c r="H40" s="965"/>
      <c r="I40" s="965"/>
      <c r="J40" s="965"/>
      <c r="K40" s="965"/>
      <c r="L40" s="965"/>
      <c r="M40" s="965"/>
      <c r="N40" s="965"/>
      <c r="O40" s="965"/>
      <c r="P40" s="965"/>
      <c r="Q40" s="965"/>
      <c r="R40" s="965"/>
      <c r="S40" s="964" t="str">
        <f>IF('5'!E12="","",'5'!E12)</f>
        <v>LG(H)</v>
      </c>
      <c r="T40" s="965"/>
      <c r="U40" s="964">
        <f>IF('5'!F12="","",'5'!F12)</f>
        <v>129.61735029999454</v>
      </c>
      <c r="V40" s="964">
        <f>IF('5'!G12="","",'5'!G12)</f>
        <v>17371.938593512492</v>
      </c>
      <c r="W40" s="965"/>
      <c r="X40" s="965"/>
      <c r="Y40" s="965"/>
      <c r="Z40" s="965"/>
      <c r="AA40" s="965"/>
    </row>
    <row r="41" spans="1:27">
      <c r="A41" s="1085"/>
      <c r="B41" s="1097"/>
      <c r="C41" s="299" t="s">
        <v>125</v>
      </c>
      <c r="D41" s="299" t="s">
        <v>366</v>
      </c>
      <c r="E41" s="967">
        <f t="shared" si="0"/>
        <v>21164.049503115639</v>
      </c>
      <c r="F41" s="965" t="str">
        <f>IF('5'!D13="","",'5'!D13)</f>
        <v>LG(H)</v>
      </c>
      <c r="G41" s="965"/>
      <c r="H41" s="965"/>
      <c r="I41" s="965"/>
      <c r="J41" s="965"/>
      <c r="K41" s="965"/>
      <c r="L41" s="965"/>
      <c r="M41" s="965"/>
      <c r="N41" s="965"/>
      <c r="O41" s="965"/>
      <c r="P41" s="965"/>
      <c r="Q41" s="965"/>
      <c r="R41" s="965"/>
      <c r="S41" s="964" t="str">
        <f>IF('5'!E13="","",'5'!E13)</f>
        <v>LG(H)</v>
      </c>
      <c r="T41" s="965"/>
      <c r="U41" s="964">
        <f>IF('5'!F13="","",'5'!F13)</f>
        <v>174.07288779957946</v>
      </c>
      <c r="V41" s="964">
        <f>IF('5'!G13="","",'5'!G13)</f>
        <v>20989.97661531606</v>
      </c>
      <c r="W41" s="965"/>
      <c r="X41" s="965"/>
      <c r="Y41" s="965"/>
      <c r="Z41" s="965"/>
      <c r="AA41" s="965"/>
    </row>
    <row r="42" spans="1:27">
      <c r="A42" s="1085"/>
      <c r="B42" s="1097"/>
      <c r="C42" s="299" t="s">
        <v>126</v>
      </c>
      <c r="D42" s="299" t="s">
        <v>366</v>
      </c>
      <c r="E42" s="967">
        <f t="shared" si="0"/>
        <v>24826.543062418794</v>
      </c>
      <c r="F42" s="965" t="str">
        <f>IF('5'!D14="","",'5'!D14)</f>
        <v>LG(H)</v>
      </c>
      <c r="G42" s="965"/>
      <c r="H42" s="965"/>
      <c r="I42" s="965"/>
      <c r="J42" s="965"/>
      <c r="K42" s="965"/>
      <c r="L42" s="965"/>
      <c r="M42" s="965"/>
      <c r="N42" s="965"/>
      <c r="O42" s="965"/>
      <c r="P42" s="965"/>
      <c r="Q42" s="965"/>
      <c r="R42" s="965"/>
      <c r="S42" s="964" t="str">
        <f>IF('5'!E14="","",'5'!E14)</f>
        <v>LG(H)</v>
      </c>
      <c r="T42" s="965"/>
      <c r="U42" s="964">
        <f>IF('5'!F14="","",'5'!F14)</f>
        <v>218.52842529916435</v>
      </c>
      <c r="V42" s="964">
        <f>IF('5'!G14="","",'5'!G14)</f>
        <v>24608.014637119628</v>
      </c>
      <c r="W42" s="965"/>
      <c r="X42" s="965"/>
      <c r="Y42" s="965"/>
      <c r="Z42" s="965"/>
      <c r="AA42" s="965"/>
    </row>
    <row r="43" spans="1:27">
      <c r="A43" s="1086"/>
      <c r="B43" s="1098"/>
      <c r="C43" s="299" t="s">
        <v>127</v>
      </c>
      <c r="D43" s="299" t="s">
        <v>366</v>
      </c>
      <c r="E43" s="967">
        <f t="shared" si="0"/>
        <v>28489.036621721942</v>
      </c>
      <c r="F43" s="965" t="str">
        <f>IF('5'!D15="","",'5'!D15)</f>
        <v>LG(H)</v>
      </c>
      <c r="G43" s="965"/>
      <c r="H43" s="965"/>
      <c r="I43" s="965"/>
      <c r="J43" s="965"/>
      <c r="K43" s="965"/>
      <c r="L43" s="965"/>
      <c r="M43" s="965"/>
      <c r="N43" s="965"/>
      <c r="O43" s="965"/>
      <c r="P43" s="965"/>
      <c r="Q43" s="965"/>
      <c r="R43" s="965"/>
      <c r="S43" s="964" t="str">
        <f>IF('5'!E15="","",'5'!E15)</f>
        <v>LG(H)</v>
      </c>
      <c r="T43" s="965"/>
      <c r="U43" s="964">
        <f>IF('5'!F15="","",'5'!F15)</f>
        <v>262.9839627987493</v>
      </c>
      <c r="V43" s="964">
        <f>IF('5'!G15="","",'5'!G15)</f>
        <v>28226.052658923192</v>
      </c>
      <c r="W43" s="965"/>
      <c r="X43" s="965"/>
      <c r="Y43" s="965"/>
      <c r="Z43" s="965"/>
      <c r="AA43" s="965"/>
    </row>
    <row r="44" spans="1:27">
      <c r="A44" s="1084">
        <v>6</v>
      </c>
      <c r="B44" s="1096" t="s">
        <v>367</v>
      </c>
      <c r="C44" s="299" t="s">
        <v>499</v>
      </c>
      <c r="D44" s="299" t="s">
        <v>360</v>
      </c>
      <c r="E44" s="967">
        <f t="shared" si="0"/>
        <v>5006.8718620014424</v>
      </c>
      <c r="F44" s="965" t="str">
        <f>IF('6'!D11="","",'6'!D11)</f>
        <v>LG(H)</v>
      </c>
      <c r="G44" s="965"/>
      <c r="H44" s="965"/>
      <c r="I44" s="965"/>
      <c r="J44" s="965"/>
      <c r="K44" s="965"/>
      <c r="L44" s="965"/>
      <c r="M44" s="965"/>
      <c r="N44" s="965"/>
      <c r="O44" s="965"/>
      <c r="P44" s="965"/>
      <c r="Q44" s="965"/>
      <c r="R44" s="965"/>
      <c r="S44" s="964" t="str">
        <f>IF('6'!E11="","",'6'!E11)</f>
        <v>LG(H)</v>
      </c>
      <c r="T44" s="965"/>
      <c r="U44" s="964">
        <f>IF('6'!F11="","",'6'!F11)</f>
        <v>66.415501806608773</v>
      </c>
      <c r="V44" s="964">
        <f>IF('6'!G11="","",'6'!G11)</f>
        <v>4940.4563601948339</v>
      </c>
      <c r="W44" s="965"/>
      <c r="X44" s="965"/>
      <c r="Y44" s="965"/>
      <c r="Z44" s="965"/>
      <c r="AA44" s="965"/>
    </row>
    <row r="45" spans="1:27">
      <c r="A45" s="1085"/>
      <c r="B45" s="1097"/>
      <c r="C45" s="299" t="s">
        <v>500</v>
      </c>
      <c r="D45" s="299" t="s">
        <v>360</v>
      </c>
      <c r="E45" s="967">
        <f t="shared" si="0"/>
        <v>0</v>
      </c>
      <c r="F45" s="965" t="str">
        <f>IF('6'!D12="","",'6'!D12)</f>
        <v>LG(H)</v>
      </c>
      <c r="G45" s="965"/>
      <c r="H45" s="965"/>
      <c r="I45" s="965"/>
      <c r="J45" s="965"/>
      <c r="K45" s="965"/>
      <c r="L45" s="965"/>
      <c r="M45" s="965"/>
      <c r="N45" s="965"/>
      <c r="O45" s="965"/>
      <c r="P45" s="965"/>
      <c r="Q45" s="965"/>
      <c r="R45" s="965"/>
      <c r="S45" s="964" t="str">
        <f>IF('6'!E12="","",'6'!E12)</f>
        <v>LG(H)</v>
      </c>
      <c r="T45" s="965"/>
      <c r="U45" s="964"/>
      <c r="V45" s="964"/>
      <c r="W45" s="965"/>
      <c r="X45" s="965"/>
      <c r="Y45" s="965"/>
      <c r="Z45" s="965"/>
      <c r="AA45" s="965"/>
    </row>
    <row r="46" spans="1:27">
      <c r="A46" s="1085"/>
      <c r="B46" s="1097"/>
      <c r="C46" s="299" t="s">
        <v>501</v>
      </c>
      <c r="D46" s="299" t="s">
        <v>366</v>
      </c>
      <c r="E46" s="967">
        <f t="shared" si="0"/>
        <v>5006.8718620014424</v>
      </c>
      <c r="F46" s="965" t="str">
        <f>IF('6'!D13="","",'6'!D13)</f>
        <v>LG(H)</v>
      </c>
      <c r="G46" s="965"/>
      <c r="H46" s="965"/>
      <c r="I46" s="965"/>
      <c r="J46" s="965"/>
      <c r="K46" s="965"/>
      <c r="L46" s="965"/>
      <c r="M46" s="965"/>
      <c r="N46" s="965"/>
      <c r="O46" s="965"/>
      <c r="P46" s="965"/>
      <c r="Q46" s="965"/>
      <c r="R46" s="965"/>
      <c r="S46" s="964" t="str">
        <f>IF('6'!E13="","",'6'!E13)</f>
        <v>LG(H)</v>
      </c>
      <c r="T46" s="965"/>
      <c r="U46" s="964">
        <f>IF('6'!F13="","",'6'!F13)</f>
        <v>66.415501806608773</v>
      </c>
      <c r="V46" s="964">
        <f>IF('6'!G13="","",'6'!G13)</f>
        <v>4940.4563601948339</v>
      </c>
      <c r="W46" s="965"/>
      <c r="X46" s="965"/>
      <c r="Y46" s="965"/>
      <c r="Z46" s="965"/>
      <c r="AA46" s="965"/>
    </row>
    <row r="47" spans="1:27">
      <c r="A47" s="1086"/>
      <c r="B47" s="1098"/>
      <c r="C47" s="299" t="s">
        <v>502</v>
      </c>
      <c r="D47" s="299" t="s">
        <v>366</v>
      </c>
      <c r="E47" s="967">
        <f t="shared" si="0"/>
        <v>0</v>
      </c>
      <c r="F47" s="965" t="str">
        <f>IF('6'!D14="","",'6'!D14)</f>
        <v>LG(H)</v>
      </c>
      <c r="G47" s="965"/>
      <c r="H47" s="965"/>
      <c r="I47" s="965"/>
      <c r="J47" s="965"/>
      <c r="K47" s="965"/>
      <c r="L47" s="965"/>
      <c r="M47" s="965"/>
      <c r="N47" s="965"/>
      <c r="O47" s="965"/>
      <c r="P47" s="965"/>
      <c r="Q47" s="965"/>
      <c r="R47" s="965"/>
      <c r="S47" s="964" t="str">
        <f>IF('6'!E14="","",'6'!E14)</f>
        <v>LG(H)</v>
      </c>
      <c r="T47" s="965"/>
      <c r="U47" s="964" t="str">
        <f>IF('6'!F14="","",'6'!F14)</f>
        <v>LG(H)</v>
      </c>
      <c r="V47" s="964" t="str">
        <f>IF('6'!G14="","",'6'!G14)</f>
        <v>LG(H)</v>
      </c>
      <c r="W47" s="965"/>
      <c r="X47" s="965"/>
      <c r="Y47" s="965"/>
      <c r="Z47" s="965"/>
      <c r="AA47" s="965"/>
    </row>
    <row r="48" spans="1:27">
      <c r="A48" s="334">
        <v>7</v>
      </c>
      <c r="B48" s="419" t="s">
        <v>368</v>
      </c>
      <c r="C48" s="299" t="s">
        <v>503</v>
      </c>
      <c r="D48" s="299" t="s">
        <v>369</v>
      </c>
      <c r="E48" s="967">
        <f t="shared" ca="1" si="0"/>
        <v>428760.60135730606</v>
      </c>
      <c r="F48" s="965" t="str">
        <f>IF('7'!D11="","",'7'!D11)</f>
        <v>LG(H)</v>
      </c>
      <c r="G48" s="965"/>
      <c r="H48" s="965"/>
      <c r="I48" s="965"/>
      <c r="J48" s="965">
        <f>IF('7'!E11="","",'7'!E11)</f>
        <v>390550</v>
      </c>
      <c r="K48" s="965"/>
      <c r="L48" s="965"/>
      <c r="M48" s="965"/>
      <c r="N48" s="965">
        <f ca="1">IF('7'!F11="","",'7'!F11)</f>
        <v>38210.601357306041</v>
      </c>
      <c r="O48" s="965"/>
      <c r="P48" s="965"/>
      <c r="Q48" s="965"/>
      <c r="R48" s="965"/>
      <c r="S48" s="965" t="str">
        <f>IF('7'!G11="","",'7'!G11)</f>
        <v>LG(M)</v>
      </c>
      <c r="T48" s="965"/>
      <c r="U48" s="965"/>
      <c r="V48" s="965"/>
      <c r="W48" s="965"/>
      <c r="X48" s="965"/>
      <c r="Y48" s="965"/>
      <c r="Z48" s="965"/>
      <c r="AA48" s="965"/>
    </row>
    <row r="49" spans="1:27">
      <c r="A49" s="334">
        <v>8</v>
      </c>
      <c r="B49" s="419" t="s">
        <v>370</v>
      </c>
      <c r="C49" s="299" t="s">
        <v>504</v>
      </c>
      <c r="D49" s="299" t="s">
        <v>372</v>
      </c>
      <c r="E49" s="967">
        <f t="shared" si="0"/>
        <v>0</v>
      </c>
      <c r="F49" s="965" t="s">
        <v>477</v>
      </c>
      <c r="G49" s="965"/>
      <c r="H49" s="965"/>
      <c r="I49" s="965"/>
      <c r="J49" s="965"/>
      <c r="K49" s="965"/>
      <c r="L49" s="965"/>
      <c r="M49" s="965"/>
      <c r="N49" s="965"/>
      <c r="O49" s="965"/>
      <c r="P49" s="965"/>
      <c r="Q49" s="965"/>
      <c r="R49" s="965"/>
      <c r="S49" s="965" t="s">
        <v>477</v>
      </c>
      <c r="T49" s="965"/>
      <c r="U49" s="965"/>
      <c r="V49" s="965"/>
      <c r="W49" s="965"/>
      <c r="X49" s="965"/>
      <c r="Y49" s="965"/>
      <c r="Z49" s="965"/>
      <c r="AA49" s="965"/>
    </row>
    <row r="50" spans="1:27" ht="29.45" customHeight="1">
      <c r="A50" s="1084">
        <v>9</v>
      </c>
      <c r="B50" s="1096" t="s">
        <v>373</v>
      </c>
      <c r="C50" s="299" t="s">
        <v>505</v>
      </c>
      <c r="D50" s="299" t="s">
        <v>374</v>
      </c>
      <c r="E50" s="967">
        <f t="shared" si="0"/>
        <v>0</v>
      </c>
      <c r="F50" s="965" t="str">
        <f>IF('9'!D11="","",'9'!D11)</f>
        <v>LG(H)</v>
      </c>
      <c r="G50" s="965"/>
      <c r="H50" s="965"/>
      <c r="I50" s="965"/>
      <c r="J50" s="965"/>
      <c r="K50" s="965"/>
      <c r="L50" s="965"/>
      <c r="M50" s="965"/>
      <c r="N50" s="965"/>
      <c r="O50" s="965"/>
      <c r="P50" s="965"/>
      <c r="Q50" s="965"/>
      <c r="R50" s="965"/>
      <c r="S50" s="965" t="str">
        <f>IF('9'!F11="","",'9'!F11)</f>
        <v>LG(H)</v>
      </c>
      <c r="T50" s="965"/>
      <c r="U50" s="965"/>
      <c r="V50" s="965"/>
      <c r="W50" s="965"/>
      <c r="X50" s="965"/>
      <c r="Y50" s="965"/>
      <c r="Z50" s="965"/>
      <c r="AA50" s="965"/>
    </row>
    <row r="51" spans="1:27">
      <c r="A51" s="1085"/>
      <c r="B51" s="1097"/>
      <c r="C51" s="299" t="s">
        <v>506</v>
      </c>
      <c r="D51" s="299" t="s">
        <v>507</v>
      </c>
      <c r="E51" s="967">
        <f t="shared" si="0"/>
        <v>0</v>
      </c>
      <c r="F51" s="965" t="str">
        <f>IF('9'!D12="","",'9'!D12)</f>
        <v>LG(H)</v>
      </c>
      <c r="G51" s="965"/>
      <c r="H51" s="965"/>
      <c r="I51" s="965"/>
      <c r="J51" s="965"/>
      <c r="K51" s="965"/>
      <c r="L51" s="965"/>
      <c r="M51" s="965"/>
      <c r="N51" s="965"/>
      <c r="O51" s="965"/>
      <c r="P51" s="965"/>
      <c r="Q51" s="965"/>
      <c r="R51" s="965"/>
      <c r="S51" s="965" t="str">
        <f>IF('9'!F12="","",'9'!F12)</f>
        <v>LG(H)</v>
      </c>
      <c r="T51" s="965"/>
      <c r="U51" s="965"/>
      <c r="V51" s="965"/>
      <c r="W51" s="965"/>
      <c r="X51" s="965"/>
      <c r="Y51" s="965"/>
      <c r="Z51" s="965"/>
      <c r="AA51" s="965"/>
    </row>
    <row r="52" spans="1:27">
      <c r="A52" s="1085"/>
      <c r="B52" s="1097"/>
      <c r="C52" s="299" t="s">
        <v>129</v>
      </c>
      <c r="D52" s="299" t="s">
        <v>507</v>
      </c>
      <c r="E52" s="967">
        <f t="shared" si="0"/>
        <v>1479.3517418536567</v>
      </c>
      <c r="F52" s="965" t="str">
        <f>IF('9'!D13="","",'9'!D13)</f>
        <v>LG(H)</v>
      </c>
      <c r="G52" s="965"/>
      <c r="H52" s="965"/>
      <c r="I52" s="965"/>
      <c r="J52" s="965"/>
      <c r="K52" s="965"/>
      <c r="L52" s="965"/>
      <c r="M52" s="965"/>
      <c r="N52" s="965"/>
      <c r="O52" s="965"/>
      <c r="P52" s="965"/>
      <c r="Q52" s="965"/>
      <c r="R52" s="965"/>
      <c r="S52" s="965" t="str">
        <f>IF('9'!F13="","",'9'!F13)</f>
        <v>LG(H)</v>
      </c>
      <c r="T52" s="965"/>
      <c r="U52" s="965">
        <f>IF('9'!G13="","",'9'!G13)</f>
        <v>42.848710842973404</v>
      </c>
      <c r="V52" s="965">
        <f>IF('9'!H13="","",'9'!H13)</f>
        <v>1436.5030310106833</v>
      </c>
      <c r="W52" s="965"/>
      <c r="X52" s="965" t="str">
        <f>IF('9'!I13="","",'9'!I13)</f>
        <v>&lt;/&gt;</v>
      </c>
      <c r="Y52" s="965"/>
      <c r="Z52" s="965"/>
      <c r="AA52" s="965"/>
    </row>
    <row r="53" spans="1:27">
      <c r="A53" s="1085"/>
      <c r="B53" s="1097"/>
      <c r="C53" s="299" t="s">
        <v>131</v>
      </c>
      <c r="D53" s="299" t="s">
        <v>507</v>
      </c>
      <c r="E53" s="967">
        <f t="shared" si="0"/>
        <v>11714.301935583391</v>
      </c>
      <c r="F53" s="965" t="str">
        <f>IF('9'!D14="","",'9'!D14)</f>
        <v>LG(H)</v>
      </c>
      <c r="G53" s="965"/>
      <c r="H53" s="965"/>
      <c r="I53" s="965"/>
      <c r="J53" s="964" t="str">
        <f>IF('9'!E14="","",'9'!E14)</f>
        <v>AC</v>
      </c>
      <c r="K53" s="965"/>
      <c r="L53" s="965"/>
      <c r="M53" s="965"/>
      <c r="N53" s="965"/>
      <c r="O53" s="965"/>
      <c r="P53" s="965"/>
      <c r="Q53" s="965"/>
      <c r="R53" s="965"/>
      <c r="S53" s="965" t="str">
        <f>IF('9'!F14="","",'9'!F14)</f>
        <v>LG(H)</v>
      </c>
      <c r="T53" s="965"/>
      <c r="U53" s="965">
        <f>IF('9'!G14="","",'9'!G14)</f>
        <v>147.82805240825826</v>
      </c>
      <c r="V53" s="965">
        <f>IF('9'!H14="","",'9'!H14)</f>
        <v>11566.473883175133</v>
      </c>
      <c r="W53" s="965"/>
      <c r="X53" s="965" t="str">
        <f>IF('9'!I14="","",'9'!I14)</f>
        <v>&lt;/&gt;</v>
      </c>
      <c r="Y53" s="965"/>
      <c r="Z53" s="965"/>
      <c r="AA53" s="965"/>
    </row>
    <row r="54" spans="1:27">
      <c r="A54" s="1086"/>
      <c r="B54" s="1098"/>
      <c r="C54" s="299" t="s">
        <v>132</v>
      </c>
      <c r="D54" s="299" t="s">
        <v>507</v>
      </c>
      <c r="E54" s="967">
        <f t="shared" si="0"/>
        <v>21949.252129313129</v>
      </c>
      <c r="F54" s="965" t="str">
        <f>IF('9'!D15="","",'9'!D15)</f>
        <v>LG(H)</v>
      </c>
      <c r="G54" s="965"/>
      <c r="H54" s="965"/>
      <c r="I54" s="965"/>
      <c r="J54" s="965" t="str">
        <f>IF('9'!E15="","",'9'!E15)</f>
        <v>AC</v>
      </c>
      <c r="K54" s="965"/>
      <c r="L54" s="965"/>
      <c r="M54" s="965"/>
      <c r="N54" s="965"/>
      <c r="O54" s="965"/>
      <c r="P54" s="965"/>
      <c r="Q54" s="965"/>
      <c r="R54" s="965"/>
      <c r="S54" s="965" t="str">
        <f>IF('9'!F15="","",'9'!F15)</f>
        <v>LG(H)</v>
      </c>
      <c r="T54" s="965"/>
      <c r="U54" s="965">
        <f>IF('9'!G15="","",'9'!G15)</f>
        <v>252.8073939735431</v>
      </c>
      <c r="V54" s="965">
        <f>IF('9'!H15="","",'9'!H15)</f>
        <v>21696.444735339584</v>
      </c>
      <c r="W54" s="965"/>
      <c r="X54" s="965" t="str">
        <f>IF('9'!I15="","",'9'!I15)</f>
        <v>&lt;/&gt;</v>
      </c>
      <c r="Y54" s="965"/>
      <c r="Z54" s="965"/>
      <c r="AA54" s="965"/>
    </row>
    <row r="55" spans="1:27">
      <c r="A55" s="1084">
        <v>10</v>
      </c>
      <c r="B55" s="1096" t="s">
        <v>375</v>
      </c>
      <c r="C55" s="299" t="s">
        <v>508</v>
      </c>
      <c r="D55" s="299" t="s">
        <v>376</v>
      </c>
      <c r="E55" s="967">
        <f t="shared" ca="1" si="0"/>
        <v>-1222051.8668581829</v>
      </c>
      <c r="F55" s="965"/>
      <c r="G55" s="965" t="str">
        <f>IF('10'!D11="","",'10'!D11)</f>
        <v>AC</v>
      </c>
      <c r="H55" s="965"/>
      <c r="I55" s="965"/>
      <c r="J55" s="965">
        <f>IF('10'!E11="","",'10'!E11)</f>
        <v>-1119778.708636265</v>
      </c>
      <c r="K55" s="965"/>
      <c r="L55" s="965"/>
      <c r="M55" s="965"/>
      <c r="N55" s="965">
        <f ca="1">IF('10'!F11="","",'10'!F11)</f>
        <v>-102273.15822191785</v>
      </c>
      <c r="O55" s="965"/>
      <c r="P55" s="965"/>
      <c r="Q55" s="965"/>
      <c r="R55" s="965"/>
      <c r="S55" s="965" t="str">
        <f>IF('10'!G11="","",'10'!G11)</f>
        <v>LG(H)</v>
      </c>
      <c r="T55" s="965"/>
      <c r="U55" s="965"/>
      <c r="V55" s="965"/>
      <c r="W55" s="965"/>
      <c r="X55" s="965"/>
      <c r="Y55" s="965"/>
      <c r="Z55" s="965"/>
      <c r="AA55" s="965"/>
    </row>
    <row r="56" spans="1:27">
      <c r="A56" s="1085"/>
      <c r="B56" s="1097"/>
      <c r="C56" s="299" t="s">
        <v>509</v>
      </c>
      <c r="D56" s="299" t="s">
        <v>65</v>
      </c>
      <c r="E56" s="967">
        <f t="shared" ca="1" si="0"/>
        <v>-1250.8895941106512</v>
      </c>
      <c r="F56" s="965"/>
      <c r="G56" s="965" t="str">
        <f>IF('10'!D12="","",'10'!D12)</f>
        <v>AC</v>
      </c>
      <c r="H56" s="965"/>
      <c r="I56" s="965"/>
      <c r="J56" s="965">
        <f>IF('10'!E12="","",'10'!E12)</f>
        <v>-1146.2030150495386</v>
      </c>
      <c r="K56" s="965"/>
      <c r="L56" s="965"/>
      <c r="M56" s="965"/>
      <c r="N56" s="965">
        <f ca="1">IF('10'!F12="","",'10'!F12)</f>
        <v>-104.68657906111245</v>
      </c>
      <c r="O56" s="965"/>
      <c r="P56" s="965"/>
      <c r="Q56" s="965"/>
      <c r="R56" s="965"/>
      <c r="S56" s="965" t="str">
        <f>IF('10'!G12="","",'10'!G12)</f>
        <v>LG(H)</v>
      </c>
      <c r="T56" s="965"/>
      <c r="U56" s="965"/>
      <c r="V56" s="965"/>
      <c r="W56" s="965"/>
      <c r="X56" s="965"/>
      <c r="Y56" s="965"/>
      <c r="Z56" s="965"/>
      <c r="AA56" s="965"/>
    </row>
    <row r="57" spans="1:27">
      <c r="A57" s="1085"/>
      <c r="B57" s="1097"/>
      <c r="C57" s="299" t="s">
        <v>510</v>
      </c>
      <c r="D57" s="299" t="s">
        <v>65</v>
      </c>
      <c r="E57" s="967">
        <f t="shared" ca="1" si="0"/>
        <v>-1250.8895941106512</v>
      </c>
      <c r="F57" s="965"/>
      <c r="G57" s="965" t="str">
        <f>IF('10'!D13="","",'10'!D13)</f>
        <v>AC</v>
      </c>
      <c r="H57" s="965"/>
      <c r="I57" s="965"/>
      <c r="J57" s="965">
        <f>IF('10'!E13="","",'10'!E13)</f>
        <v>-1146.2030150495386</v>
      </c>
      <c r="K57" s="965"/>
      <c r="L57" s="965"/>
      <c r="M57" s="965"/>
      <c r="N57" s="965">
        <f ca="1">IF('10'!F13="","",'10'!F13)</f>
        <v>-104.68657906111245</v>
      </c>
      <c r="O57" s="965"/>
      <c r="P57" s="965"/>
      <c r="Q57" s="965"/>
      <c r="R57" s="965"/>
      <c r="S57" s="965" t="str">
        <f>IF('10'!G13="","",'10'!G13)</f>
        <v>LG(H)</v>
      </c>
      <c r="T57" s="965"/>
      <c r="U57" s="965"/>
      <c r="V57" s="965"/>
      <c r="W57" s="965"/>
      <c r="X57" s="965"/>
      <c r="Y57" s="965"/>
      <c r="Z57" s="965"/>
      <c r="AA57" s="965"/>
    </row>
    <row r="58" spans="1:27">
      <c r="A58" s="1085"/>
      <c r="B58" s="1097"/>
      <c r="C58" s="299" t="s">
        <v>511</v>
      </c>
      <c r="D58" s="278" t="s">
        <v>512</v>
      </c>
      <c r="E58" s="967">
        <f t="shared" si="0"/>
        <v>-305596.84373153135</v>
      </c>
      <c r="F58" s="964"/>
      <c r="G58" s="964"/>
      <c r="H58" s="964"/>
      <c r="I58" s="964"/>
      <c r="J58" s="965">
        <f>IF('10'!E14="","",'10'!E14)</f>
        <v>-305596.84373153135</v>
      </c>
      <c r="K58" s="964"/>
      <c r="L58" s="964"/>
      <c r="M58" s="964"/>
      <c r="N58" s="964"/>
      <c r="O58" s="964"/>
      <c r="P58" s="964"/>
      <c r="Q58" s="964"/>
      <c r="R58" s="964"/>
      <c r="S58" s="964" t="str">
        <f>IF('10'!G14="","",'10'!G14)</f>
        <v>LG(H)</v>
      </c>
      <c r="T58" s="964"/>
      <c r="U58" s="964"/>
      <c r="V58" s="964"/>
      <c r="W58" s="964"/>
      <c r="X58" s="964"/>
      <c r="Y58" s="964"/>
      <c r="Z58" s="964"/>
      <c r="AA58" s="964"/>
    </row>
    <row r="59" spans="1:27">
      <c r="A59" s="1086"/>
      <c r="B59" s="1098"/>
      <c r="C59" s="299" t="s">
        <v>513</v>
      </c>
      <c r="D59" s="278" t="s">
        <v>512</v>
      </c>
      <c r="E59" s="967">
        <f t="shared" si="0"/>
        <v>-121228.49999267321</v>
      </c>
      <c r="F59" s="964"/>
      <c r="G59" s="964"/>
      <c r="H59" s="964"/>
      <c r="I59" s="964"/>
      <c r="J59" s="965">
        <f>IF('10'!E15="","",'10'!E15)</f>
        <v>-121228.49999267321</v>
      </c>
      <c r="K59" s="964"/>
      <c r="L59" s="964"/>
      <c r="M59" s="964"/>
      <c r="N59" s="304"/>
      <c r="O59" s="964"/>
      <c r="P59" s="964"/>
      <c r="Q59" s="964"/>
      <c r="R59" s="964"/>
      <c r="S59" s="964" t="str">
        <f>IF('10'!G15="","",'10'!G15)</f>
        <v>LG(H)</v>
      </c>
      <c r="T59" s="964"/>
      <c r="U59" s="964"/>
      <c r="V59" s="964"/>
      <c r="W59" s="964"/>
      <c r="X59" s="964"/>
      <c r="Y59" s="964"/>
      <c r="Z59" s="964"/>
      <c r="AA59" s="964"/>
    </row>
    <row r="60" spans="1:27" ht="76.5" customHeight="1">
      <c r="A60" s="1088">
        <v>11</v>
      </c>
      <c r="B60" s="1091" t="s">
        <v>377</v>
      </c>
      <c r="C60" s="299" t="s">
        <v>514</v>
      </c>
      <c r="D60" s="299" t="s">
        <v>65</v>
      </c>
      <c r="E60" s="967">
        <f t="shared" ca="1" si="0"/>
        <v>-135.07945685304833</v>
      </c>
      <c r="F60" s="965"/>
      <c r="G60" s="965" t="str">
        <f>IF('11'!D11="","",'11'!D11)</f>
        <v>AC</v>
      </c>
      <c r="H60" s="965"/>
      <c r="I60" s="965"/>
      <c r="J60" s="965"/>
      <c r="K60" s="965"/>
      <c r="L60" s="965"/>
      <c r="M60" s="965"/>
      <c r="N60" s="965">
        <f ca="1">IF('11'!F11="","",'11'!F11)</f>
        <v>-135.07945685304833</v>
      </c>
      <c r="O60" s="965"/>
      <c r="P60" s="965"/>
      <c r="Q60" s="965"/>
      <c r="R60" s="965"/>
      <c r="S60" s="965" t="str">
        <f>IF('11'!G11="","",'11'!G11)</f>
        <v>LG(H)</v>
      </c>
      <c r="T60" s="965"/>
      <c r="U60" s="965"/>
      <c r="V60" s="965"/>
      <c r="W60" s="965"/>
      <c r="X60" s="965"/>
      <c r="Y60" s="965"/>
      <c r="Z60" s="965"/>
      <c r="AA60" s="965"/>
    </row>
    <row r="61" spans="1:27">
      <c r="A61" s="1090"/>
      <c r="B61" s="1091"/>
      <c r="C61" s="299" t="s">
        <v>515</v>
      </c>
      <c r="D61" s="299" t="s">
        <v>65</v>
      </c>
      <c r="E61" s="967">
        <f t="shared" ca="1" si="0"/>
        <v>-1134.6865790611125</v>
      </c>
      <c r="F61" s="965"/>
      <c r="G61" s="965" t="str">
        <f>IF('11'!D12="","",'11'!D12)</f>
        <v>AC</v>
      </c>
      <c r="H61" s="965"/>
      <c r="I61" s="965"/>
      <c r="J61" s="965">
        <f>IF('11'!E12="","",'11'!E12)</f>
        <v>-1030</v>
      </c>
      <c r="K61" s="965"/>
      <c r="L61" s="965"/>
      <c r="M61" s="965"/>
      <c r="N61" s="965">
        <f ca="1">IF('11'!F12="","",'11'!F12)</f>
        <v>-104.68657906111245</v>
      </c>
      <c r="O61" s="965"/>
      <c r="P61" s="965"/>
      <c r="Q61" s="965"/>
      <c r="R61" s="965"/>
      <c r="S61" s="965" t="str">
        <f>IF('11'!G12="","",'11'!G12)</f>
        <v>LG(H)</v>
      </c>
      <c r="T61" s="965"/>
      <c r="U61" s="965"/>
      <c r="V61" s="965"/>
      <c r="W61" s="965"/>
      <c r="X61" s="965"/>
      <c r="Y61" s="965"/>
      <c r="Z61" s="965"/>
      <c r="AA61" s="965"/>
    </row>
    <row r="62" spans="1:27" ht="29.1" customHeight="1">
      <c r="A62" s="1084">
        <v>12</v>
      </c>
      <c r="B62" s="1088" t="s">
        <v>378</v>
      </c>
      <c r="C62" s="299" t="s">
        <v>516</v>
      </c>
      <c r="D62" s="299" t="s">
        <v>382</v>
      </c>
      <c r="E62" s="967">
        <f t="shared" si="0"/>
        <v>0</v>
      </c>
      <c r="F62" s="965" t="str">
        <f>IF('12'!D11="","",'12'!D11)</f>
        <v>LG(H)</v>
      </c>
      <c r="G62" s="965"/>
      <c r="H62" s="965"/>
      <c r="I62" s="965"/>
      <c r="J62" s="965"/>
      <c r="K62" s="965"/>
      <c r="L62" s="965"/>
      <c r="M62" s="965"/>
      <c r="N62" s="965"/>
      <c r="O62" s="965"/>
      <c r="P62" s="965"/>
      <c r="Q62" s="965"/>
      <c r="R62" s="965"/>
      <c r="S62" s="965" t="str">
        <f>IF('12'!H11="","",'12'!H11)</f>
        <v>LG(H)</v>
      </c>
      <c r="T62" s="965"/>
      <c r="U62" s="965" t="str">
        <f>IF('12'!I11="","",'12'!I11)</f>
        <v>LG(H)</v>
      </c>
      <c r="V62" s="965"/>
      <c r="W62" s="965"/>
      <c r="X62" s="965"/>
      <c r="Y62" s="965"/>
      <c r="Z62" s="965"/>
      <c r="AA62" s="965"/>
    </row>
    <row r="63" spans="1:27">
      <c r="A63" s="1086"/>
      <c r="B63" s="1090"/>
      <c r="C63" s="299" t="s">
        <v>517</v>
      </c>
      <c r="D63" s="299" t="s">
        <v>518</v>
      </c>
      <c r="E63" s="967">
        <f t="shared" si="0"/>
        <v>1.07</v>
      </c>
      <c r="F63" s="965" t="str">
        <f>IF('12'!D12="","",'12'!D12)</f>
        <v>LG(H)</v>
      </c>
      <c r="G63" s="965"/>
      <c r="H63" s="965"/>
      <c r="I63" s="965"/>
      <c r="J63" s="965">
        <f>IF('12'!E12="","",'12'!E12)</f>
        <v>1.07</v>
      </c>
      <c r="K63" s="965"/>
      <c r="L63" s="965" t="str">
        <f>IF('12'!F12="","",'12'!F12)</f>
        <v>&lt;/&gt;</v>
      </c>
      <c r="M63" s="965"/>
      <c r="N63" s="965"/>
      <c r="O63" s="965"/>
      <c r="P63" s="965"/>
      <c r="Q63" s="965"/>
      <c r="R63" s="965" t="str">
        <f>IF('12'!G12="","",'12'!G12)</f>
        <v>&lt;/&gt;</v>
      </c>
      <c r="S63" s="965" t="str">
        <f>IF('12'!H12="","",'12'!H12)</f>
        <v>LG(H)</v>
      </c>
      <c r="T63" s="965"/>
      <c r="U63" s="965"/>
      <c r="V63" s="965"/>
      <c r="W63" s="965"/>
      <c r="X63" s="965"/>
      <c r="Y63" s="965"/>
      <c r="Z63" s="965"/>
      <c r="AA63" s="965"/>
    </row>
    <row r="64" spans="1:27" ht="29.1">
      <c r="A64" s="334">
        <v>13</v>
      </c>
      <c r="B64" s="419" t="s">
        <v>381</v>
      </c>
      <c r="C64" s="299" t="s">
        <v>519</v>
      </c>
      <c r="D64" s="299" t="s">
        <v>382</v>
      </c>
      <c r="E64" s="967">
        <f t="shared" si="0"/>
        <v>0</v>
      </c>
      <c r="F64" s="965" t="str">
        <f>IF('13'!D11="","",'13'!D11)</f>
        <v>LG(H)</v>
      </c>
      <c r="G64" s="965"/>
      <c r="H64" s="965"/>
      <c r="I64" s="965"/>
      <c r="J64" s="965"/>
      <c r="K64" s="965"/>
      <c r="L64" s="965"/>
      <c r="M64" s="965"/>
      <c r="N64" s="965"/>
      <c r="O64" s="965"/>
      <c r="P64" s="965"/>
      <c r="Q64" s="965"/>
      <c r="R64" s="965"/>
      <c r="S64" s="965" t="str">
        <f>IF('13'!E11="","",'13'!E11)</f>
        <v>LG(H)</v>
      </c>
      <c r="T64" s="965"/>
      <c r="U64" s="965"/>
      <c r="V64" s="965"/>
      <c r="W64" s="965"/>
      <c r="X64" s="965" t="str">
        <f>IF('13'!F11="","",'13'!F11)</f>
        <v>&lt;/&gt;</v>
      </c>
      <c r="Y64" s="965" t="str">
        <f>IF('13'!G11="","",'13'!G11)</f>
        <v>&lt;/&gt;</v>
      </c>
      <c r="Z64" s="965"/>
      <c r="AA64" s="965"/>
    </row>
    <row r="65" spans="1:27">
      <c r="A65" s="1084">
        <v>14</v>
      </c>
      <c r="B65" s="1091" t="s">
        <v>384</v>
      </c>
      <c r="C65" s="299" t="s">
        <v>134</v>
      </c>
      <c r="D65" s="299" t="s">
        <v>366</v>
      </c>
      <c r="E65" s="967">
        <f t="shared" ca="1" si="0"/>
        <v>6575.6259337234696</v>
      </c>
      <c r="F65" s="965" t="str">
        <f>IF('14'!D11="","",'14'!D11)</f>
        <v>LG(H)</v>
      </c>
      <c r="G65" s="965"/>
      <c r="H65" s="965"/>
      <c r="I65" s="965"/>
      <c r="J65" s="965"/>
      <c r="K65" s="965"/>
      <c r="L65" s="965"/>
      <c r="M65" s="965"/>
      <c r="N65" s="965">
        <f ca="1">IF('14'!E11="","",'14'!E11)</f>
        <v>809.21037121029269</v>
      </c>
      <c r="O65" s="965"/>
      <c r="P65" s="965"/>
      <c r="Q65" s="965"/>
      <c r="R65" s="965"/>
      <c r="S65" s="965" t="str">
        <f>IF('14'!F11="","",'14'!F11)</f>
        <v>LG(H)</v>
      </c>
      <c r="T65" s="965"/>
      <c r="U65" s="965">
        <f>IF('14'!G11="","",'14'!G11)</f>
        <v>1039</v>
      </c>
      <c r="V65" s="965"/>
      <c r="W65" s="965"/>
      <c r="X65" s="965">
        <f>IF('14'!I11="","",'14'!I11)</f>
        <v>4727.4155625131771</v>
      </c>
      <c r="Y65" s="965"/>
      <c r="Z65" s="965"/>
      <c r="AA65" s="965"/>
    </row>
    <row r="66" spans="1:27">
      <c r="A66" s="1085"/>
      <c r="B66" s="1091"/>
      <c r="C66" s="299" t="s">
        <v>136</v>
      </c>
      <c r="D66" s="299" t="s">
        <v>366</v>
      </c>
      <c r="E66" s="967">
        <f t="shared" si="0"/>
        <v>94264</v>
      </c>
      <c r="F66" s="965" t="str">
        <f>IF('14'!D12="","",'14'!D12)</f>
        <v>LG(H)</v>
      </c>
      <c r="G66" s="965"/>
      <c r="H66" s="965"/>
      <c r="I66" s="965"/>
      <c r="J66" s="965"/>
      <c r="K66" s="965"/>
      <c r="L66" s="965"/>
      <c r="M66" s="965"/>
      <c r="N66" s="965" t="str">
        <f>IF('14'!E12="","",'14'!E12)</f>
        <v>LG(H)</v>
      </c>
      <c r="O66" s="965"/>
      <c r="P66" s="965"/>
      <c r="Q66" s="965"/>
      <c r="R66" s="965"/>
      <c r="S66" s="965" t="str">
        <f>IF('14'!F12="","",'14'!F12)</f>
        <v>LG(H)</v>
      </c>
      <c r="T66" s="965"/>
      <c r="U66" s="965"/>
      <c r="V66" s="965">
        <f>IF('14'!H12="","",'14'!H12)</f>
        <v>94264</v>
      </c>
      <c r="W66" s="965"/>
      <c r="X66" s="965" t="str">
        <f>IF('14'!I12="","",'14'!I12)</f>
        <v>LG(H)</v>
      </c>
      <c r="Y66" s="965"/>
      <c r="Z66" s="965"/>
      <c r="AA66" s="965"/>
    </row>
    <row r="67" spans="1:27">
      <c r="A67" s="1085"/>
      <c r="B67" s="1091"/>
      <c r="C67" s="299" t="s">
        <v>137</v>
      </c>
      <c r="D67" s="299" t="s">
        <v>366</v>
      </c>
      <c r="E67" s="967">
        <f t="shared" si="0"/>
        <v>94264</v>
      </c>
      <c r="F67" s="965" t="str">
        <f>IF('14'!D13="","",'14'!D13)</f>
        <v>LG(H)</v>
      </c>
      <c r="G67" s="965"/>
      <c r="H67" s="965"/>
      <c r="I67" s="965"/>
      <c r="J67" s="965"/>
      <c r="K67" s="965"/>
      <c r="L67" s="965"/>
      <c r="M67" s="965"/>
      <c r="N67" s="965" t="str">
        <f>IF('14'!E13="","",'14'!E13)</f>
        <v>LG(H)</v>
      </c>
      <c r="O67" s="965"/>
      <c r="P67" s="965"/>
      <c r="Q67" s="965"/>
      <c r="R67" s="965"/>
      <c r="S67" s="965" t="str">
        <f>IF('14'!F13="","",'14'!F13)</f>
        <v>LG(H)</v>
      </c>
      <c r="T67" s="965"/>
      <c r="U67" s="965"/>
      <c r="V67" s="965">
        <f>IF('14'!H13="","",'14'!H13)</f>
        <v>94264</v>
      </c>
      <c r="W67" s="965"/>
      <c r="X67" s="965" t="str">
        <f>IF('14'!I13="","",'14'!I13)</f>
        <v>LG(H)</v>
      </c>
      <c r="Y67" s="965"/>
      <c r="Z67" s="965"/>
      <c r="AA67" s="965"/>
    </row>
    <row r="68" spans="1:27">
      <c r="A68" s="1085"/>
      <c r="B68" s="1091"/>
      <c r="C68" s="299" t="s">
        <v>520</v>
      </c>
      <c r="D68" s="299" t="s">
        <v>366</v>
      </c>
      <c r="E68" s="967">
        <f t="shared" si="0"/>
        <v>0</v>
      </c>
      <c r="F68" s="965"/>
      <c r="G68" s="965"/>
      <c r="H68" s="965"/>
      <c r="I68" s="965"/>
      <c r="J68" s="965"/>
      <c r="K68" s="965"/>
      <c r="L68" s="965"/>
      <c r="M68" s="965"/>
      <c r="N68" s="965"/>
      <c r="O68" s="965"/>
      <c r="P68" s="965"/>
      <c r="Q68" s="965"/>
      <c r="R68" s="965"/>
      <c r="S68" s="965" t="str">
        <f>IF('14'!F14="","",'14'!F14)</f>
        <v>LG(H)</v>
      </c>
      <c r="T68" s="965"/>
      <c r="U68" s="965"/>
      <c r="V68" s="965"/>
      <c r="W68" s="965"/>
      <c r="X68" s="965"/>
      <c r="Y68" s="965"/>
      <c r="Z68" s="965"/>
      <c r="AA68" s="965"/>
    </row>
    <row r="69" spans="1:27">
      <c r="A69" s="1085"/>
      <c r="B69" s="1091"/>
      <c r="C69" s="299" t="s">
        <v>138</v>
      </c>
      <c r="D69" s="299" t="s">
        <v>366</v>
      </c>
      <c r="E69" s="967">
        <f t="shared" ca="1" si="0"/>
        <v>5582.1818666494964</v>
      </c>
      <c r="F69" s="965" t="str">
        <f>IF('14'!D15="","",'14'!D15)</f>
        <v>LG(H)</v>
      </c>
      <c r="G69" s="965"/>
      <c r="H69" s="965"/>
      <c r="I69" s="965"/>
      <c r="J69" s="965"/>
      <c r="K69" s="965"/>
      <c r="L69" s="965"/>
      <c r="M69" s="965"/>
      <c r="N69" s="965">
        <f ca="1">IF('14'!E15="","",'14'!E15)</f>
        <v>809.21037121029269</v>
      </c>
      <c r="O69" s="965"/>
      <c r="P69" s="965"/>
      <c r="Q69" s="965"/>
      <c r="R69" s="965"/>
      <c r="S69" s="965" t="str">
        <f>IF('14'!F15="","",'14'!F15)</f>
        <v>LG(H)</v>
      </c>
      <c r="T69" s="965"/>
      <c r="U69" s="965">
        <f>IF('14'!G15="","",'14'!G15)</f>
        <v>860</v>
      </c>
      <c r="V69" s="965"/>
      <c r="W69" s="965"/>
      <c r="X69" s="965">
        <f>IF('14'!I15="","",'14'!I15)</f>
        <v>3912.9714954392034</v>
      </c>
      <c r="Y69" s="965"/>
      <c r="Z69" s="965"/>
      <c r="AA69" s="965"/>
    </row>
    <row r="70" spans="1:27">
      <c r="A70" s="1085"/>
      <c r="B70" s="1091"/>
      <c r="C70" s="299" t="s">
        <v>139</v>
      </c>
      <c r="D70" s="299" t="s">
        <v>366</v>
      </c>
      <c r="E70" s="967">
        <f t="shared" si="0"/>
        <v>65140</v>
      </c>
      <c r="F70" s="965" t="str">
        <f>IF('14'!D16="","",'14'!D16)</f>
        <v>LG(H)</v>
      </c>
      <c r="G70" s="965"/>
      <c r="H70" s="965"/>
      <c r="I70" s="965"/>
      <c r="J70" s="965"/>
      <c r="K70" s="965"/>
      <c r="L70" s="965"/>
      <c r="M70" s="965"/>
      <c r="N70" s="965" t="str">
        <f>IF('14'!E16="","",'14'!E16)</f>
        <v>LG(H)</v>
      </c>
      <c r="O70" s="965"/>
      <c r="P70" s="965"/>
      <c r="Q70" s="965"/>
      <c r="R70" s="965"/>
      <c r="S70" s="965" t="str">
        <f>IF('14'!F16="","",'14'!F16)</f>
        <v>LG(H)</v>
      </c>
      <c r="T70" s="965"/>
      <c r="U70" s="965"/>
      <c r="V70" s="965">
        <f>IF('14'!H16="","",'14'!H16)</f>
        <v>65140</v>
      </c>
      <c r="W70" s="965"/>
      <c r="X70" s="965" t="str">
        <f>IF('14'!I16="","",'14'!I16)</f>
        <v>LG(H)</v>
      </c>
      <c r="Y70" s="965"/>
      <c r="Z70" s="965"/>
      <c r="AA70" s="965"/>
    </row>
    <row r="71" spans="1:27">
      <c r="A71" s="1086"/>
      <c r="B71" s="1091"/>
      <c r="C71" s="299" t="s">
        <v>140</v>
      </c>
      <c r="D71" s="299" t="s">
        <v>366</v>
      </c>
      <c r="E71" s="967">
        <f t="shared" si="0"/>
        <v>65140</v>
      </c>
      <c r="F71" s="965" t="str">
        <f>IF('14'!D17="","",'14'!D17)</f>
        <v>LG(H)</v>
      </c>
      <c r="G71" s="965"/>
      <c r="H71" s="965"/>
      <c r="I71" s="965"/>
      <c r="J71" s="965"/>
      <c r="K71" s="965"/>
      <c r="L71" s="965"/>
      <c r="M71" s="965"/>
      <c r="N71" s="965" t="str">
        <f>IF('14'!E17="","",'14'!E17)</f>
        <v>LG(H)</v>
      </c>
      <c r="O71" s="965"/>
      <c r="P71" s="965"/>
      <c r="Q71" s="965"/>
      <c r="R71" s="965"/>
      <c r="S71" s="965" t="str">
        <f>IF('14'!F17="","",'14'!F17)</f>
        <v>LG(H)</v>
      </c>
      <c r="T71" s="965"/>
      <c r="U71" s="965"/>
      <c r="V71" s="965">
        <f>IF('14'!H17="","",'14'!H17)</f>
        <v>65140</v>
      </c>
      <c r="W71" s="965"/>
      <c r="X71" s="965" t="str">
        <f>IF('14'!I17="","",'14'!I17)</f>
        <v>LG(H)</v>
      </c>
      <c r="Y71" s="965"/>
      <c r="Z71" s="965"/>
      <c r="AA71" s="965"/>
    </row>
    <row r="72" spans="1:27">
      <c r="A72" s="1084">
        <v>15</v>
      </c>
      <c r="B72" s="1091" t="s">
        <v>386</v>
      </c>
      <c r="C72" s="299" t="s">
        <v>142</v>
      </c>
      <c r="D72" s="299" t="s">
        <v>366</v>
      </c>
      <c r="E72" s="967">
        <f t="shared" ca="1" si="0"/>
        <v>981.93058010719028</v>
      </c>
      <c r="F72" s="965" t="str">
        <f>IF('15'!D11="","",'15'!D11)</f>
        <v>LG(H)</v>
      </c>
      <c r="G72" s="965"/>
      <c r="H72" s="965"/>
      <c r="I72" s="965"/>
      <c r="J72" s="965"/>
      <c r="K72" s="965"/>
      <c r="L72" s="965"/>
      <c r="M72" s="965"/>
      <c r="N72" s="965">
        <f ca="1">IF('15'!E11="","",'15'!E11)</f>
        <v>4.2212330266577602</v>
      </c>
      <c r="O72" s="965"/>
      <c r="P72" s="965"/>
      <c r="Q72" s="965"/>
      <c r="R72" s="965"/>
      <c r="S72" s="965" t="str">
        <f>IF('15'!F11="","",'15'!F11)</f>
        <v>LG(H)</v>
      </c>
      <c r="T72" s="965"/>
      <c r="U72" s="965">
        <f>IF('15'!G11="","",'15'!G11)</f>
        <v>375</v>
      </c>
      <c r="V72" s="965"/>
      <c r="W72" s="965"/>
      <c r="X72" s="965">
        <f>IF('15'!I11="","",'15'!I11)</f>
        <v>602.70934708053244</v>
      </c>
      <c r="Y72" s="965"/>
      <c r="Z72" s="965"/>
      <c r="AA72" s="965"/>
    </row>
    <row r="73" spans="1:27">
      <c r="A73" s="1085"/>
      <c r="B73" s="1091"/>
      <c r="C73" s="299" t="s">
        <v>143</v>
      </c>
      <c r="D73" s="299" t="s">
        <v>366</v>
      </c>
      <c r="E73" s="967">
        <f t="shared" si="0"/>
        <v>38608</v>
      </c>
      <c r="F73" s="965" t="str">
        <f>IF('15'!D12="","",'15'!D12)</f>
        <v>LG(H)</v>
      </c>
      <c r="G73" s="965"/>
      <c r="H73" s="965"/>
      <c r="I73" s="965"/>
      <c r="J73" s="965"/>
      <c r="K73" s="965"/>
      <c r="L73" s="965"/>
      <c r="M73" s="965"/>
      <c r="N73" s="965" t="str">
        <f>IF('15'!E12="","",'15'!E12)</f>
        <v>LG(H)</v>
      </c>
      <c r="O73" s="965"/>
      <c r="P73" s="965"/>
      <c r="Q73" s="965"/>
      <c r="R73" s="965"/>
      <c r="S73" s="965" t="str">
        <f>IF('15'!F12="","",'15'!F12)</f>
        <v>LG(H)</v>
      </c>
      <c r="T73" s="965"/>
      <c r="U73" s="965"/>
      <c r="V73" s="965">
        <f>IF('15'!H12="","",'15'!H12)</f>
        <v>38608</v>
      </c>
      <c r="W73" s="965"/>
      <c r="X73" s="965" t="str">
        <f>IF('15'!I12="","",'15'!I12)</f>
        <v>LG(H)</v>
      </c>
      <c r="Y73" s="965"/>
      <c r="Z73" s="965"/>
      <c r="AA73" s="965"/>
    </row>
    <row r="74" spans="1:27">
      <c r="A74" s="1085"/>
      <c r="B74" s="1091"/>
      <c r="C74" s="299" t="s">
        <v>144</v>
      </c>
      <c r="D74" s="299" t="s">
        <v>366</v>
      </c>
      <c r="E74" s="967">
        <f t="shared" ref="E74:E137" si="1">SUM(F74:AA74)</f>
        <v>38608</v>
      </c>
      <c r="F74" s="965" t="str">
        <f>IF('15'!D13="","",'15'!D13)</f>
        <v>LG(H)</v>
      </c>
      <c r="G74" s="965"/>
      <c r="H74" s="965"/>
      <c r="I74" s="965"/>
      <c r="J74" s="965"/>
      <c r="K74" s="965"/>
      <c r="L74" s="965"/>
      <c r="M74" s="965"/>
      <c r="N74" s="965" t="str">
        <f>IF('15'!E13="","",'15'!E13)</f>
        <v>LG(H)</v>
      </c>
      <c r="O74" s="965"/>
      <c r="P74" s="965"/>
      <c r="Q74" s="965"/>
      <c r="R74" s="965"/>
      <c r="S74" s="965" t="str">
        <f>IF('15'!F13="","",'15'!F13)</f>
        <v>LG(H)</v>
      </c>
      <c r="T74" s="965"/>
      <c r="U74" s="965"/>
      <c r="V74" s="965">
        <f>IF('15'!H13="","",'15'!H13)</f>
        <v>38608</v>
      </c>
      <c r="W74" s="965"/>
      <c r="X74" s="965" t="str">
        <f>IF('15'!I13="","",'15'!I13)</f>
        <v>LG(H)</v>
      </c>
      <c r="Y74" s="965"/>
      <c r="Z74" s="965"/>
      <c r="AA74" s="965"/>
    </row>
    <row r="75" spans="1:27">
      <c r="A75" s="1085"/>
      <c r="B75" s="1091"/>
      <c r="C75" s="299" t="s">
        <v>145</v>
      </c>
      <c r="D75" s="299" t="s">
        <v>366</v>
      </c>
      <c r="E75" s="967">
        <f t="shared" ca="1" si="1"/>
        <v>833.31875935094922</v>
      </c>
      <c r="F75" s="965" t="str">
        <f>IF('15'!D14="","",'15'!D14)</f>
        <v>LG(H)</v>
      </c>
      <c r="G75" s="965"/>
      <c r="H75" s="965"/>
      <c r="I75" s="965"/>
      <c r="J75" s="965"/>
      <c r="K75" s="965"/>
      <c r="L75" s="965"/>
      <c r="M75" s="965"/>
      <c r="N75" s="965">
        <f ca="1">IF('15'!E14="","",'15'!E14)</f>
        <v>4.2212330266577602</v>
      </c>
      <c r="O75" s="965"/>
      <c r="P75" s="965"/>
      <c r="Q75" s="965"/>
      <c r="R75" s="965"/>
      <c r="S75" s="965" t="str">
        <f>IF('15'!F14="","",'15'!F14)</f>
        <v>LG(H)</v>
      </c>
      <c r="T75" s="965"/>
      <c r="U75" s="965">
        <f>IF('15'!G14="","",'15'!G14)</f>
        <v>318</v>
      </c>
      <c r="V75" s="965"/>
      <c r="W75" s="965"/>
      <c r="X75" s="965">
        <f>IF('15'!I14="","",'15'!I14)</f>
        <v>511.09752632429149</v>
      </c>
      <c r="Y75" s="965"/>
      <c r="Z75" s="965"/>
      <c r="AA75" s="965"/>
    </row>
    <row r="76" spans="1:27">
      <c r="A76" s="1085"/>
      <c r="B76" s="1091"/>
      <c r="C76" s="299" t="s">
        <v>146</v>
      </c>
      <c r="D76" s="299" t="s">
        <v>366</v>
      </c>
      <c r="E76" s="967">
        <f t="shared" si="1"/>
        <v>27371</v>
      </c>
      <c r="F76" s="965" t="str">
        <f>IF('15'!D15="","",'15'!D15)</f>
        <v>LG(H)</v>
      </c>
      <c r="G76" s="965"/>
      <c r="H76" s="965"/>
      <c r="I76" s="965"/>
      <c r="J76" s="965"/>
      <c r="K76" s="965"/>
      <c r="L76" s="965"/>
      <c r="M76" s="965"/>
      <c r="N76" s="965" t="str">
        <f>IF('15'!E15="","",'15'!E15)</f>
        <v>LG(H)</v>
      </c>
      <c r="O76" s="965"/>
      <c r="P76" s="965"/>
      <c r="Q76" s="965"/>
      <c r="R76" s="965"/>
      <c r="S76" s="965" t="str">
        <f>IF('15'!F15="","",'15'!F15)</f>
        <v>LG(H)</v>
      </c>
      <c r="T76" s="965"/>
      <c r="U76" s="965"/>
      <c r="V76" s="965">
        <f>IF('15'!H15="","",'15'!H15)</f>
        <v>27371</v>
      </c>
      <c r="W76" s="965"/>
      <c r="X76" s="965" t="str">
        <f>IF('15'!I15="","",'15'!I15)</f>
        <v>LG(H)</v>
      </c>
      <c r="Y76" s="965"/>
      <c r="Z76" s="965"/>
      <c r="AA76" s="965"/>
    </row>
    <row r="77" spans="1:27">
      <c r="A77" s="1086"/>
      <c r="B77" s="1091"/>
      <c r="C77" s="299" t="s">
        <v>147</v>
      </c>
      <c r="D77" s="299" t="s">
        <v>366</v>
      </c>
      <c r="E77" s="967">
        <f t="shared" si="1"/>
        <v>27371</v>
      </c>
      <c r="F77" s="965" t="str">
        <f>IF('15'!D16="","",'15'!D16)</f>
        <v>LG(H)</v>
      </c>
      <c r="G77" s="965"/>
      <c r="H77" s="965"/>
      <c r="I77" s="965"/>
      <c r="J77" s="965"/>
      <c r="K77" s="965"/>
      <c r="L77" s="965"/>
      <c r="M77" s="965"/>
      <c r="N77" s="965" t="str">
        <f>IF('15'!E16="","",'15'!E16)</f>
        <v>LG(H)</v>
      </c>
      <c r="O77" s="965"/>
      <c r="P77" s="965"/>
      <c r="Q77" s="965"/>
      <c r="R77" s="965"/>
      <c r="S77" s="965" t="str">
        <f>IF('15'!F16="","",'15'!F16)</f>
        <v>LG(H)</v>
      </c>
      <c r="T77" s="965"/>
      <c r="U77" s="965"/>
      <c r="V77" s="965">
        <f>IF('15'!H16="","",'15'!H16)</f>
        <v>27371</v>
      </c>
      <c r="W77" s="965"/>
      <c r="X77" s="965" t="str">
        <f>IF('15'!I16="","",'15'!I16)</f>
        <v>LG(H)</v>
      </c>
      <c r="Y77" s="965"/>
      <c r="Z77" s="965"/>
      <c r="AA77" s="965"/>
    </row>
    <row r="78" spans="1:27">
      <c r="A78" s="1084">
        <v>16</v>
      </c>
      <c r="B78" s="1091" t="s">
        <v>387</v>
      </c>
      <c r="C78" s="278" t="s">
        <v>521</v>
      </c>
      <c r="D78" s="278" t="s">
        <v>366</v>
      </c>
      <c r="E78" s="967">
        <f t="shared" ca="1" si="1"/>
        <v>6531.3498345223607</v>
      </c>
      <c r="F78" s="964" t="str">
        <f>IF('16'!D11="","",'16'!D11)</f>
        <v>LG(H)</v>
      </c>
      <c r="G78" s="964"/>
      <c r="H78" s="964"/>
      <c r="I78" s="964"/>
      <c r="J78" s="964"/>
      <c r="K78" s="964"/>
      <c r="L78" s="964"/>
      <c r="M78" s="964"/>
      <c r="N78" s="964">
        <f ca="1">IF('16'!E11="","",'16'!E11)</f>
        <v>809.21037121029269</v>
      </c>
      <c r="O78" s="964"/>
      <c r="P78" s="964"/>
      <c r="Q78" s="964"/>
      <c r="R78" s="964"/>
      <c r="S78" s="964"/>
      <c r="T78" s="964"/>
      <c r="U78" s="964">
        <f>IF('16'!F11="","",'16'!F11)</f>
        <v>333.73213485645363</v>
      </c>
      <c r="V78" s="964"/>
      <c r="W78" s="964"/>
      <c r="X78" s="964">
        <f>IF('16'!H11="","",'16'!H11)</f>
        <v>5388.4073284556143</v>
      </c>
      <c r="Y78" s="964"/>
      <c r="Z78" s="964"/>
      <c r="AA78" s="964"/>
    </row>
    <row r="79" spans="1:27">
      <c r="A79" s="1085"/>
      <c r="B79" s="1091"/>
      <c r="C79" s="278" t="s">
        <v>522</v>
      </c>
      <c r="D79" s="278" t="s">
        <v>366</v>
      </c>
      <c r="E79" s="967">
        <f t="shared" si="1"/>
        <v>30739.700436508174</v>
      </c>
      <c r="F79" s="964" t="str">
        <f>IF('16'!D12="","",'16'!D12)</f>
        <v>LG(H)</v>
      </c>
      <c r="G79" s="964"/>
      <c r="H79" s="964"/>
      <c r="I79" s="964"/>
      <c r="J79" s="964"/>
      <c r="K79" s="964"/>
      <c r="L79" s="964"/>
      <c r="M79" s="964"/>
      <c r="N79" s="964" t="str">
        <f>IF('16'!E12="","",'16'!E12)</f>
        <v>LG(L)</v>
      </c>
      <c r="O79" s="964"/>
      <c r="P79" s="964"/>
      <c r="Q79" s="964"/>
      <c r="R79" s="964"/>
      <c r="S79" s="964"/>
      <c r="T79" s="964"/>
      <c r="U79" s="964"/>
      <c r="V79" s="964">
        <f>IF('16'!G12="","",'16'!G12)</f>
        <v>30739.700436508174</v>
      </c>
      <c r="W79" s="964"/>
      <c r="X79" s="964" t="str">
        <f>IF('16'!H12="","",'16'!H12)</f>
        <v>LG(L)</v>
      </c>
      <c r="Y79" s="964"/>
      <c r="Z79" s="964"/>
      <c r="AA79" s="964"/>
    </row>
    <row r="80" spans="1:27">
      <c r="A80" s="1086"/>
      <c r="B80" s="1091"/>
      <c r="C80" s="278" t="s">
        <v>523</v>
      </c>
      <c r="D80" s="278" t="s">
        <v>366</v>
      </c>
      <c r="E80" s="967">
        <f t="shared" si="1"/>
        <v>30739.700436508174</v>
      </c>
      <c r="F80" s="964" t="str">
        <f>IF('16'!D13="","",'16'!D13)</f>
        <v>LG(H)</v>
      </c>
      <c r="G80" s="964"/>
      <c r="H80" s="964"/>
      <c r="I80" s="964"/>
      <c r="J80" s="964"/>
      <c r="K80" s="964"/>
      <c r="L80" s="964"/>
      <c r="M80" s="964"/>
      <c r="N80" s="964" t="str">
        <f>IF('16'!E13="","",'16'!E13)</f>
        <v>LG(L)</v>
      </c>
      <c r="O80" s="964"/>
      <c r="P80" s="964"/>
      <c r="Q80" s="964"/>
      <c r="R80" s="964"/>
      <c r="S80" s="964"/>
      <c r="T80" s="964"/>
      <c r="U80" s="964"/>
      <c r="V80" s="964">
        <f>IF('16'!G13="","",'16'!G13)</f>
        <v>30739.700436508174</v>
      </c>
      <c r="W80" s="964"/>
      <c r="X80" s="964" t="str">
        <f>IF('16'!H13="","",'16'!H13)</f>
        <v>LG(L)</v>
      </c>
      <c r="Y80" s="964"/>
      <c r="Z80" s="964"/>
      <c r="AA80" s="964"/>
    </row>
    <row r="81" spans="1:27">
      <c r="A81" s="1084">
        <v>17</v>
      </c>
      <c r="B81" s="1091" t="s">
        <v>388</v>
      </c>
      <c r="C81" s="278" t="s">
        <v>524</v>
      </c>
      <c r="D81" s="278" t="s">
        <v>366</v>
      </c>
      <c r="E81" s="967">
        <f t="shared" ca="1" si="1"/>
        <v>830.3229389703946</v>
      </c>
      <c r="F81" s="964" t="str">
        <f>IF('17'!D11="","",'17'!D11)</f>
        <v>LG(H)</v>
      </c>
      <c r="G81" s="964"/>
      <c r="H81" s="964"/>
      <c r="I81" s="964"/>
      <c r="J81" s="964"/>
      <c r="K81" s="964"/>
      <c r="L81" s="964"/>
      <c r="M81" s="964"/>
      <c r="N81" s="964">
        <f ca="1">IF('17'!E11="","",'17'!E11)</f>
        <v>4.2212330266577602</v>
      </c>
      <c r="O81" s="964"/>
      <c r="P81" s="964"/>
      <c r="Q81" s="964"/>
      <c r="R81" s="964"/>
      <c r="S81" s="964"/>
      <c r="T81" s="964"/>
      <c r="U81" s="964">
        <f>IF('17'!F11="","",'17'!F11)</f>
        <v>122.28833556490882</v>
      </c>
      <c r="V81" s="964"/>
      <c r="W81" s="964"/>
      <c r="X81" s="964">
        <f>IF('17'!H11="","",'17'!H11)</f>
        <v>703.81337037882804</v>
      </c>
      <c r="Y81" s="964"/>
      <c r="Z81" s="964"/>
      <c r="AA81" s="964"/>
    </row>
    <row r="82" spans="1:27">
      <c r="A82" s="1085"/>
      <c r="B82" s="1091"/>
      <c r="C82" s="278" t="s">
        <v>525</v>
      </c>
      <c r="D82" s="278" t="s">
        <v>366</v>
      </c>
      <c r="E82" s="967">
        <f t="shared" si="1"/>
        <v>12590.154825306667</v>
      </c>
      <c r="F82" s="964" t="str">
        <f>IF('17'!D12="","",'17'!D12)</f>
        <v>LG(H)</v>
      </c>
      <c r="G82" s="964"/>
      <c r="H82" s="964"/>
      <c r="I82" s="964"/>
      <c r="J82" s="964"/>
      <c r="K82" s="964"/>
      <c r="L82" s="964"/>
      <c r="M82" s="964"/>
      <c r="N82" s="964" t="str">
        <f>IF('17'!E12="","",'17'!E12)</f>
        <v>LG(L)</v>
      </c>
      <c r="O82" s="964"/>
      <c r="P82" s="964"/>
      <c r="Q82" s="964"/>
      <c r="R82" s="964"/>
      <c r="S82" s="964"/>
      <c r="T82" s="964"/>
      <c r="U82" s="964"/>
      <c r="V82" s="964">
        <f>IF('17'!G12="","",'17'!G12)</f>
        <v>12590.154825306667</v>
      </c>
      <c r="W82" s="964"/>
      <c r="X82" s="964" t="str">
        <f>IF('17'!H12="","",'17'!H12)</f>
        <v>LG(L)</v>
      </c>
      <c r="Y82" s="964"/>
      <c r="Z82" s="964"/>
      <c r="AA82" s="964"/>
    </row>
    <row r="83" spans="1:27">
      <c r="A83" s="1086"/>
      <c r="B83" s="1091"/>
      <c r="C83" s="278" t="s">
        <v>526</v>
      </c>
      <c r="D83" s="278" t="s">
        <v>366</v>
      </c>
      <c r="E83" s="967">
        <f t="shared" si="1"/>
        <v>12590.154825306667</v>
      </c>
      <c r="F83" s="964" t="str">
        <f>IF('17'!D13="","",'17'!D13)</f>
        <v>LG(H)</v>
      </c>
      <c r="G83" s="964"/>
      <c r="H83" s="964"/>
      <c r="I83" s="964"/>
      <c r="J83" s="964"/>
      <c r="K83" s="964"/>
      <c r="L83" s="964"/>
      <c r="M83" s="964"/>
      <c r="N83" s="964" t="str">
        <f>IF('17'!E13="","",'17'!E13)</f>
        <v>LG(L)</v>
      </c>
      <c r="O83" s="964"/>
      <c r="P83" s="964"/>
      <c r="Q83" s="964"/>
      <c r="R83" s="964"/>
      <c r="S83" s="964"/>
      <c r="T83" s="964"/>
      <c r="U83" s="964"/>
      <c r="V83" s="964">
        <f>IF('17'!G13="","",'17'!G13)</f>
        <v>12590.154825306667</v>
      </c>
      <c r="W83" s="964"/>
      <c r="X83" s="964" t="str">
        <f>IF('17'!H13="","",'17'!H13)</f>
        <v>LG(L)</v>
      </c>
      <c r="Y83" s="964"/>
      <c r="Z83" s="964"/>
      <c r="AA83" s="964"/>
    </row>
    <row r="84" spans="1:27">
      <c r="A84" s="1084">
        <v>18</v>
      </c>
      <c r="B84" s="1088" t="s">
        <v>527</v>
      </c>
      <c r="C84" s="299" t="s">
        <v>528</v>
      </c>
      <c r="D84" s="299" t="s">
        <v>393</v>
      </c>
      <c r="E84" s="967">
        <f t="shared" si="1"/>
        <v>0</v>
      </c>
      <c r="F84" s="965" t="str">
        <f>IF('18'!D11="","",'18'!D11)</f>
        <v>LG(H)</v>
      </c>
      <c r="G84" s="965"/>
      <c r="H84" s="965"/>
      <c r="I84" s="965"/>
      <c r="J84" s="965"/>
      <c r="K84" s="964"/>
      <c r="L84" s="965"/>
      <c r="M84" s="965"/>
      <c r="N84" s="965"/>
      <c r="O84" s="965"/>
      <c r="P84" s="964"/>
      <c r="Q84" s="965"/>
      <c r="R84" s="964"/>
      <c r="S84" s="964" t="str">
        <f>IF('18'!H11="","",'18'!H11)</f>
        <v>LG(H)</v>
      </c>
      <c r="T84" s="965"/>
      <c r="U84" s="965"/>
      <c r="V84" s="965"/>
      <c r="W84" s="965"/>
      <c r="X84" s="965"/>
      <c r="Y84" s="965"/>
      <c r="Z84" s="965"/>
      <c r="AA84" s="965"/>
    </row>
    <row r="85" spans="1:27">
      <c r="A85" s="1085"/>
      <c r="B85" s="1089"/>
      <c r="C85" s="299" t="s">
        <v>529</v>
      </c>
      <c r="D85" s="299" t="s">
        <v>393</v>
      </c>
      <c r="E85" s="967">
        <f t="shared" si="1"/>
        <v>0</v>
      </c>
      <c r="F85" s="965" t="str">
        <f>IF('18'!D12="","",'18'!D12)</f>
        <v>LG(H)</v>
      </c>
      <c r="G85" s="965"/>
      <c r="H85" s="965"/>
      <c r="I85" s="965"/>
      <c r="J85" s="965"/>
      <c r="K85" s="965" t="str">
        <f>IF('18'!E12="","",'18'!E12)</f>
        <v>LG(L)</v>
      </c>
      <c r="L85" s="965"/>
      <c r="M85" s="965"/>
      <c r="N85" s="965"/>
      <c r="O85" s="965"/>
      <c r="P85" s="965" t="str">
        <f>IF('18'!F12="","",'18'!F12)</f>
        <v>&lt;/&gt;</v>
      </c>
      <c r="Q85" s="965"/>
      <c r="R85" s="965" t="str">
        <f>IF('18'!G12="","",'18'!G12)</f>
        <v>&lt;/&gt;</v>
      </c>
      <c r="S85" s="965" t="str">
        <f>IF('18'!H12="","",'18'!H12)</f>
        <v>LG(H)</v>
      </c>
      <c r="T85" s="965"/>
      <c r="U85" s="965" t="str">
        <f>IF('18'!I12="","",'18'!I12)</f>
        <v>&lt;/&gt;</v>
      </c>
      <c r="V85" s="965"/>
      <c r="W85" s="965"/>
      <c r="X85" s="965" t="str">
        <f>IF('18'!J12="","",'18'!J12)</f>
        <v>&lt;/&gt;</v>
      </c>
      <c r="Y85" s="965"/>
      <c r="Z85" s="965"/>
      <c r="AA85" s="965"/>
    </row>
    <row r="86" spans="1:27">
      <c r="A86" s="1085"/>
      <c r="B86" s="1089"/>
      <c r="C86" s="299" t="s">
        <v>530</v>
      </c>
      <c r="D86" s="299" t="s">
        <v>393</v>
      </c>
      <c r="E86" s="967">
        <f t="shared" si="1"/>
        <v>0</v>
      </c>
      <c r="F86" s="965" t="str">
        <f>IF('18'!D13="","",'18'!D13)</f>
        <v>LG(H)</v>
      </c>
      <c r="G86" s="965"/>
      <c r="H86" s="965"/>
      <c r="I86" s="965"/>
      <c r="J86" s="965"/>
      <c r="K86" s="965" t="str">
        <f>IF('18'!E13="","",'18'!E13)</f>
        <v>LG(L)</v>
      </c>
      <c r="L86" s="965"/>
      <c r="M86" s="965"/>
      <c r="N86" s="965"/>
      <c r="O86" s="965"/>
      <c r="P86" s="965" t="str">
        <f>IF('18'!F13="","",'18'!F13)</f>
        <v>&lt;/&gt;</v>
      </c>
      <c r="Q86" s="965"/>
      <c r="R86" s="965" t="str">
        <f>IF('18'!G13="","",'18'!G13)</f>
        <v>&lt;/&gt;</v>
      </c>
      <c r="S86" s="965" t="str">
        <f>IF('18'!H13="","",'18'!H13)</f>
        <v>LG(H)</v>
      </c>
      <c r="T86" s="965"/>
      <c r="U86" s="965" t="str">
        <f>IF('18'!I13="","",'18'!I13)</f>
        <v>&lt;/&gt;</v>
      </c>
      <c r="V86" s="965"/>
      <c r="W86" s="965"/>
      <c r="X86" s="965" t="str">
        <f>IF('18'!J13="","",'18'!J13)</f>
        <v>&lt;/&gt;</v>
      </c>
      <c r="Y86" s="965"/>
      <c r="Z86" s="965"/>
      <c r="AA86" s="965"/>
    </row>
    <row r="87" spans="1:27">
      <c r="A87" s="1086"/>
      <c r="B87" s="1090"/>
      <c r="C87" s="299" t="s">
        <v>531</v>
      </c>
      <c r="D87" s="299" t="s">
        <v>393</v>
      </c>
      <c r="E87" s="967">
        <f t="shared" si="1"/>
        <v>0</v>
      </c>
      <c r="F87" s="965" t="str">
        <f>IF('18'!D14="","",'18'!D14)</f>
        <v>LG(H)</v>
      </c>
      <c r="G87" s="965"/>
      <c r="H87" s="965"/>
      <c r="I87" s="965"/>
      <c r="J87" s="965"/>
      <c r="K87" s="965" t="str">
        <f>IF('18'!E14="","",'18'!E14)</f>
        <v>LG(L)</v>
      </c>
      <c r="L87" s="965"/>
      <c r="M87" s="965"/>
      <c r="N87" s="965"/>
      <c r="O87" s="965"/>
      <c r="P87" s="965" t="str">
        <f>IF('18'!F14="","",'18'!F14)</f>
        <v>&lt;/&gt;</v>
      </c>
      <c r="Q87" s="965"/>
      <c r="R87" s="965" t="str">
        <f>IF('18'!G14="","",'18'!G14)</f>
        <v>&lt;/&gt;</v>
      </c>
      <c r="S87" s="965" t="str">
        <f>IF('18'!H14="","",'18'!H14)</f>
        <v>LG(H)</v>
      </c>
      <c r="T87" s="965"/>
      <c r="U87" s="965" t="str">
        <f>IF('18'!I14="","",'18'!I14)</f>
        <v>&lt;/&gt;</v>
      </c>
      <c r="V87" s="965"/>
      <c r="W87" s="965"/>
      <c r="X87" s="965" t="str">
        <f>IF('18'!J14="","",'18'!J14)</f>
        <v>&lt;/&gt;</v>
      </c>
      <c r="Y87" s="965"/>
      <c r="Z87" s="965"/>
      <c r="AA87" s="965"/>
    </row>
    <row r="88" spans="1:27">
      <c r="A88" s="1084">
        <v>19</v>
      </c>
      <c r="B88" s="1091" t="s">
        <v>392</v>
      </c>
      <c r="C88" s="299" t="s">
        <v>532</v>
      </c>
      <c r="D88" s="299" t="s">
        <v>533</v>
      </c>
      <c r="E88" s="967">
        <f t="shared" si="1"/>
        <v>0</v>
      </c>
      <c r="F88" s="965" t="str">
        <f>IF('19'!D11="","",'19'!D11)</f>
        <v>LG(H)</v>
      </c>
      <c r="G88" s="965"/>
      <c r="H88" s="965"/>
      <c r="I88" s="965"/>
      <c r="J88" s="965"/>
      <c r="K88" s="965" t="str">
        <f>IF('19'!E11="","",'19'!E11)</f>
        <v>LG(L)</v>
      </c>
      <c r="L88" s="965"/>
      <c r="M88" s="965"/>
      <c r="N88" s="965"/>
      <c r="O88" s="965"/>
      <c r="P88" s="965"/>
      <c r="Q88" s="965"/>
      <c r="R88" s="965"/>
      <c r="S88" s="965" t="str">
        <f>IF('19'!F11="","",'19'!F11)</f>
        <v>LG(H)</v>
      </c>
      <c r="T88" s="965"/>
      <c r="U88" s="965"/>
      <c r="V88" s="965"/>
      <c r="W88" s="965"/>
      <c r="X88" s="965"/>
      <c r="Y88" s="965"/>
      <c r="Z88" s="965"/>
      <c r="AA88" s="965"/>
    </row>
    <row r="89" spans="1:27">
      <c r="A89" s="1085"/>
      <c r="B89" s="1091"/>
      <c r="C89" s="299" t="s">
        <v>534</v>
      </c>
      <c r="D89" s="299" t="s">
        <v>533</v>
      </c>
      <c r="E89" s="967">
        <f t="shared" si="1"/>
        <v>0</v>
      </c>
      <c r="F89" s="965" t="str">
        <f>IF('19'!D12="","",'19'!D12)</f>
        <v>LG(H)</v>
      </c>
      <c r="G89" s="965"/>
      <c r="H89" s="965"/>
      <c r="I89" s="965"/>
      <c r="J89" s="965"/>
      <c r="K89" s="965" t="str">
        <f>IF('19'!E12="","",'19'!E12)</f>
        <v>LG(L)</v>
      </c>
      <c r="L89" s="965"/>
      <c r="M89" s="965"/>
      <c r="N89" s="965"/>
      <c r="O89" s="965"/>
      <c r="P89" s="965"/>
      <c r="Q89" s="965"/>
      <c r="R89" s="965"/>
      <c r="S89" s="965" t="str">
        <f>IF('19'!F12="","",'19'!F12)</f>
        <v>LG(H)</v>
      </c>
      <c r="T89" s="965"/>
      <c r="U89" s="965"/>
      <c r="V89" s="965"/>
      <c r="W89" s="965"/>
      <c r="X89" s="965"/>
      <c r="Y89" s="965"/>
      <c r="Z89" s="965"/>
      <c r="AA89" s="965"/>
    </row>
    <row r="90" spans="1:27">
      <c r="A90" s="1085"/>
      <c r="B90" s="1091"/>
      <c r="C90" s="299" t="s">
        <v>535</v>
      </c>
      <c r="D90" s="299" t="s">
        <v>533</v>
      </c>
      <c r="E90" s="967">
        <f t="shared" si="1"/>
        <v>0</v>
      </c>
      <c r="F90" s="965" t="str">
        <f>IF('19'!D13="","",'19'!D13)</f>
        <v>LG(H)</v>
      </c>
      <c r="G90" s="965"/>
      <c r="H90" s="965"/>
      <c r="I90" s="965"/>
      <c r="J90" s="965"/>
      <c r="K90" s="965" t="str">
        <f>IF('19'!E13="","",'19'!E13)</f>
        <v>LG(L)</v>
      </c>
      <c r="L90" s="965"/>
      <c r="M90" s="965"/>
      <c r="N90" s="965"/>
      <c r="O90" s="965"/>
      <c r="P90" s="965"/>
      <c r="Q90" s="965"/>
      <c r="R90" s="965"/>
      <c r="S90" s="965" t="str">
        <f>IF('19'!F13="","",'19'!F13)</f>
        <v>LG(H)</v>
      </c>
      <c r="T90" s="965"/>
      <c r="U90" s="965"/>
      <c r="V90" s="965"/>
      <c r="W90" s="965"/>
      <c r="X90" s="965"/>
      <c r="Y90" s="965"/>
      <c r="Z90" s="965"/>
      <c r="AA90" s="965"/>
    </row>
    <row r="91" spans="1:27">
      <c r="A91" s="1085"/>
      <c r="B91" s="1091"/>
      <c r="C91" s="299" t="s">
        <v>536</v>
      </c>
      <c r="D91" s="299" t="s">
        <v>533</v>
      </c>
      <c r="E91" s="967">
        <f t="shared" si="1"/>
        <v>0</v>
      </c>
      <c r="F91" s="965" t="str">
        <f>IF('19'!D14="","",'19'!D14)</f>
        <v>LG(H)</v>
      </c>
      <c r="G91" s="965"/>
      <c r="H91" s="965"/>
      <c r="I91" s="965"/>
      <c r="J91" s="965"/>
      <c r="K91" s="965" t="str">
        <f>IF('19'!E14="","",'19'!E14)</f>
        <v>LG(L)</v>
      </c>
      <c r="L91" s="965"/>
      <c r="M91" s="965"/>
      <c r="N91" s="965"/>
      <c r="O91" s="965"/>
      <c r="P91" s="965"/>
      <c r="Q91" s="965"/>
      <c r="R91" s="965"/>
      <c r="S91" s="965" t="str">
        <f>IF('19'!F14="","",'19'!F14)</f>
        <v>LG(H)</v>
      </c>
      <c r="T91" s="965"/>
      <c r="U91" s="965"/>
      <c r="V91" s="965"/>
      <c r="W91" s="965"/>
      <c r="X91" s="965"/>
      <c r="Y91" s="965"/>
      <c r="Z91" s="965"/>
      <c r="AA91" s="965"/>
    </row>
    <row r="92" spans="1:27">
      <c r="A92" s="1086"/>
      <c r="B92" s="1091"/>
      <c r="C92" s="299" t="s">
        <v>537</v>
      </c>
      <c r="D92" s="299" t="s">
        <v>533</v>
      </c>
      <c r="E92" s="967">
        <f t="shared" si="1"/>
        <v>0</v>
      </c>
      <c r="F92" s="965" t="str">
        <f>IF('19'!D15="","",'19'!D15)</f>
        <v>LG(H)</v>
      </c>
      <c r="G92" s="965"/>
      <c r="H92" s="965"/>
      <c r="I92" s="965"/>
      <c r="J92" s="965"/>
      <c r="K92" s="965"/>
      <c r="L92" s="965"/>
      <c r="M92" s="965"/>
      <c r="N92" s="965"/>
      <c r="O92" s="965"/>
      <c r="P92" s="965"/>
      <c r="Q92" s="965"/>
      <c r="R92" s="965"/>
      <c r="S92" s="965" t="str">
        <f>IF('19'!F15="","",'19'!F15)</f>
        <v>LG(H)</v>
      </c>
      <c r="T92" s="965"/>
      <c r="U92" s="965"/>
      <c r="V92" s="965"/>
      <c r="W92" s="965"/>
      <c r="X92" s="965"/>
      <c r="Y92" s="965"/>
      <c r="Z92" s="965"/>
      <c r="AA92" s="965"/>
    </row>
    <row r="93" spans="1:27" ht="17.25" customHeight="1">
      <c r="A93" s="1084">
        <v>20</v>
      </c>
      <c r="B93" s="1091" t="s">
        <v>394</v>
      </c>
      <c r="C93" s="299" t="s">
        <v>538</v>
      </c>
      <c r="D93" s="299" t="s">
        <v>382</v>
      </c>
      <c r="E93" s="967">
        <f t="shared" si="1"/>
        <v>0</v>
      </c>
      <c r="F93" s="965" t="str">
        <f>IF('20'!D11="","",'20'!D11)</f>
        <v>LG(H)</v>
      </c>
      <c r="G93" s="965"/>
      <c r="H93" s="965"/>
      <c r="I93" s="965"/>
      <c r="J93" s="965"/>
      <c r="K93" s="965" t="str">
        <f>IF('20'!E11="","",'20'!E11)</f>
        <v>LG(L)</v>
      </c>
      <c r="L93" s="965"/>
      <c r="M93" s="965"/>
      <c r="N93" s="965"/>
      <c r="O93" s="965"/>
      <c r="P93" s="965" t="str">
        <f>IF('20'!F11="","",'20'!F11)</f>
        <v>&lt;/&gt;</v>
      </c>
      <c r="Q93" s="965"/>
      <c r="R93" s="965" t="str">
        <f>IF('20'!G11="","",'20'!G11)</f>
        <v>&lt;/&gt;</v>
      </c>
      <c r="S93" s="965" t="str">
        <f>IF('20'!H11="","",'20'!H11)</f>
        <v>LG(H)</v>
      </c>
      <c r="T93" s="965"/>
      <c r="U93" s="965" t="str">
        <f>IF('20'!I11="","",'20'!I11)</f>
        <v>&lt;/&gt;</v>
      </c>
      <c r="V93" s="965"/>
      <c r="W93" s="965"/>
      <c r="X93" s="965"/>
      <c r="Y93" s="965"/>
      <c r="Z93" s="965"/>
      <c r="AA93" s="965"/>
    </row>
    <row r="94" spans="1:27">
      <c r="A94" s="1085"/>
      <c r="B94" s="1091"/>
      <c r="C94" s="299" t="s">
        <v>539</v>
      </c>
      <c r="D94" s="299" t="s">
        <v>382</v>
      </c>
      <c r="E94" s="967">
        <f t="shared" si="1"/>
        <v>0</v>
      </c>
      <c r="F94" s="965" t="str">
        <f>IF('20'!D12="","",'20'!D12)</f>
        <v>LG(H)</v>
      </c>
      <c r="G94" s="965"/>
      <c r="H94" s="965"/>
      <c r="I94" s="965"/>
      <c r="J94" s="965"/>
      <c r="K94" s="965" t="str">
        <f>IF('20'!E12="","",'20'!E12)</f>
        <v>LG(L)</v>
      </c>
      <c r="L94" s="965"/>
      <c r="M94" s="965"/>
      <c r="N94" s="965"/>
      <c r="O94" s="965"/>
      <c r="P94" s="965" t="str">
        <f>IF('20'!F12="","",'20'!F12)</f>
        <v>&lt;/&gt;</v>
      </c>
      <c r="Q94" s="965"/>
      <c r="R94" s="965" t="str">
        <f>IF('20'!G12="","",'20'!G12)</f>
        <v>&lt;/&gt;</v>
      </c>
      <c r="S94" s="965" t="str">
        <f>IF('20'!H12="","",'20'!H12)</f>
        <v>LG(H)</v>
      </c>
      <c r="T94" s="965"/>
      <c r="U94" s="965" t="str">
        <f>IF('20'!I12="","",'20'!I12)</f>
        <v>&lt;/&gt;</v>
      </c>
      <c r="V94" s="965"/>
      <c r="W94" s="965"/>
      <c r="X94" s="965"/>
      <c r="Y94" s="965"/>
      <c r="Z94" s="965"/>
      <c r="AA94" s="965"/>
    </row>
    <row r="95" spans="1:27">
      <c r="A95" s="1085"/>
      <c r="B95" s="1091"/>
      <c r="C95" s="299" t="s">
        <v>540</v>
      </c>
      <c r="D95" s="299" t="s">
        <v>382</v>
      </c>
      <c r="E95" s="967">
        <f t="shared" si="1"/>
        <v>0</v>
      </c>
      <c r="F95" s="965" t="str">
        <f>IF('20'!D13="","",'20'!D13)</f>
        <v>LG(H)</v>
      </c>
      <c r="G95" s="965"/>
      <c r="H95" s="965"/>
      <c r="I95" s="965"/>
      <c r="J95" s="965"/>
      <c r="K95" s="965" t="str">
        <f>IF('20'!E13="","",'20'!E13)</f>
        <v>LG(L)</v>
      </c>
      <c r="L95" s="965"/>
      <c r="M95" s="965"/>
      <c r="N95" s="965"/>
      <c r="O95" s="965"/>
      <c r="P95" s="965" t="str">
        <f>IF('20'!F13="","",'20'!F13)</f>
        <v>&lt;/&gt;</v>
      </c>
      <c r="Q95" s="965"/>
      <c r="R95" s="965" t="str">
        <f>IF('20'!G13="","",'20'!G13)</f>
        <v>&lt;/&gt;</v>
      </c>
      <c r="S95" s="965" t="str">
        <f>IF('20'!H13="","",'20'!H13)</f>
        <v>LG(H)</v>
      </c>
      <c r="T95" s="965"/>
      <c r="U95" s="965" t="str">
        <f>IF('20'!I13="","",'20'!I13)</f>
        <v>&lt;/&gt;</v>
      </c>
      <c r="V95" s="965"/>
      <c r="W95" s="965"/>
      <c r="X95" s="965"/>
      <c r="Y95" s="965"/>
      <c r="Z95" s="965"/>
      <c r="AA95" s="965"/>
    </row>
    <row r="96" spans="1:27">
      <c r="A96" s="1085"/>
      <c r="B96" s="1091"/>
      <c r="C96" s="299" t="s">
        <v>541</v>
      </c>
      <c r="D96" s="299" t="s">
        <v>382</v>
      </c>
      <c r="E96" s="967">
        <f t="shared" si="1"/>
        <v>0</v>
      </c>
      <c r="F96" s="965" t="str">
        <f>IF('20'!D14="","",'20'!D14)</f>
        <v>LG(H)</v>
      </c>
      <c r="G96" s="965"/>
      <c r="H96" s="965"/>
      <c r="I96" s="965"/>
      <c r="J96" s="965"/>
      <c r="K96" s="965"/>
      <c r="L96" s="965"/>
      <c r="M96" s="965"/>
      <c r="N96" s="965"/>
      <c r="O96" s="965"/>
      <c r="P96" s="965"/>
      <c r="Q96" s="965"/>
      <c r="R96" s="965"/>
      <c r="S96" s="965" t="str">
        <f>IF('20'!H14="","",'20'!H14)</f>
        <v>LG(H)</v>
      </c>
      <c r="T96" s="965"/>
      <c r="U96" s="965"/>
      <c r="V96" s="965"/>
      <c r="W96" s="965"/>
      <c r="X96" s="965"/>
      <c r="Y96" s="965"/>
      <c r="Z96" s="965"/>
      <c r="AA96" s="965"/>
    </row>
    <row r="97" spans="1:27">
      <c r="A97" s="1085"/>
      <c r="B97" s="1091"/>
      <c r="C97" s="299" t="s">
        <v>542</v>
      </c>
      <c r="D97" s="299" t="s">
        <v>382</v>
      </c>
      <c r="E97" s="967">
        <f t="shared" si="1"/>
        <v>0</v>
      </c>
      <c r="F97" s="965" t="str">
        <f>IF('20'!D15="","",'20'!D15)</f>
        <v>LG(H)</v>
      </c>
      <c r="G97" s="965"/>
      <c r="H97" s="965"/>
      <c r="I97" s="965"/>
      <c r="J97" s="965"/>
      <c r="K97" s="965" t="str">
        <f>IF('20'!E15="","",'20'!E15)</f>
        <v>LG(L)</v>
      </c>
      <c r="L97" s="965"/>
      <c r="M97" s="965"/>
      <c r="N97" s="965"/>
      <c r="O97" s="965"/>
      <c r="P97" s="965" t="str">
        <f>IF('20'!F15="","",'20'!F15)</f>
        <v>&lt;/&gt;</v>
      </c>
      <c r="Q97" s="965"/>
      <c r="R97" s="965" t="str">
        <f>IF('20'!G15="","",'20'!G15)</f>
        <v>&lt;/&gt;</v>
      </c>
      <c r="S97" s="965" t="str">
        <f>IF('20'!H15="","",'20'!H15)</f>
        <v>LG(H)</v>
      </c>
      <c r="T97" s="965"/>
      <c r="U97" s="965" t="str">
        <f>IF('20'!I15="","",'20'!I15)</f>
        <v>&lt;/&gt;</v>
      </c>
      <c r="V97" s="965"/>
      <c r="W97" s="965"/>
      <c r="X97" s="965"/>
      <c r="Y97" s="965"/>
      <c r="Z97" s="965"/>
      <c r="AA97" s="965"/>
    </row>
    <row r="98" spans="1:27">
      <c r="A98" s="1085"/>
      <c r="B98" s="1091"/>
      <c r="C98" s="299" t="s">
        <v>543</v>
      </c>
      <c r="D98" s="299" t="s">
        <v>382</v>
      </c>
      <c r="E98" s="967">
        <f t="shared" si="1"/>
        <v>0</v>
      </c>
      <c r="F98" s="965" t="str">
        <f>IF('20'!D16="","",'20'!D16)</f>
        <v>LG(H)</v>
      </c>
      <c r="G98" s="965"/>
      <c r="H98" s="965"/>
      <c r="I98" s="965"/>
      <c r="J98" s="965"/>
      <c r="K98" s="965" t="str">
        <f>IF('20'!E16="","",'20'!E16)</f>
        <v>LG(L)</v>
      </c>
      <c r="L98" s="965"/>
      <c r="M98" s="965"/>
      <c r="N98" s="965"/>
      <c r="O98" s="965"/>
      <c r="P98" s="965" t="str">
        <f>IF('20'!F16="","",'20'!F16)</f>
        <v>&lt;/&gt;</v>
      </c>
      <c r="Q98" s="965"/>
      <c r="R98" s="965" t="str">
        <f>IF('20'!G16="","",'20'!G16)</f>
        <v>&lt;/&gt;</v>
      </c>
      <c r="S98" s="965" t="str">
        <f>IF('20'!H16="","",'20'!H16)</f>
        <v>LG(H)</v>
      </c>
      <c r="T98" s="965"/>
      <c r="U98" s="965" t="str">
        <f>IF('20'!I16="","",'20'!I16)</f>
        <v>&lt;/&gt;</v>
      </c>
      <c r="V98" s="965"/>
      <c r="W98" s="965"/>
      <c r="X98" s="965"/>
      <c r="Y98" s="965"/>
      <c r="Z98" s="965"/>
      <c r="AA98" s="965"/>
    </row>
    <row r="99" spans="1:27">
      <c r="A99" s="1085"/>
      <c r="B99" s="1091"/>
      <c r="C99" s="299" t="s">
        <v>544</v>
      </c>
      <c r="D99" s="299" t="s">
        <v>382</v>
      </c>
      <c r="E99" s="967">
        <f t="shared" si="1"/>
        <v>0</v>
      </c>
      <c r="F99" s="965" t="str">
        <f>IF('20'!D17="","",'20'!D17)</f>
        <v>LG(H)</v>
      </c>
      <c r="G99" s="965"/>
      <c r="H99" s="965"/>
      <c r="I99" s="965"/>
      <c r="J99" s="965"/>
      <c r="K99" s="965" t="str">
        <f>IF('20'!E17="","",'20'!E17)</f>
        <v>LG(L)</v>
      </c>
      <c r="L99" s="965"/>
      <c r="M99" s="965"/>
      <c r="N99" s="965"/>
      <c r="O99" s="965"/>
      <c r="P99" s="965" t="str">
        <f>IF('20'!F17="","",'20'!F17)</f>
        <v>&lt;/&gt;</v>
      </c>
      <c r="Q99" s="965"/>
      <c r="R99" s="965" t="str">
        <f>IF('20'!G17="","",'20'!G17)</f>
        <v>&lt;/&gt;</v>
      </c>
      <c r="S99" s="965" t="str">
        <f>IF('20'!H17="","",'20'!H17)</f>
        <v>LG(H)</v>
      </c>
      <c r="T99" s="965"/>
      <c r="U99" s="965" t="str">
        <f>IF('20'!I17="","",'20'!I17)</f>
        <v>&lt;/&gt;</v>
      </c>
      <c r="V99" s="965"/>
      <c r="W99" s="965"/>
      <c r="X99" s="965"/>
      <c r="Y99" s="965"/>
      <c r="Z99" s="965"/>
      <c r="AA99" s="965"/>
    </row>
    <row r="100" spans="1:27">
      <c r="A100" s="1086"/>
      <c r="B100" s="1091"/>
      <c r="C100" s="299" t="s">
        <v>545</v>
      </c>
      <c r="D100" s="299" t="s">
        <v>382</v>
      </c>
      <c r="E100" s="967">
        <f t="shared" si="1"/>
        <v>0</v>
      </c>
      <c r="F100" s="965" t="str">
        <f>IF('20'!D18="","",'20'!D18)</f>
        <v>LG(H)</v>
      </c>
      <c r="G100" s="965"/>
      <c r="H100" s="965"/>
      <c r="I100" s="965"/>
      <c r="J100" s="965"/>
      <c r="K100" s="965"/>
      <c r="L100" s="965"/>
      <c r="M100" s="965"/>
      <c r="N100" s="965"/>
      <c r="O100" s="965"/>
      <c r="P100" s="965"/>
      <c r="Q100" s="965"/>
      <c r="R100" s="965"/>
      <c r="S100" s="965" t="str">
        <f>IF('20'!H18="","",'20'!H18)</f>
        <v>LG(H)</v>
      </c>
      <c r="T100" s="965"/>
      <c r="U100" s="965"/>
      <c r="V100" s="965"/>
      <c r="W100" s="965"/>
      <c r="X100" s="965"/>
      <c r="Y100" s="965"/>
      <c r="Z100" s="965"/>
      <c r="AA100" s="965"/>
    </row>
    <row r="101" spans="1:27">
      <c r="A101" s="334">
        <v>21</v>
      </c>
      <c r="B101" s="419" t="s">
        <v>397</v>
      </c>
      <c r="C101" s="299" t="s">
        <v>504</v>
      </c>
      <c r="D101" s="299" t="s">
        <v>372</v>
      </c>
      <c r="E101" s="967">
        <f t="shared" si="1"/>
        <v>0</v>
      </c>
      <c r="F101" s="965" t="s">
        <v>477</v>
      </c>
      <c r="G101" s="965"/>
      <c r="H101" s="965"/>
      <c r="I101" s="965"/>
      <c r="J101" s="965"/>
      <c r="K101" s="965"/>
      <c r="L101" s="965"/>
      <c r="M101" s="965"/>
      <c r="N101" s="965"/>
      <c r="O101" s="965"/>
      <c r="P101" s="965"/>
      <c r="Q101" s="965"/>
      <c r="R101" s="965"/>
      <c r="S101" s="965"/>
      <c r="T101" s="965"/>
      <c r="U101" s="965"/>
      <c r="V101" s="965"/>
      <c r="W101" s="965"/>
      <c r="X101" s="965"/>
      <c r="Y101" s="965"/>
      <c r="Z101" s="965"/>
      <c r="AA101" s="965"/>
    </row>
    <row r="102" spans="1:27">
      <c r="A102" s="334">
        <v>22</v>
      </c>
      <c r="B102" s="419" t="s">
        <v>398</v>
      </c>
      <c r="C102" s="299" t="s">
        <v>504</v>
      </c>
      <c r="D102" s="299" t="s">
        <v>372</v>
      </c>
      <c r="E102" s="967">
        <f t="shared" si="1"/>
        <v>0</v>
      </c>
      <c r="F102" s="965" t="s">
        <v>477</v>
      </c>
      <c r="G102" s="965"/>
      <c r="H102" s="965"/>
      <c r="I102" s="965"/>
      <c r="J102" s="965"/>
      <c r="K102" s="965"/>
      <c r="L102" s="965"/>
      <c r="M102" s="965"/>
      <c r="N102" s="965"/>
      <c r="O102" s="965"/>
      <c r="P102" s="965"/>
      <c r="Q102" s="965"/>
      <c r="R102" s="965"/>
      <c r="S102" s="965"/>
      <c r="T102" s="965"/>
      <c r="U102" s="965"/>
      <c r="V102" s="965"/>
      <c r="W102" s="965"/>
      <c r="X102" s="965"/>
      <c r="Y102" s="965"/>
      <c r="Z102" s="965"/>
      <c r="AA102" s="965"/>
    </row>
    <row r="103" spans="1:27">
      <c r="A103" s="1084">
        <v>23</v>
      </c>
      <c r="B103" s="1088" t="s">
        <v>546</v>
      </c>
      <c r="C103" s="299" t="s">
        <v>547</v>
      </c>
      <c r="D103" s="299" t="s">
        <v>401</v>
      </c>
      <c r="E103" s="967">
        <f t="shared" si="1"/>
        <v>0</v>
      </c>
      <c r="F103" s="965" t="str">
        <f>IF('23'!D11="","",'23'!D11)</f>
        <v>LG(H)</v>
      </c>
      <c r="G103" s="965"/>
      <c r="H103" s="965"/>
      <c r="I103" s="965"/>
      <c r="J103" s="965"/>
      <c r="K103" s="965"/>
      <c r="L103" s="965"/>
      <c r="M103" s="965"/>
      <c r="N103" s="964" t="str">
        <f>IF('23'!H11="","",'23'!H11)</f>
        <v>LG(M)</v>
      </c>
      <c r="O103" s="965"/>
      <c r="P103" s="965"/>
      <c r="Q103" s="965"/>
      <c r="R103" s="965"/>
      <c r="S103" s="965"/>
      <c r="T103" s="965"/>
      <c r="U103" s="965"/>
      <c r="V103" s="965"/>
      <c r="W103" s="965"/>
      <c r="X103" s="965"/>
      <c r="Y103" s="965"/>
      <c r="Z103" s="965"/>
      <c r="AA103" s="965"/>
    </row>
    <row r="104" spans="1:27">
      <c r="A104" s="1085"/>
      <c r="B104" s="1089"/>
      <c r="C104" s="299" t="s">
        <v>548</v>
      </c>
      <c r="D104" s="299" t="s">
        <v>401</v>
      </c>
      <c r="E104" s="967">
        <f t="shared" si="1"/>
        <v>0</v>
      </c>
      <c r="F104" s="965" t="str">
        <f>IF('23'!D12="","",'23'!D12)</f>
        <v>LG(H)</v>
      </c>
      <c r="G104" s="965"/>
      <c r="H104" s="965"/>
      <c r="I104" s="965"/>
      <c r="J104" s="965"/>
      <c r="K104" s="965"/>
      <c r="L104" s="965"/>
      <c r="M104" s="965"/>
      <c r="N104" s="964" t="str">
        <f>IF('23'!H12="","",'23'!H12)</f>
        <v>LG(M)</v>
      </c>
      <c r="O104" s="965"/>
      <c r="P104" s="965"/>
      <c r="Q104" s="965"/>
      <c r="R104" s="965"/>
      <c r="S104" s="965"/>
      <c r="T104" s="965"/>
      <c r="U104" s="965"/>
      <c r="V104" s="965"/>
      <c r="W104" s="965"/>
      <c r="X104" s="965"/>
      <c r="Y104" s="965"/>
      <c r="Z104" s="965"/>
      <c r="AA104" s="965"/>
    </row>
    <row r="105" spans="1:27">
      <c r="A105" s="1085"/>
      <c r="B105" s="1089"/>
      <c r="C105" s="299" t="s">
        <v>549</v>
      </c>
      <c r="D105" s="299" t="s">
        <v>401</v>
      </c>
      <c r="E105" s="967">
        <f t="shared" ca="1" si="1"/>
        <v>-911.74221706456603</v>
      </c>
      <c r="F105" s="965" t="str">
        <f>IF('23'!D13="","",'23'!D13)</f>
        <v>LG(H)</v>
      </c>
      <c r="G105" s="964">
        <f>IF('23'!E13="","",'23'!E13)</f>
        <v>-571.23119460082467</v>
      </c>
      <c r="H105" s="965"/>
      <c r="I105" s="965"/>
      <c r="J105" s="965"/>
      <c r="K105" s="965"/>
      <c r="L105" s="965"/>
      <c r="M105" s="965"/>
      <c r="N105" s="964">
        <f ca="1">IF('23'!H13="","",'23'!H13)</f>
        <v>-340.51102246374137</v>
      </c>
      <c r="O105" s="965"/>
      <c r="P105" s="965"/>
      <c r="Q105" s="965"/>
      <c r="R105" s="965"/>
      <c r="S105" s="965"/>
      <c r="T105" s="965"/>
      <c r="U105" s="965"/>
      <c r="V105" s="965"/>
      <c r="W105" s="965"/>
      <c r="X105" s="965"/>
      <c r="Y105" s="965"/>
      <c r="Z105" s="965"/>
      <c r="AA105" s="965"/>
    </row>
    <row r="106" spans="1:27">
      <c r="A106" s="1085"/>
      <c r="B106" s="1089"/>
      <c r="C106" s="299" t="s">
        <v>550</v>
      </c>
      <c r="D106" s="299" t="s">
        <v>401</v>
      </c>
      <c r="E106" s="967">
        <f t="shared" ca="1" si="1"/>
        <v>-983.14611638966915</v>
      </c>
      <c r="F106" s="965" t="str">
        <f>IF('23'!D14="","",'23'!D14)</f>
        <v>LG(H)</v>
      </c>
      <c r="G106" s="964">
        <f>IF('23'!E14="","",'23'!E14)</f>
        <v>-642.63509392592778</v>
      </c>
      <c r="H106" s="965"/>
      <c r="I106" s="965"/>
      <c r="J106" s="965"/>
      <c r="K106" s="965"/>
      <c r="L106" s="965"/>
      <c r="M106" s="965"/>
      <c r="N106" s="964">
        <f ca="1">IF('23'!H14="","",'23'!H14)</f>
        <v>-340.51102246374137</v>
      </c>
      <c r="O106" s="965"/>
      <c r="P106" s="965"/>
      <c r="Q106" s="965"/>
      <c r="R106" s="965"/>
      <c r="S106" s="965"/>
      <c r="T106" s="965"/>
      <c r="U106" s="965"/>
      <c r="V106" s="965"/>
      <c r="W106" s="965"/>
      <c r="X106" s="965"/>
      <c r="Y106" s="965"/>
      <c r="Z106" s="965"/>
      <c r="AA106" s="965"/>
    </row>
    <row r="107" spans="1:27">
      <c r="A107" s="1085"/>
      <c r="B107" s="1089"/>
      <c r="C107" s="299" t="s">
        <v>551</v>
      </c>
      <c r="D107" s="299" t="s">
        <v>552</v>
      </c>
      <c r="E107" s="967">
        <f t="shared" si="1"/>
        <v>0</v>
      </c>
      <c r="F107" s="965" t="str">
        <f>IF('23'!D15="","",'23'!D15)</f>
        <v>LG(H)</v>
      </c>
      <c r="G107" s="965"/>
      <c r="H107" s="965"/>
      <c r="I107" s="965"/>
      <c r="J107" s="965"/>
      <c r="K107" s="965"/>
      <c r="L107" s="965"/>
      <c r="M107" s="965"/>
      <c r="N107" s="965"/>
      <c r="O107" s="965"/>
      <c r="P107" s="965"/>
      <c r="Q107" s="965"/>
      <c r="R107" s="965"/>
      <c r="S107" s="965"/>
      <c r="T107" s="965"/>
      <c r="U107" s="965"/>
      <c r="V107" s="965"/>
      <c r="W107" s="965"/>
      <c r="X107" s="965"/>
      <c r="Y107" s="965"/>
      <c r="Z107" s="965"/>
      <c r="AA107" s="965"/>
    </row>
    <row r="108" spans="1:27">
      <c r="A108" s="1085"/>
      <c r="B108" s="1089"/>
      <c r="C108" s="299" t="s">
        <v>553</v>
      </c>
      <c r="D108" s="299" t="s">
        <v>401</v>
      </c>
      <c r="E108" s="967">
        <f t="shared" si="1"/>
        <v>0</v>
      </c>
      <c r="F108" s="965" t="str">
        <f>IF('23'!D16="","",'23'!D16)</f>
        <v>LG(H)</v>
      </c>
      <c r="G108" s="965"/>
      <c r="H108" s="965"/>
      <c r="I108" s="964" t="str">
        <f>IF('23'!F16="","",'23'!F16)</f>
        <v>&lt;/&gt;</v>
      </c>
      <c r="J108" s="965"/>
      <c r="K108" s="965"/>
      <c r="L108" s="965"/>
      <c r="M108" s="965"/>
      <c r="N108" s="965"/>
      <c r="O108" s="965"/>
      <c r="P108" s="965"/>
      <c r="Q108" s="965"/>
      <c r="R108" s="965"/>
      <c r="S108" s="965"/>
      <c r="T108" s="965"/>
      <c r="U108" s="965"/>
      <c r="V108" s="965"/>
      <c r="W108" s="965"/>
      <c r="X108" s="965"/>
      <c r="Y108" s="965"/>
      <c r="Z108" s="965"/>
      <c r="AA108" s="965"/>
    </row>
    <row r="109" spans="1:27">
      <c r="A109" s="1085"/>
      <c r="B109" s="1089"/>
      <c r="C109" s="299" t="s">
        <v>554</v>
      </c>
      <c r="D109" s="299" t="s">
        <v>401</v>
      </c>
      <c r="E109" s="967">
        <f t="shared" si="1"/>
        <v>0</v>
      </c>
      <c r="F109" s="965" t="str">
        <f>IF('23'!D17="","",'23'!D17)</f>
        <v>LG(H)</v>
      </c>
      <c r="G109" s="965"/>
      <c r="H109" s="965"/>
      <c r="I109" s="964" t="str">
        <f>IF('23'!F17="","",'23'!F17)</f>
        <v>&lt;/&gt;</v>
      </c>
      <c r="J109" s="965"/>
      <c r="K109" s="965"/>
      <c r="L109" s="965"/>
      <c r="M109" s="965"/>
      <c r="N109" s="965"/>
      <c r="O109" s="965"/>
      <c r="P109" s="965"/>
      <c r="Q109" s="965"/>
      <c r="R109" s="965"/>
      <c r="S109" s="965"/>
      <c r="T109" s="965"/>
      <c r="U109" s="965"/>
      <c r="V109" s="965"/>
      <c r="W109" s="965"/>
      <c r="X109" s="965"/>
      <c r="Y109" s="965"/>
      <c r="Z109" s="965"/>
      <c r="AA109" s="965"/>
    </row>
    <row r="110" spans="1:27">
      <c r="A110" s="1085"/>
      <c r="B110" s="1089"/>
      <c r="C110" s="299" t="s">
        <v>555</v>
      </c>
      <c r="D110" s="299" t="s">
        <v>401</v>
      </c>
      <c r="E110" s="967">
        <f t="shared" si="1"/>
        <v>0</v>
      </c>
      <c r="F110" s="965" t="str">
        <f>IF('23'!D18="","",'23'!D18)</f>
        <v>LG(H)</v>
      </c>
      <c r="G110" s="965"/>
      <c r="H110" s="965"/>
      <c r="I110" s="965"/>
      <c r="J110" s="965"/>
      <c r="K110" s="965"/>
      <c r="L110" s="965"/>
      <c r="M110" s="965"/>
      <c r="N110" s="965"/>
      <c r="O110" s="965"/>
      <c r="P110" s="965"/>
      <c r="Q110" s="965"/>
      <c r="R110" s="965"/>
      <c r="S110" s="965"/>
      <c r="T110" s="965"/>
      <c r="U110" s="965"/>
      <c r="V110" s="965"/>
      <c r="W110" s="965"/>
      <c r="X110" s="965"/>
      <c r="Y110" s="965"/>
      <c r="Z110" s="965"/>
      <c r="AA110" s="965"/>
    </row>
    <row r="111" spans="1:27">
      <c r="A111" s="1085"/>
      <c r="B111" s="1089"/>
      <c r="C111" s="299" t="s">
        <v>556</v>
      </c>
      <c r="D111" s="299" t="s">
        <v>557</v>
      </c>
      <c r="E111" s="967">
        <f t="shared" ca="1" si="1"/>
        <v>141281.99922497108</v>
      </c>
      <c r="F111" s="965" t="str">
        <f>IF('23'!D19="","",'23'!D19)</f>
        <v>LG(H)</v>
      </c>
      <c r="G111" s="965"/>
      <c r="H111" s="965"/>
      <c r="I111" s="965"/>
      <c r="J111" s="965"/>
      <c r="K111" s="965"/>
      <c r="L111" s="965"/>
      <c r="M111" s="964" t="str">
        <f>IF('23'!G19="","",'23'!G19)</f>
        <v>LG(H)</v>
      </c>
      <c r="N111" s="964">
        <f ca="1">IF('23'!H19="","",'23'!H19)</f>
        <v>141281.99922497108</v>
      </c>
      <c r="O111" s="965"/>
      <c r="P111" s="965"/>
      <c r="Q111" s="965"/>
      <c r="R111" s="965"/>
      <c r="S111" s="965"/>
      <c r="T111" s="965"/>
      <c r="U111" s="965"/>
      <c r="V111" s="965"/>
      <c r="W111" s="965"/>
      <c r="X111" s="965"/>
      <c r="Y111" s="965"/>
      <c r="Z111" s="965"/>
      <c r="AA111" s="965"/>
    </row>
    <row r="112" spans="1:27">
      <c r="A112" s="1086"/>
      <c r="B112" s="1090"/>
      <c r="C112" s="299" t="s">
        <v>558</v>
      </c>
      <c r="D112" s="299" t="s">
        <v>559</v>
      </c>
      <c r="E112" s="967">
        <f t="shared" si="1"/>
        <v>0</v>
      </c>
      <c r="F112" s="965" t="str">
        <f>IF('23'!D20="","",'23'!D20)</f>
        <v>LG(H)</v>
      </c>
      <c r="G112" s="965"/>
      <c r="H112" s="965"/>
      <c r="I112" s="965"/>
      <c r="J112" s="965"/>
      <c r="K112" s="965"/>
      <c r="L112" s="965"/>
      <c r="M112" s="965"/>
      <c r="N112" s="965"/>
      <c r="O112" s="965"/>
      <c r="P112" s="965"/>
      <c r="Q112" s="965"/>
      <c r="R112" s="965"/>
      <c r="S112" s="965"/>
      <c r="T112" s="965"/>
      <c r="U112" s="965"/>
      <c r="V112" s="965"/>
      <c r="W112" s="965"/>
      <c r="X112" s="965"/>
      <c r="Y112" s="965"/>
      <c r="Z112" s="965"/>
      <c r="AA112" s="965"/>
    </row>
    <row r="113" spans="1:27">
      <c r="A113" s="1084">
        <v>24</v>
      </c>
      <c r="B113" s="1088" t="s">
        <v>560</v>
      </c>
      <c r="C113" s="299" t="s">
        <v>561</v>
      </c>
      <c r="D113" s="299" t="s">
        <v>401</v>
      </c>
      <c r="E113" s="967">
        <f t="shared" ca="1" si="1"/>
        <v>683.03589614688792</v>
      </c>
      <c r="F113" s="964">
        <f>IF('24'!D11="","",'24'!D11)</f>
        <v>26.594539641661218</v>
      </c>
      <c r="G113" s="965"/>
      <c r="H113" s="965"/>
      <c r="I113" s="964">
        <f>IF('24'!E11="","",'24'!E11)</f>
        <v>78.609239310897351</v>
      </c>
      <c r="J113" s="965"/>
      <c r="K113" s="965"/>
      <c r="L113" s="965"/>
      <c r="M113" s="965"/>
      <c r="N113" s="964">
        <f ca="1">IF('24'!F11="","",'24'!F11)</f>
        <v>577.83211719432938</v>
      </c>
      <c r="O113" s="965"/>
      <c r="P113" s="965"/>
      <c r="Q113" s="965"/>
      <c r="R113" s="965"/>
      <c r="S113" s="965"/>
      <c r="T113" s="965"/>
      <c r="U113" s="964" t="str">
        <f>IF('24'!G11="","",'24'!G11)</f>
        <v>LG(H)</v>
      </c>
      <c r="V113" s="965"/>
      <c r="W113" s="965"/>
      <c r="X113" s="965"/>
      <c r="Y113" s="965"/>
      <c r="Z113" s="965"/>
      <c r="AA113" s="965"/>
    </row>
    <row r="114" spans="1:27">
      <c r="A114" s="1085"/>
      <c r="B114" s="1089"/>
      <c r="C114" s="299" t="s">
        <v>562</v>
      </c>
      <c r="D114" s="299" t="s">
        <v>401</v>
      </c>
      <c r="E114" s="967">
        <f t="shared" si="1"/>
        <v>78.609239310897351</v>
      </c>
      <c r="F114" s="964" t="str">
        <f>IF('24'!D12="","",'24'!D12)</f>
        <v>LG(L)</v>
      </c>
      <c r="G114" s="965"/>
      <c r="H114" s="965"/>
      <c r="I114" s="964">
        <f>IF('24'!E12="","",'24'!E12)</f>
        <v>78.609239310897351</v>
      </c>
      <c r="J114" s="965"/>
      <c r="K114" s="965"/>
      <c r="L114" s="965"/>
      <c r="M114" s="965"/>
      <c r="N114" s="965"/>
      <c r="O114" s="965"/>
      <c r="P114" s="965"/>
      <c r="Q114" s="965"/>
      <c r="R114" s="965"/>
      <c r="S114" s="965"/>
      <c r="T114" s="965"/>
      <c r="U114" s="965"/>
      <c r="V114" s="965"/>
      <c r="W114" s="965"/>
      <c r="X114" s="965"/>
      <c r="Y114" s="965"/>
      <c r="Z114" s="965"/>
      <c r="AA114" s="965"/>
    </row>
    <row r="115" spans="1:27">
      <c r="A115" s="1085"/>
      <c r="B115" s="1089"/>
      <c r="C115" s="299" t="s">
        <v>563</v>
      </c>
      <c r="D115" s="299" t="s">
        <v>401</v>
      </c>
      <c r="E115" s="967">
        <f t="shared" ca="1" si="1"/>
        <v>357.09205029985219</v>
      </c>
      <c r="F115" s="964">
        <f>IF('24'!D13="","",'24'!D13)</f>
        <v>108.34812446602719</v>
      </c>
      <c r="G115" s="965"/>
      <c r="H115" s="965"/>
      <c r="I115" s="964">
        <f>IF('24'!E13="","",'24'!E13)</f>
        <v>78.609239310897351</v>
      </c>
      <c r="J115" s="965"/>
      <c r="K115" s="965"/>
      <c r="L115" s="965"/>
      <c r="M115" s="965"/>
      <c r="N115" s="964">
        <f ca="1">IF('24'!F13="","",'24'!F13)</f>
        <v>170.13468652292769</v>
      </c>
      <c r="O115" s="965"/>
      <c r="P115" s="965"/>
      <c r="Q115" s="965"/>
      <c r="R115" s="965"/>
      <c r="S115" s="965"/>
      <c r="T115" s="965"/>
      <c r="U115" s="964" t="str">
        <f>IF('24'!G13="","",'24'!G13)</f>
        <v>LG(H)</v>
      </c>
      <c r="V115" s="965"/>
      <c r="W115" s="965"/>
      <c r="X115" s="965"/>
      <c r="Y115" s="965"/>
      <c r="Z115" s="965"/>
      <c r="AA115" s="965"/>
    </row>
    <row r="116" spans="1:27">
      <c r="A116" s="1086"/>
      <c r="B116" s="1090"/>
      <c r="C116" s="299" t="s">
        <v>564</v>
      </c>
      <c r="D116" s="299" t="s">
        <v>552</v>
      </c>
      <c r="E116" s="967">
        <f t="shared" si="1"/>
        <v>0</v>
      </c>
      <c r="F116" s="965"/>
      <c r="G116" s="965"/>
      <c r="H116" s="965"/>
      <c r="I116" s="965"/>
      <c r="J116" s="965"/>
      <c r="K116" s="965"/>
      <c r="L116" s="965"/>
      <c r="M116" s="965"/>
      <c r="N116" s="965"/>
      <c r="O116" s="965"/>
      <c r="P116" s="965"/>
      <c r="Q116" s="965"/>
      <c r="R116" s="965"/>
      <c r="S116" s="965"/>
      <c r="T116" s="965"/>
      <c r="U116" s="965"/>
      <c r="V116" s="965"/>
      <c r="W116" s="965"/>
      <c r="X116" s="965"/>
      <c r="Y116" s="965"/>
      <c r="Z116" s="965"/>
      <c r="AA116" s="965"/>
    </row>
    <row r="117" spans="1:27">
      <c r="A117" s="1084">
        <v>25</v>
      </c>
      <c r="B117" s="1088" t="s">
        <v>403</v>
      </c>
      <c r="C117" s="299" t="s">
        <v>565</v>
      </c>
      <c r="D117" s="299" t="s">
        <v>404</v>
      </c>
      <c r="E117" s="967">
        <f t="shared" si="1"/>
        <v>0</v>
      </c>
      <c r="F117" s="964" t="str">
        <f>IF('25'!D11="","",'25'!D11)</f>
        <v>LG(H)</v>
      </c>
      <c r="G117" s="965"/>
      <c r="H117" s="965"/>
      <c r="I117" s="965"/>
      <c r="J117" s="965"/>
      <c r="K117" s="965"/>
      <c r="L117" s="965"/>
      <c r="M117" s="965"/>
      <c r="N117" s="965"/>
      <c r="O117" s="965"/>
      <c r="P117" s="965"/>
      <c r="Q117" s="965"/>
      <c r="R117" s="965"/>
      <c r="S117" s="964" t="str">
        <f>IF('25'!E11="","",'25'!E11)</f>
        <v>LG(H)</v>
      </c>
      <c r="T117" s="965"/>
      <c r="U117" s="965"/>
      <c r="V117" s="965"/>
      <c r="W117" s="965"/>
      <c r="X117" s="965"/>
      <c r="Y117" s="965"/>
      <c r="Z117" s="965"/>
      <c r="AA117" s="965"/>
    </row>
    <row r="118" spans="1:27">
      <c r="A118" s="1086"/>
      <c r="B118" s="1090"/>
      <c r="C118" s="299" t="s">
        <v>566</v>
      </c>
      <c r="D118" s="299" t="s">
        <v>404</v>
      </c>
      <c r="E118" s="967">
        <f t="shared" si="1"/>
        <v>0</v>
      </c>
      <c r="F118" s="964" t="str">
        <f>IF('25'!D12="","",'25'!D12)</f>
        <v>LG(H)</v>
      </c>
      <c r="G118" s="965"/>
      <c r="H118" s="965"/>
      <c r="I118" s="965"/>
      <c r="J118" s="965"/>
      <c r="K118" s="965"/>
      <c r="L118" s="965"/>
      <c r="M118" s="965"/>
      <c r="N118" s="965"/>
      <c r="O118" s="965"/>
      <c r="P118" s="965"/>
      <c r="Q118" s="965"/>
      <c r="R118" s="965"/>
      <c r="S118" s="964" t="str">
        <f>IF('25'!E12="","",'25'!E12)</f>
        <v>LG(H)</v>
      </c>
      <c r="T118" s="965"/>
      <c r="U118" s="965"/>
      <c r="V118" s="965"/>
      <c r="W118" s="965"/>
      <c r="X118" s="965"/>
      <c r="Y118" s="965"/>
      <c r="Z118" s="965"/>
      <c r="AA118" s="965"/>
    </row>
    <row r="119" spans="1:27">
      <c r="A119" s="1084">
        <v>26</v>
      </c>
      <c r="B119" s="1088" t="s">
        <v>406</v>
      </c>
      <c r="C119" s="299" t="s">
        <v>149</v>
      </c>
      <c r="D119" s="299" t="s">
        <v>372</v>
      </c>
      <c r="E119" s="967">
        <f t="shared" si="1"/>
        <v>5189803.1432367079</v>
      </c>
      <c r="F119" s="965" t="str">
        <f>IF('26'!D11="","",'26'!D11)</f>
        <v>LG(H)</v>
      </c>
      <c r="G119" s="965"/>
      <c r="H119" s="965"/>
      <c r="I119" s="965"/>
      <c r="J119" s="965"/>
      <c r="K119" s="965" t="str">
        <f>IF('26'!E11="","",'26'!E11)</f>
        <v>LG(L)</v>
      </c>
      <c r="L119" s="965"/>
      <c r="M119" s="965"/>
      <c r="N119" s="965"/>
      <c r="O119" s="965"/>
      <c r="P119" s="965" t="str">
        <f>IF('26'!F11="","",'26'!F11)</f>
        <v>&lt;/&gt;</v>
      </c>
      <c r="Q119" s="965"/>
      <c r="R119" s="965" t="str">
        <f>IF('26'!G11="","",'26'!G11)</f>
        <v>&lt;/&gt;</v>
      </c>
      <c r="S119" s="965" t="str">
        <f>IF('26'!H11="","",'26'!H11)</f>
        <v>LG(H)</v>
      </c>
      <c r="T119" s="965"/>
      <c r="U119" s="965">
        <f>IF('26'!I11="","",'26'!I11)</f>
        <v>5189803.1432367079</v>
      </c>
      <c r="V119" s="965"/>
      <c r="W119" s="965"/>
      <c r="X119" s="965" t="str">
        <f>IF('26'!J11="","",'26'!J11)</f>
        <v>&lt;/&gt;</v>
      </c>
      <c r="Y119" s="965"/>
      <c r="Z119" s="965"/>
      <c r="AA119" s="965"/>
    </row>
    <row r="120" spans="1:27">
      <c r="A120" s="1085"/>
      <c r="B120" s="1089"/>
      <c r="C120" s="299" t="s">
        <v>152</v>
      </c>
      <c r="D120" s="299" t="s">
        <v>372</v>
      </c>
      <c r="E120" s="967">
        <f t="shared" si="1"/>
        <v>3378596.677140676</v>
      </c>
      <c r="F120" s="965" t="str">
        <f>IF('26'!D12="","",'26'!D12)</f>
        <v>LG(H)</v>
      </c>
      <c r="G120" s="965"/>
      <c r="H120" s="965"/>
      <c r="I120" s="965"/>
      <c r="J120" s="965"/>
      <c r="K120" s="965" t="str">
        <f>IF('26'!E12="","",'26'!E12)</f>
        <v>LG(L)</v>
      </c>
      <c r="L120" s="965"/>
      <c r="M120" s="965"/>
      <c r="N120" s="965"/>
      <c r="O120" s="965"/>
      <c r="P120" s="965" t="str">
        <f>IF('26'!F12="","",'26'!F12)</f>
        <v>&lt;/&gt;</v>
      </c>
      <c r="Q120" s="965"/>
      <c r="R120" s="965" t="str">
        <f>IF('26'!G12="","",'26'!G12)</f>
        <v>&lt;/&gt;</v>
      </c>
      <c r="S120" s="965" t="str">
        <f>IF('26'!H12="","",'26'!H12)</f>
        <v>LG(H)</v>
      </c>
      <c r="T120" s="965"/>
      <c r="U120" s="965">
        <f>IF('26'!I12="","",'26'!I12)</f>
        <v>3378596.677140676</v>
      </c>
      <c r="V120" s="965"/>
      <c r="W120" s="965"/>
      <c r="X120" s="965" t="str">
        <f>IF('26'!J12="","",'26'!J12)</f>
        <v>&lt;/&gt;</v>
      </c>
      <c r="Y120" s="965"/>
      <c r="Z120" s="965"/>
      <c r="AA120" s="965"/>
    </row>
    <row r="121" spans="1:27">
      <c r="A121" s="1085"/>
      <c r="B121" s="1089"/>
      <c r="C121" s="299" t="s">
        <v>153</v>
      </c>
      <c r="D121" s="299" t="s">
        <v>372</v>
      </c>
      <c r="E121" s="967">
        <f t="shared" si="1"/>
        <v>1567390.2110446433</v>
      </c>
      <c r="F121" s="965" t="str">
        <f>IF('26'!D13="","",'26'!D13)</f>
        <v>LG(H)</v>
      </c>
      <c r="G121" s="965"/>
      <c r="H121" s="965"/>
      <c r="I121" s="965"/>
      <c r="J121" s="965"/>
      <c r="K121" s="965" t="str">
        <f>IF('26'!E13="","",'26'!E13)</f>
        <v>LG(L)</v>
      </c>
      <c r="L121" s="965"/>
      <c r="M121" s="965"/>
      <c r="N121" s="965"/>
      <c r="O121" s="965"/>
      <c r="P121" s="965" t="str">
        <f>IF('26'!F13="","",'26'!F13)</f>
        <v>&lt;/&gt;</v>
      </c>
      <c r="Q121" s="965"/>
      <c r="R121" s="965" t="str">
        <f>IF('26'!G13="","",'26'!G13)</f>
        <v>&lt;/&gt;</v>
      </c>
      <c r="S121" s="965" t="str">
        <f>IF('26'!H13="","",'26'!H13)</f>
        <v>LG(H)</v>
      </c>
      <c r="T121" s="965"/>
      <c r="U121" s="965">
        <f>IF('26'!I13="","",'26'!I13)</f>
        <v>1567390.2110446433</v>
      </c>
      <c r="V121" s="965"/>
      <c r="W121" s="965"/>
      <c r="X121" s="965" t="str">
        <f>IF('26'!J13="","",'26'!J13)</f>
        <v>&lt;/&gt;</v>
      </c>
      <c r="Y121" s="965"/>
      <c r="Z121" s="965"/>
      <c r="AA121" s="965"/>
    </row>
    <row r="122" spans="1:27">
      <c r="A122" s="1086"/>
      <c r="B122" s="1090"/>
      <c r="C122" s="299" t="s">
        <v>567</v>
      </c>
      <c r="D122" s="299" t="s">
        <v>372</v>
      </c>
      <c r="E122" s="967">
        <f t="shared" si="1"/>
        <v>0</v>
      </c>
      <c r="F122" s="965" t="str">
        <f>IF('26'!D14="","",'26'!D14)</f>
        <v>LG(H)</v>
      </c>
      <c r="G122" s="965"/>
      <c r="H122" s="965"/>
      <c r="I122" s="965"/>
      <c r="J122" s="965"/>
      <c r="K122" s="965"/>
      <c r="L122" s="965"/>
      <c r="M122" s="965"/>
      <c r="N122" s="965"/>
      <c r="O122" s="965"/>
      <c r="P122" s="965"/>
      <c r="Q122" s="965"/>
      <c r="R122" s="965"/>
      <c r="S122" s="965" t="str">
        <f>IF('26'!H14="","",'26'!H14)</f>
        <v>LG(H)</v>
      </c>
      <c r="T122" s="965"/>
      <c r="U122" s="965"/>
      <c r="V122" s="965"/>
      <c r="W122" s="965"/>
      <c r="X122" s="965"/>
      <c r="Y122" s="965"/>
      <c r="Z122" s="965"/>
      <c r="AA122" s="965"/>
    </row>
    <row r="123" spans="1:27">
      <c r="A123" s="1084">
        <v>27</v>
      </c>
      <c r="B123" s="1088" t="s">
        <v>407</v>
      </c>
      <c r="C123" s="278" t="s">
        <v>568</v>
      </c>
      <c r="D123" s="278" t="s">
        <v>569</v>
      </c>
      <c r="E123" s="967">
        <f t="shared" si="1"/>
        <v>-3815.1311650966963</v>
      </c>
      <c r="F123" s="964"/>
      <c r="G123" s="964"/>
      <c r="H123" s="964"/>
      <c r="I123" s="964"/>
      <c r="J123" s="964"/>
      <c r="K123" s="964"/>
      <c r="L123" s="964"/>
      <c r="M123" s="964"/>
      <c r="N123" s="964"/>
      <c r="O123" s="964"/>
      <c r="P123" s="964">
        <f>IF('27'!D11="","",'27'!D11)</f>
        <v>-1271.7103883655654</v>
      </c>
      <c r="Q123" s="964"/>
      <c r="R123" s="964">
        <f>IF('27'!E11="","",'27'!E11)</f>
        <v>-1271.7103883655654</v>
      </c>
      <c r="S123" s="964" t="str">
        <f>IF('27'!F11="","",'27'!F11)</f>
        <v>LG(H)</v>
      </c>
      <c r="T123" s="964"/>
      <c r="U123" s="964">
        <f>IF('27'!G11="","",'27'!G11)</f>
        <v>-1271.7103883655654</v>
      </c>
      <c r="V123" s="964"/>
      <c r="W123" s="964"/>
      <c r="X123" s="964" t="str">
        <f>IF('27'!H11="","",'27'!H11)</f>
        <v>LG(H)</v>
      </c>
      <c r="Y123" s="964"/>
      <c r="Z123" s="964"/>
      <c r="AA123" s="964"/>
    </row>
    <row r="124" spans="1:27">
      <c r="A124" s="1085"/>
      <c r="B124" s="1089"/>
      <c r="C124" s="278" t="s">
        <v>570</v>
      </c>
      <c r="D124" s="278" t="s">
        <v>569</v>
      </c>
      <c r="E124" s="967">
        <f t="shared" si="1"/>
        <v>-23156.958932331108</v>
      </c>
      <c r="F124" s="964"/>
      <c r="G124" s="964"/>
      <c r="H124" s="964"/>
      <c r="I124" s="964"/>
      <c r="J124" s="964"/>
      <c r="K124" s="964"/>
      <c r="L124" s="964"/>
      <c r="M124" s="964"/>
      <c r="N124" s="964"/>
      <c r="O124" s="964"/>
      <c r="P124" s="964">
        <f>IF('27'!D12="","",'27'!D12)</f>
        <v>-7718.9863107770361</v>
      </c>
      <c r="Q124" s="964"/>
      <c r="R124" s="964">
        <f>IF('27'!E12="","",'27'!E12)</f>
        <v>-7718.9863107770361</v>
      </c>
      <c r="S124" s="964" t="str">
        <f>IF('27'!F12="","",'27'!F12)</f>
        <v>LG(H)</v>
      </c>
      <c r="T124" s="964"/>
      <c r="U124" s="964">
        <f>IF('27'!G12="","",'27'!G12)</f>
        <v>-7718.9863107770361</v>
      </c>
      <c r="V124" s="964"/>
      <c r="W124" s="964"/>
      <c r="X124" s="964" t="str">
        <f>IF('27'!H12="","",'27'!H12)</f>
        <v>LG(H)</v>
      </c>
      <c r="Y124" s="964"/>
      <c r="Z124" s="964"/>
      <c r="AA124" s="964"/>
    </row>
    <row r="125" spans="1:27">
      <c r="A125" s="1085"/>
      <c r="B125" s="1089"/>
      <c r="C125" s="278" t="s">
        <v>571</v>
      </c>
      <c r="D125" s="278" t="s">
        <v>569</v>
      </c>
      <c r="E125" s="967">
        <f t="shared" si="1"/>
        <v>-26617.194175093231</v>
      </c>
      <c r="F125" s="964"/>
      <c r="G125" s="964"/>
      <c r="H125" s="964"/>
      <c r="I125" s="964"/>
      <c r="J125" s="964"/>
      <c r="K125" s="964"/>
      <c r="L125" s="964"/>
      <c r="M125" s="964"/>
      <c r="N125" s="964"/>
      <c r="O125" s="964"/>
      <c r="P125" s="964">
        <f>IF('27'!D13="","",'27'!D13)</f>
        <v>-8872.3980583644097</v>
      </c>
      <c r="Q125" s="964"/>
      <c r="R125" s="964">
        <f>IF('27'!E13="","",'27'!E13)</f>
        <v>-8872.3980583644097</v>
      </c>
      <c r="S125" s="964" t="str">
        <f>IF('27'!F13="","",'27'!F13)</f>
        <v>LG(H)</v>
      </c>
      <c r="T125" s="964"/>
      <c r="U125" s="964">
        <f>IF('27'!G13="","",'27'!G13)</f>
        <v>-8872.3980583644097</v>
      </c>
      <c r="V125" s="964"/>
      <c r="W125" s="964"/>
      <c r="X125" s="964" t="str">
        <f>IF('27'!H13="","",'27'!H13)</f>
        <v>LG(H)</v>
      </c>
      <c r="Y125" s="964"/>
      <c r="Z125" s="964"/>
      <c r="AA125" s="964"/>
    </row>
    <row r="126" spans="1:27">
      <c r="A126" s="1085"/>
      <c r="B126" s="1089"/>
      <c r="C126" s="278" t="s">
        <v>572</v>
      </c>
      <c r="D126" s="278" t="s">
        <v>569</v>
      </c>
      <c r="E126" s="967">
        <f t="shared" si="1"/>
        <v>-30875.945243108144</v>
      </c>
      <c r="F126" s="964"/>
      <c r="G126" s="964"/>
      <c r="H126" s="964"/>
      <c r="I126" s="964"/>
      <c r="J126" s="964"/>
      <c r="K126" s="964"/>
      <c r="L126" s="964"/>
      <c r="M126" s="964"/>
      <c r="N126" s="964"/>
      <c r="O126" s="964"/>
      <c r="P126" s="964">
        <f>IF('27'!D14="","",'27'!D14)</f>
        <v>-10291.981747702715</v>
      </c>
      <c r="Q126" s="964"/>
      <c r="R126" s="964">
        <f>IF('27'!E14="","",'27'!E14)</f>
        <v>-10291.981747702715</v>
      </c>
      <c r="S126" s="964" t="str">
        <f>IF('27'!F14="","",'27'!F14)</f>
        <v>LG(H)</v>
      </c>
      <c r="T126" s="964"/>
      <c r="U126" s="964">
        <f>IF('27'!G14="","",'27'!G14)</f>
        <v>-10291.981747702715</v>
      </c>
      <c r="V126" s="964"/>
      <c r="W126" s="964"/>
      <c r="X126" s="964" t="str">
        <f>IF('27'!H14="","",'27'!H14)</f>
        <v>LG(H)</v>
      </c>
      <c r="Y126" s="964"/>
      <c r="Z126" s="964"/>
      <c r="AA126" s="964"/>
    </row>
    <row r="127" spans="1:27">
      <c r="A127" s="1085"/>
      <c r="B127" s="1089"/>
      <c r="C127" s="278" t="s">
        <v>573</v>
      </c>
      <c r="D127" s="278" t="s">
        <v>569</v>
      </c>
      <c r="E127" s="967">
        <f t="shared" si="1"/>
        <v>-34602.35242762119</v>
      </c>
      <c r="F127" s="964"/>
      <c r="G127" s="964"/>
      <c r="H127" s="964"/>
      <c r="I127" s="964"/>
      <c r="J127" s="964"/>
      <c r="K127" s="964"/>
      <c r="L127" s="964"/>
      <c r="M127" s="964"/>
      <c r="N127" s="964"/>
      <c r="O127" s="964"/>
      <c r="P127" s="964">
        <f>IF('27'!D15="","",'27'!D15)</f>
        <v>-11534.117475873731</v>
      </c>
      <c r="Q127" s="964"/>
      <c r="R127" s="964">
        <f>IF('27'!E15="","",'27'!E15)</f>
        <v>-11534.117475873731</v>
      </c>
      <c r="S127" s="964" t="str">
        <f>IF('27'!F15="","",'27'!F15)</f>
        <v>LG(H)</v>
      </c>
      <c r="T127" s="964"/>
      <c r="U127" s="964">
        <f>IF('27'!G15="","",'27'!G15)</f>
        <v>-11534.117475873731</v>
      </c>
      <c r="V127" s="964"/>
      <c r="W127" s="964"/>
      <c r="X127" s="964" t="str">
        <f>IF('27'!H15="","",'27'!H15)</f>
        <v>LG(H)</v>
      </c>
      <c r="Y127" s="964"/>
      <c r="Z127" s="964"/>
      <c r="AA127" s="964"/>
    </row>
    <row r="128" spans="1:27">
      <c r="A128" s="1085"/>
      <c r="B128" s="1089"/>
      <c r="C128" s="278" t="s">
        <v>574</v>
      </c>
      <c r="D128" s="278" t="s">
        <v>575</v>
      </c>
      <c r="E128" s="967">
        <f t="shared" si="1"/>
        <v>-1390.0090291437571</v>
      </c>
      <c r="F128" s="964"/>
      <c r="G128" s="964"/>
      <c r="H128" s="964"/>
      <c r="I128" s="964"/>
      <c r="J128" s="964"/>
      <c r="K128" s="964"/>
      <c r="L128" s="964"/>
      <c r="M128" s="964"/>
      <c r="N128" s="964"/>
      <c r="O128" s="964"/>
      <c r="P128" s="964">
        <f>IF('27'!D16="","",'27'!D16)</f>
        <v>-463.336343047919</v>
      </c>
      <c r="Q128" s="964"/>
      <c r="R128" s="964">
        <f>IF('27'!E16="","",'27'!E16)</f>
        <v>-463.336343047919</v>
      </c>
      <c r="S128" s="964" t="str">
        <f>IF('27'!F16="","",'27'!F16)</f>
        <v>LG(H)</v>
      </c>
      <c r="T128" s="964"/>
      <c r="U128" s="964">
        <f>IF('27'!G16="","",'27'!G16)</f>
        <v>-463.336343047919</v>
      </c>
      <c r="V128" s="964"/>
      <c r="W128" s="964"/>
      <c r="X128" s="964" t="str">
        <f>IF('27'!H16="","",'27'!H16)</f>
        <v>LG(H)</v>
      </c>
      <c r="Y128" s="964"/>
      <c r="Z128" s="964"/>
      <c r="AA128" s="964"/>
    </row>
    <row r="129" spans="1:27">
      <c r="A129" s="1085"/>
      <c r="B129" s="1089"/>
      <c r="C129" s="278" t="s">
        <v>576</v>
      </c>
      <c r="D129" s="278" t="s">
        <v>575</v>
      </c>
      <c r="E129" s="967">
        <f t="shared" si="1"/>
        <v>-8517.5021360298342</v>
      </c>
      <c r="F129" s="964"/>
      <c r="G129" s="964"/>
      <c r="H129" s="964"/>
      <c r="I129" s="964"/>
      <c r="J129" s="964"/>
      <c r="K129" s="964"/>
      <c r="L129" s="964"/>
      <c r="M129" s="964"/>
      <c r="N129" s="964"/>
      <c r="O129" s="964"/>
      <c r="P129" s="964">
        <f>IF('27'!D17="","",'27'!D17)</f>
        <v>-2839.1673786766114</v>
      </c>
      <c r="Q129" s="964"/>
      <c r="R129" s="964">
        <f>IF('27'!E17="","",'27'!E17)</f>
        <v>-2839.1673786766114</v>
      </c>
      <c r="S129" s="964" t="str">
        <f>IF('27'!F17="","",'27'!F17)</f>
        <v>LG(H)</v>
      </c>
      <c r="T129" s="964"/>
      <c r="U129" s="964">
        <f>IF('27'!G17="","",'27'!G17)</f>
        <v>-2839.1673786766114</v>
      </c>
      <c r="V129" s="964"/>
      <c r="W129" s="964"/>
      <c r="X129" s="964" t="str">
        <f>IF('27'!H17="","",'27'!H17)</f>
        <v>LG(H)</v>
      </c>
      <c r="Y129" s="964"/>
      <c r="Z129" s="964"/>
      <c r="AA129" s="964"/>
    </row>
    <row r="130" spans="1:27">
      <c r="A130" s="1085"/>
      <c r="B130" s="1089"/>
      <c r="C130" s="278" t="s">
        <v>577</v>
      </c>
      <c r="D130" s="278" t="s">
        <v>575</v>
      </c>
      <c r="E130" s="967">
        <f t="shared" si="1"/>
        <v>-9848.3618447844929</v>
      </c>
      <c r="F130" s="964"/>
      <c r="G130" s="964"/>
      <c r="H130" s="964"/>
      <c r="I130" s="964"/>
      <c r="J130" s="964"/>
      <c r="K130" s="964"/>
      <c r="L130" s="964"/>
      <c r="M130" s="964"/>
      <c r="N130" s="964"/>
      <c r="O130" s="964"/>
      <c r="P130" s="964">
        <f>IF('27'!D18="","",'27'!D18)</f>
        <v>-3282.7872815948313</v>
      </c>
      <c r="Q130" s="964"/>
      <c r="R130" s="964">
        <f>IF('27'!E18="","",'27'!E18)</f>
        <v>-3282.7872815948313</v>
      </c>
      <c r="S130" s="964" t="str">
        <f>IF('27'!F18="","",'27'!F18)</f>
        <v>LG(H)</v>
      </c>
      <c r="T130" s="964"/>
      <c r="U130" s="964">
        <f>IF('27'!G18="","",'27'!G18)</f>
        <v>-3282.7872815948313</v>
      </c>
      <c r="V130" s="964"/>
      <c r="W130" s="964"/>
      <c r="X130" s="964" t="str">
        <f>IF('27'!H18="","",'27'!H18)</f>
        <v>LG(H)</v>
      </c>
      <c r="Y130" s="964"/>
      <c r="Z130" s="964"/>
      <c r="AA130" s="964"/>
    </row>
    <row r="131" spans="1:27">
      <c r="A131" s="1085"/>
      <c r="B131" s="1089"/>
      <c r="C131" s="278" t="s">
        <v>578</v>
      </c>
      <c r="D131" s="278" t="s">
        <v>575</v>
      </c>
      <c r="E131" s="967">
        <f t="shared" si="1"/>
        <v>-11312.307524414622</v>
      </c>
      <c r="F131" s="964"/>
      <c r="G131" s="964"/>
      <c r="H131" s="964"/>
      <c r="I131" s="964"/>
      <c r="J131" s="964"/>
      <c r="K131" s="964"/>
      <c r="L131" s="964"/>
      <c r="M131" s="964"/>
      <c r="N131" s="964"/>
      <c r="O131" s="964"/>
      <c r="P131" s="964">
        <f>IF('27'!D19="","",'27'!D19)</f>
        <v>-3770.7691748048742</v>
      </c>
      <c r="Q131" s="964"/>
      <c r="R131" s="964">
        <f>IF('27'!E19="","",'27'!E19)</f>
        <v>-3770.7691748048742</v>
      </c>
      <c r="S131" s="964" t="str">
        <f>IF('27'!F19="","",'27'!F19)</f>
        <v>LG(H)</v>
      </c>
      <c r="T131" s="964"/>
      <c r="U131" s="964">
        <f>IF('27'!G19="","",'27'!G19)</f>
        <v>-3770.7691748048742</v>
      </c>
      <c r="V131" s="964"/>
      <c r="W131" s="964"/>
      <c r="X131" s="964" t="str">
        <f>IF('27'!H19="","",'27'!H19)</f>
        <v>LG(H)</v>
      </c>
      <c r="Y131" s="964"/>
      <c r="Z131" s="964"/>
      <c r="AA131" s="964"/>
    </row>
    <row r="132" spans="1:27">
      <c r="A132" s="1086"/>
      <c r="B132" s="1090"/>
      <c r="C132" s="278" t="s">
        <v>579</v>
      </c>
      <c r="D132" s="278" t="s">
        <v>575</v>
      </c>
      <c r="E132" s="967">
        <f t="shared" si="1"/>
        <v>-12687.529223461104</v>
      </c>
      <c r="F132" s="964"/>
      <c r="G132" s="964"/>
      <c r="H132" s="964"/>
      <c r="I132" s="964"/>
      <c r="J132" s="964"/>
      <c r="K132" s="964"/>
      <c r="L132" s="964"/>
      <c r="M132" s="964"/>
      <c r="N132" s="964"/>
      <c r="O132" s="964"/>
      <c r="P132" s="964">
        <f>IF('27'!D20="","",'27'!D20)</f>
        <v>-4229.1764078203678</v>
      </c>
      <c r="Q132" s="964"/>
      <c r="R132" s="964">
        <f>IF('27'!E20="","",'27'!E20)</f>
        <v>-4229.1764078203678</v>
      </c>
      <c r="S132" s="964" t="str">
        <f>IF('27'!F20="","",'27'!F20)</f>
        <v>LG(H)</v>
      </c>
      <c r="T132" s="964"/>
      <c r="U132" s="964">
        <f>IF('27'!G20="","",'27'!G20)</f>
        <v>-4229.1764078203678</v>
      </c>
      <c r="V132" s="964"/>
      <c r="W132" s="964"/>
      <c r="X132" s="964" t="str">
        <f>IF('27'!H20="","",'27'!H20)</f>
        <v>LG(H)</v>
      </c>
      <c r="Y132" s="964"/>
      <c r="Z132" s="964"/>
      <c r="AA132" s="964"/>
    </row>
    <row r="133" spans="1:27">
      <c r="A133" s="1084">
        <v>28</v>
      </c>
      <c r="B133" s="1091" t="s">
        <v>409</v>
      </c>
      <c r="C133" s="278" t="s">
        <v>155</v>
      </c>
      <c r="D133" s="278" t="s">
        <v>410</v>
      </c>
      <c r="E133" s="967">
        <f t="shared" si="1"/>
        <v>-182394.1074452849</v>
      </c>
      <c r="F133" s="964"/>
      <c r="G133" s="964"/>
      <c r="H133" s="964"/>
      <c r="I133" s="964"/>
      <c r="J133" s="964"/>
      <c r="K133" s="964"/>
      <c r="L133" s="964"/>
      <c r="M133" s="964"/>
      <c r="N133" s="964"/>
      <c r="O133" s="964"/>
      <c r="P133" s="964" t="str">
        <f>IF('28'!D11="","",'28'!D11)</f>
        <v>&lt;/&gt;</v>
      </c>
      <c r="Q133" s="964"/>
      <c r="R133" s="964" t="str">
        <f>IF('28'!E11="","",'28'!E11)</f>
        <v>LG(H)</v>
      </c>
      <c r="S133" s="964" t="str">
        <f>IF('28'!F11="","",'28'!F11)</f>
        <v>LG(H)</v>
      </c>
      <c r="T133" s="964"/>
      <c r="U133" s="964">
        <f>IF('28'!G11="","",'28'!G11)</f>
        <v>0</v>
      </c>
      <c r="V133" s="964">
        <f>IF('28'!H11="","",'28'!H11)</f>
        <v>-182394.1074452849</v>
      </c>
      <c r="W133" s="964"/>
      <c r="X133" s="964" t="str">
        <f>IF('28'!I11="","",'28'!I11)</f>
        <v>&lt;/&gt;</v>
      </c>
      <c r="Y133" s="964"/>
      <c r="Z133" s="964"/>
      <c r="AA133" s="964"/>
    </row>
    <row r="134" spans="1:27">
      <c r="A134" s="1085"/>
      <c r="B134" s="1091"/>
      <c r="C134" s="278" t="s">
        <v>157</v>
      </c>
      <c r="D134" s="278" t="s">
        <v>410</v>
      </c>
      <c r="E134" s="967">
        <f t="shared" si="1"/>
        <v>-2494550.1795896599</v>
      </c>
      <c r="F134" s="964"/>
      <c r="G134" s="964"/>
      <c r="H134" s="964"/>
      <c r="I134" s="964"/>
      <c r="J134" s="964"/>
      <c r="K134" s="964"/>
      <c r="L134" s="964"/>
      <c r="M134" s="964"/>
      <c r="N134" s="964"/>
      <c r="O134" s="964"/>
      <c r="P134" s="964" t="str">
        <f>IF('28'!D12="","",'28'!D12)</f>
        <v>&lt;/&gt;</v>
      </c>
      <c r="Q134" s="964"/>
      <c r="R134" s="964" t="str">
        <f>IF('28'!E12="","",'28'!E12)</f>
        <v>LG(H)</v>
      </c>
      <c r="S134" s="964" t="str">
        <f>IF('28'!F12="","",'28'!F12)</f>
        <v>LG(H)</v>
      </c>
      <c r="T134" s="964"/>
      <c r="U134" s="964">
        <f>IF('28'!G12="","",'28'!G12)</f>
        <v>-1128765.7321719907</v>
      </c>
      <c r="V134" s="964">
        <f>IF('28'!H12="","",'28'!H12)</f>
        <v>-1365784.447417669</v>
      </c>
      <c r="W134" s="964"/>
      <c r="X134" s="964" t="str">
        <f>IF('28'!I12="","",'28'!I12)</f>
        <v>&lt;/&gt;</v>
      </c>
      <c r="Y134" s="964"/>
      <c r="Z134" s="964"/>
      <c r="AA134" s="964"/>
    </row>
    <row r="135" spans="1:27">
      <c r="A135" s="1085"/>
      <c r="B135" s="1091"/>
      <c r="C135" s="278" t="s">
        <v>158</v>
      </c>
      <c r="D135" s="278" t="s">
        <v>410</v>
      </c>
      <c r="E135" s="967">
        <f t="shared" si="1"/>
        <v>-2666087.4949251059</v>
      </c>
      <c r="F135" s="964"/>
      <c r="G135" s="964"/>
      <c r="H135" s="964"/>
      <c r="I135" s="964"/>
      <c r="J135" s="964"/>
      <c r="K135" s="964"/>
      <c r="L135" s="964"/>
      <c r="M135" s="964"/>
      <c r="N135" s="964"/>
      <c r="O135" s="964"/>
      <c r="P135" s="964" t="str">
        <f>IF('28'!D13="","",'28'!D13)</f>
        <v>&lt;/&gt;</v>
      </c>
      <c r="Q135" s="964"/>
      <c r="R135" s="964" t="str">
        <f>IF('28'!E13="","",'28'!E13)</f>
        <v>LG(H)</v>
      </c>
      <c r="S135" s="964" t="str">
        <f>IF('28'!F13="","",'28'!F13)</f>
        <v>LG(H)</v>
      </c>
      <c r="T135" s="964"/>
      <c r="U135" s="964">
        <f>IF('28'!G13="","",'28'!G13)</f>
        <v>-1128765.7321719907</v>
      </c>
      <c r="V135" s="964">
        <f>IF('28'!H13="","",'28'!H13)</f>
        <v>-1537321.7627531155</v>
      </c>
      <c r="W135" s="964"/>
      <c r="X135" s="964" t="str">
        <f>IF('28'!I13="","",'28'!I13)</f>
        <v>&lt;/&gt;</v>
      </c>
      <c r="Y135" s="964"/>
      <c r="Z135" s="964"/>
      <c r="AA135" s="964"/>
    </row>
    <row r="136" spans="1:27">
      <c r="A136" s="1086"/>
      <c r="B136" s="1091"/>
      <c r="C136" s="278" t="s">
        <v>159</v>
      </c>
      <c r="D136" s="278" t="s">
        <v>410</v>
      </c>
      <c r="E136" s="967">
        <f t="shared" si="1"/>
        <v>-2859338.3944802294</v>
      </c>
      <c r="F136" s="964"/>
      <c r="G136" s="964"/>
      <c r="H136" s="964"/>
      <c r="I136" s="964"/>
      <c r="J136" s="964"/>
      <c r="K136" s="964"/>
      <c r="L136" s="964"/>
      <c r="M136" s="964"/>
      <c r="N136" s="964"/>
      <c r="O136" s="964"/>
      <c r="P136" s="964" t="str">
        <f>IF('28'!D14="","",'28'!D14)</f>
        <v>&lt;/&gt;</v>
      </c>
      <c r="Q136" s="964"/>
      <c r="R136" s="964" t="str">
        <f>IF('28'!E14="","",'28'!E14)</f>
        <v>LG(H)</v>
      </c>
      <c r="S136" s="964" t="str">
        <f>IF('28'!F14="","",'28'!F14)</f>
        <v>LG(H)</v>
      </c>
      <c r="T136" s="964"/>
      <c r="U136" s="964">
        <f>IF('28'!G14="","",'28'!G14)</f>
        <v>-1128765.7321719907</v>
      </c>
      <c r="V136" s="964">
        <f>IF('28'!H14="","",'28'!H14)</f>
        <v>-1730572.6623082389</v>
      </c>
      <c r="W136" s="964"/>
      <c r="X136" s="964" t="str">
        <f>IF('28'!I14="","",'28'!I14)</f>
        <v>&lt;/&gt;</v>
      </c>
      <c r="Y136" s="964"/>
      <c r="Z136" s="964"/>
      <c r="AA136" s="964"/>
    </row>
    <row r="137" spans="1:27">
      <c r="A137" s="1084">
        <v>29</v>
      </c>
      <c r="B137" s="1091" t="s">
        <v>411</v>
      </c>
      <c r="C137" s="278" t="s">
        <v>580</v>
      </c>
      <c r="D137" s="278" t="s">
        <v>412</v>
      </c>
      <c r="E137" s="967">
        <f t="shared" si="1"/>
        <v>-2546.4595949820814</v>
      </c>
      <c r="F137" s="964"/>
      <c r="G137" s="964"/>
      <c r="H137" s="964">
        <f>IF('29'!D11="","",'29'!D11)</f>
        <v>-1769.42</v>
      </c>
      <c r="I137" s="964"/>
      <c r="J137" s="964"/>
      <c r="K137" s="964"/>
      <c r="L137" s="964"/>
      <c r="M137" s="964"/>
      <c r="N137" s="964"/>
      <c r="O137" s="964"/>
      <c r="P137" s="964"/>
      <c r="Q137" s="964"/>
      <c r="R137" s="964">
        <f>IF('29'!E11="","",'29'!E11)</f>
        <v>-777.0395949820811</v>
      </c>
      <c r="S137" s="964" t="str">
        <f>IF('29'!F11="","",'29'!F11)</f>
        <v>LG(H)</v>
      </c>
      <c r="T137" s="964"/>
      <c r="U137" s="964"/>
      <c r="V137" s="964" t="str">
        <f>IF('29'!G11="","",'29'!G11)</f>
        <v>&lt;/&gt;*</v>
      </c>
      <c r="W137" s="964"/>
      <c r="X137" s="964"/>
      <c r="Y137" s="964"/>
      <c r="Z137" s="964"/>
      <c r="AA137" s="964"/>
    </row>
    <row r="138" spans="1:27">
      <c r="A138" s="1085"/>
      <c r="B138" s="1091"/>
      <c r="C138" s="278" t="s">
        <v>581</v>
      </c>
      <c r="D138" s="278" t="s">
        <v>412</v>
      </c>
      <c r="E138" s="967">
        <f t="shared" ref="E138:E201" si="2">SUM(F138:AA138)</f>
        <v>-61115.030279569939</v>
      </c>
      <c r="F138" s="964"/>
      <c r="G138" s="964"/>
      <c r="H138" s="964">
        <f>IF('29'!D12="","",'29'!D12)</f>
        <v>-42466.080000000002</v>
      </c>
      <c r="I138" s="964"/>
      <c r="J138" s="964"/>
      <c r="K138" s="964"/>
      <c r="L138" s="964"/>
      <c r="M138" s="964"/>
      <c r="N138" s="964"/>
      <c r="O138" s="964"/>
      <c r="P138" s="964"/>
      <c r="Q138" s="964"/>
      <c r="R138" s="964">
        <f>IF('29'!E12="","",'29'!E12)</f>
        <v>-18648.950279569937</v>
      </c>
      <c r="S138" s="964" t="str">
        <f>IF('29'!F12="","",'29'!F12)</f>
        <v>LG(H)</v>
      </c>
      <c r="T138" s="964"/>
      <c r="U138" s="964"/>
      <c r="V138" s="964" t="str">
        <f>IF('29'!G12="","",'29'!G12)</f>
        <v>&lt;/&gt;*</v>
      </c>
      <c r="W138" s="964"/>
      <c r="X138" s="964"/>
      <c r="Y138" s="964"/>
      <c r="Z138" s="964"/>
      <c r="AA138" s="964"/>
    </row>
    <row r="139" spans="1:27">
      <c r="A139" s="1085"/>
      <c r="B139" s="1091"/>
      <c r="C139" s="278" t="s">
        <v>582</v>
      </c>
      <c r="D139" s="278" t="s">
        <v>412</v>
      </c>
      <c r="E139" s="967">
        <f t="shared" si="2"/>
        <v>-56022.111089605773</v>
      </c>
      <c r="F139" s="964"/>
      <c r="G139" s="964"/>
      <c r="H139" s="964">
        <f>IF('29'!D13="","",'29'!D13)</f>
        <v>-38927.24</v>
      </c>
      <c r="I139" s="964"/>
      <c r="J139" s="964"/>
      <c r="K139" s="964"/>
      <c r="L139" s="964"/>
      <c r="M139" s="964"/>
      <c r="N139" s="964"/>
      <c r="O139" s="964"/>
      <c r="P139" s="964"/>
      <c r="Q139" s="964"/>
      <c r="R139" s="964">
        <f>IF('29'!E13="","",'29'!E13)</f>
        <v>-17094.871089605775</v>
      </c>
      <c r="S139" s="964" t="str">
        <f>IF('29'!F13="","",'29'!F13)</f>
        <v>LG(H)</v>
      </c>
      <c r="T139" s="964"/>
      <c r="U139" s="964"/>
      <c r="V139" s="964" t="str">
        <f>IF('29'!G13="","",'29'!G13)</f>
        <v>&lt;/&gt;*</v>
      </c>
      <c r="W139" s="964"/>
      <c r="X139" s="964"/>
      <c r="Y139" s="964"/>
      <c r="Z139" s="964"/>
      <c r="AA139" s="964"/>
    </row>
    <row r="140" spans="1:27">
      <c r="A140" s="1085"/>
      <c r="B140" s="1091"/>
      <c r="C140" s="278" t="s">
        <v>583</v>
      </c>
      <c r="D140" s="278" t="s">
        <v>412</v>
      </c>
      <c r="E140" s="967">
        <f t="shared" si="2"/>
        <v>-50929.191899641621</v>
      </c>
      <c r="F140" s="964"/>
      <c r="G140" s="964"/>
      <c r="H140" s="964">
        <f>IF('29'!D14="","",'29'!D14)</f>
        <v>-35388.400000000001</v>
      </c>
      <c r="I140" s="964"/>
      <c r="J140" s="964"/>
      <c r="K140" s="964"/>
      <c r="L140" s="964"/>
      <c r="M140" s="964"/>
      <c r="N140" s="964"/>
      <c r="O140" s="964"/>
      <c r="P140" s="964"/>
      <c r="Q140" s="964"/>
      <c r="R140" s="964">
        <f>IF('29'!E14="","",'29'!E14)</f>
        <v>-15540.791899641616</v>
      </c>
      <c r="S140" s="964" t="str">
        <f>IF('29'!F14="","",'29'!F14)</f>
        <v>LG(H)</v>
      </c>
      <c r="T140" s="964"/>
      <c r="U140" s="964"/>
      <c r="V140" s="964" t="str">
        <f>IF('29'!G14="","",'29'!G14)</f>
        <v>&lt;/&gt;*</v>
      </c>
      <c r="W140" s="964"/>
      <c r="X140" s="964"/>
      <c r="Y140" s="964"/>
      <c r="Z140" s="964"/>
      <c r="AA140" s="964"/>
    </row>
    <row r="141" spans="1:27">
      <c r="A141" s="1086"/>
      <c r="B141" s="1091"/>
      <c r="C141" s="278" t="s">
        <v>584</v>
      </c>
      <c r="D141" s="278" t="s">
        <v>412</v>
      </c>
      <c r="E141" s="967">
        <f t="shared" si="2"/>
        <v>0</v>
      </c>
      <c r="F141" s="964"/>
      <c r="G141" s="964"/>
      <c r="H141" s="964"/>
      <c r="I141" s="964"/>
      <c r="J141" s="964"/>
      <c r="K141" s="964"/>
      <c r="L141" s="964"/>
      <c r="M141" s="964"/>
      <c r="N141" s="964"/>
      <c r="O141" s="964"/>
      <c r="P141" s="964"/>
      <c r="Q141" s="964"/>
      <c r="R141" s="964">
        <f>IF('29'!E15="","",'29'!E15)</f>
        <v>0</v>
      </c>
      <c r="S141" s="964" t="str">
        <f>IF('29'!F15="","",'29'!F15)</f>
        <v>LG(H)</v>
      </c>
      <c r="T141" s="964"/>
      <c r="U141" s="964"/>
      <c r="V141" s="964" t="str">
        <f>IF('29'!G15="","",'29'!G15)</f>
        <v>&lt;/&gt;*</v>
      </c>
      <c r="W141" s="964"/>
      <c r="X141" s="964"/>
      <c r="Y141" s="964"/>
      <c r="Z141" s="964"/>
      <c r="AA141" s="964"/>
    </row>
    <row r="142" spans="1:27">
      <c r="A142" s="1084">
        <v>30</v>
      </c>
      <c r="B142" s="1091" t="s">
        <v>413</v>
      </c>
      <c r="C142" s="299" t="s">
        <v>585</v>
      </c>
      <c r="D142" s="299" t="s">
        <v>586</v>
      </c>
      <c r="E142" s="967">
        <f t="shared" si="2"/>
        <v>-28813.156540258798</v>
      </c>
      <c r="F142" s="965"/>
      <c r="G142" s="965"/>
      <c r="H142" s="965"/>
      <c r="I142" s="965"/>
      <c r="J142" s="965">
        <f>IF('30'!D24="","",'30'!D24)</f>
        <v>-227.50489079202114</v>
      </c>
      <c r="K142" s="965"/>
      <c r="L142" s="965">
        <f>IF('30'!F24="","",'30'!F24)</f>
        <v>-16411.887468422436</v>
      </c>
      <c r="M142" s="965">
        <f>IF('30'!G24="","",'30'!G24)</f>
        <v>-259.04022218893493</v>
      </c>
      <c r="N142" s="965">
        <f>IF('30'!H24="","",'30'!H24)</f>
        <v>-74.333281149868284</v>
      </c>
      <c r="O142" s="965" t="str">
        <f>IF('30'!I24="","",'30'!I24)</f>
        <v>LG (L)</v>
      </c>
      <c r="P142" s="965"/>
      <c r="Q142" s="965"/>
      <c r="R142" s="965"/>
      <c r="S142" s="965"/>
      <c r="T142" s="965"/>
      <c r="U142" s="965">
        <f>IF('30'!K24="","",'30'!K24)</f>
        <v>-4510.6786515942804</v>
      </c>
      <c r="V142" s="965"/>
      <c r="W142" s="965">
        <f>IF('30'!L24="","",'30'!L24)</f>
        <v>-256.78769851772682</v>
      </c>
      <c r="X142" s="965">
        <f>IF('30'!M24="","",'30'!M24)</f>
        <v>-7072.9243275935287</v>
      </c>
      <c r="Y142" s="965"/>
      <c r="Z142" s="965"/>
      <c r="AA142" s="965"/>
    </row>
    <row r="143" spans="1:27">
      <c r="A143" s="1085"/>
      <c r="B143" s="1091"/>
      <c r="C143" s="299" t="s">
        <v>587</v>
      </c>
      <c r="D143" s="299" t="s">
        <v>586</v>
      </c>
      <c r="E143" s="967">
        <f t="shared" si="2"/>
        <v>-19834.034055905388</v>
      </c>
      <c r="F143" s="965"/>
      <c r="G143" s="965"/>
      <c r="H143" s="965"/>
      <c r="I143" s="965"/>
      <c r="J143" s="965">
        <f>IF('30'!D25="","",'30'!D25)</f>
        <v>-141.90899128611218</v>
      </c>
      <c r="K143" s="965"/>
      <c r="L143" s="965">
        <f>IF('30'!F25="","",'30'!F25)</f>
        <v>-11283.454199999325</v>
      </c>
      <c r="M143" s="965">
        <f>IF('30'!G25="","",'30'!G25)</f>
        <v>-194.28016664170121</v>
      </c>
      <c r="N143" s="965">
        <f>IF('30'!H25="","",'30'!H25)</f>
        <v>-58.002484533609348</v>
      </c>
      <c r="O143" s="965" t="str">
        <f>IF('30'!I25="","",'30'!I25)</f>
        <v>LG (L)</v>
      </c>
      <c r="P143" s="965"/>
      <c r="Q143" s="965"/>
      <c r="R143" s="965"/>
      <c r="S143" s="965"/>
      <c r="T143" s="965"/>
      <c r="U143" s="965">
        <f>IF('30'!K25="","",'30'!K25)</f>
        <v>-3101.1619643357931</v>
      </c>
      <c r="V143" s="965"/>
      <c r="W143" s="965">
        <f>IF('30'!L25="","",'30'!L25)</f>
        <v>-192.5907738882951</v>
      </c>
      <c r="X143" s="965">
        <f>IF('30'!M25="","",'30'!M25)</f>
        <v>-4862.6354752205507</v>
      </c>
      <c r="Y143" s="965"/>
      <c r="Z143" s="965"/>
      <c r="AA143" s="965"/>
    </row>
    <row r="144" spans="1:27">
      <c r="A144" s="1085"/>
      <c r="B144" s="1091"/>
      <c r="C144" s="299" t="s">
        <v>588</v>
      </c>
      <c r="D144" s="299" t="s">
        <v>586</v>
      </c>
      <c r="E144" s="967">
        <f t="shared" si="2"/>
        <v>-10854.911571551978</v>
      </c>
      <c r="F144" s="965"/>
      <c r="G144" s="965"/>
      <c r="H144" s="965"/>
      <c r="I144" s="965"/>
      <c r="J144" s="965">
        <f>IF('30'!D26="","",'30'!D26)</f>
        <v>-56.313091780203251</v>
      </c>
      <c r="K144" s="965"/>
      <c r="L144" s="965">
        <f>IF('30'!F26="","",'30'!F26)</f>
        <v>-6155.0209315762149</v>
      </c>
      <c r="M144" s="965">
        <f>IF('30'!G26="","",'30'!G26)</f>
        <v>-129.52011109446747</v>
      </c>
      <c r="N144" s="965">
        <f>IF('30'!H26="","",'30'!H26)</f>
        <v>-41.671687917350404</v>
      </c>
      <c r="O144" s="965"/>
      <c r="P144" s="965"/>
      <c r="Q144" s="965"/>
      <c r="R144" s="965"/>
      <c r="S144" s="965"/>
      <c r="T144" s="965"/>
      <c r="U144" s="965">
        <f>IF('30'!K26="","",'30'!K26)</f>
        <v>-1691.6452770773055</v>
      </c>
      <c r="V144" s="965"/>
      <c r="W144" s="965">
        <f>IF('30'!L26="","",'30'!L26)</f>
        <v>-128.39384925886341</v>
      </c>
      <c r="X144" s="965">
        <f>IF('30'!M26="","",'30'!M26)</f>
        <v>-2652.3466228475731</v>
      </c>
      <c r="Y144" s="965"/>
      <c r="Z144" s="965"/>
      <c r="AA144" s="965"/>
    </row>
    <row r="145" spans="1:27">
      <c r="A145" s="1085"/>
      <c r="B145" s="1091"/>
      <c r="C145" s="299" t="s">
        <v>589</v>
      </c>
      <c r="D145" s="299" t="s">
        <v>590</v>
      </c>
      <c r="E145" s="967">
        <f t="shared" ca="1" si="2"/>
        <v>-25685.800990264957</v>
      </c>
      <c r="F145" s="965"/>
      <c r="G145" s="965"/>
      <c r="H145" s="965"/>
      <c r="I145" s="965"/>
      <c r="J145" s="965"/>
      <c r="K145" s="965"/>
      <c r="L145" s="965">
        <f>IF('30'!F27="","",'30'!F27)</f>
        <v>-107.44120913612439</v>
      </c>
      <c r="M145" s="965">
        <f>IF('30'!G27="","",'30'!G27)</f>
        <v>-5761.5154639175262</v>
      </c>
      <c r="N145" s="965">
        <f ca="1">IF('30'!H27="","",'30'!H27)</f>
        <v>-2536.2575101835373</v>
      </c>
      <c r="O145" s="965" t="str">
        <f>IF('30'!I27="","",'30'!I27)</f>
        <v>LG (L)</v>
      </c>
      <c r="P145" s="965"/>
      <c r="Q145" s="965"/>
      <c r="R145" s="965">
        <f>IF('30'!J27="","",'30'!J27)</f>
        <v>-751.38680702776674</v>
      </c>
      <c r="S145" s="965"/>
      <c r="T145" s="965"/>
      <c r="U145" s="965">
        <f>IF('30'!K27="","",'30'!K27)</f>
        <v>-16529.2</v>
      </c>
      <c r="V145" s="965"/>
      <c r="W145" s="965"/>
      <c r="X145" s="965"/>
      <c r="Y145" s="965"/>
      <c r="Z145" s="965"/>
      <c r="AA145" s="965"/>
    </row>
    <row r="146" spans="1:27">
      <c r="A146" s="1085"/>
      <c r="B146" s="1091"/>
      <c r="C146" s="299" t="s">
        <v>591</v>
      </c>
      <c r="D146" s="299" t="s">
        <v>590</v>
      </c>
      <c r="E146" s="967">
        <f t="shared" ca="1" si="2"/>
        <v>-19264.350742698716</v>
      </c>
      <c r="F146" s="965"/>
      <c r="G146" s="965"/>
      <c r="H146" s="965"/>
      <c r="I146" s="965"/>
      <c r="J146" s="965"/>
      <c r="K146" s="965"/>
      <c r="L146" s="965">
        <f>IF('30'!F28="","",'30'!F28)</f>
        <v>-80.580906852093293</v>
      </c>
      <c r="M146" s="965">
        <f>IF('30'!G28="","",'30'!G28)</f>
        <v>-4321.1365979381444</v>
      </c>
      <c r="N146" s="965">
        <f ca="1">IF('30'!H28="","",'30'!H28)</f>
        <v>-1902.193132637653</v>
      </c>
      <c r="O146" s="965" t="str">
        <f>IF('30'!I28="","",'30'!I28)</f>
        <v>LG (L)</v>
      </c>
      <c r="P146" s="965"/>
      <c r="Q146" s="965"/>
      <c r="R146" s="965">
        <f>IF('30'!J28="","",'30'!J28)</f>
        <v>-563.54010527082505</v>
      </c>
      <c r="S146" s="965"/>
      <c r="T146" s="965"/>
      <c r="U146" s="965">
        <f>IF('30'!K28="","",'30'!K28)</f>
        <v>-12396.900000000001</v>
      </c>
      <c r="V146" s="965"/>
      <c r="W146" s="965"/>
      <c r="X146" s="965"/>
      <c r="Y146" s="965"/>
      <c r="Z146" s="965"/>
      <c r="AA146" s="965"/>
    </row>
    <row r="147" spans="1:27">
      <c r="A147" s="1085"/>
      <c r="B147" s="1091"/>
      <c r="C147" s="299" t="s">
        <v>592</v>
      </c>
      <c r="D147" s="299" t="s">
        <v>590</v>
      </c>
      <c r="E147" s="967">
        <f t="shared" ca="1" si="2"/>
        <v>-12842.900495132479</v>
      </c>
      <c r="F147" s="965"/>
      <c r="G147" s="965"/>
      <c r="H147" s="965"/>
      <c r="I147" s="965"/>
      <c r="J147" s="965"/>
      <c r="K147" s="965"/>
      <c r="L147" s="965">
        <f>IF('30'!F29="","",'30'!F29)</f>
        <v>-53.720604568062193</v>
      </c>
      <c r="M147" s="965">
        <f>IF('30'!G29="","",'30'!G29)</f>
        <v>-2880.7577319587631</v>
      </c>
      <c r="N147" s="965">
        <f ca="1">IF('30'!H29="","",'30'!H29)</f>
        <v>-1268.1287550917687</v>
      </c>
      <c r="O147" s="965"/>
      <c r="P147" s="965"/>
      <c r="Q147" s="965"/>
      <c r="R147" s="965">
        <f>IF('30'!J29="","",'30'!J29)</f>
        <v>-375.69340351388337</v>
      </c>
      <c r="S147" s="965"/>
      <c r="T147" s="965"/>
      <c r="U147" s="965">
        <f>IF('30'!K29="","",'30'!K29)</f>
        <v>-8264.6</v>
      </c>
      <c r="V147" s="965"/>
      <c r="W147" s="965"/>
      <c r="X147" s="965"/>
      <c r="Y147" s="965"/>
      <c r="Z147" s="965"/>
      <c r="AA147" s="965"/>
    </row>
    <row r="148" spans="1:27">
      <c r="A148" s="1085"/>
      <c r="B148" s="1091"/>
      <c r="C148" s="299" t="s">
        <v>593</v>
      </c>
      <c r="D148" s="299" t="s">
        <v>590</v>
      </c>
      <c r="E148" s="967">
        <f t="shared" ca="1" si="2"/>
        <v>-45211.698273892951</v>
      </c>
      <c r="F148" s="965"/>
      <c r="G148" s="965"/>
      <c r="H148" s="965"/>
      <c r="I148" s="965"/>
      <c r="J148" s="965"/>
      <c r="K148" s="965"/>
      <c r="L148" s="965"/>
      <c r="M148" s="965">
        <f>IF('30'!G30="","",'30'!G30)</f>
        <v>-16.670634920634921</v>
      </c>
      <c r="N148" s="965">
        <f ca="1">IF('30'!H30="","",'30'!H30)</f>
        <v>-6804.6276389723107</v>
      </c>
      <c r="O148" s="965" t="str">
        <f>IF('30'!I30="","",'30'!I30)</f>
        <v>LG (L)</v>
      </c>
      <c r="P148" s="965"/>
      <c r="Q148" s="965"/>
      <c r="R148" s="965" t="str">
        <f>IF('30'!J30="","",'30'!J30)</f>
        <v>LG(L)</v>
      </c>
      <c r="S148" s="965"/>
      <c r="T148" s="965"/>
      <c r="U148" s="965">
        <f>IF('30'!K30="","",'30'!K30)</f>
        <v>-38390.400000000001</v>
      </c>
      <c r="V148" s="965"/>
      <c r="W148" s="965"/>
      <c r="X148" s="965"/>
      <c r="Y148" s="965"/>
      <c r="Z148" s="965"/>
      <c r="AA148" s="965"/>
    </row>
    <row r="149" spans="1:27">
      <c r="A149" s="1085"/>
      <c r="B149" s="1091"/>
      <c r="C149" s="299" t="s">
        <v>594</v>
      </c>
      <c r="D149" s="299" t="s">
        <v>590</v>
      </c>
      <c r="E149" s="967">
        <f t="shared" ca="1" si="2"/>
        <v>-33908.773705419713</v>
      </c>
      <c r="F149" s="965"/>
      <c r="G149" s="965"/>
      <c r="H149" s="965"/>
      <c r="I149" s="965"/>
      <c r="J149" s="965"/>
      <c r="K149" s="965"/>
      <c r="L149" s="965"/>
      <c r="M149" s="965">
        <f>IF('30'!G31="","",'30'!G31)</f>
        <v>-12.50297619047619</v>
      </c>
      <c r="N149" s="965">
        <f ca="1">IF('30'!H31="","",'30'!H31)</f>
        <v>-5103.4707292292323</v>
      </c>
      <c r="O149" s="965" t="str">
        <f>IF('30'!I31="","",'30'!I31)</f>
        <v>LG (L)</v>
      </c>
      <c r="P149" s="965"/>
      <c r="Q149" s="965"/>
      <c r="R149" s="965" t="str">
        <f>IF('30'!J31="","",'30'!J31)</f>
        <v>LG(L)</v>
      </c>
      <c r="S149" s="965"/>
      <c r="T149" s="965"/>
      <c r="U149" s="965">
        <f>IF('30'!K31="","",'30'!K31)</f>
        <v>-28792.800000000003</v>
      </c>
      <c r="V149" s="965"/>
      <c r="W149" s="965"/>
      <c r="X149" s="965"/>
      <c r="Y149" s="965"/>
      <c r="Z149" s="965"/>
      <c r="AA149" s="965"/>
    </row>
    <row r="150" spans="1:27">
      <c r="A150" s="1085"/>
      <c r="B150" s="1091"/>
      <c r="C150" s="299" t="s">
        <v>595</v>
      </c>
      <c r="D150" s="299" t="s">
        <v>590</v>
      </c>
      <c r="E150" s="967">
        <f t="shared" ca="1" si="2"/>
        <v>-22605.849136946475</v>
      </c>
      <c r="F150" s="965"/>
      <c r="G150" s="965"/>
      <c r="H150" s="965"/>
      <c r="I150" s="965"/>
      <c r="J150" s="965"/>
      <c r="K150" s="965"/>
      <c r="L150" s="965"/>
      <c r="M150" s="965">
        <f>IF('30'!G32="","",'30'!G32)</f>
        <v>-8.3353174603174605</v>
      </c>
      <c r="N150" s="965">
        <f ca="1">IF('30'!H32="","",'30'!H32)</f>
        <v>-3402.3138194861554</v>
      </c>
      <c r="O150" s="965"/>
      <c r="P150" s="965"/>
      <c r="Q150" s="965"/>
      <c r="R150" s="965" t="str">
        <f>IF('30'!J32="","",'30'!J32)</f>
        <v>LG(L)</v>
      </c>
      <c r="S150" s="965"/>
      <c r="T150" s="965"/>
      <c r="U150" s="965">
        <f>IF('30'!K32="","",'30'!K32)</f>
        <v>-19195.2</v>
      </c>
      <c r="V150" s="965"/>
      <c r="W150" s="965"/>
      <c r="X150" s="965"/>
      <c r="Y150" s="965"/>
      <c r="Z150" s="965"/>
      <c r="AA150" s="965"/>
    </row>
    <row r="151" spans="1:27">
      <c r="A151" s="1085"/>
      <c r="B151" s="1091"/>
      <c r="C151" s="299" t="s">
        <v>596</v>
      </c>
      <c r="D151" s="299" t="s">
        <v>590</v>
      </c>
      <c r="E151" s="967">
        <f t="shared" ca="1" si="2"/>
        <v>-9789.8687696851866</v>
      </c>
      <c r="F151" s="965"/>
      <c r="G151" s="965"/>
      <c r="H151" s="965"/>
      <c r="I151" s="965"/>
      <c r="J151" s="965"/>
      <c r="K151" s="965"/>
      <c r="L151" s="965"/>
      <c r="M151" s="965">
        <f>IF('30'!G33="","",'30'!G33)</f>
        <v>-587.492718446602</v>
      </c>
      <c r="N151" s="965">
        <f ca="1">IF('30'!H33="","",'30'!H33)</f>
        <v>-671.17605123858391</v>
      </c>
      <c r="O151" s="965" t="str">
        <f>IF('30'!I33="","",'30'!I33)</f>
        <v>LG (L)</v>
      </c>
      <c r="P151" s="965"/>
      <c r="Q151" s="965"/>
      <c r="R151" s="965" t="str">
        <f>IF('30'!J33="","",'30'!J33)</f>
        <v>LG(L)</v>
      </c>
      <c r="S151" s="965"/>
      <c r="T151" s="965"/>
      <c r="U151" s="965">
        <f>IF('30'!K33="","",'30'!K33)</f>
        <v>-8531.2000000000007</v>
      </c>
      <c r="V151" s="965"/>
      <c r="W151" s="965"/>
      <c r="X151" s="965"/>
      <c r="Y151" s="965"/>
      <c r="Z151" s="965"/>
      <c r="AA151" s="965"/>
    </row>
    <row r="152" spans="1:27">
      <c r="A152" s="1085"/>
      <c r="B152" s="1091"/>
      <c r="C152" s="299" t="s">
        <v>597</v>
      </c>
      <c r="D152" s="299" t="s">
        <v>590</v>
      </c>
      <c r="E152" s="967">
        <f t="shared" ca="1" si="2"/>
        <v>-7342.4015772638904</v>
      </c>
      <c r="F152" s="965"/>
      <c r="G152" s="965"/>
      <c r="H152" s="965"/>
      <c r="I152" s="965"/>
      <c r="J152" s="965"/>
      <c r="K152" s="965"/>
      <c r="L152" s="965"/>
      <c r="M152" s="965">
        <f>IF('30'!G34="","",'30'!G34)</f>
        <v>-440.61953883495153</v>
      </c>
      <c r="N152" s="965">
        <f ca="1">IF('30'!H34="","",'30'!H34)</f>
        <v>-503.3820384289379</v>
      </c>
      <c r="O152" s="965" t="str">
        <f>IF('30'!I34="","",'30'!I34)</f>
        <v>LG (L)</v>
      </c>
      <c r="P152" s="965"/>
      <c r="Q152" s="965"/>
      <c r="R152" s="965" t="str">
        <f>IF('30'!J34="","",'30'!J34)</f>
        <v>LG(L)</v>
      </c>
      <c r="S152" s="965"/>
      <c r="T152" s="965"/>
      <c r="U152" s="965">
        <f>IF('30'!K34="","",'30'!K34)</f>
        <v>-6398.4000000000005</v>
      </c>
      <c r="V152" s="965"/>
      <c r="W152" s="965"/>
      <c r="X152" s="965"/>
      <c r="Y152" s="965"/>
      <c r="Z152" s="965"/>
      <c r="AA152" s="965"/>
    </row>
    <row r="153" spans="1:27">
      <c r="A153" s="1085"/>
      <c r="B153" s="1091"/>
      <c r="C153" s="299" t="s">
        <v>598</v>
      </c>
      <c r="D153" s="299" t="s">
        <v>590</v>
      </c>
      <c r="E153" s="967">
        <f t="shared" ca="1" si="2"/>
        <v>-4894.9343848425933</v>
      </c>
      <c r="F153" s="965"/>
      <c r="G153" s="965"/>
      <c r="H153" s="965"/>
      <c r="I153" s="965"/>
      <c r="J153" s="965"/>
      <c r="K153" s="965"/>
      <c r="L153" s="965"/>
      <c r="M153" s="965">
        <f>IF('30'!G35="","",'30'!G35)</f>
        <v>-293.746359223301</v>
      </c>
      <c r="N153" s="965">
        <f ca="1">IF('30'!H35="","",'30'!H35)</f>
        <v>-335.58802561929195</v>
      </c>
      <c r="O153" s="965"/>
      <c r="P153" s="965"/>
      <c r="Q153" s="965"/>
      <c r="R153" s="965" t="str">
        <f>IF('30'!J35="","",'30'!J35)</f>
        <v>LG(L)</v>
      </c>
      <c r="S153" s="965"/>
      <c r="T153" s="965"/>
      <c r="U153" s="965">
        <f>IF('30'!K35="","",'30'!K35)</f>
        <v>-4265.6000000000004</v>
      </c>
      <c r="V153" s="965"/>
      <c r="W153" s="965"/>
      <c r="X153" s="965"/>
      <c r="Y153" s="965"/>
      <c r="Z153" s="965"/>
      <c r="AA153" s="965"/>
    </row>
    <row r="154" spans="1:27">
      <c r="A154" s="1085"/>
      <c r="B154" s="1091"/>
      <c r="C154" s="299" t="s">
        <v>599</v>
      </c>
      <c r="D154" s="299" t="s">
        <v>590</v>
      </c>
      <c r="E154" s="967">
        <f t="shared" ca="1" si="2"/>
        <v>-3984.1923564700205</v>
      </c>
      <c r="F154" s="965"/>
      <c r="G154" s="965"/>
      <c r="H154" s="965"/>
      <c r="I154" s="965"/>
      <c r="J154" s="965"/>
      <c r="K154" s="965"/>
      <c r="L154" s="965">
        <f>IF('30'!F36="","",'30'!F36)</f>
        <v>-107.44120913612439</v>
      </c>
      <c r="M154" s="965">
        <f>IF('30'!G36="","",'30'!G36)</f>
        <v>-589.10683012259199</v>
      </c>
      <c r="N154" s="965">
        <f ca="1">IF('30'!H36="","",'30'!H36)</f>
        <v>-2536.2575101835373</v>
      </c>
      <c r="O154" s="965"/>
      <c r="P154" s="965"/>
      <c r="Q154" s="965"/>
      <c r="R154" s="965">
        <f>IF('30'!J36="","",'30'!J36)</f>
        <v>-751.38680702776674</v>
      </c>
      <c r="S154" s="965"/>
      <c r="T154" s="965"/>
      <c r="U154" s="965"/>
      <c r="V154" s="965"/>
      <c r="W154" s="965"/>
      <c r="X154" s="965"/>
      <c r="Y154" s="965"/>
      <c r="Z154" s="965"/>
      <c r="AA154" s="965"/>
    </row>
    <row r="155" spans="1:27">
      <c r="A155" s="1085"/>
      <c r="B155" s="1091"/>
      <c r="C155" s="299" t="s">
        <v>600</v>
      </c>
      <c r="D155" s="299" t="s">
        <v>590</v>
      </c>
      <c r="E155" s="967">
        <f t="shared" ca="1" si="2"/>
        <v>-2988.1442673525153</v>
      </c>
      <c r="F155" s="965"/>
      <c r="G155" s="965"/>
      <c r="H155" s="965"/>
      <c r="I155" s="965"/>
      <c r="J155" s="965"/>
      <c r="K155" s="965"/>
      <c r="L155" s="965">
        <f>IF('30'!F37="","",'30'!F37)</f>
        <v>-80.580906852093293</v>
      </c>
      <c r="M155" s="965">
        <f>IF('30'!G37="","",'30'!G37)</f>
        <v>-441.83012259194402</v>
      </c>
      <c r="N155" s="965">
        <f ca="1">IF('30'!H37="","",'30'!H37)</f>
        <v>-1902.193132637653</v>
      </c>
      <c r="O155" s="965"/>
      <c r="P155" s="965"/>
      <c r="Q155" s="965"/>
      <c r="R155" s="965">
        <f>IF('30'!J37="","",'30'!J37)</f>
        <v>-563.54010527082505</v>
      </c>
      <c r="S155" s="965"/>
      <c r="T155" s="965"/>
      <c r="U155" s="965"/>
      <c r="V155" s="965"/>
      <c r="W155" s="965"/>
      <c r="X155" s="965"/>
      <c r="Y155" s="965"/>
      <c r="Z155" s="965"/>
      <c r="AA155" s="965"/>
    </row>
    <row r="156" spans="1:27">
      <c r="A156" s="1085"/>
      <c r="B156" s="1091"/>
      <c r="C156" s="299" t="s">
        <v>601</v>
      </c>
      <c r="D156" s="299" t="s">
        <v>590</v>
      </c>
      <c r="E156" s="967">
        <f t="shared" ca="1" si="2"/>
        <v>-1992.0961782350103</v>
      </c>
      <c r="F156" s="965"/>
      <c r="G156" s="965"/>
      <c r="H156" s="965"/>
      <c r="I156" s="965"/>
      <c r="J156" s="965"/>
      <c r="K156" s="965"/>
      <c r="L156" s="965">
        <f>IF('30'!F38="","",'30'!F38)</f>
        <v>-53.720604568062193</v>
      </c>
      <c r="M156" s="965">
        <f>IF('30'!G38="","",'30'!G38)</f>
        <v>-294.55341506129599</v>
      </c>
      <c r="N156" s="965">
        <f ca="1">IF('30'!H38="","",'30'!H38)</f>
        <v>-1268.1287550917687</v>
      </c>
      <c r="O156" s="965"/>
      <c r="P156" s="965"/>
      <c r="Q156" s="965"/>
      <c r="R156" s="965">
        <f>IF('30'!J38="","",'30'!J38)</f>
        <v>-375.69340351388337</v>
      </c>
      <c r="S156" s="965"/>
      <c r="T156" s="965"/>
      <c r="U156" s="965"/>
      <c r="V156" s="965"/>
      <c r="W156" s="965"/>
      <c r="X156" s="965"/>
      <c r="Y156" s="965"/>
      <c r="Z156" s="965"/>
      <c r="AA156" s="965"/>
    </row>
    <row r="157" spans="1:27">
      <c r="A157" s="1085"/>
      <c r="B157" s="1091"/>
      <c r="C157" s="299" t="s">
        <v>602</v>
      </c>
      <c r="D157" s="299" t="s">
        <v>590</v>
      </c>
      <c r="E157" s="967">
        <f t="shared" ca="1" si="2"/>
        <v>-6821.2982738929459</v>
      </c>
      <c r="F157" s="965"/>
      <c r="G157" s="965"/>
      <c r="H157" s="965"/>
      <c r="I157" s="965"/>
      <c r="J157" s="965"/>
      <c r="K157" s="965"/>
      <c r="L157" s="965"/>
      <c r="M157" s="965">
        <f>IF('30'!G39="","",'30'!G39)</f>
        <v>-16.670634920634921</v>
      </c>
      <c r="N157" s="965">
        <f ca="1">IF('30'!H39="","",'30'!H39)</f>
        <v>-6804.6276389723107</v>
      </c>
      <c r="O157" s="965"/>
      <c r="P157" s="965"/>
      <c r="Q157" s="965"/>
      <c r="R157" s="965" t="str">
        <f>IF('30'!J39="","",'30'!J39)</f>
        <v>LG(L)</v>
      </c>
      <c r="S157" s="965"/>
      <c r="T157" s="965"/>
      <c r="U157" s="965"/>
      <c r="V157" s="965"/>
      <c r="W157" s="965"/>
      <c r="X157" s="965"/>
      <c r="Y157" s="965"/>
      <c r="Z157" s="965"/>
      <c r="AA157" s="965"/>
    </row>
    <row r="158" spans="1:27">
      <c r="A158" s="1085"/>
      <c r="B158" s="1091"/>
      <c r="C158" s="299" t="s">
        <v>603</v>
      </c>
      <c r="D158" s="299" t="s">
        <v>590</v>
      </c>
      <c r="E158" s="967">
        <f t="shared" ca="1" si="2"/>
        <v>-5115.9737054197085</v>
      </c>
      <c r="F158" s="965"/>
      <c r="G158" s="965"/>
      <c r="H158" s="965"/>
      <c r="I158" s="965"/>
      <c r="J158" s="965"/>
      <c r="K158" s="965"/>
      <c r="L158" s="965"/>
      <c r="M158" s="965">
        <f>IF('30'!G40="","",'30'!G40)</f>
        <v>-12.50297619047619</v>
      </c>
      <c r="N158" s="965">
        <f ca="1">IF('30'!H40="","",'30'!H40)</f>
        <v>-5103.4707292292323</v>
      </c>
      <c r="O158" s="965"/>
      <c r="P158" s="965"/>
      <c r="Q158" s="965"/>
      <c r="R158" s="965" t="str">
        <f>IF('30'!J40="","",'30'!J40)</f>
        <v>LG(L)</v>
      </c>
      <c r="S158" s="965"/>
      <c r="T158" s="965"/>
      <c r="U158" s="965"/>
      <c r="V158" s="965"/>
      <c r="W158" s="965"/>
      <c r="X158" s="965"/>
      <c r="Y158" s="965"/>
      <c r="Z158" s="965"/>
      <c r="AA158" s="965"/>
    </row>
    <row r="159" spans="1:27">
      <c r="A159" s="1085"/>
      <c r="B159" s="1091"/>
      <c r="C159" s="299" t="s">
        <v>604</v>
      </c>
      <c r="D159" s="299" t="s">
        <v>590</v>
      </c>
      <c r="E159" s="967">
        <f t="shared" ca="1" si="2"/>
        <v>-3410.6491369464729</v>
      </c>
      <c r="F159" s="965"/>
      <c r="G159" s="965"/>
      <c r="H159" s="965"/>
      <c r="I159" s="965"/>
      <c r="J159" s="965"/>
      <c r="K159" s="965"/>
      <c r="L159" s="965"/>
      <c r="M159" s="965">
        <f>IF('30'!G41="","",'30'!G41)</f>
        <v>-8.3353174603174605</v>
      </c>
      <c r="N159" s="965">
        <f ca="1">IF('30'!H41="","",'30'!H41)</f>
        <v>-3402.3138194861554</v>
      </c>
      <c r="O159" s="965"/>
      <c r="P159" s="965"/>
      <c r="Q159" s="965"/>
      <c r="R159" s="965" t="str">
        <f>IF('30'!J41="","",'30'!J41)</f>
        <v>LG(L)</v>
      </c>
      <c r="S159" s="965"/>
      <c r="T159" s="965"/>
      <c r="U159" s="965"/>
      <c r="V159" s="965"/>
      <c r="W159" s="965"/>
      <c r="X159" s="965"/>
      <c r="Y159" s="965"/>
      <c r="Z159" s="965"/>
      <c r="AA159" s="965"/>
    </row>
    <row r="160" spans="1:27">
      <c r="A160" s="1085"/>
      <c r="B160" s="1091"/>
      <c r="C160" s="299" t="s">
        <v>605</v>
      </c>
      <c r="D160" s="299" t="s">
        <v>590</v>
      </c>
      <c r="E160" s="967">
        <f t="shared" ca="1" si="2"/>
        <v>-688.92353006068959</v>
      </c>
      <c r="F160" s="965"/>
      <c r="G160" s="965"/>
      <c r="H160" s="965"/>
      <c r="I160" s="965"/>
      <c r="J160" s="965"/>
      <c r="K160" s="965"/>
      <c r="L160" s="965"/>
      <c r="M160" s="965">
        <f>IF('30'!G42="","",'30'!G42)</f>
        <v>-17.747478822105688</v>
      </c>
      <c r="N160" s="965">
        <f ca="1">IF('30'!H42="","",'30'!H42)</f>
        <v>-671.17605123858391</v>
      </c>
      <c r="O160" s="965"/>
      <c r="P160" s="965"/>
      <c r="Q160" s="965"/>
      <c r="R160" s="965" t="str">
        <f>IF('30'!J42="","",'30'!J42)</f>
        <v>LG(L)</v>
      </c>
      <c r="S160" s="965"/>
      <c r="T160" s="965"/>
      <c r="U160" s="965"/>
      <c r="V160" s="965"/>
      <c r="W160" s="965"/>
      <c r="X160" s="965"/>
      <c r="Y160" s="965"/>
      <c r="Z160" s="965"/>
      <c r="AA160" s="965"/>
    </row>
    <row r="161" spans="1:27">
      <c r="A161" s="1085"/>
      <c r="B161" s="1091"/>
      <c r="C161" s="299" t="s">
        <v>606</v>
      </c>
      <c r="D161" s="299" t="s">
        <v>590</v>
      </c>
      <c r="E161" s="967">
        <f t="shared" ca="1" si="2"/>
        <v>-516.69264754551716</v>
      </c>
      <c r="F161" s="965"/>
      <c r="G161" s="965"/>
      <c r="H161" s="965"/>
      <c r="I161" s="965"/>
      <c r="J161" s="965"/>
      <c r="K161" s="965"/>
      <c r="L161" s="965"/>
      <c r="M161" s="965">
        <f>IF('30'!G43="","",'30'!G43)</f>
        <v>-13.310609116579265</v>
      </c>
      <c r="N161" s="965">
        <f ca="1">IF('30'!H43="","",'30'!H43)</f>
        <v>-503.3820384289379</v>
      </c>
      <c r="O161" s="965"/>
      <c r="P161" s="965"/>
      <c r="Q161" s="965"/>
      <c r="R161" s="965" t="str">
        <f>IF('30'!J43="","",'30'!J43)</f>
        <v>LG(L)</v>
      </c>
      <c r="S161" s="965"/>
      <c r="T161" s="965"/>
      <c r="U161" s="965"/>
      <c r="V161" s="965"/>
      <c r="W161" s="965"/>
      <c r="X161" s="965"/>
      <c r="Y161" s="965"/>
      <c r="Z161" s="965"/>
      <c r="AA161" s="965"/>
    </row>
    <row r="162" spans="1:27">
      <c r="A162" s="1085"/>
      <c r="B162" s="1091"/>
      <c r="C162" s="299" t="s">
        <v>607</v>
      </c>
      <c r="D162" s="299" t="s">
        <v>590</v>
      </c>
      <c r="E162" s="967">
        <f t="shared" ca="1" si="2"/>
        <v>-344.46176503034479</v>
      </c>
      <c r="F162" s="965"/>
      <c r="G162" s="965"/>
      <c r="H162" s="965"/>
      <c r="I162" s="965"/>
      <c r="J162" s="965"/>
      <c r="K162" s="965"/>
      <c r="L162" s="965"/>
      <c r="M162" s="965">
        <f>IF('30'!G44="","",'30'!G44)</f>
        <v>-8.8737394110528438</v>
      </c>
      <c r="N162" s="965">
        <f ca="1">IF('30'!H44="","",'30'!H44)</f>
        <v>-335.58802561929195</v>
      </c>
      <c r="O162" s="965"/>
      <c r="P162" s="965"/>
      <c r="Q162" s="965"/>
      <c r="R162" s="965" t="str">
        <f>IF('30'!J44="","",'30'!J44)</f>
        <v>LG(L)</v>
      </c>
      <c r="S162" s="965"/>
      <c r="T162" s="965"/>
      <c r="U162" s="965"/>
      <c r="V162" s="965"/>
      <c r="W162" s="965"/>
      <c r="X162" s="965"/>
      <c r="Y162" s="965"/>
      <c r="Z162" s="965"/>
      <c r="AA162" s="965"/>
    </row>
    <row r="163" spans="1:27">
      <c r="A163" s="1085"/>
      <c r="B163" s="1091"/>
      <c r="C163" s="299" t="s">
        <v>608</v>
      </c>
      <c r="D163" s="299" t="s">
        <v>590</v>
      </c>
      <c r="E163" s="967">
        <f t="shared" si="2"/>
        <v>-1118.1965219788256</v>
      </c>
      <c r="F163" s="965"/>
      <c r="G163" s="965"/>
      <c r="H163" s="965"/>
      <c r="I163" s="965"/>
      <c r="J163" s="965"/>
      <c r="K163" s="965">
        <f>IF('30'!E45="","",'30'!E45)</f>
        <v>9.7679149987972522</v>
      </c>
      <c r="L163" s="965"/>
      <c r="M163" s="965">
        <f>IF('30'!G45="","",'30'!G45)</f>
        <v>-34.662912308930011</v>
      </c>
      <c r="N163" s="965"/>
      <c r="O163" s="965"/>
      <c r="P163" s="965"/>
      <c r="Q163" s="965"/>
      <c r="R163" s="965"/>
      <c r="S163" s="965"/>
      <c r="T163" s="965"/>
      <c r="U163" s="965"/>
      <c r="V163" s="965">
        <f>IF('30'!N45="","",'30'!N45)</f>
        <v>-1093.3015246686928</v>
      </c>
      <c r="W163" s="965"/>
      <c r="X163" s="965"/>
      <c r="Y163" s="965"/>
      <c r="Z163" s="965"/>
      <c r="AA163" s="965"/>
    </row>
    <row r="164" spans="1:27">
      <c r="A164" s="1085"/>
      <c r="B164" s="1091"/>
      <c r="C164" s="299" t="s">
        <v>609</v>
      </c>
      <c r="D164" s="299" t="s">
        <v>590</v>
      </c>
      <c r="E164" s="967">
        <f t="shared" ca="1" si="2"/>
        <v>-708.90569746194603</v>
      </c>
      <c r="F164" s="965"/>
      <c r="G164" s="965"/>
      <c r="H164" s="965"/>
      <c r="I164" s="965"/>
      <c r="J164" s="965"/>
      <c r="K164" s="965">
        <f>IF('30'!E46="","",'30'!E46)</f>
        <v>14.651872498195877</v>
      </c>
      <c r="L164" s="965"/>
      <c r="M164" s="965">
        <f>IF('30'!G46="","",'30'!G46)</f>
        <v>-25.99718423169751</v>
      </c>
      <c r="N164" s="965">
        <f ca="1">IF('30'!H46="","",'30'!H46)</f>
        <v>122.41575777307503</v>
      </c>
      <c r="O164" s="965"/>
      <c r="P164" s="965"/>
      <c r="Q164" s="965"/>
      <c r="R164" s="965"/>
      <c r="S164" s="965"/>
      <c r="T164" s="965"/>
      <c r="U164" s="965"/>
      <c r="V164" s="965">
        <f>IF('30'!N46="","",'30'!N46)</f>
        <v>-819.97614350151946</v>
      </c>
      <c r="W164" s="965"/>
      <c r="X164" s="965"/>
      <c r="Y164" s="965"/>
      <c r="Z164" s="965"/>
      <c r="AA164" s="965"/>
    </row>
    <row r="165" spans="1:27">
      <c r="A165" s="1085"/>
      <c r="B165" s="1091"/>
      <c r="C165" s="299" t="s">
        <v>610</v>
      </c>
      <c r="D165" s="299" t="s">
        <v>590</v>
      </c>
      <c r="E165" s="967">
        <f t="shared" ca="1" si="2"/>
        <v>-248.96007662517371</v>
      </c>
      <c r="F165" s="965"/>
      <c r="G165" s="965"/>
      <c r="H165" s="965"/>
      <c r="I165" s="965"/>
      <c r="J165" s="965"/>
      <c r="K165" s="965">
        <f>IF('30'!E47="","",'30'!E47)</f>
        <v>19.535829997594504</v>
      </c>
      <c r="L165" s="965"/>
      <c r="M165" s="965">
        <f>IF('30'!G47="","",'30'!G47)</f>
        <v>-17.331456154465005</v>
      </c>
      <c r="N165" s="965">
        <f ca="1">IF('30'!H47="","",'30'!H47)</f>
        <v>295.4863118660432</v>
      </c>
      <c r="O165" s="965"/>
      <c r="P165" s="965"/>
      <c r="Q165" s="965"/>
      <c r="R165" s="965"/>
      <c r="S165" s="965"/>
      <c r="T165" s="965"/>
      <c r="U165" s="965"/>
      <c r="V165" s="965">
        <f>IF('30'!N47="","",'30'!N47)</f>
        <v>-546.65076233434638</v>
      </c>
      <c r="W165" s="965"/>
      <c r="X165" s="965"/>
      <c r="Y165" s="965"/>
      <c r="Z165" s="965"/>
      <c r="AA165" s="965"/>
    </row>
    <row r="166" spans="1:27">
      <c r="A166" s="1085"/>
      <c r="B166" s="1091"/>
      <c r="C166" s="299" t="s">
        <v>611</v>
      </c>
      <c r="D166" s="299" t="s">
        <v>590</v>
      </c>
      <c r="E166" s="967">
        <f t="shared" ca="1" si="2"/>
        <v>-294.8771202429686</v>
      </c>
      <c r="F166" s="965"/>
      <c r="G166" s="965"/>
      <c r="H166" s="965"/>
      <c r="I166" s="965"/>
      <c r="J166" s="965"/>
      <c r="K166" s="965">
        <f>IF('30'!E48="","",'30'!E48)</f>
        <v>0.26942542623513155</v>
      </c>
      <c r="L166" s="965" t="str">
        <f>IF('30'!F48="","",'30'!F48)</f>
        <v>LG(L)</v>
      </c>
      <c r="M166" s="965">
        <f>IF('30'!G48="","",'30'!G48)</f>
        <v>-10.21331636980492</v>
      </c>
      <c r="N166" s="965">
        <f ca="1">IF('30'!H48="","",'30'!H48)</f>
        <v>-284.93322929939882</v>
      </c>
      <c r="O166" s="965"/>
      <c r="P166" s="965"/>
      <c r="Q166" s="965"/>
      <c r="R166" s="965" t="str">
        <f>IF('30'!J48="","",'30'!J48)</f>
        <v>LG(L)</v>
      </c>
      <c r="S166" s="965"/>
      <c r="T166" s="965"/>
      <c r="U166" s="965"/>
      <c r="V166" s="965"/>
      <c r="W166" s="965"/>
      <c r="X166" s="965"/>
      <c r="Y166" s="965"/>
      <c r="Z166" s="965"/>
      <c r="AA166" s="965"/>
    </row>
    <row r="167" spans="1:27">
      <c r="A167" s="1085"/>
      <c r="B167" s="1091"/>
      <c r="C167" s="299" t="s">
        <v>612</v>
      </c>
      <c r="D167" s="299" t="s">
        <v>590</v>
      </c>
      <c r="E167" s="967">
        <f t="shared" ca="1" si="2"/>
        <v>-220.95577111255014</v>
      </c>
      <c r="F167" s="965"/>
      <c r="G167" s="965"/>
      <c r="H167" s="965"/>
      <c r="I167" s="965"/>
      <c r="J167" s="965"/>
      <c r="K167" s="965">
        <f>IF('30'!E49="","",'30'!E49)</f>
        <v>0.40413813935269732</v>
      </c>
      <c r="L167" s="965" t="str">
        <f>IF('30'!F49="","",'30'!F49)</f>
        <v>LG(L)</v>
      </c>
      <c r="M167" s="965">
        <f>IF('30'!G49="","",'30'!G49)</f>
        <v>-7.6599872773536894</v>
      </c>
      <c r="N167" s="965">
        <f ca="1">IF('30'!H49="","",'30'!H49)</f>
        <v>-213.69992197454914</v>
      </c>
      <c r="O167" s="965"/>
      <c r="P167" s="965"/>
      <c r="Q167" s="965"/>
      <c r="R167" s="965" t="str">
        <f>IF('30'!J49="","",'30'!J49)</f>
        <v>LG(L)</v>
      </c>
      <c r="S167" s="965"/>
      <c r="T167" s="965"/>
      <c r="U167" s="965"/>
      <c r="V167" s="965"/>
      <c r="W167" s="965"/>
      <c r="X167" s="965"/>
      <c r="Y167" s="965"/>
      <c r="Z167" s="965"/>
      <c r="AA167" s="965"/>
    </row>
    <row r="168" spans="1:27">
      <c r="A168" s="1085"/>
      <c r="B168" s="1091"/>
      <c r="C168" s="299" t="s">
        <v>613</v>
      </c>
      <c r="D168" s="299" t="s">
        <v>590</v>
      </c>
      <c r="E168" s="967">
        <f t="shared" ca="1" si="2"/>
        <v>-147.03442198213162</v>
      </c>
      <c r="F168" s="965"/>
      <c r="G168" s="965"/>
      <c r="H168" s="965"/>
      <c r="I168" s="965"/>
      <c r="J168" s="965"/>
      <c r="K168" s="965">
        <f>IF('30'!E50="","",'30'!E50)</f>
        <v>0.5388508524702631</v>
      </c>
      <c r="L168" s="965" t="str">
        <f>IF('30'!F50="","",'30'!F50)</f>
        <v>LG(L)</v>
      </c>
      <c r="M168" s="965">
        <f>IF('30'!G50="","",'30'!G50)</f>
        <v>-5.1066581849024599</v>
      </c>
      <c r="N168" s="965">
        <f ca="1">IF('30'!H50="","",'30'!H50)</f>
        <v>-142.46661464969941</v>
      </c>
      <c r="O168" s="965"/>
      <c r="P168" s="965"/>
      <c r="Q168" s="965"/>
      <c r="R168" s="965" t="str">
        <f>IF('30'!J50="","",'30'!J50)</f>
        <v>LG(L)</v>
      </c>
      <c r="S168" s="965"/>
      <c r="T168" s="965"/>
      <c r="U168" s="965"/>
      <c r="V168" s="965"/>
      <c r="W168" s="965"/>
      <c r="X168" s="965"/>
      <c r="Y168" s="965"/>
      <c r="Z168" s="965"/>
      <c r="AA168" s="965"/>
    </row>
    <row r="169" spans="1:27">
      <c r="A169" s="1085"/>
      <c r="B169" s="1091"/>
      <c r="C169" s="299" t="s">
        <v>614</v>
      </c>
      <c r="D169" s="299" t="s">
        <v>590</v>
      </c>
      <c r="E169" s="967">
        <f t="shared" ca="1" si="2"/>
        <v>-162.17770532948427</v>
      </c>
      <c r="F169" s="965"/>
      <c r="G169" s="965"/>
      <c r="H169" s="965"/>
      <c r="I169" s="965"/>
      <c r="J169" s="965"/>
      <c r="K169" s="965"/>
      <c r="L169" s="965" t="str">
        <f>IF('30'!F51="","",'30'!F51)</f>
        <v>LG(L)</v>
      </c>
      <c r="M169" s="965">
        <f>IF('30'!G51="","",'30'!G51)</f>
        <v>-10.21331636980492</v>
      </c>
      <c r="N169" s="965">
        <f ca="1">IF('30'!H51="","",'30'!H51)</f>
        <v>-151.96438895967935</v>
      </c>
      <c r="O169" s="965"/>
      <c r="P169" s="965"/>
      <c r="Q169" s="965"/>
      <c r="R169" s="965" t="str">
        <f>IF('30'!J51="","",'30'!J51)</f>
        <v>LG(L)</v>
      </c>
      <c r="S169" s="965"/>
      <c r="T169" s="965"/>
      <c r="U169" s="965"/>
      <c r="V169" s="965"/>
      <c r="W169" s="965"/>
      <c r="X169" s="965"/>
      <c r="Y169" s="965"/>
      <c r="Z169" s="965"/>
      <c r="AA169" s="965"/>
    </row>
    <row r="170" spans="1:27">
      <c r="A170" s="1085"/>
      <c r="B170" s="1091"/>
      <c r="C170" s="299" t="s">
        <v>615</v>
      </c>
      <c r="D170" s="299" t="s">
        <v>590</v>
      </c>
      <c r="E170" s="967">
        <f t="shared" ca="1" si="2"/>
        <v>1393.7893775730226</v>
      </c>
      <c r="F170" s="965"/>
      <c r="G170" s="965"/>
      <c r="H170" s="965"/>
      <c r="I170" s="965"/>
      <c r="J170" s="965"/>
      <c r="K170" s="965"/>
      <c r="L170" s="965" t="str">
        <f>IF('30'!F52="","",'30'!F52)</f>
        <v>LG(L)</v>
      </c>
      <c r="M170" s="965">
        <f>IF('30'!G52="","",'30'!G52)</f>
        <v>-7.6599872773536894</v>
      </c>
      <c r="N170" s="965">
        <f ca="1">IF('30'!H52="","",'30'!H52)</f>
        <v>1401.4493648503762</v>
      </c>
      <c r="O170" s="965"/>
      <c r="P170" s="965"/>
      <c r="Q170" s="965"/>
      <c r="R170" s="965" t="str">
        <f>IF('30'!J52="","",'30'!J52)</f>
        <v>LG(L)</v>
      </c>
      <c r="S170" s="965"/>
      <c r="T170" s="965"/>
      <c r="U170" s="965"/>
      <c r="V170" s="965"/>
      <c r="W170" s="965"/>
      <c r="X170" s="965"/>
      <c r="Y170" s="965"/>
      <c r="Z170" s="965"/>
      <c r="AA170" s="965"/>
    </row>
    <row r="171" spans="1:27">
      <c r="A171" s="1085"/>
      <c r="B171" s="1091"/>
      <c r="C171" s="299" t="s">
        <v>616</v>
      </c>
      <c r="D171" s="299" t="s">
        <v>590</v>
      </c>
      <c r="E171" s="967">
        <f t="shared" ca="1" si="2"/>
        <v>7474.9182650526473</v>
      </c>
      <c r="F171" s="965"/>
      <c r="G171" s="965"/>
      <c r="H171" s="965"/>
      <c r="I171" s="965"/>
      <c r="J171" s="965"/>
      <c r="K171" s="965"/>
      <c r="L171" s="965" t="str">
        <f>IF('30'!F53="","",'30'!F53)</f>
        <v>LG(L)</v>
      </c>
      <c r="M171" s="965">
        <f>IF('30'!G53="","",'30'!G53)</f>
        <v>-5.1066581849024599</v>
      </c>
      <c r="N171" s="965">
        <f ca="1">IF('30'!H53="","",'30'!H53)</f>
        <v>7480.02492323755</v>
      </c>
      <c r="O171" s="965"/>
      <c r="P171" s="965"/>
      <c r="Q171" s="965"/>
      <c r="R171" s="965" t="str">
        <f>IF('30'!J53="","",'30'!J53)</f>
        <v>LG(L)</v>
      </c>
      <c r="S171" s="965"/>
      <c r="T171" s="965"/>
      <c r="U171" s="965"/>
      <c r="V171" s="965"/>
      <c r="W171" s="965"/>
      <c r="X171" s="965"/>
      <c r="Y171" s="965"/>
      <c r="Z171" s="965"/>
      <c r="AA171" s="965"/>
    </row>
    <row r="172" spans="1:27">
      <c r="A172" s="1085"/>
      <c r="B172" s="1091"/>
      <c r="C172" s="299" t="s">
        <v>617</v>
      </c>
      <c r="D172" s="299" t="s">
        <v>590</v>
      </c>
      <c r="E172" s="967">
        <f t="shared" ca="1" si="2"/>
        <v>-8392.9535614086835</v>
      </c>
      <c r="F172" s="965"/>
      <c r="G172" s="965"/>
      <c r="H172" s="965"/>
      <c r="I172" s="965"/>
      <c r="J172" s="965">
        <f>IF('30'!D54="","",'30'!D54)</f>
        <v>-19.332984418995487</v>
      </c>
      <c r="K172" s="965">
        <f>IF('30'!E54="","",'30'!E54)</f>
        <v>-3085.6824060175295</v>
      </c>
      <c r="L172" s="965">
        <f>IF('30'!F54="","",'30'!F54)</f>
        <v>-4300.2081057679961</v>
      </c>
      <c r="M172" s="965">
        <f>IF('30'!G54="","",'30'!G54)</f>
        <v>-151.92592592592595</v>
      </c>
      <c r="N172" s="965">
        <f ca="1">IF('30'!H54="","",'30'!H54)</f>
        <v>-835.80413927823656</v>
      </c>
      <c r="O172" s="965"/>
      <c r="P172" s="965"/>
      <c r="Q172" s="965"/>
      <c r="R172" s="965" t="str">
        <f>IF('30'!J54="","",'30'!J54)</f>
        <v>LG(L)</v>
      </c>
      <c r="S172" s="965"/>
      <c r="T172" s="965"/>
      <c r="U172" s="965"/>
      <c r="V172" s="965"/>
      <c r="W172" s="965"/>
      <c r="X172" s="965"/>
      <c r="Y172" s="965"/>
      <c r="Z172" s="965"/>
      <c r="AA172" s="965"/>
    </row>
    <row r="173" spans="1:27">
      <c r="A173" s="1085"/>
      <c r="B173" s="1091"/>
      <c r="C173" s="299" t="s">
        <v>618</v>
      </c>
      <c r="D173" s="299" t="s">
        <v>590</v>
      </c>
      <c r="E173" s="967">
        <f t="shared" ca="1" si="2"/>
        <v>-6294.7151710565122</v>
      </c>
      <c r="F173" s="965"/>
      <c r="G173" s="965"/>
      <c r="H173" s="965"/>
      <c r="I173" s="965"/>
      <c r="J173" s="965">
        <f>IF('30'!D55="","",'30'!D55)</f>
        <v>-14.499738314246615</v>
      </c>
      <c r="K173" s="965">
        <f>IF('30'!E55="","",'30'!E55)</f>
        <v>-2314.2618045131471</v>
      </c>
      <c r="L173" s="965">
        <f>IF('30'!F55="","",'30'!F55)</f>
        <v>-3225.1560793259969</v>
      </c>
      <c r="M173" s="965">
        <f>IF('30'!G55="","",'30'!G55)</f>
        <v>-113.94444444444446</v>
      </c>
      <c r="N173" s="965">
        <f ca="1">IF('30'!H55="","",'30'!H55)</f>
        <v>-626.85310445867742</v>
      </c>
      <c r="O173" s="965"/>
      <c r="P173" s="965"/>
      <c r="Q173" s="965"/>
      <c r="R173" s="965" t="str">
        <f>IF('30'!J55="","",'30'!J55)</f>
        <v>LG(L)</v>
      </c>
      <c r="S173" s="965"/>
      <c r="T173" s="965"/>
      <c r="U173" s="965"/>
      <c r="V173" s="965"/>
      <c r="W173" s="965"/>
      <c r="X173" s="965"/>
      <c r="Y173" s="965"/>
      <c r="Z173" s="965"/>
      <c r="AA173" s="965"/>
    </row>
    <row r="174" spans="1:27">
      <c r="A174" s="1085"/>
      <c r="B174" s="1091"/>
      <c r="C174" s="299" t="s">
        <v>619</v>
      </c>
      <c r="D174" s="299" t="s">
        <v>590</v>
      </c>
      <c r="E174" s="967">
        <f t="shared" ca="1" si="2"/>
        <v>-4196.4767807043418</v>
      </c>
      <c r="F174" s="965"/>
      <c r="G174" s="965"/>
      <c r="H174" s="965"/>
      <c r="I174" s="965"/>
      <c r="J174" s="965">
        <f>IF('30'!D56="","",'30'!D56)</f>
        <v>-9.6664922094977435</v>
      </c>
      <c r="K174" s="965">
        <f>IF('30'!E56="","",'30'!E56)</f>
        <v>-1542.8412030087648</v>
      </c>
      <c r="L174" s="965">
        <f>IF('30'!F56="","",'30'!F56)</f>
        <v>-2150.1040528839981</v>
      </c>
      <c r="M174" s="965">
        <f>IF('30'!G56="","",'30'!G56)</f>
        <v>-75.962962962962976</v>
      </c>
      <c r="N174" s="965">
        <f ca="1">IF('30'!H56="","",'30'!H56)</f>
        <v>-417.90206963911828</v>
      </c>
      <c r="O174" s="965"/>
      <c r="P174" s="965"/>
      <c r="Q174" s="965"/>
      <c r="R174" s="965" t="str">
        <f>IF('30'!J56="","",'30'!J56)</f>
        <v>LG(L)</v>
      </c>
      <c r="S174" s="965"/>
      <c r="T174" s="965"/>
      <c r="U174" s="965"/>
      <c r="V174" s="965"/>
      <c r="W174" s="965"/>
      <c r="X174" s="965"/>
      <c r="Y174" s="965"/>
      <c r="Z174" s="965"/>
      <c r="AA174" s="965"/>
    </row>
    <row r="175" spans="1:27">
      <c r="A175" s="1085"/>
      <c r="B175" s="1091"/>
      <c r="C175" s="299" t="s">
        <v>620</v>
      </c>
      <c r="D175" s="299" t="s">
        <v>621</v>
      </c>
      <c r="E175" s="967">
        <f t="shared" si="2"/>
        <v>0</v>
      </c>
      <c r="F175" s="965"/>
      <c r="G175" s="965"/>
      <c r="H175" s="965"/>
      <c r="I175" s="965"/>
      <c r="J175" s="965"/>
      <c r="K175" s="965"/>
      <c r="L175" s="965"/>
      <c r="M175" s="965"/>
      <c r="N175" s="965"/>
      <c r="O175" s="965"/>
      <c r="P175" s="965"/>
      <c r="Q175" s="965"/>
      <c r="R175" s="965"/>
      <c r="S175" s="965"/>
      <c r="T175" s="965"/>
      <c r="U175" s="965"/>
      <c r="V175" s="965"/>
      <c r="W175" s="965"/>
      <c r="X175" s="965"/>
      <c r="Y175" s="965"/>
      <c r="Z175" s="965"/>
      <c r="AA175" s="965"/>
    </row>
    <row r="176" spans="1:27">
      <c r="A176" s="1085"/>
      <c r="B176" s="1091"/>
      <c r="C176" s="299" t="s">
        <v>622</v>
      </c>
      <c r="D176" s="299" t="s">
        <v>623</v>
      </c>
      <c r="E176" s="967">
        <f t="shared" si="2"/>
        <v>-28156.545890101625</v>
      </c>
      <c r="F176" s="965"/>
      <c r="G176" s="965"/>
      <c r="H176" s="965"/>
      <c r="I176" s="965"/>
      <c r="J176" s="965"/>
      <c r="K176" s="965"/>
      <c r="L176" s="965"/>
      <c r="M176" s="965"/>
      <c r="N176" s="965"/>
      <c r="O176" s="965"/>
      <c r="P176" s="965"/>
      <c r="Q176" s="965"/>
      <c r="R176" s="965">
        <f>IF('30'!J58="","",'30'!J58)</f>
        <v>-28156.545890101625</v>
      </c>
      <c r="S176" s="965"/>
      <c r="T176" s="965"/>
      <c r="U176" s="965"/>
      <c r="V176" s="965"/>
      <c r="W176" s="965"/>
      <c r="X176" s="965"/>
      <c r="Y176" s="965"/>
      <c r="Z176" s="965"/>
      <c r="AA176" s="965"/>
    </row>
    <row r="177" spans="1:27">
      <c r="A177" s="1085"/>
      <c r="B177" s="1091"/>
      <c r="C177" s="299" t="s">
        <v>624</v>
      </c>
      <c r="D177" s="299" t="s">
        <v>623</v>
      </c>
      <c r="E177" s="967">
        <f t="shared" si="2"/>
        <v>-25340.891301091462</v>
      </c>
      <c r="F177" s="965"/>
      <c r="G177" s="965"/>
      <c r="H177" s="965"/>
      <c r="I177" s="965"/>
      <c r="J177" s="965"/>
      <c r="K177" s="965"/>
      <c r="L177" s="965"/>
      <c r="M177" s="965"/>
      <c r="N177" s="965"/>
      <c r="O177" s="965"/>
      <c r="P177" s="965"/>
      <c r="Q177" s="965"/>
      <c r="R177" s="965">
        <f>IF('30'!J59="","",'30'!J59)</f>
        <v>-25340.891301091462</v>
      </c>
      <c r="S177" s="965"/>
      <c r="T177" s="965"/>
      <c r="U177" s="965"/>
      <c r="V177" s="965"/>
      <c r="W177" s="965"/>
      <c r="X177" s="965"/>
      <c r="Y177" s="965"/>
      <c r="Z177" s="965"/>
      <c r="AA177" s="965"/>
    </row>
    <row r="178" spans="1:27">
      <c r="A178" s="1085"/>
      <c r="B178" s="1091"/>
      <c r="C178" s="299" t="s">
        <v>625</v>
      </c>
      <c r="D178" s="299" t="s">
        <v>623</v>
      </c>
      <c r="E178" s="967">
        <f t="shared" si="2"/>
        <v>-22525.2367120813</v>
      </c>
      <c r="F178" s="965"/>
      <c r="G178" s="965"/>
      <c r="H178" s="965"/>
      <c r="I178" s="965"/>
      <c r="J178" s="965"/>
      <c r="K178" s="965"/>
      <c r="L178" s="965"/>
      <c r="M178" s="965"/>
      <c r="N178" s="965"/>
      <c r="O178" s="965"/>
      <c r="P178" s="965"/>
      <c r="Q178" s="965"/>
      <c r="R178" s="965">
        <f>IF('30'!J60="","",'30'!J60)</f>
        <v>-22525.2367120813</v>
      </c>
      <c r="S178" s="965"/>
      <c r="T178" s="965"/>
      <c r="U178" s="965"/>
      <c r="V178" s="965"/>
      <c r="W178" s="965"/>
      <c r="X178" s="965"/>
      <c r="Y178" s="965"/>
      <c r="Z178" s="965"/>
      <c r="AA178" s="965"/>
    </row>
    <row r="179" spans="1:27">
      <c r="A179" s="1086"/>
      <c r="B179" s="1091"/>
      <c r="C179" s="299" t="s">
        <v>626</v>
      </c>
      <c r="D179" s="299" t="s">
        <v>623</v>
      </c>
      <c r="E179" s="967">
        <f t="shared" si="2"/>
        <v>-154740.82139648063</v>
      </c>
      <c r="F179" s="965"/>
      <c r="G179" s="965"/>
      <c r="H179" s="965"/>
      <c r="I179" s="965"/>
      <c r="J179" s="965"/>
      <c r="K179" s="965"/>
      <c r="L179" s="965"/>
      <c r="M179" s="965"/>
      <c r="N179" s="965"/>
      <c r="O179" s="965"/>
      <c r="P179" s="965"/>
      <c r="Q179" s="965"/>
      <c r="R179" s="967">
        <f>IF('30'!J61="","",'30'!J61)</f>
        <v>-154740.82139648063</v>
      </c>
      <c r="S179" s="965"/>
      <c r="T179" s="965"/>
      <c r="U179" s="965"/>
      <c r="V179" s="965"/>
      <c r="W179" s="965"/>
      <c r="X179" s="965"/>
      <c r="Y179" s="965"/>
      <c r="Z179" s="965"/>
      <c r="AA179" s="965"/>
    </row>
    <row r="180" spans="1:27">
      <c r="A180" s="1084">
        <v>31</v>
      </c>
      <c r="B180" s="1091" t="s">
        <v>415</v>
      </c>
      <c r="C180" s="278" t="s">
        <v>627</v>
      </c>
      <c r="D180" s="278" t="s">
        <v>416</v>
      </c>
      <c r="E180" s="967">
        <f t="shared" ca="1" si="2"/>
        <v>422.12330266577601</v>
      </c>
      <c r="F180" s="964"/>
      <c r="G180" s="964"/>
      <c r="H180" s="964"/>
      <c r="I180" s="964"/>
      <c r="J180" s="964"/>
      <c r="K180" s="964"/>
      <c r="L180" s="964"/>
      <c r="M180" s="964"/>
      <c r="N180" s="964">
        <f ca="1">IF('31'!D11="","",'31'!D11)</f>
        <v>422.12330266577601</v>
      </c>
      <c r="O180" s="964"/>
      <c r="P180" s="964"/>
      <c r="Q180" s="964"/>
      <c r="R180" s="964"/>
      <c r="S180" s="964" t="str">
        <f>IF('31'!E11="","",'31'!E11)</f>
        <v>LG(H)</v>
      </c>
      <c r="T180" s="964"/>
      <c r="U180" s="964"/>
      <c r="V180" s="964"/>
      <c r="W180" s="964"/>
      <c r="X180" s="964"/>
      <c r="Y180" s="964"/>
      <c r="Z180" s="964"/>
      <c r="AA180" s="964"/>
    </row>
    <row r="181" spans="1:27">
      <c r="A181" s="1085"/>
      <c r="B181" s="1091"/>
      <c r="C181" s="278" t="s">
        <v>628</v>
      </c>
      <c r="D181" s="278" t="s">
        <v>416</v>
      </c>
      <c r="E181" s="967">
        <f t="shared" ca="1" si="2"/>
        <v>422.12330266577601</v>
      </c>
      <c r="F181" s="964"/>
      <c r="G181" s="964"/>
      <c r="H181" s="964"/>
      <c r="I181" s="964"/>
      <c r="J181" s="964"/>
      <c r="K181" s="964"/>
      <c r="L181" s="964"/>
      <c r="M181" s="964"/>
      <c r="N181" s="964">
        <f ca="1">IF('31'!D12="","",'31'!D12)</f>
        <v>422.12330266577601</v>
      </c>
      <c r="O181" s="964"/>
      <c r="P181" s="964"/>
      <c r="Q181" s="964"/>
      <c r="R181" s="964"/>
      <c r="S181" s="964" t="str">
        <f>IF('31'!E12="","",'31'!E12)</f>
        <v>LG(H)</v>
      </c>
      <c r="T181" s="964"/>
      <c r="U181" s="964"/>
      <c r="V181" s="964"/>
      <c r="W181" s="964"/>
      <c r="X181" s="964"/>
      <c r="Y181" s="964"/>
      <c r="Z181" s="964"/>
      <c r="AA181" s="964"/>
    </row>
    <row r="182" spans="1:27" ht="31.5" customHeight="1">
      <c r="A182" s="1086"/>
      <c r="B182" s="1091"/>
      <c r="C182" s="278" t="s">
        <v>629</v>
      </c>
      <c r="D182" s="278" t="s">
        <v>416</v>
      </c>
      <c r="E182" s="967">
        <f t="shared" ca="1" si="2"/>
        <v>422.12330266577601</v>
      </c>
      <c r="F182" s="964"/>
      <c r="G182" s="964"/>
      <c r="H182" s="964"/>
      <c r="I182" s="964"/>
      <c r="J182" s="964"/>
      <c r="K182" s="964"/>
      <c r="L182" s="964"/>
      <c r="M182" s="964"/>
      <c r="N182" s="964">
        <f ca="1">IF('31'!D13="","",'31'!D13)</f>
        <v>422.12330266577601</v>
      </c>
      <c r="O182" s="964"/>
      <c r="P182" s="964"/>
      <c r="Q182" s="964"/>
      <c r="R182" s="964"/>
      <c r="S182" s="964" t="str">
        <f>IF('31'!E13="","",'31'!E13)</f>
        <v>LG(H)</v>
      </c>
      <c r="T182" s="964"/>
      <c r="U182" s="964"/>
      <c r="V182" s="964"/>
      <c r="W182" s="964"/>
      <c r="X182" s="964"/>
      <c r="Y182" s="964"/>
      <c r="Z182" s="964"/>
      <c r="AA182" s="964"/>
    </row>
    <row r="183" spans="1:27">
      <c r="A183" s="1084">
        <v>32</v>
      </c>
      <c r="B183" s="1091" t="s">
        <v>417</v>
      </c>
      <c r="C183" s="278" t="s">
        <v>630</v>
      </c>
      <c r="D183" s="278" t="s">
        <v>418</v>
      </c>
      <c r="E183" s="967">
        <f t="shared" si="2"/>
        <v>8862.5212578658411</v>
      </c>
      <c r="F183" s="966"/>
      <c r="G183" s="966"/>
      <c r="H183" s="966"/>
      <c r="I183" s="966"/>
      <c r="J183" s="966"/>
      <c r="K183" s="966"/>
      <c r="L183" s="966"/>
      <c r="M183" s="966"/>
      <c r="N183" s="966"/>
      <c r="O183" s="966"/>
      <c r="P183" s="966"/>
      <c r="Q183" s="966"/>
      <c r="R183" s="966">
        <f>IF('32'!D11="","",'32'!D11)</f>
        <v>134.2388591521578</v>
      </c>
      <c r="S183" s="966" t="str">
        <f>IF('32'!E11="","",'32'!E11)</f>
        <v>LG(H)</v>
      </c>
      <c r="T183" s="966"/>
      <c r="U183" s="966"/>
      <c r="V183" s="966"/>
      <c r="W183" s="966"/>
      <c r="X183" s="966">
        <f>IF('32'!F11="","",'32'!F11)</f>
        <v>8728.2823987136835</v>
      </c>
      <c r="Y183" s="966"/>
      <c r="Z183" s="966"/>
      <c r="AA183" s="966"/>
    </row>
    <row r="184" spans="1:27">
      <c r="A184" s="1085"/>
      <c r="B184" s="1091"/>
      <c r="C184" s="278" t="s">
        <v>631</v>
      </c>
      <c r="D184" s="278" t="s">
        <v>418</v>
      </c>
      <c r="E184" s="967">
        <f t="shared" si="2"/>
        <v>17799.354484171152</v>
      </c>
      <c r="F184" s="966"/>
      <c r="G184" s="966"/>
      <c r="H184" s="966"/>
      <c r="I184" s="966"/>
      <c r="J184" s="966"/>
      <c r="K184" s="966"/>
      <c r="L184" s="966"/>
      <c r="M184" s="966"/>
      <c r="N184" s="966"/>
      <c r="O184" s="966"/>
      <c r="P184" s="966"/>
      <c r="Q184" s="966"/>
      <c r="R184" s="966"/>
      <c r="S184" s="966" t="str">
        <f>IF('32'!E12="","",'32'!E12)</f>
        <v>LG(H)</v>
      </c>
      <c r="T184" s="966"/>
      <c r="U184" s="966"/>
      <c r="V184" s="966"/>
      <c r="W184" s="966"/>
      <c r="X184" s="966">
        <f>IF('32'!F12="","",'32'!F12)</f>
        <v>17799.354484171152</v>
      </c>
      <c r="Y184" s="966"/>
      <c r="Z184" s="966"/>
      <c r="AA184" s="966"/>
    </row>
    <row r="185" spans="1:27">
      <c r="A185" s="1085"/>
      <c r="B185" s="1091"/>
      <c r="C185" s="278" t="s">
        <v>632</v>
      </c>
      <c r="D185" s="278" t="s">
        <v>418</v>
      </c>
      <c r="E185" s="967">
        <f t="shared" si="2"/>
        <v>10895.024209373591</v>
      </c>
      <c r="F185" s="966"/>
      <c r="G185" s="966"/>
      <c r="H185" s="966"/>
      <c r="I185" s="966"/>
      <c r="J185" s="966"/>
      <c r="K185" s="966"/>
      <c r="L185" s="966"/>
      <c r="M185" s="966"/>
      <c r="N185" s="966"/>
      <c r="O185" s="966"/>
      <c r="P185" s="966"/>
      <c r="Q185" s="966"/>
      <c r="R185" s="966">
        <f>IF('32'!D13="","",'32'!D13)</f>
        <v>539.56201639799349</v>
      </c>
      <c r="S185" s="966" t="str">
        <f>IF('32'!E13="","",'32'!E13)</f>
        <v>LG(H)</v>
      </c>
      <c r="T185" s="966"/>
      <c r="U185" s="966"/>
      <c r="V185" s="966"/>
      <c r="W185" s="966"/>
      <c r="X185" s="966">
        <f>IF('32'!F13="","",'32'!F13)</f>
        <v>10355.462192975598</v>
      </c>
      <c r="Y185" s="966"/>
      <c r="Z185" s="966"/>
      <c r="AA185" s="966"/>
    </row>
    <row r="186" spans="1:27">
      <c r="A186" s="1086"/>
      <c r="B186" s="1091"/>
      <c r="C186" s="278" t="s">
        <v>633</v>
      </c>
      <c r="D186" s="278" t="s">
        <v>418</v>
      </c>
      <c r="E186" s="967">
        <f t="shared" si="2"/>
        <v>80093.881525456964</v>
      </c>
      <c r="F186" s="964"/>
      <c r="G186" s="964"/>
      <c r="H186" s="964"/>
      <c r="I186" s="964"/>
      <c r="J186" s="964"/>
      <c r="K186" s="964"/>
      <c r="L186" s="964"/>
      <c r="M186" s="964"/>
      <c r="N186" s="964"/>
      <c r="O186" s="964"/>
      <c r="P186" s="964"/>
      <c r="Q186" s="964"/>
      <c r="R186" s="964"/>
      <c r="S186" s="964" t="str">
        <f>IF('32'!E14="","",'32'!E14)</f>
        <v>LG(H)</v>
      </c>
      <c r="T186" s="964"/>
      <c r="U186" s="964"/>
      <c r="V186" s="964"/>
      <c r="W186" s="964"/>
      <c r="X186" s="964">
        <f>IF('32'!F14="","",'32'!F14)</f>
        <v>80093.881525456964</v>
      </c>
      <c r="Y186" s="964"/>
      <c r="Z186" s="964"/>
      <c r="AA186" s="964"/>
    </row>
    <row r="187" spans="1:27">
      <c r="A187" s="1084">
        <v>33</v>
      </c>
      <c r="B187" s="1091" t="s">
        <v>419</v>
      </c>
      <c r="C187" s="299" t="s">
        <v>634</v>
      </c>
      <c r="D187" s="299" t="s">
        <v>420</v>
      </c>
      <c r="E187" s="967">
        <f t="shared" si="2"/>
        <v>-1.317726347656756</v>
      </c>
      <c r="F187" s="965"/>
      <c r="G187" s="965" t="str">
        <f>IF('33'!D11="","",'33'!D11)</f>
        <v>AC</v>
      </c>
      <c r="H187" s="965"/>
      <c r="I187" s="965"/>
      <c r="J187" s="965"/>
      <c r="K187" s="965">
        <f>IF('33'!E11="","",'33'!E11)</f>
        <v>-1.317726347656756</v>
      </c>
      <c r="L187" s="965"/>
      <c r="M187" s="965"/>
      <c r="N187" s="965"/>
      <c r="O187" s="965"/>
      <c r="P187" s="965"/>
      <c r="Q187" s="965"/>
      <c r="R187" s="965"/>
      <c r="S187" s="965"/>
      <c r="T187" s="965" t="str">
        <f>IF('33'!F11="","",'33'!F11)</f>
        <v>&lt;/&gt;</v>
      </c>
      <c r="U187" s="965"/>
      <c r="V187" s="965"/>
      <c r="W187" s="965"/>
      <c r="X187" s="965"/>
      <c r="Y187" s="965"/>
      <c r="Z187" s="965"/>
      <c r="AA187" s="965"/>
    </row>
    <row r="188" spans="1:27">
      <c r="A188" s="1085"/>
      <c r="B188" s="1091"/>
      <c r="C188" s="299" t="s">
        <v>635</v>
      </c>
      <c r="D188" s="299" t="s">
        <v>420</v>
      </c>
      <c r="E188" s="967">
        <f t="shared" si="2"/>
        <v>-45.462889076058175</v>
      </c>
      <c r="F188" s="965"/>
      <c r="G188" s="965" t="str">
        <f>IF('33'!D12="","",'33'!D12)</f>
        <v>AC</v>
      </c>
      <c r="H188" s="965"/>
      <c r="I188" s="965"/>
      <c r="J188" s="965"/>
      <c r="K188" s="965">
        <f>IF('33'!E12="","",'33'!E12)</f>
        <v>-45.462889076058175</v>
      </c>
      <c r="L188" s="965"/>
      <c r="M188" s="965"/>
      <c r="N188" s="965"/>
      <c r="O188" s="965"/>
      <c r="P188" s="965"/>
      <c r="Q188" s="965"/>
      <c r="R188" s="965"/>
      <c r="S188" s="965"/>
      <c r="T188" s="965" t="str">
        <f>IF('33'!F12="","",'33'!F12)</f>
        <v>&lt;/&gt;</v>
      </c>
      <c r="U188" s="965"/>
      <c r="V188" s="965"/>
      <c r="W188" s="965"/>
      <c r="X188" s="965"/>
      <c r="Y188" s="965"/>
      <c r="Z188" s="965"/>
      <c r="AA188" s="965"/>
    </row>
    <row r="189" spans="1:27">
      <c r="A189" s="1086"/>
      <c r="B189" s="1091"/>
      <c r="C189" s="299" t="s">
        <v>636</v>
      </c>
      <c r="D189" s="299" t="s">
        <v>420</v>
      </c>
      <c r="E189" s="967">
        <f t="shared" si="2"/>
        <v>-0.52934306273391052</v>
      </c>
      <c r="F189" s="278"/>
      <c r="G189" s="965"/>
      <c r="H189" s="965"/>
      <c r="I189" s="965"/>
      <c r="J189" s="965"/>
      <c r="K189" s="965">
        <f>IF('33'!E13="","",'33'!E13)</f>
        <v>-0.52934306273391052</v>
      </c>
      <c r="L189" s="965"/>
      <c r="M189" s="965"/>
      <c r="N189" s="965"/>
      <c r="O189" s="965"/>
      <c r="P189" s="965"/>
      <c r="Q189" s="965"/>
      <c r="R189" s="965"/>
      <c r="S189" s="965"/>
      <c r="T189" s="965" t="str">
        <f>IF('33'!F13="","",'33'!F13)</f>
        <v>&lt;/&gt;</v>
      </c>
      <c r="U189" s="965"/>
      <c r="V189" s="965"/>
      <c r="W189" s="965"/>
      <c r="X189" s="965"/>
      <c r="Y189" s="965"/>
      <c r="Z189" s="965"/>
      <c r="AA189" s="965"/>
    </row>
    <row r="190" spans="1:27">
      <c r="A190" s="1084">
        <v>34</v>
      </c>
      <c r="B190" s="1091" t="s">
        <v>421</v>
      </c>
      <c r="C190" s="278" t="s">
        <v>637</v>
      </c>
      <c r="D190" s="278" t="s">
        <v>422</v>
      </c>
      <c r="E190" s="967">
        <f t="shared" si="2"/>
        <v>-7489.6259741694439</v>
      </c>
      <c r="F190" s="966"/>
      <c r="G190" s="966"/>
      <c r="H190" s="966"/>
      <c r="I190" s="966"/>
      <c r="J190" s="966"/>
      <c r="K190" s="966"/>
      <c r="L190" s="966"/>
      <c r="M190" s="966"/>
      <c r="N190" s="966"/>
      <c r="O190" s="966"/>
      <c r="P190" s="966"/>
      <c r="Q190" s="966"/>
      <c r="R190" s="966"/>
      <c r="S190" s="966"/>
      <c r="T190" s="966"/>
      <c r="U190" s="966"/>
      <c r="V190" s="966">
        <f>IF('34'!D11="","",'34'!D11)</f>
        <v>-6533.1127607650569</v>
      </c>
      <c r="W190" s="966"/>
      <c r="X190" s="966">
        <f>IF('34'!E11="","",'34'!E11)</f>
        <v>-956.51321340438665</v>
      </c>
      <c r="Y190" s="966"/>
      <c r="Z190" s="966"/>
      <c r="AA190" s="966"/>
    </row>
    <row r="191" spans="1:27">
      <c r="A191" s="1086"/>
      <c r="B191" s="1091"/>
      <c r="C191" s="278" t="s">
        <v>638</v>
      </c>
      <c r="D191" s="278" t="s">
        <v>639</v>
      </c>
      <c r="E191" s="967">
        <f t="shared" si="2"/>
        <v>-1064.4720000000016</v>
      </c>
      <c r="F191" s="964"/>
      <c r="G191" s="964"/>
      <c r="H191" s="964"/>
      <c r="I191" s="964"/>
      <c r="J191" s="964"/>
      <c r="K191" s="964"/>
      <c r="L191" s="964"/>
      <c r="M191" s="964"/>
      <c r="N191" s="964"/>
      <c r="O191" s="964"/>
      <c r="P191" s="964"/>
      <c r="Q191" s="964"/>
      <c r="R191" s="964"/>
      <c r="S191" s="964"/>
      <c r="T191" s="964"/>
      <c r="U191" s="964"/>
      <c r="V191" s="964">
        <f>IF('34'!D12="","",'34'!D12)</f>
        <v>-1064.4720000000016</v>
      </c>
      <c r="W191" s="964"/>
      <c r="X191" s="964" t="str">
        <f>IF('34'!E12="","",'34'!E12)</f>
        <v>LG(H)</v>
      </c>
      <c r="Y191" s="964"/>
      <c r="Z191" s="964"/>
      <c r="AA191" s="964"/>
    </row>
    <row r="192" spans="1:27">
      <c r="A192" s="1084">
        <v>35</v>
      </c>
      <c r="B192" s="1088" t="s">
        <v>424</v>
      </c>
      <c r="C192" s="299" t="s">
        <v>640</v>
      </c>
      <c r="D192" s="299" t="s">
        <v>425</v>
      </c>
      <c r="E192" s="967">
        <f t="shared" si="2"/>
        <v>42.527345511651106</v>
      </c>
      <c r="F192" s="965" t="str">
        <f>IF('35'!D11="","",'35'!D11)</f>
        <v>LG(H)</v>
      </c>
      <c r="G192" s="965"/>
      <c r="H192" s="965"/>
      <c r="I192" s="965"/>
      <c r="J192" s="965"/>
      <c r="K192" s="965"/>
      <c r="L192" s="965"/>
      <c r="M192" s="965"/>
      <c r="N192" s="965"/>
      <c r="O192" s="965"/>
      <c r="P192" s="965"/>
      <c r="Q192" s="965"/>
      <c r="R192" s="965"/>
      <c r="S192" s="965" t="str">
        <f>IF('35'!$E11="","",'35'!$E11)</f>
        <v>LG(H)</v>
      </c>
      <c r="T192" s="965"/>
      <c r="U192" s="965"/>
      <c r="V192" s="965">
        <f>IF('35'!$F11="","",'35'!$F11)</f>
        <v>42.527345511651106</v>
      </c>
      <c r="W192" s="965"/>
      <c r="X192" s="965"/>
      <c r="Y192" s="965"/>
      <c r="Z192" s="965"/>
      <c r="AA192" s="965"/>
    </row>
    <row r="193" spans="1:27">
      <c r="A193" s="1085"/>
      <c r="B193" s="1089"/>
      <c r="C193" s="299" t="s">
        <v>641</v>
      </c>
      <c r="D193" s="299" t="s">
        <v>372</v>
      </c>
      <c r="E193" s="967">
        <f t="shared" si="2"/>
        <v>0</v>
      </c>
      <c r="F193" s="965" t="str">
        <f>IF('35'!D12="","",'35'!D12)</f>
        <v>LG(H)</v>
      </c>
      <c r="G193" s="965"/>
      <c r="H193" s="965"/>
      <c r="I193" s="965"/>
      <c r="J193" s="965"/>
      <c r="K193" s="965"/>
      <c r="L193" s="965"/>
      <c r="M193" s="965"/>
      <c r="N193" s="965"/>
      <c r="O193" s="965"/>
      <c r="P193" s="965"/>
      <c r="Q193" s="965"/>
      <c r="R193" s="965"/>
      <c r="S193" s="965" t="str">
        <f>IF('35'!$E12="","",'35'!$E12)</f>
        <v>LG(H)</v>
      </c>
      <c r="T193" s="965"/>
      <c r="U193" s="965"/>
      <c r="V193" s="965"/>
      <c r="W193" s="965"/>
      <c r="X193" s="965"/>
      <c r="Y193" s="965"/>
      <c r="Z193" s="965"/>
      <c r="AA193" s="965"/>
    </row>
    <row r="194" spans="1:27">
      <c r="A194" s="1086"/>
      <c r="B194" s="1090"/>
      <c r="C194" s="299" t="s">
        <v>642</v>
      </c>
      <c r="D194" s="299" t="s">
        <v>372</v>
      </c>
      <c r="E194" s="967">
        <f t="shared" si="2"/>
        <v>0</v>
      </c>
      <c r="F194" s="965" t="str">
        <f>IF('35'!D13="","",'35'!D13)</f>
        <v>LG(H)</v>
      </c>
      <c r="G194" s="965"/>
      <c r="H194" s="965"/>
      <c r="I194" s="965"/>
      <c r="J194" s="965"/>
      <c r="K194" s="965"/>
      <c r="L194" s="965"/>
      <c r="M194" s="965"/>
      <c r="N194" s="965"/>
      <c r="O194" s="965"/>
      <c r="P194" s="965"/>
      <c r="Q194" s="965"/>
      <c r="R194" s="965"/>
      <c r="S194" s="965" t="str">
        <f>IF('35'!$E13="","",'35'!$E13)</f>
        <v>LG(H)</v>
      </c>
      <c r="T194" s="965"/>
      <c r="U194" s="965"/>
      <c r="V194" s="965"/>
      <c r="W194" s="965"/>
      <c r="X194" s="965"/>
      <c r="Y194" s="965"/>
      <c r="Z194" s="965"/>
      <c r="AA194" s="965"/>
    </row>
    <row r="195" spans="1:27">
      <c r="A195" s="1084">
        <v>36</v>
      </c>
      <c r="B195" s="1088" t="s">
        <v>426</v>
      </c>
      <c r="C195" s="299" t="s">
        <v>643</v>
      </c>
      <c r="D195" s="299" t="s">
        <v>372</v>
      </c>
      <c r="E195" s="967">
        <f t="shared" si="2"/>
        <v>0</v>
      </c>
      <c r="F195" s="965" t="str">
        <f>IF('36'!D11="","",'36'!D11)</f>
        <v>LG(H)</v>
      </c>
      <c r="G195" s="965"/>
      <c r="H195" s="965"/>
      <c r="I195" s="965"/>
      <c r="J195" s="965"/>
      <c r="K195" s="965"/>
      <c r="L195" s="965"/>
      <c r="M195" s="965"/>
      <c r="N195" s="965"/>
      <c r="O195" s="965"/>
      <c r="P195" s="965"/>
      <c r="Q195" s="965"/>
      <c r="R195" s="965"/>
      <c r="S195" s="965" t="str">
        <f>IF('36'!E11="","",'36'!E11)</f>
        <v>LG(H)</v>
      </c>
      <c r="T195" s="965"/>
      <c r="U195" s="965"/>
      <c r="V195" s="965"/>
      <c r="W195" s="965"/>
      <c r="X195" s="965"/>
      <c r="Y195" s="965"/>
      <c r="Z195" s="965"/>
      <c r="AA195" s="965"/>
    </row>
    <row r="196" spans="1:27">
      <c r="A196" s="1085"/>
      <c r="B196" s="1089"/>
      <c r="C196" s="299" t="s">
        <v>644</v>
      </c>
      <c r="D196" s="299" t="s">
        <v>427</v>
      </c>
      <c r="E196" s="967">
        <f t="shared" si="2"/>
        <v>30.636239168121133</v>
      </c>
      <c r="F196" s="965" t="str">
        <f>IF('36'!D12="","",'36'!D12)</f>
        <v>LG(H)</v>
      </c>
      <c r="G196" s="965"/>
      <c r="H196" s="965"/>
      <c r="I196" s="965"/>
      <c r="J196" s="965"/>
      <c r="K196" s="965"/>
      <c r="L196" s="965"/>
      <c r="M196" s="965"/>
      <c r="N196" s="965"/>
      <c r="O196" s="965"/>
      <c r="P196" s="965"/>
      <c r="Q196" s="965"/>
      <c r="R196" s="965"/>
      <c r="S196" s="965" t="str">
        <f>IF('36'!E12="","",'36'!E12)</f>
        <v>LG(H)</v>
      </c>
      <c r="T196" s="965"/>
      <c r="U196" s="965">
        <f>IF('36'!F12="","",'36'!F12)</f>
        <v>30.636239168121133</v>
      </c>
      <c r="V196" s="965"/>
      <c r="W196" s="965"/>
      <c r="X196" s="965"/>
      <c r="Y196" s="965"/>
      <c r="Z196" s="965"/>
      <c r="AA196" s="965"/>
    </row>
    <row r="197" spans="1:27">
      <c r="A197" s="1085"/>
      <c r="B197" s="1089"/>
      <c r="C197" s="299" t="s">
        <v>645</v>
      </c>
      <c r="D197" s="299" t="s">
        <v>427</v>
      </c>
      <c r="E197" s="967">
        <f t="shared" si="2"/>
        <v>30.636239168121133</v>
      </c>
      <c r="F197" s="965" t="str">
        <f>IF('36'!D13="","",'36'!D13)</f>
        <v>LG(H)</v>
      </c>
      <c r="G197" s="965"/>
      <c r="H197" s="965"/>
      <c r="I197" s="965"/>
      <c r="J197" s="965"/>
      <c r="K197" s="965"/>
      <c r="L197" s="965"/>
      <c r="M197" s="965"/>
      <c r="N197" s="965"/>
      <c r="O197" s="965"/>
      <c r="P197" s="965"/>
      <c r="Q197" s="965"/>
      <c r="R197" s="965"/>
      <c r="S197" s="965" t="str">
        <f>IF('36'!E13="","",'36'!E13)</f>
        <v>LG(H)</v>
      </c>
      <c r="T197" s="965"/>
      <c r="U197" s="965">
        <f>IF('36'!F13="","",'36'!F13)</f>
        <v>30.636239168121133</v>
      </c>
      <c r="V197" s="965"/>
      <c r="W197" s="965"/>
      <c r="X197" s="965"/>
      <c r="Y197" s="965"/>
      <c r="Z197" s="965"/>
      <c r="AA197" s="965"/>
    </row>
    <row r="198" spans="1:27">
      <c r="A198" s="1086"/>
      <c r="B198" s="1090"/>
      <c r="C198" s="299" t="s">
        <v>646</v>
      </c>
      <c r="D198" s="299" t="s">
        <v>427</v>
      </c>
      <c r="E198" s="967">
        <f t="shared" si="2"/>
        <v>0.3209074819255418</v>
      </c>
      <c r="F198" s="965" t="str">
        <f>IF('36'!D14="","",'36'!D14)</f>
        <v>LG(H)</v>
      </c>
      <c r="G198" s="965"/>
      <c r="H198" s="965"/>
      <c r="I198" s="965"/>
      <c r="J198" s="965"/>
      <c r="K198" s="965"/>
      <c r="L198" s="965"/>
      <c r="M198" s="965"/>
      <c r="N198" s="965"/>
      <c r="O198" s="965"/>
      <c r="P198" s="965"/>
      <c r="Q198" s="965"/>
      <c r="R198" s="965"/>
      <c r="S198" s="965" t="str">
        <f>IF('36'!E14="","",'36'!E14)</f>
        <v>LG(H)</v>
      </c>
      <c r="T198" s="965"/>
      <c r="U198" s="965"/>
      <c r="V198" s="965"/>
      <c r="W198" s="965"/>
      <c r="X198" s="965">
        <f>IF('36'!G14="","",'36'!G14)</f>
        <v>0.3209074819255418</v>
      </c>
      <c r="Y198" s="965"/>
      <c r="Z198" s="965"/>
      <c r="AA198" s="965"/>
    </row>
    <row r="199" spans="1:27" ht="29.1">
      <c r="A199" s="334">
        <v>37</v>
      </c>
      <c r="B199" s="419" t="s">
        <v>428</v>
      </c>
      <c r="C199" s="299" t="s">
        <v>647</v>
      </c>
      <c r="D199" s="299" t="s">
        <v>429</v>
      </c>
      <c r="E199" s="967">
        <f t="shared" si="2"/>
        <v>0</v>
      </c>
      <c r="F199" s="965" t="s">
        <v>648</v>
      </c>
      <c r="G199" s="965"/>
      <c r="H199" s="965"/>
      <c r="I199" s="965"/>
      <c r="J199" s="965"/>
      <c r="K199" s="965"/>
      <c r="L199" s="965"/>
      <c r="M199" s="965"/>
      <c r="N199" s="965"/>
      <c r="O199" s="965"/>
      <c r="P199" s="965"/>
      <c r="Q199" s="965"/>
      <c r="R199" s="965"/>
      <c r="S199" s="965"/>
      <c r="T199" s="965"/>
      <c r="U199" s="965"/>
      <c r="V199" s="965"/>
      <c r="W199" s="965"/>
      <c r="X199" s="965"/>
      <c r="Y199" s="965"/>
      <c r="Z199" s="965"/>
      <c r="AA199" s="965"/>
    </row>
    <row r="200" spans="1:27">
      <c r="A200" s="1084">
        <v>38</v>
      </c>
      <c r="B200" s="1091" t="s">
        <v>269</v>
      </c>
      <c r="C200" s="278" t="s">
        <v>649</v>
      </c>
      <c r="D200" s="278" t="s">
        <v>430</v>
      </c>
      <c r="E200" s="967">
        <f t="shared" si="2"/>
        <v>-17.880883791267649</v>
      </c>
      <c r="F200" s="966"/>
      <c r="G200" s="966"/>
      <c r="H200" s="966"/>
      <c r="I200" s="966"/>
      <c r="J200" s="966"/>
      <c r="K200" s="966"/>
      <c r="L200" s="966"/>
      <c r="M200" s="966"/>
      <c r="N200" s="966"/>
      <c r="O200" s="966"/>
      <c r="P200" s="966"/>
      <c r="Q200" s="966"/>
      <c r="R200" s="966"/>
      <c r="S200" s="966"/>
      <c r="T200" s="966"/>
      <c r="U200" s="966"/>
      <c r="V200" s="966">
        <f>IF('38'!D11="","",'38'!D11)</f>
        <v>-7.6558608543803048</v>
      </c>
      <c r="W200" s="966"/>
      <c r="X200" s="966">
        <f>IF('38'!E11="","",'38'!E11)</f>
        <v>-10.225022936887344</v>
      </c>
      <c r="Y200" s="966"/>
      <c r="Z200" s="966"/>
      <c r="AA200" s="966"/>
    </row>
    <row r="201" spans="1:27">
      <c r="A201" s="1086"/>
      <c r="B201" s="1091"/>
      <c r="C201" s="278" t="s">
        <v>650</v>
      </c>
      <c r="D201" s="278" t="s">
        <v>430</v>
      </c>
      <c r="E201" s="967">
        <f t="shared" si="2"/>
        <v>-96.915190841071976</v>
      </c>
      <c r="F201" s="966"/>
      <c r="G201" s="966"/>
      <c r="H201" s="966"/>
      <c r="I201" s="966"/>
      <c r="J201" s="966"/>
      <c r="K201" s="966"/>
      <c r="L201" s="966"/>
      <c r="M201" s="966"/>
      <c r="N201" s="966"/>
      <c r="O201" s="966"/>
      <c r="P201" s="966"/>
      <c r="Q201" s="966"/>
      <c r="R201" s="966"/>
      <c r="S201" s="966"/>
      <c r="T201" s="966"/>
      <c r="U201" s="966"/>
      <c r="V201" s="966">
        <f>IF('38'!D12="","",'38'!D12)</f>
        <v>-86.690167904184634</v>
      </c>
      <c r="W201" s="966"/>
      <c r="X201" s="966">
        <f>IF('38'!E12="","",'38'!E12)</f>
        <v>-10.225022936887344</v>
      </c>
      <c r="Y201" s="966"/>
      <c r="Z201" s="966"/>
      <c r="AA201" s="966"/>
    </row>
    <row r="202" spans="1:27">
      <c r="A202" s="1084">
        <v>39</v>
      </c>
      <c r="B202" s="1092" t="s">
        <v>431</v>
      </c>
      <c r="C202" s="299" t="s">
        <v>651</v>
      </c>
      <c r="D202" s="299" t="s">
        <v>652</v>
      </c>
      <c r="E202" s="967">
        <f t="shared" ref="E202:E248" si="3">SUM(F202:AA202)</f>
        <v>-29.04090445224822</v>
      </c>
      <c r="F202" s="965"/>
      <c r="G202" s="965"/>
      <c r="H202" s="968"/>
      <c r="I202" s="968"/>
      <c r="J202" s="968"/>
      <c r="K202" s="968"/>
      <c r="L202" s="968"/>
      <c r="M202" s="968"/>
      <c r="N202" s="968"/>
      <c r="O202" s="968"/>
      <c r="P202" s="968"/>
      <c r="Q202" s="968"/>
      <c r="R202" s="968"/>
      <c r="S202" s="965" t="str">
        <f>IF('39'!F11="","",'39'!F11)</f>
        <v>LG(H)</v>
      </c>
      <c r="T202" s="965" t="str">
        <f>IF('39'!G11="","",'39'!G11)</f>
        <v>LG(L)</v>
      </c>
      <c r="U202" s="965"/>
      <c r="V202" s="965"/>
      <c r="W202" s="965">
        <f>IF('39'!I11="","",'39'!I11)</f>
        <v>-29.04090445224822</v>
      </c>
      <c r="X202" s="965"/>
      <c r="Y202" s="968"/>
      <c r="Z202" s="968"/>
      <c r="AA202" s="968"/>
    </row>
    <row r="203" spans="1:27">
      <c r="A203" s="1085"/>
      <c r="B203" s="1092"/>
      <c r="C203" s="299" t="s">
        <v>653</v>
      </c>
      <c r="D203" s="299" t="s">
        <v>654</v>
      </c>
      <c r="E203" s="967">
        <f t="shared" si="3"/>
        <v>-29.04090445224822</v>
      </c>
      <c r="F203" s="965"/>
      <c r="G203" s="965"/>
      <c r="H203" s="968"/>
      <c r="I203" s="968"/>
      <c r="J203" s="968"/>
      <c r="K203" s="968"/>
      <c r="L203" s="968"/>
      <c r="M203" s="968"/>
      <c r="N203" s="968"/>
      <c r="O203" s="968"/>
      <c r="P203" s="968"/>
      <c r="Q203" s="968"/>
      <c r="R203" s="968"/>
      <c r="S203" s="965" t="str">
        <f>IF('39'!F12="","",'39'!F12)</f>
        <v>LG(H)</v>
      </c>
      <c r="T203" s="965" t="str">
        <f>IF('39'!G12="","",'39'!G12)</f>
        <v>LG(L)</v>
      </c>
      <c r="U203" s="965"/>
      <c r="V203" s="965"/>
      <c r="W203" s="965">
        <f>IF('39'!I12="","",'39'!I12)</f>
        <v>-29.04090445224822</v>
      </c>
      <c r="X203" s="965"/>
      <c r="Y203" s="968"/>
      <c r="Z203" s="968"/>
      <c r="AA203" s="968"/>
    </row>
    <row r="204" spans="1:27">
      <c r="A204" s="1085"/>
      <c r="B204" s="1092"/>
      <c r="C204" s="299" t="s">
        <v>655</v>
      </c>
      <c r="D204" s="299" t="s">
        <v>656</v>
      </c>
      <c r="E204" s="967">
        <f t="shared" si="3"/>
        <v>0</v>
      </c>
      <c r="F204" s="965"/>
      <c r="G204" s="965" t="str">
        <f>IF('39'!E13="","",'39'!E13)</f>
        <v>AC</v>
      </c>
      <c r="H204" s="968"/>
      <c r="I204" s="968"/>
      <c r="J204" s="968"/>
      <c r="K204" s="968"/>
      <c r="L204" s="968"/>
      <c r="M204" s="968"/>
      <c r="N204" s="968"/>
      <c r="O204" s="968"/>
      <c r="P204" s="968"/>
      <c r="Q204" s="968"/>
      <c r="R204" s="968"/>
      <c r="S204" s="965" t="str">
        <f>IF('39'!F13="","",'39'!F13)</f>
        <v>LG(H)</v>
      </c>
      <c r="T204" s="965" t="str">
        <f>IF('39'!G13="","",'39'!G13)</f>
        <v>LG(L)</v>
      </c>
      <c r="U204" s="965"/>
      <c r="V204" s="965" t="str">
        <f>IF('39'!H13="","",'39'!H13)</f>
        <v/>
      </c>
      <c r="W204" s="965"/>
      <c r="X204" s="965"/>
      <c r="Y204" s="968"/>
      <c r="Z204" s="968"/>
      <c r="AA204" s="968"/>
    </row>
    <row r="205" spans="1:27">
      <c r="A205" s="1085"/>
      <c r="B205" s="1092"/>
      <c r="C205" s="299" t="s">
        <v>657</v>
      </c>
      <c r="D205" s="299" t="s">
        <v>658</v>
      </c>
      <c r="E205" s="967">
        <f t="shared" si="3"/>
        <v>-42.527345511651106</v>
      </c>
      <c r="F205" s="965"/>
      <c r="G205" s="965"/>
      <c r="H205" s="968"/>
      <c r="I205" s="968"/>
      <c r="J205" s="968"/>
      <c r="K205" s="968"/>
      <c r="L205" s="968"/>
      <c r="M205" s="968"/>
      <c r="N205" s="968"/>
      <c r="O205" s="968"/>
      <c r="P205" s="968"/>
      <c r="Q205" s="968"/>
      <c r="R205" s="968"/>
      <c r="S205" s="965" t="str">
        <f>IF('39'!F14="","",'39'!F14)</f>
        <v>LG(H)</v>
      </c>
      <c r="T205" s="965" t="str">
        <f>IF('39'!G14="","",'39'!G14)</f>
        <v>LG(L)</v>
      </c>
      <c r="U205" s="965"/>
      <c r="V205" s="965">
        <f>IF('39'!H14="","",'39'!H14)</f>
        <v>-42.527345511651106</v>
      </c>
      <c r="W205" s="965"/>
      <c r="X205" s="965"/>
      <c r="Y205" s="968"/>
      <c r="Z205" s="968"/>
      <c r="AA205" s="968"/>
    </row>
    <row r="206" spans="1:27">
      <c r="A206" s="1085"/>
      <c r="B206" s="1092"/>
      <c r="C206" s="299" t="s">
        <v>659</v>
      </c>
      <c r="D206" s="299" t="s">
        <v>660</v>
      </c>
      <c r="E206" s="967">
        <f t="shared" si="3"/>
        <v>-1199.2458633762026</v>
      </c>
      <c r="F206" s="965" t="str">
        <f>IF('39'!D15="","",'39'!D15)</f>
        <v>LG(H)</v>
      </c>
      <c r="G206" s="965"/>
      <c r="H206" s="968"/>
      <c r="I206" s="968"/>
      <c r="J206" s="968"/>
      <c r="K206" s="968"/>
      <c r="L206" s="968"/>
      <c r="M206" s="968"/>
      <c r="N206" s="968"/>
      <c r="O206" s="968"/>
      <c r="P206" s="968"/>
      <c r="Q206" s="968"/>
      <c r="R206" s="968"/>
      <c r="S206" s="965" t="str">
        <f>IF('39'!F15="","",'39'!F15)</f>
        <v>LG(H)</v>
      </c>
      <c r="T206" s="965" t="str">
        <f>IF('39'!G15="","",'39'!G15)</f>
        <v>LG(L)</v>
      </c>
      <c r="U206" s="965"/>
      <c r="V206" s="965">
        <f>IF('39'!H15="","",'39'!H15)</f>
        <v>-176.49498909821853</v>
      </c>
      <c r="W206" s="965"/>
      <c r="X206" s="965">
        <f>IF('39'!J15="","",'39'!J15)</f>
        <v>-1022.7508742779839</v>
      </c>
      <c r="Y206" s="968"/>
      <c r="Z206" s="968"/>
      <c r="AA206" s="968"/>
    </row>
    <row r="207" spans="1:27">
      <c r="A207" s="1086"/>
      <c r="B207" s="1092"/>
      <c r="C207" s="299" t="s">
        <v>661</v>
      </c>
      <c r="D207" s="299" t="s">
        <v>660</v>
      </c>
      <c r="E207" s="967">
        <f t="shared" si="3"/>
        <v>-1199.2458633762026</v>
      </c>
      <c r="F207" s="965"/>
      <c r="G207" s="965"/>
      <c r="H207" s="968"/>
      <c r="I207" s="968"/>
      <c r="J207" s="968"/>
      <c r="K207" s="968"/>
      <c r="L207" s="968"/>
      <c r="M207" s="968"/>
      <c r="N207" s="968"/>
      <c r="O207" s="968"/>
      <c r="P207" s="968"/>
      <c r="Q207" s="968"/>
      <c r="R207" s="968"/>
      <c r="S207" s="965" t="str">
        <f>IF('39'!F16="","",'39'!F16)</f>
        <v>LG(H)</v>
      </c>
      <c r="T207" s="965" t="str">
        <f>IF('39'!G16="","",'39'!G16)</f>
        <v>LG(L)</v>
      </c>
      <c r="U207" s="965"/>
      <c r="V207" s="965">
        <f>IF('39'!H16="","",'39'!H16)</f>
        <v>-176.49498909821853</v>
      </c>
      <c r="W207" s="965"/>
      <c r="X207" s="965">
        <f>IF('39'!J16="","",'39'!J16)</f>
        <v>-1022.7508742779839</v>
      </c>
      <c r="Y207" s="968"/>
      <c r="Z207" s="968"/>
      <c r="AA207" s="968"/>
    </row>
    <row r="208" spans="1:27" s="4" customFormat="1">
      <c r="A208" s="1084">
        <v>40</v>
      </c>
      <c r="B208" s="1092" t="s">
        <v>433</v>
      </c>
      <c r="C208" s="299" t="s">
        <v>662</v>
      </c>
      <c r="D208" s="299" t="s">
        <v>434</v>
      </c>
      <c r="E208" s="967">
        <f t="shared" si="3"/>
        <v>-41016.622665471397</v>
      </c>
      <c r="F208" s="969"/>
      <c r="G208" s="969"/>
      <c r="H208" s="969"/>
      <c r="I208" s="969"/>
      <c r="J208" s="969"/>
      <c r="K208" s="969"/>
      <c r="L208" s="969"/>
      <c r="M208" s="969"/>
      <c r="N208" s="969"/>
      <c r="O208" s="969"/>
      <c r="P208" s="969"/>
      <c r="Q208" s="969"/>
      <c r="R208" s="969"/>
      <c r="S208" s="969" t="str">
        <f>IF('40'!D11="","",'40'!D11)</f>
        <v>LG(H)</v>
      </c>
      <c r="T208" s="969"/>
      <c r="U208" s="969"/>
      <c r="V208" s="969">
        <f>IF('40'!E11="","",'40'!E11)</f>
        <v>-38067.650043417394</v>
      </c>
      <c r="W208" s="969">
        <f>IF('40'!F11="","",'40'!F11)</f>
        <v>-1408.6890043300893</v>
      </c>
      <c r="X208" s="969">
        <f>IF('40'!G11="","",'40'!G11)</f>
        <v>-1540.2836177239146</v>
      </c>
      <c r="Y208" s="969"/>
      <c r="Z208" s="969"/>
      <c r="AA208" s="969"/>
    </row>
    <row r="209" spans="1:27" s="4" customFormat="1">
      <c r="A209" s="1085"/>
      <c r="B209" s="1092"/>
      <c r="C209" s="299" t="s">
        <v>663</v>
      </c>
      <c r="D209" s="299" t="s">
        <v>434</v>
      </c>
      <c r="E209" s="967">
        <f t="shared" si="3"/>
        <v>-77653.938202973834</v>
      </c>
      <c r="F209" s="969"/>
      <c r="G209" s="969"/>
      <c r="H209" s="969"/>
      <c r="I209" s="969"/>
      <c r="J209" s="969"/>
      <c r="K209" s="969"/>
      <c r="L209" s="969"/>
      <c r="M209" s="969"/>
      <c r="N209" s="969"/>
      <c r="O209" s="969"/>
      <c r="P209" s="969"/>
      <c r="Q209" s="969"/>
      <c r="R209" s="969"/>
      <c r="S209" s="969" t="str">
        <f>IF('40'!D12="","",'40'!D12)</f>
        <v>LG(H)</v>
      </c>
      <c r="T209" s="969"/>
      <c r="U209" s="969"/>
      <c r="V209" s="969">
        <f>IF('40'!E12="","",'40'!E12)</f>
        <v>-60802.307996370291</v>
      </c>
      <c r="W209" s="969"/>
      <c r="X209" s="969">
        <f>IF('40'!G12="","",'40'!G12)</f>
        <v>-16851.630206603542</v>
      </c>
      <c r="Y209" s="969"/>
      <c r="Z209" s="969"/>
      <c r="AA209" s="969"/>
    </row>
    <row r="210" spans="1:27" s="4" customFormat="1">
      <c r="A210" s="1086"/>
      <c r="B210" s="1092"/>
      <c r="C210" s="299" t="s">
        <v>664</v>
      </c>
      <c r="D210" s="299" t="s">
        <v>434</v>
      </c>
      <c r="E210" s="967">
        <f t="shared" si="3"/>
        <v>-1963.8929446487991</v>
      </c>
      <c r="F210" s="965"/>
      <c r="G210" s="965"/>
      <c r="H210" s="965"/>
      <c r="I210" s="965"/>
      <c r="J210" s="965"/>
      <c r="K210" s="965"/>
      <c r="L210" s="965"/>
      <c r="M210" s="965"/>
      <c r="N210" s="965"/>
      <c r="O210" s="965"/>
      <c r="P210" s="965"/>
      <c r="Q210" s="965"/>
      <c r="R210" s="965"/>
      <c r="S210" s="965" t="str">
        <f>IF('40'!D13="","",'40'!D13)</f>
        <v>LG(H)</v>
      </c>
      <c r="T210" s="965"/>
      <c r="U210" s="965"/>
      <c r="V210" s="965"/>
      <c r="W210" s="965"/>
      <c r="X210" s="965">
        <f>IF('40'!G13="","",'40'!G13)</f>
        <v>-1963.8929446487991</v>
      </c>
      <c r="Y210" s="965"/>
      <c r="Z210" s="965"/>
      <c r="AA210" s="965"/>
    </row>
    <row r="211" spans="1:27" s="4" customFormat="1">
      <c r="A211" s="1087">
        <v>41</v>
      </c>
      <c r="B211" s="1092" t="s">
        <v>435</v>
      </c>
      <c r="C211" s="299" t="s">
        <v>665</v>
      </c>
      <c r="D211" s="299" t="s">
        <v>666</v>
      </c>
      <c r="E211" s="967">
        <f t="shared" si="3"/>
        <v>-1461782.2074234125</v>
      </c>
      <c r="F211" s="965"/>
      <c r="G211" s="965"/>
      <c r="H211" s="965"/>
      <c r="I211" s="965"/>
      <c r="J211" s="965"/>
      <c r="K211" s="965"/>
      <c r="L211" s="965"/>
      <c r="M211" s="965"/>
      <c r="N211" s="965"/>
      <c r="O211" s="965"/>
      <c r="P211" s="965"/>
      <c r="Q211" s="965"/>
      <c r="R211" s="965"/>
      <c r="S211" s="965"/>
      <c r="T211" s="965"/>
      <c r="U211" s="965"/>
      <c r="V211" s="969">
        <f>IF('41'!D11="","",'41'!D11)</f>
        <v>-1461782.2074234125</v>
      </c>
      <c r="W211" s="965"/>
      <c r="X211" s="965"/>
      <c r="Y211" s="965"/>
      <c r="Z211" s="965"/>
      <c r="AA211" s="965"/>
    </row>
    <row r="212" spans="1:27" s="4" customFormat="1">
      <c r="A212" s="1087"/>
      <c r="B212" s="1092"/>
      <c r="C212" s="299" t="s">
        <v>667</v>
      </c>
      <c r="D212" s="299" t="s">
        <v>666</v>
      </c>
      <c r="E212" s="967">
        <f t="shared" si="3"/>
        <v>-2353181.7902387585</v>
      </c>
      <c r="F212" s="965"/>
      <c r="G212" s="965"/>
      <c r="H212" s="965"/>
      <c r="I212" s="965"/>
      <c r="J212" s="965"/>
      <c r="K212" s="965"/>
      <c r="L212" s="965"/>
      <c r="M212" s="965"/>
      <c r="N212" s="965"/>
      <c r="O212" s="965"/>
      <c r="P212" s="965"/>
      <c r="Q212" s="965"/>
      <c r="R212" s="965"/>
      <c r="S212" s="965"/>
      <c r="T212" s="965"/>
      <c r="U212" s="965"/>
      <c r="V212" s="965">
        <f>IF('41'!D12="","",'41'!D12)</f>
        <v>-2353181.7902387585</v>
      </c>
      <c r="W212" s="965"/>
      <c r="X212" s="965"/>
      <c r="Y212" s="965"/>
      <c r="Z212" s="965"/>
      <c r="AA212" s="965"/>
    </row>
    <row r="213" spans="1:27" s="4" customFormat="1">
      <c r="A213" s="1087"/>
      <c r="B213" s="1092"/>
      <c r="C213" s="299" t="s">
        <v>668</v>
      </c>
      <c r="D213" s="299" t="s">
        <v>666</v>
      </c>
      <c r="E213" s="967">
        <f t="shared" si="3"/>
        <v>-4363760.1728858603</v>
      </c>
      <c r="F213" s="965"/>
      <c r="G213" s="965"/>
      <c r="H213" s="965"/>
      <c r="I213" s="965"/>
      <c r="J213" s="965"/>
      <c r="K213" s="965"/>
      <c r="L213" s="965"/>
      <c r="M213" s="965"/>
      <c r="N213" s="965"/>
      <c r="O213" s="965"/>
      <c r="P213" s="965"/>
      <c r="Q213" s="965"/>
      <c r="R213" s="965"/>
      <c r="S213" s="965"/>
      <c r="T213" s="965"/>
      <c r="U213" s="965"/>
      <c r="V213" s="965">
        <f>IF('41'!D13="","",'41'!D13)</f>
        <v>-4363760.1728858603</v>
      </c>
      <c r="W213" s="965"/>
      <c r="X213" s="965"/>
      <c r="Y213" s="965"/>
      <c r="Z213" s="965"/>
      <c r="AA213" s="965"/>
    </row>
    <row r="214" spans="1:27" s="4" customFormat="1">
      <c r="A214" s="1087"/>
      <c r="B214" s="1092"/>
      <c r="C214" s="299" t="s">
        <v>669</v>
      </c>
      <c r="D214" s="299" t="s">
        <v>666</v>
      </c>
      <c r="E214" s="967">
        <f t="shared" si="3"/>
        <v>-1662125.8682742876</v>
      </c>
      <c r="F214" s="965"/>
      <c r="G214" s="965"/>
      <c r="H214" s="965"/>
      <c r="I214" s="965"/>
      <c r="J214" s="965"/>
      <c r="K214" s="965"/>
      <c r="L214" s="965"/>
      <c r="M214" s="965"/>
      <c r="N214" s="965"/>
      <c r="O214" s="965"/>
      <c r="P214" s="965"/>
      <c r="Q214" s="965"/>
      <c r="R214" s="965"/>
      <c r="S214" s="965"/>
      <c r="T214" s="965"/>
      <c r="U214" s="965"/>
      <c r="V214" s="965">
        <f>IF('41'!D14="","",'41'!D14)</f>
        <v>-1662125.8682742876</v>
      </c>
      <c r="W214" s="965"/>
      <c r="X214" s="965"/>
      <c r="Y214" s="965"/>
      <c r="Z214" s="965"/>
      <c r="AA214" s="965"/>
    </row>
    <row r="215" spans="1:27" s="4" customFormat="1">
      <c r="A215" s="1087"/>
      <c r="B215" s="1092"/>
      <c r="C215" s="299" t="s">
        <v>670</v>
      </c>
      <c r="D215" s="299" t="s">
        <v>666</v>
      </c>
      <c r="E215" s="967">
        <f t="shared" si="3"/>
        <v>-780748.79375542828</v>
      </c>
      <c r="F215" s="965"/>
      <c r="G215" s="965"/>
      <c r="H215" s="965"/>
      <c r="I215" s="965"/>
      <c r="J215" s="965"/>
      <c r="K215" s="965"/>
      <c r="L215" s="965"/>
      <c r="M215" s="965"/>
      <c r="N215" s="965"/>
      <c r="O215" s="965"/>
      <c r="P215" s="965"/>
      <c r="Q215" s="965"/>
      <c r="R215" s="965"/>
      <c r="S215" s="965"/>
      <c r="T215" s="965"/>
      <c r="U215" s="965"/>
      <c r="V215" s="965">
        <f>IF('41'!D15="","",'41'!D15)</f>
        <v>-780748.79375542828</v>
      </c>
      <c r="W215" s="965"/>
      <c r="X215" s="965"/>
      <c r="Y215" s="965"/>
      <c r="Z215" s="965"/>
      <c r="AA215" s="965"/>
    </row>
    <row r="216" spans="1:27" s="4" customFormat="1">
      <c r="A216" s="1087"/>
      <c r="B216" s="1092"/>
      <c r="C216" s="299" t="s">
        <v>671</v>
      </c>
      <c r="D216" s="299" t="s">
        <v>666</v>
      </c>
      <c r="E216" s="967">
        <f t="shared" si="3"/>
        <v>-1517330.9938984814</v>
      </c>
      <c r="F216" s="965"/>
      <c r="G216" s="965"/>
      <c r="H216" s="965"/>
      <c r="I216" s="965"/>
      <c r="J216" s="965"/>
      <c r="K216" s="965"/>
      <c r="L216" s="965"/>
      <c r="M216" s="965"/>
      <c r="N216" s="965"/>
      <c r="O216" s="965"/>
      <c r="P216" s="965"/>
      <c r="Q216" s="965"/>
      <c r="R216" s="965"/>
      <c r="S216" s="965"/>
      <c r="T216" s="965"/>
      <c r="U216" s="965"/>
      <c r="V216" s="965">
        <f>IF('41'!D16="","",'41'!D16)</f>
        <v>-1517330.9938984814</v>
      </c>
      <c r="W216" s="965"/>
      <c r="X216" s="965"/>
      <c r="Y216" s="965"/>
      <c r="Z216" s="965"/>
      <c r="AA216" s="965"/>
    </row>
    <row r="217" spans="1:27" s="4" customFormat="1">
      <c r="A217" s="1087"/>
      <c r="B217" s="1092"/>
      <c r="C217" s="299" t="s">
        <v>672</v>
      </c>
      <c r="D217" s="299" t="s">
        <v>666</v>
      </c>
      <c r="E217" s="967">
        <f t="shared" si="3"/>
        <v>-5610716.1679179119</v>
      </c>
      <c r="F217" s="965"/>
      <c r="G217" s="965"/>
      <c r="H217" s="965"/>
      <c r="I217" s="965"/>
      <c r="J217" s="965"/>
      <c r="K217" s="965"/>
      <c r="L217" s="965"/>
      <c r="M217" s="965"/>
      <c r="N217" s="965"/>
      <c r="O217" s="965"/>
      <c r="P217" s="965"/>
      <c r="Q217" s="965"/>
      <c r="R217" s="965"/>
      <c r="S217" s="965"/>
      <c r="T217" s="965"/>
      <c r="U217" s="965"/>
      <c r="V217" s="965">
        <f>IF('41'!D17="","",'41'!D17)</f>
        <v>-5610716.1679179119</v>
      </c>
      <c r="W217" s="965"/>
      <c r="X217" s="965"/>
      <c r="Y217" s="965"/>
      <c r="Z217" s="965"/>
      <c r="AA217" s="965"/>
    </row>
    <row r="218" spans="1:27" s="4" customFormat="1">
      <c r="A218" s="1087"/>
      <c r="B218" s="1092"/>
      <c r="C218" s="299" t="s">
        <v>673</v>
      </c>
      <c r="D218" s="299" t="s">
        <v>666</v>
      </c>
      <c r="E218" s="967">
        <f t="shared" si="3"/>
        <v>-2932351.0838531954</v>
      </c>
      <c r="F218" s="965"/>
      <c r="G218" s="965"/>
      <c r="H218" s="965"/>
      <c r="I218" s="965"/>
      <c r="J218" s="965"/>
      <c r="K218" s="965"/>
      <c r="L218" s="965"/>
      <c r="M218" s="965"/>
      <c r="N218" s="965"/>
      <c r="O218" s="965"/>
      <c r="P218" s="965"/>
      <c r="Q218" s="965"/>
      <c r="R218" s="965"/>
      <c r="S218" s="965"/>
      <c r="T218" s="965"/>
      <c r="U218" s="965"/>
      <c r="V218" s="965">
        <f>IF('41'!D18="","",'41'!D18)</f>
        <v>-2932351.0838531954</v>
      </c>
      <c r="W218" s="965"/>
      <c r="X218" s="965"/>
      <c r="Y218" s="965"/>
      <c r="Z218" s="965"/>
      <c r="AA218" s="965"/>
    </row>
    <row r="219" spans="1:27" s="4" customFormat="1">
      <c r="A219" s="1087"/>
      <c r="B219" s="1092"/>
      <c r="C219" s="299" t="s">
        <v>674</v>
      </c>
      <c r="D219" s="299" t="s">
        <v>666</v>
      </c>
      <c r="E219" s="967">
        <f t="shared" si="3"/>
        <v>-42029048.745163165</v>
      </c>
      <c r="F219" s="965"/>
      <c r="G219" s="965"/>
      <c r="H219" s="965"/>
      <c r="I219" s="965"/>
      <c r="J219" s="965"/>
      <c r="K219" s="965"/>
      <c r="L219" s="965"/>
      <c r="M219" s="965"/>
      <c r="N219" s="965"/>
      <c r="O219" s="965"/>
      <c r="P219" s="965"/>
      <c r="Q219" s="965"/>
      <c r="R219" s="965"/>
      <c r="S219" s="965"/>
      <c r="T219" s="965"/>
      <c r="U219" s="965"/>
      <c r="V219" s="965">
        <f>IF('41'!D19="","",'41'!D19)</f>
        <v>-42029048.745163165</v>
      </c>
      <c r="W219" s="965"/>
      <c r="X219" s="965"/>
      <c r="Y219" s="965"/>
      <c r="Z219" s="965"/>
      <c r="AA219" s="965"/>
    </row>
    <row r="220" spans="1:27" s="4" customFormat="1">
      <c r="A220" s="1087"/>
      <c r="B220" s="1092"/>
      <c r="C220" s="299" t="s">
        <v>675</v>
      </c>
      <c r="D220" s="299" t="s">
        <v>666</v>
      </c>
      <c r="E220" s="967">
        <f t="shared" si="3"/>
        <v>-585032.39820596029</v>
      </c>
      <c r="F220" s="965"/>
      <c r="G220" s="965"/>
      <c r="H220" s="965"/>
      <c r="I220" s="965"/>
      <c r="J220" s="965"/>
      <c r="K220" s="965"/>
      <c r="L220" s="965"/>
      <c r="M220" s="965"/>
      <c r="N220" s="965"/>
      <c r="O220" s="965"/>
      <c r="P220" s="965"/>
      <c r="Q220" s="965"/>
      <c r="R220" s="965"/>
      <c r="S220" s="965"/>
      <c r="T220" s="965"/>
      <c r="U220" s="965"/>
      <c r="V220" s="965">
        <f>IF('41'!D20="","",'41'!D20)</f>
        <v>-585032.39820596029</v>
      </c>
      <c r="W220" s="965"/>
      <c r="X220" s="965"/>
      <c r="Y220" s="965"/>
      <c r="Z220" s="965"/>
      <c r="AA220" s="965"/>
    </row>
    <row r="221" spans="1:27" s="4" customFormat="1">
      <c r="A221" s="1087"/>
      <c r="B221" s="1092"/>
      <c r="C221" s="299" t="s">
        <v>676</v>
      </c>
      <c r="D221" s="299" t="s">
        <v>666</v>
      </c>
      <c r="E221" s="967">
        <f t="shared" si="3"/>
        <v>-746957.39485850581</v>
      </c>
      <c r="F221" s="965"/>
      <c r="G221" s="965"/>
      <c r="H221" s="965"/>
      <c r="I221" s="965"/>
      <c r="J221" s="965"/>
      <c r="K221" s="965"/>
      <c r="L221" s="965"/>
      <c r="M221" s="965"/>
      <c r="N221" s="965"/>
      <c r="O221" s="965"/>
      <c r="P221" s="965"/>
      <c r="Q221" s="965"/>
      <c r="R221" s="965"/>
      <c r="S221" s="965"/>
      <c r="T221" s="965"/>
      <c r="U221" s="965"/>
      <c r="V221" s="965">
        <f>IF('41'!D21="","",'41'!D21)</f>
        <v>-746957.39485850581</v>
      </c>
      <c r="W221" s="965"/>
      <c r="X221" s="965"/>
      <c r="Y221" s="965"/>
      <c r="Z221" s="965"/>
      <c r="AA221" s="965"/>
    </row>
    <row r="222" spans="1:27" s="4" customFormat="1">
      <c r="A222" s="1087"/>
      <c r="B222" s="1092"/>
      <c r="C222" s="299" t="s">
        <v>677</v>
      </c>
      <c r="D222" s="299" t="s">
        <v>666</v>
      </c>
      <c r="E222" s="967">
        <f t="shared" si="3"/>
        <v>-999791.93167792924</v>
      </c>
      <c r="F222" s="965"/>
      <c r="G222" s="965"/>
      <c r="H222" s="965"/>
      <c r="I222" s="965"/>
      <c r="J222" s="965"/>
      <c r="K222" s="965"/>
      <c r="L222" s="965"/>
      <c r="M222" s="965"/>
      <c r="N222" s="965"/>
      <c r="O222" s="965"/>
      <c r="P222" s="965"/>
      <c r="Q222" s="965"/>
      <c r="R222" s="965"/>
      <c r="S222" s="965"/>
      <c r="T222" s="965"/>
      <c r="U222" s="965"/>
      <c r="V222" s="965">
        <f>IF('41'!D22="","",'41'!D22)</f>
        <v>-999791.93167792924</v>
      </c>
      <c r="W222" s="965"/>
      <c r="X222" s="965"/>
      <c r="Y222" s="965"/>
      <c r="Z222" s="965"/>
      <c r="AA222" s="965"/>
    </row>
    <row r="223" spans="1:27" s="4" customFormat="1">
      <c r="A223" s="1087"/>
      <c r="B223" s="1092"/>
      <c r="C223" s="299" t="s">
        <v>678</v>
      </c>
      <c r="D223" s="299" t="s">
        <v>666</v>
      </c>
      <c r="E223" s="967">
        <f t="shared" si="3"/>
        <v>-577873.73540509935</v>
      </c>
      <c r="F223" s="965"/>
      <c r="G223" s="965"/>
      <c r="H223" s="965"/>
      <c r="I223" s="965"/>
      <c r="J223" s="965"/>
      <c r="K223" s="965"/>
      <c r="L223" s="965"/>
      <c r="M223" s="965"/>
      <c r="N223" s="965"/>
      <c r="O223" s="965"/>
      <c r="P223" s="965"/>
      <c r="Q223" s="965"/>
      <c r="R223" s="965"/>
      <c r="S223" s="965"/>
      <c r="T223" s="965"/>
      <c r="U223" s="965"/>
      <c r="V223" s="965">
        <f>IF('41'!D23="","",'41'!D23)</f>
        <v>-577873.73540509935</v>
      </c>
      <c r="W223" s="965"/>
      <c r="X223" s="965"/>
      <c r="Y223" s="965"/>
      <c r="Z223" s="965"/>
      <c r="AA223" s="965"/>
    </row>
    <row r="224" spans="1:27" s="4" customFormat="1">
      <c r="A224" s="1087"/>
      <c r="B224" s="1092"/>
      <c r="C224" s="299" t="s">
        <v>679</v>
      </c>
      <c r="D224" s="299" t="s">
        <v>666</v>
      </c>
      <c r="E224" s="967">
        <f t="shared" si="3"/>
        <v>-225111.79731623392</v>
      </c>
      <c r="F224" s="965"/>
      <c r="G224" s="965"/>
      <c r="H224" s="965"/>
      <c r="I224" s="965"/>
      <c r="J224" s="965"/>
      <c r="K224" s="965"/>
      <c r="L224" s="965"/>
      <c r="M224" s="965"/>
      <c r="N224" s="965"/>
      <c r="O224" s="965"/>
      <c r="P224" s="965"/>
      <c r="Q224" s="965"/>
      <c r="R224" s="965"/>
      <c r="S224" s="965"/>
      <c r="T224" s="965"/>
      <c r="U224" s="965"/>
      <c r="V224" s="965">
        <f>IF('41'!D24="","",'41'!D24)</f>
        <v>-225111.79731623392</v>
      </c>
      <c r="W224" s="965"/>
      <c r="X224" s="965"/>
      <c r="Y224" s="965"/>
      <c r="Z224" s="965"/>
      <c r="AA224" s="965"/>
    </row>
    <row r="225" spans="1:27" s="4" customFormat="1">
      <c r="A225" s="1087"/>
      <c r="B225" s="1092"/>
      <c r="C225" s="299" t="s">
        <v>680</v>
      </c>
      <c r="D225" s="299" t="s">
        <v>666</v>
      </c>
      <c r="E225" s="967">
        <f t="shared" si="3"/>
        <v>-552302.56820087961</v>
      </c>
      <c r="F225" s="965"/>
      <c r="G225" s="965"/>
      <c r="H225" s="965"/>
      <c r="I225" s="965"/>
      <c r="J225" s="965"/>
      <c r="K225" s="965"/>
      <c r="L225" s="965"/>
      <c r="M225" s="965"/>
      <c r="N225" s="965"/>
      <c r="O225" s="965"/>
      <c r="P225" s="965"/>
      <c r="Q225" s="965"/>
      <c r="R225" s="965"/>
      <c r="S225" s="965"/>
      <c r="T225" s="965"/>
      <c r="U225" s="965"/>
      <c r="V225" s="965">
        <f>IF('41'!D25="","",'41'!D25)</f>
        <v>-552302.56820087961</v>
      </c>
      <c r="W225" s="965"/>
      <c r="X225" s="965"/>
      <c r="Y225" s="965"/>
      <c r="Z225" s="965"/>
      <c r="AA225" s="965"/>
    </row>
    <row r="226" spans="1:27" s="4" customFormat="1">
      <c r="A226" s="1087"/>
      <c r="B226" s="1092"/>
      <c r="C226" s="299" t="s">
        <v>681</v>
      </c>
      <c r="D226" s="299" t="s">
        <v>666</v>
      </c>
      <c r="E226" s="967">
        <f t="shared" si="3"/>
        <v>-1837272.221474472</v>
      </c>
      <c r="F226" s="965"/>
      <c r="G226" s="965"/>
      <c r="H226" s="965"/>
      <c r="I226" s="965"/>
      <c r="J226" s="965"/>
      <c r="K226" s="965"/>
      <c r="L226" s="965"/>
      <c r="M226" s="965"/>
      <c r="N226" s="965"/>
      <c r="O226" s="965"/>
      <c r="P226" s="965"/>
      <c r="Q226" s="965"/>
      <c r="R226" s="965"/>
      <c r="S226" s="965"/>
      <c r="T226" s="965"/>
      <c r="U226" s="965"/>
      <c r="V226" s="965">
        <f>IF('41'!D26="","",'41'!D26)</f>
        <v>-1837272.221474472</v>
      </c>
      <c r="W226" s="965"/>
      <c r="X226" s="965"/>
      <c r="Y226" s="965"/>
      <c r="Z226" s="965"/>
      <c r="AA226" s="965"/>
    </row>
    <row r="227" spans="1:27" s="4" customFormat="1">
      <c r="A227" s="1087"/>
      <c r="B227" s="1092"/>
      <c r="C227" s="299" t="s">
        <v>682</v>
      </c>
      <c r="D227" s="299" t="s">
        <v>666</v>
      </c>
      <c r="E227" s="967">
        <f t="shared" si="3"/>
        <v>-812047.97380690777</v>
      </c>
      <c r="F227" s="965"/>
      <c r="G227" s="965"/>
      <c r="H227" s="965"/>
      <c r="I227" s="965"/>
      <c r="J227" s="965"/>
      <c r="K227" s="965"/>
      <c r="L227" s="965"/>
      <c r="M227" s="965"/>
      <c r="N227" s="965"/>
      <c r="O227" s="965"/>
      <c r="P227" s="965"/>
      <c r="Q227" s="965"/>
      <c r="R227" s="965"/>
      <c r="S227" s="965"/>
      <c r="T227" s="965"/>
      <c r="U227" s="965"/>
      <c r="V227" s="965">
        <f>IF('41'!D27="","",'41'!D27)</f>
        <v>-812047.97380690777</v>
      </c>
      <c r="W227" s="965"/>
      <c r="X227" s="965"/>
      <c r="Y227" s="965"/>
      <c r="Z227" s="965"/>
      <c r="AA227" s="965"/>
    </row>
    <row r="228" spans="1:27" s="4" customFormat="1">
      <c r="A228" s="1087"/>
      <c r="B228" s="1092"/>
      <c r="C228" s="299" t="s">
        <v>683</v>
      </c>
      <c r="D228" s="299" t="s">
        <v>666</v>
      </c>
      <c r="E228" s="967">
        <f t="shared" si="3"/>
        <v>-6009549.0749629186</v>
      </c>
      <c r="F228" s="965"/>
      <c r="G228" s="965"/>
      <c r="H228" s="965"/>
      <c r="I228" s="965"/>
      <c r="J228" s="965"/>
      <c r="K228" s="965"/>
      <c r="L228" s="965"/>
      <c r="M228" s="965"/>
      <c r="N228" s="965"/>
      <c r="O228" s="965"/>
      <c r="P228" s="965"/>
      <c r="Q228" s="965"/>
      <c r="R228" s="965"/>
      <c r="S228" s="965"/>
      <c r="T228" s="965"/>
      <c r="U228" s="965"/>
      <c r="V228" s="965">
        <f>IF('41'!D28="","",'41'!D28)</f>
        <v>-6009549.0749629186</v>
      </c>
      <c r="W228" s="965"/>
      <c r="X228" s="965"/>
      <c r="Y228" s="965"/>
      <c r="Z228" s="965"/>
      <c r="AA228" s="965"/>
    </row>
    <row r="229" spans="1:27" s="4" customFormat="1">
      <c r="A229" s="1084">
        <v>42</v>
      </c>
      <c r="B229" s="1092" t="s">
        <v>684</v>
      </c>
      <c r="C229" s="299" t="s">
        <v>685</v>
      </c>
      <c r="D229" s="299" t="s">
        <v>438</v>
      </c>
      <c r="E229" s="967">
        <f t="shared" ca="1" si="3"/>
        <v>2834.1670610396982</v>
      </c>
      <c r="F229" s="965"/>
      <c r="G229" s="965"/>
      <c r="H229" s="965"/>
      <c r="I229" s="965"/>
      <c r="J229" s="965"/>
      <c r="K229" s="965"/>
      <c r="L229" s="965"/>
      <c r="M229" s="965">
        <f>IF('42'!D11="","",'42'!D11)</f>
        <v>12.229990249312651</v>
      </c>
      <c r="N229" s="965">
        <f ca="1">IF('42'!E11="","",'42'!E11)</f>
        <v>216.87335918719054</v>
      </c>
      <c r="O229" s="965"/>
      <c r="P229" s="965"/>
      <c r="Q229" s="965"/>
      <c r="R229" s="965"/>
      <c r="S229" s="965" t="str">
        <f>IF('42'!F11="","",'42'!F11)</f>
        <v>LG(M)</v>
      </c>
      <c r="T229" s="965"/>
      <c r="U229" s="965"/>
      <c r="V229" s="965">
        <f>IF('42'!G11="","",'42'!G11)</f>
        <v>2605.0637116031949</v>
      </c>
      <c r="W229" s="965"/>
      <c r="X229" s="965"/>
      <c r="Y229" s="965"/>
      <c r="Z229" s="965"/>
      <c r="AA229" s="965"/>
    </row>
    <row r="230" spans="1:27" s="4" customFormat="1">
      <c r="A230" s="1085"/>
      <c r="B230" s="1092"/>
      <c r="C230" s="299" t="s">
        <v>686</v>
      </c>
      <c r="D230" s="299" t="s">
        <v>438</v>
      </c>
      <c r="E230" s="967">
        <f t="shared" ca="1" si="3"/>
        <v>18218.380118792924</v>
      </c>
      <c r="F230" s="965"/>
      <c r="G230" s="965"/>
      <c r="H230" s="965"/>
      <c r="I230" s="965"/>
      <c r="J230" s="965"/>
      <c r="K230" s="965"/>
      <c r="L230" s="965"/>
      <c r="M230" s="965">
        <f>IF('42'!D12="","",'42'!D12)</f>
        <v>107.91645363677685</v>
      </c>
      <c r="N230" s="965">
        <f ca="1">IF('42'!E12="","",'42'!E12)</f>
        <v>1913.6731374820072</v>
      </c>
      <c r="O230" s="965"/>
      <c r="P230" s="965"/>
      <c r="Q230" s="965"/>
      <c r="R230" s="965"/>
      <c r="S230" s="965" t="str">
        <f>IF('42'!F12="","",'42'!F12)</f>
        <v>LG(M)</v>
      </c>
      <c r="T230" s="965"/>
      <c r="U230" s="965"/>
      <c r="V230" s="965">
        <f>IF('42'!G12="","",'42'!G12)</f>
        <v>16196.790527674139</v>
      </c>
      <c r="W230" s="965"/>
      <c r="X230" s="965"/>
      <c r="Y230" s="965"/>
      <c r="Z230" s="965"/>
      <c r="AA230" s="965"/>
    </row>
    <row r="231" spans="1:27" s="4" customFormat="1">
      <c r="A231" s="1085"/>
      <c r="B231" s="1092"/>
      <c r="C231" s="299" t="s">
        <v>687</v>
      </c>
      <c r="D231" s="299" t="s">
        <v>438</v>
      </c>
      <c r="E231" s="967">
        <f t="shared" ca="1" si="3"/>
        <v>85950.601630931313</v>
      </c>
      <c r="F231" s="965"/>
      <c r="G231" s="965"/>
      <c r="H231" s="965"/>
      <c r="I231" s="965"/>
      <c r="J231" s="965"/>
      <c r="K231" s="965"/>
      <c r="L231" s="965"/>
      <c r="M231" s="965">
        <f>IF('42'!D13="","",'42'!D13)</f>
        <v>844.75569389047257</v>
      </c>
      <c r="N231" s="965">
        <f ca="1">IF('42'!E13="","",'42'!E13)</f>
        <v>14979.979647721249</v>
      </c>
      <c r="O231" s="965"/>
      <c r="P231" s="965"/>
      <c r="Q231" s="965"/>
      <c r="R231" s="965"/>
      <c r="S231" s="965" t="str">
        <f>IF('42'!F13="","",'42'!F13)</f>
        <v>LG(M)</v>
      </c>
      <c r="T231" s="965"/>
      <c r="U231" s="965"/>
      <c r="V231" s="965">
        <f>IF('42'!G13="","",'42'!G13)</f>
        <v>70125.866289319587</v>
      </c>
      <c r="W231" s="965"/>
      <c r="X231" s="965"/>
      <c r="Y231" s="965"/>
      <c r="Z231" s="965"/>
      <c r="AA231" s="965"/>
    </row>
    <row r="232" spans="1:27" s="4" customFormat="1">
      <c r="A232" s="1086"/>
      <c r="B232" s="1092"/>
      <c r="C232" s="299" t="s">
        <v>688</v>
      </c>
      <c r="D232" s="299" t="s">
        <v>438</v>
      </c>
      <c r="E232" s="967">
        <f t="shared" si="3"/>
        <v>0</v>
      </c>
      <c r="F232" s="965"/>
      <c r="G232" s="965"/>
      <c r="H232" s="965"/>
      <c r="I232" s="965"/>
      <c r="J232" s="965"/>
      <c r="K232" s="965"/>
      <c r="L232" s="965"/>
      <c r="M232" s="965" t="str">
        <f>IF('42'!D14="","",'42'!D14)</f>
        <v>LG(M)</v>
      </c>
      <c r="N232" s="965" t="str">
        <f>IF('42'!E14="","",'42'!E14)</f>
        <v>LG(M)</v>
      </c>
      <c r="O232" s="965"/>
      <c r="P232" s="965"/>
      <c r="Q232" s="965"/>
      <c r="R232" s="965"/>
      <c r="S232" s="965" t="str">
        <f>IF('42'!F14="","",'42'!F14)</f>
        <v>LG(M)</v>
      </c>
      <c r="T232" s="965"/>
      <c r="U232" s="965"/>
      <c r="V232" s="965" t="str">
        <f>IF('42'!G14="","",'42'!G14)</f>
        <v>LG(M)</v>
      </c>
      <c r="W232" s="965"/>
      <c r="X232" s="965"/>
      <c r="Y232" s="965"/>
      <c r="Z232" s="965"/>
      <c r="AA232" s="965"/>
    </row>
    <row r="233" spans="1:27">
      <c r="A233" s="1084">
        <v>43</v>
      </c>
      <c r="B233" s="1091" t="s">
        <v>439</v>
      </c>
      <c r="C233" s="278" t="s">
        <v>689</v>
      </c>
      <c r="D233" s="278" t="s">
        <v>690</v>
      </c>
      <c r="E233" s="967">
        <f t="shared" si="3"/>
        <v>-7.8021075138428122</v>
      </c>
      <c r="F233" s="964"/>
      <c r="G233" s="964"/>
      <c r="H233" s="964"/>
      <c r="I233" s="964"/>
      <c r="J233" s="964"/>
      <c r="K233" s="964"/>
      <c r="L233" s="964"/>
      <c r="M233" s="964"/>
      <c r="N233" s="964"/>
      <c r="O233" s="964"/>
      <c r="P233" s="964" t="str">
        <f>IF('43'!D11="","",'43'!D11)</f>
        <v>&lt;/&gt;</v>
      </c>
      <c r="Q233" s="964"/>
      <c r="R233" s="964"/>
      <c r="S233" s="964"/>
      <c r="T233" s="964"/>
      <c r="U233" s="964"/>
      <c r="V233" s="964"/>
      <c r="W233" s="964"/>
      <c r="X233" s="964">
        <f>IF('43'!E11="","",'43'!E11)</f>
        <v>-7.8021075138428122</v>
      </c>
      <c r="Y233" s="964"/>
      <c r="Z233" s="964"/>
      <c r="AA233" s="964"/>
    </row>
    <row r="234" spans="1:27">
      <c r="A234" s="1086"/>
      <c r="B234" s="1091"/>
      <c r="C234" s="278" t="s">
        <v>691</v>
      </c>
      <c r="D234" s="278" t="s">
        <v>690</v>
      </c>
      <c r="E234" s="967">
        <f t="shared" si="3"/>
        <v>-6.390670978675268</v>
      </c>
      <c r="F234" s="964"/>
      <c r="G234" s="964"/>
      <c r="H234" s="964"/>
      <c r="I234" s="964"/>
      <c r="J234" s="964"/>
      <c r="K234" s="964"/>
      <c r="L234" s="964"/>
      <c r="M234" s="964"/>
      <c r="N234" s="964"/>
      <c r="O234" s="964"/>
      <c r="P234" s="964" t="str">
        <f>IF('43'!D12="","",'43'!D12)</f>
        <v>&lt;/&gt;</v>
      </c>
      <c r="Q234" s="964"/>
      <c r="R234" s="964"/>
      <c r="S234" s="964"/>
      <c r="T234" s="964"/>
      <c r="U234" s="964"/>
      <c r="V234" s="964"/>
      <c r="W234" s="964"/>
      <c r="X234" s="964">
        <f>IF('43'!E12="","",'43'!E12)</f>
        <v>-6.390670978675268</v>
      </c>
      <c r="Y234" s="964"/>
      <c r="Z234" s="964"/>
      <c r="AA234" s="964"/>
    </row>
    <row r="235" spans="1:27">
      <c r="A235" s="1084">
        <v>44</v>
      </c>
      <c r="B235" s="1091" t="s">
        <v>440</v>
      </c>
      <c r="C235" s="299" t="s">
        <v>692</v>
      </c>
      <c r="D235" s="299" t="s">
        <v>693</v>
      </c>
      <c r="E235" s="967">
        <f t="shared" si="3"/>
        <v>0</v>
      </c>
      <c r="F235" s="965" t="str">
        <f>IF('44'!D11="","",'44'!D11)</f>
        <v>LG(M)</v>
      </c>
      <c r="G235" s="965"/>
      <c r="H235" s="965"/>
      <c r="I235" s="965"/>
      <c r="J235" s="965"/>
      <c r="K235" s="965"/>
      <c r="L235" s="965"/>
      <c r="M235" s="965"/>
      <c r="N235" s="965"/>
      <c r="O235" s="965"/>
      <c r="P235" s="965"/>
      <c r="Q235" s="965"/>
      <c r="R235" s="965"/>
      <c r="S235" s="965" t="str">
        <f>IF('44'!E11="","",'44'!E11)</f>
        <v>LG(H)</v>
      </c>
      <c r="T235" s="965"/>
      <c r="U235" s="965"/>
      <c r="V235" s="965"/>
      <c r="W235" s="965"/>
      <c r="X235" s="965"/>
      <c r="Y235" s="965"/>
      <c r="Z235" s="965"/>
      <c r="AA235" s="965"/>
    </row>
    <row r="236" spans="1:27">
      <c r="A236" s="1085"/>
      <c r="B236" s="1091"/>
      <c r="C236" s="299" t="s">
        <v>694</v>
      </c>
      <c r="D236" s="299" t="s">
        <v>441</v>
      </c>
      <c r="E236" s="967">
        <f t="shared" si="3"/>
        <v>2139200</v>
      </c>
      <c r="F236" s="965">
        <f>IF('44'!D12="","",'44'!D12)</f>
        <v>119200</v>
      </c>
      <c r="G236" s="965"/>
      <c r="H236" s="965"/>
      <c r="I236" s="965"/>
      <c r="J236" s="965"/>
      <c r="K236" s="965"/>
      <c r="L236" s="965"/>
      <c r="M236" s="965"/>
      <c r="N236" s="965"/>
      <c r="O236" s="965"/>
      <c r="P236" s="965"/>
      <c r="Q236" s="965"/>
      <c r="R236" s="965"/>
      <c r="S236" s="965" t="str">
        <f>IF('44'!E12="","",'44'!E12)</f>
        <v>LG(H)</v>
      </c>
      <c r="T236" s="965"/>
      <c r="U236" s="965"/>
      <c r="V236" s="965">
        <f>IF('44'!F12="","",'44'!F12)</f>
        <v>139000</v>
      </c>
      <c r="W236" s="965"/>
      <c r="X236" s="965" t="str">
        <f>IF('44'!G12="","",'44'!G12)</f>
        <v>&lt;/&gt;</v>
      </c>
      <c r="Y236" s="965">
        <f>IF('44'!H12="","",'44'!H12)</f>
        <v>1881000</v>
      </c>
      <c r="Z236" s="965"/>
      <c r="AA236" s="965"/>
    </row>
    <row r="237" spans="1:27">
      <c r="A237" s="1085"/>
      <c r="B237" s="1091"/>
      <c r="C237" s="299" t="s">
        <v>695</v>
      </c>
      <c r="D237" s="299" t="s">
        <v>441</v>
      </c>
      <c r="E237" s="967">
        <f t="shared" si="3"/>
        <v>11700</v>
      </c>
      <c r="F237" s="965">
        <f>IF('44'!D13="","",'44'!D13)</f>
        <v>1900</v>
      </c>
      <c r="G237" s="965"/>
      <c r="H237" s="965"/>
      <c r="I237" s="965"/>
      <c r="J237" s="965"/>
      <c r="K237" s="965"/>
      <c r="L237" s="965"/>
      <c r="M237" s="965"/>
      <c r="N237" s="965"/>
      <c r="O237" s="965"/>
      <c r="P237" s="965"/>
      <c r="Q237" s="965"/>
      <c r="R237" s="965"/>
      <c r="S237" s="965" t="str">
        <f>IF('44'!E13="","",'44'!E13)</f>
        <v>LG(H)</v>
      </c>
      <c r="T237" s="965"/>
      <c r="U237" s="965"/>
      <c r="V237" s="965">
        <f>IF('44'!F13="","",'44'!F13)</f>
        <v>2800</v>
      </c>
      <c r="W237" s="965"/>
      <c r="X237" s="965" t="str">
        <f>IF('44'!G13="","",'44'!G13)</f>
        <v>&lt;/&gt;</v>
      </c>
      <c r="Y237" s="965">
        <f>IF('44'!H13="","",'44'!H13)</f>
        <v>7000</v>
      </c>
      <c r="Z237" s="965"/>
      <c r="AA237" s="965"/>
    </row>
    <row r="238" spans="1:27">
      <c r="A238" s="1085"/>
      <c r="B238" s="1091"/>
      <c r="C238" s="299" t="s">
        <v>696</v>
      </c>
      <c r="D238" s="299" t="s">
        <v>441</v>
      </c>
      <c r="E238" s="967">
        <f t="shared" si="3"/>
        <v>46000</v>
      </c>
      <c r="F238" s="965">
        <f>IF('44'!D14="","",'44'!D14)</f>
        <v>7800</v>
      </c>
      <c r="G238" s="965"/>
      <c r="H238" s="965"/>
      <c r="I238" s="965"/>
      <c r="J238" s="965"/>
      <c r="K238" s="965"/>
      <c r="L238" s="965"/>
      <c r="M238" s="965"/>
      <c r="N238" s="965"/>
      <c r="O238" s="965"/>
      <c r="P238" s="965"/>
      <c r="Q238" s="965"/>
      <c r="R238" s="965"/>
      <c r="S238" s="965" t="str">
        <f>IF('44'!E14="","",'44'!E14)</f>
        <v>LG(H)</v>
      </c>
      <c r="T238" s="965"/>
      <c r="U238" s="965"/>
      <c r="V238" s="965">
        <f>IF('44'!F14="","",'44'!F14)</f>
        <v>10000</v>
      </c>
      <c r="W238" s="965"/>
      <c r="X238" s="965" t="str">
        <f>IF('44'!G14="","",'44'!G14)</f>
        <v>&lt;/&gt;</v>
      </c>
      <c r="Y238" s="965">
        <f>IF('44'!H14="","",'44'!H14)</f>
        <v>28200</v>
      </c>
      <c r="Z238" s="965"/>
      <c r="AA238" s="965"/>
    </row>
    <row r="239" spans="1:27">
      <c r="A239" s="1085"/>
      <c r="B239" s="1091"/>
      <c r="C239" s="299" t="s">
        <v>697</v>
      </c>
      <c r="D239" s="299" t="s">
        <v>441</v>
      </c>
      <c r="E239" s="967">
        <f t="shared" si="3"/>
        <v>1110</v>
      </c>
      <c r="F239" s="965">
        <f>IF('44'!D15="","",'44'!D15)</f>
        <v>120</v>
      </c>
      <c r="G239" s="965"/>
      <c r="H239" s="965"/>
      <c r="I239" s="965"/>
      <c r="J239" s="965"/>
      <c r="K239" s="965"/>
      <c r="L239" s="965"/>
      <c r="M239" s="965"/>
      <c r="N239" s="965"/>
      <c r="O239" s="965"/>
      <c r="P239" s="965"/>
      <c r="Q239" s="965"/>
      <c r="R239" s="965"/>
      <c r="S239" s="965" t="str">
        <f>IF('44'!E15="","",'44'!E15)</f>
        <v>LG(H)</v>
      </c>
      <c r="T239" s="965"/>
      <c r="U239" s="965"/>
      <c r="V239" s="965">
        <f>IF('44'!F15="","",'44'!F15)</f>
        <v>520</v>
      </c>
      <c r="W239" s="965"/>
      <c r="X239" s="965" t="str">
        <f>IF('44'!G15="","",'44'!G15)</f>
        <v>&lt;/&gt;</v>
      </c>
      <c r="Y239" s="965">
        <f>IF('44'!H15="","",'44'!H15)</f>
        <v>470</v>
      </c>
      <c r="Z239" s="965"/>
      <c r="AA239" s="965"/>
    </row>
    <row r="240" spans="1:27">
      <c r="A240" s="1085"/>
      <c r="B240" s="1091"/>
      <c r="C240" s="299" t="s">
        <v>698</v>
      </c>
      <c r="D240" s="299" t="s">
        <v>441</v>
      </c>
      <c r="E240" s="967">
        <f t="shared" si="3"/>
        <v>21500</v>
      </c>
      <c r="F240" s="965">
        <f>IF('44'!D16="","",'44'!D16)</f>
        <v>4400</v>
      </c>
      <c r="G240" s="965"/>
      <c r="H240" s="965"/>
      <c r="I240" s="965"/>
      <c r="J240" s="965"/>
      <c r="K240" s="965"/>
      <c r="L240" s="965"/>
      <c r="M240" s="965"/>
      <c r="N240" s="965"/>
      <c r="O240" s="965"/>
      <c r="P240" s="965"/>
      <c r="Q240" s="965"/>
      <c r="R240" s="965"/>
      <c r="S240" s="965" t="str">
        <f>IF('44'!E16="","",'44'!E16)</f>
        <v>LG(H)</v>
      </c>
      <c r="T240" s="965"/>
      <c r="U240" s="965"/>
      <c r="V240" s="965">
        <f>IF('44'!F16="","",'44'!F16)</f>
        <v>4800</v>
      </c>
      <c r="W240" s="965"/>
      <c r="X240" s="965" t="str">
        <f>IF('44'!G16="","",'44'!G16)</f>
        <v>&lt;/&gt;</v>
      </c>
      <c r="Y240" s="965">
        <f>IF('44'!H16="","",'44'!H16)</f>
        <v>12300</v>
      </c>
      <c r="Z240" s="965"/>
      <c r="AA240" s="965"/>
    </row>
    <row r="241" spans="1:27">
      <c r="A241" s="1085"/>
      <c r="B241" s="1091"/>
      <c r="C241" s="299" t="s">
        <v>699</v>
      </c>
      <c r="D241" s="299" t="s">
        <v>441</v>
      </c>
      <c r="E241" s="967">
        <f t="shared" si="3"/>
        <v>44700</v>
      </c>
      <c r="F241" s="965">
        <f>IF('44'!D17="","",'44'!D17)</f>
        <v>9200</v>
      </c>
      <c r="G241" s="965"/>
      <c r="H241" s="965"/>
      <c r="I241" s="965"/>
      <c r="J241" s="965"/>
      <c r="K241" s="965"/>
      <c r="L241" s="965"/>
      <c r="M241" s="965"/>
      <c r="N241" s="965"/>
      <c r="O241" s="965"/>
      <c r="P241" s="965"/>
      <c r="Q241" s="965"/>
      <c r="R241" s="965"/>
      <c r="S241" s="965" t="str">
        <f>IF('44'!E17="","",'44'!E17)</f>
        <v>LG(H)</v>
      </c>
      <c r="T241" s="965"/>
      <c r="U241" s="965"/>
      <c r="V241" s="965">
        <f>IF('44'!F17="","",'44'!F17)</f>
        <v>9800</v>
      </c>
      <c r="W241" s="965"/>
      <c r="X241" s="965" t="str">
        <f>IF('44'!G17="","",'44'!G17)</f>
        <v>&lt;/&gt;</v>
      </c>
      <c r="Y241" s="965">
        <f>IF('44'!H17="","",'44'!H17)</f>
        <v>25700</v>
      </c>
      <c r="Z241" s="965"/>
      <c r="AA241" s="965"/>
    </row>
    <row r="242" spans="1:27">
      <c r="A242" s="1085"/>
      <c r="B242" s="1091"/>
      <c r="C242" s="299" t="s">
        <v>700</v>
      </c>
      <c r="D242" s="299" t="s">
        <v>441</v>
      </c>
      <c r="E242" s="967">
        <f t="shared" si="3"/>
        <v>1230</v>
      </c>
      <c r="F242" s="965">
        <f>IF('44'!D18="","",'44'!D18)</f>
        <v>170</v>
      </c>
      <c r="G242" s="965"/>
      <c r="H242" s="965"/>
      <c r="I242" s="965"/>
      <c r="J242" s="965"/>
      <c r="K242" s="965"/>
      <c r="L242" s="965"/>
      <c r="M242" s="965"/>
      <c r="N242" s="965"/>
      <c r="O242" s="965"/>
      <c r="P242" s="965"/>
      <c r="Q242" s="965"/>
      <c r="R242" s="965"/>
      <c r="S242" s="965" t="str">
        <f>IF('44'!E18="","",'44'!E18)</f>
        <v>LG(H)</v>
      </c>
      <c r="T242" s="965"/>
      <c r="U242" s="965"/>
      <c r="V242" s="965">
        <f>IF('44'!F18="","",'44'!F18)</f>
        <v>490</v>
      </c>
      <c r="W242" s="965"/>
      <c r="X242" s="965" t="str">
        <f>IF('44'!G18="","",'44'!G18)</f>
        <v>&lt;/&gt;</v>
      </c>
      <c r="Y242" s="965">
        <f>IF('44'!H18="","",'44'!H18)</f>
        <v>570</v>
      </c>
      <c r="Z242" s="965"/>
      <c r="AA242" s="965"/>
    </row>
    <row r="243" spans="1:27">
      <c r="A243" s="1086"/>
      <c r="B243" s="1091"/>
      <c r="C243" s="299" t="s">
        <v>701</v>
      </c>
      <c r="D243" s="299" t="s">
        <v>393</v>
      </c>
      <c r="E243" s="967">
        <f t="shared" si="3"/>
        <v>0</v>
      </c>
      <c r="F243" s="965" t="str">
        <f>IF('44'!D19="","",'44'!D19)</f>
        <v>LG(M)</v>
      </c>
      <c r="G243" s="965"/>
      <c r="H243" s="965"/>
      <c r="I243" s="965"/>
      <c r="J243" s="965"/>
      <c r="K243" s="965"/>
      <c r="L243" s="965"/>
      <c r="M243" s="965"/>
      <c r="N243" s="965"/>
      <c r="O243" s="965"/>
      <c r="P243" s="965"/>
      <c r="Q243" s="965"/>
      <c r="R243" s="965"/>
      <c r="S243" s="965" t="str">
        <f>IF('44'!E19="","",'44'!E19)</f>
        <v>LG(H)</v>
      </c>
      <c r="T243" s="965"/>
      <c r="U243" s="965"/>
      <c r="V243" s="965"/>
      <c r="W243" s="965"/>
      <c r="X243" s="965"/>
      <c r="Y243" s="965"/>
      <c r="Z243" s="965"/>
      <c r="AA243" s="965"/>
    </row>
    <row r="244" spans="1:27">
      <c r="A244" s="1084">
        <v>45</v>
      </c>
      <c r="B244" s="1091" t="s">
        <v>702</v>
      </c>
      <c r="C244" s="299" t="s">
        <v>703</v>
      </c>
      <c r="D244" s="299" t="s">
        <v>443</v>
      </c>
      <c r="E244" s="967">
        <f t="shared" si="3"/>
        <v>10892.811263782745</v>
      </c>
      <c r="F244" s="965">
        <f>IF('45'!D11="","",'45'!D11)</f>
        <v>6062.3042306325406</v>
      </c>
      <c r="G244" s="965"/>
      <c r="H244" s="965"/>
      <c r="I244" s="965"/>
      <c r="J244" s="965"/>
      <c r="K244" s="965"/>
      <c r="L244" s="965"/>
      <c r="M244" s="965"/>
      <c r="N244" s="965"/>
      <c r="O244" s="965"/>
      <c r="P244" s="965"/>
      <c r="Q244" s="965"/>
      <c r="R244" s="965"/>
      <c r="S244" s="965" t="str">
        <f>IF('45'!E11="","",'45'!E11)</f>
        <v>LG(H)</v>
      </c>
      <c r="T244" s="965"/>
      <c r="U244" s="965"/>
      <c r="V244" s="965">
        <f>IF('45'!F11="","",'45'!F11)</f>
        <v>3102.7682314489643</v>
      </c>
      <c r="W244" s="965"/>
      <c r="X244" s="965">
        <f>IF('45'!G11="","",'45'!G11)</f>
        <v>555.92010148003658</v>
      </c>
      <c r="Y244" s="965">
        <f>IF('45'!H11="","",'45'!H11)</f>
        <v>555.92010148003658</v>
      </c>
      <c r="Z244" s="965">
        <f>IF('45'!I11="","",'45'!I11)</f>
        <v>615.8985987411678</v>
      </c>
      <c r="AA244" s="965" t="str">
        <f>IF('45'!J11="","",'45'!J11)</f>
        <v>&lt;/&gt;</v>
      </c>
    </row>
    <row r="245" spans="1:27">
      <c r="A245" s="1085"/>
      <c r="B245" s="1091"/>
      <c r="C245" s="299" t="s">
        <v>704</v>
      </c>
      <c r="D245" s="299" t="s">
        <v>443</v>
      </c>
      <c r="E245" s="967">
        <f t="shared" si="3"/>
        <v>8398.3473252227868</v>
      </c>
      <c r="F245" s="965">
        <f>IF('45'!D12="","",'45'!D12)</f>
        <v>4338.4319728510573</v>
      </c>
      <c r="G245" s="965"/>
      <c r="H245" s="965"/>
      <c r="I245" s="965"/>
      <c r="J245" s="965"/>
      <c r="K245" s="965"/>
      <c r="L245" s="965"/>
      <c r="M245" s="965"/>
      <c r="N245" s="965"/>
      <c r="O245" s="965"/>
      <c r="P245" s="965"/>
      <c r="Q245" s="965"/>
      <c r="R245" s="965"/>
      <c r="S245" s="965" t="str">
        <f>IF('45'!E12="","",'45'!E12)</f>
        <v>LG(H)</v>
      </c>
      <c r="T245" s="965"/>
      <c r="U245" s="965"/>
      <c r="V245" s="965"/>
      <c r="W245" s="965"/>
      <c r="X245" s="965"/>
      <c r="Y245" s="965"/>
      <c r="Z245" s="965">
        <f>IF('45'!I12="","",'45'!I12)</f>
        <v>4059.91535237173</v>
      </c>
      <c r="AA245" s="965" t="str">
        <f>IF('45'!J12="","",'45'!J12)</f>
        <v>&lt;/&gt;</v>
      </c>
    </row>
    <row r="246" spans="1:27">
      <c r="A246" s="1085"/>
      <c r="B246" s="1091"/>
      <c r="C246" s="299" t="s">
        <v>705</v>
      </c>
      <c r="D246" s="299" t="s">
        <v>443</v>
      </c>
      <c r="E246" s="967">
        <f t="shared" si="3"/>
        <v>502585.33932361403</v>
      </c>
      <c r="F246" s="965">
        <f>IF('45'!D13="","",'45'!D13)</f>
        <v>6952.2033342724353</v>
      </c>
      <c r="G246" s="965"/>
      <c r="H246" s="965"/>
      <c r="I246" s="965"/>
      <c r="J246" s="965"/>
      <c r="K246" s="965"/>
      <c r="L246" s="965"/>
      <c r="M246" s="965"/>
      <c r="N246" s="965"/>
      <c r="O246" s="965"/>
      <c r="P246" s="965"/>
      <c r="Q246" s="965"/>
      <c r="R246" s="965"/>
      <c r="S246" s="965">
        <f>IF('45'!E13="","",'45'!E13)</f>
        <v>488809.47878759808</v>
      </c>
      <c r="T246" s="965"/>
      <c r="U246" s="965"/>
      <c r="V246" s="965"/>
      <c r="W246" s="965"/>
      <c r="X246" s="965"/>
      <c r="Y246" s="965"/>
      <c r="Z246" s="965">
        <f>IF('45'!I13="","",'45'!I13)</f>
        <v>6823.6572017435146</v>
      </c>
      <c r="AA246" s="965" t="str">
        <f>IF('45'!J13="","",'45'!J13)</f>
        <v>&lt;/&gt;</v>
      </c>
    </row>
    <row r="247" spans="1:27">
      <c r="A247" s="1086"/>
      <c r="B247" s="1091"/>
      <c r="C247" s="299" t="s">
        <v>706</v>
      </c>
      <c r="D247" s="299" t="s">
        <v>707</v>
      </c>
      <c r="E247" s="967">
        <f t="shared" si="3"/>
        <v>187.99230484832154</v>
      </c>
      <c r="F247" s="965"/>
      <c r="G247" s="965"/>
      <c r="H247" s="965"/>
      <c r="I247" s="965"/>
      <c r="J247" s="965"/>
      <c r="K247" s="965"/>
      <c r="L247" s="965"/>
      <c r="M247" s="965"/>
      <c r="N247" s="965"/>
      <c r="O247" s="965"/>
      <c r="P247" s="965"/>
      <c r="Q247" s="965"/>
      <c r="R247" s="965"/>
      <c r="S247" s="965" t="str">
        <f>IF('45'!E14="","",'45'!E14)</f>
        <v>&lt;/&gt;</v>
      </c>
      <c r="T247" s="965"/>
      <c r="U247" s="965"/>
      <c r="V247" s="965"/>
      <c r="W247" s="965"/>
      <c r="X247" s="965">
        <f>IF('45'!G14="","",'45'!G14)</f>
        <v>187.99230484832154</v>
      </c>
      <c r="Y247" s="965"/>
      <c r="Z247" s="965"/>
      <c r="AA247" s="965"/>
    </row>
    <row r="248" spans="1:27" ht="29.1">
      <c r="A248" s="334">
        <v>46</v>
      </c>
      <c r="B248" s="419" t="s">
        <v>444</v>
      </c>
      <c r="C248" s="278" t="s">
        <v>444</v>
      </c>
      <c r="D248" s="278" t="s">
        <v>445</v>
      </c>
      <c r="E248" s="967">
        <f t="shared" si="3"/>
        <v>0</v>
      </c>
      <c r="F248" s="964"/>
      <c r="G248" s="965" t="s">
        <v>475</v>
      </c>
      <c r="H248" s="964"/>
      <c r="I248" s="964"/>
      <c r="J248" s="964"/>
      <c r="K248" s="964"/>
      <c r="L248" s="964"/>
      <c r="M248" s="964"/>
      <c r="N248" s="964"/>
      <c r="O248" s="964"/>
      <c r="P248" s="964"/>
      <c r="Q248" s="964"/>
      <c r="R248" s="964"/>
      <c r="S248" s="964"/>
      <c r="T248" s="964"/>
      <c r="U248" s="964"/>
      <c r="V248" s="964"/>
      <c r="W248" s="964"/>
      <c r="X248" s="964"/>
      <c r="Y248" s="964"/>
      <c r="Z248" s="964"/>
      <c r="AA248" s="964"/>
    </row>
    <row r="249" spans="1:27">
      <c r="F249" s="5"/>
      <c r="G249" s="5"/>
      <c r="H249" s="5"/>
      <c r="I249" s="5"/>
      <c r="J249" s="5"/>
      <c r="K249" s="5"/>
      <c r="L249" s="5"/>
      <c r="M249" s="5"/>
      <c r="N249" s="5"/>
      <c r="O249" s="5"/>
      <c r="P249" s="5"/>
      <c r="Q249" s="5"/>
      <c r="R249" s="5"/>
      <c r="S249" s="5"/>
      <c r="T249" s="5"/>
      <c r="U249" s="5"/>
      <c r="V249" s="5"/>
      <c r="W249" s="5"/>
      <c r="X249" s="5"/>
      <c r="Y249" s="5"/>
      <c r="Z249" s="5"/>
      <c r="AA249" s="5"/>
    </row>
    <row r="250" spans="1:27">
      <c r="F250" s="5"/>
      <c r="G250" s="5"/>
      <c r="H250" s="5"/>
      <c r="I250" s="5"/>
      <c r="J250" s="5"/>
      <c r="K250" s="5"/>
      <c r="L250" s="5"/>
      <c r="M250" s="5"/>
      <c r="N250" s="5"/>
      <c r="O250" s="5"/>
      <c r="P250" s="5"/>
      <c r="Q250" s="5"/>
      <c r="R250" s="5"/>
      <c r="S250" s="5"/>
      <c r="T250" s="5"/>
      <c r="U250" s="5"/>
      <c r="V250" s="5"/>
      <c r="W250" s="5"/>
      <c r="X250" s="5"/>
      <c r="Y250" s="5"/>
      <c r="Z250" s="5"/>
      <c r="AA250" s="5"/>
    </row>
    <row r="251" spans="1:27">
      <c r="F251" s="5"/>
      <c r="G251" s="5"/>
      <c r="H251" s="5"/>
      <c r="I251" s="5"/>
      <c r="J251" s="5"/>
      <c r="K251" s="5"/>
      <c r="L251" s="5"/>
      <c r="M251" s="5"/>
      <c r="N251" s="5"/>
      <c r="O251" s="5"/>
      <c r="P251" s="5"/>
      <c r="Q251" s="5"/>
      <c r="R251" s="5"/>
      <c r="S251" s="5"/>
      <c r="T251" s="5"/>
      <c r="U251" s="5"/>
      <c r="V251" s="5"/>
      <c r="W251" s="5"/>
      <c r="X251" s="5"/>
      <c r="Y251" s="5"/>
      <c r="Z251" s="5"/>
      <c r="AA251" s="5"/>
    </row>
  </sheetData>
  <sheetProtection algorithmName="SHA-512" hashValue="KnYQM9lP9VOudWPd0Tjz+yDak01fgPn4yLFNmPUSfyYUuuvZCXVRsRu1W7yVWzUGgFJuKQ9n1kyNcOhacZUTFQ==" saltValue="HyrNaPUBD+JRdwuZ6hrugw==" spinCount="100000" sheet="1" objects="1" scenarios="1"/>
  <mergeCells count="77">
    <mergeCell ref="B133:B136"/>
    <mergeCell ref="A44:A47"/>
    <mergeCell ref="A50:A54"/>
    <mergeCell ref="A55:A59"/>
    <mergeCell ref="A60:A61"/>
    <mergeCell ref="A62:A63"/>
    <mergeCell ref="A65:A71"/>
    <mergeCell ref="A72:A77"/>
    <mergeCell ref="A78:A80"/>
    <mergeCell ref="A81:A83"/>
    <mergeCell ref="A84:A87"/>
    <mergeCell ref="A88:A92"/>
    <mergeCell ref="A93:A100"/>
    <mergeCell ref="B103:B112"/>
    <mergeCell ref="A103:A112"/>
    <mergeCell ref="B113:B116"/>
    <mergeCell ref="A10:A23"/>
    <mergeCell ref="A24:A34"/>
    <mergeCell ref="A36:A38"/>
    <mergeCell ref="A39:A43"/>
    <mergeCell ref="B60:B61"/>
    <mergeCell ref="F8:AA8"/>
    <mergeCell ref="B93:B100"/>
    <mergeCell ref="B10:B23"/>
    <mergeCell ref="B24:B34"/>
    <mergeCell ref="B78:B80"/>
    <mergeCell ref="B81:B83"/>
    <mergeCell ref="B72:B77"/>
    <mergeCell ref="B62:B63"/>
    <mergeCell ref="B84:B87"/>
    <mergeCell ref="B36:B38"/>
    <mergeCell ref="B39:B43"/>
    <mergeCell ref="B44:B47"/>
    <mergeCell ref="B50:B54"/>
    <mergeCell ref="B55:B59"/>
    <mergeCell ref="B65:B71"/>
    <mergeCell ref="B88:B92"/>
    <mergeCell ref="B235:B243"/>
    <mergeCell ref="B244:B247"/>
    <mergeCell ref="B229:B232"/>
    <mergeCell ref="B233:B234"/>
    <mergeCell ref="B200:B201"/>
    <mergeCell ref="B208:B210"/>
    <mergeCell ref="B202:B207"/>
    <mergeCell ref="B183:B186"/>
    <mergeCell ref="B180:B182"/>
    <mergeCell ref="B137:B141"/>
    <mergeCell ref="B211:B228"/>
    <mergeCell ref="B187:B189"/>
    <mergeCell ref="B142:B179"/>
    <mergeCell ref="A113:A116"/>
    <mergeCell ref="A117:A118"/>
    <mergeCell ref="B119:B122"/>
    <mergeCell ref="A119:A122"/>
    <mergeCell ref="B123:B132"/>
    <mergeCell ref="A123:A132"/>
    <mergeCell ref="B117:B118"/>
    <mergeCell ref="A133:A136"/>
    <mergeCell ref="A137:A141"/>
    <mergeCell ref="A142:A179"/>
    <mergeCell ref="A180:A182"/>
    <mergeCell ref="A183:A186"/>
    <mergeCell ref="A187:A189"/>
    <mergeCell ref="A190:A191"/>
    <mergeCell ref="A192:A194"/>
    <mergeCell ref="B192:B194"/>
    <mergeCell ref="B195:B198"/>
    <mergeCell ref="A195:A198"/>
    <mergeCell ref="B190:B191"/>
    <mergeCell ref="A235:A243"/>
    <mergeCell ref="A244:A247"/>
    <mergeCell ref="A200:A201"/>
    <mergeCell ref="A202:A207"/>
    <mergeCell ref="A208:A210"/>
    <mergeCell ref="A229:A232"/>
    <mergeCell ref="A233:A234"/>
    <mergeCell ref="A211:A228"/>
  </mergeCells>
  <conditionalFormatting sqref="E10:AA248">
    <cfRule type="containsText" dxfId="1229" priority="1" stopIfTrue="1" operator="containsText" text="&lt;/&gt;">
      <formula>NOT(ISERROR(SEARCH("&lt;/&gt;",E10)))</formula>
    </cfRule>
    <cfRule type="containsText" dxfId="1228" priority="2" stopIfTrue="1" operator="containsText" text="LG">
      <formula>NOT(ISERROR(SEARCH("LG",E10)))</formula>
    </cfRule>
    <cfRule type="cellIs" dxfId="1227" priority="3" operator="greaterThan">
      <formula>0</formula>
    </cfRule>
    <cfRule type="cellIs" dxfId="1226" priority="4" operator="less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6291A-1279-464E-94C3-17A7A851B23B}">
  <sheetPr codeName="Sheet4">
    <tabColor theme="5"/>
  </sheetPr>
  <dimension ref="A1:AH342"/>
  <sheetViews>
    <sheetView zoomScale="90" zoomScaleNormal="90" workbookViewId="0"/>
  </sheetViews>
  <sheetFormatPr defaultRowHeight="14.45"/>
  <cols>
    <col min="1" max="1" width="9" style="8"/>
    <col min="2" max="2" width="22.375" style="8" customWidth="1"/>
    <col min="3" max="3" width="61" style="8" customWidth="1"/>
    <col min="4" max="4" width="27" style="8" customWidth="1"/>
    <col min="5" max="5" width="4.625" style="8" customWidth="1"/>
    <col min="6" max="6" width="20.75" style="8" customWidth="1"/>
    <col min="7" max="7" width="4.625" style="8" customWidth="1"/>
    <col min="8" max="8" width="20.75" style="8" customWidth="1"/>
    <col min="9" max="9" width="4.625" style="8" customWidth="1"/>
    <col min="10" max="10" width="22.375" style="8" customWidth="1"/>
    <col min="11" max="12" width="20.75" style="8" customWidth="1"/>
    <col min="13" max="34" width="9" style="1"/>
  </cols>
  <sheetData>
    <row r="1" spans="1:12" s="1" customFormat="1" ht="30.95">
      <c r="A1" s="658" t="s">
        <v>708</v>
      </c>
      <c r="B1" s="7"/>
      <c r="C1" s="7"/>
      <c r="D1" s="7"/>
      <c r="E1" s="7"/>
      <c r="F1" s="7"/>
      <c r="G1" s="7"/>
      <c r="H1" s="7"/>
      <c r="I1" s="7"/>
      <c r="J1" s="7"/>
      <c r="K1" s="7"/>
      <c r="L1" s="7"/>
    </row>
    <row r="2" spans="1:12" s="1" customFormat="1" ht="36" customHeight="1">
      <c r="A2" s="1072" t="s">
        <v>709</v>
      </c>
      <c r="B2" s="1072"/>
      <c r="C2" s="1072"/>
      <c r="D2" s="1072"/>
      <c r="E2" s="7"/>
      <c r="F2" s="7"/>
      <c r="G2" s="7"/>
      <c r="H2" s="7"/>
      <c r="I2" s="7"/>
      <c r="J2" s="7"/>
      <c r="K2" s="7"/>
      <c r="L2" s="7"/>
    </row>
    <row r="3" spans="1:12" s="1" customFormat="1" ht="15.75" customHeight="1">
      <c r="A3" s="1072"/>
      <c r="B3" s="1072"/>
      <c r="C3" s="1072"/>
      <c r="D3" s="1072"/>
      <c r="E3" s="7"/>
      <c r="F3" s="7"/>
      <c r="G3" s="7"/>
      <c r="H3" s="7"/>
      <c r="I3" s="7"/>
      <c r="J3" s="7"/>
      <c r="K3" s="7"/>
      <c r="L3" s="7"/>
    </row>
    <row r="4" spans="1:12" s="1" customFormat="1" ht="15.95">
      <c r="A4" s="907"/>
      <c r="B4" s="907"/>
      <c r="C4" s="907"/>
      <c r="D4" s="7"/>
      <c r="E4" s="7"/>
      <c r="F4" s="7"/>
      <c r="G4" s="7"/>
      <c r="H4" s="7"/>
      <c r="I4" s="7"/>
      <c r="J4" s="7"/>
      <c r="K4" s="7"/>
      <c r="L4" s="7"/>
    </row>
    <row r="5" spans="1:12">
      <c r="A5" s="293" t="s">
        <v>480</v>
      </c>
      <c r="B5" s="293" t="s">
        <v>710</v>
      </c>
      <c r="C5" s="293" t="s">
        <v>104</v>
      </c>
      <c r="D5" s="293" t="s">
        <v>711</v>
      </c>
      <c r="E5" s="1101" t="s">
        <v>712</v>
      </c>
      <c r="F5" s="1102"/>
      <c r="G5" s="1101" t="s">
        <v>713</v>
      </c>
      <c r="H5" s="1102"/>
      <c r="I5" s="1101" t="s">
        <v>714</v>
      </c>
      <c r="J5" s="1102"/>
      <c r="K5" s="293" t="s">
        <v>715</v>
      </c>
      <c r="L5" s="293" t="s">
        <v>716</v>
      </c>
    </row>
    <row r="6" spans="1:12">
      <c r="A6" s="1095">
        <v>1</v>
      </c>
      <c r="B6" s="1095" t="s">
        <v>355</v>
      </c>
      <c r="C6" s="278" t="s">
        <v>483</v>
      </c>
      <c r="D6" s="278" t="s">
        <v>356</v>
      </c>
      <c r="E6" s="1095" t="s">
        <v>717</v>
      </c>
      <c r="F6" s="1095"/>
      <c r="G6" s="1095" t="s">
        <v>718</v>
      </c>
      <c r="H6" s="1095" t="s">
        <v>719</v>
      </c>
      <c r="I6" s="1095" t="s">
        <v>718</v>
      </c>
      <c r="J6" s="1095" t="s">
        <v>720</v>
      </c>
      <c r="K6" s="1095"/>
      <c r="L6" s="1095"/>
    </row>
    <row r="7" spans="1:12">
      <c r="A7" s="1095"/>
      <c r="B7" s="1095"/>
      <c r="C7" s="278" t="s">
        <v>484</v>
      </c>
      <c r="D7" s="278" t="s">
        <v>356</v>
      </c>
      <c r="E7" s="1095"/>
      <c r="F7" s="1095"/>
      <c r="G7" s="1095"/>
      <c r="H7" s="1095"/>
      <c r="I7" s="1095"/>
      <c r="J7" s="1095"/>
      <c r="K7" s="1095"/>
      <c r="L7" s="1095"/>
    </row>
    <row r="8" spans="1:12">
      <c r="A8" s="1095"/>
      <c r="B8" s="1095"/>
      <c r="C8" s="278" t="s">
        <v>485</v>
      </c>
      <c r="D8" s="278" t="s">
        <v>356</v>
      </c>
      <c r="E8" s="1095"/>
      <c r="F8" s="1095"/>
      <c r="G8" s="1095"/>
      <c r="H8" s="1095"/>
      <c r="I8" s="1095"/>
      <c r="J8" s="1095"/>
      <c r="K8" s="1095"/>
      <c r="L8" s="1095"/>
    </row>
    <row r="9" spans="1:12">
      <c r="A9" s="1095"/>
      <c r="B9" s="1095"/>
      <c r="C9" s="278" t="s">
        <v>486</v>
      </c>
      <c r="D9" s="278" t="s">
        <v>356</v>
      </c>
      <c r="E9" s="1095"/>
      <c r="F9" s="1095"/>
      <c r="G9" s="1095"/>
      <c r="H9" s="1095"/>
      <c r="I9" s="1095"/>
      <c r="J9" s="1095"/>
      <c r="K9" s="1095"/>
      <c r="L9" s="1095"/>
    </row>
    <row r="10" spans="1:12">
      <c r="A10" s="1095"/>
      <c r="B10" s="1095"/>
      <c r="C10" s="278" t="s">
        <v>487</v>
      </c>
      <c r="D10" s="278" t="s">
        <v>356</v>
      </c>
      <c r="E10" s="1095"/>
      <c r="F10" s="1095"/>
      <c r="G10" s="1095"/>
      <c r="H10" s="1095"/>
      <c r="I10" s="1095"/>
      <c r="J10" s="1095"/>
      <c r="K10" s="1095"/>
      <c r="L10" s="1095"/>
    </row>
    <row r="11" spans="1:12">
      <c r="A11" s="1095"/>
      <c r="B11" s="1095"/>
      <c r="C11" s="278" t="s">
        <v>488</v>
      </c>
      <c r="D11" s="278" t="s">
        <v>356</v>
      </c>
      <c r="E11" s="1095"/>
      <c r="F11" s="1095"/>
      <c r="G11" s="1095"/>
      <c r="H11" s="1095"/>
      <c r="I11" s="1095"/>
      <c r="J11" s="1095"/>
      <c r="K11" s="1095"/>
      <c r="L11" s="1095"/>
    </row>
    <row r="12" spans="1:12">
      <c r="A12" s="1095"/>
      <c r="B12" s="1095"/>
      <c r="C12" s="278" t="s">
        <v>489</v>
      </c>
      <c r="D12" s="278" t="s">
        <v>356</v>
      </c>
      <c r="E12" s="1095"/>
      <c r="F12" s="1095"/>
      <c r="G12" s="1095"/>
      <c r="H12" s="1095"/>
      <c r="I12" s="1095"/>
      <c r="J12" s="1095"/>
      <c r="K12" s="1095"/>
      <c r="L12" s="1095"/>
    </row>
    <row r="13" spans="1:12">
      <c r="A13" s="1095"/>
      <c r="B13" s="1095"/>
      <c r="C13" s="278" t="s">
        <v>490</v>
      </c>
      <c r="D13" s="278" t="s">
        <v>356</v>
      </c>
      <c r="E13" s="1095"/>
      <c r="F13" s="1095"/>
      <c r="G13" s="1095"/>
      <c r="H13" s="1095"/>
      <c r="I13" s="1095"/>
      <c r="J13" s="1095"/>
      <c r="K13" s="1095"/>
      <c r="L13" s="1095"/>
    </row>
    <row r="14" spans="1:12">
      <c r="A14" s="1095"/>
      <c r="B14" s="1095"/>
      <c r="C14" s="278" t="s">
        <v>491</v>
      </c>
      <c r="D14" s="278" t="s">
        <v>356</v>
      </c>
      <c r="E14" s="1095"/>
      <c r="F14" s="1095"/>
      <c r="G14" s="1095"/>
      <c r="H14" s="1095"/>
      <c r="I14" s="1095"/>
      <c r="J14" s="1095"/>
      <c r="K14" s="1095"/>
      <c r="L14" s="1095"/>
    </row>
    <row r="15" spans="1:12">
      <c r="A15" s="1095"/>
      <c r="B15" s="1095"/>
      <c r="C15" s="278" t="s">
        <v>492</v>
      </c>
      <c r="D15" s="278" t="s">
        <v>356</v>
      </c>
      <c r="E15" s="1095"/>
      <c r="F15" s="1095"/>
      <c r="G15" s="1095"/>
      <c r="H15" s="1095"/>
      <c r="I15" s="1095"/>
      <c r="J15" s="1095"/>
      <c r="K15" s="1095"/>
      <c r="L15" s="1095"/>
    </row>
    <row r="16" spans="1:12">
      <c r="A16" s="1095"/>
      <c r="B16" s="1095"/>
      <c r="C16" s="278" t="s">
        <v>493</v>
      </c>
      <c r="D16" s="278" t="s">
        <v>356</v>
      </c>
      <c r="E16" s="1095"/>
      <c r="F16" s="1095"/>
      <c r="G16" s="1095"/>
      <c r="H16" s="1095"/>
      <c r="I16" s="1095"/>
      <c r="J16" s="1095"/>
      <c r="K16" s="1095"/>
      <c r="L16" s="1095"/>
    </row>
    <row r="17" spans="1:12">
      <c r="A17" s="1095"/>
      <c r="B17" s="1095"/>
      <c r="C17" s="278" t="s">
        <v>494</v>
      </c>
      <c r="D17" s="278" t="s">
        <v>356</v>
      </c>
      <c r="E17" s="1095"/>
      <c r="F17" s="1095"/>
      <c r="G17" s="1095"/>
      <c r="H17" s="1095"/>
      <c r="I17" s="1095"/>
      <c r="J17" s="1095"/>
      <c r="K17" s="1095"/>
      <c r="L17" s="1095"/>
    </row>
    <row r="18" spans="1:12">
      <c r="A18" s="1095"/>
      <c r="B18" s="1095"/>
      <c r="C18" s="278" t="s">
        <v>495</v>
      </c>
      <c r="D18" s="278" t="s">
        <v>356</v>
      </c>
      <c r="E18" s="1095"/>
      <c r="F18" s="1095"/>
      <c r="G18" s="1095"/>
      <c r="H18" s="1095"/>
      <c r="I18" s="1095"/>
      <c r="J18" s="1095"/>
      <c r="K18" s="1095"/>
      <c r="L18" s="1095"/>
    </row>
    <row r="19" spans="1:12">
      <c r="A19" s="1095"/>
      <c r="B19" s="1095"/>
      <c r="C19" s="278" t="s">
        <v>496</v>
      </c>
      <c r="D19" s="278" t="s">
        <v>356</v>
      </c>
      <c r="E19" s="1095"/>
      <c r="F19" s="1095"/>
      <c r="G19" s="1095"/>
      <c r="H19" s="1095"/>
      <c r="I19" s="1095"/>
      <c r="J19" s="1095"/>
      <c r="K19" s="1095"/>
      <c r="L19" s="1095"/>
    </row>
    <row r="20" spans="1:12">
      <c r="A20" s="1095">
        <v>2</v>
      </c>
      <c r="B20" s="1095" t="s">
        <v>357</v>
      </c>
      <c r="C20" s="278" t="s">
        <v>106</v>
      </c>
      <c r="D20" s="278" t="s">
        <v>358</v>
      </c>
      <c r="E20" s="1095" t="s">
        <v>718</v>
      </c>
      <c r="F20" s="1095" t="s">
        <v>721</v>
      </c>
      <c r="G20" s="1095" t="s">
        <v>718</v>
      </c>
      <c r="H20" s="1095" t="s">
        <v>719</v>
      </c>
      <c r="I20" s="1095" t="s">
        <v>718</v>
      </c>
      <c r="J20" s="1095" t="s">
        <v>722</v>
      </c>
      <c r="K20" s="1095" t="s">
        <v>723</v>
      </c>
      <c r="L20" s="1095"/>
    </row>
    <row r="21" spans="1:12">
      <c r="A21" s="1095"/>
      <c r="B21" s="1095"/>
      <c r="C21" s="278" t="s">
        <v>109</v>
      </c>
      <c r="D21" s="278" t="s">
        <v>358</v>
      </c>
      <c r="E21" s="1095"/>
      <c r="F21" s="1095"/>
      <c r="G21" s="1095"/>
      <c r="H21" s="1095"/>
      <c r="I21" s="1095"/>
      <c r="J21" s="1095"/>
      <c r="K21" s="1095"/>
      <c r="L21" s="1095"/>
    </row>
    <row r="22" spans="1:12">
      <c r="A22" s="1095"/>
      <c r="B22" s="1095"/>
      <c r="C22" s="278" t="s">
        <v>110</v>
      </c>
      <c r="D22" s="278" t="s">
        <v>358</v>
      </c>
      <c r="E22" s="1095"/>
      <c r="F22" s="1095"/>
      <c r="G22" s="1095"/>
      <c r="H22" s="1095"/>
      <c r="I22" s="1095"/>
      <c r="J22" s="1095"/>
      <c r="K22" s="1095"/>
      <c r="L22" s="1095"/>
    </row>
    <row r="23" spans="1:12">
      <c r="A23" s="1095"/>
      <c r="B23" s="1095"/>
      <c r="C23" s="278" t="s">
        <v>111</v>
      </c>
      <c r="D23" s="278" t="s">
        <v>358</v>
      </c>
      <c r="E23" s="1095"/>
      <c r="F23" s="1095"/>
      <c r="G23" s="1095"/>
      <c r="H23" s="1095"/>
      <c r="I23" s="1095"/>
      <c r="J23" s="1095"/>
      <c r="K23" s="1095"/>
      <c r="L23" s="1095"/>
    </row>
    <row r="24" spans="1:12">
      <c r="A24" s="1095"/>
      <c r="B24" s="1095"/>
      <c r="C24" s="278" t="s">
        <v>112</v>
      </c>
      <c r="D24" s="278" t="s">
        <v>358</v>
      </c>
      <c r="E24" s="1095"/>
      <c r="F24" s="1095"/>
      <c r="G24" s="1095"/>
      <c r="H24" s="1095"/>
      <c r="I24" s="1095"/>
      <c r="J24" s="1095"/>
      <c r="K24" s="1095"/>
      <c r="L24" s="1095"/>
    </row>
    <row r="25" spans="1:12">
      <c r="A25" s="1095"/>
      <c r="B25" s="1095"/>
      <c r="C25" s="278" t="s">
        <v>113</v>
      </c>
      <c r="D25" s="278" t="s">
        <v>358</v>
      </c>
      <c r="E25" s="1095"/>
      <c r="F25" s="1095"/>
      <c r="G25" s="1095"/>
      <c r="H25" s="1095"/>
      <c r="I25" s="1095"/>
      <c r="J25" s="1095"/>
      <c r="K25" s="1095"/>
      <c r="L25" s="1095"/>
    </row>
    <row r="26" spans="1:12">
      <c r="A26" s="1095"/>
      <c r="B26" s="1095"/>
      <c r="C26" s="278" t="s">
        <v>114</v>
      </c>
      <c r="D26" s="278" t="s">
        <v>358</v>
      </c>
      <c r="E26" s="1095"/>
      <c r="F26" s="1095"/>
      <c r="G26" s="1095"/>
      <c r="H26" s="1095"/>
      <c r="I26" s="1095"/>
      <c r="J26" s="1095"/>
      <c r="K26" s="1095"/>
      <c r="L26" s="1095"/>
    </row>
    <row r="27" spans="1:12">
      <c r="A27" s="1095"/>
      <c r="B27" s="1095"/>
      <c r="C27" s="278" t="s">
        <v>115</v>
      </c>
      <c r="D27" s="278" t="s">
        <v>358</v>
      </c>
      <c r="E27" s="1095"/>
      <c r="F27" s="1095"/>
      <c r="G27" s="1095"/>
      <c r="H27" s="1095"/>
      <c r="I27" s="1095"/>
      <c r="J27" s="1095"/>
      <c r="K27" s="1095"/>
      <c r="L27" s="1095"/>
    </row>
    <row r="28" spans="1:12">
      <c r="A28" s="1095"/>
      <c r="B28" s="1095"/>
      <c r="C28" s="278" t="s">
        <v>116</v>
      </c>
      <c r="D28" s="278" t="s">
        <v>358</v>
      </c>
      <c r="E28" s="1095"/>
      <c r="F28" s="1095"/>
      <c r="G28" s="1095"/>
      <c r="H28" s="1095"/>
      <c r="I28" s="1095"/>
      <c r="J28" s="1095"/>
      <c r="K28" s="1095"/>
      <c r="L28" s="1095"/>
    </row>
    <row r="29" spans="1:12">
      <c r="A29" s="1095"/>
      <c r="B29" s="1095"/>
      <c r="C29" s="278" t="s">
        <v>117</v>
      </c>
      <c r="D29" s="278" t="s">
        <v>358</v>
      </c>
      <c r="E29" s="1095"/>
      <c r="F29" s="1095"/>
      <c r="G29" s="1095"/>
      <c r="H29" s="1095"/>
      <c r="I29" s="1095"/>
      <c r="J29" s="1095"/>
      <c r="K29" s="1095"/>
      <c r="L29" s="1095"/>
    </row>
    <row r="30" spans="1:12">
      <c r="A30" s="1095"/>
      <c r="B30" s="1095"/>
      <c r="C30" s="278" t="s">
        <v>118</v>
      </c>
      <c r="D30" s="278" t="s">
        <v>358</v>
      </c>
      <c r="E30" s="1095"/>
      <c r="F30" s="1095"/>
      <c r="G30" s="1095"/>
      <c r="H30" s="1095"/>
      <c r="I30" s="1095"/>
      <c r="J30" s="1095"/>
      <c r="K30" s="1095"/>
      <c r="L30" s="1095"/>
    </row>
    <row r="31" spans="1:12" ht="29.1">
      <c r="A31" s="295">
        <v>3</v>
      </c>
      <c r="B31" s="295" t="s">
        <v>359</v>
      </c>
      <c r="C31" s="299" t="s">
        <v>497</v>
      </c>
      <c r="D31" s="299" t="s">
        <v>360</v>
      </c>
      <c r="E31" s="295" t="s">
        <v>717</v>
      </c>
      <c r="F31" s="295"/>
      <c r="G31" s="295" t="s">
        <v>717</v>
      </c>
      <c r="H31" s="295"/>
      <c r="I31" s="295" t="s">
        <v>718</v>
      </c>
      <c r="J31" s="295" t="s">
        <v>724</v>
      </c>
      <c r="K31" s="295"/>
      <c r="L31" s="295"/>
    </row>
    <row r="32" spans="1:12">
      <c r="A32" s="1103">
        <v>4</v>
      </c>
      <c r="B32" s="1103" t="s">
        <v>363</v>
      </c>
      <c r="C32" s="299" t="s">
        <v>498</v>
      </c>
      <c r="D32" s="299" t="s">
        <v>364</v>
      </c>
      <c r="E32" s="1103" t="s">
        <v>718</v>
      </c>
      <c r="F32" s="1103" t="s">
        <v>725</v>
      </c>
      <c r="G32" s="1103" t="s">
        <v>718</v>
      </c>
      <c r="H32" s="1103" t="s">
        <v>719</v>
      </c>
      <c r="I32" s="1103" t="s">
        <v>718</v>
      </c>
      <c r="J32" s="1103" t="s">
        <v>726</v>
      </c>
      <c r="K32" s="1103"/>
      <c r="L32" s="1103"/>
    </row>
    <row r="33" spans="1:12">
      <c r="A33" s="1104"/>
      <c r="B33" s="1104"/>
      <c r="C33" s="299" t="s">
        <v>120</v>
      </c>
      <c r="D33" s="299" t="s">
        <v>364</v>
      </c>
      <c r="E33" s="1104"/>
      <c r="F33" s="1104"/>
      <c r="G33" s="1104"/>
      <c r="H33" s="1104"/>
      <c r="I33" s="1104"/>
      <c r="J33" s="1104"/>
      <c r="K33" s="1104"/>
      <c r="L33" s="1104"/>
    </row>
    <row r="34" spans="1:12">
      <c r="A34" s="1094"/>
      <c r="B34" s="1094"/>
      <c r="C34" s="299" t="s">
        <v>122</v>
      </c>
      <c r="D34" s="299" t="s">
        <v>364</v>
      </c>
      <c r="E34" s="1094"/>
      <c r="F34" s="1094"/>
      <c r="G34" s="1094"/>
      <c r="H34" s="1094"/>
      <c r="I34" s="1094"/>
      <c r="J34" s="1094"/>
      <c r="K34" s="1094"/>
      <c r="L34" s="1094"/>
    </row>
    <row r="35" spans="1:12">
      <c r="A35" s="1103">
        <v>5</v>
      </c>
      <c r="B35" s="1103" t="s">
        <v>365</v>
      </c>
      <c r="C35" s="299" t="s">
        <v>498</v>
      </c>
      <c r="D35" s="299" t="s">
        <v>366</v>
      </c>
      <c r="E35" s="1103" t="s">
        <v>718</v>
      </c>
      <c r="F35" s="1103" t="s">
        <v>725</v>
      </c>
      <c r="G35" s="1103" t="s">
        <v>718</v>
      </c>
      <c r="H35" s="1103" t="s">
        <v>719</v>
      </c>
      <c r="I35" s="1103" t="s">
        <v>718</v>
      </c>
      <c r="J35" s="1103" t="s">
        <v>727</v>
      </c>
      <c r="K35" s="1103" t="s">
        <v>728</v>
      </c>
      <c r="L35" s="1103"/>
    </row>
    <row r="36" spans="1:12">
      <c r="A36" s="1104"/>
      <c r="B36" s="1104"/>
      <c r="C36" s="299" t="s">
        <v>124</v>
      </c>
      <c r="D36" s="299" t="s">
        <v>366</v>
      </c>
      <c r="E36" s="1104"/>
      <c r="F36" s="1104"/>
      <c r="G36" s="1104"/>
      <c r="H36" s="1104"/>
      <c r="I36" s="1104"/>
      <c r="J36" s="1104"/>
      <c r="K36" s="1104"/>
      <c r="L36" s="1104"/>
    </row>
    <row r="37" spans="1:12">
      <c r="A37" s="1104"/>
      <c r="B37" s="1104"/>
      <c r="C37" s="299" t="s">
        <v>125</v>
      </c>
      <c r="D37" s="299" t="s">
        <v>366</v>
      </c>
      <c r="E37" s="1104"/>
      <c r="F37" s="1104"/>
      <c r="G37" s="1104"/>
      <c r="H37" s="1104"/>
      <c r="I37" s="1104"/>
      <c r="J37" s="1104"/>
      <c r="K37" s="1104"/>
      <c r="L37" s="1104"/>
    </row>
    <row r="38" spans="1:12">
      <c r="A38" s="1104"/>
      <c r="B38" s="1104"/>
      <c r="C38" s="299" t="s">
        <v>126</v>
      </c>
      <c r="D38" s="299" t="s">
        <v>366</v>
      </c>
      <c r="E38" s="1104"/>
      <c r="F38" s="1104"/>
      <c r="G38" s="1104"/>
      <c r="H38" s="1104"/>
      <c r="I38" s="1104"/>
      <c r="J38" s="1104"/>
      <c r="K38" s="1104"/>
      <c r="L38" s="1104"/>
    </row>
    <row r="39" spans="1:12">
      <c r="A39" s="1094"/>
      <c r="B39" s="1094"/>
      <c r="C39" s="299" t="s">
        <v>127</v>
      </c>
      <c r="D39" s="299" t="s">
        <v>366</v>
      </c>
      <c r="E39" s="1104"/>
      <c r="F39" s="1094"/>
      <c r="G39" s="1094"/>
      <c r="H39" s="1094"/>
      <c r="I39" s="1094"/>
      <c r="J39" s="1094"/>
      <c r="K39" s="1094"/>
      <c r="L39" s="1094"/>
    </row>
    <row r="40" spans="1:12">
      <c r="A40" s="1103">
        <v>6</v>
      </c>
      <c r="B40" s="1103" t="s">
        <v>367</v>
      </c>
      <c r="C40" s="299" t="s">
        <v>499</v>
      </c>
      <c r="D40" s="299" t="s">
        <v>360</v>
      </c>
      <c r="E40" s="1095" t="s">
        <v>717</v>
      </c>
      <c r="F40" s="1103"/>
      <c r="G40" s="1103" t="s">
        <v>718</v>
      </c>
      <c r="H40" s="1095" t="s">
        <v>719</v>
      </c>
      <c r="I40" s="1095" t="s">
        <v>718</v>
      </c>
      <c r="J40" s="1095" t="s">
        <v>729</v>
      </c>
      <c r="K40" s="1103" t="s">
        <v>730</v>
      </c>
      <c r="L40" s="1109"/>
    </row>
    <row r="41" spans="1:12">
      <c r="A41" s="1104"/>
      <c r="B41" s="1104"/>
      <c r="C41" s="299" t="s">
        <v>500</v>
      </c>
      <c r="D41" s="299" t="s">
        <v>360</v>
      </c>
      <c r="E41" s="1095"/>
      <c r="F41" s="1094"/>
      <c r="G41" s="1094"/>
      <c r="H41" s="1095"/>
      <c r="I41" s="1095"/>
      <c r="J41" s="1095"/>
      <c r="K41" s="1104"/>
      <c r="L41" s="1110"/>
    </row>
    <row r="42" spans="1:12">
      <c r="A42" s="1104"/>
      <c r="B42" s="1104"/>
      <c r="C42" s="299" t="s">
        <v>501</v>
      </c>
      <c r="D42" s="299" t="s">
        <v>366</v>
      </c>
      <c r="E42" s="1095" t="s">
        <v>718</v>
      </c>
      <c r="F42" s="1103" t="s">
        <v>721</v>
      </c>
      <c r="G42" s="1103" t="s">
        <v>718</v>
      </c>
      <c r="H42" s="1095" t="s">
        <v>719</v>
      </c>
      <c r="I42" s="1095" t="s">
        <v>718</v>
      </c>
      <c r="J42" s="1095" t="s">
        <v>731</v>
      </c>
      <c r="K42" s="1104"/>
      <c r="L42" s="1110"/>
    </row>
    <row r="43" spans="1:12">
      <c r="A43" s="1094"/>
      <c r="B43" s="1094"/>
      <c r="C43" s="299" t="s">
        <v>502</v>
      </c>
      <c r="D43" s="299" t="s">
        <v>366</v>
      </c>
      <c r="E43" s="1095"/>
      <c r="F43" s="1094"/>
      <c r="G43" s="1094"/>
      <c r="H43" s="1095"/>
      <c r="I43" s="1095"/>
      <c r="J43" s="1095"/>
      <c r="K43" s="1094"/>
      <c r="L43" s="1111"/>
    </row>
    <row r="44" spans="1:12" ht="87">
      <c r="A44" s="295">
        <v>7</v>
      </c>
      <c r="B44" s="295" t="s">
        <v>368</v>
      </c>
      <c r="C44" s="299" t="s">
        <v>503</v>
      </c>
      <c r="D44" s="299" t="s">
        <v>369</v>
      </c>
      <c r="E44" s="649" t="s">
        <v>717</v>
      </c>
      <c r="F44" s="295"/>
      <c r="G44" s="295" t="s">
        <v>717</v>
      </c>
      <c r="H44" s="295"/>
      <c r="I44" s="295" t="s">
        <v>718</v>
      </c>
      <c r="J44" s="295" t="s">
        <v>732</v>
      </c>
      <c r="K44" s="295"/>
      <c r="L44" s="295" t="s">
        <v>733</v>
      </c>
    </row>
    <row r="45" spans="1:12" ht="43.5">
      <c r="A45" s="295">
        <v>8</v>
      </c>
      <c r="B45" s="295" t="s">
        <v>370</v>
      </c>
      <c r="C45" s="299" t="s">
        <v>504</v>
      </c>
      <c r="D45" s="299" t="s">
        <v>372</v>
      </c>
      <c r="E45" s="295" t="s">
        <v>717</v>
      </c>
      <c r="F45" s="295"/>
      <c r="G45" s="295" t="s">
        <v>717</v>
      </c>
      <c r="H45" s="295"/>
      <c r="I45" s="295" t="s">
        <v>718</v>
      </c>
      <c r="J45" s="295" t="s">
        <v>721</v>
      </c>
      <c r="K45" s="295" t="s">
        <v>734</v>
      </c>
      <c r="L45" s="295"/>
    </row>
    <row r="46" spans="1:12" ht="29.1">
      <c r="A46" s="1103">
        <v>9</v>
      </c>
      <c r="B46" s="1103" t="s">
        <v>373</v>
      </c>
      <c r="C46" s="299" t="s">
        <v>505</v>
      </c>
      <c r="D46" s="299" t="s">
        <v>374</v>
      </c>
      <c r="E46" s="1103" t="s">
        <v>718</v>
      </c>
      <c r="F46" s="1103" t="s">
        <v>735</v>
      </c>
      <c r="G46" s="1103" t="s">
        <v>718</v>
      </c>
      <c r="H46" s="1103" t="s">
        <v>719</v>
      </c>
      <c r="I46" s="1103" t="s">
        <v>718</v>
      </c>
      <c r="J46" s="215" t="s">
        <v>736</v>
      </c>
      <c r="K46" s="1103" t="s">
        <v>737</v>
      </c>
      <c r="L46" s="1103"/>
    </row>
    <row r="47" spans="1:12">
      <c r="A47" s="1104"/>
      <c r="B47" s="1104"/>
      <c r="C47" s="299" t="s">
        <v>506</v>
      </c>
      <c r="D47" s="299" t="s">
        <v>507</v>
      </c>
      <c r="E47" s="1104"/>
      <c r="F47" s="1104"/>
      <c r="G47" s="1104"/>
      <c r="H47" s="1104"/>
      <c r="I47" s="1104"/>
      <c r="J47" s="1095" t="s">
        <v>738</v>
      </c>
      <c r="K47" s="1104"/>
      <c r="L47" s="1104"/>
    </row>
    <row r="48" spans="1:12">
      <c r="A48" s="1104"/>
      <c r="B48" s="1104"/>
      <c r="C48" s="299" t="s">
        <v>129</v>
      </c>
      <c r="D48" s="299" t="s">
        <v>507</v>
      </c>
      <c r="E48" s="1104"/>
      <c r="F48" s="1104"/>
      <c r="G48" s="1104"/>
      <c r="H48" s="1104"/>
      <c r="I48" s="1104"/>
      <c r="J48" s="1095"/>
      <c r="K48" s="1104"/>
      <c r="L48" s="1104"/>
    </row>
    <row r="49" spans="1:12">
      <c r="A49" s="1104"/>
      <c r="B49" s="1104"/>
      <c r="C49" s="299" t="s">
        <v>131</v>
      </c>
      <c r="D49" s="299" t="s">
        <v>507</v>
      </c>
      <c r="E49" s="1104"/>
      <c r="F49" s="1104"/>
      <c r="G49" s="1104"/>
      <c r="H49" s="1104"/>
      <c r="I49" s="1104"/>
      <c r="J49" s="1095"/>
      <c r="K49" s="1104"/>
      <c r="L49" s="1104"/>
    </row>
    <row r="50" spans="1:12">
      <c r="A50" s="1094"/>
      <c r="B50" s="1094"/>
      <c r="C50" s="299" t="s">
        <v>132</v>
      </c>
      <c r="D50" s="299" t="s">
        <v>507</v>
      </c>
      <c r="E50" s="1094"/>
      <c r="F50" s="1094"/>
      <c r="G50" s="1094"/>
      <c r="H50" s="1094"/>
      <c r="I50" s="1094"/>
      <c r="J50" s="1095"/>
      <c r="K50" s="1094"/>
      <c r="L50" s="1094"/>
    </row>
    <row r="51" spans="1:12" ht="43.5">
      <c r="A51" s="1103">
        <v>10</v>
      </c>
      <c r="B51" s="1103" t="s">
        <v>375</v>
      </c>
      <c r="C51" s="299" t="s">
        <v>508</v>
      </c>
      <c r="D51" s="299" t="s">
        <v>376</v>
      </c>
      <c r="E51" s="1103" t="s">
        <v>717</v>
      </c>
      <c r="F51" s="1103"/>
      <c r="G51" s="1103" t="s">
        <v>718</v>
      </c>
      <c r="H51" s="1103" t="s">
        <v>719</v>
      </c>
      <c r="I51" s="1103" t="s">
        <v>718</v>
      </c>
      <c r="J51" s="375" t="s">
        <v>739</v>
      </c>
      <c r="K51" s="1103"/>
      <c r="L51" s="1103" t="s">
        <v>740</v>
      </c>
    </row>
    <row r="52" spans="1:12">
      <c r="A52" s="1104"/>
      <c r="B52" s="1104"/>
      <c r="C52" s="299" t="s">
        <v>509</v>
      </c>
      <c r="D52" s="299" t="s">
        <v>65</v>
      </c>
      <c r="E52" s="1104"/>
      <c r="F52" s="1104"/>
      <c r="G52" s="1104"/>
      <c r="H52" s="1104"/>
      <c r="I52" s="1104"/>
      <c r="J52" s="1103" t="s">
        <v>741</v>
      </c>
      <c r="K52" s="1104"/>
      <c r="L52" s="1104"/>
    </row>
    <row r="53" spans="1:12">
      <c r="A53" s="1104"/>
      <c r="B53" s="1104"/>
      <c r="C53" s="299" t="s">
        <v>510</v>
      </c>
      <c r="D53" s="299" t="s">
        <v>65</v>
      </c>
      <c r="E53" s="1104"/>
      <c r="F53" s="1104"/>
      <c r="G53" s="1104"/>
      <c r="H53" s="1104"/>
      <c r="I53" s="1104"/>
      <c r="J53" s="1094"/>
      <c r="K53" s="1104"/>
      <c r="L53" s="1104"/>
    </row>
    <row r="54" spans="1:12">
      <c r="A54" s="1104"/>
      <c r="B54" s="1104"/>
      <c r="C54" s="299" t="s">
        <v>511</v>
      </c>
      <c r="D54" s="276" t="s">
        <v>369</v>
      </c>
      <c r="E54" s="1104"/>
      <c r="F54" s="1104"/>
      <c r="G54" s="1104"/>
      <c r="H54" s="1104"/>
      <c r="I54" s="1104"/>
      <c r="J54" s="1103" t="s">
        <v>742</v>
      </c>
      <c r="K54" s="1104"/>
      <c r="L54" s="1104"/>
    </row>
    <row r="55" spans="1:12">
      <c r="A55" s="1094"/>
      <c r="B55" s="1094"/>
      <c r="C55" s="299" t="s">
        <v>513</v>
      </c>
      <c r="D55" s="276" t="s">
        <v>369</v>
      </c>
      <c r="E55" s="1094"/>
      <c r="F55" s="1094"/>
      <c r="G55" s="1094"/>
      <c r="H55" s="1094"/>
      <c r="I55" s="1094"/>
      <c r="J55" s="1094"/>
      <c r="K55" s="1094"/>
      <c r="L55" s="1094"/>
    </row>
    <row r="56" spans="1:12">
      <c r="A56" s="1103">
        <v>11</v>
      </c>
      <c r="B56" s="1103" t="s">
        <v>743</v>
      </c>
      <c r="C56" s="299" t="s">
        <v>514</v>
      </c>
      <c r="D56" s="299" t="s">
        <v>65</v>
      </c>
      <c r="E56" s="1103" t="s">
        <v>717</v>
      </c>
      <c r="F56" s="1103"/>
      <c r="G56" s="1103" t="s">
        <v>718</v>
      </c>
      <c r="H56" s="1103" t="s">
        <v>719</v>
      </c>
      <c r="I56" s="1103" t="s">
        <v>718</v>
      </c>
      <c r="J56" s="1103" t="s">
        <v>741</v>
      </c>
      <c r="K56" s="1103"/>
      <c r="L56" s="1103" t="s">
        <v>740</v>
      </c>
    </row>
    <row r="57" spans="1:12">
      <c r="A57" s="1094"/>
      <c r="B57" s="1094"/>
      <c r="C57" s="299" t="s">
        <v>515</v>
      </c>
      <c r="D57" s="299" t="s">
        <v>65</v>
      </c>
      <c r="E57" s="1094"/>
      <c r="F57" s="1094"/>
      <c r="G57" s="1094"/>
      <c r="H57" s="1094"/>
      <c r="I57" s="1094"/>
      <c r="J57" s="1094"/>
      <c r="K57" s="1094"/>
      <c r="L57" s="1094"/>
    </row>
    <row r="58" spans="1:12">
      <c r="A58" s="1103">
        <v>12</v>
      </c>
      <c r="B58" s="1103" t="s">
        <v>378</v>
      </c>
      <c r="C58" s="299" t="s">
        <v>516</v>
      </c>
      <c r="D58" s="299" t="s">
        <v>382</v>
      </c>
      <c r="E58" s="215" t="s">
        <v>717</v>
      </c>
      <c r="F58" s="215"/>
      <c r="G58" s="1103" t="s">
        <v>718</v>
      </c>
      <c r="H58" s="1103" t="s">
        <v>719</v>
      </c>
      <c r="I58" s="1103" t="s">
        <v>718</v>
      </c>
      <c r="J58" s="375" t="s">
        <v>735</v>
      </c>
      <c r="K58" s="1103" t="s">
        <v>744</v>
      </c>
      <c r="L58" s="1103" t="s">
        <v>745</v>
      </c>
    </row>
    <row r="59" spans="1:12" ht="29.1">
      <c r="A59" s="1094"/>
      <c r="B59" s="1094"/>
      <c r="C59" s="299" t="s">
        <v>517</v>
      </c>
      <c r="D59" s="299" t="s">
        <v>518</v>
      </c>
      <c r="E59" s="215" t="s">
        <v>718</v>
      </c>
      <c r="F59" s="215" t="s">
        <v>735</v>
      </c>
      <c r="G59" s="1094"/>
      <c r="H59" s="1094"/>
      <c r="I59" s="1094"/>
      <c r="J59" s="375" t="s">
        <v>746</v>
      </c>
      <c r="K59" s="1094"/>
      <c r="L59" s="1094"/>
    </row>
    <row r="60" spans="1:12" ht="87">
      <c r="A60" s="295">
        <v>13</v>
      </c>
      <c r="B60" s="295" t="s">
        <v>381</v>
      </c>
      <c r="C60" s="299" t="s">
        <v>519</v>
      </c>
      <c r="D60" s="299" t="s">
        <v>382</v>
      </c>
      <c r="E60" s="295" t="s">
        <v>717</v>
      </c>
      <c r="F60" s="295"/>
      <c r="G60" s="295" t="s">
        <v>717</v>
      </c>
      <c r="H60" s="295"/>
      <c r="I60" s="295" t="s">
        <v>718</v>
      </c>
      <c r="J60" s="295" t="s">
        <v>735</v>
      </c>
      <c r="K60" s="295" t="s">
        <v>747</v>
      </c>
      <c r="L60" s="295"/>
    </row>
    <row r="61" spans="1:12">
      <c r="A61" s="1103">
        <v>14</v>
      </c>
      <c r="B61" s="1103" t="s">
        <v>384</v>
      </c>
      <c r="C61" s="299" t="s">
        <v>134</v>
      </c>
      <c r="D61" s="299" t="s">
        <v>366</v>
      </c>
      <c r="E61" s="1103" t="s">
        <v>718</v>
      </c>
      <c r="F61" s="1103" t="s">
        <v>721</v>
      </c>
      <c r="G61" s="1103" t="s">
        <v>718</v>
      </c>
      <c r="H61" s="1103" t="s">
        <v>719</v>
      </c>
      <c r="I61" s="1103" t="s">
        <v>718</v>
      </c>
      <c r="J61" s="1103" t="s">
        <v>748</v>
      </c>
      <c r="K61" s="1103" t="s">
        <v>749</v>
      </c>
      <c r="L61" s="1103" t="s">
        <v>750</v>
      </c>
    </row>
    <row r="62" spans="1:12">
      <c r="A62" s="1104"/>
      <c r="B62" s="1104"/>
      <c r="C62" s="299" t="s">
        <v>136</v>
      </c>
      <c r="D62" s="299" t="s">
        <v>366</v>
      </c>
      <c r="E62" s="1104"/>
      <c r="F62" s="1104"/>
      <c r="G62" s="1104"/>
      <c r="H62" s="1104"/>
      <c r="I62" s="1104"/>
      <c r="J62" s="1104"/>
      <c r="K62" s="1104"/>
      <c r="L62" s="1104"/>
    </row>
    <row r="63" spans="1:12">
      <c r="A63" s="1104"/>
      <c r="B63" s="1104"/>
      <c r="C63" s="299" t="s">
        <v>137</v>
      </c>
      <c r="D63" s="299" t="s">
        <v>366</v>
      </c>
      <c r="E63" s="1104"/>
      <c r="F63" s="1104"/>
      <c r="G63" s="1104"/>
      <c r="H63" s="1104"/>
      <c r="I63" s="1104"/>
      <c r="J63" s="1104"/>
      <c r="K63" s="1104"/>
      <c r="L63" s="1104"/>
    </row>
    <row r="64" spans="1:12">
      <c r="A64" s="1104"/>
      <c r="B64" s="1104"/>
      <c r="C64" s="299" t="s">
        <v>520</v>
      </c>
      <c r="D64" s="299" t="s">
        <v>366</v>
      </c>
      <c r="E64" s="1104"/>
      <c r="F64" s="1104"/>
      <c r="G64" s="1104"/>
      <c r="H64" s="1104"/>
      <c r="I64" s="1104"/>
      <c r="J64" s="1104"/>
      <c r="K64" s="1104"/>
      <c r="L64" s="1104"/>
    </row>
    <row r="65" spans="1:12">
      <c r="A65" s="1104"/>
      <c r="B65" s="1104"/>
      <c r="C65" s="299" t="s">
        <v>138</v>
      </c>
      <c r="D65" s="299" t="s">
        <v>366</v>
      </c>
      <c r="E65" s="1104"/>
      <c r="F65" s="1104"/>
      <c r="G65" s="1104"/>
      <c r="H65" s="1104"/>
      <c r="I65" s="1104"/>
      <c r="J65" s="1104"/>
      <c r="K65" s="1104"/>
      <c r="L65" s="1104"/>
    </row>
    <row r="66" spans="1:12">
      <c r="A66" s="1104"/>
      <c r="B66" s="1104"/>
      <c r="C66" s="299" t="s">
        <v>139</v>
      </c>
      <c r="D66" s="299" t="s">
        <v>366</v>
      </c>
      <c r="E66" s="1104"/>
      <c r="F66" s="1104"/>
      <c r="G66" s="1104"/>
      <c r="H66" s="1104"/>
      <c r="I66" s="1104"/>
      <c r="J66" s="1104"/>
      <c r="K66" s="1104"/>
      <c r="L66" s="1104"/>
    </row>
    <row r="67" spans="1:12">
      <c r="A67" s="1094"/>
      <c r="B67" s="1094"/>
      <c r="C67" s="299" t="s">
        <v>140</v>
      </c>
      <c r="D67" s="299" t="s">
        <v>366</v>
      </c>
      <c r="E67" s="1094"/>
      <c r="F67" s="1094"/>
      <c r="G67" s="1094"/>
      <c r="H67" s="1094"/>
      <c r="I67" s="1094"/>
      <c r="J67" s="1094"/>
      <c r="K67" s="1094"/>
      <c r="L67" s="1094"/>
    </row>
    <row r="68" spans="1:12">
      <c r="A68" s="1103">
        <v>15</v>
      </c>
      <c r="B68" s="1103" t="s">
        <v>386</v>
      </c>
      <c r="C68" s="299" t="s">
        <v>142</v>
      </c>
      <c r="D68" s="299" t="s">
        <v>366</v>
      </c>
      <c r="E68" s="1103" t="s">
        <v>718</v>
      </c>
      <c r="F68" s="1103" t="s">
        <v>721</v>
      </c>
      <c r="G68" s="1103" t="s">
        <v>718</v>
      </c>
      <c r="H68" s="1103" t="s">
        <v>719</v>
      </c>
      <c r="I68" s="1103" t="s">
        <v>718</v>
      </c>
      <c r="J68" s="1103" t="s">
        <v>748</v>
      </c>
      <c r="K68" s="1103" t="s">
        <v>751</v>
      </c>
      <c r="L68" s="1103" t="s">
        <v>750</v>
      </c>
    </row>
    <row r="69" spans="1:12">
      <c r="A69" s="1104"/>
      <c r="B69" s="1104"/>
      <c r="C69" s="299" t="s">
        <v>143</v>
      </c>
      <c r="D69" s="299" t="s">
        <v>366</v>
      </c>
      <c r="E69" s="1104"/>
      <c r="F69" s="1104"/>
      <c r="G69" s="1104"/>
      <c r="H69" s="1104"/>
      <c r="I69" s="1104"/>
      <c r="J69" s="1104"/>
      <c r="K69" s="1104"/>
      <c r="L69" s="1104"/>
    </row>
    <row r="70" spans="1:12">
      <c r="A70" s="1104"/>
      <c r="B70" s="1104"/>
      <c r="C70" s="299" t="s">
        <v>144</v>
      </c>
      <c r="D70" s="299" t="s">
        <v>366</v>
      </c>
      <c r="E70" s="1104"/>
      <c r="F70" s="1104"/>
      <c r="G70" s="1104"/>
      <c r="H70" s="1104"/>
      <c r="I70" s="1104"/>
      <c r="J70" s="1104"/>
      <c r="K70" s="1104"/>
      <c r="L70" s="1104"/>
    </row>
    <row r="71" spans="1:12">
      <c r="A71" s="1104"/>
      <c r="B71" s="1104"/>
      <c r="C71" s="299" t="s">
        <v>145</v>
      </c>
      <c r="D71" s="299" t="s">
        <v>366</v>
      </c>
      <c r="E71" s="1104"/>
      <c r="F71" s="1104"/>
      <c r="G71" s="1104"/>
      <c r="H71" s="1104"/>
      <c r="I71" s="1104"/>
      <c r="J71" s="1104"/>
      <c r="K71" s="1104"/>
      <c r="L71" s="1104"/>
    </row>
    <row r="72" spans="1:12">
      <c r="A72" s="1104"/>
      <c r="B72" s="1104"/>
      <c r="C72" s="299" t="s">
        <v>146</v>
      </c>
      <c r="D72" s="299" t="s">
        <v>366</v>
      </c>
      <c r="E72" s="1104"/>
      <c r="F72" s="1104"/>
      <c r="G72" s="1104"/>
      <c r="H72" s="1104"/>
      <c r="I72" s="1104"/>
      <c r="J72" s="1104"/>
      <c r="K72" s="1104"/>
      <c r="L72" s="1104"/>
    </row>
    <row r="73" spans="1:12">
      <c r="A73" s="1094"/>
      <c r="B73" s="1094"/>
      <c r="C73" s="299" t="s">
        <v>147</v>
      </c>
      <c r="D73" s="299" t="s">
        <v>366</v>
      </c>
      <c r="E73" s="1094"/>
      <c r="F73" s="1094"/>
      <c r="G73" s="1094"/>
      <c r="H73" s="1094"/>
      <c r="I73" s="1094"/>
      <c r="J73" s="1094"/>
      <c r="K73" s="1094"/>
      <c r="L73" s="1094"/>
    </row>
    <row r="74" spans="1:12">
      <c r="A74" s="1095">
        <v>16</v>
      </c>
      <c r="B74" s="1095" t="s">
        <v>387</v>
      </c>
      <c r="C74" s="278" t="s">
        <v>521</v>
      </c>
      <c r="D74" s="278" t="s">
        <v>366</v>
      </c>
      <c r="E74" s="1095" t="s">
        <v>718</v>
      </c>
      <c r="F74" s="1095" t="s">
        <v>721</v>
      </c>
      <c r="G74" s="1095" t="s">
        <v>718</v>
      </c>
      <c r="H74" s="1095" t="s">
        <v>719</v>
      </c>
      <c r="I74" s="1095" t="s">
        <v>718</v>
      </c>
      <c r="J74" s="1095" t="s">
        <v>748</v>
      </c>
      <c r="K74" s="1095" t="s">
        <v>752</v>
      </c>
      <c r="L74" s="1095" t="s">
        <v>740</v>
      </c>
    </row>
    <row r="75" spans="1:12">
      <c r="A75" s="1095"/>
      <c r="B75" s="1095"/>
      <c r="C75" s="278" t="s">
        <v>522</v>
      </c>
      <c r="D75" s="278" t="s">
        <v>366</v>
      </c>
      <c r="E75" s="1095"/>
      <c r="F75" s="1095"/>
      <c r="G75" s="1095"/>
      <c r="H75" s="1095"/>
      <c r="I75" s="1095"/>
      <c r="J75" s="1095"/>
      <c r="K75" s="1095"/>
      <c r="L75" s="1095"/>
    </row>
    <row r="76" spans="1:12">
      <c r="A76" s="1095"/>
      <c r="B76" s="1095"/>
      <c r="C76" s="278" t="s">
        <v>523</v>
      </c>
      <c r="D76" s="278" t="s">
        <v>366</v>
      </c>
      <c r="E76" s="1095"/>
      <c r="F76" s="1095"/>
      <c r="G76" s="1095"/>
      <c r="H76" s="1095"/>
      <c r="I76" s="1095"/>
      <c r="J76" s="1095"/>
      <c r="K76" s="1095"/>
      <c r="L76" s="1095"/>
    </row>
    <row r="77" spans="1:12">
      <c r="A77" s="1095">
        <v>17</v>
      </c>
      <c r="B77" s="1095" t="s">
        <v>388</v>
      </c>
      <c r="C77" s="278" t="s">
        <v>524</v>
      </c>
      <c r="D77" s="278" t="s">
        <v>366</v>
      </c>
      <c r="E77" s="1095" t="s">
        <v>753</v>
      </c>
      <c r="F77" s="1095" t="s">
        <v>721</v>
      </c>
      <c r="G77" s="1095" t="s">
        <v>718</v>
      </c>
      <c r="H77" s="1095" t="s">
        <v>719</v>
      </c>
      <c r="I77" s="1095" t="s">
        <v>718</v>
      </c>
      <c r="J77" s="1095" t="s">
        <v>748</v>
      </c>
      <c r="K77" s="1095" t="s">
        <v>752</v>
      </c>
      <c r="L77" s="1095" t="s">
        <v>750</v>
      </c>
    </row>
    <row r="78" spans="1:12">
      <c r="A78" s="1095"/>
      <c r="B78" s="1095"/>
      <c r="C78" s="278" t="s">
        <v>525</v>
      </c>
      <c r="D78" s="278" t="s">
        <v>366</v>
      </c>
      <c r="E78" s="1095"/>
      <c r="F78" s="1095"/>
      <c r="G78" s="1095"/>
      <c r="H78" s="1095"/>
      <c r="I78" s="1095"/>
      <c r="J78" s="1095"/>
      <c r="K78" s="1095"/>
      <c r="L78" s="1095"/>
    </row>
    <row r="79" spans="1:12">
      <c r="A79" s="1095"/>
      <c r="B79" s="1095"/>
      <c r="C79" s="278" t="s">
        <v>526</v>
      </c>
      <c r="D79" s="278" t="s">
        <v>366</v>
      </c>
      <c r="E79" s="1095"/>
      <c r="F79" s="1095"/>
      <c r="G79" s="1095"/>
      <c r="H79" s="1095"/>
      <c r="I79" s="1095"/>
      <c r="J79" s="1095"/>
      <c r="K79" s="1095"/>
      <c r="L79" s="1095"/>
    </row>
    <row r="80" spans="1:12">
      <c r="A80" s="1103">
        <v>18</v>
      </c>
      <c r="B80" s="1103" t="s">
        <v>527</v>
      </c>
      <c r="C80" s="299" t="s">
        <v>528</v>
      </c>
      <c r="D80" s="299" t="s">
        <v>393</v>
      </c>
      <c r="E80" s="1103" t="s">
        <v>717</v>
      </c>
      <c r="F80" s="1103"/>
      <c r="G80" s="1103" t="s">
        <v>718</v>
      </c>
      <c r="H80" s="1103" t="s">
        <v>719</v>
      </c>
      <c r="I80" s="1103" t="s">
        <v>718</v>
      </c>
      <c r="J80" s="1103" t="s">
        <v>754</v>
      </c>
      <c r="K80" s="1103" t="s">
        <v>755</v>
      </c>
      <c r="L80" s="1103"/>
    </row>
    <row r="81" spans="1:12">
      <c r="A81" s="1104"/>
      <c r="B81" s="1104"/>
      <c r="C81" s="299" t="s">
        <v>529</v>
      </c>
      <c r="D81" s="299" t="s">
        <v>393</v>
      </c>
      <c r="E81" s="1104"/>
      <c r="F81" s="1104"/>
      <c r="G81" s="1104"/>
      <c r="H81" s="1104"/>
      <c r="I81" s="1104"/>
      <c r="J81" s="1104"/>
      <c r="K81" s="1104"/>
      <c r="L81" s="1104"/>
    </row>
    <row r="82" spans="1:12">
      <c r="A82" s="1104"/>
      <c r="B82" s="1104"/>
      <c r="C82" s="299" t="s">
        <v>530</v>
      </c>
      <c r="D82" s="299" t="s">
        <v>393</v>
      </c>
      <c r="E82" s="1104"/>
      <c r="F82" s="1104"/>
      <c r="G82" s="1104"/>
      <c r="H82" s="1104"/>
      <c r="I82" s="1104"/>
      <c r="J82" s="1104"/>
      <c r="K82" s="1104"/>
      <c r="L82" s="1104"/>
    </row>
    <row r="83" spans="1:12">
      <c r="A83" s="1094"/>
      <c r="B83" s="1094"/>
      <c r="C83" s="299" t="s">
        <v>531</v>
      </c>
      <c r="D83" s="299" t="s">
        <v>393</v>
      </c>
      <c r="E83" s="1094"/>
      <c r="F83" s="1094"/>
      <c r="G83" s="1094"/>
      <c r="H83" s="1094"/>
      <c r="I83" s="1094"/>
      <c r="J83" s="1094"/>
      <c r="K83" s="1094"/>
      <c r="L83" s="1094"/>
    </row>
    <row r="84" spans="1:12">
      <c r="A84" s="1103">
        <v>19</v>
      </c>
      <c r="B84" s="1103" t="s">
        <v>756</v>
      </c>
      <c r="C84" s="299" t="s">
        <v>532</v>
      </c>
      <c r="D84" s="299" t="s">
        <v>533</v>
      </c>
      <c r="E84" s="1103" t="s">
        <v>717</v>
      </c>
      <c r="F84" s="1103"/>
      <c r="G84" s="1103" t="s">
        <v>718</v>
      </c>
      <c r="H84" s="1103" t="s">
        <v>719</v>
      </c>
      <c r="I84" s="1103" t="s">
        <v>718</v>
      </c>
      <c r="J84" s="1103" t="s">
        <v>757</v>
      </c>
      <c r="K84" s="1103" t="s">
        <v>758</v>
      </c>
      <c r="L84" s="1103"/>
    </row>
    <row r="85" spans="1:12">
      <c r="A85" s="1104"/>
      <c r="B85" s="1104"/>
      <c r="C85" s="299" t="s">
        <v>534</v>
      </c>
      <c r="D85" s="299" t="s">
        <v>533</v>
      </c>
      <c r="E85" s="1104"/>
      <c r="F85" s="1104"/>
      <c r="G85" s="1104"/>
      <c r="H85" s="1104"/>
      <c r="I85" s="1104"/>
      <c r="J85" s="1104"/>
      <c r="K85" s="1104"/>
      <c r="L85" s="1104"/>
    </row>
    <row r="86" spans="1:12">
      <c r="A86" s="1104"/>
      <c r="B86" s="1104"/>
      <c r="C86" s="299" t="s">
        <v>535</v>
      </c>
      <c r="D86" s="299" t="s">
        <v>533</v>
      </c>
      <c r="E86" s="1104"/>
      <c r="F86" s="1104"/>
      <c r="G86" s="1104"/>
      <c r="H86" s="1104"/>
      <c r="I86" s="1104"/>
      <c r="J86" s="1104"/>
      <c r="K86" s="1104"/>
      <c r="L86" s="1104"/>
    </row>
    <row r="87" spans="1:12">
      <c r="A87" s="1104"/>
      <c r="B87" s="1104"/>
      <c r="C87" s="299" t="s">
        <v>536</v>
      </c>
      <c r="D87" s="299" t="s">
        <v>533</v>
      </c>
      <c r="E87" s="1104"/>
      <c r="F87" s="1104"/>
      <c r="G87" s="1104"/>
      <c r="H87" s="1104"/>
      <c r="I87" s="1104"/>
      <c r="J87" s="1104"/>
      <c r="K87" s="1104"/>
      <c r="L87" s="1104"/>
    </row>
    <row r="88" spans="1:12">
      <c r="A88" s="1094"/>
      <c r="B88" s="1094"/>
      <c r="C88" s="299" t="s">
        <v>537</v>
      </c>
      <c r="D88" s="299" t="s">
        <v>533</v>
      </c>
      <c r="E88" s="1094"/>
      <c r="F88" s="1094"/>
      <c r="G88" s="1094"/>
      <c r="H88" s="1094"/>
      <c r="I88" s="1094"/>
      <c r="J88" s="1094"/>
      <c r="K88" s="1094"/>
      <c r="L88" s="1094"/>
    </row>
    <row r="89" spans="1:12" ht="30" customHeight="1">
      <c r="A89" s="1103">
        <v>20</v>
      </c>
      <c r="B89" s="1103" t="s">
        <v>394</v>
      </c>
      <c r="C89" s="299" t="s">
        <v>538</v>
      </c>
      <c r="D89" s="299" t="s">
        <v>382</v>
      </c>
      <c r="E89" s="1103" t="s">
        <v>717</v>
      </c>
      <c r="F89" s="1103"/>
      <c r="G89" s="1103" t="s">
        <v>718</v>
      </c>
      <c r="H89" s="1103" t="s">
        <v>719</v>
      </c>
      <c r="I89" s="1103" t="s">
        <v>718</v>
      </c>
      <c r="J89" s="1103" t="s">
        <v>735</v>
      </c>
      <c r="K89" s="1103" t="s">
        <v>759</v>
      </c>
      <c r="L89" s="1103"/>
    </row>
    <row r="90" spans="1:12">
      <c r="A90" s="1104"/>
      <c r="B90" s="1104"/>
      <c r="C90" s="299" t="s">
        <v>539</v>
      </c>
      <c r="D90" s="299" t="s">
        <v>382</v>
      </c>
      <c r="E90" s="1104"/>
      <c r="F90" s="1104"/>
      <c r="G90" s="1104"/>
      <c r="H90" s="1104"/>
      <c r="I90" s="1104"/>
      <c r="J90" s="1104"/>
      <c r="K90" s="1104"/>
      <c r="L90" s="1104"/>
    </row>
    <row r="91" spans="1:12">
      <c r="A91" s="1104"/>
      <c r="B91" s="1104"/>
      <c r="C91" s="299" t="s">
        <v>540</v>
      </c>
      <c r="D91" s="299" t="s">
        <v>382</v>
      </c>
      <c r="E91" s="1104"/>
      <c r="F91" s="1104"/>
      <c r="G91" s="1104"/>
      <c r="H91" s="1104"/>
      <c r="I91" s="1104"/>
      <c r="J91" s="1104"/>
      <c r="K91" s="1104"/>
      <c r="L91" s="1104"/>
    </row>
    <row r="92" spans="1:12">
      <c r="A92" s="1104"/>
      <c r="B92" s="1104"/>
      <c r="C92" s="299" t="s">
        <v>541</v>
      </c>
      <c r="D92" s="299" t="s">
        <v>382</v>
      </c>
      <c r="E92" s="1104"/>
      <c r="F92" s="1104"/>
      <c r="G92" s="1104"/>
      <c r="H92" s="1104"/>
      <c r="I92" s="1104"/>
      <c r="J92" s="1104"/>
      <c r="K92" s="1104"/>
      <c r="L92" s="1104"/>
    </row>
    <row r="93" spans="1:12">
      <c r="A93" s="1104"/>
      <c r="B93" s="1104"/>
      <c r="C93" s="299" t="s">
        <v>542</v>
      </c>
      <c r="D93" s="299" t="s">
        <v>382</v>
      </c>
      <c r="E93" s="1104"/>
      <c r="F93" s="1104"/>
      <c r="G93" s="1104"/>
      <c r="H93" s="1104"/>
      <c r="I93" s="1104"/>
      <c r="J93" s="1104"/>
      <c r="K93" s="1104"/>
      <c r="L93" s="1104"/>
    </row>
    <row r="94" spans="1:12">
      <c r="A94" s="1104"/>
      <c r="B94" s="1104"/>
      <c r="C94" s="299" t="s">
        <v>543</v>
      </c>
      <c r="D94" s="299" t="s">
        <v>382</v>
      </c>
      <c r="E94" s="1104"/>
      <c r="F94" s="1104"/>
      <c r="G94" s="1104"/>
      <c r="H94" s="1104"/>
      <c r="I94" s="1104"/>
      <c r="J94" s="1104"/>
      <c r="K94" s="1104"/>
      <c r="L94" s="1104"/>
    </row>
    <row r="95" spans="1:12">
      <c r="A95" s="1104"/>
      <c r="B95" s="1104"/>
      <c r="C95" s="299" t="s">
        <v>544</v>
      </c>
      <c r="D95" s="299" t="s">
        <v>382</v>
      </c>
      <c r="E95" s="1104"/>
      <c r="F95" s="1104"/>
      <c r="G95" s="1104"/>
      <c r="H95" s="1104"/>
      <c r="I95" s="1104"/>
      <c r="J95" s="1104"/>
      <c r="K95" s="1104"/>
      <c r="L95" s="1104"/>
    </row>
    <row r="96" spans="1:12">
      <c r="A96" s="1094"/>
      <c r="B96" s="1094"/>
      <c r="C96" s="299" t="s">
        <v>545</v>
      </c>
      <c r="D96" s="299" t="s">
        <v>382</v>
      </c>
      <c r="E96" s="1094"/>
      <c r="F96" s="1094"/>
      <c r="G96" s="1094"/>
      <c r="H96" s="1094"/>
      <c r="I96" s="1094"/>
      <c r="J96" s="1094"/>
      <c r="K96" s="1094"/>
      <c r="L96" s="1094"/>
    </row>
    <row r="97" spans="1:12" ht="43.5">
      <c r="A97" s="295">
        <v>21</v>
      </c>
      <c r="B97" s="295" t="s">
        <v>397</v>
      </c>
      <c r="C97" s="299" t="s">
        <v>504</v>
      </c>
      <c r="D97" s="299" t="s">
        <v>372</v>
      </c>
      <c r="E97" s="295" t="s">
        <v>717</v>
      </c>
      <c r="F97" s="295"/>
      <c r="G97" s="295" t="s">
        <v>717</v>
      </c>
      <c r="H97" s="295"/>
      <c r="I97" s="295" t="s">
        <v>718</v>
      </c>
      <c r="J97" s="295" t="s">
        <v>721</v>
      </c>
      <c r="K97" s="295" t="s">
        <v>760</v>
      </c>
      <c r="L97" s="295"/>
    </row>
    <row r="98" spans="1:12" ht="43.5">
      <c r="A98" s="295">
        <v>22</v>
      </c>
      <c r="B98" s="295" t="s">
        <v>398</v>
      </c>
      <c r="C98" s="299" t="s">
        <v>504</v>
      </c>
      <c r="D98" s="299" t="s">
        <v>372</v>
      </c>
      <c r="E98" s="295" t="s">
        <v>717</v>
      </c>
      <c r="F98" s="295"/>
      <c r="G98" s="295" t="s">
        <v>717</v>
      </c>
      <c r="H98" s="295"/>
      <c r="I98" s="295" t="s">
        <v>718</v>
      </c>
      <c r="J98" s="295" t="s">
        <v>721</v>
      </c>
      <c r="K98" s="295" t="s">
        <v>760</v>
      </c>
      <c r="L98" s="295"/>
    </row>
    <row r="99" spans="1:12">
      <c r="A99" s="1103">
        <v>23</v>
      </c>
      <c r="B99" s="1103" t="s">
        <v>546</v>
      </c>
      <c r="C99" s="299" t="s">
        <v>547</v>
      </c>
      <c r="D99" s="299" t="s">
        <v>401</v>
      </c>
      <c r="E99" s="1103" t="s">
        <v>718</v>
      </c>
      <c r="F99" s="1103" t="s">
        <v>761</v>
      </c>
      <c r="G99" s="1103" t="s">
        <v>718</v>
      </c>
      <c r="H99" s="1103" t="s">
        <v>719</v>
      </c>
      <c r="I99" s="1103" t="s">
        <v>718</v>
      </c>
      <c r="J99" s="1095" t="s">
        <v>762</v>
      </c>
      <c r="K99" s="1095"/>
      <c r="L99" s="1095"/>
    </row>
    <row r="100" spans="1:12">
      <c r="A100" s="1104"/>
      <c r="B100" s="1104"/>
      <c r="C100" s="299" t="s">
        <v>548</v>
      </c>
      <c r="D100" s="299" t="s">
        <v>401</v>
      </c>
      <c r="E100" s="1104"/>
      <c r="F100" s="1104"/>
      <c r="G100" s="1104"/>
      <c r="H100" s="1104"/>
      <c r="I100" s="1104"/>
      <c r="J100" s="1095"/>
      <c r="K100" s="1095"/>
      <c r="L100" s="1095"/>
    </row>
    <row r="101" spans="1:12">
      <c r="A101" s="1104"/>
      <c r="B101" s="1104"/>
      <c r="C101" s="299" t="s">
        <v>549</v>
      </c>
      <c r="D101" s="299" t="s">
        <v>401</v>
      </c>
      <c r="E101" s="1104"/>
      <c r="F101" s="1104"/>
      <c r="G101" s="1104"/>
      <c r="H101" s="1104"/>
      <c r="I101" s="1104"/>
      <c r="J101" s="1095"/>
      <c r="K101" s="1095"/>
      <c r="L101" s="1095"/>
    </row>
    <row r="102" spans="1:12">
      <c r="A102" s="1104"/>
      <c r="B102" s="1104"/>
      <c r="C102" s="299" t="s">
        <v>550</v>
      </c>
      <c r="D102" s="299" t="s">
        <v>401</v>
      </c>
      <c r="E102" s="1104"/>
      <c r="F102" s="1104"/>
      <c r="G102" s="1104"/>
      <c r="H102" s="1104"/>
      <c r="I102" s="1104"/>
      <c r="J102" s="1095"/>
      <c r="K102" s="1095"/>
      <c r="L102" s="1095"/>
    </row>
    <row r="103" spans="1:12">
      <c r="A103" s="1104"/>
      <c r="B103" s="1104"/>
      <c r="C103" s="299" t="s">
        <v>551</v>
      </c>
      <c r="D103" s="299" t="s">
        <v>552</v>
      </c>
      <c r="E103" s="1104"/>
      <c r="F103" s="1104"/>
      <c r="G103" s="1104"/>
      <c r="H103" s="1104"/>
      <c r="I103" s="1104"/>
      <c r="J103" s="295" t="s">
        <v>552</v>
      </c>
      <c r="K103" s="295"/>
      <c r="L103" s="295"/>
    </row>
    <row r="104" spans="1:12">
      <c r="A104" s="1104"/>
      <c r="B104" s="1104"/>
      <c r="C104" s="299" t="s">
        <v>553</v>
      </c>
      <c r="D104" s="299" t="s">
        <v>401</v>
      </c>
      <c r="E104" s="1104"/>
      <c r="F104" s="1104"/>
      <c r="G104" s="1104"/>
      <c r="H104" s="1104"/>
      <c r="I104" s="1104"/>
      <c r="J104" s="1095" t="s">
        <v>762</v>
      </c>
      <c r="K104" s="1095"/>
      <c r="L104" s="1095"/>
    </row>
    <row r="105" spans="1:12">
      <c r="A105" s="1104"/>
      <c r="B105" s="1104"/>
      <c r="C105" s="299" t="s">
        <v>554</v>
      </c>
      <c r="D105" s="299" t="s">
        <v>401</v>
      </c>
      <c r="E105" s="1104"/>
      <c r="F105" s="1104"/>
      <c r="G105" s="1104"/>
      <c r="H105" s="1104"/>
      <c r="I105" s="1104"/>
      <c r="J105" s="1095"/>
      <c r="K105" s="1095"/>
      <c r="L105" s="1095"/>
    </row>
    <row r="106" spans="1:12">
      <c r="A106" s="1104"/>
      <c r="B106" s="1104"/>
      <c r="C106" s="299" t="s">
        <v>555</v>
      </c>
      <c r="D106" s="299" t="s">
        <v>401</v>
      </c>
      <c r="E106" s="1104"/>
      <c r="F106" s="1104"/>
      <c r="G106" s="1104"/>
      <c r="H106" s="1104"/>
      <c r="I106" s="1104"/>
      <c r="J106" s="1095"/>
      <c r="K106" s="1095"/>
      <c r="L106" s="1095"/>
    </row>
    <row r="107" spans="1:12" ht="130.5">
      <c r="A107" s="1104"/>
      <c r="B107" s="1104"/>
      <c r="C107" s="299" t="s">
        <v>556</v>
      </c>
      <c r="D107" s="299" t="s">
        <v>557</v>
      </c>
      <c r="E107" s="1104"/>
      <c r="F107" s="1104"/>
      <c r="G107" s="1104"/>
      <c r="H107" s="1104"/>
      <c r="I107" s="1104"/>
      <c r="J107" s="295" t="s">
        <v>557</v>
      </c>
      <c r="K107" s="295"/>
      <c r="L107" s="295" t="s">
        <v>763</v>
      </c>
    </row>
    <row r="108" spans="1:12" ht="43.5">
      <c r="A108" s="1094"/>
      <c r="B108" s="1094"/>
      <c r="C108" s="299" t="s">
        <v>558</v>
      </c>
      <c r="D108" s="299" t="s">
        <v>559</v>
      </c>
      <c r="E108" s="1094"/>
      <c r="F108" s="1094"/>
      <c r="G108" s="1094"/>
      <c r="H108" s="1094"/>
      <c r="I108" s="1094"/>
      <c r="J108" s="295" t="s">
        <v>559</v>
      </c>
      <c r="K108" s="295" t="s">
        <v>764</v>
      </c>
      <c r="L108" s="295"/>
    </row>
    <row r="109" spans="1:12">
      <c r="A109" s="1103">
        <v>24</v>
      </c>
      <c r="B109" s="1103" t="s">
        <v>560</v>
      </c>
      <c r="C109" s="299" t="s">
        <v>561</v>
      </c>
      <c r="D109" s="299" t="s">
        <v>401</v>
      </c>
      <c r="E109" s="1103" t="s">
        <v>718</v>
      </c>
      <c r="F109" s="1103" t="s">
        <v>761</v>
      </c>
      <c r="G109" s="1103" t="s">
        <v>718</v>
      </c>
      <c r="H109" s="1103" t="s">
        <v>719</v>
      </c>
      <c r="I109" s="1103" t="s">
        <v>718</v>
      </c>
      <c r="J109" s="1095" t="s">
        <v>762</v>
      </c>
      <c r="K109" s="1103" t="s">
        <v>765</v>
      </c>
      <c r="L109" s="1103"/>
    </row>
    <row r="110" spans="1:12">
      <c r="A110" s="1104"/>
      <c r="B110" s="1104"/>
      <c r="C110" s="299" t="s">
        <v>562</v>
      </c>
      <c r="D110" s="299" t="s">
        <v>401</v>
      </c>
      <c r="E110" s="1104"/>
      <c r="F110" s="1104"/>
      <c r="G110" s="1104"/>
      <c r="H110" s="1104"/>
      <c r="I110" s="1104"/>
      <c r="J110" s="1095"/>
      <c r="K110" s="1104"/>
      <c r="L110" s="1104"/>
    </row>
    <row r="111" spans="1:12">
      <c r="A111" s="1104"/>
      <c r="B111" s="1104"/>
      <c r="C111" s="299" t="s">
        <v>563</v>
      </c>
      <c r="D111" s="299" t="s">
        <v>401</v>
      </c>
      <c r="E111" s="1104"/>
      <c r="F111" s="1104"/>
      <c r="G111" s="1104"/>
      <c r="H111" s="1104"/>
      <c r="I111" s="1104"/>
      <c r="J111" s="1095"/>
      <c r="K111" s="1104"/>
      <c r="L111" s="1104"/>
    </row>
    <row r="112" spans="1:12">
      <c r="A112" s="1094"/>
      <c r="B112" s="1094"/>
      <c r="C112" s="299" t="s">
        <v>564</v>
      </c>
      <c r="D112" s="299" t="s">
        <v>552</v>
      </c>
      <c r="E112" s="1094"/>
      <c r="F112" s="1094"/>
      <c r="G112" s="1094"/>
      <c r="H112" s="1094"/>
      <c r="I112" s="1094"/>
      <c r="J112" s="669" t="s">
        <v>552</v>
      </c>
      <c r="K112" s="1094"/>
      <c r="L112" s="1094"/>
    </row>
    <row r="113" spans="1:12">
      <c r="A113" s="1103">
        <v>25</v>
      </c>
      <c r="B113" s="1103" t="s">
        <v>403</v>
      </c>
      <c r="C113" s="299" t="s">
        <v>565</v>
      </c>
      <c r="D113" s="299" t="s">
        <v>404</v>
      </c>
      <c r="E113" s="1103" t="s">
        <v>717</v>
      </c>
      <c r="F113" s="1103"/>
      <c r="G113" s="1103" t="s">
        <v>718</v>
      </c>
      <c r="H113" s="1103" t="s">
        <v>719</v>
      </c>
      <c r="I113" s="1103" t="s">
        <v>718</v>
      </c>
      <c r="J113" s="1103" t="s">
        <v>766</v>
      </c>
      <c r="K113" s="1103" t="s">
        <v>767</v>
      </c>
      <c r="L113" s="1103"/>
    </row>
    <row r="114" spans="1:12">
      <c r="A114" s="1094"/>
      <c r="B114" s="1094"/>
      <c r="C114" s="299" t="s">
        <v>566</v>
      </c>
      <c r="D114" s="299" t="s">
        <v>404</v>
      </c>
      <c r="E114" s="1094"/>
      <c r="F114" s="1094"/>
      <c r="G114" s="1094"/>
      <c r="H114" s="1094"/>
      <c r="I114" s="1094"/>
      <c r="J114" s="1094"/>
      <c r="K114" s="1094"/>
      <c r="L114" s="1094"/>
    </row>
    <row r="115" spans="1:12">
      <c r="A115" s="1103">
        <v>26</v>
      </c>
      <c r="B115" s="1103" t="s">
        <v>406</v>
      </c>
      <c r="C115" s="299" t="s">
        <v>149</v>
      </c>
      <c r="D115" s="299" t="s">
        <v>372</v>
      </c>
      <c r="E115" s="1103" t="s">
        <v>717</v>
      </c>
      <c r="F115" s="1103"/>
      <c r="G115" s="1103" t="s">
        <v>718</v>
      </c>
      <c r="H115" s="1103" t="s">
        <v>719</v>
      </c>
      <c r="I115" s="1103" t="s">
        <v>718</v>
      </c>
      <c r="J115" s="1103" t="s">
        <v>721</v>
      </c>
      <c r="K115" s="1103" t="s">
        <v>768</v>
      </c>
      <c r="L115" s="1103"/>
    </row>
    <row r="116" spans="1:12">
      <c r="A116" s="1104"/>
      <c r="B116" s="1104"/>
      <c r="C116" s="299" t="s">
        <v>152</v>
      </c>
      <c r="D116" s="299" t="s">
        <v>372</v>
      </c>
      <c r="E116" s="1104"/>
      <c r="F116" s="1104"/>
      <c r="G116" s="1104"/>
      <c r="H116" s="1104"/>
      <c r="I116" s="1104"/>
      <c r="J116" s="1104"/>
      <c r="K116" s="1104"/>
      <c r="L116" s="1104"/>
    </row>
    <row r="117" spans="1:12">
      <c r="A117" s="1104"/>
      <c r="B117" s="1104"/>
      <c r="C117" s="299" t="s">
        <v>153</v>
      </c>
      <c r="D117" s="299" t="s">
        <v>372</v>
      </c>
      <c r="E117" s="1104"/>
      <c r="F117" s="1104"/>
      <c r="G117" s="1104"/>
      <c r="H117" s="1104"/>
      <c r="I117" s="1104"/>
      <c r="J117" s="1104"/>
      <c r="K117" s="1104"/>
      <c r="L117" s="1104"/>
    </row>
    <row r="118" spans="1:12">
      <c r="A118" s="1094"/>
      <c r="B118" s="1094"/>
      <c r="C118" s="299" t="s">
        <v>567</v>
      </c>
      <c r="D118" s="299" t="s">
        <v>372</v>
      </c>
      <c r="E118" s="1094"/>
      <c r="F118" s="1094"/>
      <c r="G118" s="1094"/>
      <c r="H118" s="1094"/>
      <c r="I118" s="1094"/>
      <c r="J118" s="1094"/>
      <c r="K118" s="1094"/>
      <c r="L118" s="1094"/>
    </row>
    <row r="119" spans="1:12" ht="14.45" customHeight="1">
      <c r="A119" s="1109">
        <v>27</v>
      </c>
      <c r="B119" s="1109" t="s">
        <v>407</v>
      </c>
      <c r="C119" s="278" t="s">
        <v>568</v>
      </c>
      <c r="D119" s="278" t="s">
        <v>569</v>
      </c>
      <c r="E119" s="1103" t="s">
        <v>717</v>
      </c>
      <c r="F119" s="1103"/>
      <c r="G119" s="1103" t="s">
        <v>718</v>
      </c>
      <c r="H119" s="1103" t="s">
        <v>719</v>
      </c>
      <c r="I119" s="1103" t="s">
        <v>718</v>
      </c>
      <c r="J119" s="1095" t="s">
        <v>769</v>
      </c>
      <c r="K119" s="1095" t="s">
        <v>770</v>
      </c>
      <c r="L119" s="1095"/>
    </row>
    <row r="120" spans="1:12">
      <c r="A120" s="1110"/>
      <c r="B120" s="1110"/>
      <c r="C120" s="278" t="s">
        <v>570</v>
      </c>
      <c r="D120" s="278" t="s">
        <v>569</v>
      </c>
      <c r="E120" s="1104"/>
      <c r="F120" s="1104"/>
      <c r="G120" s="1104"/>
      <c r="H120" s="1104"/>
      <c r="I120" s="1104"/>
      <c r="J120" s="1095"/>
      <c r="K120" s="1095"/>
      <c r="L120" s="1095"/>
    </row>
    <row r="121" spans="1:12">
      <c r="A121" s="1110"/>
      <c r="B121" s="1110"/>
      <c r="C121" s="278" t="s">
        <v>571</v>
      </c>
      <c r="D121" s="278" t="s">
        <v>569</v>
      </c>
      <c r="E121" s="1104"/>
      <c r="F121" s="1104"/>
      <c r="G121" s="1104"/>
      <c r="H121" s="1104"/>
      <c r="I121" s="1104"/>
      <c r="J121" s="1095"/>
      <c r="K121" s="1095"/>
      <c r="L121" s="1095"/>
    </row>
    <row r="122" spans="1:12">
      <c r="A122" s="1110"/>
      <c r="B122" s="1110"/>
      <c r="C122" s="278" t="s">
        <v>572</v>
      </c>
      <c r="D122" s="278" t="s">
        <v>569</v>
      </c>
      <c r="E122" s="1104"/>
      <c r="F122" s="1104"/>
      <c r="G122" s="1104"/>
      <c r="H122" s="1104"/>
      <c r="I122" s="1104"/>
      <c r="J122" s="1095"/>
      <c r="K122" s="1095"/>
      <c r="L122" s="1095"/>
    </row>
    <row r="123" spans="1:12">
      <c r="A123" s="1110"/>
      <c r="B123" s="1110"/>
      <c r="C123" s="278" t="s">
        <v>573</v>
      </c>
      <c r="D123" s="278" t="s">
        <v>569</v>
      </c>
      <c r="E123" s="1104"/>
      <c r="F123" s="1104"/>
      <c r="G123" s="1104"/>
      <c r="H123" s="1104"/>
      <c r="I123" s="1104"/>
      <c r="J123" s="1095"/>
      <c r="K123" s="1095"/>
      <c r="L123" s="1095"/>
    </row>
    <row r="124" spans="1:12" ht="14.45" customHeight="1">
      <c r="A124" s="1110"/>
      <c r="B124" s="1110"/>
      <c r="C124" s="278" t="s">
        <v>574</v>
      </c>
      <c r="D124" s="278" t="s">
        <v>575</v>
      </c>
      <c r="E124" s="1104"/>
      <c r="F124" s="1104"/>
      <c r="G124" s="1104"/>
      <c r="H124" s="1104"/>
      <c r="I124" s="1104"/>
      <c r="J124" s="1095" t="s">
        <v>771</v>
      </c>
      <c r="K124" s="1095" t="s">
        <v>772</v>
      </c>
      <c r="L124" s="1095"/>
    </row>
    <row r="125" spans="1:12">
      <c r="A125" s="1110"/>
      <c r="B125" s="1110"/>
      <c r="C125" s="278" t="s">
        <v>576</v>
      </c>
      <c r="D125" s="278" t="s">
        <v>575</v>
      </c>
      <c r="E125" s="1104"/>
      <c r="F125" s="1104"/>
      <c r="G125" s="1104"/>
      <c r="H125" s="1104"/>
      <c r="I125" s="1104"/>
      <c r="J125" s="1095"/>
      <c r="K125" s="1095"/>
      <c r="L125" s="1095"/>
    </row>
    <row r="126" spans="1:12">
      <c r="A126" s="1110"/>
      <c r="B126" s="1110"/>
      <c r="C126" s="278" t="s">
        <v>577</v>
      </c>
      <c r="D126" s="278" t="s">
        <v>575</v>
      </c>
      <c r="E126" s="1104"/>
      <c r="F126" s="1104"/>
      <c r="G126" s="1104"/>
      <c r="H126" s="1104"/>
      <c r="I126" s="1104"/>
      <c r="J126" s="1095"/>
      <c r="K126" s="1095"/>
      <c r="L126" s="1095"/>
    </row>
    <row r="127" spans="1:12">
      <c r="A127" s="1110"/>
      <c r="B127" s="1110"/>
      <c r="C127" s="278" t="s">
        <v>578</v>
      </c>
      <c r="D127" s="278" t="s">
        <v>575</v>
      </c>
      <c r="E127" s="1104"/>
      <c r="F127" s="1104"/>
      <c r="G127" s="1104"/>
      <c r="H127" s="1104"/>
      <c r="I127" s="1104"/>
      <c r="J127" s="1095"/>
      <c r="K127" s="1095"/>
      <c r="L127" s="1095"/>
    </row>
    <row r="128" spans="1:12">
      <c r="A128" s="1111"/>
      <c r="B128" s="1111"/>
      <c r="C128" s="278" t="s">
        <v>579</v>
      </c>
      <c r="D128" s="278" t="s">
        <v>575</v>
      </c>
      <c r="E128" s="1094"/>
      <c r="F128" s="1094"/>
      <c r="G128" s="1094"/>
      <c r="H128" s="1094"/>
      <c r="I128" s="1094"/>
      <c r="J128" s="1095"/>
      <c r="K128" s="1095"/>
      <c r="L128" s="1095"/>
    </row>
    <row r="129" spans="1:12">
      <c r="A129" s="1095">
        <v>28</v>
      </c>
      <c r="B129" s="1095" t="s">
        <v>409</v>
      </c>
      <c r="C129" s="278" t="s">
        <v>155</v>
      </c>
      <c r="D129" s="278" t="s">
        <v>410</v>
      </c>
      <c r="E129" s="1095" t="s">
        <v>717</v>
      </c>
      <c r="F129" s="1095"/>
      <c r="G129" s="1095" t="s">
        <v>718</v>
      </c>
      <c r="H129" s="1095" t="s">
        <v>719</v>
      </c>
      <c r="I129" s="1095" t="s">
        <v>718</v>
      </c>
      <c r="J129" s="1095" t="s">
        <v>773</v>
      </c>
      <c r="K129" s="1095" t="s">
        <v>774</v>
      </c>
      <c r="L129" s="1095"/>
    </row>
    <row r="130" spans="1:12">
      <c r="A130" s="1095"/>
      <c r="B130" s="1095"/>
      <c r="C130" s="278" t="s">
        <v>157</v>
      </c>
      <c r="D130" s="278" t="s">
        <v>410</v>
      </c>
      <c r="E130" s="1095"/>
      <c r="F130" s="1095"/>
      <c r="G130" s="1095"/>
      <c r="H130" s="1095"/>
      <c r="I130" s="1095"/>
      <c r="J130" s="1095"/>
      <c r="K130" s="1095"/>
      <c r="L130" s="1095"/>
    </row>
    <row r="131" spans="1:12">
      <c r="A131" s="1095"/>
      <c r="B131" s="1095"/>
      <c r="C131" s="278" t="s">
        <v>158</v>
      </c>
      <c r="D131" s="278" t="s">
        <v>410</v>
      </c>
      <c r="E131" s="1095"/>
      <c r="F131" s="1095"/>
      <c r="G131" s="1095"/>
      <c r="H131" s="1095"/>
      <c r="I131" s="1095"/>
      <c r="J131" s="1095"/>
      <c r="K131" s="1095"/>
      <c r="L131" s="1095"/>
    </row>
    <row r="132" spans="1:12">
      <c r="A132" s="1095"/>
      <c r="B132" s="1095"/>
      <c r="C132" s="278" t="s">
        <v>159</v>
      </c>
      <c r="D132" s="278" t="s">
        <v>410</v>
      </c>
      <c r="E132" s="1095"/>
      <c r="F132" s="1095"/>
      <c r="G132" s="1095"/>
      <c r="H132" s="1095"/>
      <c r="I132" s="1095"/>
      <c r="J132" s="1095"/>
      <c r="K132" s="1095"/>
      <c r="L132" s="1095"/>
    </row>
    <row r="133" spans="1:12">
      <c r="A133" s="1095">
        <v>29</v>
      </c>
      <c r="B133" s="1095" t="s">
        <v>411</v>
      </c>
      <c r="C133" s="278" t="s">
        <v>580</v>
      </c>
      <c r="D133" s="278" t="s">
        <v>412</v>
      </c>
      <c r="E133" s="1095" t="s">
        <v>717</v>
      </c>
      <c r="F133" s="1095"/>
      <c r="G133" s="1095" t="s">
        <v>718</v>
      </c>
      <c r="H133" s="1095" t="s">
        <v>719</v>
      </c>
      <c r="I133" s="1095" t="s">
        <v>718</v>
      </c>
      <c r="J133" s="1095" t="s">
        <v>775</v>
      </c>
      <c r="K133" s="1095" t="s">
        <v>776</v>
      </c>
      <c r="L133" s="1095"/>
    </row>
    <row r="134" spans="1:12">
      <c r="A134" s="1095"/>
      <c r="B134" s="1095"/>
      <c r="C134" s="278" t="s">
        <v>581</v>
      </c>
      <c r="D134" s="278" t="s">
        <v>412</v>
      </c>
      <c r="E134" s="1095"/>
      <c r="F134" s="1095"/>
      <c r="G134" s="1095"/>
      <c r="H134" s="1095"/>
      <c r="I134" s="1095"/>
      <c r="J134" s="1095"/>
      <c r="K134" s="1095"/>
      <c r="L134" s="1095"/>
    </row>
    <row r="135" spans="1:12">
      <c r="A135" s="1095"/>
      <c r="B135" s="1095"/>
      <c r="C135" s="278" t="s">
        <v>582</v>
      </c>
      <c r="D135" s="278" t="s">
        <v>412</v>
      </c>
      <c r="E135" s="1095"/>
      <c r="F135" s="1095"/>
      <c r="G135" s="1095"/>
      <c r="H135" s="1095"/>
      <c r="I135" s="1095"/>
      <c r="J135" s="1095"/>
      <c r="K135" s="1095"/>
      <c r="L135" s="1095"/>
    </row>
    <row r="136" spans="1:12">
      <c r="A136" s="1095"/>
      <c r="B136" s="1095"/>
      <c r="C136" s="278" t="s">
        <v>583</v>
      </c>
      <c r="D136" s="278" t="s">
        <v>412</v>
      </c>
      <c r="E136" s="1095"/>
      <c r="F136" s="1095"/>
      <c r="G136" s="1095"/>
      <c r="H136" s="1095"/>
      <c r="I136" s="1095"/>
      <c r="J136" s="1095"/>
      <c r="K136" s="1095"/>
      <c r="L136" s="1095"/>
    </row>
    <row r="137" spans="1:12">
      <c r="A137" s="1095"/>
      <c r="B137" s="1095"/>
      <c r="C137" s="278" t="s">
        <v>584</v>
      </c>
      <c r="D137" s="278" t="s">
        <v>412</v>
      </c>
      <c r="E137" s="1095"/>
      <c r="F137" s="1095"/>
      <c r="G137" s="1095"/>
      <c r="H137" s="1095"/>
      <c r="I137" s="1095"/>
      <c r="J137" s="1095"/>
      <c r="K137" s="1095"/>
      <c r="L137" s="1095"/>
    </row>
    <row r="138" spans="1:12">
      <c r="A138" s="1103">
        <v>30</v>
      </c>
      <c r="B138" s="1103" t="s">
        <v>413</v>
      </c>
      <c r="C138" s="299" t="s">
        <v>585</v>
      </c>
      <c r="D138" s="299" t="s">
        <v>586</v>
      </c>
      <c r="E138" s="1103" t="s">
        <v>717</v>
      </c>
      <c r="F138" s="1103"/>
      <c r="G138" s="1103" t="s">
        <v>718</v>
      </c>
      <c r="H138" s="1103" t="s">
        <v>719</v>
      </c>
      <c r="I138" s="1103" t="s">
        <v>718</v>
      </c>
      <c r="J138" s="1095" t="s">
        <v>777</v>
      </c>
      <c r="K138" s="1103" t="s">
        <v>778</v>
      </c>
      <c r="L138" s="1103" t="s">
        <v>779</v>
      </c>
    </row>
    <row r="139" spans="1:12">
      <c r="A139" s="1104"/>
      <c r="B139" s="1104"/>
      <c r="C139" s="299" t="s">
        <v>587</v>
      </c>
      <c r="D139" s="299" t="s">
        <v>586</v>
      </c>
      <c r="E139" s="1104"/>
      <c r="F139" s="1104"/>
      <c r="G139" s="1104"/>
      <c r="H139" s="1104"/>
      <c r="I139" s="1104"/>
      <c r="J139" s="1095"/>
      <c r="K139" s="1104"/>
      <c r="L139" s="1104"/>
    </row>
    <row r="140" spans="1:12">
      <c r="A140" s="1104"/>
      <c r="B140" s="1104"/>
      <c r="C140" s="299" t="s">
        <v>588</v>
      </c>
      <c r="D140" s="299" t="s">
        <v>586</v>
      </c>
      <c r="E140" s="1104"/>
      <c r="F140" s="1104"/>
      <c r="G140" s="1104"/>
      <c r="H140" s="1104"/>
      <c r="I140" s="1104"/>
      <c r="J140" s="1095"/>
      <c r="K140" s="1104"/>
      <c r="L140" s="1104"/>
    </row>
    <row r="141" spans="1:12">
      <c r="A141" s="1104"/>
      <c r="B141" s="1104"/>
      <c r="C141" s="299" t="s">
        <v>589</v>
      </c>
      <c r="D141" s="299" t="s">
        <v>590</v>
      </c>
      <c r="E141" s="1104"/>
      <c r="F141" s="1104"/>
      <c r="G141" s="1104"/>
      <c r="H141" s="1104"/>
      <c r="I141" s="1104"/>
      <c r="J141" s="1095"/>
      <c r="K141" s="1104"/>
      <c r="L141" s="1104"/>
    </row>
    <row r="142" spans="1:12">
      <c r="A142" s="1104"/>
      <c r="B142" s="1104"/>
      <c r="C142" s="299" t="s">
        <v>591</v>
      </c>
      <c r="D142" s="299" t="s">
        <v>590</v>
      </c>
      <c r="E142" s="1104"/>
      <c r="F142" s="1104"/>
      <c r="G142" s="1104"/>
      <c r="H142" s="1104"/>
      <c r="I142" s="1104"/>
      <c r="J142" s="1095"/>
      <c r="K142" s="1104"/>
      <c r="L142" s="1104"/>
    </row>
    <row r="143" spans="1:12">
      <c r="A143" s="1104"/>
      <c r="B143" s="1104"/>
      <c r="C143" s="299" t="s">
        <v>592</v>
      </c>
      <c r="D143" s="299" t="s">
        <v>590</v>
      </c>
      <c r="E143" s="1104"/>
      <c r="F143" s="1104"/>
      <c r="G143" s="1104"/>
      <c r="H143" s="1104"/>
      <c r="I143" s="1104"/>
      <c r="J143" s="1095"/>
      <c r="K143" s="1104"/>
      <c r="L143" s="1104"/>
    </row>
    <row r="144" spans="1:12">
      <c r="A144" s="1104"/>
      <c r="B144" s="1104"/>
      <c r="C144" s="299" t="s">
        <v>593</v>
      </c>
      <c r="D144" s="299" t="s">
        <v>590</v>
      </c>
      <c r="E144" s="1104"/>
      <c r="F144" s="1104"/>
      <c r="G144" s="1104"/>
      <c r="H144" s="1104"/>
      <c r="I144" s="1104"/>
      <c r="J144" s="1095"/>
      <c r="K144" s="1104"/>
      <c r="L144" s="1104"/>
    </row>
    <row r="145" spans="1:12">
      <c r="A145" s="1104"/>
      <c r="B145" s="1104"/>
      <c r="C145" s="299" t="s">
        <v>594</v>
      </c>
      <c r="D145" s="299" t="s">
        <v>590</v>
      </c>
      <c r="E145" s="1104"/>
      <c r="F145" s="1104"/>
      <c r="G145" s="1104"/>
      <c r="H145" s="1104"/>
      <c r="I145" s="1104"/>
      <c r="J145" s="1095"/>
      <c r="K145" s="1104"/>
      <c r="L145" s="1104"/>
    </row>
    <row r="146" spans="1:12">
      <c r="A146" s="1104"/>
      <c r="B146" s="1104"/>
      <c r="C146" s="299" t="s">
        <v>595</v>
      </c>
      <c r="D146" s="299" t="s">
        <v>590</v>
      </c>
      <c r="E146" s="1104"/>
      <c r="F146" s="1104"/>
      <c r="G146" s="1104"/>
      <c r="H146" s="1104"/>
      <c r="I146" s="1104"/>
      <c r="J146" s="1095"/>
      <c r="K146" s="1104"/>
      <c r="L146" s="1104"/>
    </row>
    <row r="147" spans="1:12">
      <c r="A147" s="1104"/>
      <c r="B147" s="1104"/>
      <c r="C147" s="299" t="s">
        <v>596</v>
      </c>
      <c r="D147" s="299" t="s">
        <v>590</v>
      </c>
      <c r="E147" s="1104"/>
      <c r="F147" s="1104"/>
      <c r="G147" s="1104"/>
      <c r="H147" s="1104"/>
      <c r="I147" s="1104"/>
      <c r="J147" s="1095"/>
      <c r="K147" s="1104"/>
      <c r="L147" s="1104"/>
    </row>
    <row r="148" spans="1:12">
      <c r="A148" s="1104"/>
      <c r="B148" s="1104"/>
      <c r="C148" s="299" t="s">
        <v>597</v>
      </c>
      <c r="D148" s="299" t="s">
        <v>590</v>
      </c>
      <c r="E148" s="1104"/>
      <c r="F148" s="1104"/>
      <c r="G148" s="1104"/>
      <c r="H148" s="1104"/>
      <c r="I148" s="1104"/>
      <c r="J148" s="1095"/>
      <c r="K148" s="1104"/>
      <c r="L148" s="1104"/>
    </row>
    <row r="149" spans="1:12">
      <c r="A149" s="1104"/>
      <c r="B149" s="1104"/>
      <c r="C149" s="299" t="s">
        <v>598</v>
      </c>
      <c r="D149" s="299" t="s">
        <v>590</v>
      </c>
      <c r="E149" s="1104"/>
      <c r="F149" s="1104"/>
      <c r="G149" s="1104"/>
      <c r="H149" s="1104"/>
      <c r="I149" s="1104"/>
      <c r="J149" s="1095"/>
      <c r="K149" s="1104"/>
      <c r="L149" s="1104"/>
    </row>
    <row r="150" spans="1:12">
      <c r="A150" s="1104"/>
      <c r="B150" s="1104"/>
      <c r="C150" s="299" t="s">
        <v>599</v>
      </c>
      <c r="D150" s="299" t="s">
        <v>590</v>
      </c>
      <c r="E150" s="1104"/>
      <c r="F150" s="1104"/>
      <c r="G150" s="1104"/>
      <c r="H150" s="1104"/>
      <c r="I150" s="1104"/>
      <c r="J150" s="1095"/>
      <c r="K150" s="1104"/>
      <c r="L150" s="1104"/>
    </row>
    <row r="151" spans="1:12">
      <c r="A151" s="1104"/>
      <c r="B151" s="1104"/>
      <c r="C151" s="299" t="s">
        <v>600</v>
      </c>
      <c r="D151" s="299" t="s">
        <v>590</v>
      </c>
      <c r="E151" s="1104"/>
      <c r="F151" s="1104"/>
      <c r="G151" s="1104"/>
      <c r="H151" s="1104"/>
      <c r="I151" s="1104"/>
      <c r="J151" s="1095"/>
      <c r="K151" s="1104"/>
      <c r="L151" s="1104"/>
    </row>
    <row r="152" spans="1:12">
      <c r="A152" s="1104"/>
      <c r="B152" s="1104"/>
      <c r="C152" s="299" t="s">
        <v>601</v>
      </c>
      <c r="D152" s="299" t="s">
        <v>590</v>
      </c>
      <c r="E152" s="1104"/>
      <c r="F152" s="1104"/>
      <c r="G152" s="1104"/>
      <c r="H152" s="1104"/>
      <c r="I152" s="1104"/>
      <c r="J152" s="1095"/>
      <c r="K152" s="1104"/>
      <c r="L152" s="1104"/>
    </row>
    <row r="153" spans="1:12">
      <c r="A153" s="1104"/>
      <c r="B153" s="1104"/>
      <c r="C153" s="299" t="s">
        <v>602</v>
      </c>
      <c r="D153" s="299" t="s">
        <v>590</v>
      </c>
      <c r="E153" s="1104"/>
      <c r="F153" s="1104"/>
      <c r="G153" s="1104"/>
      <c r="H153" s="1104"/>
      <c r="I153" s="1104"/>
      <c r="J153" s="1095"/>
      <c r="K153" s="1104"/>
      <c r="L153" s="1104"/>
    </row>
    <row r="154" spans="1:12">
      <c r="A154" s="1104"/>
      <c r="B154" s="1104"/>
      <c r="C154" s="299" t="s">
        <v>603</v>
      </c>
      <c r="D154" s="299" t="s">
        <v>590</v>
      </c>
      <c r="E154" s="1104"/>
      <c r="F154" s="1104"/>
      <c r="G154" s="1104"/>
      <c r="H154" s="1104"/>
      <c r="I154" s="1104"/>
      <c r="J154" s="1095"/>
      <c r="K154" s="1104"/>
      <c r="L154" s="1104"/>
    </row>
    <row r="155" spans="1:12">
      <c r="A155" s="1104"/>
      <c r="B155" s="1104"/>
      <c r="C155" s="299" t="s">
        <v>604</v>
      </c>
      <c r="D155" s="299" t="s">
        <v>590</v>
      </c>
      <c r="E155" s="1104"/>
      <c r="F155" s="1104"/>
      <c r="G155" s="1104"/>
      <c r="H155" s="1104"/>
      <c r="I155" s="1104"/>
      <c r="J155" s="1095"/>
      <c r="K155" s="1104"/>
      <c r="L155" s="1104"/>
    </row>
    <row r="156" spans="1:12">
      <c r="A156" s="1104"/>
      <c r="B156" s="1104"/>
      <c r="C156" s="299" t="s">
        <v>605</v>
      </c>
      <c r="D156" s="299" t="s">
        <v>590</v>
      </c>
      <c r="E156" s="1104"/>
      <c r="F156" s="1104"/>
      <c r="G156" s="1104"/>
      <c r="H156" s="1104"/>
      <c r="I156" s="1104"/>
      <c r="J156" s="1095"/>
      <c r="K156" s="1104"/>
      <c r="L156" s="1104"/>
    </row>
    <row r="157" spans="1:12">
      <c r="A157" s="1104"/>
      <c r="B157" s="1104"/>
      <c r="C157" s="299" t="s">
        <v>606</v>
      </c>
      <c r="D157" s="299" t="s">
        <v>590</v>
      </c>
      <c r="E157" s="1104"/>
      <c r="F157" s="1104"/>
      <c r="G157" s="1104"/>
      <c r="H157" s="1104"/>
      <c r="I157" s="1104"/>
      <c r="J157" s="1095"/>
      <c r="K157" s="1104"/>
      <c r="L157" s="1104"/>
    </row>
    <row r="158" spans="1:12">
      <c r="A158" s="1104"/>
      <c r="B158" s="1104"/>
      <c r="C158" s="299" t="s">
        <v>607</v>
      </c>
      <c r="D158" s="299" t="s">
        <v>590</v>
      </c>
      <c r="E158" s="1104"/>
      <c r="F158" s="1104"/>
      <c r="G158" s="1104"/>
      <c r="H158" s="1104"/>
      <c r="I158" s="1104"/>
      <c r="J158" s="1095"/>
      <c r="K158" s="1104"/>
      <c r="L158" s="1104"/>
    </row>
    <row r="159" spans="1:12">
      <c r="A159" s="1104"/>
      <c r="B159" s="1104"/>
      <c r="C159" s="299" t="s">
        <v>608</v>
      </c>
      <c r="D159" s="299" t="s">
        <v>590</v>
      </c>
      <c r="E159" s="1104"/>
      <c r="F159" s="1104"/>
      <c r="G159" s="1104"/>
      <c r="H159" s="1104"/>
      <c r="I159" s="1104"/>
      <c r="J159" s="1095"/>
      <c r="K159" s="1104"/>
      <c r="L159" s="1104"/>
    </row>
    <row r="160" spans="1:12">
      <c r="A160" s="1104"/>
      <c r="B160" s="1104"/>
      <c r="C160" s="299" t="s">
        <v>609</v>
      </c>
      <c r="D160" s="299" t="s">
        <v>590</v>
      </c>
      <c r="E160" s="1104"/>
      <c r="F160" s="1104"/>
      <c r="G160" s="1104"/>
      <c r="H160" s="1104"/>
      <c r="I160" s="1104"/>
      <c r="J160" s="1095"/>
      <c r="K160" s="1104"/>
      <c r="L160" s="1104"/>
    </row>
    <row r="161" spans="1:12">
      <c r="A161" s="1104"/>
      <c r="B161" s="1104"/>
      <c r="C161" s="299" t="s">
        <v>610</v>
      </c>
      <c r="D161" s="299" t="s">
        <v>590</v>
      </c>
      <c r="E161" s="1104"/>
      <c r="F161" s="1104"/>
      <c r="G161" s="1104"/>
      <c r="H161" s="1104"/>
      <c r="I161" s="1104"/>
      <c r="J161" s="1095"/>
      <c r="K161" s="1104"/>
      <c r="L161" s="1104"/>
    </row>
    <row r="162" spans="1:12">
      <c r="A162" s="1104"/>
      <c r="B162" s="1104"/>
      <c r="C162" s="299" t="s">
        <v>611</v>
      </c>
      <c r="D162" s="299" t="s">
        <v>590</v>
      </c>
      <c r="E162" s="1104"/>
      <c r="F162" s="1104"/>
      <c r="G162" s="1104"/>
      <c r="H162" s="1104"/>
      <c r="I162" s="1104"/>
      <c r="J162" s="1095"/>
      <c r="K162" s="1104"/>
      <c r="L162" s="1104"/>
    </row>
    <row r="163" spans="1:12">
      <c r="A163" s="1104"/>
      <c r="B163" s="1104"/>
      <c r="C163" s="299" t="s">
        <v>612</v>
      </c>
      <c r="D163" s="299" t="s">
        <v>590</v>
      </c>
      <c r="E163" s="1104"/>
      <c r="F163" s="1104"/>
      <c r="G163" s="1104"/>
      <c r="H163" s="1104"/>
      <c r="I163" s="1104"/>
      <c r="J163" s="1095"/>
      <c r="K163" s="1104"/>
      <c r="L163" s="1104"/>
    </row>
    <row r="164" spans="1:12">
      <c r="A164" s="1104"/>
      <c r="B164" s="1104"/>
      <c r="C164" s="299" t="s">
        <v>613</v>
      </c>
      <c r="D164" s="299" t="s">
        <v>590</v>
      </c>
      <c r="E164" s="1104"/>
      <c r="F164" s="1104"/>
      <c r="G164" s="1104"/>
      <c r="H164" s="1104"/>
      <c r="I164" s="1104"/>
      <c r="J164" s="1095"/>
      <c r="K164" s="1104"/>
      <c r="L164" s="1104"/>
    </row>
    <row r="165" spans="1:12">
      <c r="A165" s="1104"/>
      <c r="B165" s="1104"/>
      <c r="C165" s="299" t="s">
        <v>614</v>
      </c>
      <c r="D165" s="299" t="s">
        <v>590</v>
      </c>
      <c r="E165" s="1104"/>
      <c r="F165" s="1104"/>
      <c r="G165" s="1104"/>
      <c r="H165" s="1104"/>
      <c r="I165" s="1104"/>
      <c r="J165" s="1095"/>
      <c r="K165" s="1104"/>
      <c r="L165" s="1104"/>
    </row>
    <row r="166" spans="1:12">
      <c r="A166" s="1104"/>
      <c r="B166" s="1104"/>
      <c r="C166" s="299" t="s">
        <v>615</v>
      </c>
      <c r="D166" s="299" t="s">
        <v>590</v>
      </c>
      <c r="E166" s="1104"/>
      <c r="F166" s="1104"/>
      <c r="G166" s="1104"/>
      <c r="H166" s="1104"/>
      <c r="I166" s="1104"/>
      <c r="J166" s="1095"/>
      <c r="K166" s="1104"/>
      <c r="L166" s="1104"/>
    </row>
    <row r="167" spans="1:12">
      <c r="A167" s="1104"/>
      <c r="B167" s="1104"/>
      <c r="C167" s="299" t="s">
        <v>616</v>
      </c>
      <c r="D167" s="299" t="s">
        <v>590</v>
      </c>
      <c r="E167" s="1104"/>
      <c r="F167" s="1104"/>
      <c r="G167" s="1104"/>
      <c r="H167" s="1104"/>
      <c r="I167" s="1104"/>
      <c r="J167" s="1095"/>
      <c r="K167" s="1104"/>
      <c r="L167" s="1104"/>
    </row>
    <row r="168" spans="1:12">
      <c r="A168" s="1104"/>
      <c r="B168" s="1104"/>
      <c r="C168" s="299" t="s">
        <v>617</v>
      </c>
      <c r="D168" s="299" t="s">
        <v>590</v>
      </c>
      <c r="E168" s="1104"/>
      <c r="F168" s="1104"/>
      <c r="G168" s="1104"/>
      <c r="H168" s="1104"/>
      <c r="I168" s="1104"/>
      <c r="J168" s="1095"/>
      <c r="K168" s="1104"/>
      <c r="L168" s="1104"/>
    </row>
    <row r="169" spans="1:12">
      <c r="A169" s="1104"/>
      <c r="B169" s="1104"/>
      <c r="C169" s="299" t="s">
        <v>618</v>
      </c>
      <c r="D169" s="299" t="s">
        <v>590</v>
      </c>
      <c r="E169" s="1104"/>
      <c r="F169" s="1104"/>
      <c r="G169" s="1104"/>
      <c r="H169" s="1104"/>
      <c r="I169" s="1104"/>
      <c r="J169" s="1095"/>
      <c r="K169" s="1104"/>
      <c r="L169" s="1104"/>
    </row>
    <row r="170" spans="1:12">
      <c r="A170" s="1104"/>
      <c r="B170" s="1104"/>
      <c r="C170" s="299" t="s">
        <v>619</v>
      </c>
      <c r="D170" s="299" t="s">
        <v>590</v>
      </c>
      <c r="E170" s="1104"/>
      <c r="F170" s="1104"/>
      <c r="G170" s="1104"/>
      <c r="H170" s="1104"/>
      <c r="I170" s="1104"/>
      <c r="J170" s="1095"/>
      <c r="K170" s="1104"/>
      <c r="L170" s="1104"/>
    </row>
    <row r="171" spans="1:12">
      <c r="A171" s="1104"/>
      <c r="B171" s="1104"/>
      <c r="C171" s="299" t="s">
        <v>620</v>
      </c>
      <c r="D171" s="299" t="s">
        <v>621</v>
      </c>
      <c r="E171" s="1104"/>
      <c r="F171" s="1104"/>
      <c r="G171" s="1104"/>
      <c r="H171" s="1104"/>
      <c r="I171" s="1104"/>
      <c r="J171" s="1095"/>
      <c r="K171" s="1104"/>
      <c r="L171" s="1104"/>
    </row>
    <row r="172" spans="1:12">
      <c r="A172" s="1104"/>
      <c r="B172" s="1104"/>
      <c r="C172" s="299" t="s">
        <v>622</v>
      </c>
      <c r="D172" s="299" t="s">
        <v>623</v>
      </c>
      <c r="E172" s="1104"/>
      <c r="F172" s="1104"/>
      <c r="G172" s="1104"/>
      <c r="H172" s="1104"/>
      <c r="I172" s="1104"/>
      <c r="J172" s="1095" t="s">
        <v>780</v>
      </c>
      <c r="K172" s="1104"/>
      <c r="L172" s="1104"/>
    </row>
    <row r="173" spans="1:12">
      <c r="A173" s="1104"/>
      <c r="B173" s="1104"/>
      <c r="C173" s="299" t="s">
        <v>624</v>
      </c>
      <c r="D173" s="299" t="s">
        <v>623</v>
      </c>
      <c r="E173" s="1104"/>
      <c r="F173" s="1104"/>
      <c r="G173" s="1104"/>
      <c r="H173" s="1104"/>
      <c r="I173" s="1104"/>
      <c r="J173" s="1095"/>
      <c r="K173" s="1104"/>
      <c r="L173" s="1104"/>
    </row>
    <row r="174" spans="1:12">
      <c r="A174" s="1094"/>
      <c r="B174" s="1094"/>
      <c r="C174" s="299" t="s">
        <v>625</v>
      </c>
      <c r="D174" s="299" t="s">
        <v>623</v>
      </c>
      <c r="E174" s="1094"/>
      <c r="F174" s="1094"/>
      <c r="G174" s="1094"/>
      <c r="H174" s="1094"/>
      <c r="I174" s="1094"/>
      <c r="J174" s="1095"/>
      <c r="K174" s="1094"/>
      <c r="L174" s="1094"/>
    </row>
    <row r="175" spans="1:12">
      <c r="A175" s="1095">
        <v>31</v>
      </c>
      <c r="B175" s="1095" t="s">
        <v>415</v>
      </c>
      <c r="C175" s="278" t="s">
        <v>627</v>
      </c>
      <c r="D175" s="278" t="s">
        <v>416</v>
      </c>
      <c r="E175" s="1095" t="s">
        <v>717</v>
      </c>
      <c r="F175" s="1095"/>
      <c r="G175" s="1095" t="s">
        <v>718</v>
      </c>
      <c r="H175" s="1095" t="s">
        <v>719</v>
      </c>
      <c r="I175" s="1095" t="s">
        <v>718</v>
      </c>
      <c r="J175" s="1095" t="s">
        <v>781</v>
      </c>
      <c r="K175" s="1095"/>
      <c r="L175" s="1095" t="s">
        <v>740</v>
      </c>
    </row>
    <row r="176" spans="1:12">
      <c r="A176" s="1095"/>
      <c r="B176" s="1095"/>
      <c r="C176" s="278" t="s">
        <v>628</v>
      </c>
      <c r="D176" s="278" t="s">
        <v>416</v>
      </c>
      <c r="E176" s="1095"/>
      <c r="F176" s="1095"/>
      <c r="G176" s="1095"/>
      <c r="H176" s="1095"/>
      <c r="I176" s="1095"/>
      <c r="J176" s="1095"/>
      <c r="K176" s="1095"/>
      <c r="L176" s="1095"/>
    </row>
    <row r="177" spans="1:12">
      <c r="A177" s="1095"/>
      <c r="B177" s="1095"/>
      <c r="C177" s="278" t="s">
        <v>629</v>
      </c>
      <c r="D177" s="278" t="s">
        <v>416</v>
      </c>
      <c r="E177" s="1095"/>
      <c r="F177" s="1095"/>
      <c r="G177" s="1095"/>
      <c r="H177" s="1095"/>
      <c r="I177" s="1095"/>
      <c r="J177" s="1095"/>
      <c r="K177" s="1095"/>
      <c r="L177" s="1095"/>
    </row>
    <row r="178" spans="1:12">
      <c r="A178" s="1095">
        <v>32</v>
      </c>
      <c r="B178" s="1095" t="s">
        <v>417</v>
      </c>
      <c r="C178" s="278" t="s">
        <v>630</v>
      </c>
      <c r="D178" s="278" t="s">
        <v>418</v>
      </c>
      <c r="E178" s="1095" t="s">
        <v>717</v>
      </c>
      <c r="F178" s="1095"/>
      <c r="G178" s="1095" t="s">
        <v>718</v>
      </c>
      <c r="H178" s="1095" t="s">
        <v>719</v>
      </c>
      <c r="I178" s="1095" t="s">
        <v>718</v>
      </c>
      <c r="J178" s="1095" t="s">
        <v>782</v>
      </c>
      <c r="K178" s="1095"/>
      <c r="L178" s="1095" t="s">
        <v>763</v>
      </c>
    </row>
    <row r="179" spans="1:12">
      <c r="A179" s="1095"/>
      <c r="B179" s="1095"/>
      <c r="C179" s="278" t="s">
        <v>631</v>
      </c>
      <c r="D179" s="278" t="s">
        <v>418</v>
      </c>
      <c r="E179" s="1095"/>
      <c r="F179" s="1095"/>
      <c r="G179" s="1095"/>
      <c r="H179" s="1095"/>
      <c r="I179" s="1095"/>
      <c r="J179" s="1095"/>
      <c r="K179" s="1095"/>
      <c r="L179" s="1095"/>
    </row>
    <row r="180" spans="1:12">
      <c r="A180" s="1095"/>
      <c r="B180" s="1095"/>
      <c r="C180" s="278" t="s">
        <v>632</v>
      </c>
      <c r="D180" s="278" t="s">
        <v>418</v>
      </c>
      <c r="E180" s="1095"/>
      <c r="F180" s="1095"/>
      <c r="G180" s="1095"/>
      <c r="H180" s="1095"/>
      <c r="I180" s="1095"/>
      <c r="J180" s="1095"/>
      <c r="K180" s="1095"/>
      <c r="L180" s="1095"/>
    </row>
    <row r="181" spans="1:12">
      <c r="A181" s="1095"/>
      <c r="B181" s="1095"/>
      <c r="C181" s="278" t="s">
        <v>633</v>
      </c>
      <c r="D181" s="278" t="s">
        <v>418</v>
      </c>
      <c r="E181" s="1095"/>
      <c r="F181" s="1095"/>
      <c r="G181" s="1095"/>
      <c r="H181" s="1095"/>
      <c r="I181" s="1095"/>
      <c r="J181" s="1095"/>
      <c r="K181" s="1095"/>
      <c r="L181" s="1095"/>
    </row>
    <row r="182" spans="1:12">
      <c r="A182" s="1095">
        <v>33</v>
      </c>
      <c r="B182" s="1095" t="s">
        <v>783</v>
      </c>
      <c r="C182" s="299" t="s">
        <v>634</v>
      </c>
      <c r="D182" s="299" t="s">
        <v>420</v>
      </c>
      <c r="E182" s="1095" t="s">
        <v>717</v>
      </c>
      <c r="F182" s="1095"/>
      <c r="G182" s="1095" t="s">
        <v>718</v>
      </c>
      <c r="H182" s="1095" t="s">
        <v>719</v>
      </c>
      <c r="I182" s="1095" t="s">
        <v>718</v>
      </c>
      <c r="J182" s="1095" t="s">
        <v>784</v>
      </c>
      <c r="K182" s="1095" t="s">
        <v>785</v>
      </c>
      <c r="L182" s="1095"/>
    </row>
    <row r="183" spans="1:12">
      <c r="A183" s="1095"/>
      <c r="B183" s="1095"/>
      <c r="C183" s="299" t="s">
        <v>635</v>
      </c>
      <c r="D183" s="299" t="s">
        <v>420</v>
      </c>
      <c r="E183" s="1095"/>
      <c r="F183" s="1095"/>
      <c r="G183" s="1095"/>
      <c r="H183" s="1095"/>
      <c r="I183" s="1095"/>
      <c r="J183" s="1095"/>
      <c r="K183" s="1095"/>
      <c r="L183" s="1095"/>
    </row>
    <row r="184" spans="1:12">
      <c r="A184" s="1095"/>
      <c r="B184" s="1095"/>
      <c r="C184" s="299" t="s">
        <v>636</v>
      </c>
      <c r="D184" s="299" t="s">
        <v>420</v>
      </c>
      <c r="E184" s="1095"/>
      <c r="F184" s="1095"/>
      <c r="G184" s="1095"/>
      <c r="H184" s="1095"/>
      <c r="I184" s="1095"/>
      <c r="J184" s="1095"/>
      <c r="K184" s="1095"/>
      <c r="L184" s="1095"/>
    </row>
    <row r="185" spans="1:12" ht="29.1">
      <c r="A185" s="1095">
        <v>34</v>
      </c>
      <c r="B185" s="1095" t="s">
        <v>421</v>
      </c>
      <c r="C185" s="278" t="s">
        <v>637</v>
      </c>
      <c r="D185" s="278" t="s">
        <v>422</v>
      </c>
      <c r="E185" s="1095" t="s">
        <v>717</v>
      </c>
      <c r="F185" s="1095"/>
      <c r="G185" s="1095" t="s">
        <v>718</v>
      </c>
      <c r="H185" s="1095" t="s">
        <v>719</v>
      </c>
      <c r="I185" s="1095" t="s">
        <v>718</v>
      </c>
      <c r="J185" s="375" t="s">
        <v>786</v>
      </c>
      <c r="K185" s="1095"/>
      <c r="L185" s="1095"/>
    </row>
    <row r="186" spans="1:12" ht="29.1">
      <c r="A186" s="1095"/>
      <c r="B186" s="1095"/>
      <c r="C186" s="278" t="s">
        <v>638</v>
      </c>
      <c r="D186" s="278" t="s">
        <v>639</v>
      </c>
      <c r="E186" s="1095"/>
      <c r="F186" s="1095"/>
      <c r="G186" s="1095"/>
      <c r="H186" s="1095"/>
      <c r="I186" s="1095"/>
      <c r="J186" s="375" t="s">
        <v>787</v>
      </c>
      <c r="K186" s="1095"/>
      <c r="L186" s="1095"/>
    </row>
    <row r="187" spans="1:12" ht="29.1">
      <c r="A187" s="1103">
        <v>35</v>
      </c>
      <c r="B187" s="1103" t="s">
        <v>424</v>
      </c>
      <c r="C187" s="299" t="s">
        <v>640</v>
      </c>
      <c r="D187" s="299" t="s">
        <v>425</v>
      </c>
      <c r="E187" s="1103" t="s">
        <v>717</v>
      </c>
      <c r="F187" s="1103"/>
      <c r="G187" s="1103" t="s">
        <v>718</v>
      </c>
      <c r="H187" s="1103" t="s">
        <v>719</v>
      </c>
      <c r="I187" s="1103" t="s">
        <v>718</v>
      </c>
      <c r="J187" s="215" t="s">
        <v>788</v>
      </c>
      <c r="K187" s="1103"/>
      <c r="L187" s="1103"/>
    </row>
    <row r="188" spans="1:12">
      <c r="A188" s="1104"/>
      <c r="B188" s="1104"/>
      <c r="C188" s="299" t="s">
        <v>641</v>
      </c>
      <c r="D188" s="299" t="s">
        <v>372</v>
      </c>
      <c r="E188" s="1104"/>
      <c r="F188" s="1104"/>
      <c r="G188" s="1104"/>
      <c r="H188" s="1104"/>
      <c r="I188" s="1104"/>
      <c r="J188" s="1095" t="s">
        <v>721</v>
      </c>
      <c r="K188" s="1104"/>
      <c r="L188" s="1104"/>
    </row>
    <row r="189" spans="1:12">
      <c r="A189" s="1094"/>
      <c r="B189" s="1094"/>
      <c r="C189" s="299" t="s">
        <v>642</v>
      </c>
      <c r="D189" s="299" t="s">
        <v>372</v>
      </c>
      <c r="E189" s="1094"/>
      <c r="F189" s="1094"/>
      <c r="G189" s="1094"/>
      <c r="H189" s="1094"/>
      <c r="I189" s="1094"/>
      <c r="J189" s="1095"/>
      <c r="K189" s="1094"/>
      <c r="L189" s="1094"/>
    </row>
    <row r="190" spans="1:12" ht="29.1">
      <c r="A190" s="1103">
        <v>36</v>
      </c>
      <c r="B190" s="1103" t="s">
        <v>426</v>
      </c>
      <c r="C190" s="299" t="s">
        <v>643</v>
      </c>
      <c r="D190" s="299" t="s">
        <v>372</v>
      </c>
      <c r="E190" s="1103" t="s">
        <v>717</v>
      </c>
      <c r="F190" s="1109"/>
      <c r="G190" s="1103" t="s">
        <v>718</v>
      </c>
      <c r="H190" s="1103" t="s">
        <v>719</v>
      </c>
      <c r="I190" s="1103" t="s">
        <v>718</v>
      </c>
      <c r="J190" s="295" t="s">
        <v>721</v>
      </c>
      <c r="K190" s="1103"/>
      <c r="L190" s="1103"/>
    </row>
    <row r="191" spans="1:12">
      <c r="A191" s="1104"/>
      <c r="B191" s="1104"/>
      <c r="C191" s="299" t="s">
        <v>644</v>
      </c>
      <c r="D191" s="299" t="s">
        <v>427</v>
      </c>
      <c r="E191" s="1104"/>
      <c r="F191" s="1110"/>
      <c r="G191" s="1104"/>
      <c r="H191" s="1104"/>
      <c r="I191" s="1104"/>
      <c r="J191" s="1095" t="s">
        <v>789</v>
      </c>
      <c r="K191" s="1104"/>
      <c r="L191" s="1104"/>
    </row>
    <row r="192" spans="1:12">
      <c r="A192" s="1104"/>
      <c r="B192" s="1104"/>
      <c r="C192" s="299" t="s">
        <v>645</v>
      </c>
      <c r="D192" s="299" t="s">
        <v>427</v>
      </c>
      <c r="E192" s="1104"/>
      <c r="F192" s="1110"/>
      <c r="G192" s="1104"/>
      <c r="H192" s="1104"/>
      <c r="I192" s="1104"/>
      <c r="J192" s="1095"/>
      <c r="K192" s="1104"/>
      <c r="L192" s="1104"/>
    </row>
    <row r="193" spans="1:12">
      <c r="A193" s="1094"/>
      <c r="B193" s="1094"/>
      <c r="C193" s="299" t="s">
        <v>646</v>
      </c>
      <c r="D193" s="299" t="s">
        <v>427</v>
      </c>
      <c r="E193" s="1094"/>
      <c r="F193" s="1111"/>
      <c r="G193" s="1094"/>
      <c r="H193" s="1094"/>
      <c r="I193" s="1094"/>
      <c r="J193" s="1095"/>
      <c r="K193" s="1094"/>
      <c r="L193" s="1094"/>
    </row>
    <row r="194" spans="1:12" ht="29.1">
      <c r="A194" s="671">
        <v>37</v>
      </c>
      <c r="B194" s="671" t="s">
        <v>428</v>
      </c>
      <c r="C194" s="299" t="s">
        <v>504</v>
      </c>
      <c r="D194" s="299" t="s">
        <v>790</v>
      </c>
      <c r="E194" s="671" t="s">
        <v>717</v>
      </c>
      <c r="F194" s="671"/>
      <c r="G194" s="671" t="s">
        <v>717</v>
      </c>
      <c r="H194" s="671"/>
      <c r="I194" s="671" t="s">
        <v>718</v>
      </c>
      <c r="J194" s="671" t="s">
        <v>791</v>
      </c>
      <c r="K194" s="671"/>
      <c r="L194" s="671"/>
    </row>
    <row r="195" spans="1:12">
      <c r="A195" s="1095">
        <v>38</v>
      </c>
      <c r="B195" s="1095" t="s">
        <v>269</v>
      </c>
      <c r="C195" s="278" t="s">
        <v>649</v>
      </c>
      <c r="D195" s="278" t="s">
        <v>430</v>
      </c>
      <c r="E195" s="1095" t="s">
        <v>717</v>
      </c>
      <c r="F195" s="1095"/>
      <c r="G195" s="1095" t="s">
        <v>718</v>
      </c>
      <c r="H195" s="1095" t="s">
        <v>719</v>
      </c>
      <c r="I195" s="1095" t="s">
        <v>718</v>
      </c>
      <c r="J195" s="1095" t="s">
        <v>792</v>
      </c>
      <c r="K195" s="1095"/>
      <c r="L195" s="1095"/>
    </row>
    <row r="196" spans="1:12">
      <c r="A196" s="1095"/>
      <c r="B196" s="1095"/>
      <c r="C196" s="278" t="s">
        <v>793</v>
      </c>
      <c r="D196" s="278" t="s">
        <v>430</v>
      </c>
      <c r="E196" s="1095"/>
      <c r="F196" s="1095"/>
      <c r="G196" s="1095"/>
      <c r="H196" s="1095"/>
      <c r="I196" s="1095"/>
      <c r="J196" s="1095"/>
      <c r="K196" s="1095"/>
      <c r="L196" s="1095"/>
    </row>
    <row r="197" spans="1:12" ht="29.1">
      <c r="A197" s="1105">
        <v>39</v>
      </c>
      <c r="B197" s="1105" t="s">
        <v>431</v>
      </c>
      <c r="C197" s="299" t="s">
        <v>651</v>
      </c>
      <c r="D197" s="299" t="s">
        <v>652</v>
      </c>
      <c r="E197" s="1105" t="s">
        <v>717</v>
      </c>
      <c r="F197" s="1105"/>
      <c r="G197" s="1105" t="s">
        <v>718</v>
      </c>
      <c r="H197" s="1105" t="s">
        <v>719</v>
      </c>
      <c r="I197" s="1106" t="s">
        <v>718</v>
      </c>
      <c r="J197" s="383" t="s">
        <v>794</v>
      </c>
      <c r="K197" s="1105"/>
      <c r="L197" s="1105"/>
    </row>
    <row r="198" spans="1:12" ht="29.1">
      <c r="A198" s="1105"/>
      <c r="B198" s="1105"/>
      <c r="C198" s="299" t="s">
        <v>653</v>
      </c>
      <c r="D198" s="299" t="s">
        <v>654</v>
      </c>
      <c r="E198" s="1105"/>
      <c r="F198" s="1105"/>
      <c r="G198" s="1105"/>
      <c r="H198" s="1105"/>
      <c r="I198" s="1107"/>
      <c r="J198" s="986" t="s">
        <v>795</v>
      </c>
      <c r="K198" s="1105"/>
      <c r="L198" s="1105"/>
    </row>
    <row r="199" spans="1:12">
      <c r="A199" s="1105"/>
      <c r="B199" s="1105"/>
      <c r="C199" s="299" t="s">
        <v>655</v>
      </c>
      <c r="D199" s="299" t="s">
        <v>656</v>
      </c>
      <c r="E199" s="1105"/>
      <c r="F199" s="1105"/>
      <c r="G199" s="1105"/>
      <c r="H199" s="1105"/>
      <c r="I199" s="1107"/>
      <c r="J199" s="383" t="s">
        <v>796</v>
      </c>
      <c r="K199" s="1105"/>
      <c r="L199" s="1105"/>
    </row>
    <row r="200" spans="1:12">
      <c r="A200" s="1105"/>
      <c r="B200" s="1105"/>
      <c r="C200" s="299" t="s">
        <v>657</v>
      </c>
      <c r="D200" s="299" t="s">
        <v>658</v>
      </c>
      <c r="E200" s="1105"/>
      <c r="F200" s="1105"/>
      <c r="G200" s="1105"/>
      <c r="H200" s="1105"/>
      <c r="I200" s="1107"/>
      <c r="J200" s="383" t="s">
        <v>797</v>
      </c>
      <c r="K200" s="1105"/>
      <c r="L200" s="1105"/>
    </row>
    <row r="201" spans="1:12">
      <c r="A201" s="1105"/>
      <c r="B201" s="1105"/>
      <c r="C201" s="299" t="s">
        <v>659</v>
      </c>
      <c r="D201" s="299" t="s">
        <v>660</v>
      </c>
      <c r="E201" s="1105"/>
      <c r="F201" s="1105"/>
      <c r="G201" s="1105"/>
      <c r="H201" s="1105"/>
      <c r="I201" s="1107"/>
      <c r="J201" s="1106" t="s">
        <v>798</v>
      </c>
      <c r="K201" s="1105"/>
      <c r="L201" s="1105"/>
    </row>
    <row r="202" spans="1:12">
      <c r="A202" s="1105"/>
      <c r="B202" s="1105"/>
      <c r="C202" s="299" t="s">
        <v>661</v>
      </c>
      <c r="D202" s="299" t="s">
        <v>660</v>
      </c>
      <c r="E202" s="1105"/>
      <c r="F202" s="1105"/>
      <c r="G202" s="1105"/>
      <c r="H202" s="1105"/>
      <c r="I202" s="1108"/>
      <c r="J202" s="1108"/>
      <c r="K202" s="1105"/>
      <c r="L202" s="1105"/>
    </row>
    <row r="203" spans="1:12">
      <c r="A203" s="1105">
        <v>40</v>
      </c>
      <c r="B203" s="1105" t="s">
        <v>433</v>
      </c>
      <c r="C203" s="299" t="s">
        <v>662</v>
      </c>
      <c r="D203" s="299" t="s">
        <v>434</v>
      </c>
      <c r="E203" s="1105" t="s">
        <v>717</v>
      </c>
      <c r="F203" s="1105"/>
      <c r="G203" s="1105" t="s">
        <v>718</v>
      </c>
      <c r="H203" s="1105" t="s">
        <v>719</v>
      </c>
      <c r="I203" s="1105" t="s">
        <v>718</v>
      </c>
      <c r="J203" s="1105" t="s">
        <v>798</v>
      </c>
      <c r="K203" s="1105"/>
      <c r="L203" s="1105"/>
    </row>
    <row r="204" spans="1:12">
      <c r="A204" s="1105"/>
      <c r="B204" s="1105"/>
      <c r="C204" s="299" t="s">
        <v>799</v>
      </c>
      <c r="D204" s="299" t="s">
        <v>434</v>
      </c>
      <c r="E204" s="1105"/>
      <c r="F204" s="1105"/>
      <c r="G204" s="1105"/>
      <c r="H204" s="1105"/>
      <c r="I204" s="1105"/>
      <c r="J204" s="1105"/>
      <c r="K204" s="1105"/>
      <c r="L204" s="1105"/>
    </row>
    <row r="205" spans="1:12">
      <c r="A205" s="1105"/>
      <c r="B205" s="1105"/>
      <c r="C205" s="299" t="s">
        <v>663</v>
      </c>
      <c r="D205" s="299" t="s">
        <v>434</v>
      </c>
      <c r="E205" s="1105"/>
      <c r="F205" s="1105"/>
      <c r="G205" s="1105"/>
      <c r="H205" s="1105"/>
      <c r="I205" s="1105"/>
      <c r="J205" s="1105"/>
      <c r="K205" s="1105"/>
      <c r="L205" s="1105"/>
    </row>
    <row r="206" spans="1:12">
      <c r="A206" s="1105"/>
      <c r="B206" s="1105"/>
      <c r="C206" s="299" t="s">
        <v>664</v>
      </c>
      <c r="D206" s="299" t="s">
        <v>434</v>
      </c>
      <c r="E206" s="1105"/>
      <c r="F206" s="1105"/>
      <c r="G206" s="1105"/>
      <c r="H206" s="1105"/>
      <c r="I206" s="1105"/>
      <c r="J206" s="1105"/>
      <c r="K206" s="1105"/>
      <c r="L206" s="1105"/>
    </row>
    <row r="207" spans="1:12">
      <c r="A207" s="1105">
        <v>41</v>
      </c>
      <c r="B207" s="1105" t="s">
        <v>435</v>
      </c>
      <c r="C207" s="299" t="s">
        <v>665</v>
      </c>
      <c r="D207" s="299" t="s">
        <v>436</v>
      </c>
      <c r="E207" s="1105" t="s">
        <v>717</v>
      </c>
      <c r="F207" s="1105"/>
      <c r="G207" s="1105" t="s">
        <v>718</v>
      </c>
      <c r="H207" s="1105" t="s">
        <v>719</v>
      </c>
      <c r="I207" s="1105" t="s">
        <v>718</v>
      </c>
      <c r="J207" s="1105" t="s">
        <v>800</v>
      </c>
      <c r="K207" s="1105"/>
      <c r="L207" s="1105"/>
    </row>
    <row r="208" spans="1:12">
      <c r="A208" s="1105"/>
      <c r="B208" s="1105"/>
      <c r="C208" s="299" t="s">
        <v>667</v>
      </c>
      <c r="D208" s="299" t="s">
        <v>436</v>
      </c>
      <c r="E208" s="1105"/>
      <c r="F208" s="1105"/>
      <c r="G208" s="1105"/>
      <c r="H208" s="1105"/>
      <c r="I208" s="1105"/>
      <c r="J208" s="1105"/>
      <c r="K208" s="1105"/>
      <c r="L208" s="1105"/>
    </row>
    <row r="209" spans="1:12">
      <c r="A209" s="1105"/>
      <c r="B209" s="1105"/>
      <c r="C209" s="299" t="s">
        <v>668</v>
      </c>
      <c r="D209" s="299" t="s">
        <v>436</v>
      </c>
      <c r="E209" s="1105"/>
      <c r="F209" s="1105"/>
      <c r="G209" s="1105"/>
      <c r="H209" s="1105"/>
      <c r="I209" s="1105"/>
      <c r="J209" s="1105"/>
      <c r="K209" s="1105"/>
      <c r="L209" s="1105"/>
    </row>
    <row r="210" spans="1:12">
      <c r="A210" s="1105"/>
      <c r="B210" s="1105"/>
      <c r="C210" s="299" t="s">
        <v>669</v>
      </c>
      <c r="D210" s="299" t="s">
        <v>436</v>
      </c>
      <c r="E210" s="1105"/>
      <c r="F210" s="1105"/>
      <c r="G210" s="1105"/>
      <c r="H210" s="1105"/>
      <c r="I210" s="1105"/>
      <c r="J210" s="1105"/>
      <c r="K210" s="1105"/>
      <c r="L210" s="1105"/>
    </row>
    <row r="211" spans="1:12">
      <c r="A211" s="1105"/>
      <c r="B211" s="1105"/>
      <c r="C211" s="299" t="s">
        <v>670</v>
      </c>
      <c r="D211" s="299" t="s">
        <v>436</v>
      </c>
      <c r="E211" s="1105"/>
      <c r="F211" s="1105"/>
      <c r="G211" s="1105"/>
      <c r="H211" s="1105"/>
      <c r="I211" s="1105"/>
      <c r="J211" s="1105"/>
      <c r="K211" s="1105"/>
      <c r="L211" s="1105"/>
    </row>
    <row r="212" spans="1:12">
      <c r="A212" s="1105"/>
      <c r="B212" s="1105"/>
      <c r="C212" s="299" t="s">
        <v>671</v>
      </c>
      <c r="D212" s="299" t="s">
        <v>436</v>
      </c>
      <c r="E212" s="1105"/>
      <c r="F212" s="1105"/>
      <c r="G212" s="1105"/>
      <c r="H212" s="1105"/>
      <c r="I212" s="1105"/>
      <c r="J212" s="1105"/>
      <c r="K212" s="1105"/>
      <c r="L212" s="1105"/>
    </row>
    <row r="213" spans="1:12">
      <c r="A213" s="1105"/>
      <c r="B213" s="1105"/>
      <c r="C213" s="299" t="s">
        <v>672</v>
      </c>
      <c r="D213" s="299" t="s">
        <v>436</v>
      </c>
      <c r="E213" s="1105"/>
      <c r="F213" s="1105"/>
      <c r="G213" s="1105"/>
      <c r="H213" s="1105"/>
      <c r="I213" s="1105"/>
      <c r="J213" s="1105"/>
      <c r="K213" s="1105"/>
      <c r="L213" s="1105"/>
    </row>
    <row r="214" spans="1:12">
      <c r="A214" s="1105"/>
      <c r="B214" s="1105"/>
      <c r="C214" s="299" t="s">
        <v>673</v>
      </c>
      <c r="D214" s="299" t="s">
        <v>436</v>
      </c>
      <c r="E214" s="1105"/>
      <c r="F214" s="1105"/>
      <c r="G214" s="1105"/>
      <c r="H214" s="1105"/>
      <c r="I214" s="1105"/>
      <c r="J214" s="1105"/>
      <c r="K214" s="1105"/>
      <c r="L214" s="1105"/>
    </row>
    <row r="215" spans="1:12">
      <c r="A215" s="1105"/>
      <c r="B215" s="1105"/>
      <c r="C215" s="299" t="s">
        <v>674</v>
      </c>
      <c r="D215" s="299" t="s">
        <v>436</v>
      </c>
      <c r="E215" s="1105"/>
      <c r="F215" s="1105"/>
      <c r="G215" s="1105"/>
      <c r="H215" s="1105"/>
      <c r="I215" s="1105"/>
      <c r="J215" s="1105"/>
      <c r="K215" s="1105"/>
      <c r="L215" s="1105"/>
    </row>
    <row r="216" spans="1:12">
      <c r="A216" s="1105"/>
      <c r="B216" s="1105"/>
      <c r="C216" s="299" t="s">
        <v>675</v>
      </c>
      <c r="D216" s="299" t="s">
        <v>436</v>
      </c>
      <c r="E216" s="1105"/>
      <c r="F216" s="1105"/>
      <c r="G216" s="1105"/>
      <c r="H216" s="1105"/>
      <c r="I216" s="1105"/>
      <c r="J216" s="1105"/>
      <c r="K216" s="1105"/>
      <c r="L216" s="1105"/>
    </row>
    <row r="217" spans="1:12">
      <c r="A217" s="1105"/>
      <c r="B217" s="1105"/>
      <c r="C217" s="299" t="s">
        <v>676</v>
      </c>
      <c r="D217" s="299" t="s">
        <v>436</v>
      </c>
      <c r="E217" s="1105"/>
      <c r="F217" s="1105"/>
      <c r="G217" s="1105"/>
      <c r="H217" s="1105"/>
      <c r="I217" s="1105"/>
      <c r="J217" s="1105"/>
      <c r="K217" s="1105"/>
      <c r="L217" s="1105"/>
    </row>
    <row r="218" spans="1:12">
      <c r="A218" s="1105"/>
      <c r="B218" s="1105"/>
      <c r="C218" s="299" t="s">
        <v>677</v>
      </c>
      <c r="D218" s="299" t="s">
        <v>436</v>
      </c>
      <c r="E218" s="1105"/>
      <c r="F218" s="1105"/>
      <c r="G218" s="1105"/>
      <c r="H218" s="1105"/>
      <c r="I218" s="1105"/>
      <c r="J218" s="1105"/>
      <c r="K218" s="1105"/>
      <c r="L218" s="1105"/>
    </row>
    <row r="219" spans="1:12">
      <c r="A219" s="1105"/>
      <c r="B219" s="1105"/>
      <c r="C219" s="299" t="s">
        <v>678</v>
      </c>
      <c r="D219" s="299" t="s">
        <v>436</v>
      </c>
      <c r="E219" s="1105"/>
      <c r="F219" s="1105"/>
      <c r="G219" s="1105"/>
      <c r="H219" s="1105"/>
      <c r="I219" s="1105"/>
      <c r="J219" s="1105"/>
      <c r="K219" s="1105"/>
      <c r="L219" s="1105"/>
    </row>
    <row r="220" spans="1:12">
      <c r="A220" s="1105"/>
      <c r="B220" s="1105"/>
      <c r="C220" s="299" t="s">
        <v>679</v>
      </c>
      <c r="D220" s="299" t="s">
        <v>436</v>
      </c>
      <c r="E220" s="1105"/>
      <c r="F220" s="1105"/>
      <c r="G220" s="1105"/>
      <c r="H220" s="1105"/>
      <c r="I220" s="1105"/>
      <c r="J220" s="1105"/>
      <c r="K220" s="1105"/>
      <c r="L220" s="1105"/>
    </row>
    <row r="221" spans="1:12">
      <c r="A221" s="1105"/>
      <c r="B221" s="1105"/>
      <c r="C221" s="299" t="s">
        <v>680</v>
      </c>
      <c r="D221" s="299" t="s">
        <v>436</v>
      </c>
      <c r="E221" s="1105"/>
      <c r="F221" s="1105"/>
      <c r="G221" s="1105"/>
      <c r="H221" s="1105"/>
      <c r="I221" s="1105"/>
      <c r="J221" s="1105"/>
      <c r="K221" s="1105"/>
      <c r="L221" s="1105"/>
    </row>
    <row r="222" spans="1:12">
      <c r="A222" s="1105"/>
      <c r="B222" s="1105"/>
      <c r="C222" s="299" t="s">
        <v>681</v>
      </c>
      <c r="D222" s="299" t="s">
        <v>436</v>
      </c>
      <c r="E222" s="1105"/>
      <c r="F222" s="1105"/>
      <c r="G222" s="1105"/>
      <c r="H222" s="1105"/>
      <c r="I222" s="1105"/>
      <c r="J222" s="1105"/>
      <c r="K222" s="1105"/>
      <c r="L222" s="1105"/>
    </row>
    <row r="223" spans="1:12">
      <c r="A223" s="1105"/>
      <c r="B223" s="1105"/>
      <c r="C223" s="299" t="s">
        <v>682</v>
      </c>
      <c r="D223" s="299" t="s">
        <v>436</v>
      </c>
      <c r="E223" s="1105"/>
      <c r="F223" s="1105"/>
      <c r="G223" s="1105"/>
      <c r="H223" s="1105"/>
      <c r="I223" s="1105"/>
      <c r="J223" s="1105"/>
      <c r="K223" s="1105"/>
      <c r="L223" s="1105"/>
    </row>
    <row r="224" spans="1:12">
      <c r="A224" s="1105"/>
      <c r="B224" s="1105"/>
      <c r="C224" s="299" t="s">
        <v>683</v>
      </c>
      <c r="D224" s="299" t="s">
        <v>436</v>
      </c>
      <c r="E224" s="1105"/>
      <c r="F224" s="1105"/>
      <c r="G224" s="1105"/>
      <c r="H224" s="1105"/>
      <c r="I224" s="1105"/>
      <c r="J224" s="1105"/>
      <c r="K224" s="1105"/>
      <c r="L224" s="1105"/>
    </row>
    <row r="225" spans="1:12">
      <c r="A225" s="1105">
        <v>42</v>
      </c>
      <c r="B225" s="1105" t="s">
        <v>801</v>
      </c>
      <c r="C225" s="299" t="s">
        <v>685</v>
      </c>
      <c r="D225" s="299" t="s">
        <v>438</v>
      </c>
      <c r="E225" s="1105" t="s">
        <v>718</v>
      </c>
      <c r="F225" s="1105" t="s">
        <v>735</v>
      </c>
      <c r="G225" s="1105" t="s">
        <v>718</v>
      </c>
      <c r="H225" s="1105" t="s">
        <v>719</v>
      </c>
      <c r="I225" s="1105" t="s">
        <v>718</v>
      </c>
      <c r="J225" s="1105" t="s">
        <v>802</v>
      </c>
      <c r="K225" s="1105"/>
      <c r="L225" s="1105" t="s">
        <v>803</v>
      </c>
    </row>
    <row r="226" spans="1:12">
      <c r="A226" s="1105"/>
      <c r="B226" s="1105"/>
      <c r="C226" s="299" t="s">
        <v>686</v>
      </c>
      <c r="D226" s="299" t="s">
        <v>438</v>
      </c>
      <c r="E226" s="1105"/>
      <c r="F226" s="1105"/>
      <c r="G226" s="1105"/>
      <c r="H226" s="1105"/>
      <c r="I226" s="1105"/>
      <c r="J226" s="1105"/>
      <c r="K226" s="1105"/>
      <c r="L226" s="1105"/>
    </row>
    <row r="227" spans="1:12">
      <c r="A227" s="1105"/>
      <c r="B227" s="1105"/>
      <c r="C227" s="299" t="s">
        <v>687</v>
      </c>
      <c r="D227" s="299" t="s">
        <v>438</v>
      </c>
      <c r="E227" s="1105"/>
      <c r="F227" s="1105"/>
      <c r="G227" s="1105"/>
      <c r="H227" s="1105"/>
      <c r="I227" s="1105"/>
      <c r="J227" s="1105"/>
      <c r="K227" s="1105"/>
      <c r="L227" s="1105"/>
    </row>
    <row r="228" spans="1:12">
      <c r="A228" s="1105"/>
      <c r="B228" s="1105"/>
      <c r="C228" s="299" t="s">
        <v>688</v>
      </c>
      <c r="D228" s="299" t="s">
        <v>438</v>
      </c>
      <c r="E228" s="1105"/>
      <c r="F228" s="1105"/>
      <c r="G228" s="1105"/>
      <c r="H228" s="1105"/>
      <c r="I228" s="1105"/>
      <c r="J228" s="1105"/>
      <c r="K228" s="1105"/>
      <c r="L228" s="1105"/>
    </row>
    <row r="229" spans="1:12">
      <c r="A229" s="1095">
        <v>43</v>
      </c>
      <c r="B229" s="1095" t="s">
        <v>439</v>
      </c>
      <c r="C229" s="278" t="s">
        <v>689</v>
      </c>
      <c r="D229" s="278" t="s">
        <v>690</v>
      </c>
      <c r="E229" s="1095" t="s">
        <v>717</v>
      </c>
      <c r="F229" s="1095"/>
      <c r="G229" s="1095" t="s">
        <v>718</v>
      </c>
      <c r="H229" s="1095" t="s">
        <v>719</v>
      </c>
      <c r="I229" s="1095" t="s">
        <v>718</v>
      </c>
      <c r="J229" s="1095" t="s">
        <v>804</v>
      </c>
      <c r="K229" s="1095" t="s">
        <v>805</v>
      </c>
      <c r="L229" s="1095"/>
    </row>
    <row r="230" spans="1:12">
      <c r="A230" s="1095"/>
      <c r="B230" s="1095"/>
      <c r="C230" s="278" t="s">
        <v>691</v>
      </c>
      <c r="D230" s="278" t="s">
        <v>690</v>
      </c>
      <c r="E230" s="1095"/>
      <c r="F230" s="1095"/>
      <c r="G230" s="1095"/>
      <c r="H230" s="1095"/>
      <c r="I230" s="1095"/>
      <c r="J230" s="1095"/>
      <c r="K230" s="1095"/>
      <c r="L230" s="1095"/>
    </row>
    <row r="231" spans="1:12" ht="29.1">
      <c r="A231" s="1103">
        <v>44</v>
      </c>
      <c r="B231" s="1103" t="s">
        <v>806</v>
      </c>
      <c r="C231" s="299" t="s">
        <v>692</v>
      </c>
      <c r="D231" s="299" t="s">
        <v>693</v>
      </c>
      <c r="E231" s="1103" t="s">
        <v>717</v>
      </c>
      <c r="F231" s="1103"/>
      <c r="G231" s="1103" t="s">
        <v>718</v>
      </c>
      <c r="H231" s="1103" t="s">
        <v>719</v>
      </c>
      <c r="I231" s="1103" t="s">
        <v>718</v>
      </c>
      <c r="J231" s="295" t="s">
        <v>807</v>
      </c>
      <c r="K231" s="1103"/>
      <c r="L231" s="1103"/>
    </row>
    <row r="232" spans="1:12">
      <c r="A232" s="1104"/>
      <c r="B232" s="1104"/>
      <c r="C232" s="299" t="s">
        <v>694</v>
      </c>
      <c r="D232" s="299" t="s">
        <v>441</v>
      </c>
      <c r="E232" s="1104"/>
      <c r="F232" s="1104"/>
      <c r="G232" s="1104"/>
      <c r="H232" s="1104"/>
      <c r="I232" s="1104"/>
      <c r="J232" s="1095" t="s">
        <v>808</v>
      </c>
      <c r="K232" s="1104"/>
      <c r="L232" s="1104"/>
    </row>
    <row r="233" spans="1:12">
      <c r="A233" s="1104"/>
      <c r="B233" s="1104"/>
      <c r="C233" s="299" t="s">
        <v>695</v>
      </c>
      <c r="D233" s="299" t="s">
        <v>441</v>
      </c>
      <c r="E233" s="1104"/>
      <c r="F233" s="1104"/>
      <c r="G233" s="1104"/>
      <c r="H233" s="1104"/>
      <c r="I233" s="1104"/>
      <c r="J233" s="1095"/>
      <c r="K233" s="1104"/>
      <c r="L233" s="1104"/>
    </row>
    <row r="234" spans="1:12">
      <c r="A234" s="1104"/>
      <c r="B234" s="1104"/>
      <c r="C234" s="299" t="s">
        <v>696</v>
      </c>
      <c r="D234" s="299" t="s">
        <v>441</v>
      </c>
      <c r="E234" s="1104"/>
      <c r="F234" s="1104"/>
      <c r="G234" s="1104"/>
      <c r="H234" s="1104"/>
      <c r="I234" s="1104"/>
      <c r="J234" s="1095"/>
      <c r="K234" s="1104"/>
      <c r="L234" s="1104"/>
    </row>
    <row r="235" spans="1:12">
      <c r="A235" s="1104"/>
      <c r="B235" s="1104"/>
      <c r="C235" s="299" t="s">
        <v>697</v>
      </c>
      <c r="D235" s="299" t="s">
        <v>441</v>
      </c>
      <c r="E235" s="1104"/>
      <c r="F235" s="1104"/>
      <c r="G235" s="1104"/>
      <c r="H235" s="1104"/>
      <c r="I235" s="1104"/>
      <c r="J235" s="1095"/>
      <c r="K235" s="1104"/>
      <c r="L235" s="1104"/>
    </row>
    <row r="236" spans="1:12">
      <c r="A236" s="1104"/>
      <c r="B236" s="1104"/>
      <c r="C236" s="299" t="s">
        <v>698</v>
      </c>
      <c r="D236" s="299" t="s">
        <v>441</v>
      </c>
      <c r="E236" s="1104"/>
      <c r="F236" s="1104"/>
      <c r="G236" s="1104"/>
      <c r="H236" s="1104"/>
      <c r="I236" s="1104"/>
      <c r="J236" s="1095"/>
      <c r="K236" s="1104"/>
      <c r="L236" s="1104"/>
    </row>
    <row r="237" spans="1:12">
      <c r="A237" s="1104"/>
      <c r="B237" s="1104"/>
      <c r="C237" s="299" t="s">
        <v>699</v>
      </c>
      <c r="D237" s="299" t="s">
        <v>441</v>
      </c>
      <c r="E237" s="1104"/>
      <c r="F237" s="1104"/>
      <c r="G237" s="1104"/>
      <c r="H237" s="1104"/>
      <c r="I237" s="1104"/>
      <c r="J237" s="1095"/>
      <c r="K237" s="1104"/>
      <c r="L237" s="1104"/>
    </row>
    <row r="238" spans="1:12">
      <c r="A238" s="1104"/>
      <c r="B238" s="1104"/>
      <c r="C238" s="299" t="s">
        <v>700</v>
      </c>
      <c r="D238" s="299" t="s">
        <v>441</v>
      </c>
      <c r="E238" s="1104"/>
      <c r="F238" s="1104"/>
      <c r="G238" s="1104"/>
      <c r="H238" s="1104"/>
      <c r="I238" s="1104"/>
      <c r="J238" s="1095"/>
      <c r="K238" s="1104"/>
      <c r="L238" s="1104"/>
    </row>
    <row r="239" spans="1:12" ht="29.1">
      <c r="A239" s="1094"/>
      <c r="B239" s="1094"/>
      <c r="C239" s="299" t="s">
        <v>701</v>
      </c>
      <c r="D239" s="299" t="s">
        <v>393</v>
      </c>
      <c r="E239" s="1094"/>
      <c r="F239" s="1094"/>
      <c r="G239" s="1094"/>
      <c r="H239" s="1094"/>
      <c r="I239" s="1094"/>
      <c r="J239" s="375" t="s">
        <v>809</v>
      </c>
      <c r="K239" s="1094"/>
      <c r="L239" s="1094"/>
    </row>
    <row r="240" spans="1:12">
      <c r="A240" s="1103">
        <v>45</v>
      </c>
      <c r="B240" s="1103" t="s">
        <v>810</v>
      </c>
      <c r="C240" s="299" t="s">
        <v>703</v>
      </c>
      <c r="D240" s="299" t="s">
        <v>443</v>
      </c>
      <c r="E240" s="1095" t="s">
        <v>717</v>
      </c>
      <c r="F240" s="1112"/>
      <c r="G240" s="1103" t="s">
        <v>718</v>
      </c>
      <c r="H240" s="1103" t="s">
        <v>719</v>
      </c>
      <c r="I240" s="1103" t="s">
        <v>718</v>
      </c>
      <c r="J240" s="1103" t="s">
        <v>811</v>
      </c>
      <c r="K240" s="1103"/>
      <c r="L240" s="1103"/>
    </row>
    <row r="241" spans="1:12">
      <c r="A241" s="1104"/>
      <c r="B241" s="1104"/>
      <c r="C241" s="299" t="s">
        <v>704</v>
      </c>
      <c r="D241" s="299" t="s">
        <v>443</v>
      </c>
      <c r="E241" s="1095"/>
      <c r="F241" s="1112"/>
      <c r="G241" s="1104"/>
      <c r="H241" s="1104"/>
      <c r="I241" s="1104"/>
      <c r="J241" s="1104"/>
      <c r="K241" s="1104"/>
      <c r="L241" s="1104"/>
    </row>
    <row r="242" spans="1:12">
      <c r="A242" s="1104"/>
      <c r="B242" s="1104"/>
      <c r="C242" s="299" t="s">
        <v>705</v>
      </c>
      <c r="D242" s="299" t="s">
        <v>443</v>
      </c>
      <c r="E242" s="1095"/>
      <c r="F242" s="1112"/>
      <c r="G242" s="1104"/>
      <c r="H242" s="1104"/>
      <c r="I242" s="1104"/>
      <c r="J242" s="1104"/>
      <c r="K242" s="1104"/>
      <c r="L242" s="1104"/>
    </row>
    <row r="243" spans="1:12" ht="29.1">
      <c r="A243" s="1094"/>
      <c r="B243" s="1094"/>
      <c r="C243" s="299" t="s">
        <v>706</v>
      </c>
      <c r="D243" s="299" t="s">
        <v>707</v>
      </c>
      <c r="E243" s="375" t="s">
        <v>718</v>
      </c>
      <c r="F243" s="375" t="s">
        <v>811</v>
      </c>
      <c r="G243" s="1094"/>
      <c r="H243" s="1094"/>
      <c r="I243" s="1094"/>
      <c r="J243" s="669" t="s">
        <v>812</v>
      </c>
      <c r="K243" s="1094"/>
      <c r="L243" s="1094"/>
    </row>
    <row r="244" spans="1:12" ht="29.1">
      <c r="A244" s="295">
        <v>46</v>
      </c>
      <c r="B244" s="375" t="s">
        <v>444</v>
      </c>
      <c r="C244" s="278" t="s">
        <v>444</v>
      </c>
      <c r="D244" s="278" t="s">
        <v>445</v>
      </c>
      <c r="E244" s="375" t="s">
        <v>717</v>
      </c>
      <c r="F244" s="375"/>
      <c r="G244" s="375" t="s">
        <v>717</v>
      </c>
      <c r="H244" s="375"/>
      <c r="I244" s="375" t="s">
        <v>718</v>
      </c>
      <c r="J244" s="375" t="s">
        <v>813</v>
      </c>
      <c r="K244" s="375"/>
      <c r="L244" s="375"/>
    </row>
    <row r="245" spans="1:12" s="1" customFormat="1">
      <c r="A245" s="7"/>
      <c r="B245" s="7"/>
      <c r="C245" s="7"/>
      <c r="D245" s="7"/>
      <c r="E245" s="7"/>
      <c r="F245" s="7"/>
      <c r="G245" s="7"/>
      <c r="H245" s="7"/>
      <c r="I245" s="7"/>
      <c r="J245" s="7"/>
      <c r="K245" s="7"/>
      <c r="L245" s="7"/>
    </row>
    <row r="246" spans="1:12" s="1" customFormat="1">
      <c r="A246" s="7"/>
      <c r="B246" s="7"/>
      <c r="C246" s="7"/>
      <c r="D246" s="7"/>
      <c r="E246" s="7"/>
      <c r="F246" s="7"/>
      <c r="G246" s="7"/>
      <c r="H246" s="7"/>
      <c r="I246" s="7"/>
      <c r="J246" s="7"/>
      <c r="K246" s="7"/>
      <c r="L246" s="7"/>
    </row>
    <row r="247" spans="1:12" s="1" customFormat="1">
      <c r="A247" s="7"/>
      <c r="B247" s="7"/>
      <c r="C247" s="7"/>
      <c r="D247" s="7"/>
      <c r="E247" s="7"/>
      <c r="F247" s="7"/>
      <c r="G247" s="7"/>
      <c r="H247" s="7"/>
      <c r="I247" s="7"/>
      <c r="J247" s="7"/>
      <c r="K247" s="7"/>
      <c r="L247" s="7"/>
    </row>
    <row r="248" spans="1:12" s="1" customFormat="1">
      <c r="A248" s="7"/>
      <c r="B248" s="7"/>
      <c r="C248" s="7"/>
      <c r="D248" s="7"/>
      <c r="E248" s="7"/>
      <c r="F248" s="7"/>
      <c r="G248" s="7"/>
      <c r="H248" s="7"/>
      <c r="I248" s="7"/>
      <c r="J248" s="7"/>
      <c r="K248" s="7"/>
      <c r="L248" s="7"/>
    </row>
    <row r="249" spans="1:12" s="1" customFormat="1">
      <c r="A249" s="7"/>
      <c r="B249" s="7"/>
      <c r="C249" s="7"/>
      <c r="D249" s="7"/>
      <c r="E249" s="7"/>
      <c r="F249" s="7"/>
      <c r="G249" s="7"/>
      <c r="H249" s="7"/>
      <c r="I249" s="7"/>
      <c r="J249" s="7"/>
      <c r="K249" s="7"/>
      <c r="L249" s="7"/>
    </row>
    <row r="250" spans="1:12" s="1" customFormat="1">
      <c r="A250" s="7"/>
      <c r="B250" s="7"/>
      <c r="C250" s="7"/>
      <c r="D250" s="7"/>
      <c r="E250" s="7"/>
      <c r="F250" s="7"/>
      <c r="G250" s="7"/>
      <c r="H250" s="7"/>
      <c r="I250" s="7"/>
      <c r="J250" s="7"/>
      <c r="K250" s="7"/>
      <c r="L250" s="7"/>
    </row>
    <row r="251" spans="1:12" s="1" customFormat="1">
      <c r="A251" s="7"/>
      <c r="B251" s="7"/>
      <c r="C251" s="7"/>
      <c r="D251" s="7"/>
      <c r="E251" s="7"/>
      <c r="F251" s="7"/>
      <c r="G251" s="7"/>
      <c r="H251" s="7"/>
      <c r="I251" s="7"/>
      <c r="J251" s="7"/>
      <c r="K251" s="7"/>
      <c r="L251" s="7"/>
    </row>
    <row r="252" spans="1:12" s="1" customFormat="1">
      <c r="A252" s="7"/>
      <c r="B252" s="7"/>
      <c r="C252" s="7"/>
      <c r="D252" s="7"/>
      <c r="E252" s="7"/>
      <c r="F252" s="7"/>
      <c r="G252" s="7"/>
      <c r="H252" s="7"/>
      <c r="I252" s="7"/>
      <c r="J252" s="7"/>
      <c r="K252" s="7"/>
      <c r="L252" s="7"/>
    </row>
    <row r="253" spans="1:12" s="1" customFormat="1">
      <c r="A253" s="7"/>
      <c r="B253" s="7"/>
      <c r="C253" s="7"/>
      <c r="D253" s="7"/>
      <c r="E253" s="7"/>
      <c r="F253" s="7"/>
      <c r="G253" s="7"/>
      <c r="H253" s="7"/>
      <c r="I253" s="7"/>
      <c r="J253" s="7"/>
      <c r="K253" s="7"/>
      <c r="L253" s="7"/>
    </row>
    <row r="254" spans="1:12" s="1" customFormat="1">
      <c r="A254" s="7"/>
      <c r="B254" s="7"/>
      <c r="C254" s="7"/>
      <c r="D254" s="7"/>
      <c r="E254" s="7"/>
      <c r="F254" s="7"/>
      <c r="G254" s="7"/>
      <c r="H254" s="7"/>
      <c r="I254" s="7"/>
      <c r="J254" s="7"/>
      <c r="K254" s="7"/>
      <c r="L254" s="7"/>
    </row>
    <row r="255" spans="1:12" s="1" customFormat="1">
      <c r="A255" s="7"/>
      <c r="B255" s="7"/>
      <c r="C255" s="7"/>
      <c r="D255" s="7"/>
      <c r="E255" s="7"/>
      <c r="F255" s="7"/>
      <c r="G255" s="7"/>
      <c r="H255" s="7"/>
      <c r="I255" s="7"/>
      <c r="J255" s="7"/>
      <c r="K255" s="7"/>
      <c r="L255" s="7"/>
    </row>
    <row r="256" spans="1:12" s="1" customFormat="1">
      <c r="A256" s="7"/>
      <c r="B256" s="7"/>
      <c r="C256" s="7"/>
      <c r="D256" s="7"/>
      <c r="E256" s="7"/>
      <c r="F256" s="7"/>
      <c r="G256" s="7"/>
      <c r="H256" s="7"/>
      <c r="I256" s="7"/>
      <c r="J256" s="7"/>
      <c r="K256" s="7"/>
      <c r="L256" s="7"/>
    </row>
    <row r="257" spans="1:12" s="1" customFormat="1">
      <c r="A257" s="7"/>
      <c r="B257" s="7"/>
      <c r="C257" s="7"/>
      <c r="D257" s="7"/>
      <c r="E257" s="7"/>
      <c r="F257" s="7"/>
      <c r="G257" s="7"/>
      <c r="H257" s="7"/>
      <c r="I257" s="7"/>
      <c r="J257" s="7"/>
      <c r="K257" s="7"/>
      <c r="L257" s="7"/>
    </row>
    <row r="258" spans="1:12" s="1" customFormat="1">
      <c r="A258" s="7"/>
      <c r="B258" s="7"/>
      <c r="C258" s="7"/>
      <c r="D258" s="7"/>
      <c r="E258" s="7"/>
      <c r="F258" s="7"/>
      <c r="G258" s="7"/>
      <c r="H258" s="7"/>
      <c r="I258" s="7"/>
      <c r="J258" s="7"/>
      <c r="K258" s="7"/>
      <c r="L258" s="7"/>
    </row>
    <row r="259" spans="1:12" s="1" customFormat="1">
      <c r="A259" s="7"/>
      <c r="B259" s="7"/>
      <c r="C259" s="7"/>
      <c r="D259" s="7"/>
      <c r="E259" s="7"/>
      <c r="F259" s="7"/>
      <c r="G259" s="7"/>
      <c r="H259" s="7"/>
      <c r="I259" s="7"/>
      <c r="J259" s="7"/>
      <c r="K259" s="7"/>
      <c r="L259" s="7"/>
    </row>
    <row r="260" spans="1:12" s="1" customFormat="1">
      <c r="A260" s="7"/>
      <c r="B260" s="7"/>
      <c r="C260" s="7"/>
      <c r="D260" s="7"/>
      <c r="E260" s="7"/>
      <c r="F260" s="7"/>
      <c r="G260" s="7"/>
      <c r="H260" s="7"/>
      <c r="I260" s="7"/>
      <c r="J260" s="7"/>
      <c r="K260" s="7"/>
      <c r="L260" s="7"/>
    </row>
    <row r="261" spans="1:12" s="1" customFormat="1">
      <c r="A261" s="7"/>
      <c r="B261" s="7"/>
      <c r="C261" s="7"/>
      <c r="D261" s="7"/>
      <c r="E261" s="7"/>
      <c r="F261" s="7"/>
      <c r="G261" s="7"/>
      <c r="H261" s="7"/>
      <c r="I261" s="7"/>
      <c r="J261" s="7"/>
      <c r="K261" s="7"/>
      <c r="L261" s="7"/>
    </row>
    <row r="262" spans="1:12" s="1" customFormat="1">
      <c r="A262" s="7"/>
      <c r="B262" s="7"/>
      <c r="C262" s="7"/>
      <c r="D262" s="7"/>
      <c r="E262" s="7"/>
      <c r="F262" s="7"/>
      <c r="G262" s="7"/>
      <c r="H262" s="7"/>
      <c r="I262" s="7"/>
      <c r="J262" s="7"/>
      <c r="K262" s="7"/>
      <c r="L262" s="7"/>
    </row>
    <row r="263" spans="1:12" s="1" customFormat="1">
      <c r="A263" s="7"/>
      <c r="B263" s="7"/>
      <c r="C263" s="7"/>
      <c r="D263" s="7"/>
      <c r="E263" s="7"/>
      <c r="F263" s="7"/>
      <c r="G263" s="7"/>
      <c r="H263" s="7"/>
      <c r="I263" s="7"/>
      <c r="J263" s="7"/>
      <c r="K263" s="7"/>
      <c r="L263" s="7"/>
    </row>
    <row r="264" spans="1:12" s="1" customFormat="1">
      <c r="A264" s="7"/>
      <c r="B264" s="7"/>
      <c r="C264" s="7"/>
      <c r="D264" s="7"/>
      <c r="E264" s="7"/>
      <c r="F264" s="7"/>
      <c r="G264" s="7"/>
      <c r="H264" s="7"/>
      <c r="I264" s="7"/>
      <c r="J264" s="7"/>
      <c r="K264" s="7"/>
      <c r="L264" s="7"/>
    </row>
    <row r="265" spans="1:12" s="1" customFormat="1">
      <c r="A265" s="7"/>
      <c r="B265" s="7"/>
      <c r="C265" s="7"/>
      <c r="D265" s="7"/>
      <c r="E265" s="7"/>
      <c r="F265" s="7"/>
      <c r="G265" s="7"/>
      <c r="H265" s="7"/>
      <c r="I265" s="7"/>
      <c r="J265" s="7"/>
      <c r="K265" s="7"/>
      <c r="L265" s="7"/>
    </row>
    <row r="266" spans="1:12" s="1" customFormat="1">
      <c r="A266" s="7"/>
      <c r="B266" s="7"/>
      <c r="C266" s="7"/>
      <c r="D266" s="7"/>
      <c r="E266" s="7"/>
      <c r="F266" s="7"/>
      <c r="G266" s="7"/>
      <c r="H266" s="7"/>
      <c r="I266" s="7"/>
      <c r="J266" s="7"/>
      <c r="K266" s="7"/>
      <c r="L266" s="7"/>
    </row>
    <row r="267" spans="1:12" s="1" customFormat="1">
      <c r="A267" s="7"/>
      <c r="B267" s="7"/>
      <c r="C267" s="7"/>
      <c r="D267" s="7"/>
      <c r="E267" s="7"/>
      <c r="F267" s="7"/>
      <c r="G267" s="7"/>
      <c r="H267" s="7"/>
      <c r="I267" s="7"/>
      <c r="J267" s="7"/>
      <c r="K267" s="7"/>
      <c r="L267" s="7"/>
    </row>
    <row r="268" spans="1:12" s="1" customFormat="1">
      <c r="A268" s="7"/>
      <c r="B268" s="7"/>
      <c r="C268" s="7"/>
      <c r="D268" s="7"/>
      <c r="E268" s="7"/>
      <c r="F268" s="7"/>
      <c r="G268" s="7"/>
      <c r="H268" s="7"/>
      <c r="I268" s="7"/>
      <c r="J268" s="7"/>
      <c r="K268" s="7"/>
      <c r="L268" s="7"/>
    </row>
    <row r="269" spans="1:12" s="1" customFormat="1">
      <c r="A269" s="7"/>
      <c r="B269" s="7"/>
      <c r="C269" s="7"/>
      <c r="D269" s="7"/>
      <c r="E269" s="7"/>
      <c r="F269" s="7"/>
      <c r="G269" s="7"/>
      <c r="H269" s="7"/>
      <c r="I269" s="7"/>
      <c r="J269" s="7"/>
      <c r="K269" s="7"/>
      <c r="L269" s="7"/>
    </row>
    <row r="270" spans="1:12" s="1" customFormat="1">
      <c r="A270" s="7"/>
      <c r="B270" s="7"/>
      <c r="C270" s="7"/>
      <c r="D270" s="7"/>
      <c r="E270" s="7"/>
      <c r="F270" s="7"/>
      <c r="G270" s="7"/>
      <c r="H270" s="7"/>
      <c r="I270" s="7"/>
      <c r="J270" s="7"/>
      <c r="K270" s="7"/>
      <c r="L270" s="7"/>
    </row>
    <row r="271" spans="1:12" s="1" customFormat="1">
      <c r="A271" s="7"/>
      <c r="B271" s="7"/>
      <c r="C271" s="7"/>
      <c r="D271" s="7"/>
      <c r="E271" s="7"/>
      <c r="F271" s="7"/>
      <c r="G271" s="7"/>
      <c r="H271" s="7"/>
      <c r="I271" s="7"/>
      <c r="J271" s="7"/>
      <c r="K271" s="7"/>
      <c r="L271" s="7"/>
    </row>
    <row r="272" spans="1:12" s="1" customFormat="1">
      <c r="A272" s="7"/>
      <c r="B272" s="7"/>
      <c r="C272" s="7"/>
      <c r="D272" s="7"/>
      <c r="E272" s="7"/>
      <c r="F272" s="7"/>
      <c r="G272" s="7"/>
      <c r="H272" s="7"/>
      <c r="I272" s="7"/>
      <c r="J272" s="7"/>
      <c r="K272" s="7"/>
      <c r="L272" s="7"/>
    </row>
    <row r="273" spans="1:12" s="1" customFormat="1">
      <c r="A273" s="7"/>
      <c r="B273" s="7"/>
      <c r="C273" s="7"/>
      <c r="D273" s="7"/>
      <c r="E273" s="7"/>
      <c r="F273" s="7"/>
      <c r="G273" s="7"/>
      <c r="H273" s="7"/>
      <c r="I273" s="7"/>
      <c r="J273" s="7"/>
      <c r="K273" s="7"/>
      <c r="L273" s="7"/>
    </row>
    <row r="274" spans="1:12" s="1" customFormat="1">
      <c r="A274" s="7"/>
      <c r="B274" s="7"/>
      <c r="C274" s="7"/>
      <c r="D274" s="7"/>
      <c r="E274" s="7"/>
      <c r="F274" s="7"/>
      <c r="G274" s="7"/>
      <c r="H274" s="7"/>
      <c r="I274" s="7"/>
      <c r="J274" s="7"/>
      <c r="K274" s="7"/>
      <c r="L274" s="7"/>
    </row>
    <row r="275" spans="1:12" s="1" customFormat="1">
      <c r="A275" s="7"/>
      <c r="B275" s="7"/>
      <c r="C275" s="7"/>
      <c r="D275" s="7"/>
      <c r="E275" s="7"/>
      <c r="F275" s="7"/>
      <c r="G275" s="7"/>
      <c r="H275" s="7"/>
      <c r="I275" s="7"/>
      <c r="J275" s="7"/>
      <c r="K275" s="7"/>
      <c r="L275" s="7"/>
    </row>
    <row r="276" spans="1:12" s="1" customFormat="1">
      <c r="A276" s="7"/>
      <c r="B276" s="7"/>
      <c r="C276" s="7"/>
      <c r="D276" s="7"/>
      <c r="E276" s="7"/>
      <c r="F276" s="7"/>
      <c r="G276" s="7"/>
      <c r="H276" s="7"/>
      <c r="I276" s="7"/>
      <c r="J276" s="7"/>
      <c r="K276" s="7"/>
      <c r="L276" s="7"/>
    </row>
    <row r="277" spans="1:12" s="1" customFormat="1">
      <c r="A277" s="7"/>
      <c r="B277" s="7"/>
      <c r="C277" s="7"/>
      <c r="D277" s="7"/>
      <c r="E277" s="7"/>
      <c r="F277" s="7"/>
      <c r="G277" s="7"/>
      <c r="H277" s="7"/>
      <c r="I277" s="7"/>
      <c r="J277" s="7"/>
      <c r="K277" s="7"/>
      <c r="L277" s="7"/>
    </row>
    <row r="278" spans="1:12" s="1" customFormat="1">
      <c r="A278" s="7"/>
      <c r="B278" s="7"/>
      <c r="C278" s="7"/>
      <c r="D278" s="7"/>
      <c r="E278" s="7"/>
      <c r="F278" s="7"/>
      <c r="G278" s="7"/>
      <c r="H278" s="7"/>
      <c r="I278" s="7"/>
      <c r="J278" s="7"/>
      <c r="K278" s="7"/>
      <c r="L278" s="7"/>
    </row>
    <row r="279" spans="1:12" s="1" customFormat="1">
      <c r="A279" s="7"/>
      <c r="B279" s="7"/>
      <c r="C279" s="7"/>
      <c r="D279" s="7"/>
      <c r="E279" s="7"/>
      <c r="F279" s="7"/>
      <c r="G279" s="7"/>
      <c r="H279" s="7"/>
      <c r="I279" s="7"/>
      <c r="J279" s="7"/>
      <c r="K279" s="7"/>
      <c r="L279" s="7"/>
    </row>
    <row r="280" spans="1:12" s="1" customFormat="1">
      <c r="A280" s="7"/>
      <c r="B280" s="7"/>
      <c r="C280" s="7"/>
      <c r="D280" s="7"/>
      <c r="E280" s="7"/>
      <c r="F280" s="7"/>
      <c r="G280" s="7"/>
      <c r="H280" s="7"/>
      <c r="I280" s="7"/>
      <c r="J280" s="7"/>
      <c r="K280" s="7"/>
      <c r="L280" s="7"/>
    </row>
    <row r="281" spans="1:12" s="1" customFormat="1">
      <c r="A281" s="7"/>
      <c r="B281" s="7"/>
      <c r="C281" s="7"/>
      <c r="D281" s="7"/>
      <c r="E281" s="7"/>
      <c r="F281" s="7"/>
      <c r="G281" s="7"/>
      <c r="H281" s="7"/>
      <c r="I281" s="7"/>
      <c r="J281" s="7"/>
      <c r="K281" s="7"/>
      <c r="L281" s="7"/>
    </row>
    <row r="282" spans="1:12" s="1" customFormat="1">
      <c r="A282" s="7"/>
      <c r="B282" s="7"/>
      <c r="C282" s="7"/>
      <c r="D282" s="7"/>
      <c r="E282" s="7"/>
      <c r="F282" s="7"/>
      <c r="G282" s="7"/>
      <c r="H282" s="7"/>
      <c r="I282" s="7"/>
      <c r="J282" s="7"/>
      <c r="K282" s="7"/>
      <c r="L282" s="7"/>
    </row>
    <row r="283" spans="1:12" s="1" customFormat="1">
      <c r="A283" s="7"/>
      <c r="B283" s="7"/>
      <c r="C283" s="7"/>
      <c r="D283" s="7"/>
      <c r="E283" s="7"/>
      <c r="F283" s="7"/>
      <c r="G283" s="7"/>
      <c r="H283" s="7"/>
      <c r="I283" s="7"/>
      <c r="J283" s="7"/>
      <c r="K283" s="7"/>
      <c r="L283" s="7"/>
    </row>
    <row r="284" spans="1:12" s="1" customFormat="1">
      <c r="A284" s="7"/>
      <c r="B284" s="7"/>
      <c r="C284" s="7"/>
      <c r="D284" s="7"/>
      <c r="E284" s="7"/>
      <c r="F284" s="7"/>
      <c r="G284" s="7"/>
      <c r="H284" s="7"/>
      <c r="I284" s="7"/>
      <c r="J284" s="7"/>
      <c r="K284" s="7"/>
      <c r="L284" s="7"/>
    </row>
    <row r="285" spans="1:12" s="1" customFormat="1">
      <c r="A285" s="7"/>
      <c r="B285" s="7"/>
      <c r="C285" s="7"/>
      <c r="D285" s="7"/>
      <c r="E285" s="7"/>
      <c r="F285" s="7"/>
      <c r="G285" s="7"/>
      <c r="H285" s="7"/>
      <c r="I285" s="7"/>
      <c r="J285" s="7"/>
      <c r="K285" s="7"/>
      <c r="L285" s="7"/>
    </row>
    <row r="286" spans="1:12" s="1" customFormat="1">
      <c r="A286" s="7"/>
      <c r="B286" s="7"/>
      <c r="C286" s="7"/>
      <c r="D286" s="7"/>
      <c r="E286" s="7"/>
      <c r="F286" s="7"/>
      <c r="G286" s="7"/>
      <c r="H286" s="7"/>
      <c r="I286" s="7"/>
      <c r="J286" s="7"/>
      <c r="K286" s="7"/>
      <c r="L286" s="7"/>
    </row>
    <row r="287" spans="1:12" s="1" customFormat="1">
      <c r="A287" s="7"/>
      <c r="B287" s="7"/>
      <c r="C287" s="7"/>
      <c r="D287" s="7"/>
      <c r="E287" s="7"/>
      <c r="F287" s="7"/>
      <c r="G287" s="7"/>
      <c r="H287" s="7"/>
      <c r="I287" s="7"/>
      <c r="J287" s="7"/>
      <c r="K287" s="7"/>
      <c r="L287" s="7"/>
    </row>
    <row r="288" spans="1:12" s="1" customFormat="1">
      <c r="A288" s="7"/>
      <c r="B288" s="7"/>
      <c r="C288" s="7"/>
      <c r="D288" s="7"/>
      <c r="E288" s="7"/>
      <c r="F288" s="7"/>
      <c r="G288" s="7"/>
      <c r="H288" s="7"/>
      <c r="I288" s="7"/>
      <c r="J288" s="7"/>
      <c r="K288" s="7"/>
      <c r="L288" s="7"/>
    </row>
    <row r="289" spans="1:12" s="1" customFormat="1">
      <c r="A289" s="7"/>
      <c r="B289" s="7"/>
      <c r="C289" s="7"/>
      <c r="D289" s="7"/>
      <c r="E289" s="7"/>
      <c r="F289" s="7"/>
      <c r="G289" s="7"/>
      <c r="H289" s="7"/>
      <c r="I289" s="7"/>
      <c r="J289" s="7"/>
      <c r="K289" s="7"/>
      <c r="L289" s="7"/>
    </row>
    <row r="290" spans="1:12" s="1" customFormat="1">
      <c r="A290" s="7"/>
      <c r="B290" s="7"/>
      <c r="C290" s="7"/>
      <c r="D290" s="7"/>
      <c r="E290" s="7"/>
      <c r="F290" s="7"/>
      <c r="G290" s="7"/>
      <c r="H290" s="7"/>
      <c r="I290" s="7"/>
      <c r="J290" s="7"/>
      <c r="K290" s="7"/>
      <c r="L290" s="7"/>
    </row>
    <row r="291" spans="1:12" s="1" customFormat="1">
      <c r="A291" s="7"/>
      <c r="B291" s="7"/>
      <c r="C291" s="7"/>
      <c r="D291" s="7"/>
      <c r="E291" s="7"/>
      <c r="F291" s="7"/>
      <c r="G291" s="7"/>
      <c r="H291" s="7"/>
      <c r="I291" s="7"/>
      <c r="J291" s="7"/>
      <c r="K291" s="7"/>
      <c r="L291" s="7"/>
    </row>
    <row r="292" spans="1:12" s="1" customFormat="1">
      <c r="A292" s="7"/>
      <c r="B292" s="7"/>
      <c r="C292" s="7"/>
      <c r="D292" s="7"/>
      <c r="E292" s="7"/>
      <c r="F292" s="7"/>
      <c r="G292" s="7"/>
      <c r="H292" s="7"/>
      <c r="I292" s="7"/>
      <c r="J292" s="7"/>
      <c r="K292" s="7"/>
      <c r="L292" s="7"/>
    </row>
    <row r="293" spans="1:12" s="1" customFormat="1">
      <c r="A293" s="7"/>
      <c r="B293" s="7"/>
      <c r="C293" s="7"/>
      <c r="D293" s="7"/>
      <c r="E293" s="7"/>
      <c r="F293" s="7"/>
      <c r="G293" s="7"/>
      <c r="H293" s="7"/>
      <c r="I293" s="7"/>
      <c r="J293" s="7"/>
      <c r="K293" s="7"/>
      <c r="L293" s="7"/>
    </row>
    <row r="294" spans="1:12" s="1" customFormat="1">
      <c r="A294" s="7"/>
      <c r="B294" s="7"/>
      <c r="C294" s="7"/>
      <c r="D294" s="7"/>
      <c r="E294" s="7"/>
      <c r="F294" s="7"/>
      <c r="G294" s="7"/>
      <c r="H294" s="7"/>
      <c r="I294" s="7"/>
      <c r="J294" s="7"/>
      <c r="K294" s="7"/>
      <c r="L294" s="7"/>
    </row>
    <row r="295" spans="1:12" s="1" customFormat="1">
      <c r="A295" s="7"/>
      <c r="B295" s="7"/>
      <c r="C295" s="7"/>
      <c r="D295" s="7"/>
      <c r="E295" s="7"/>
      <c r="F295" s="7"/>
      <c r="G295" s="7"/>
      <c r="H295" s="7"/>
      <c r="I295" s="7"/>
      <c r="J295" s="7"/>
      <c r="K295" s="7"/>
      <c r="L295" s="7"/>
    </row>
    <row r="296" spans="1:12" s="1" customFormat="1">
      <c r="A296" s="7"/>
      <c r="B296" s="7"/>
      <c r="C296" s="7"/>
      <c r="D296" s="7"/>
      <c r="E296" s="7"/>
      <c r="F296" s="7"/>
      <c r="G296" s="7"/>
      <c r="H296" s="7"/>
      <c r="I296" s="7"/>
      <c r="J296" s="7"/>
      <c r="K296" s="7"/>
      <c r="L296" s="7"/>
    </row>
    <row r="297" spans="1:12" s="1" customFormat="1">
      <c r="A297" s="7"/>
      <c r="B297" s="7"/>
      <c r="C297" s="7"/>
      <c r="D297" s="7"/>
      <c r="E297" s="7"/>
      <c r="F297" s="7"/>
      <c r="G297" s="7"/>
      <c r="H297" s="7"/>
      <c r="I297" s="7"/>
      <c r="J297" s="7"/>
      <c r="K297" s="7"/>
      <c r="L297" s="7"/>
    </row>
    <row r="298" spans="1:12" s="1" customFormat="1">
      <c r="A298" s="7"/>
      <c r="B298" s="7"/>
      <c r="C298" s="7"/>
      <c r="D298" s="7"/>
      <c r="E298" s="7"/>
      <c r="F298" s="7"/>
      <c r="G298" s="7"/>
      <c r="H298" s="7"/>
      <c r="I298" s="7"/>
      <c r="J298" s="7"/>
      <c r="K298" s="7"/>
      <c r="L298" s="7"/>
    </row>
    <row r="299" spans="1:12" s="1" customFormat="1">
      <c r="A299" s="7"/>
      <c r="B299" s="7"/>
      <c r="C299" s="7"/>
      <c r="D299" s="7"/>
      <c r="E299" s="7"/>
      <c r="F299" s="7"/>
      <c r="G299" s="7"/>
      <c r="H299" s="7"/>
      <c r="I299" s="7"/>
      <c r="J299" s="7"/>
      <c r="K299" s="7"/>
      <c r="L299" s="7"/>
    </row>
    <row r="300" spans="1:12" s="1" customFormat="1">
      <c r="A300" s="7"/>
      <c r="B300" s="7"/>
      <c r="C300" s="7"/>
      <c r="D300" s="7"/>
      <c r="E300" s="7"/>
      <c r="F300" s="7"/>
      <c r="G300" s="7"/>
      <c r="H300" s="7"/>
      <c r="I300" s="7"/>
      <c r="J300" s="7"/>
      <c r="K300" s="7"/>
      <c r="L300" s="7"/>
    </row>
    <row r="301" spans="1:12" s="1" customFormat="1">
      <c r="A301" s="7"/>
      <c r="B301" s="7"/>
      <c r="C301" s="7"/>
      <c r="D301" s="7"/>
      <c r="E301" s="7"/>
      <c r="F301" s="7"/>
      <c r="G301" s="7"/>
      <c r="H301" s="7"/>
      <c r="I301" s="7"/>
      <c r="J301" s="7"/>
      <c r="K301" s="7"/>
      <c r="L301" s="7"/>
    </row>
    <row r="302" spans="1:12" s="1" customFormat="1">
      <c r="A302" s="7"/>
      <c r="B302" s="7"/>
      <c r="C302" s="7"/>
      <c r="D302" s="7"/>
      <c r="E302" s="7"/>
      <c r="F302" s="7"/>
      <c r="G302" s="7"/>
      <c r="H302" s="7"/>
      <c r="I302" s="7"/>
      <c r="J302" s="7"/>
      <c r="K302" s="7"/>
      <c r="L302" s="7"/>
    </row>
    <row r="303" spans="1:12" s="1" customFormat="1">
      <c r="A303" s="7"/>
      <c r="B303" s="7"/>
      <c r="C303" s="7"/>
      <c r="D303" s="7"/>
      <c r="E303" s="7"/>
      <c r="F303" s="7"/>
      <c r="G303" s="7"/>
      <c r="H303" s="7"/>
      <c r="I303" s="7"/>
      <c r="J303" s="7"/>
      <c r="K303" s="7"/>
      <c r="L303" s="7"/>
    </row>
    <row r="304" spans="1:12" s="1" customFormat="1">
      <c r="A304" s="7"/>
      <c r="B304" s="7"/>
      <c r="C304" s="7"/>
      <c r="D304" s="7"/>
      <c r="E304" s="7"/>
      <c r="F304" s="7"/>
      <c r="G304" s="7"/>
      <c r="H304" s="7"/>
      <c r="I304" s="7"/>
      <c r="J304" s="7"/>
      <c r="K304" s="7"/>
      <c r="L304" s="7"/>
    </row>
    <row r="305" spans="1:12" s="1" customFormat="1">
      <c r="A305" s="7"/>
      <c r="B305" s="7"/>
      <c r="C305" s="7"/>
      <c r="D305" s="7"/>
      <c r="E305" s="7"/>
      <c r="F305" s="7"/>
      <c r="G305" s="7"/>
      <c r="H305" s="7"/>
      <c r="I305" s="7"/>
      <c r="J305" s="7"/>
      <c r="K305" s="7"/>
      <c r="L305" s="7"/>
    </row>
    <row r="306" spans="1:12" s="1" customFormat="1">
      <c r="A306" s="7"/>
      <c r="B306" s="7"/>
      <c r="C306" s="7"/>
      <c r="D306" s="7"/>
      <c r="E306" s="7"/>
      <c r="F306" s="7"/>
      <c r="G306" s="7"/>
      <c r="H306" s="7"/>
      <c r="I306" s="7"/>
      <c r="J306" s="7"/>
      <c r="K306" s="7"/>
      <c r="L306" s="7"/>
    </row>
    <row r="307" spans="1:12" s="1" customFormat="1">
      <c r="A307" s="7"/>
      <c r="B307" s="7"/>
      <c r="C307" s="7"/>
      <c r="D307" s="7"/>
      <c r="E307" s="7"/>
      <c r="F307" s="7"/>
      <c r="G307" s="7"/>
      <c r="H307" s="7"/>
      <c r="I307" s="7"/>
      <c r="J307" s="7"/>
      <c r="K307" s="7"/>
      <c r="L307" s="7"/>
    </row>
    <row r="308" spans="1:12" s="1" customFormat="1">
      <c r="A308" s="7"/>
      <c r="B308" s="7"/>
      <c r="C308" s="7"/>
      <c r="D308" s="7"/>
      <c r="E308" s="7"/>
      <c r="F308" s="7"/>
      <c r="G308" s="7"/>
      <c r="H308" s="7"/>
      <c r="I308" s="7"/>
      <c r="J308" s="7"/>
      <c r="K308" s="7"/>
      <c r="L308" s="7"/>
    </row>
    <row r="309" spans="1:12" s="1" customFormat="1">
      <c r="A309" s="7"/>
      <c r="B309" s="7"/>
      <c r="C309" s="7"/>
      <c r="D309" s="7"/>
      <c r="E309" s="7"/>
      <c r="F309" s="7"/>
      <c r="G309" s="7"/>
      <c r="H309" s="7"/>
      <c r="I309" s="7"/>
      <c r="J309" s="7"/>
      <c r="K309" s="7"/>
      <c r="L309" s="7"/>
    </row>
    <row r="310" spans="1:12" s="1" customFormat="1">
      <c r="A310" s="7"/>
      <c r="B310" s="7"/>
      <c r="C310" s="7"/>
      <c r="D310" s="7"/>
      <c r="E310" s="7"/>
      <c r="F310" s="7"/>
      <c r="G310" s="7"/>
      <c r="H310" s="7"/>
      <c r="I310" s="7"/>
      <c r="J310" s="7"/>
      <c r="K310" s="7"/>
      <c r="L310" s="7"/>
    </row>
    <row r="311" spans="1:12" s="1" customFormat="1">
      <c r="A311" s="7"/>
      <c r="B311" s="7"/>
      <c r="C311" s="7"/>
      <c r="D311" s="7"/>
      <c r="E311" s="7"/>
      <c r="F311" s="7"/>
      <c r="G311" s="7"/>
      <c r="H311" s="7"/>
      <c r="I311" s="7"/>
      <c r="J311" s="7"/>
      <c r="K311" s="7"/>
      <c r="L311" s="7"/>
    </row>
    <row r="312" spans="1:12" s="1" customFormat="1">
      <c r="A312" s="7"/>
      <c r="B312" s="7"/>
      <c r="C312" s="7"/>
      <c r="D312" s="7"/>
      <c r="E312" s="7"/>
      <c r="F312" s="7"/>
      <c r="G312" s="7"/>
      <c r="H312" s="7"/>
      <c r="I312" s="7"/>
      <c r="J312" s="7"/>
      <c r="K312" s="7"/>
      <c r="L312" s="7"/>
    </row>
    <row r="313" spans="1:12" s="1" customFormat="1">
      <c r="A313" s="7"/>
      <c r="B313" s="7"/>
      <c r="C313" s="7"/>
      <c r="D313" s="7"/>
      <c r="E313" s="7"/>
      <c r="F313" s="7"/>
      <c r="G313" s="7"/>
      <c r="H313" s="7"/>
      <c r="I313" s="7"/>
      <c r="J313" s="7"/>
      <c r="K313" s="7"/>
      <c r="L313" s="7"/>
    </row>
    <row r="314" spans="1:12" s="1" customFormat="1">
      <c r="A314" s="7"/>
      <c r="B314" s="7"/>
      <c r="C314" s="7"/>
      <c r="D314" s="7"/>
      <c r="E314" s="7"/>
      <c r="F314" s="7"/>
      <c r="G314" s="7"/>
      <c r="H314" s="7"/>
      <c r="I314" s="7"/>
      <c r="J314" s="7"/>
      <c r="K314" s="7"/>
      <c r="L314" s="7"/>
    </row>
    <row r="315" spans="1:12" s="1" customFormat="1">
      <c r="A315" s="7"/>
      <c r="B315" s="7"/>
      <c r="C315" s="7"/>
      <c r="D315" s="7"/>
      <c r="E315" s="7"/>
      <c r="F315" s="7"/>
      <c r="G315" s="7"/>
      <c r="H315" s="7"/>
      <c r="I315" s="7"/>
      <c r="J315" s="7"/>
      <c r="K315" s="7"/>
      <c r="L315" s="7"/>
    </row>
    <row r="316" spans="1:12" s="1" customFormat="1">
      <c r="A316" s="7"/>
      <c r="B316" s="7"/>
      <c r="C316" s="7"/>
      <c r="D316" s="7"/>
      <c r="E316" s="7"/>
      <c r="F316" s="7"/>
      <c r="G316" s="7"/>
      <c r="H316" s="7"/>
      <c r="I316" s="7"/>
      <c r="J316" s="7"/>
      <c r="K316" s="7"/>
      <c r="L316" s="7"/>
    </row>
    <row r="317" spans="1:12" s="1" customFormat="1">
      <c r="A317" s="7"/>
      <c r="B317" s="7"/>
      <c r="C317" s="7"/>
      <c r="D317" s="7"/>
      <c r="E317" s="7"/>
      <c r="F317" s="7"/>
      <c r="G317" s="7"/>
      <c r="H317" s="7"/>
      <c r="I317" s="7"/>
      <c r="J317" s="7"/>
      <c r="K317" s="7"/>
      <c r="L317" s="7"/>
    </row>
    <row r="318" spans="1:12" s="1" customFormat="1">
      <c r="A318" s="7"/>
      <c r="B318" s="7"/>
      <c r="C318" s="7"/>
      <c r="D318" s="7"/>
      <c r="E318" s="7"/>
      <c r="F318" s="7"/>
      <c r="G318" s="7"/>
      <c r="H318" s="7"/>
      <c r="I318" s="7"/>
      <c r="J318" s="7"/>
      <c r="K318" s="7"/>
      <c r="L318" s="7"/>
    </row>
    <row r="319" spans="1:12" s="1" customFormat="1">
      <c r="A319" s="7"/>
      <c r="B319" s="7"/>
      <c r="C319" s="7"/>
      <c r="D319" s="7"/>
      <c r="E319" s="7"/>
      <c r="F319" s="7"/>
      <c r="G319" s="7"/>
      <c r="H319" s="7"/>
      <c r="I319" s="7"/>
      <c r="J319" s="7"/>
      <c r="K319" s="7"/>
      <c r="L319" s="7"/>
    </row>
    <row r="320" spans="1:12" s="1" customFormat="1">
      <c r="A320" s="7"/>
      <c r="B320" s="7"/>
      <c r="C320" s="7"/>
      <c r="D320" s="7"/>
      <c r="E320" s="7"/>
      <c r="F320" s="7"/>
      <c r="G320" s="7"/>
      <c r="H320" s="7"/>
      <c r="I320" s="7"/>
      <c r="J320" s="7"/>
      <c r="K320" s="7"/>
      <c r="L320" s="7"/>
    </row>
    <row r="321" spans="1:12" s="1" customFormat="1">
      <c r="A321" s="7"/>
      <c r="B321" s="7"/>
      <c r="C321" s="7"/>
      <c r="D321" s="7"/>
      <c r="E321" s="7"/>
      <c r="F321" s="7"/>
      <c r="G321" s="7"/>
      <c r="H321" s="7"/>
      <c r="I321" s="7"/>
      <c r="J321" s="7"/>
      <c r="K321" s="7"/>
      <c r="L321" s="7"/>
    </row>
    <row r="322" spans="1:12" s="1" customFormat="1">
      <c r="A322" s="7"/>
      <c r="B322" s="7"/>
      <c r="C322" s="7"/>
      <c r="D322" s="7"/>
      <c r="E322" s="7"/>
      <c r="F322" s="7"/>
      <c r="G322" s="7"/>
      <c r="H322" s="7"/>
      <c r="I322" s="7"/>
      <c r="J322" s="7"/>
      <c r="K322" s="7"/>
      <c r="L322" s="7"/>
    </row>
    <row r="323" spans="1:12" s="1" customFormat="1">
      <c r="A323" s="7"/>
      <c r="B323" s="7"/>
      <c r="C323" s="7"/>
      <c r="D323" s="7"/>
      <c r="E323" s="7"/>
      <c r="F323" s="7"/>
      <c r="G323" s="7"/>
      <c r="H323" s="7"/>
      <c r="I323" s="7"/>
      <c r="J323" s="7"/>
      <c r="K323" s="7"/>
      <c r="L323" s="7"/>
    </row>
    <row r="324" spans="1:12" s="1" customFormat="1">
      <c r="A324" s="7"/>
      <c r="B324" s="7"/>
      <c r="C324" s="7"/>
      <c r="D324" s="7"/>
      <c r="E324" s="7"/>
      <c r="F324" s="7"/>
      <c r="G324" s="7"/>
      <c r="H324" s="7"/>
      <c r="I324" s="7"/>
      <c r="J324" s="7"/>
      <c r="K324" s="7"/>
      <c r="L324" s="7"/>
    </row>
    <row r="325" spans="1:12" s="1" customFormat="1">
      <c r="A325" s="7"/>
      <c r="B325" s="7"/>
      <c r="C325" s="7"/>
      <c r="D325" s="7"/>
      <c r="E325" s="7"/>
      <c r="F325" s="7"/>
      <c r="G325" s="7"/>
      <c r="H325" s="7"/>
      <c r="I325" s="7"/>
      <c r="J325" s="7"/>
      <c r="K325" s="7"/>
      <c r="L325" s="7"/>
    </row>
    <row r="326" spans="1:12" s="1" customFormat="1">
      <c r="A326" s="7"/>
      <c r="B326" s="7"/>
      <c r="C326" s="7"/>
      <c r="D326" s="7"/>
      <c r="E326" s="7"/>
      <c r="F326" s="7"/>
      <c r="G326" s="7"/>
      <c r="H326" s="7"/>
      <c r="I326" s="7"/>
      <c r="J326" s="7"/>
      <c r="K326" s="7"/>
      <c r="L326" s="7"/>
    </row>
    <row r="327" spans="1:12" s="1" customFormat="1">
      <c r="A327" s="7"/>
      <c r="B327" s="7"/>
      <c r="C327" s="7"/>
      <c r="D327" s="7"/>
      <c r="E327" s="7"/>
      <c r="F327" s="7"/>
      <c r="G327" s="7"/>
      <c r="H327" s="7"/>
      <c r="I327" s="7"/>
      <c r="J327" s="7"/>
      <c r="K327" s="7"/>
      <c r="L327" s="7"/>
    </row>
    <row r="328" spans="1:12" s="1" customFormat="1">
      <c r="A328" s="7"/>
      <c r="B328" s="7"/>
      <c r="C328" s="7"/>
      <c r="D328" s="7"/>
      <c r="E328" s="7"/>
      <c r="F328" s="7"/>
      <c r="G328" s="7"/>
      <c r="H328" s="7"/>
      <c r="I328" s="7"/>
      <c r="J328" s="7"/>
      <c r="K328" s="7"/>
      <c r="L328" s="7"/>
    </row>
    <row r="329" spans="1:12" s="1" customFormat="1">
      <c r="A329" s="7"/>
      <c r="B329" s="7"/>
      <c r="C329" s="7"/>
      <c r="D329" s="7"/>
      <c r="E329" s="7"/>
      <c r="F329" s="7"/>
      <c r="G329" s="7"/>
      <c r="H329" s="7"/>
      <c r="I329" s="7"/>
      <c r="J329" s="7"/>
      <c r="K329" s="7"/>
      <c r="L329" s="7"/>
    </row>
    <row r="330" spans="1:12" s="1" customFormat="1">
      <c r="A330" s="7"/>
      <c r="B330" s="7"/>
      <c r="C330" s="7"/>
      <c r="D330" s="7"/>
      <c r="E330" s="7"/>
      <c r="F330" s="7"/>
      <c r="G330" s="7"/>
      <c r="H330" s="7"/>
      <c r="I330" s="7"/>
      <c r="J330" s="7"/>
      <c r="K330" s="7"/>
      <c r="L330" s="7"/>
    </row>
    <row r="331" spans="1:12" s="1" customFormat="1">
      <c r="A331" s="7"/>
      <c r="B331" s="7"/>
      <c r="C331" s="7"/>
      <c r="D331" s="7"/>
      <c r="E331" s="7"/>
      <c r="F331" s="7"/>
      <c r="G331" s="7"/>
      <c r="H331" s="7"/>
      <c r="I331" s="7"/>
      <c r="J331" s="7"/>
      <c r="K331" s="7"/>
      <c r="L331" s="7"/>
    </row>
    <row r="332" spans="1:12" s="1" customFormat="1">
      <c r="A332" s="7"/>
      <c r="B332" s="7"/>
      <c r="C332" s="7"/>
      <c r="D332" s="7"/>
      <c r="E332" s="7"/>
      <c r="F332" s="7"/>
      <c r="G332" s="7"/>
      <c r="H332" s="7"/>
      <c r="I332" s="7"/>
      <c r="J332" s="7"/>
      <c r="K332" s="7"/>
      <c r="L332" s="7"/>
    </row>
    <row r="333" spans="1:12" s="1" customFormat="1">
      <c r="A333" s="7"/>
      <c r="B333" s="7"/>
      <c r="C333" s="7"/>
      <c r="D333" s="7"/>
      <c r="E333" s="7"/>
      <c r="F333" s="7"/>
      <c r="G333" s="7"/>
      <c r="H333" s="7"/>
      <c r="I333" s="7"/>
      <c r="J333" s="7"/>
      <c r="K333" s="7"/>
      <c r="L333" s="7"/>
    </row>
    <row r="334" spans="1:12" s="1" customFormat="1">
      <c r="A334" s="7"/>
      <c r="B334" s="7"/>
      <c r="C334" s="7"/>
      <c r="D334" s="7"/>
      <c r="E334" s="7"/>
      <c r="F334" s="7"/>
      <c r="G334" s="7"/>
      <c r="H334" s="7"/>
      <c r="I334" s="7"/>
      <c r="J334" s="7"/>
      <c r="K334" s="7"/>
      <c r="L334" s="7"/>
    </row>
    <row r="335" spans="1:12" s="1" customFormat="1">
      <c r="A335" s="7"/>
      <c r="B335" s="7"/>
      <c r="C335" s="7"/>
      <c r="D335" s="7"/>
      <c r="E335" s="7"/>
      <c r="F335" s="7"/>
      <c r="G335" s="7"/>
      <c r="H335" s="7"/>
      <c r="I335" s="7"/>
      <c r="J335" s="7"/>
      <c r="K335" s="7"/>
      <c r="L335" s="7"/>
    </row>
    <row r="336" spans="1:12" s="1" customFormat="1">
      <c r="A336" s="7"/>
      <c r="B336" s="7"/>
      <c r="C336" s="7"/>
      <c r="D336" s="7"/>
      <c r="E336" s="7"/>
      <c r="F336" s="7"/>
      <c r="G336" s="7"/>
      <c r="H336" s="7"/>
      <c r="I336" s="7"/>
      <c r="J336" s="7"/>
      <c r="K336" s="7"/>
      <c r="L336" s="7"/>
    </row>
    <row r="337" spans="1:12" s="1" customFormat="1">
      <c r="A337" s="7"/>
      <c r="B337" s="7"/>
      <c r="C337" s="7"/>
      <c r="D337" s="7"/>
      <c r="E337" s="7"/>
      <c r="F337" s="7"/>
      <c r="G337" s="7"/>
      <c r="H337" s="7"/>
      <c r="I337" s="7"/>
      <c r="J337" s="7"/>
      <c r="K337" s="7"/>
      <c r="L337" s="7"/>
    </row>
    <row r="338" spans="1:12" s="1" customFormat="1">
      <c r="A338" s="7"/>
      <c r="B338" s="7"/>
      <c r="C338" s="7"/>
      <c r="D338" s="7"/>
      <c r="E338" s="7"/>
      <c r="F338" s="7"/>
      <c r="G338" s="7"/>
      <c r="H338" s="7"/>
      <c r="I338" s="7"/>
      <c r="J338" s="7"/>
      <c r="K338" s="7"/>
      <c r="L338" s="7"/>
    </row>
    <row r="339" spans="1:12" s="1" customFormat="1">
      <c r="A339" s="7"/>
      <c r="B339" s="7"/>
      <c r="C339" s="7"/>
      <c r="D339" s="7"/>
      <c r="E339" s="7"/>
      <c r="F339" s="7"/>
      <c r="G339" s="7"/>
      <c r="H339" s="7"/>
      <c r="I339" s="7"/>
      <c r="J339" s="7"/>
      <c r="K339" s="7"/>
      <c r="L339" s="7"/>
    </row>
    <row r="340" spans="1:12" s="1" customFormat="1">
      <c r="A340" s="7"/>
      <c r="B340" s="7"/>
      <c r="C340" s="7"/>
      <c r="D340" s="7"/>
      <c r="E340" s="7"/>
      <c r="F340" s="7"/>
      <c r="G340" s="7"/>
      <c r="H340" s="7"/>
      <c r="I340" s="7"/>
      <c r="J340" s="7"/>
      <c r="K340" s="7"/>
      <c r="L340" s="7"/>
    </row>
    <row r="341" spans="1:12" s="1" customFormat="1">
      <c r="A341" s="7"/>
      <c r="B341" s="7"/>
      <c r="C341" s="7"/>
      <c r="D341" s="7"/>
      <c r="E341" s="7"/>
      <c r="F341" s="7"/>
      <c r="G341" s="7"/>
      <c r="H341" s="7"/>
      <c r="I341" s="7"/>
      <c r="J341" s="7"/>
      <c r="K341" s="7"/>
      <c r="L341" s="7"/>
    </row>
    <row r="342" spans="1:12" s="1" customFormat="1">
      <c r="A342" s="7"/>
      <c r="B342" s="7"/>
      <c r="C342" s="7"/>
      <c r="D342" s="7"/>
      <c r="E342" s="7"/>
      <c r="F342" s="7"/>
      <c r="G342" s="7"/>
      <c r="H342" s="7"/>
      <c r="I342" s="7"/>
      <c r="J342" s="7"/>
      <c r="K342" s="7"/>
      <c r="L342" s="7"/>
    </row>
  </sheetData>
  <sheetProtection algorithmName="SHA-512" hashValue="GUaElwKcRwOk3IVULfE1XRO0Jbnl9B4uTkv2AQycCl/OoAxEIQpdoZpcySBXnOL3q2TqlSSFpsu2J0d0H8cBlw==" saltValue="B4eYHx4ebXtXjGAFfJo65g==" spinCount="100000" sheet="1" objects="1" scenarios="1"/>
  <mergeCells count="394">
    <mergeCell ref="H77:H79"/>
    <mergeCell ref="H129:H132"/>
    <mergeCell ref="G51:G55"/>
    <mergeCell ref="H51:H55"/>
    <mergeCell ref="J104:J106"/>
    <mergeCell ref="J99:J102"/>
    <mergeCell ref="G109:G112"/>
    <mergeCell ref="H109:H112"/>
    <mergeCell ref="E113:E114"/>
    <mergeCell ref="F113:F114"/>
    <mergeCell ref="G119:G128"/>
    <mergeCell ref="H119:H128"/>
    <mergeCell ref="I119:I128"/>
    <mergeCell ref="E109:E112"/>
    <mergeCell ref="F109:F112"/>
    <mergeCell ref="E99:E108"/>
    <mergeCell ref="F99:F108"/>
    <mergeCell ref="G113:G114"/>
    <mergeCell ref="H113:H114"/>
    <mergeCell ref="H115:H118"/>
    <mergeCell ref="J80:J83"/>
    <mergeCell ref="A2:D3"/>
    <mergeCell ref="I187:I189"/>
    <mergeCell ref="I99:I108"/>
    <mergeCell ref="E80:E83"/>
    <mergeCell ref="F80:F83"/>
    <mergeCell ref="G80:G83"/>
    <mergeCell ref="H80:H83"/>
    <mergeCell ref="I80:I83"/>
    <mergeCell ref="E42:E43"/>
    <mergeCell ref="A138:A174"/>
    <mergeCell ref="F175:F177"/>
    <mergeCell ref="F6:F19"/>
    <mergeCell ref="F20:F30"/>
    <mergeCell ref="F74:F76"/>
    <mergeCell ref="F77:F79"/>
    <mergeCell ref="F129:F132"/>
    <mergeCell ref="F133:F137"/>
    <mergeCell ref="F178:F181"/>
    <mergeCell ref="G99:G108"/>
    <mergeCell ref="H99:H108"/>
    <mergeCell ref="A119:A128"/>
    <mergeCell ref="B119:B128"/>
    <mergeCell ref="E119:E128"/>
    <mergeCell ref="F119:F128"/>
    <mergeCell ref="L99:L102"/>
    <mergeCell ref="L104:L106"/>
    <mergeCell ref="L207:L224"/>
    <mergeCell ref="I115:I118"/>
    <mergeCell ref="J115:J118"/>
    <mergeCell ref="K115:K118"/>
    <mergeCell ref="L115:L118"/>
    <mergeCell ref="K113:K114"/>
    <mergeCell ref="L113:L114"/>
    <mergeCell ref="I129:I132"/>
    <mergeCell ref="I133:I137"/>
    <mergeCell ref="K133:K137"/>
    <mergeCell ref="J207:J224"/>
    <mergeCell ref="K187:K189"/>
    <mergeCell ref="K99:K102"/>
    <mergeCell ref="K104:K106"/>
    <mergeCell ref="J109:J111"/>
    <mergeCell ref="J138:J171"/>
    <mergeCell ref="J172:J174"/>
    <mergeCell ref="J113:J114"/>
    <mergeCell ref="I113:I114"/>
    <mergeCell ref="K175:K177"/>
    <mergeCell ref="K124:K128"/>
    <mergeCell ref="I109:I112"/>
    <mergeCell ref="H207:H224"/>
    <mergeCell ref="G133:G137"/>
    <mergeCell ref="L124:L128"/>
    <mergeCell ref="G187:G189"/>
    <mergeCell ref="H187:H189"/>
    <mergeCell ref="K231:K239"/>
    <mergeCell ref="L231:L239"/>
    <mergeCell ref="G240:G243"/>
    <mergeCell ref="H240:H243"/>
    <mergeCell ref="I240:I243"/>
    <mergeCell ref="K240:K243"/>
    <mergeCell ref="L240:L243"/>
    <mergeCell ref="L197:L202"/>
    <mergeCell ref="L203:L206"/>
    <mergeCell ref="H197:H202"/>
    <mergeCell ref="H203:H206"/>
    <mergeCell ref="I190:I193"/>
    <mergeCell ref="I175:I177"/>
    <mergeCell ref="I178:I181"/>
    <mergeCell ref="I182:I184"/>
    <mergeCell ref="I138:I174"/>
    <mergeCell ref="G197:G202"/>
    <mergeCell ref="G203:G206"/>
    <mergeCell ref="L187:L189"/>
    <mergeCell ref="E231:E239"/>
    <mergeCell ref="F231:F239"/>
    <mergeCell ref="G231:G239"/>
    <mergeCell ref="H231:H239"/>
    <mergeCell ref="I231:I239"/>
    <mergeCell ref="E240:E242"/>
    <mergeCell ref="F240:F242"/>
    <mergeCell ref="J232:J238"/>
    <mergeCell ref="J240:J242"/>
    <mergeCell ref="K80:K83"/>
    <mergeCell ref="L80:L83"/>
    <mergeCell ref="L84:L88"/>
    <mergeCell ref="K84:K88"/>
    <mergeCell ref="J84:J88"/>
    <mergeCell ref="E89:E96"/>
    <mergeCell ref="F89:F96"/>
    <mergeCell ref="G89:G96"/>
    <mergeCell ref="H89:H96"/>
    <mergeCell ref="I89:I96"/>
    <mergeCell ref="J89:J96"/>
    <mergeCell ref="K89:K96"/>
    <mergeCell ref="L89:L96"/>
    <mergeCell ref="E84:E88"/>
    <mergeCell ref="F84:F88"/>
    <mergeCell ref="G84:G88"/>
    <mergeCell ref="H84:H88"/>
    <mergeCell ref="I84:I88"/>
    <mergeCell ref="K68:K73"/>
    <mergeCell ref="E61:E67"/>
    <mergeCell ref="F61:F67"/>
    <mergeCell ref="G61:G67"/>
    <mergeCell ref="H61:H67"/>
    <mergeCell ref="I61:I67"/>
    <mergeCell ref="J61:J67"/>
    <mergeCell ref="K61:K67"/>
    <mergeCell ref="F68:F73"/>
    <mergeCell ref="G68:G73"/>
    <mergeCell ref="H68:H73"/>
    <mergeCell ref="K51:K55"/>
    <mergeCell ref="E46:E50"/>
    <mergeCell ref="F46:F50"/>
    <mergeCell ref="G46:G50"/>
    <mergeCell ref="H46:H50"/>
    <mergeCell ref="I46:I50"/>
    <mergeCell ref="K46:K50"/>
    <mergeCell ref="L61:L67"/>
    <mergeCell ref="G58:G59"/>
    <mergeCell ref="H58:H59"/>
    <mergeCell ref="I58:I59"/>
    <mergeCell ref="K58:K59"/>
    <mergeCell ref="E56:E57"/>
    <mergeCell ref="F56:F57"/>
    <mergeCell ref="G56:G57"/>
    <mergeCell ref="H56:H57"/>
    <mergeCell ref="I56:I57"/>
    <mergeCell ref="J56:J57"/>
    <mergeCell ref="K56:K57"/>
    <mergeCell ref="L56:L57"/>
    <mergeCell ref="J47:J50"/>
    <mergeCell ref="J52:J53"/>
    <mergeCell ref="L46:L50"/>
    <mergeCell ref="F51:F55"/>
    <mergeCell ref="K40:K43"/>
    <mergeCell ref="E40:E41"/>
    <mergeCell ref="F40:F41"/>
    <mergeCell ref="G40:G41"/>
    <mergeCell ref="H40:H41"/>
    <mergeCell ref="I40:I41"/>
    <mergeCell ref="J40:J41"/>
    <mergeCell ref="F42:F43"/>
    <mergeCell ref="G42:G43"/>
    <mergeCell ref="H42:H43"/>
    <mergeCell ref="I42:I43"/>
    <mergeCell ref="J42:J43"/>
    <mergeCell ref="K35:K39"/>
    <mergeCell ref="L35:L39"/>
    <mergeCell ref="F32:F34"/>
    <mergeCell ref="G32:G34"/>
    <mergeCell ref="H32:H34"/>
    <mergeCell ref="I32:I34"/>
    <mergeCell ref="J32:J34"/>
    <mergeCell ref="K32:K34"/>
    <mergeCell ref="F35:F39"/>
    <mergeCell ref="G35:G39"/>
    <mergeCell ref="H35:H39"/>
    <mergeCell ref="B240:B243"/>
    <mergeCell ref="A240:A243"/>
    <mergeCell ref="B231:B239"/>
    <mergeCell ref="A231:A239"/>
    <mergeCell ref="A46:A50"/>
    <mergeCell ref="A40:A43"/>
    <mergeCell ref="B40:B43"/>
    <mergeCell ref="B35:B39"/>
    <mergeCell ref="A35:A39"/>
    <mergeCell ref="A61:A67"/>
    <mergeCell ref="A58:A59"/>
    <mergeCell ref="B58:B59"/>
    <mergeCell ref="B56:B57"/>
    <mergeCell ref="B187:B189"/>
    <mergeCell ref="A56:A57"/>
    <mergeCell ref="A51:A55"/>
    <mergeCell ref="B51:B55"/>
    <mergeCell ref="A89:A96"/>
    <mergeCell ref="A84:A88"/>
    <mergeCell ref="B84:B88"/>
    <mergeCell ref="B80:B83"/>
    <mergeCell ref="A80:A83"/>
    <mergeCell ref="B68:B73"/>
    <mergeCell ref="A68:A73"/>
    <mergeCell ref="F195:F196"/>
    <mergeCell ref="F197:F202"/>
    <mergeCell ref="F203:F206"/>
    <mergeCell ref="F190:F193"/>
    <mergeCell ref="G175:G177"/>
    <mergeCell ref="G178:G181"/>
    <mergeCell ref="G182:G184"/>
    <mergeCell ref="G185:G186"/>
    <mergeCell ref="E187:E189"/>
    <mergeCell ref="F187:F189"/>
    <mergeCell ref="F182:F184"/>
    <mergeCell ref="F185:F186"/>
    <mergeCell ref="L225:L228"/>
    <mergeCell ref="L229:L230"/>
    <mergeCell ref="B115:B118"/>
    <mergeCell ref="B190:B193"/>
    <mergeCell ref="E138:E174"/>
    <mergeCell ref="F138:F174"/>
    <mergeCell ref="G138:G174"/>
    <mergeCell ref="L133:L137"/>
    <mergeCell ref="L175:L177"/>
    <mergeCell ref="L178:L181"/>
    <mergeCell ref="L182:L184"/>
    <mergeCell ref="L185:L186"/>
    <mergeCell ref="L195:L196"/>
    <mergeCell ref="L190:L193"/>
    <mergeCell ref="K207:K224"/>
    <mergeCell ref="K225:K228"/>
    <mergeCell ref="K229:K230"/>
    <mergeCell ref="K195:K196"/>
    <mergeCell ref="K197:K202"/>
    <mergeCell ref="K203:K206"/>
    <mergeCell ref="K190:K193"/>
    <mergeCell ref="F115:F118"/>
    <mergeCell ref="G115:G118"/>
    <mergeCell ref="J203:J206"/>
    <mergeCell ref="L6:L19"/>
    <mergeCell ref="L20:L30"/>
    <mergeCell ref="L74:L76"/>
    <mergeCell ref="L77:L79"/>
    <mergeCell ref="L119:L123"/>
    <mergeCell ref="L129:L132"/>
    <mergeCell ref="K178:K181"/>
    <mergeCell ref="K182:K184"/>
    <mergeCell ref="K185:K186"/>
    <mergeCell ref="L32:L34"/>
    <mergeCell ref="L40:L43"/>
    <mergeCell ref="L51:L55"/>
    <mergeCell ref="L58:L59"/>
    <mergeCell ref="L68:L73"/>
    <mergeCell ref="K109:K112"/>
    <mergeCell ref="L109:L112"/>
    <mergeCell ref="K138:K174"/>
    <mergeCell ref="L138:L174"/>
    <mergeCell ref="K6:K19"/>
    <mergeCell ref="K20:K30"/>
    <mergeCell ref="K74:K76"/>
    <mergeCell ref="K77:K79"/>
    <mergeCell ref="K119:K123"/>
    <mergeCell ref="K129:K132"/>
    <mergeCell ref="J225:J228"/>
    <mergeCell ref="J188:J189"/>
    <mergeCell ref="J191:J193"/>
    <mergeCell ref="J119:J123"/>
    <mergeCell ref="J129:J132"/>
    <mergeCell ref="J133:J137"/>
    <mergeCell ref="J175:J177"/>
    <mergeCell ref="J178:J181"/>
    <mergeCell ref="J182:J184"/>
    <mergeCell ref="J201:J202"/>
    <mergeCell ref="J195:J196"/>
    <mergeCell ref="J124:J128"/>
    <mergeCell ref="H225:H228"/>
    <mergeCell ref="H229:H230"/>
    <mergeCell ref="J6:J19"/>
    <mergeCell ref="J20:J30"/>
    <mergeCell ref="J54:J55"/>
    <mergeCell ref="J74:J76"/>
    <mergeCell ref="J77:J79"/>
    <mergeCell ref="H133:H137"/>
    <mergeCell ref="H175:H177"/>
    <mergeCell ref="H178:H181"/>
    <mergeCell ref="H182:H184"/>
    <mergeCell ref="H185:H186"/>
    <mergeCell ref="H195:H196"/>
    <mergeCell ref="H138:H174"/>
    <mergeCell ref="H190:H193"/>
    <mergeCell ref="I229:I230"/>
    <mergeCell ref="I185:I186"/>
    <mergeCell ref="I195:I196"/>
    <mergeCell ref="I197:I202"/>
    <mergeCell ref="I203:I206"/>
    <mergeCell ref="I207:I224"/>
    <mergeCell ref="I225:I228"/>
    <mergeCell ref="J229:J230"/>
    <mergeCell ref="H6:H19"/>
    <mergeCell ref="E207:E224"/>
    <mergeCell ref="E225:E228"/>
    <mergeCell ref="E229:E230"/>
    <mergeCell ref="G6:G19"/>
    <mergeCell ref="G20:G30"/>
    <mergeCell ref="G74:G76"/>
    <mergeCell ref="G77:G79"/>
    <mergeCell ref="G129:G132"/>
    <mergeCell ref="E178:E181"/>
    <mergeCell ref="E182:E184"/>
    <mergeCell ref="E185:E186"/>
    <mergeCell ref="E195:E196"/>
    <mergeCell ref="E197:E202"/>
    <mergeCell ref="E203:E206"/>
    <mergeCell ref="E190:E193"/>
    <mergeCell ref="G207:G224"/>
    <mergeCell ref="G225:G228"/>
    <mergeCell ref="G229:G230"/>
    <mergeCell ref="G195:G196"/>
    <mergeCell ref="G190:G193"/>
    <mergeCell ref="F207:F224"/>
    <mergeCell ref="F225:F228"/>
    <mergeCell ref="F229:F230"/>
    <mergeCell ref="E115:E118"/>
    <mergeCell ref="A229:A230"/>
    <mergeCell ref="E6:E19"/>
    <mergeCell ref="E20:E30"/>
    <mergeCell ref="E74:E76"/>
    <mergeCell ref="E77:E79"/>
    <mergeCell ref="E129:E132"/>
    <mergeCell ref="E133:E137"/>
    <mergeCell ref="E175:E177"/>
    <mergeCell ref="A129:A132"/>
    <mergeCell ref="A133:A137"/>
    <mergeCell ref="A175:A177"/>
    <mergeCell ref="A178:A181"/>
    <mergeCell ref="A182:A184"/>
    <mergeCell ref="A185:A186"/>
    <mergeCell ref="B229:B230"/>
    <mergeCell ref="B197:B202"/>
    <mergeCell ref="B203:B206"/>
    <mergeCell ref="A207:A224"/>
    <mergeCell ref="B207:B224"/>
    <mergeCell ref="B225:B228"/>
    <mergeCell ref="A197:A202"/>
    <mergeCell ref="A203:A206"/>
    <mergeCell ref="A225:A228"/>
    <mergeCell ref="B195:B196"/>
    <mergeCell ref="A195:A196"/>
    <mergeCell ref="B129:B132"/>
    <mergeCell ref="B133:B137"/>
    <mergeCell ref="B175:B177"/>
    <mergeCell ref="B178:B181"/>
    <mergeCell ref="B182:B184"/>
    <mergeCell ref="B185:B186"/>
    <mergeCell ref="B6:B19"/>
    <mergeCell ref="B20:B30"/>
    <mergeCell ref="B74:B76"/>
    <mergeCell ref="B77:B79"/>
    <mergeCell ref="B89:B96"/>
    <mergeCell ref="B61:B67"/>
    <mergeCell ref="B46:B50"/>
    <mergeCell ref="A115:A118"/>
    <mergeCell ref="A113:A114"/>
    <mergeCell ref="B113:B114"/>
    <mergeCell ref="B109:B112"/>
    <mergeCell ref="A109:A112"/>
    <mergeCell ref="B99:B108"/>
    <mergeCell ref="A99:A108"/>
    <mergeCell ref="A190:A193"/>
    <mergeCell ref="A187:A189"/>
    <mergeCell ref="B138:B174"/>
    <mergeCell ref="I5:J5"/>
    <mergeCell ref="G5:H5"/>
    <mergeCell ref="E5:F5"/>
    <mergeCell ref="A6:A19"/>
    <mergeCell ref="A20:A30"/>
    <mergeCell ref="A74:A76"/>
    <mergeCell ref="A77:A79"/>
    <mergeCell ref="I6:I19"/>
    <mergeCell ref="I20:I30"/>
    <mergeCell ref="I74:I76"/>
    <mergeCell ref="I77:I79"/>
    <mergeCell ref="I35:I39"/>
    <mergeCell ref="I51:I55"/>
    <mergeCell ref="I68:I73"/>
    <mergeCell ref="E32:E34"/>
    <mergeCell ref="E51:E55"/>
    <mergeCell ref="E68:E73"/>
    <mergeCell ref="B32:B34"/>
    <mergeCell ref="A32:A34"/>
    <mergeCell ref="E35:E39"/>
    <mergeCell ref="H20:H30"/>
    <mergeCell ref="H74:H76"/>
    <mergeCell ref="J35:J39"/>
    <mergeCell ref="J68:J73"/>
  </mergeCells>
  <conditionalFormatting sqref="G1:G39 I1:I39 E1:E40 F40:L40 E42:J42 I44:I51 E44:E119 G44:G119 I56:I109 I113:I119 E129:E190 I129:I190 G129:G1048576 I194:I197 E194:E240 I203:I1048576 E243:E1048576">
    <cfRule type="containsText" dxfId="1225" priority="1" operator="containsText" text="Yes">
      <formula>NOT(ISERROR(SEARCH("Yes",E1)))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7677-274C-48E7-BFA7-5EB7D34AC106}">
  <sheetPr codeName="Sheet7">
    <tabColor theme="5"/>
  </sheetPr>
  <dimension ref="B1:U25"/>
  <sheetViews>
    <sheetView workbookViewId="0">
      <selection activeCell="B1" sqref="B1"/>
    </sheetView>
  </sheetViews>
  <sheetFormatPr defaultColWidth="8.625" defaultRowHeight="14.45"/>
  <cols>
    <col min="1" max="1" width="5.25" style="7" customWidth="1"/>
    <col min="2" max="2" width="34" style="7" customWidth="1"/>
    <col min="3" max="3" width="13.125" style="7" bestFit="1" customWidth="1"/>
    <col min="4" max="4" width="38.25" style="7" bestFit="1" customWidth="1"/>
    <col min="5" max="21" width="14.625" style="7" customWidth="1"/>
    <col min="22" max="16384" width="8.625" style="7"/>
  </cols>
  <sheetData>
    <row r="1" spans="2:21" ht="30.95">
      <c r="B1" s="675" t="s">
        <v>814</v>
      </c>
    </row>
    <row r="2" spans="2:21">
      <c r="B2" s="7" t="s">
        <v>815</v>
      </c>
    </row>
    <row r="4" spans="2:21" ht="15" thickBot="1">
      <c r="E4" s="1113" t="s">
        <v>816</v>
      </c>
      <c r="F4" s="1114"/>
      <c r="G4" s="1114"/>
      <c r="H4" s="1114"/>
      <c r="I4" s="1114"/>
      <c r="J4" s="1114"/>
      <c r="K4" s="1114"/>
      <c r="L4" s="1114"/>
      <c r="M4" s="1114"/>
      <c r="N4" s="1114"/>
      <c r="O4" s="1114"/>
      <c r="P4" s="1114"/>
      <c r="Q4" s="1114"/>
      <c r="R4" s="1114"/>
      <c r="S4" s="1114"/>
      <c r="T4" s="1114"/>
      <c r="U4" s="1115"/>
    </row>
    <row r="5" spans="2:21" ht="43.5">
      <c r="B5" s="678" t="s">
        <v>817</v>
      </c>
      <c r="C5" s="679" t="s">
        <v>818</v>
      </c>
      <c r="D5" s="679" t="s">
        <v>819</v>
      </c>
      <c r="E5" s="679" t="s">
        <v>820</v>
      </c>
      <c r="F5" s="679" t="s">
        <v>821</v>
      </c>
      <c r="G5" s="679" t="s">
        <v>822</v>
      </c>
      <c r="H5" s="679" t="s">
        <v>823</v>
      </c>
      <c r="I5" s="679" t="s">
        <v>824</v>
      </c>
      <c r="J5" s="679" t="s">
        <v>825</v>
      </c>
      <c r="K5" s="679" t="s">
        <v>329</v>
      </c>
      <c r="L5" s="679" t="s">
        <v>826</v>
      </c>
      <c r="M5" s="679" t="s">
        <v>827</v>
      </c>
      <c r="N5" s="679" t="s">
        <v>828</v>
      </c>
      <c r="O5" s="679" t="s">
        <v>829</v>
      </c>
      <c r="P5" s="679" t="s">
        <v>830</v>
      </c>
      <c r="Q5" s="679" t="s">
        <v>831</v>
      </c>
      <c r="R5" s="679" t="s">
        <v>832</v>
      </c>
      <c r="S5" s="679" t="s">
        <v>833</v>
      </c>
      <c r="T5" s="679" t="s">
        <v>834</v>
      </c>
      <c r="U5" s="679" t="s">
        <v>835</v>
      </c>
    </row>
    <row r="6" spans="2:21">
      <c r="B6" s="809" t="s">
        <v>384</v>
      </c>
      <c r="C6" s="810" t="s">
        <v>836</v>
      </c>
      <c r="D6" s="810" t="s">
        <v>837</v>
      </c>
      <c r="E6" s="811">
        <v>17651089.088431608</v>
      </c>
      <c r="F6" s="811">
        <v>9048815.119099563</v>
      </c>
      <c r="G6" s="811">
        <v>71908.619774480379</v>
      </c>
      <c r="H6" s="811">
        <v>7944817.1862173229</v>
      </c>
      <c r="I6" s="811">
        <v>25647071.054683428</v>
      </c>
      <c r="J6" s="811">
        <v>4761255.1937106708</v>
      </c>
      <c r="K6" s="811">
        <v>12345407.802139945</v>
      </c>
      <c r="L6" s="811">
        <v>35012181.182775654</v>
      </c>
      <c r="M6" s="811">
        <v>21004276.626886539</v>
      </c>
      <c r="N6" s="811">
        <v>7826089.3597486764</v>
      </c>
      <c r="O6" s="811">
        <v>14363221.474832641</v>
      </c>
      <c r="P6" s="812"/>
      <c r="Q6" s="812"/>
      <c r="R6" s="812"/>
      <c r="S6" s="812"/>
      <c r="T6" s="812"/>
      <c r="U6" s="812"/>
    </row>
    <row r="7" spans="2:21">
      <c r="B7" s="813" t="s">
        <v>386</v>
      </c>
      <c r="C7" s="8" t="s">
        <v>838</v>
      </c>
      <c r="D7" s="810" t="s">
        <v>837</v>
      </c>
      <c r="E7" s="811">
        <v>4844411.8262264244</v>
      </c>
      <c r="F7" s="811">
        <v>2483483.4132151259</v>
      </c>
      <c r="G7" s="811">
        <v>16994.307892482459</v>
      </c>
      <c r="H7" s="811">
        <v>2180486.7757051243</v>
      </c>
      <c r="I7" s="811">
        <v>7038940.9799538702</v>
      </c>
      <c r="J7" s="811">
        <v>1306745.4847990598</v>
      </c>
      <c r="K7" s="811">
        <v>3388246.4281182112</v>
      </c>
      <c r="L7" s="811">
        <v>5779399.5847343542</v>
      </c>
      <c r="M7" s="811">
        <v>5764707.5250052894</v>
      </c>
      <c r="N7" s="811">
        <v>2147901.4500198197</v>
      </c>
      <c r="O7" s="811">
        <v>3801750.1461650608</v>
      </c>
      <c r="P7" s="812"/>
      <c r="Q7" s="812"/>
      <c r="R7" s="812"/>
      <c r="S7" s="812"/>
      <c r="T7" s="812"/>
      <c r="U7" s="812"/>
    </row>
    <row r="8" spans="2:21">
      <c r="B8" s="813" t="s">
        <v>839</v>
      </c>
      <c r="C8" s="8" t="s">
        <v>840</v>
      </c>
      <c r="D8" s="8" t="s">
        <v>841</v>
      </c>
      <c r="E8" s="811">
        <v>3470297.8314523669</v>
      </c>
      <c r="F8" s="811">
        <v>2264975.0841147169</v>
      </c>
      <c r="G8" s="811">
        <v>149237.69376412424</v>
      </c>
      <c r="H8" s="811">
        <v>3243098.5880928277</v>
      </c>
      <c r="I8" s="811">
        <v>6152077.8898279676</v>
      </c>
      <c r="J8" s="811">
        <v>1646856.8458845615</v>
      </c>
      <c r="K8" s="811">
        <v>1890288.3756712088</v>
      </c>
      <c r="L8" s="811">
        <v>7265406.9491083985</v>
      </c>
      <c r="M8" s="811">
        <v>5269615.0288396282</v>
      </c>
      <c r="N8" s="811">
        <v>959665.52533165424</v>
      </c>
      <c r="O8" s="811">
        <v>3933738.2129353508</v>
      </c>
      <c r="P8" s="811">
        <v>2721438.7991968351</v>
      </c>
      <c r="Q8" s="811">
        <v>887526.16659976821</v>
      </c>
      <c r="R8" s="811">
        <v>1239936.8329793413</v>
      </c>
      <c r="S8" s="811">
        <v>533644.83649984247</v>
      </c>
      <c r="T8" s="811">
        <v>1617514.6631319602</v>
      </c>
      <c r="U8" s="811">
        <v>530177.14357719477</v>
      </c>
    </row>
    <row r="9" spans="2:21">
      <c r="B9" s="813" t="s">
        <v>428</v>
      </c>
      <c r="C9" s="8" t="s">
        <v>842</v>
      </c>
      <c r="D9" s="8" t="s">
        <v>429</v>
      </c>
      <c r="E9" s="811">
        <v>1300187.0571650681</v>
      </c>
      <c r="F9" s="811">
        <v>848599.0056752098</v>
      </c>
      <c r="G9" s="811">
        <v>27998.873933291063</v>
      </c>
      <c r="H9" s="811">
        <v>1215064.2435159178</v>
      </c>
      <c r="I9" s="811">
        <v>2304946.8476537294</v>
      </c>
      <c r="J9" s="811">
        <v>617013.88757363905</v>
      </c>
      <c r="K9" s="811">
        <v>708218.31431358517</v>
      </c>
      <c r="L9" s="811">
        <v>2722068.4042310119</v>
      </c>
      <c r="M9" s="811">
        <v>1974321.9716309973</v>
      </c>
      <c r="N9" s="811">
        <v>359549.74352202343</v>
      </c>
      <c r="O9" s="811">
        <v>1473820.3344909041</v>
      </c>
      <c r="P9" s="811">
        <v>1049075.3476649357</v>
      </c>
      <c r="Q9" s="811">
        <v>235032.21845505355</v>
      </c>
      <c r="R9" s="811">
        <v>328356.63394100976</v>
      </c>
      <c r="S9" s="811">
        <v>136349.98460880751</v>
      </c>
      <c r="T9" s="811">
        <v>623528.53868295264</v>
      </c>
      <c r="U9" s="811">
        <v>140400.04105625889</v>
      </c>
    </row>
    <row r="10" spans="2:21">
      <c r="B10" s="813" t="s">
        <v>843</v>
      </c>
      <c r="C10" s="8" t="s">
        <v>844</v>
      </c>
      <c r="D10" s="8" t="s">
        <v>845</v>
      </c>
      <c r="E10" s="811">
        <v>1068115.4158705361</v>
      </c>
      <c r="F10" s="811">
        <v>667405.43268670863</v>
      </c>
      <c r="G10" s="811">
        <v>33342.736453781945</v>
      </c>
      <c r="H10" s="811">
        <v>737217.08728693426</v>
      </c>
      <c r="I10" s="811">
        <v>1631244.4532826394</v>
      </c>
      <c r="J10" s="811">
        <v>510426.13875096856</v>
      </c>
      <c r="K10" s="811">
        <v>536128.44786537893</v>
      </c>
      <c r="L10" s="811">
        <v>1882353.9429432265</v>
      </c>
      <c r="M10" s="811">
        <v>1168656.8050296581</v>
      </c>
      <c r="N10" s="811">
        <v>298243.28896031744</v>
      </c>
      <c r="O10" s="811">
        <v>879726.5767567096</v>
      </c>
      <c r="P10" s="811">
        <v>480939.83541958302</v>
      </c>
      <c r="Q10" s="811">
        <v>164913.16540703559</v>
      </c>
      <c r="R10" s="811">
        <v>149040.34831960205</v>
      </c>
      <c r="S10" s="811">
        <v>66890.04913213996</v>
      </c>
      <c r="T10" s="811">
        <v>310155.12475790503</v>
      </c>
      <c r="U10" s="811">
        <v>83501.50581986703</v>
      </c>
    </row>
    <row r="11" spans="2:21">
      <c r="B11" s="813" t="s">
        <v>846</v>
      </c>
      <c r="C11" s="8" t="s">
        <v>847</v>
      </c>
      <c r="D11" s="8" t="s">
        <v>848</v>
      </c>
      <c r="E11" s="811">
        <v>0</v>
      </c>
      <c r="F11" s="811">
        <v>0</v>
      </c>
      <c r="G11" s="811">
        <v>0</v>
      </c>
      <c r="H11" s="811">
        <v>0</v>
      </c>
      <c r="I11" s="811">
        <v>0</v>
      </c>
      <c r="J11" s="811">
        <v>0</v>
      </c>
      <c r="K11" s="811">
        <v>0</v>
      </c>
      <c r="L11" s="811">
        <v>0</v>
      </c>
      <c r="M11" s="811">
        <v>0</v>
      </c>
      <c r="N11" s="811">
        <v>0</v>
      </c>
      <c r="O11" s="811">
        <v>0</v>
      </c>
      <c r="P11" s="811">
        <v>0</v>
      </c>
      <c r="Q11" s="811">
        <v>0</v>
      </c>
      <c r="R11" s="811">
        <v>0</v>
      </c>
      <c r="S11" s="811">
        <v>0</v>
      </c>
      <c r="T11" s="811">
        <v>0</v>
      </c>
      <c r="U11" s="811">
        <v>0</v>
      </c>
    </row>
    <row r="12" spans="2:21">
      <c r="B12" s="813" t="s">
        <v>409</v>
      </c>
      <c r="C12" s="8" t="s">
        <v>849</v>
      </c>
      <c r="D12" s="8" t="s">
        <v>850</v>
      </c>
      <c r="E12" s="811">
        <v>1972614.4408781033</v>
      </c>
      <c r="F12" s="811">
        <v>4054818.5729161012</v>
      </c>
      <c r="G12" s="811">
        <v>0</v>
      </c>
      <c r="H12" s="811">
        <v>1242016.499812139</v>
      </c>
      <c r="I12" s="811">
        <v>0</v>
      </c>
      <c r="J12" s="811">
        <v>5735193.8373678196</v>
      </c>
      <c r="K12" s="811">
        <v>3178101.0436369441</v>
      </c>
      <c r="L12" s="811">
        <v>109589.69115989462</v>
      </c>
      <c r="M12" s="811">
        <v>1242016.499812139</v>
      </c>
      <c r="N12" s="811">
        <v>1826494.8526649105</v>
      </c>
      <c r="O12" s="811">
        <v>767127.83811926236</v>
      </c>
      <c r="P12" s="812"/>
      <c r="Q12" s="812"/>
      <c r="R12" s="812"/>
      <c r="S12" s="812"/>
      <c r="T12" s="812"/>
      <c r="U12" s="812"/>
    </row>
    <row r="13" spans="2:21">
      <c r="B13" s="813" t="s">
        <v>851</v>
      </c>
      <c r="C13" s="8" t="s">
        <v>852</v>
      </c>
      <c r="D13" s="8" t="s">
        <v>853</v>
      </c>
      <c r="E13" s="811">
        <v>1893966.5684402846</v>
      </c>
      <c r="F13" s="811">
        <v>898182.74054962769</v>
      </c>
      <c r="G13" s="811">
        <v>1343.2637929213536</v>
      </c>
      <c r="H13" s="811">
        <v>743988.3849966377</v>
      </c>
      <c r="I13" s="811">
        <v>2317375.398215231</v>
      </c>
      <c r="J13" s="811">
        <v>432130.73450813838</v>
      </c>
      <c r="K13" s="811">
        <v>984410.66234368272</v>
      </c>
      <c r="L13" s="811">
        <v>2700321.5279069329</v>
      </c>
      <c r="M13" s="811">
        <v>1916316.4493190891</v>
      </c>
      <c r="N13" s="811">
        <v>865847.26987685706</v>
      </c>
      <c r="O13" s="811">
        <v>1294979.8496329605</v>
      </c>
      <c r="P13" s="812"/>
      <c r="Q13" s="812"/>
      <c r="R13" s="812"/>
      <c r="S13" s="812"/>
      <c r="T13" s="812"/>
      <c r="U13" s="812"/>
    </row>
    <row r="14" spans="2:21">
      <c r="B14" s="813" t="s">
        <v>854</v>
      </c>
      <c r="C14" s="8" t="s">
        <v>855</v>
      </c>
      <c r="D14" s="8" t="s">
        <v>856</v>
      </c>
      <c r="E14" s="811">
        <v>1556875.7725911823</v>
      </c>
      <c r="F14" s="811">
        <v>1556875.7725911823</v>
      </c>
      <c r="G14" s="811">
        <v>5669.4113843801069</v>
      </c>
      <c r="H14" s="811">
        <v>1556875.7725911823</v>
      </c>
      <c r="I14" s="811">
        <v>1556875.7725911823</v>
      </c>
      <c r="J14" s="811">
        <v>1556875.7725911823</v>
      </c>
      <c r="K14" s="811">
        <v>1556875.7725911823</v>
      </c>
      <c r="L14" s="811">
        <v>1556875.7725911823</v>
      </c>
      <c r="M14" s="811">
        <v>1556875.7725911823</v>
      </c>
      <c r="N14" s="811">
        <v>1556875.7725911823</v>
      </c>
      <c r="O14" s="811">
        <v>1556875.7725911823</v>
      </c>
      <c r="P14" s="811">
        <v>742038.28693272197</v>
      </c>
      <c r="Q14" s="811">
        <v>236130.46228506396</v>
      </c>
      <c r="R14" s="811">
        <v>236130.46228506396</v>
      </c>
      <c r="S14" s="811">
        <v>105976.52516198187</v>
      </c>
      <c r="T14" s="811">
        <v>742038.28693272197</v>
      </c>
      <c r="U14" s="811">
        <v>198442.06008358052</v>
      </c>
    </row>
    <row r="15" spans="2:21">
      <c r="B15" s="813" t="s">
        <v>857</v>
      </c>
      <c r="C15" s="8" t="s">
        <v>858</v>
      </c>
      <c r="D15" s="8" t="s">
        <v>859</v>
      </c>
      <c r="E15" s="811">
        <v>2684588.0017166007</v>
      </c>
      <c r="F15" s="811">
        <v>1906184.9141935515</v>
      </c>
      <c r="G15" s="811">
        <v>26174.039560843001</v>
      </c>
      <c r="H15" s="811">
        <v>650970.11275802064</v>
      </c>
      <c r="I15" s="811">
        <v>2387244.3939315341</v>
      </c>
      <c r="J15" s="811">
        <v>999286.91044909833</v>
      </c>
      <c r="K15" s="811">
        <v>1078932.5196772418</v>
      </c>
      <c r="L15" s="811">
        <v>1224418.4992006489</v>
      </c>
      <c r="M15" s="811">
        <v>1248843.1526972794</v>
      </c>
      <c r="N15" s="811">
        <v>1006720.5006437252</v>
      </c>
      <c r="O15" s="811">
        <v>992915.26171084715</v>
      </c>
      <c r="P15" s="811">
        <v>163804.32622759551</v>
      </c>
      <c r="Q15" s="811">
        <v>12326.01013128034</v>
      </c>
      <c r="R15" s="811">
        <v>29787.857817260818</v>
      </c>
      <c r="S15" s="811">
        <v>2289.0929434988084</v>
      </c>
      <c r="T15" s="811">
        <v>359109.48442203633</v>
      </c>
      <c r="U15" s="811">
        <v>4108.6700437601139</v>
      </c>
    </row>
    <row r="16" spans="2:21">
      <c r="B16" s="813" t="s">
        <v>860</v>
      </c>
      <c r="C16" s="8" t="s">
        <v>861</v>
      </c>
      <c r="D16" s="8" t="s">
        <v>862</v>
      </c>
      <c r="E16" s="811">
        <v>1333325.3285368399</v>
      </c>
      <c r="F16" s="811">
        <v>1074362.792980572</v>
      </c>
      <c r="G16" s="811">
        <v>5433.6008292804199</v>
      </c>
      <c r="H16" s="811">
        <v>1331622.4864825143</v>
      </c>
      <c r="I16" s="811">
        <v>2075764.4642227429</v>
      </c>
      <c r="J16" s="811">
        <v>1140904.1763980624</v>
      </c>
      <c r="K16" s="811">
        <v>832689.76456515281</v>
      </c>
      <c r="L16" s="811">
        <v>515961.14246061619</v>
      </c>
      <c r="M16" s="811">
        <v>1919102.9952248</v>
      </c>
      <c r="N16" s="811">
        <v>1102590.2301757394</v>
      </c>
      <c r="O16" s="811">
        <v>1656418.6552891855</v>
      </c>
      <c r="P16" s="812"/>
      <c r="Q16" s="812"/>
      <c r="R16" s="812"/>
      <c r="S16" s="812"/>
      <c r="T16" s="812"/>
      <c r="U16" s="812"/>
    </row>
    <row r="17" spans="2:21">
      <c r="B17" s="813" t="s">
        <v>368</v>
      </c>
      <c r="C17" s="8" t="s">
        <v>863</v>
      </c>
      <c r="D17" s="8" t="s">
        <v>864</v>
      </c>
      <c r="E17" s="811">
        <v>688160.37064622296</v>
      </c>
      <c r="F17" s="811">
        <v>688160.37064622296</v>
      </c>
      <c r="G17" s="811">
        <v>388107.07109414885</v>
      </c>
      <c r="H17" s="811">
        <v>688160.37064622284</v>
      </c>
      <c r="I17" s="811">
        <v>688160.37064622296</v>
      </c>
      <c r="J17" s="811">
        <v>688160.37064622296</v>
      </c>
      <c r="K17" s="811">
        <v>688160.37064622296</v>
      </c>
      <c r="L17" s="811">
        <v>688160.37064622296</v>
      </c>
      <c r="M17" s="811">
        <v>681301.14176077</v>
      </c>
      <c r="N17" s="811">
        <v>688160.37064622296</v>
      </c>
      <c r="O17" s="811">
        <v>688160.37064622284</v>
      </c>
      <c r="P17" s="811">
        <v>657904.80476392398</v>
      </c>
      <c r="Q17" s="811">
        <v>586256.4991269788</v>
      </c>
      <c r="R17" s="811">
        <v>461893.57847243355</v>
      </c>
      <c r="S17" s="811">
        <v>430978.26369378675</v>
      </c>
      <c r="T17" s="811">
        <v>657904.80476392398</v>
      </c>
      <c r="U17" s="811">
        <v>586256.4991269788</v>
      </c>
    </row>
    <row r="18" spans="2:21">
      <c r="B18" s="813" t="s">
        <v>865</v>
      </c>
      <c r="C18" s="8" t="s">
        <v>866</v>
      </c>
      <c r="D18" s="8" t="s">
        <v>864</v>
      </c>
      <c r="E18" s="811">
        <v>880260.51444342709</v>
      </c>
      <c r="F18" s="811">
        <v>520245.51523767592</v>
      </c>
      <c r="G18" s="811">
        <v>27944.665872834874</v>
      </c>
      <c r="H18" s="811">
        <v>802424.05929865001</v>
      </c>
      <c r="I18" s="811">
        <v>1497886.5661994943</v>
      </c>
      <c r="J18" s="811">
        <v>400943.34800291696</v>
      </c>
      <c r="K18" s="811">
        <v>463256.67175178381</v>
      </c>
      <c r="L18" s="811">
        <v>1785911.2874580212</v>
      </c>
      <c r="M18" s="811">
        <v>1232748.3930764075</v>
      </c>
      <c r="N18" s="811">
        <v>230451.40274563871</v>
      </c>
      <c r="O18" s="811">
        <v>941071.16740879847</v>
      </c>
      <c r="P18" s="811">
        <v>484000.73148645018</v>
      </c>
      <c r="Q18" s="811">
        <v>172017.76727967677</v>
      </c>
      <c r="R18" s="811">
        <v>116767.87698710871</v>
      </c>
      <c r="S18" s="811">
        <v>49497.844217977094</v>
      </c>
      <c r="T18" s="811">
        <v>279607.62833101302</v>
      </c>
      <c r="U18" s="811">
        <v>93172.949751668872</v>
      </c>
    </row>
    <row r="19" spans="2:21">
      <c r="B19" s="813" t="s">
        <v>867</v>
      </c>
      <c r="C19" s="8" t="s">
        <v>868</v>
      </c>
      <c r="D19" s="8" t="s">
        <v>864</v>
      </c>
      <c r="E19" s="811">
        <v>178976.80764958228</v>
      </c>
      <c r="F19" s="811">
        <v>178976.80764958228</v>
      </c>
      <c r="G19" s="811">
        <v>98785.419125662491</v>
      </c>
      <c r="H19" s="811">
        <v>178976.80764958228</v>
      </c>
      <c r="I19" s="811">
        <v>178976.80764958225</v>
      </c>
      <c r="J19" s="811">
        <v>178976.80764958228</v>
      </c>
      <c r="K19" s="811">
        <v>178976.80764958228</v>
      </c>
      <c r="L19" s="811">
        <v>178976.80764958228</v>
      </c>
      <c r="M19" s="811">
        <v>178976.80764958228</v>
      </c>
      <c r="N19" s="811">
        <v>178976.80764958225</v>
      </c>
      <c r="O19" s="811">
        <v>178976.80764958228</v>
      </c>
      <c r="P19" s="811">
        <v>175262.0697502929</v>
      </c>
      <c r="Q19" s="811">
        <v>129398.5950294658</v>
      </c>
      <c r="R19" s="811">
        <v>110697.44347791754</v>
      </c>
      <c r="S19" s="811">
        <v>94807.976607876612</v>
      </c>
      <c r="T19" s="811">
        <v>175262.0697502929</v>
      </c>
      <c r="U19" s="811">
        <v>129398.5950294658</v>
      </c>
    </row>
    <row r="20" spans="2:21">
      <c r="B20" s="813" t="s">
        <v>869</v>
      </c>
      <c r="C20" s="8" t="s">
        <v>870</v>
      </c>
      <c r="D20" s="8" t="s">
        <v>871</v>
      </c>
      <c r="E20" s="811">
        <v>312612.20875120658</v>
      </c>
      <c r="F20" s="811">
        <v>222027.54025296791</v>
      </c>
      <c r="G20" s="811">
        <v>12010.029598323048</v>
      </c>
      <c r="H20" s="811">
        <v>210679.7651044169</v>
      </c>
      <c r="I20" s="811">
        <v>381312.96328815952</v>
      </c>
      <c r="J20" s="811">
        <v>147718.60962133206</v>
      </c>
      <c r="K20" s="811">
        <v>110865.22235746558</v>
      </c>
      <c r="L20" s="811">
        <v>254297.05400101276</v>
      </c>
      <c r="M20" s="811">
        <v>341517.45404466812</v>
      </c>
      <c r="N20" s="811">
        <v>96506.66668940011</v>
      </c>
      <c r="O20" s="811">
        <v>256361.89075713573</v>
      </c>
      <c r="P20" s="811">
        <v>114037.18640964616</v>
      </c>
      <c r="Q20" s="811">
        <v>48120.896286826181</v>
      </c>
      <c r="R20" s="811">
        <v>60202.105997434075</v>
      </c>
      <c r="S20" s="811">
        <v>33302.034363200801</v>
      </c>
      <c r="T20" s="811">
        <v>101109.45054135323</v>
      </c>
      <c r="U20" s="811">
        <v>24405.794560503382</v>
      </c>
    </row>
    <row r="21" spans="2:21">
      <c r="B21" s="813" t="s">
        <v>872</v>
      </c>
      <c r="C21" s="8" t="s">
        <v>873</v>
      </c>
      <c r="D21" s="8" t="s">
        <v>874</v>
      </c>
      <c r="E21" s="811">
        <v>2294283.532580025</v>
      </c>
      <c r="F21" s="811">
        <v>1691587.6770305466</v>
      </c>
      <c r="G21" s="811">
        <v>85024.952015355098</v>
      </c>
      <c r="H21" s="811">
        <v>2013815.1070932581</v>
      </c>
      <c r="I21" s="811">
        <v>3236529.0719422367</v>
      </c>
      <c r="J21" s="811">
        <v>1156247.5492322673</v>
      </c>
      <c r="K21" s="811">
        <v>1118303.5648274585</v>
      </c>
      <c r="L21" s="811">
        <v>4387144.3109894153</v>
      </c>
      <c r="M21" s="811">
        <v>4468381.0411876179</v>
      </c>
      <c r="N21" s="811">
        <v>743864.49046315718</v>
      </c>
      <c r="O21" s="811">
        <v>2112567.4197663707</v>
      </c>
      <c r="P21" s="811">
        <v>1675106.8292736609</v>
      </c>
      <c r="Q21" s="811">
        <v>553683.61461531988</v>
      </c>
      <c r="R21" s="811">
        <v>631114.78881190496</v>
      </c>
      <c r="S21" s="811">
        <v>273328.86768847005</v>
      </c>
      <c r="T21" s="811">
        <v>1029756.5992493227</v>
      </c>
      <c r="U21" s="811">
        <v>256659.82822530763</v>
      </c>
    </row>
    <row r="22" spans="2:21">
      <c r="B22" s="813" t="s">
        <v>875</v>
      </c>
      <c r="C22" s="8" t="s">
        <v>876</v>
      </c>
      <c r="D22" s="8" t="s">
        <v>877</v>
      </c>
      <c r="E22" s="811">
        <v>1062687.2254391494</v>
      </c>
      <c r="F22" s="811">
        <v>503962.0764151357</v>
      </c>
      <c r="G22" s="811">
        <v>6979.1983878285782</v>
      </c>
      <c r="H22" s="811">
        <v>417445.04142020096</v>
      </c>
      <c r="I22" s="811">
        <v>1300258.0263379836</v>
      </c>
      <c r="J22" s="811">
        <v>242464.58144169403</v>
      </c>
      <c r="K22" s="811">
        <v>552343.77041840949</v>
      </c>
      <c r="L22" s="811">
        <v>1515125.5782979252</v>
      </c>
      <c r="M22" s="811">
        <v>1075227.5380802278</v>
      </c>
      <c r="N22" s="811">
        <v>485818.94116390799</v>
      </c>
      <c r="O22" s="811">
        <v>726601.28554399393</v>
      </c>
      <c r="P22" s="812"/>
      <c r="Q22" s="812"/>
      <c r="R22" s="812"/>
      <c r="S22" s="812"/>
      <c r="T22" s="812"/>
      <c r="U22" s="812"/>
    </row>
    <row r="23" spans="2:21">
      <c r="B23" s="813" t="s">
        <v>230</v>
      </c>
      <c r="C23" s="8" t="s">
        <v>878</v>
      </c>
      <c r="D23" s="8" t="s">
        <v>879</v>
      </c>
      <c r="E23" s="811">
        <v>7591277.4851122312</v>
      </c>
      <c r="F23" s="811">
        <v>11622672.81264315</v>
      </c>
      <c r="G23" s="811">
        <v>170000</v>
      </c>
      <c r="H23" s="811">
        <v>3699955.107650023</v>
      </c>
      <c r="I23" s="811">
        <v>5687469.0792487403</v>
      </c>
      <c r="J23" s="811">
        <v>3478431.2872194229</v>
      </c>
      <c r="K23" s="811">
        <v>2933981.5403114976</v>
      </c>
      <c r="L23" s="811">
        <v>3876511.8472285843</v>
      </c>
      <c r="M23" s="811">
        <v>8318061.6284929002</v>
      </c>
      <c r="N23" s="811">
        <v>4877018.8273018785</v>
      </c>
      <c r="O23" s="811">
        <v>7858639.262482821</v>
      </c>
      <c r="P23" s="811">
        <v>1272493.7013284469</v>
      </c>
      <c r="Q23" s="811">
        <v>665698.80897847004</v>
      </c>
      <c r="R23" s="811">
        <v>753068.25469537335</v>
      </c>
      <c r="S23" s="811">
        <v>243507.10032065964</v>
      </c>
      <c r="T23" s="811">
        <v>1571757.6279769633</v>
      </c>
      <c r="U23" s="811">
        <v>235333.82959230416</v>
      </c>
    </row>
    <row r="24" spans="2:21">
      <c r="B24" s="814" t="s">
        <v>880</v>
      </c>
      <c r="C24" s="815" t="s">
        <v>881</v>
      </c>
      <c r="D24" s="815" t="s">
        <v>882</v>
      </c>
      <c r="E24" s="811">
        <v>188</v>
      </c>
      <c r="F24" s="811">
        <v>188</v>
      </c>
      <c r="G24" s="811">
        <v>188</v>
      </c>
      <c r="H24" s="811">
        <v>188</v>
      </c>
      <c r="I24" s="811">
        <v>188</v>
      </c>
      <c r="J24" s="811">
        <v>188</v>
      </c>
      <c r="K24" s="811">
        <v>188</v>
      </c>
      <c r="L24" s="811">
        <v>188</v>
      </c>
      <c r="M24" s="811">
        <v>188</v>
      </c>
      <c r="N24" s="811">
        <v>188</v>
      </c>
      <c r="O24" s="811">
        <v>188</v>
      </c>
      <c r="P24" s="811">
        <v>188</v>
      </c>
      <c r="Q24" s="811">
        <v>188</v>
      </c>
      <c r="R24" s="811">
        <v>188</v>
      </c>
      <c r="S24" s="811">
        <v>188</v>
      </c>
      <c r="T24" s="811">
        <v>188</v>
      </c>
      <c r="U24" s="811">
        <v>188</v>
      </c>
    </row>
    <row r="25" spans="2:21">
      <c r="B25" s="814" t="s">
        <v>883</v>
      </c>
      <c r="C25" s="815" t="s">
        <v>884</v>
      </c>
      <c r="D25" s="815" t="s">
        <v>882</v>
      </c>
      <c r="E25" s="816">
        <v>188</v>
      </c>
      <c r="F25" s="816">
        <v>188</v>
      </c>
      <c r="G25" s="816">
        <v>188</v>
      </c>
      <c r="H25" s="816">
        <v>188</v>
      </c>
      <c r="I25" s="816">
        <v>188</v>
      </c>
      <c r="J25" s="816">
        <v>188</v>
      </c>
      <c r="K25" s="816">
        <v>188</v>
      </c>
      <c r="L25" s="816">
        <v>188</v>
      </c>
      <c r="M25" s="816">
        <v>188</v>
      </c>
      <c r="N25" s="816">
        <v>188</v>
      </c>
      <c r="O25" s="816">
        <v>188</v>
      </c>
      <c r="P25" s="817"/>
      <c r="Q25" s="817"/>
      <c r="R25" s="817"/>
      <c r="S25" s="817"/>
      <c r="T25" s="817"/>
      <c r="U25" s="817"/>
    </row>
  </sheetData>
  <sheetProtection algorithmName="SHA-512" hashValue="r735nlVSKTB/ywMJPwVMDsRDAq+dn3mYkNTqawBUuCoXr5oFR5qgXLsGHq8xIU68bX9Kx3uQKvN2P0iBTxa/4g==" saltValue="bRgtaVc2N+7RHnsLn3Z2Ng==" spinCount="100000" sheet="1" objects="1" scenarios="1"/>
  <mergeCells count="1">
    <mergeCell ref="E4:U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0b2c76-4eb4-4926-991a-bb246786b55e" xsi:nil="true"/>
    <TaxKeywordTaxHTField xmlns="980b2c76-4eb4-4926-991a-bb246786b55e">
      <Terms xmlns="http://schemas.microsoft.com/office/infopath/2007/PartnerControls"/>
    </TaxKeywordTaxHTField>
    <LikesCount xmlns="http://schemas.microsoft.com/sharepoint/v3" xsi:nil="true"/>
    <MMSourceID xmlns="980b2c76-4eb4-4926-991a-bb246786b55e" xsi:nil="true"/>
    <MM_CheckApproveVersion xmlns="8043c280-e672-43f5-886c-af9cae53c7c4" xsi:nil="true"/>
    <Ratings xmlns="http://schemas.microsoft.com/sharepoint/v3" xsi:nil="true"/>
    <LikedBy xmlns="http://schemas.microsoft.com/sharepoint/v3">
      <UserInfo>
        <DisplayName/>
        <AccountId xsi:nil="true"/>
        <AccountType/>
      </UserInfo>
    </LikedBy>
    <MM_CheckApproveStatus xmlns="8043c280-e672-43f5-886c-af9cae53c7c4" xsi:nil="true"/>
    <RatedBy xmlns="http://schemas.microsoft.com/sharepoint/v3">
      <UserInfo>
        <DisplayName/>
        <AccountId xsi:nil="true"/>
        <AccountType/>
      </UserInfo>
    </RatedBy>
    <_dlc_DocId xmlns="980b2c76-4eb4-4926-991a-bb246786b55e">bf-06127-731628694-943</_dlc_DocId>
    <_dlc_DocIdUrl xmlns="980b2c76-4eb4-4926-991a-bb246786b55e">
      <Url>https://mottmac.sharepoint.com/teams/bf-06127/_layouts/15/DocIdRedir.aspx?ID=bf-06127-731628694-943</Url>
      <Description>bf-06127-731628694-943</Description>
    </_dlc_DocIdUrl>
  </documentManagement>
</p:properties>
</file>

<file path=customXml/item2.xml><?xml version="1.0" encoding="utf-8"?>
<?mso-contentType ?>
<SharedContentType xmlns="Microsoft.SharePoint.Taxonomy.ContentTypeSync" SourceId="3bee4c5c-8f43-4f7f-9637-07f983ecca3d" ContentTypeId="0x0101007BD61AFCC8A643B8924AB3F7EE18260103"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TemplafyFormConfiguration><![CDATA[{"formFields":[],"formDataEntries":[]}]]></TemplafyFormConfiguration>
</file>

<file path=customXml/item5.xml><?xml version="1.0" encoding="utf-8"?>
<TemplafyTemplateConfiguration><![CDATA[{"transformationConfigurations":[{"colorTheme":"{{DataSources.ColorThemes[\"Arup\"].ColorTheme}}","disableUpdates":false,"type":"colorTheme"}],"templateName":"Arup Blank","templateDescription":"","enableDocumentContentUpdater":false,"version":"2.0"}]]></TemplafyTemplateConfiguration>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7.xml><?xml version="1.0" encoding="utf-8"?>
<ct:contentTypeSchema xmlns:ct="http://schemas.microsoft.com/office/2006/metadata/contentType" xmlns:ma="http://schemas.microsoft.com/office/2006/metadata/properties/metaAttributes" ct:_="" ma:_="" ma:contentTypeName="Team Document" ma:contentTypeID="0x0101007BD61AFCC8A643B8924AB3F7EE18260103004B9C9B750D183A4F97F408FD998DF4A9" ma:contentTypeVersion="5" ma:contentTypeDescription="Base content type for business function documents" ma:contentTypeScope="" ma:versionID="9ae3d365777f537b843d76557a29e739">
  <xsd:schema xmlns:xsd="http://www.w3.org/2001/XMLSchema" xmlns:xs="http://www.w3.org/2001/XMLSchema" xmlns:p="http://schemas.microsoft.com/office/2006/metadata/properties" xmlns:ns1="http://schemas.microsoft.com/sharepoint/v3" xmlns:ns2="980b2c76-4eb4-4926-991a-bb246786b55e" xmlns:ns3="8043c280-e672-43f5-886c-af9cae53c7c4" targetNamespace="http://schemas.microsoft.com/office/2006/metadata/properties" ma:root="true" ma:fieldsID="f0343ed48f847b25bce772f2c66450f8" ns1:_="" ns2:_="" ns3:_="">
    <xsd:import namespace="http://schemas.microsoft.com/sharepoint/v3"/>
    <xsd:import namespace="980b2c76-4eb4-4926-991a-bb246786b55e"/>
    <xsd:import namespace="8043c280-e672-43f5-886c-af9cae53c7c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TaxKeywordTaxHTField" minOccurs="0"/>
                <xsd:element ref="ns1:AverageRating" minOccurs="0"/>
                <xsd:element ref="ns1:RatingCount" minOccurs="0"/>
                <xsd:element ref="ns1:RatedBy" minOccurs="0"/>
                <xsd:element ref="ns1:Ratings" minOccurs="0"/>
                <xsd:element ref="ns1:LikesCount" minOccurs="0"/>
                <xsd:element ref="ns1:LikedBy" minOccurs="0"/>
                <xsd:element ref="ns2:MMSourceID" minOccurs="0"/>
                <xsd:element ref="ns3:MM_CheckApproveStatus" minOccurs="0"/>
                <xsd:element ref="ns3:MM_CheckApprove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5" nillable="true" ma:displayName="Rating (0-5)" ma:decimals="2" ma:description="Average value of all the ratings that have been submitted" ma:internalName="AverageRating" ma:readOnly="true">
      <xsd:simpleType>
        <xsd:restriction base="dms:Number"/>
      </xsd:simpleType>
    </xsd:element>
    <xsd:element name="RatingCount" ma:index="16" nillable="true" ma:displayName="Number of Ratings" ma:decimals="0" ma:description="Number of ratings submitted" ma:internalName="RatingCount" ma:readOnly="true">
      <xsd:simpleType>
        <xsd:restriction base="dms:Number"/>
      </xsd:simpleType>
    </xsd:element>
    <xsd:element name="RatedBy" ma:index="17"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8" nillable="true" ma:displayName="User ratings" ma:description="User ratings for the item" ma:hidden="true" ma:internalName="Ratings">
      <xsd:simpleType>
        <xsd:restriction base="dms:Note"/>
      </xsd:simpleType>
    </xsd:element>
    <xsd:element name="LikesCount" ma:index="19" nillable="true" ma:displayName="Number of Likes" ma:internalName="LikesCount">
      <xsd:simpleType>
        <xsd:restriction base="dms:Unknown"/>
      </xsd:simpleType>
    </xsd:element>
    <xsd:element name="LikedBy" ma:index="20"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0b2c76-4eb4-4926-991a-bb246786b55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fab5f39-7841-47ba-a03d-ae791bcb73ae}" ma:internalName="TaxCatchAll" ma:showField="CatchAllData" ma:web="7da3b006-76ae-4329-a878-3cb375037e9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fab5f39-7841-47ba-a03d-ae791bcb73ae}" ma:internalName="TaxCatchAllLabel" ma:readOnly="true" ma:showField="CatchAllDataLabel" ma:web="7da3b006-76ae-4329-a878-3cb375037e97">
      <xsd:complexType>
        <xsd:complexContent>
          <xsd:extension base="dms:MultiChoiceLookup">
            <xsd:sequence>
              <xsd:element name="Value" type="dms:Lookup" maxOccurs="unbounded" minOccurs="0" nillable="true"/>
            </xsd:sequence>
          </xsd:extension>
        </xsd:complexContent>
      </xsd:complexType>
    </xsd:element>
    <xsd:element name="TaxKeywordTaxHTField" ma:index="13" nillable="true" ma:taxonomy="true" ma:internalName="TaxKeywordTaxHTField" ma:taxonomyFieldName="TaxKeyword" ma:displayName="Enterprise Keywords" ma:fieldId="{23f27201-bee3-471e-b2e7-b64fd8b7ca38}" ma:taxonomyMulti="true" ma:sspId="3bee4c5c-8f43-4f7f-9637-07f983ecca3d" ma:termSetId="00000000-0000-0000-0000-000000000000" ma:anchorId="00000000-0000-0000-0000-000000000000" ma:open="true" ma:isKeyword="true">
      <xsd:complexType>
        <xsd:sequence>
          <xsd:element ref="pc:Terms" minOccurs="0" maxOccurs="1"/>
        </xsd:sequence>
      </xsd:complexType>
    </xsd:element>
    <xsd:element name="MMSourceID" ma:index="21" nillable="true" ma:displayName="MM Source ID" ma:description="Used for source searches" ma:internalName="MMSource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43c280-e672-43f5-886c-af9cae53c7c4" elementFormDefault="qualified">
    <xsd:import namespace="http://schemas.microsoft.com/office/2006/documentManagement/types"/>
    <xsd:import namespace="http://schemas.microsoft.com/office/infopath/2007/PartnerControls"/>
    <xsd:element name="MM_CheckApproveStatus" ma:index="22" nillable="true" ma:displayName="Check &amp; approve" ma:description="Document Action Check &amp; Approve status" ma:internalName="MM_CheckApproveStatus">
      <xsd:simpleType>
        <xsd:restriction base="dms:Text">
          <xsd:maxLength value="255"/>
        </xsd:restriction>
      </xsd:simpleType>
    </xsd:element>
    <xsd:element name="MM_CheckApproveVersion" ma:index="23" nillable="true" ma:displayName="Check &amp; approve version" ma:description="Document Action Check &amp; Approve version" ma:internalName="MM_CheckApproveVersion">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F5E272-B864-4BD5-B5DF-3E44F3357D0B}"/>
</file>

<file path=customXml/itemProps2.xml><?xml version="1.0" encoding="utf-8"?>
<ds:datastoreItem xmlns:ds="http://schemas.openxmlformats.org/officeDocument/2006/customXml" ds:itemID="{DDC85681-F0B1-4745-8280-189E6193A2D0}"/>
</file>

<file path=customXml/itemProps3.xml><?xml version="1.0" encoding="utf-8"?>
<ds:datastoreItem xmlns:ds="http://schemas.openxmlformats.org/officeDocument/2006/customXml" ds:itemID="{6164627C-DAD2-441F-9B29-249FF5B3853A}"/>
</file>

<file path=customXml/itemProps4.xml><?xml version="1.0" encoding="utf-8"?>
<ds:datastoreItem xmlns:ds="http://schemas.openxmlformats.org/officeDocument/2006/customXml" ds:itemID="{62CB8C1F-D40D-4C86-BB4B-0CF96D922D6C}"/>
</file>

<file path=customXml/itemProps5.xml><?xml version="1.0" encoding="utf-8"?>
<ds:datastoreItem xmlns:ds="http://schemas.openxmlformats.org/officeDocument/2006/customXml" ds:itemID="{E59C169C-5B71-4139-B067-6BD7D31FA149}"/>
</file>

<file path=customXml/itemProps6.xml><?xml version="1.0" encoding="utf-8"?>
<ds:datastoreItem xmlns:ds="http://schemas.openxmlformats.org/officeDocument/2006/customXml" ds:itemID="{9995617D-47E7-4C13-A5F5-E830499873A5}"/>
</file>

<file path=customXml/itemProps7.xml><?xml version="1.0" encoding="utf-8"?>
<ds:datastoreItem xmlns:ds="http://schemas.openxmlformats.org/officeDocument/2006/customXml" ds:itemID="{CBCFD764-494E-48EF-A497-7BBBC9FF7812}"/>
</file>

<file path=docMetadata/LabelInfo.xml><?xml version="1.0" encoding="utf-8"?>
<clbl:labelList xmlns:clbl="http://schemas.microsoft.com/office/2020/mipLabelMetadata">
  <clbl:label id="{82fa3fd3-029b-403d-91b4-1dc930cb0e60}" enabled="1" method="Privileged" siteId="{4ae48b41-0137-4599-8661-fc641fe77bea}"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Ward</dc:creator>
  <cp:keywords/>
  <dc:description/>
  <cp:lastModifiedBy>Lorna Mann</cp:lastModifiedBy>
  <cp:revision/>
  <dcterms:created xsi:type="dcterms:W3CDTF">2024-06-18T08:50:04Z</dcterms:created>
  <dcterms:modified xsi:type="dcterms:W3CDTF">2025-08-07T15:35:10Z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2022-03-01T21:00:43Z</vt:lpwstr>
  </property>
  <property fmtid="{D5CDD505-2E9C-101B-9397-08002B2CF9AE}" pid="4" name="MSIP_Label_82fa3fd3-029b-403d-91b4-1dc930cb0e60_Method">
    <vt:lpwstr>Privileged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fe0e749a-613b-4eba-a7c1-9cad1fe1868c</vt:lpwstr>
  </property>
  <property fmtid="{D5CDD505-2E9C-101B-9397-08002B2CF9AE}" pid="8" name="MSIP_Label_82fa3fd3-029b-403d-91b4-1dc930cb0e60_ContentBits">
    <vt:lpwstr>0</vt:lpwstr>
  </property>
  <property fmtid="{D5CDD505-2E9C-101B-9397-08002B2CF9AE}" pid="9" name="TemplafyTenantId">
    <vt:lpwstr>arup</vt:lpwstr>
  </property>
  <property fmtid="{D5CDD505-2E9C-101B-9397-08002B2CF9AE}" pid="10" name="TemplafyTemplateId">
    <vt:lpwstr>638203440029340818</vt:lpwstr>
  </property>
  <property fmtid="{D5CDD505-2E9C-101B-9397-08002B2CF9AE}" pid="11" name="TemplafyUserProfileId">
    <vt:lpwstr>637792158264521604</vt:lpwstr>
  </property>
  <property fmtid="{D5CDD505-2E9C-101B-9397-08002B2CF9AE}" pid="12" name="TemplafyLanguageCode">
    <vt:lpwstr>en-GB</vt:lpwstr>
  </property>
  <property fmtid="{D5CDD505-2E9C-101B-9397-08002B2CF9AE}" pid="13" name="TemplafyFromBlank">
    <vt:bool>true</vt:bool>
  </property>
  <property fmtid="{D5CDD505-2E9C-101B-9397-08002B2CF9AE}" pid="14" name="ContentTypeId">
    <vt:lpwstr>0x0101007BD61AFCC8A643B8924AB3F7EE18260103004B9C9B750D183A4F97F408FD998DF4A9</vt:lpwstr>
  </property>
  <property fmtid="{D5CDD505-2E9C-101B-9397-08002B2CF9AE}" pid="15" name="_dlc_DocIdItemGuid">
    <vt:lpwstr>2a7b90a0-dd5f-4e2c-abd3-823313f00666</vt:lpwstr>
  </property>
  <property fmtid="{D5CDD505-2E9C-101B-9397-08002B2CF9AE}" pid="16" name="MSIP_Label_5fa35bea-b470-4850-b735-1c48374a6ec0_Enabled">
    <vt:lpwstr>true</vt:lpwstr>
  </property>
  <property fmtid="{D5CDD505-2E9C-101B-9397-08002B2CF9AE}" pid="17" name="MSIP_Label_5fa35bea-b470-4850-b735-1c48374a6ec0_SetDate">
    <vt:lpwstr>2024-07-30T08:23:22Z</vt:lpwstr>
  </property>
  <property fmtid="{D5CDD505-2E9C-101B-9397-08002B2CF9AE}" pid="18" name="MSIP_Label_5fa35bea-b470-4850-b735-1c48374a6ec0_Method">
    <vt:lpwstr>Privileged</vt:lpwstr>
  </property>
  <property fmtid="{D5CDD505-2E9C-101B-9397-08002B2CF9AE}" pid="19" name="MSIP_Label_5fa35bea-b470-4850-b735-1c48374a6ec0_Name">
    <vt:lpwstr>Internal</vt:lpwstr>
  </property>
  <property fmtid="{D5CDD505-2E9C-101B-9397-08002B2CF9AE}" pid="20" name="MSIP_Label_5fa35bea-b470-4850-b735-1c48374a6ec0_SiteId">
    <vt:lpwstr>fd84ea5f-acd2-4dfc-9b72-abb5d1685310</vt:lpwstr>
  </property>
  <property fmtid="{D5CDD505-2E9C-101B-9397-08002B2CF9AE}" pid="21" name="MSIP_Label_5fa35bea-b470-4850-b735-1c48374a6ec0_ActionId">
    <vt:lpwstr>19ddbbb5-6bfd-4b05-8b68-c3ee32a98c6a</vt:lpwstr>
  </property>
  <property fmtid="{D5CDD505-2E9C-101B-9397-08002B2CF9AE}" pid="22" name="MSIP_Label_5fa35bea-b470-4850-b735-1c48374a6ec0_ContentBits">
    <vt:lpwstr>0</vt:lpwstr>
  </property>
  <property fmtid="{D5CDD505-2E9C-101B-9397-08002B2CF9AE}" pid="23" name="MediaServiceImageTags">
    <vt:lpwstr/>
  </property>
  <property fmtid="{D5CDD505-2E9C-101B-9397-08002B2CF9AE}" pid="24" name="Folder_Number">
    <vt:lpwstr/>
  </property>
  <property fmtid="{D5CDD505-2E9C-101B-9397-08002B2CF9AE}" pid="25" name="Folder_Code">
    <vt:lpwstr/>
  </property>
  <property fmtid="{D5CDD505-2E9C-101B-9397-08002B2CF9AE}" pid="26" name="Folder_Name">
    <vt:lpwstr/>
  </property>
  <property fmtid="{D5CDD505-2E9C-101B-9397-08002B2CF9AE}" pid="27" name="Folder_Description">
    <vt:lpwstr/>
  </property>
  <property fmtid="{D5CDD505-2E9C-101B-9397-08002B2CF9AE}" pid="28" name="/Folder_Name/">
    <vt:lpwstr/>
  </property>
  <property fmtid="{D5CDD505-2E9C-101B-9397-08002B2CF9AE}" pid="29" name="/Folder_Description/">
    <vt:lpwstr/>
  </property>
  <property fmtid="{D5CDD505-2E9C-101B-9397-08002B2CF9AE}" pid="30" name="Folder_Version">
    <vt:lpwstr/>
  </property>
  <property fmtid="{D5CDD505-2E9C-101B-9397-08002B2CF9AE}" pid="31" name="Folder_VersionSeq">
    <vt:lpwstr/>
  </property>
  <property fmtid="{D5CDD505-2E9C-101B-9397-08002B2CF9AE}" pid="32" name="Folder_Manager">
    <vt:lpwstr/>
  </property>
  <property fmtid="{D5CDD505-2E9C-101B-9397-08002B2CF9AE}" pid="33" name="Folder_ManagerDesc">
    <vt:lpwstr/>
  </property>
  <property fmtid="{D5CDD505-2E9C-101B-9397-08002B2CF9AE}" pid="34" name="Folder_Storage">
    <vt:lpwstr/>
  </property>
  <property fmtid="{D5CDD505-2E9C-101B-9397-08002B2CF9AE}" pid="35" name="Folder_StorageDesc">
    <vt:lpwstr/>
  </property>
  <property fmtid="{D5CDD505-2E9C-101B-9397-08002B2CF9AE}" pid="36" name="Folder_Creator">
    <vt:lpwstr/>
  </property>
  <property fmtid="{D5CDD505-2E9C-101B-9397-08002B2CF9AE}" pid="37" name="Folder_CreatorDesc">
    <vt:lpwstr/>
  </property>
  <property fmtid="{D5CDD505-2E9C-101B-9397-08002B2CF9AE}" pid="38" name="Folder_CreateDate">
    <vt:lpwstr/>
  </property>
  <property fmtid="{D5CDD505-2E9C-101B-9397-08002B2CF9AE}" pid="39" name="Folder_Updater">
    <vt:lpwstr/>
  </property>
  <property fmtid="{D5CDD505-2E9C-101B-9397-08002B2CF9AE}" pid="40" name="Folder_UpdaterDesc">
    <vt:lpwstr/>
  </property>
  <property fmtid="{D5CDD505-2E9C-101B-9397-08002B2CF9AE}" pid="41" name="Folder_UpdateDate">
    <vt:lpwstr/>
  </property>
  <property fmtid="{D5CDD505-2E9C-101B-9397-08002B2CF9AE}" pid="42" name="Document_Number">
    <vt:lpwstr/>
  </property>
  <property fmtid="{D5CDD505-2E9C-101B-9397-08002B2CF9AE}" pid="43" name="Document_Name">
    <vt:lpwstr/>
  </property>
  <property fmtid="{D5CDD505-2E9C-101B-9397-08002B2CF9AE}" pid="44" name="Document_FileName">
    <vt:lpwstr/>
  </property>
  <property fmtid="{D5CDD505-2E9C-101B-9397-08002B2CF9AE}" pid="45" name="Document_Version">
    <vt:lpwstr/>
  </property>
  <property fmtid="{D5CDD505-2E9C-101B-9397-08002B2CF9AE}" pid="46" name="Document_VersionSeq">
    <vt:lpwstr/>
  </property>
  <property fmtid="{D5CDD505-2E9C-101B-9397-08002B2CF9AE}" pid="47" name="Document_Creator">
    <vt:lpwstr/>
  </property>
  <property fmtid="{D5CDD505-2E9C-101B-9397-08002B2CF9AE}" pid="48" name="Document_CreatorDesc">
    <vt:lpwstr/>
  </property>
  <property fmtid="{D5CDD505-2E9C-101B-9397-08002B2CF9AE}" pid="49" name="Document_CreateDate">
    <vt:lpwstr/>
  </property>
  <property fmtid="{D5CDD505-2E9C-101B-9397-08002B2CF9AE}" pid="50" name="Document_Updater">
    <vt:lpwstr/>
  </property>
  <property fmtid="{D5CDD505-2E9C-101B-9397-08002B2CF9AE}" pid="51" name="Document_UpdaterDesc">
    <vt:lpwstr/>
  </property>
  <property fmtid="{D5CDD505-2E9C-101B-9397-08002B2CF9AE}" pid="52" name="Document_UpdateDate">
    <vt:lpwstr/>
  </property>
  <property fmtid="{D5CDD505-2E9C-101B-9397-08002B2CF9AE}" pid="53" name="Document_Size">
    <vt:lpwstr/>
  </property>
  <property fmtid="{D5CDD505-2E9C-101B-9397-08002B2CF9AE}" pid="54" name="Document_Storage">
    <vt:lpwstr/>
  </property>
  <property fmtid="{D5CDD505-2E9C-101B-9397-08002B2CF9AE}" pid="55" name="Document_StorageDesc">
    <vt:lpwstr/>
  </property>
  <property fmtid="{D5CDD505-2E9C-101B-9397-08002B2CF9AE}" pid="56" name="Document_Department">
    <vt:lpwstr/>
  </property>
  <property fmtid="{D5CDD505-2E9C-101B-9397-08002B2CF9AE}" pid="57" name="Document_DepartmentDesc">
    <vt:lpwstr/>
  </property>
  <property fmtid="{D5CDD505-2E9C-101B-9397-08002B2CF9AE}" pid="58" name="Arup_Tags">
    <vt:lpwstr/>
  </property>
  <property fmtid="{D5CDD505-2E9C-101B-9397-08002B2CF9AE}" pid="59" name="CO_Topics">
    <vt:lpwstr/>
  </property>
  <property fmtid="{D5CDD505-2E9C-101B-9397-08002B2CF9AE}" pid="60" name="CO_Communities">
    <vt:lpwstr/>
  </property>
  <property fmtid="{D5CDD505-2E9C-101B-9397-08002B2CF9AE}" pid="61" name="Arup_TypeOfContent">
    <vt:lpwstr/>
  </property>
  <property fmtid="{D5CDD505-2E9C-101B-9397-08002B2CF9AE}" pid="62" name="TaxKeyword">
    <vt:lpwstr/>
  </property>
  <property fmtid="{D5CDD505-2E9C-101B-9397-08002B2CF9AE}" pid="63" name="lcf76f155ced4ddcb4097134ff3c332f">
    <vt:lpwstr/>
  </property>
</Properties>
</file>